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585"/>
  </bookViews>
  <sheets>
    <sheet name="ReadME" sheetId="14" r:id="rId1"/>
    <sheet name="Deemed Savings Tbl Revision Log" sheetId="1" r:id="rId2"/>
    <sheet name="2020_02_Updates_CleanUp_Items" sheetId="19" r:id="rId3"/>
    <sheet name="BUS Deemed Savings Table " sheetId="2" r:id="rId4"/>
    <sheet name="Lighting Deemed Table" sheetId="3" r:id="rId5"/>
    <sheet name="Efficient Products Deemed Table" sheetId="16" r:id="rId6"/>
    <sheet name="Energy Effic. Kits Deemed Table" sheetId="5" r:id="rId7"/>
    <sheet name="HVAC Deemed Table" sheetId="6" r:id="rId8"/>
    <sheet name="Income Eligble Deemed Table" sheetId="7" r:id="rId9"/>
    <sheet name="Home Energy Report Deemed Table" sheetId="8" r:id="rId10"/>
    <sheet name="MFMR Deemed Table " sheetId="9" r:id="rId11"/>
    <sheet name="Appliance Recycle Deemed Table" sheetId="10" r:id="rId12"/>
    <sheet name="Demand Response Deemed Table" sheetId="11" r:id="rId13"/>
    <sheet name=" Measure INDEX" sheetId="15" r:id="rId14"/>
    <sheet name="CP FACTORS" sheetId="12" state="hidden" r:id="rId15"/>
    <sheet name="Avoided Cost Benefits" sheetId="13" state="hidden"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xlnm._FilterDatabase" localSheetId="13" hidden="1">' Measure INDEX'!$A$8:$AT$603</definedName>
    <definedName name="_xlnm._FilterDatabase" localSheetId="15" hidden="1">'Avoided Cost Benefits'!$A$3:$G$857</definedName>
    <definedName name="_xlnm._FilterDatabase" localSheetId="7" hidden="1">'HVAC Deemed Table'!$A$1388:$X$1566</definedName>
    <definedName name="_ftn1" localSheetId="3">'BUS Deemed Savings Table '!$H$755</definedName>
    <definedName name="_ftn1" localSheetId="5">'Efficient Products Deemed Table'!$C$276</definedName>
    <definedName name="_ftn10" localSheetId="3">'BUS Deemed Savings Table '!$H$764</definedName>
    <definedName name="_ftn11" localSheetId="3">'BUS Deemed Savings Table '!$H$765</definedName>
    <definedName name="_ftn12" localSheetId="3">'BUS Deemed Savings Table '!$H$766</definedName>
    <definedName name="_ftn2" localSheetId="3">'BUS Deemed Savings Table '!$H$756</definedName>
    <definedName name="_ftn2" localSheetId="5">'Efficient Products Deemed Table'!$C$277</definedName>
    <definedName name="_ftn3" localSheetId="3">'BUS Deemed Savings Table '!$H$757</definedName>
    <definedName name="_ftn4" localSheetId="3">'BUS Deemed Savings Table '!$H$758</definedName>
    <definedName name="_ftn5" localSheetId="3">'BUS Deemed Savings Table '!$H$759</definedName>
    <definedName name="_ftn6" localSheetId="3">'BUS Deemed Savings Table '!$H$760</definedName>
    <definedName name="_ftn7" localSheetId="3">'BUS Deemed Savings Table '!$H$761</definedName>
    <definedName name="_ftn8" localSheetId="3">'BUS Deemed Savings Table '!$H$762</definedName>
    <definedName name="_ftn9" localSheetId="3">'BUS Deemed Savings Table '!$H$763</definedName>
    <definedName name="_ftnref1" localSheetId="3">'BUS Deemed Savings Table '!$H$347</definedName>
    <definedName name="_ftnref1" localSheetId="5">'Efficient Products Deemed Table'!$D$265</definedName>
    <definedName name="_ftnref10" localSheetId="3">'BUS Deemed Savings Table '!$K$622</definedName>
    <definedName name="_ftnref11" localSheetId="3">'BUS Deemed Savings Table '!$H$712</definedName>
    <definedName name="_ftnref12" localSheetId="3">'BUS Deemed Savings Table '!$I$747</definedName>
    <definedName name="_ftnref2" localSheetId="5">'Efficient Products Deemed Table'!$C$273</definedName>
    <definedName name="_ftnref3" localSheetId="3">'BUS Deemed Savings Table '!$J$353</definedName>
    <definedName name="_ftnref4" localSheetId="3">'BUS Deemed Savings Table '!$H$362</definedName>
    <definedName name="_ftnref5" localSheetId="3">'BUS Deemed Savings Table '!$H$376</definedName>
    <definedName name="_ftnref6" localSheetId="3">'BUS Deemed Savings Table '!$K$394</definedName>
    <definedName name="_ftnref7" localSheetId="3">'BUS Deemed Savings Table '!$I$489</definedName>
    <definedName name="_ftnref8" localSheetId="3">'BUS Deemed Savings Table '!#REF!</definedName>
    <definedName name="_ftnref9" localSheetId="3">'BUS Deemed Savings Table '!$H$593</definedName>
    <definedName name="_Key1" hidden="1">#REF!</definedName>
    <definedName name="_key2" hidden="1">#REF!</definedName>
    <definedName name="_Order1" hidden="1">255</definedName>
    <definedName name="_Sort" hidden="1">#REF!</definedName>
    <definedName name="_Toc477945843" localSheetId="3">'BUS Deemed Savings Table '!$H$328</definedName>
    <definedName name="abase" localSheetId="1">#REF!</definedName>
    <definedName name="abase" localSheetId="12">#REF!</definedName>
    <definedName name="abase">#REF!</definedName>
    <definedName name="accounts" localSheetId="1">'[1]Measure Summary'!#REF!</definedName>
    <definedName name="accounts" localSheetId="12">'[1]Measure Summary'!#REF!</definedName>
    <definedName name="accounts">'[1]Measure Summary'!#REF!</definedName>
    <definedName name="accountvalid">'[2]Measure Summary'!$F$5:$F$218</definedName>
    <definedName name="adj_ues_nres">'[3]Data Summary'!#REF!</definedName>
    <definedName name="adj_ues_res">'[3]Data Summary'!#REF!</definedName>
    <definedName name="airRESULTS">[4]Inputs!$C$14</definedName>
    <definedName name="APPK_profile" localSheetId="1">#REF!</definedName>
    <definedName name="APPK_profile" localSheetId="12">#REF!</definedName>
    <definedName name="APPK_profile">#REF!</definedName>
    <definedName name="APPK_profilekW" localSheetId="1">#REF!</definedName>
    <definedName name="APPK_profilekW" localSheetId="12">#REF!</definedName>
    <definedName name="APPK_profilekW">#REF!</definedName>
    <definedName name="AVGcool" localSheetId="1">#REF!</definedName>
    <definedName name="AVGcool" localSheetId="12">#REF!</definedName>
    <definedName name="AVGcool">#REF!</definedName>
    <definedName name="AVGheat" localSheetId="1">#REF!</definedName>
    <definedName name="AVGheat" localSheetId="12">#REF!</definedName>
    <definedName name="AVGheat">#REF!</definedName>
    <definedName name="AvoidedCost" localSheetId="1">#REF!</definedName>
    <definedName name="AvoidedCost" localSheetId="12">#REF!</definedName>
    <definedName name="AvoidedCost">#REF!</definedName>
    <definedName name="awrap" localSheetId="1">#REF!</definedName>
    <definedName name="awrap" localSheetId="12">#REF!</definedName>
    <definedName name="awrap">#REF!</definedName>
    <definedName name="Cadmus_Valid_LED">'[5]Raw Cadmus Survey Data'!$DI:$DI</definedName>
    <definedName name="CF" localSheetId="1">#REF!</definedName>
    <definedName name="CF" localSheetId="12">#REF!</definedName>
    <definedName name="CF">#REF!</definedName>
    <definedName name="CFduct">[4]Inputs!$I$16</definedName>
    <definedName name="CFlighting" localSheetId="1">#REF!</definedName>
    <definedName name="CFlighting" localSheetId="12">#REF!</definedName>
    <definedName name="CFlighting">#REF!</definedName>
    <definedName name="Changing_Cell" localSheetId="1">#REF!</definedName>
    <definedName name="Changing_Cell" localSheetId="12">#REF!</definedName>
    <definedName name="Changing_Cell">#REF!</definedName>
    <definedName name="chart_title" localSheetId="1">#REF!</definedName>
    <definedName name="chart_title" localSheetId="12">#REF!</definedName>
    <definedName name="chart_title">#REF!</definedName>
    <definedName name="ConF" localSheetId="1">#REF!</definedName>
    <definedName name="ConF" localSheetId="12">#REF!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1">#REF!</definedName>
    <definedName name="Cp" localSheetId="12">#REF!</definedName>
    <definedName name="Cp">#REF!</definedName>
    <definedName name="DAYS" localSheetId="1">#REF!</definedName>
    <definedName name="DAYS" localSheetId="12">#REF!</definedName>
    <definedName name="DAYS">#REF!</definedName>
    <definedName name="DeltaGPM" localSheetId="1">#REF!</definedName>
    <definedName name="DeltaGPM" localSheetId="12">#REF!</definedName>
    <definedName name="DeltaGPM">#REF!</definedName>
    <definedName name="deltaT" localSheetId="1">#REF!</definedName>
    <definedName name="deltaT" localSheetId="12">#REF!</definedName>
    <definedName name="deltaT">#REF!</definedName>
    <definedName name="den" localSheetId="1">#REF!</definedName>
    <definedName name="den" localSheetId="12">#REF!</definedName>
    <definedName name="den">#REF!</definedName>
    <definedName name="DesignDetails" localSheetId="1">#REF!</definedName>
    <definedName name="DesignDetails" localSheetId="12">#REF!</definedName>
    <definedName name="DesignDetails">#REF!</definedName>
    <definedName name="Diameter" localSheetId="1">#REF!</definedName>
    <definedName name="Diameter" localSheetId="12">#REF!</definedName>
    <definedName name="Diameter">#REF!</definedName>
    <definedName name="ductRESULTS" localSheetId="1">#REF!</definedName>
    <definedName name="ductRESULTS" localSheetId="12">#REF!</definedName>
    <definedName name="ductRESULTS">#REF!</definedName>
    <definedName name="EDR" localSheetId="1">#REF!</definedName>
    <definedName name="EDR" localSheetId="12">#REF!</definedName>
    <definedName name="EDR">#REF!</definedName>
    <definedName name="EERafter" localSheetId="1">#REF!</definedName>
    <definedName name="EERafter" localSheetId="12">#REF!</definedName>
    <definedName name="EERafter">#REF!</definedName>
    <definedName name="EERBefore" localSheetId="1">#REF!</definedName>
    <definedName name="EERBefore" localSheetId="12">#REF!</definedName>
    <definedName name="EERBefore">#REF!</definedName>
    <definedName name="EFbase" localSheetId="1">#REF!</definedName>
    <definedName name="EFbase" localSheetId="12">#REF!</definedName>
    <definedName name="EFbase">#REF!</definedName>
    <definedName name="EndRef" localSheetId="1">#REF!</definedName>
    <definedName name="EndRef" localSheetId="12">#REF!</definedName>
    <definedName name="EndRef">#REF!</definedName>
    <definedName name="Endrow" localSheetId="1">#REF!</definedName>
    <definedName name="Endrow" localSheetId="12">#REF!</definedName>
    <definedName name="Endrow">#REF!</definedName>
    <definedName name="ESFcool" localSheetId="1">#REF!</definedName>
    <definedName name="ESFcool" localSheetId="12">#REF!</definedName>
    <definedName name="ESFcool">#REF!</definedName>
    <definedName name="ESFheat" localSheetId="1">#REF!</definedName>
    <definedName name="ESFheat" localSheetId="12">#REF!</definedName>
    <definedName name="ESFheat">#REF!</definedName>
    <definedName name="EUEx" localSheetId="1">#REF!</definedName>
    <definedName name="EUEx" localSheetId="12">#REF!</definedName>
    <definedName name="EUEx">#REF!</definedName>
    <definedName name="EUNew" localSheetId="1">#REF!</definedName>
    <definedName name="EUNew" localSheetId="12">#REF!</definedName>
    <definedName name="EUNew">#REF!</definedName>
    <definedName name="FAdays" localSheetId="1">#REF!</definedName>
    <definedName name="FAdays" localSheetId="12">#REF!</definedName>
    <definedName name="FAdays">#REF!</definedName>
    <definedName name="FAdeltaGPM" localSheetId="1">#REF!</definedName>
    <definedName name="FAdeltaGPM" localSheetId="12">#REF!</definedName>
    <definedName name="FAdeltaGPM">#REF!</definedName>
    <definedName name="FauCp" localSheetId="1">#REF!</definedName>
    <definedName name="FauCp" localSheetId="12">#REF!</definedName>
    <definedName name="FauCp">#REF!</definedName>
    <definedName name="FaucTime" localSheetId="1">#REF!</definedName>
    <definedName name="FaucTime" localSheetId="12">#REF!</definedName>
    <definedName name="FaucTime">#REF!</definedName>
    <definedName name="FauDen" localSheetId="1">#REF!</definedName>
    <definedName name="FauDen" localSheetId="12">#REF!</definedName>
    <definedName name="FauDen">#REF!</definedName>
    <definedName name="FauRE" localSheetId="1">#REF!</definedName>
    <definedName name="FauRE" localSheetId="12">#REF!</definedName>
    <definedName name="FauRE">#REF!</definedName>
    <definedName name="FauTin" localSheetId="1">#REF!</definedName>
    <definedName name="FauTin" localSheetId="12">#REF!</definedName>
    <definedName name="FauTin">#REF!</definedName>
    <definedName name="Finished">'[5]Raw Cadmus Survey Data'!$F:$F</definedName>
    <definedName name="HCIFd" localSheetId="1">#REF!</definedName>
    <definedName name="HCIFd" localSheetId="12">#REF!</definedName>
    <definedName name="HCIFd">#REF!</definedName>
    <definedName name="HCIFe" localSheetId="1">#REF!</definedName>
    <definedName name="HCIFe" localSheetId="12">#REF!</definedName>
    <definedName name="HCIFe">#REF!</definedName>
    <definedName name="HDD" localSheetId="1">#REF!</definedName>
    <definedName name="HDD" localSheetId="12">#REF!</definedName>
    <definedName name="HDD">#REF!</definedName>
    <definedName name="Height" localSheetId="1">#REF!</definedName>
    <definedName name="Height" localSheetId="12">#REF!</definedName>
    <definedName name="Height">#REF!</definedName>
    <definedName name="HEW_LED">'[5]Raw Cadmus Survey Data'!$O:$O</definedName>
    <definedName name="HEW_Valid_LED">'[5]Raw Cadmus Survey Data'!$CI:$CI</definedName>
    <definedName name="HOU_NRES">'[6]Input Values'!$C$32</definedName>
    <definedName name="HOU_Res">'[6]Input Values'!$C$31</definedName>
    <definedName name="HOURRES" localSheetId="1">#REF!</definedName>
    <definedName name="HOURRES" localSheetId="12">#REF!</definedName>
    <definedName name="HOURRES">#REF!</definedName>
    <definedName name="HOURSNRES" localSheetId="1">#REF!</definedName>
    <definedName name="HOURSNRES" localSheetId="12">#REF!</definedName>
    <definedName name="HOURSNRES">#REF!</definedName>
    <definedName name="HP" localSheetId="1">#REF!</definedName>
    <definedName name="HP" localSheetId="12">#REF!</definedName>
    <definedName name="HP">#REF!</definedName>
    <definedName name="HPfive" localSheetId="1">#REF!</definedName>
    <definedName name="HPfive" localSheetId="12">#REF!</definedName>
    <definedName name="HPfive">#REF!</definedName>
    <definedName name="HPfour" localSheetId="1">#REF!</definedName>
    <definedName name="HPfour" localSheetId="12">#REF!</definedName>
    <definedName name="HPfour">#REF!</definedName>
    <definedName name="HPfpur" localSheetId="1">#REF!</definedName>
    <definedName name="HPfpur" localSheetId="12">#REF!</definedName>
    <definedName name="HPfpur">#REF!</definedName>
    <definedName name="HPsix" localSheetId="1">#REF!</definedName>
    <definedName name="HPsix" localSheetId="12">#REF!</definedName>
    <definedName name="HPsix">#REF!</definedName>
    <definedName name="HPthree" localSheetId="1">#REF!</definedName>
    <definedName name="HPthree" localSheetId="12">#REF!</definedName>
    <definedName name="HPthree">#REF!</definedName>
    <definedName name="HPtwo" localSheetId="1">#REF!</definedName>
    <definedName name="HPtwo" localSheetId="12">#REF!</definedName>
    <definedName name="HPtwo">#REF!</definedName>
    <definedName name="ISR" localSheetId="1">#REF!</definedName>
    <definedName name="ISR" localSheetId="12">#REF!</definedName>
    <definedName name="ISR">#REF!</definedName>
    <definedName name="L" localSheetId="1">#REF!</definedName>
    <definedName name="L" localSheetId="12">#REF!</definedName>
    <definedName name="L">#REF!</definedName>
    <definedName name="Ldays" localSheetId="1">#REF!</definedName>
    <definedName name="Ldays" localSheetId="12">#REF!</definedName>
    <definedName name="Ldays">#REF!</definedName>
    <definedName name="LHours" localSheetId="1">#REF!</definedName>
    <definedName name="LHours" localSheetId="12">#REF!</definedName>
    <definedName name="LHours">#REF!</definedName>
    <definedName name="LKG" localSheetId="1">#REF!</definedName>
    <definedName name="LKG" localSheetId="12">#REF!</definedName>
    <definedName name="LKG">#REF!</definedName>
    <definedName name="LWHF" localSheetId="1">#REF!</definedName>
    <definedName name="LWHF" localSheetId="12">#REF!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1">#REF!</definedName>
    <definedName name="MM_BldgType" localSheetId="12">#REF!</definedName>
    <definedName name="MM_BldgType">#REF!</definedName>
    <definedName name="MM_CompAirList" localSheetId="1">#REF!</definedName>
    <definedName name="MM_CompAirList" localSheetId="12">#REF!</definedName>
    <definedName name="MM_CompAirList">#REF!</definedName>
    <definedName name="MM_EMSList" localSheetId="1">#REF!</definedName>
    <definedName name="MM_EMSList" localSheetId="12">#REF!</definedName>
    <definedName name="MM_EMSList">#REF!</definedName>
    <definedName name="MM_EndUseList" localSheetId="1">#REF!</definedName>
    <definedName name="MM_EndUseList" localSheetId="12">#REF!</definedName>
    <definedName name="MM_EndUseList">#REF!</definedName>
    <definedName name="MM_EnvList" localSheetId="1">#REF!</definedName>
    <definedName name="MM_EnvList" localSheetId="12">#REF!</definedName>
    <definedName name="MM_EnvList">#REF!</definedName>
    <definedName name="MM_FoodServList" localSheetId="1">#REF!</definedName>
    <definedName name="MM_FoodServList" localSheetId="12">#REF!</definedName>
    <definedName name="MM_FoodServList">#REF!</definedName>
    <definedName name="MM_FuelList" localSheetId="1">#REF!</definedName>
    <definedName name="MM_FuelList" localSheetId="12">#REF!</definedName>
    <definedName name="MM_FuelList">#REF!</definedName>
    <definedName name="MM_HVACList" localSheetId="1">#REF!</definedName>
    <definedName name="MM_HVACList" localSheetId="12">#REF!</definedName>
    <definedName name="MM_HVACList">#REF!</definedName>
    <definedName name="MM_IncentChangeList" localSheetId="1">#REF!</definedName>
    <definedName name="MM_IncentChangeList" localSheetId="12">#REF!</definedName>
    <definedName name="MM_IncentChangeList">#REF!</definedName>
    <definedName name="MM_IncentiveDistribution" localSheetId="1">#REF!</definedName>
    <definedName name="MM_IncentiveDistribution" localSheetId="12">#REF!</definedName>
    <definedName name="MM_IncentiveDistribution">#REF!</definedName>
    <definedName name="MM_IncentList" localSheetId="1">#REF!</definedName>
    <definedName name="MM_IncentList" localSheetId="12">#REF!</definedName>
    <definedName name="MM_IncentList">#REF!</definedName>
    <definedName name="MM_LaudryList" localSheetId="1">#REF!</definedName>
    <definedName name="MM_LaudryList" localSheetId="12">#REF!</definedName>
    <definedName name="MM_LaudryList">#REF!</definedName>
    <definedName name="MM_LgtList" localSheetId="1">#REF!</definedName>
    <definedName name="MM_LgtList" localSheetId="12">#REF!</definedName>
    <definedName name="MM_LgtList">#REF!</definedName>
    <definedName name="MM_OtherList" localSheetId="1">#REF!</definedName>
    <definedName name="MM_OtherList" localSheetId="12">#REF!</definedName>
    <definedName name="MM_OtherList">#REF!</definedName>
    <definedName name="MM_ProcessList" localSheetId="1">#REF!</definedName>
    <definedName name="MM_ProcessList" localSheetId="12">#REF!</definedName>
    <definedName name="MM_ProcessList">#REF!</definedName>
    <definedName name="MM_ProgTypeList" localSheetId="1">#REF!</definedName>
    <definedName name="MM_ProgTypeList" localSheetId="12">#REF!</definedName>
    <definedName name="MM_ProgTypeList">#REF!</definedName>
    <definedName name="MM_RefList" localSheetId="1">#REF!</definedName>
    <definedName name="MM_RefList" localSheetId="12">#REF!</definedName>
    <definedName name="MM_RefList">#REF!</definedName>
    <definedName name="MM_ReplacementType" localSheetId="1">#REF!</definedName>
    <definedName name="MM_ReplacementType" localSheetId="12">#REF!</definedName>
    <definedName name="MM_ReplacementType">#REF!</definedName>
    <definedName name="MM_SysTypeList" localSheetId="1">#REF!</definedName>
    <definedName name="MM_SysTypeList" localSheetId="12">#REF!</definedName>
    <definedName name="MM_SysTypeList">#REF!</definedName>
    <definedName name="MM_TRMList" localSheetId="1">#REF!</definedName>
    <definedName name="MM_TRMList" localSheetId="12">#REF!</definedName>
    <definedName name="MM_TRMList">#REF!</definedName>
    <definedName name="MM_WHList" localSheetId="1">#REF!</definedName>
    <definedName name="MM_WHList" localSheetId="12">#REF!</definedName>
    <definedName name="MM_WHList">#REF!</definedName>
    <definedName name="MM_YesNoList" localSheetId="1">#REF!</definedName>
    <definedName name="MM_YesNoList" localSheetId="12">#REF!</definedName>
    <definedName name="MM_YesNoList">#REF!</definedName>
    <definedName name="Month" localSheetId="1">#REF!</definedName>
    <definedName name="Month" localSheetId="12">#REF!</definedName>
    <definedName name="Month">#REF!</definedName>
    <definedName name="name">'[7]Whole House'!$E$5:$E$398</definedName>
    <definedName name="net_ues_nres">'[3]Data Summary'!#REF!</definedName>
    <definedName name="net_ues_res">'[3]Data Summary'!#REF!</definedName>
    <definedName name="New_LED">'[5]Raw Cadmus Survey Data'!$DJ:$DJ</definedName>
    <definedName name="NoFauc" localSheetId="1">#REF!</definedName>
    <definedName name="NoFauc" localSheetId="12">#REF!</definedName>
    <definedName name="NoFauc">#REF!</definedName>
    <definedName name="NonIncent_Elec" localSheetId="1">#REF!</definedName>
    <definedName name="NonIncent_Elec" localSheetId="12">#REF!</definedName>
    <definedName name="NonIncent_Elec">#REF!</definedName>
    <definedName name="NonIncent_Gas" localSheetId="1">#REF!</definedName>
    <definedName name="NonIncent_Gas" localSheetId="12">#REF!</definedName>
    <definedName name="NonIncent_Gas">#REF!</definedName>
    <definedName name="NoPpl">#REF!</definedName>
    <definedName name="P" localSheetId="1">#REF!</definedName>
    <definedName name="P" localSheetId="12">#REF!</definedName>
    <definedName name="P">#REF!</definedName>
    <definedName name="PctRes">'[6]Input Values'!$C$35</definedName>
    <definedName name="PerDays" localSheetId="1">#REF!</definedName>
    <definedName name="PerDays" localSheetId="12">#REF!</definedName>
    <definedName name="PerDays">#REF!</definedName>
    <definedName name="Persist_LED">'[5]Raw Cadmus Survey Data'!$CJ:$CJ</definedName>
    <definedName name="PMELIGHTBASE1">[8]!PMELIGHTTYPE[Base Desc 1]</definedName>
    <definedName name="PMELIGHTBASEW1">[8]!PMELIGHTTYPE[Base Watt]</definedName>
    <definedName name="PMELIGHTBASEW2">[8]!PMELIGHTTYPE[Base W 2]</definedName>
    <definedName name="PMELIGHTEFF1">INDEX([8]!PMELIGHT[Eff Desc 1],MATCH('[8]M03-S01'!XEW1,[8]!PMELIGHT[Base Desc 1],0),1):INDEX([8]!PMELIGHT[Eff Desc 1],MATCH('[8]M03-S01'!XEW1,[8]!PMELIGHT[Base Desc 1],1),1)</definedName>
    <definedName name="PMELIGHTEFFLIST">[8]!PMELIGHT[Eff Desc 1]</definedName>
    <definedName name="PMELIGHTEFFW1">[8]!PMELIGHT[Eff Watt]</definedName>
    <definedName name="PMELIGHTEFFW2">[8]!PMELIGHT[Eff Watt 2]</definedName>
    <definedName name="PMELIGHTOPHR1">[8]!PMELIGHT[Op Hr 1]</definedName>
    <definedName name="PMELIGHTOPHR2">[8]!PMELIGHT[Op Hr 2]</definedName>
    <definedName name="PonBase" localSheetId="1">#REF!</definedName>
    <definedName name="PonBase" localSheetId="12">#REF!</definedName>
    <definedName name="PonBase">#REF!</definedName>
    <definedName name="_xlnm.Print_Area" localSheetId="11">'Appliance Recycle Deemed Table'!$A$1:$AI$81</definedName>
    <definedName name="_xlnm.Print_Area" localSheetId="3">'BUS Deemed Savings Table '!$A$1:$DG$758</definedName>
    <definedName name="_xlnm.Print_Area" localSheetId="1">'Deemed Savings Tbl Revision Log'!$A$1:$G$39</definedName>
    <definedName name="_xlnm.Print_Area" localSheetId="12">'Demand Response Deemed Table'!$A$1:$R$9</definedName>
    <definedName name="_xlnm.Print_Area" localSheetId="5">'Efficient Products Deemed Table'!$A$1:$AU$309</definedName>
    <definedName name="_xlnm.Print_Area" localSheetId="6">'Energy Effic. Kits Deemed Table'!$A$1:$BR$235</definedName>
    <definedName name="_xlnm.Print_Area" localSheetId="9">'Home Energy Report Deemed Table'!$A$1:$BE$20</definedName>
    <definedName name="_xlnm.Print_Area" localSheetId="7">'HVAC Deemed Table'!$A$1:$AK$3157</definedName>
    <definedName name="_xlnm.Print_Area" localSheetId="8">'Income Eligble Deemed Table'!$A$1:$BQ$1204</definedName>
    <definedName name="_xlnm.Print_Area" localSheetId="4">'Lighting Deemed Table'!$A$1:$BH$94</definedName>
    <definedName name="_xlnm.Print_Area" localSheetId="10">'MFMR Deemed Table '!$A$1:$BF$527</definedName>
    <definedName name="_xlnm.Print_Titles" localSheetId="11">'Appliance Recycle Deemed Table'!$1:$1</definedName>
    <definedName name="_xlnm.Print_Titles" localSheetId="3">'BUS Deemed Savings Table '!$3:$5</definedName>
    <definedName name="_xlnm.Print_Titles" localSheetId="12">'Demand Response Deemed Table'!$1:$1</definedName>
    <definedName name="_xlnm.Print_Titles" localSheetId="5">'Efficient Products Deemed Table'!$1:$1</definedName>
    <definedName name="_xlnm.Print_Titles" localSheetId="6">'Energy Effic. Kits Deemed Table'!$1:$1</definedName>
    <definedName name="_xlnm.Print_Titles" localSheetId="9">'Home Energy Report Deemed Table'!$1:$1</definedName>
    <definedName name="_xlnm.Print_Titles" localSheetId="7">'HVAC Deemed Table'!$1:$1</definedName>
    <definedName name="_xlnm.Print_Titles" localSheetId="8">'Income Eligble Deemed Table'!$1:$1</definedName>
    <definedName name="_xlnm.Print_Titles" localSheetId="4">'Lighting Deemed Table'!$1:$1</definedName>
    <definedName name="_xlnm.Print_Titles" localSheetId="10">'MFMR Deemed Table '!$1:$1</definedName>
    <definedName name="PusePer" localSheetId="1">#REF!</definedName>
    <definedName name="PusePer" localSheetId="12">#REF!</definedName>
    <definedName name="PusePer">#REF!</definedName>
    <definedName name="qout" localSheetId="1">#REF!</definedName>
    <definedName name="qout" localSheetId="12">#REF!</definedName>
    <definedName name="qout">#REF!</definedName>
    <definedName name="Rair" localSheetId="1">#REF!</definedName>
    <definedName name="Rair" localSheetId="12">#REF!</definedName>
    <definedName name="Rair">#REF!</definedName>
    <definedName name="Ratio">[9]Inputs!$C$28</definedName>
    <definedName name="Rduct" localSheetId="1">#REF!</definedName>
    <definedName name="Rduct" localSheetId="12">#REF!</definedName>
    <definedName name="Rduct">#REF!</definedName>
    <definedName name="rduct_rr">'[10]Bob Results'!$AT$68</definedName>
    <definedName name="RE" localSheetId="1">#REF!</definedName>
    <definedName name="RE" localSheetId="12">#REF!</definedName>
    <definedName name="RE">#REF!</definedName>
    <definedName name="REbase" localSheetId="1">#REF!</definedName>
    <definedName name="REbase" localSheetId="12">#REF!</definedName>
    <definedName name="REbase">#REF!</definedName>
    <definedName name="RESPCT" localSheetId="1">#REF!</definedName>
    <definedName name="RESPCT" localSheetId="12">#REF!</definedName>
    <definedName name="RESPCT">#REF!</definedName>
    <definedName name="Rexist" localSheetId="1">#REF!</definedName>
    <definedName name="Rexist" localSheetId="12">#REF!</definedName>
    <definedName name="Rexist">#REF!</definedName>
    <definedName name="Rnew" localSheetId="1">#REF!</definedName>
    <definedName name="Rnew" localSheetId="12">#REF!</definedName>
    <definedName name="Rnew">#REF!</definedName>
    <definedName name="Rwrap" localSheetId="1">#REF!</definedName>
    <definedName name="Rwrap" localSheetId="12">#REF!</definedName>
    <definedName name="Rwrap">#REF!</definedName>
    <definedName name="SEER" localSheetId="1">#REF!</definedName>
    <definedName name="SEER" localSheetId="12">#REF!</definedName>
    <definedName name="SEER">#REF!</definedName>
    <definedName name="Set_Cell" localSheetId="1">#REF!</definedName>
    <definedName name="Set_Cell" localSheetId="12">#REF!</definedName>
    <definedName name="Set_Cell">#REF!</definedName>
    <definedName name="SHCp" localSheetId="1">#REF!</definedName>
    <definedName name="SHCp" localSheetId="12">#REF!</definedName>
    <definedName name="SHCp">#REF!</definedName>
    <definedName name="SHdays" localSheetId="1">#REF!</definedName>
    <definedName name="SHdays" localSheetId="12">#REF!</definedName>
    <definedName name="SHdays">#REF!</definedName>
    <definedName name="SHDen" localSheetId="1">#REF!</definedName>
    <definedName name="SHDen" localSheetId="12">#REF!</definedName>
    <definedName name="SHDen">#REF!</definedName>
    <definedName name="Showerheads" localSheetId="1">#REF!</definedName>
    <definedName name="Showerheads" localSheetId="12">#REF!</definedName>
    <definedName name="Showerheads">#REF!</definedName>
    <definedName name="SHRE" localSheetId="1">#REF!</definedName>
    <definedName name="SHRE" localSheetId="12">#REF!</definedName>
    <definedName name="SHRE">#REF!</definedName>
    <definedName name="SHtime" localSheetId="1">#REF!</definedName>
    <definedName name="SHtime" localSheetId="12">#REF!</definedName>
    <definedName name="SHtime">#REF!</definedName>
    <definedName name="SHTin" localSheetId="1">#REF!</definedName>
    <definedName name="SHTin" localSheetId="12">#REF!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3" hidden="1">1</definedName>
    <definedName name="solver_neg" localSheetId="3" hidden="1">1</definedName>
    <definedName name="solver_num" localSheetId="3" hidden="1">0</definedName>
    <definedName name="solver_opt" localSheetId="3" hidden="1">'BUS Deemed Savings Table '!$F$379</definedName>
    <definedName name="solver_typ" localSheetId="3" hidden="1">3</definedName>
    <definedName name="solver_val" localSheetId="3" hidden="1">411</definedName>
    <definedName name="solver_ver" localSheetId="3" hidden="1">3</definedName>
    <definedName name="Tamb" localSheetId="1">#REF!</definedName>
    <definedName name="Tamb" localSheetId="12">#REF!</definedName>
    <definedName name="Tamb">#REF!</definedName>
    <definedName name="TFauc" localSheetId="1">#REF!</definedName>
    <definedName name="TFauc" localSheetId="12">#REF!</definedName>
    <definedName name="TFauc">#REF!</definedName>
    <definedName name="Tin" localSheetId="1">#REF!</definedName>
    <definedName name="Tin" localSheetId="12">#REF!</definedName>
    <definedName name="Tin">#REF!</definedName>
    <definedName name="Tm">[9]Inputs!$C$23</definedName>
    <definedName name="Ts">[9]Inputs!$C$24</definedName>
    <definedName name="Tshower" localSheetId="1">#REF!</definedName>
    <definedName name="Tshower" localSheetId="12">#REF!</definedName>
    <definedName name="Tshower">#REF!</definedName>
    <definedName name="TTank" localSheetId="1">#REF!</definedName>
    <definedName name="TTank" localSheetId="12">#REF!</definedName>
    <definedName name="TTank">#REF!</definedName>
    <definedName name="TuneEFLHcool" localSheetId="1">#REF!</definedName>
    <definedName name="TuneEFLHcool" localSheetId="12">#REF!</definedName>
    <definedName name="TuneEFLHcool">#REF!</definedName>
    <definedName name="UABase" localSheetId="1">#REF!</definedName>
    <definedName name="UABase" localSheetId="12">#REF!</definedName>
    <definedName name="UABase">#REF!</definedName>
    <definedName name="ubase" localSheetId="1">#REF!</definedName>
    <definedName name="ubase" localSheetId="12">#REF!</definedName>
    <definedName name="ubase">#REF!</definedName>
    <definedName name="ues_nres">'[3]Data Summary'!#REF!</definedName>
    <definedName name="ues_res">'[3]Data Summary'!#REF!</definedName>
    <definedName name="UnitTons" localSheetId="1">#REF!</definedName>
    <definedName name="UnitTons" localSheetId="12">#REF!</definedName>
    <definedName name="UnitTons">#REF!</definedName>
    <definedName name="usage" localSheetId="1">#REF!</definedName>
    <definedName name="usage" localSheetId="12">#REF!</definedName>
    <definedName name="usage">#REF!</definedName>
    <definedName name="Va" localSheetId="1">#REF!</definedName>
    <definedName name="Va" localSheetId="12">#REF!</definedName>
    <definedName name="Va">#REF!</definedName>
    <definedName name="Vs" localSheetId="1">#REF!</definedName>
    <definedName name="Vs" localSheetId="12">#REF!</definedName>
    <definedName name="Vs">#REF!</definedName>
    <definedName name="WB_10.5W" localSheetId="1">#REF!</definedName>
    <definedName name="WB_10.5W" localSheetId="12">#REF!</definedName>
    <definedName name="WB_10.5W">#REF!</definedName>
    <definedName name="WB_10W" localSheetId="1">#REF!</definedName>
    <definedName name="WB_10W" localSheetId="12">#REF!</definedName>
    <definedName name="WB_10W">#REF!</definedName>
    <definedName name="WB_12W" localSheetId="1">#REF!</definedName>
    <definedName name="WB_12W" localSheetId="12">#REF!</definedName>
    <definedName name="WB_12W">#REF!</definedName>
    <definedName name="WB_15W" localSheetId="1">#REF!</definedName>
    <definedName name="WB_15W" localSheetId="12">#REF!</definedName>
    <definedName name="WB_15W">#REF!</definedName>
    <definedName name="WB_15WFlood" localSheetId="1">#REF!</definedName>
    <definedName name="WB_15WFlood" localSheetId="12">#REF!</definedName>
    <definedName name="WB_15WFlood">#REF!</definedName>
    <definedName name="WB_18WFlood" localSheetId="1">#REF!</definedName>
    <definedName name="WB_18WFlood" localSheetId="12">#REF!</definedName>
    <definedName name="WB_18WFlood">#REF!</definedName>
    <definedName name="WB_20W" localSheetId="1">#REF!</definedName>
    <definedName name="WB_20W" localSheetId="12">#REF!</definedName>
    <definedName name="WB_20W">#REF!</definedName>
    <definedName name="WB_4W" localSheetId="1">#REF!</definedName>
    <definedName name="WB_4W" localSheetId="12">#REF!</definedName>
    <definedName name="WB_4W">#REF!</definedName>
    <definedName name="WB_8W" localSheetId="1">#REF!</definedName>
    <definedName name="WB_8W" localSheetId="12">#REF!</definedName>
    <definedName name="WB_8W">#REF!</definedName>
    <definedName name="Wcfl13" localSheetId="1">#REF!</definedName>
    <definedName name="Wcfl13" localSheetId="12">#REF!</definedName>
    <definedName name="Wcfl13">#REF!</definedName>
    <definedName name="Wcfl18" localSheetId="1">#REF!</definedName>
    <definedName name="Wcfl18" localSheetId="12">#REF!</definedName>
    <definedName name="Wcfl18">#REF!</definedName>
    <definedName name="Wcfl23" localSheetId="1">#REF!</definedName>
    <definedName name="Wcfl23" localSheetId="12">#REF!</definedName>
    <definedName name="Wcfl23">#REF!</definedName>
    <definedName name="WE_10.5W" localSheetId="1">#REF!</definedName>
    <definedName name="WE_10.5W" localSheetId="12">#REF!</definedName>
    <definedName name="WE_10.5W">#REF!</definedName>
    <definedName name="WE_10W" localSheetId="1">#REF!</definedName>
    <definedName name="WE_10W" localSheetId="12">#REF!</definedName>
    <definedName name="WE_10W">#REF!</definedName>
    <definedName name="WE_12W" localSheetId="1">#REF!</definedName>
    <definedName name="WE_12W" localSheetId="12">#REF!</definedName>
    <definedName name="WE_12W">#REF!</definedName>
    <definedName name="WE_15W" localSheetId="1">#REF!</definedName>
    <definedName name="WE_15W" localSheetId="12">#REF!</definedName>
    <definedName name="WE_15W">#REF!</definedName>
    <definedName name="WE_15WFlood" localSheetId="1">#REF!</definedName>
    <definedName name="WE_15WFlood" localSheetId="12">#REF!</definedName>
    <definedName name="WE_15WFlood">#REF!</definedName>
    <definedName name="WE_18WFlood" localSheetId="1">#REF!</definedName>
    <definedName name="WE_18WFlood" localSheetId="12">#REF!</definedName>
    <definedName name="WE_18WFlood">#REF!</definedName>
    <definedName name="WE_20W" localSheetId="1">#REF!</definedName>
    <definedName name="WE_20W" localSheetId="12">#REF!</definedName>
    <definedName name="WE_20W">#REF!</definedName>
    <definedName name="WE_4W" localSheetId="1">#REF!</definedName>
    <definedName name="WE_4W" localSheetId="12">#REF!</definedName>
    <definedName name="WE_4W">#REF!</definedName>
    <definedName name="WE_8W" localSheetId="1">#REF!</definedName>
    <definedName name="WE_8W" localSheetId="12">#REF!</definedName>
    <definedName name="WE_8W">#REF!</definedName>
    <definedName name="WHC" localSheetId="1">#REF!</definedName>
    <definedName name="WHC" localSheetId="12">#REF!</definedName>
    <definedName name="WHC">#REF!</definedName>
    <definedName name="WHF_Nres">'[6]Input Values'!$C$34</definedName>
    <definedName name="WHF_Res">'[6]Input Values'!$C$33</definedName>
    <definedName name="WHFNRES" localSheetId="1">#REF!</definedName>
    <definedName name="WHFNRES" localSheetId="12">#REF!</definedName>
    <definedName name="WHFNRES">#REF!</definedName>
    <definedName name="WHFRES" localSheetId="1">#REF!</definedName>
    <definedName name="WHFRES" localSheetId="12">#REF!</definedName>
    <definedName name="WHFRES">#REF!</definedName>
    <definedName name="WHFRES_Coupon">#REF!</definedName>
    <definedName name="WHFRES_Markdown">#REF!</definedName>
    <definedName name="WHFRES_SMD">#REF!</definedName>
    <definedName name="Winc100" localSheetId="1">#REF!</definedName>
    <definedName name="Winc100" localSheetId="12">#REF!</definedName>
    <definedName name="Winc100">#REF!</definedName>
    <definedName name="Winc60" localSheetId="1">#REF!</definedName>
    <definedName name="Winc60" localSheetId="12">#REF!</definedName>
    <definedName name="Winc60">#REF!</definedName>
    <definedName name="Winc75" localSheetId="1">#REF!</definedName>
    <definedName name="Winc75" localSheetId="12">#REF!</definedName>
    <definedName name="Winc75">#REF!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452" i="7" l="1"/>
  <c r="X723" i="6"/>
  <c r="X583" i="6"/>
  <c r="X582" i="6"/>
  <c r="X581" i="6"/>
  <c r="X574" i="6"/>
  <c r="X718" i="6" s="1"/>
  <c r="X573" i="6"/>
  <c r="X572" i="6"/>
  <c r="X565" i="6"/>
  <c r="X709" i="6" s="1"/>
  <c r="X564" i="6"/>
  <c r="X563" i="6"/>
  <c r="X556" i="6"/>
  <c r="X555" i="6"/>
  <c r="X554" i="6"/>
  <c r="V554" i="6"/>
  <c r="V482" i="6"/>
  <c r="X444" i="6"/>
  <c r="X441" i="6"/>
  <c r="X440" i="6"/>
  <c r="X439" i="6"/>
  <c r="X438" i="6"/>
  <c r="X437" i="6"/>
  <c r="X412" i="6"/>
  <c r="V410" i="6"/>
  <c r="V338" i="6"/>
  <c r="X300" i="6"/>
  <c r="X732" i="6" s="1"/>
  <c r="X297" i="6"/>
  <c r="X296" i="6"/>
  <c r="X295" i="6"/>
  <c r="X294" i="6"/>
  <c r="X293" i="6"/>
  <c r="X286" i="6"/>
  <c r="X285" i="6"/>
  <c r="X284" i="6"/>
  <c r="X282" i="6"/>
  <c r="X714" i="6" s="1"/>
  <c r="X279" i="6"/>
  <c r="X278" i="6"/>
  <c r="X277" i="6"/>
  <c r="X276" i="6"/>
  <c r="X275" i="6"/>
  <c r="X268" i="6"/>
  <c r="X267" i="6"/>
  <c r="X266" i="6"/>
  <c r="V266" i="6"/>
  <c r="X228" i="6"/>
  <c r="X225" i="6"/>
  <c r="X224" i="6"/>
  <c r="X223" i="6"/>
  <c r="X222" i="6"/>
  <c r="X221" i="6"/>
  <c r="X214" i="6"/>
  <c r="X213" i="6"/>
  <c r="X212" i="6"/>
  <c r="X205" i="6"/>
  <c r="X204" i="6"/>
  <c r="X203" i="6"/>
  <c r="X196" i="6"/>
  <c r="X195" i="6"/>
  <c r="X194" i="6"/>
  <c r="V194" i="6"/>
  <c r="X727" i="6" l="1"/>
  <c r="F452" i="7"/>
  <c r="AC308" i="15"/>
  <c r="AC309" i="15"/>
  <c r="AC310" i="15"/>
  <c r="I308" i="15"/>
  <c r="I309" i="15"/>
  <c r="I310" i="15"/>
  <c r="G308" i="15"/>
  <c r="G309" i="15"/>
  <c r="G310" i="15"/>
  <c r="A308" i="15"/>
  <c r="B308" i="15"/>
  <c r="A309" i="15"/>
  <c r="B309" i="15"/>
  <c r="A310" i="15"/>
  <c r="B310" i="15"/>
  <c r="F308" i="15"/>
  <c r="F309" i="15"/>
  <c r="F310" i="15"/>
  <c r="AC115" i="15"/>
  <c r="AC118" i="15"/>
  <c r="AC119" i="15"/>
  <c r="AC121" i="15"/>
  <c r="AC124" i="15"/>
  <c r="AC125" i="15"/>
  <c r="AC127" i="15"/>
  <c r="AC130" i="15"/>
  <c r="AC131" i="15"/>
  <c r="AC133" i="15"/>
  <c r="AC136" i="15"/>
  <c r="AC137" i="15"/>
  <c r="W131" i="15"/>
  <c r="Y131" i="15" s="1"/>
  <c r="W125" i="15"/>
  <c r="Y125" i="15" s="1"/>
  <c r="W119" i="15"/>
  <c r="Y119" i="15" s="1"/>
  <c r="W118" i="15"/>
  <c r="Y118" i="15" s="1"/>
  <c r="G137" i="15"/>
  <c r="G136" i="15"/>
  <c r="G135" i="15"/>
  <c r="G134" i="15"/>
  <c r="G133" i="15"/>
  <c r="G132" i="15"/>
  <c r="G131" i="15"/>
  <c r="G130" i="15"/>
  <c r="G129" i="15"/>
  <c r="G128" i="15"/>
  <c r="G127" i="15"/>
  <c r="G126" i="15"/>
  <c r="G125" i="15"/>
  <c r="G124" i="15"/>
  <c r="G123" i="15"/>
  <c r="G122" i="15"/>
  <c r="G121" i="15"/>
  <c r="G120" i="15"/>
  <c r="G119" i="15"/>
  <c r="G118" i="15"/>
  <c r="G117" i="15"/>
  <c r="G116" i="15"/>
  <c r="G115" i="15"/>
  <c r="G114" i="15"/>
  <c r="O115" i="15"/>
  <c r="O118" i="15"/>
  <c r="O119" i="15"/>
  <c r="O121" i="15"/>
  <c r="O124" i="15"/>
  <c r="O125" i="15"/>
  <c r="O127" i="15"/>
  <c r="O130" i="15"/>
  <c r="O131" i="15"/>
  <c r="O133" i="15"/>
  <c r="O136" i="15"/>
  <c r="O137" i="15"/>
  <c r="I118" i="15"/>
  <c r="I115" i="15"/>
  <c r="I119" i="15"/>
  <c r="I121" i="15"/>
  <c r="I124" i="15"/>
  <c r="I125" i="15"/>
  <c r="I127" i="15"/>
  <c r="I130" i="15"/>
  <c r="I131" i="15"/>
  <c r="I133" i="15"/>
  <c r="I136" i="15"/>
  <c r="I137" i="15"/>
  <c r="F115" i="15"/>
  <c r="F116" i="15"/>
  <c r="C135" i="15"/>
  <c r="C134" i="15"/>
  <c r="C132" i="15"/>
  <c r="C129" i="15"/>
  <c r="C128" i="15"/>
  <c r="C126" i="15"/>
  <c r="C123" i="15"/>
  <c r="C122" i="15"/>
  <c r="C120" i="15"/>
  <c r="C117" i="15"/>
  <c r="C116" i="15"/>
  <c r="C114" i="15"/>
  <c r="B137" i="15"/>
  <c r="B136" i="15"/>
  <c r="B135" i="15"/>
  <c r="B134" i="15"/>
  <c r="B133" i="15"/>
  <c r="B132" i="15"/>
  <c r="B131" i="15"/>
  <c r="B130" i="15"/>
  <c r="B129" i="15"/>
  <c r="B128" i="15"/>
  <c r="B127" i="15"/>
  <c r="B126" i="15"/>
  <c r="B125" i="15"/>
  <c r="B124" i="15"/>
  <c r="B123" i="15"/>
  <c r="B122" i="15"/>
  <c r="B121" i="15"/>
  <c r="B120" i="15"/>
  <c r="B119" i="15"/>
  <c r="B118" i="15"/>
  <c r="B117" i="15"/>
  <c r="B116" i="15"/>
  <c r="B115" i="15"/>
  <c r="B114" i="15"/>
  <c r="A114" i="15"/>
  <c r="A115" i="15"/>
  <c r="A116" i="15"/>
  <c r="A117" i="15"/>
  <c r="A118" i="15"/>
  <c r="A119" i="15"/>
  <c r="A120" i="15"/>
  <c r="A121" i="15"/>
  <c r="A122" i="15"/>
  <c r="A123" i="15"/>
  <c r="A124" i="15"/>
  <c r="A125" i="15"/>
  <c r="A126" i="15"/>
  <c r="A127" i="15"/>
  <c r="A128" i="15"/>
  <c r="A129" i="15"/>
  <c r="A130" i="15"/>
  <c r="A131" i="15"/>
  <c r="A132" i="15"/>
  <c r="A133" i="15"/>
  <c r="A134" i="15"/>
  <c r="A135" i="15"/>
  <c r="A136" i="15"/>
  <c r="A137" i="15"/>
  <c r="F128" i="15"/>
  <c r="F130" i="15"/>
  <c r="F132" i="15"/>
  <c r="F133" i="15"/>
  <c r="F134" i="15"/>
  <c r="F136" i="15"/>
  <c r="F124" i="15"/>
  <c r="F126" i="15"/>
  <c r="F127" i="15"/>
  <c r="F120" i="15"/>
  <c r="F121" i="15"/>
  <c r="F122" i="15"/>
  <c r="F114" i="15"/>
  <c r="F118" i="15"/>
  <c r="I231" i="6"/>
  <c r="I232" i="6"/>
  <c r="I233" i="6"/>
  <c r="I234" i="6"/>
  <c r="I235" i="6"/>
  <c r="I236" i="6"/>
  <c r="I237" i="6"/>
  <c r="I238" i="6"/>
  <c r="I239" i="6"/>
  <c r="I240" i="6"/>
  <c r="I241" i="6"/>
  <c r="I242" i="6"/>
  <c r="I243" i="6"/>
  <c r="I244" i="6"/>
  <c r="I245" i="6"/>
  <c r="I246" i="6"/>
  <c r="I247" i="6"/>
  <c r="I248" i="6"/>
  <c r="I249" i="6"/>
  <c r="I250" i="6"/>
  <c r="I251" i="6"/>
  <c r="I252" i="6"/>
  <c r="I253" i="6"/>
  <c r="I254" i="6"/>
  <c r="I255" i="6"/>
  <c r="I256" i="6"/>
  <c r="I257" i="6"/>
  <c r="I258" i="6"/>
  <c r="I259" i="6"/>
  <c r="I260" i="6"/>
  <c r="I261" i="6"/>
  <c r="I262" i="6"/>
  <c r="I263" i="6"/>
  <c r="I264" i="6"/>
  <c r="I265" i="6"/>
  <c r="I230" i="6"/>
  <c r="K1188" i="6" l="1"/>
  <c r="K1186" i="6"/>
  <c r="K1184" i="6"/>
  <c r="K1182" i="6"/>
  <c r="K1180" i="6"/>
  <c r="K1190" i="6"/>
  <c r="F173" i="6" l="1"/>
  <c r="J132" i="15" s="1"/>
  <c r="H132" i="15" s="1"/>
  <c r="F230" i="6"/>
  <c r="F231" i="6"/>
  <c r="F303" i="6" s="1"/>
  <c r="F375" i="6" s="1"/>
  <c r="F447" i="6" s="1"/>
  <c r="F519" i="6" s="1"/>
  <c r="F591" i="6" s="1"/>
  <c r="F663" i="6" s="1"/>
  <c r="F735" i="6" s="1"/>
  <c r="F232" i="6"/>
  <c r="F233" i="6"/>
  <c r="F234" i="6"/>
  <c r="F237" i="6"/>
  <c r="F309" i="6" s="1"/>
  <c r="F381" i="6" s="1"/>
  <c r="F453" i="6" s="1"/>
  <c r="F525" i="6" s="1"/>
  <c r="F597" i="6" s="1"/>
  <c r="F669" i="6" s="1"/>
  <c r="F741" i="6" s="1"/>
  <c r="F239" i="6"/>
  <c r="F311" i="6" s="1"/>
  <c r="F383" i="6" s="1"/>
  <c r="F455" i="6" s="1"/>
  <c r="F527" i="6" s="1"/>
  <c r="F599" i="6" s="1"/>
  <c r="F671" i="6" s="1"/>
  <c r="F743" i="6" s="1"/>
  <c r="F240" i="6"/>
  <c r="F241" i="6"/>
  <c r="F313" i="6" s="1"/>
  <c r="F385" i="6" s="1"/>
  <c r="F457" i="6" s="1"/>
  <c r="F529" i="6" s="1"/>
  <c r="F601" i="6" s="1"/>
  <c r="F673" i="6" s="1"/>
  <c r="F745" i="6" s="1"/>
  <c r="F242" i="6"/>
  <c r="F314" i="6" s="1"/>
  <c r="F386" i="6" s="1"/>
  <c r="F458" i="6" s="1"/>
  <c r="F530" i="6" s="1"/>
  <c r="F602" i="6" s="1"/>
  <c r="F674" i="6" s="1"/>
  <c r="F746" i="6" s="1"/>
  <c r="F243" i="6"/>
  <c r="F315" i="6" s="1"/>
  <c r="F387" i="6" s="1"/>
  <c r="F459" i="6" s="1"/>
  <c r="F531" i="6" s="1"/>
  <c r="F603" i="6" s="1"/>
  <c r="F675" i="6" s="1"/>
  <c r="F747" i="6" s="1"/>
  <c r="F246" i="6"/>
  <c r="F248" i="6"/>
  <c r="F249" i="6"/>
  <c r="F321" i="6" s="1"/>
  <c r="F393" i="6" s="1"/>
  <c r="F465" i="6" s="1"/>
  <c r="F537" i="6" s="1"/>
  <c r="F609" i="6" s="1"/>
  <c r="F681" i="6" s="1"/>
  <c r="F753" i="6" s="1"/>
  <c r="F250" i="6"/>
  <c r="F322" i="6" s="1"/>
  <c r="F394" i="6" s="1"/>
  <c r="F466" i="6" s="1"/>
  <c r="F538" i="6" s="1"/>
  <c r="F610" i="6" s="1"/>
  <c r="F682" i="6" s="1"/>
  <c r="F754" i="6" s="1"/>
  <c r="F251" i="6"/>
  <c r="F252" i="6"/>
  <c r="F255" i="6"/>
  <c r="F327" i="6" s="1"/>
  <c r="F399" i="6" s="1"/>
  <c r="F471" i="6" s="1"/>
  <c r="F543" i="6" s="1"/>
  <c r="F615" i="6" s="1"/>
  <c r="F687" i="6" s="1"/>
  <c r="F759" i="6" s="1"/>
  <c r="F257" i="6"/>
  <c r="F329" i="6" s="1"/>
  <c r="F401" i="6" s="1"/>
  <c r="F473" i="6" s="1"/>
  <c r="F545" i="6" s="1"/>
  <c r="F617" i="6" s="1"/>
  <c r="F689" i="6" s="1"/>
  <c r="F761" i="6" s="1"/>
  <c r="F258" i="6"/>
  <c r="F259" i="6"/>
  <c r="F260" i="6"/>
  <c r="F332" i="6" s="1"/>
  <c r="F404" i="6" s="1"/>
  <c r="F476" i="6" s="1"/>
  <c r="F548" i="6" s="1"/>
  <c r="F620" i="6" s="1"/>
  <c r="F692" i="6" s="1"/>
  <c r="F764" i="6" s="1"/>
  <c r="F261" i="6"/>
  <c r="F333" i="6" s="1"/>
  <c r="F405" i="6" s="1"/>
  <c r="F477" i="6" s="1"/>
  <c r="F549" i="6" s="1"/>
  <c r="F621" i="6" s="1"/>
  <c r="F693" i="6" s="1"/>
  <c r="F765" i="6" s="1"/>
  <c r="F264" i="6"/>
  <c r="F147" i="6"/>
  <c r="L114" i="15" s="1"/>
  <c r="I114" i="15" s="1"/>
  <c r="E179" i="6"/>
  <c r="F263" i="6" s="1"/>
  <c r="F335" i="6" s="1"/>
  <c r="F407" i="6" s="1"/>
  <c r="F479" i="6" s="1"/>
  <c r="F551" i="6" s="1"/>
  <c r="F623" i="6" s="1"/>
  <c r="F695" i="6" s="1"/>
  <c r="F767" i="6" s="1"/>
  <c r="E178" i="6"/>
  <c r="E170" i="6"/>
  <c r="F254" i="6" s="1"/>
  <c r="F326" i="6" s="1"/>
  <c r="F398" i="6" s="1"/>
  <c r="F470" i="6" s="1"/>
  <c r="F542" i="6" s="1"/>
  <c r="F614" i="6" s="1"/>
  <c r="F686" i="6" s="1"/>
  <c r="F758" i="6" s="1"/>
  <c r="E169" i="6"/>
  <c r="E161" i="6"/>
  <c r="F245" i="6" s="1"/>
  <c r="F317" i="6" s="1"/>
  <c r="F389" i="6" s="1"/>
  <c r="F461" i="6" s="1"/>
  <c r="F533" i="6" s="1"/>
  <c r="F605" i="6" s="1"/>
  <c r="F677" i="6" s="1"/>
  <c r="F749" i="6" s="1"/>
  <c r="E160" i="6"/>
  <c r="E152" i="6"/>
  <c r="F236" i="6" s="1"/>
  <c r="F308" i="6" s="1"/>
  <c r="F380" i="6" s="1"/>
  <c r="F452" i="6" s="1"/>
  <c r="F524" i="6" s="1"/>
  <c r="F596" i="6" s="1"/>
  <c r="F668" i="6" s="1"/>
  <c r="F740" i="6" s="1"/>
  <c r="E151" i="6"/>
  <c r="J181" i="6"/>
  <c r="H181" i="6"/>
  <c r="E181" i="6"/>
  <c r="J180" i="6"/>
  <c r="H180" i="6"/>
  <c r="F180" i="6"/>
  <c r="J136" i="15" s="1"/>
  <c r="H136" i="15" s="1"/>
  <c r="K179" i="6"/>
  <c r="BE179" i="6" s="1"/>
  <c r="J179" i="6"/>
  <c r="H179" i="6"/>
  <c r="J178" i="6"/>
  <c r="H178" i="6"/>
  <c r="K177" i="6"/>
  <c r="BE177" i="6" s="1"/>
  <c r="J177" i="6"/>
  <c r="H177" i="6"/>
  <c r="F177" i="6"/>
  <c r="L134" i="15" s="1"/>
  <c r="I134" i="15" s="1"/>
  <c r="J176" i="6"/>
  <c r="H176" i="6"/>
  <c r="F176" i="6"/>
  <c r="J134" i="15" s="1"/>
  <c r="H134" i="15" s="1"/>
  <c r="J175" i="6"/>
  <c r="H175" i="6"/>
  <c r="F175" i="6"/>
  <c r="J133" i="15" s="1"/>
  <c r="H133" i="15" s="1"/>
  <c r="K174" i="6"/>
  <c r="BE174" i="6" s="1"/>
  <c r="J174" i="6"/>
  <c r="H174" i="6"/>
  <c r="F174" i="6"/>
  <c r="L132" i="15" s="1"/>
  <c r="I132" i="15" s="1"/>
  <c r="J173" i="6"/>
  <c r="H173" i="6"/>
  <c r="I173" i="6" s="1"/>
  <c r="P132" i="15" s="1"/>
  <c r="N132" i="15" s="1"/>
  <c r="BC172" i="6"/>
  <c r="H172" i="6"/>
  <c r="E172" i="6"/>
  <c r="J171" i="6"/>
  <c r="H171" i="6"/>
  <c r="F171" i="6"/>
  <c r="J130" i="15" s="1"/>
  <c r="H130" i="15" s="1"/>
  <c r="K170" i="6"/>
  <c r="BE170" i="6" s="1"/>
  <c r="J170" i="6"/>
  <c r="H170" i="6"/>
  <c r="J169" i="6"/>
  <c r="H169" i="6"/>
  <c r="K168" i="6"/>
  <c r="BE168" i="6" s="1"/>
  <c r="J168" i="6"/>
  <c r="H168" i="6"/>
  <c r="F168" i="6"/>
  <c r="L128" i="15" s="1"/>
  <c r="I128" i="15" s="1"/>
  <c r="J167" i="6"/>
  <c r="H167" i="6"/>
  <c r="F167" i="6"/>
  <c r="J128" i="15" s="1"/>
  <c r="H128" i="15" s="1"/>
  <c r="J166" i="6"/>
  <c r="H166" i="6"/>
  <c r="F166" i="6"/>
  <c r="J127" i="15" s="1"/>
  <c r="H127" i="15" s="1"/>
  <c r="K165" i="6"/>
  <c r="BE165" i="6" s="1"/>
  <c r="J165" i="6"/>
  <c r="H165" i="6"/>
  <c r="F165" i="6"/>
  <c r="L126" i="15" s="1"/>
  <c r="I126" i="15" s="1"/>
  <c r="J164" i="6"/>
  <c r="H164" i="6"/>
  <c r="F164" i="6"/>
  <c r="J126" i="15" s="1"/>
  <c r="H126" i="15" s="1"/>
  <c r="BC163" i="6"/>
  <c r="H163" i="6"/>
  <c r="E163" i="6"/>
  <c r="J162" i="6"/>
  <c r="H162" i="6"/>
  <c r="F162" i="6"/>
  <c r="J124" i="15" s="1"/>
  <c r="H124" i="15" s="1"/>
  <c r="K161" i="6"/>
  <c r="BE161" i="6" s="1"/>
  <c r="J161" i="6"/>
  <c r="H161" i="6"/>
  <c r="J160" i="6"/>
  <c r="H160" i="6"/>
  <c r="K159" i="6"/>
  <c r="BE159" i="6" s="1"/>
  <c r="J159" i="6"/>
  <c r="H159" i="6"/>
  <c r="F159" i="6"/>
  <c r="L122" i="15" s="1"/>
  <c r="I122" i="15" s="1"/>
  <c r="J158" i="6"/>
  <c r="H158" i="6"/>
  <c r="F158" i="6"/>
  <c r="J122" i="15" s="1"/>
  <c r="H122" i="15" s="1"/>
  <c r="J157" i="6"/>
  <c r="H157" i="6"/>
  <c r="F157" i="6"/>
  <c r="J121" i="15" s="1"/>
  <c r="H121" i="15" s="1"/>
  <c r="K156" i="6"/>
  <c r="BE156" i="6" s="1"/>
  <c r="J156" i="6"/>
  <c r="H156" i="6"/>
  <c r="F156" i="6"/>
  <c r="L120" i="15" s="1"/>
  <c r="I120" i="15" s="1"/>
  <c r="J155" i="6"/>
  <c r="H155" i="6"/>
  <c r="F155" i="6"/>
  <c r="J120" i="15" s="1"/>
  <c r="H120" i="15" s="1"/>
  <c r="BC154" i="6"/>
  <c r="H154" i="6"/>
  <c r="E154" i="6"/>
  <c r="BC153" i="6"/>
  <c r="H153" i="6"/>
  <c r="F153" i="6"/>
  <c r="J118" i="15" s="1"/>
  <c r="H118" i="15" s="1"/>
  <c r="K152" i="6"/>
  <c r="BE152" i="6" s="1"/>
  <c r="J152" i="6"/>
  <c r="H152" i="6"/>
  <c r="J151" i="6"/>
  <c r="H151" i="6"/>
  <c r="F151" i="6"/>
  <c r="J117" i="15" s="1"/>
  <c r="H117" i="15" s="1"/>
  <c r="K150" i="6"/>
  <c r="BE150" i="6" s="1"/>
  <c r="J150" i="6"/>
  <c r="H150" i="6"/>
  <c r="F150" i="6"/>
  <c r="L116" i="15" s="1"/>
  <c r="I116" i="15" s="1"/>
  <c r="J149" i="6"/>
  <c r="H149" i="6"/>
  <c r="F149" i="6"/>
  <c r="J116" i="15" s="1"/>
  <c r="H116" i="15" s="1"/>
  <c r="J148" i="6"/>
  <c r="H148" i="6"/>
  <c r="F148" i="6"/>
  <c r="J115" i="15" s="1"/>
  <c r="H115" i="15" s="1"/>
  <c r="K147" i="6"/>
  <c r="BE147" i="6" s="1"/>
  <c r="J147" i="6"/>
  <c r="H147" i="6"/>
  <c r="J146" i="6"/>
  <c r="H146" i="6"/>
  <c r="F146" i="6"/>
  <c r="J114" i="15" s="1"/>
  <c r="H114" i="15" s="1"/>
  <c r="E698" i="6"/>
  <c r="L375" i="6"/>
  <c r="L376" i="6" s="1"/>
  <c r="L377" i="6" s="1"/>
  <c r="L378" i="6" s="1"/>
  <c r="L381" i="6" s="1"/>
  <c r="L383" i="6" s="1"/>
  <c r="L384" i="6" s="1"/>
  <c r="L385" i="6" s="1"/>
  <c r="L386" i="6" s="1"/>
  <c r="L387" i="6" s="1"/>
  <c r="L390" i="6" s="1"/>
  <c r="L392" i="6" s="1"/>
  <c r="L393" i="6" s="1"/>
  <c r="L394" i="6" s="1"/>
  <c r="L395" i="6" s="1"/>
  <c r="L396" i="6" s="1"/>
  <c r="L399" i="6" s="1"/>
  <c r="L401" i="6" s="1"/>
  <c r="L402" i="6" s="1"/>
  <c r="L403" i="6" s="1"/>
  <c r="L404" i="6" s="1"/>
  <c r="L405" i="6" s="1"/>
  <c r="L408" i="6" s="1"/>
  <c r="K337" i="6"/>
  <c r="K769" i="6" s="1"/>
  <c r="K336" i="6"/>
  <c r="K768" i="6" s="1"/>
  <c r="K335" i="6"/>
  <c r="K767" i="6" s="1"/>
  <c r="K334" i="6"/>
  <c r="K766" i="6" s="1"/>
  <c r="K333" i="6"/>
  <c r="K765" i="6" s="1"/>
  <c r="K332" i="6"/>
  <c r="L176" i="6" s="1"/>
  <c r="K328" i="6"/>
  <c r="K760" i="6" s="1"/>
  <c r="K327" i="6"/>
  <c r="K759" i="6" s="1"/>
  <c r="K326" i="6"/>
  <c r="L170" i="6" s="1"/>
  <c r="K325" i="6"/>
  <c r="K757" i="6" s="1"/>
  <c r="K324" i="6"/>
  <c r="K756" i="6" s="1"/>
  <c r="K323" i="6"/>
  <c r="K755" i="6" s="1"/>
  <c r="K322" i="6"/>
  <c r="L166" i="6" s="1"/>
  <c r="K331" i="6"/>
  <c r="L175" i="6" s="1"/>
  <c r="K321" i="6"/>
  <c r="K753" i="6" s="1"/>
  <c r="K330" i="6"/>
  <c r="K762" i="6" s="1"/>
  <c r="K320" i="6"/>
  <c r="K752" i="6" s="1"/>
  <c r="K329" i="6"/>
  <c r="K761" i="6" s="1"/>
  <c r="K319" i="6"/>
  <c r="K751" i="6" s="1"/>
  <c r="K318" i="6"/>
  <c r="K750" i="6" s="1"/>
  <c r="K317" i="6"/>
  <c r="L161" i="6" s="1"/>
  <c r="K316" i="6"/>
  <c r="K748" i="6" s="1"/>
  <c r="K315" i="6"/>
  <c r="K747" i="6" s="1"/>
  <c r="K314" i="6"/>
  <c r="K746" i="6" s="1"/>
  <c r="K313" i="6"/>
  <c r="L157" i="6" s="1"/>
  <c r="K312" i="6"/>
  <c r="K744" i="6" s="1"/>
  <c r="K311" i="6"/>
  <c r="K743" i="6" s="1"/>
  <c r="K310" i="6"/>
  <c r="K742" i="6" s="1"/>
  <c r="K309" i="6"/>
  <c r="K741" i="6" s="1"/>
  <c r="K308" i="6"/>
  <c r="K740" i="6" s="1"/>
  <c r="K307" i="6"/>
  <c r="K739" i="6" s="1"/>
  <c r="K306" i="6"/>
  <c r="K738" i="6" s="1"/>
  <c r="F306" i="6"/>
  <c r="F378" i="6" s="1"/>
  <c r="F450" i="6" s="1"/>
  <c r="F522" i="6" s="1"/>
  <c r="F594" i="6" s="1"/>
  <c r="F666" i="6" s="1"/>
  <c r="F738" i="6" s="1"/>
  <c r="K305" i="6"/>
  <c r="K737" i="6" s="1"/>
  <c r="F305" i="6"/>
  <c r="F377" i="6" s="1"/>
  <c r="F449" i="6" s="1"/>
  <c r="F521" i="6" s="1"/>
  <c r="F593" i="6" s="1"/>
  <c r="F665" i="6" s="1"/>
  <c r="F737" i="6" s="1"/>
  <c r="K304" i="6"/>
  <c r="K736" i="6" s="1"/>
  <c r="F304" i="6"/>
  <c r="F376" i="6" s="1"/>
  <c r="F448" i="6" s="1"/>
  <c r="F520" i="6" s="1"/>
  <c r="F592" i="6" s="1"/>
  <c r="F664" i="6" s="1"/>
  <c r="F736" i="6" s="1"/>
  <c r="K303" i="6"/>
  <c r="L147" i="6" s="1"/>
  <c r="K302" i="6"/>
  <c r="K734" i="6" s="1"/>
  <c r="F302" i="6"/>
  <c r="F374" i="6" s="1"/>
  <c r="F446" i="6" s="1"/>
  <c r="F518" i="6" s="1"/>
  <c r="F590" i="6" s="1"/>
  <c r="F662" i="6" s="1"/>
  <c r="F734" i="6" s="1"/>
  <c r="J265" i="6"/>
  <c r="F181" i="6" s="1"/>
  <c r="F336" i="6"/>
  <c r="F408" i="6" s="1"/>
  <c r="F480" i="6" s="1"/>
  <c r="F552" i="6" s="1"/>
  <c r="F624" i="6" s="1"/>
  <c r="F696" i="6" s="1"/>
  <c r="F768" i="6" s="1"/>
  <c r="J263" i="6"/>
  <c r="F179" i="6" s="1"/>
  <c r="L135" i="15" s="1"/>
  <c r="I135" i="15" s="1"/>
  <c r="J262" i="6"/>
  <c r="F178" i="6" s="1"/>
  <c r="J135" i="15" s="1"/>
  <c r="H135" i="15" s="1"/>
  <c r="F331" i="6"/>
  <c r="F403" i="6" s="1"/>
  <c r="F475" i="6" s="1"/>
  <c r="F547" i="6" s="1"/>
  <c r="F619" i="6" s="1"/>
  <c r="F691" i="6" s="1"/>
  <c r="F763" i="6" s="1"/>
  <c r="F330" i="6"/>
  <c r="F402" i="6" s="1"/>
  <c r="F474" i="6" s="1"/>
  <c r="F546" i="6" s="1"/>
  <c r="F618" i="6" s="1"/>
  <c r="F690" i="6" s="1"/>
  <c r="F762" i="6" s="1"/>
  <c r="J256" i="6"/>
  <c r="F172" i="6" s="1"/>
  <c r="J131" i="15" s="1"/>
  <c r="H131" i="15" s="1"/>
  <c r="J254" i="6"/>
  <c r="F170" i="6" s="1"/>
  <c r="L129" i="15" s="1"/>
  <c r="I129" i="15" s="1"/>
  <c r="J253" i="6"/>
  <c r="F169" i="6" s="1"/>
  <c r="F324" i="6"/>
  <c r="F396" i="6" s="1"/>
  <c r="F468" i="6" s="1"/>
  <c r="F540" i="6" s="1"/>
  <c r="F612" i="6" s="1"/>
  <c r="F684" i="6" s="1"/>
  <c r="F756" i="6" s="1"/>
  <c r="F323" i="6"/>
  <c r="F395" i="6" s="1"/>
  <c r="F467" i="6" s="1"/>
  <c r="F539" i="6" s="1"/>
  <c r="F611" i="6" s="1"/>
  <c r="F683" i="6" s="1"/>
  <c r="F755" i="6" s="1"/>
  <c r="F320" i="6"/>
  <c r="F392" i="6" s="1"/>
  <c r="F464" i="6" s="1"/>
  <c r="F536" i="6" s="1"/>
  <c r="F608" i="6" s="1"/>
  <c r="F680" i="6" s="1"/>
  <c r="F752" i="6" s="1"/>
  <c r="J247" i="6"/>
  <c r="F163" i="6" s="1"/>
  <c r="J125" i="15" s="1"/>
  <c r="H125" i="15" s="1"/>
  <c r="F318" i="6"/>
  <c r="F390" i="6" s="1"/>
  <c r="F462" i="6" s="1"/>
  <c r="F534" i="6" s="1"/>
  <c r="F606" i="6" s="1"/>
  <c r="F678" i="6" s="1"/>
  <c r="F750" i="6" s="1"/>
  <c r="J245" i="6"/>
  <c r="F161" i="6" s="1"/>
  <c r="L123" i="15" s="1"/>
  <c r="I123" i="15" s="1"/>
  <c r="J244" i="6"/>
  <c r="F160" i="6" s="1"/>
  <c r="F312" i="6"/>
  <c r="F384" i="6" s="1"/>
  <c r="F456" i="6" s="1"/>
  <c r="F528" i="6" s="1"/>
  <c r="F600" i="6" s="1"/>
  <c r="F672" i="6" s="1"/>
  <c r="F744" i="6" s="1"/>
  <c r="J238" i="6"/>
  <c r="F154" i="6" s="1"/>
  <c r="J119" i="15" s="1"/>
  <c r="H119" i="15" s="1"/>
  <c r="J236" i="6"/>
  <c r="F152" i="6" s="1"/>
  <c r="L117" i="15" s="1"/>
  <c r="I117" i="15" s="1"/>
  <c r="W1213" i="6"/>
  <c r="BC150" i="6" l="1"/>
  <c r="X116" i="15"/>
  <c r="BC151" i="6"/>
  <c r="W117" i="15"/>
  <c r="BC155" i="6"/>
  <c r="W120" i="15"/>
  <c r="BC160" i="6"/>
  <c r="W123" i="15"/>
  <c r="BC164" i="6"/>
  <c r="W126" i="15"/>
  <c r="BC169" i="6"/>
  <c r="BD169" i="6" s="1"/>
  <c r="AD129" i="15" s="1"/>
  <c r="AB129" i="15" s="1"/>
  <c r="W129" i="15"/>
  <c r="BC177" i="6"/>
  <c r="X134" i="15"/>
  <c r="BC181" i="6"/>
  <c r="W137" i="15"/>
  <c r="Y137" i="15" s="1"/>
  <c r="I169" i="6"/>
  <c r="P129" i="15" s="1"/>
  <c r="N129" i="15" s="1"/>
  <c r="J129" i="15"/>
  <c r="H129" i="15" s="1"/>
  <c r="BC147" i="6"/>
  <c r="X114" i="15"/>
  <c r="BC148" i="6"/>
  <c r="W115" i="15"/>
  <c r="Y115" i="15" s="1"/>
  <c r="BC149" i="6"/>
  <c r="W116" i="15"/>
  <c r="BC159" i="6"/>
  <c r="X122" i="15"/>
  <c r="BC168" i="6"/>
  <c r="X128" i="15"/>
  <c r="BC176" i="6"/>
  <c r="BD176" i="6" s="1"/>
  <c r="AD134" i="15" s="1"/>
  <c r="AB134" i="15" s="1"/>
  <c r="W134" i="15"/>
  <c r="BC179" i="6"/>
  <c r="BD179" i="6" s="1"/>
  <c r="AF135" i="15" s="1"/>
  <c r="AC135" i="15" s="1"/>
  <c r="X135" i="15"/>
  <c r="BC180" i="6"/>
  <c r="W136" i="15"/>
  <c r="Y136" i="15" s="1"/>
  <c r="F235" i="6"/>
  <c r="F307" i="6" s="1"/>
  <c r="F379" i="6" s="1"/>
  <c r="F451" i="6" s="1"/>
  <c r="F523" i="6" s="1"/>
  <c r="F595" i="6" s="1"/>
  <c r="F667" i="6" s="1"/>
  <c r="F739" i="6" s="1"/>
  <c r="F117" i="15"/>
  <c r="F253" i="6"/>
  <c r="F325" i="6" s="1"/>
  <c r="F397" i="6" s="1"/>
  <c r="F469" i="6" s="1"/>
  <c r="F541" i="6" s="1"/>
  <c r="F613" i="6" s="1"/>
  <c r="F685" i="6" s="1"/>
  <c r="F757" i="6" s="1"/>
  <c r="F129" i="15"/>
  <c r="I160" i="6"/>
  <c r="P123" i="15" s="1"/>
  <c r="N123" i="15" s="1"/>
  <c r="J123" i="15"/>
  <c r="H123" i="15" s="1"/>
  <c r="BC152" i="6"/>
  <c r="X117" i="15"/>
  <c r="BC158" i="6"/>
  <c r="BD158" i="6" s="1"/>
  <c r="AD122" i="15" s="1"/>
  <c r="AB122" i="15" s="1"/>
  <c r="W122" i="15"/>
  <c r="BC161" i="6"/>
  <c r="X123" i="15"/>
  <c r="BC162" i="6"/>
  <c r="W124" i="15"/>
  <c r="Y124" i="15" s="1"/>
  <c r="BC167" i="6"/>
  <c r="BD167" i="6" s="1"/>
  <c r="AD128" i="15" s="1"/>
  <c r="AB128" i="15" s="1"/>
  <c r="W128" i="15"/>
  <c r="BC170" i="6"/>
  <c r="X129" i="15"/>
  <c r="Y129" i="15" s="1"/>
  <c r="BC171" i="6"/>
  <c r="W130" i="15"/>
  <c r="Y130" i="15" s="1"/>
  <c r="BC174" i="6"/>
  <c r="X132" i="15"/>
  <c r="BC175" i="6"/>
  <c r="W133" i="15"/>
  <c r="Y133" i="15" s="1"/>
  <c r="F265" i="6"/>
  <c r="F337" i="6" s="1"/>
  <c r="F409" i="6" s="1"/>
  <c r="F481" i="6" s="1"/>
  <c r="F553" i="6" s="1"/>
  <c r="F625" i="6" s="1"/>
  <c r="F697" i="6" s="1"/>
  <c r="F769" i="6" s="1"/>
  <c r="F137" i="15"/>
  <c r="I181" i="6"/>
  <c r="P137" i="15" s="1"/>
  <c r="J137" i="15"/>
  <c r="H137" i="15" s="1"/>
  <c r="BC146" i="6"/>
  <c r="BD146" i="6" s="1"/>
  <c r="AD114" i="15" s="1"/>
  <c r="AB114" i="15" s="1"/>
  <c r="W114" i="15"/>
  <c r="F238" i="6"/>
  <c r="F310" i="6" s="1"/>
  <c r="F382" i="6" s="1"/>
  <c r="F454" i="6" s="1"/>
  <c r="F526" i="6" s="1"/>
  <c r="F598" i="6" s="1"/>
  <c r="F670" i="6" s="1"/>
  <c r="F742" i="6" s="1"/>
  <c r="F119" i="15"/>
  <c r="BC156" i="6"/>
  <c r="BD156" i="6" s="1"/>
  <c r="AF120" i="15" s="1"/>
  <c r="AC120" i="15" s="1"/>
  <c r="X120" i="15"/>
  <c r="Y120" i="15" s="1"/>
  <c r="BC157" i="6"/>
  <c r="W121" i="15"/>
  <c r="Y121" i="15" s="1"/>
  <c r="F247" i="6"/>
  <c r="F319" i="6" s="1"/>
  <c r="F391" i="6" s="1"/>
  <c r="F463" i="6" s="1"/>
  <c r="F535" i="6" s="1"/>
  <c r="F607" i="6" s="1"/>
  <c r="F679" i="6" s="1"/>
  <c r="F751" i="6" s="1"/>
  <c r="F125" i="15"/>
  <c r="BC165" i="6"/>
  <c r="X126" i="15"/>
  <c r="Y126" i="15" s="1"/>
  <c r="BC166" i="6"/>
  <c r="BD166" i="6" s="1"/>
  <c r="AD127" i="15" s="1"/>
  <c r="AB127" i="15" s="1"/>
  <c r="W127" i="15"/>
  <c r="Y127" i="15" s="1"/>
  <c r="F256" i="6"/>
  <c r="F328" i="6" s="1"/>
  <c r="F400" i="6" s="1"/>
  <c r="F472" i="6" s="1"/>
  <c r="F544" i="6" s="1"/>
  <c r="F616" i="6" s="1"/>
  <c r="F688" i="6" s="1"/>
  <c r="F760" i="6" s="1"/>
  <c r="F131" i="15"/>
  <c r="BC173" i="6"/>
  <c r="W132" i="15"/>
  <c r="BC178" i="6"/>
  <c r="W135" i="15"/>
  <c r="F244" i="6"/>
  <c r="F316" i="6" s="1"/>
  <c r="F388" i="6" s="1"/>
  <c r="F460" i="6" s="1"/>
  <c r="F532" i="6" s="1"/>
  <c r="F604" i="6" s="1"/>
  <c r="F676" i="6" s="1"/>
  <c r="F748" i="6" s="1"/>
  <c r="F123" i="15"/>
  <c r="F262" i="6"/>
  <c r="F334" i="6" s="1"/>
  <c r="F406" i="6" s="1"/>
  <c r="F478" i="6" s="1"/>
  <c r="F550" i="6" s="1"/>
  <c r="F622" i="6" s="1"/>
  <c r="F694" i="6" s="1"/>
  <c r="F766" i="6" s="1"/>
  <c r="F135" i="15"/>
  <c r="BD171" i="6"/>
  <c r="AD130" i="15" s="1"/>
  <c r="AB130" i="15" s="1"/>
  <c r="I172" i="6"/>
  <c r="P131" i="15" s="1"/>
  <c r="I152" i="6"/>
  <c r="R117" i="15" s="1"/>
  <c r="O117" i="15" s="1"/>
  <c r="V117" i="15" s="1"/>
  <c r="BD163" i="6"/>
  <c r="AD125" i="15" s="1"/>
  <c r="AB125" i="15" s="1"/>
  <c r="I179" i="6"/>
  <c r="R135" i="15" s="1"/>
  <c r="O135" i="15" s="1"/>
  <c r="V135" i="15" s="1"/>
  <c r="I170" i="6"/>
  <c r="R129" i="15" s="1"/>
  <c r="O129" i="15" s="1"/>
  <c r="V129" i="15" s="1"/>
  <c r="I161" i="6"/>
  <c r="R123" i="15" s="1"/>
  <c r="O123" i="15" s="1"/>
  <c r="V123" i="15" s="1"/>
  <c r="I146" i="6"/>
  <c r="P114" i="15" s="1"/>
  <c r="N114" i="15" s="1"/>
  <c r="L153" i="6"/>
  <c r="I156" i="6"/>
  <c r="R120" i="15" s="1"/>
  <c r="O120" i="15" s="1"/>
  <c r="V120" i="15" s="1"/>
  <c r="BD155" i="6"/>
  <c r="AD120" i="15" s="1"/>
  <c r="AB120" i="15" s="1"/>
  <c r="I158" i="6"/>
  <c r="P122" i="15" s="1"/>
  <c r="N122" i="15" s="1"/>
  <c r="I153" i="6"/>
  <c r="P118" i="15" s="1"/>
  <c r="I155" i="6"/>
  <c r="P120" i="15" s="1"/>
  <c r="N120" i="15" s="1"/>
  <c r="I162" i="6"/>
  <c r="P124" i="15" s="1"/>
  <c r="I168" i="6"/>
  <c r="R128" i="15" s="1"/>
  <c r="O128" i="15" s="1"/>
  <c r="V128" i="15" s="1"/>
  <c r="I147" i="6"/>
  <c r="R114" i="15" s="1"/>
  <c r="O114" i="15" s="1"/>
  <c r="V114" i="15" s="1"/>
  <c r="I149" i="6"/>
  <c r="P116" i="15" s="1"/>
  <c r="N116" i="15" s="1"/>
  <c r="I151" i="6"/>
  <c r="P117" i="15" s="1"/>
  <c r="N117" i="15" s="1"/>
  <c r="I164" i="6"/>
  <c r="P126" i="15" s="1"/>
  <c r="N126" i="15" s="1"/>
  <c r="I166" i="6"/>
  <c r="P127" i="15" s="1"/>
  <c r="I167" i="6"/>
  <c r="P128" i="15" s="1"/>
  <c r="N128" i="15" s="1"/>
  <c r="I174" i="6"/>
  <c r="R132" i="15" s="1"/>
  <c r="O132" i="15" s="1"/>
  <c r="V132" i="15" s="1"/>
  <c r="I175" i="6"/>
  <c r="P133" i="15" s="1"/>
  <c r="L163" i="6"/>
  <c r="I171" i="6"/>
  <c r="P130" i="15" s="1"/>
  <c r="I177" i="6"/>
  <c r="R134" i="15" s="1"/>
  <c r="O134" i="15" s="1"/>
  <c r="V134" i="15" s="1"/>
  <c r="L177" i="6"/>
  <c r="BD150" i="6"/>
  <c r="AF116" i="15" s="1"/>
  <c r="AC116" i="15" s="1"/>
  <c r="L159" i="6"/>
  <c r="BD165" i="6"/>
  <c r="AF126" i="15" s="1"/>
  <c r="AC126" i="15" s="1"/>
  <c r="L168" i="6"/>
  <c r="L172" i="6"/>
  <c r="BD173" i="6"/>
  <c r="AD132" i="15" s="1"/>
  <c r="AB132" i="15" s="1"/>
  <c r="L178" i="6"/>
  <c r="I180" i="6"/>
  <c r="P136" i="15" s="1"/>
  <c r="I150" i="6"/>
  <c r="R116" i="15" s="1"/>
  <c r="O116" i="15" s="1"/>
  <c r="V116" i="15" s="1"/>
  <c r="BD153" i="6"/>
  <c r="AD118" i="15" s="1"/>
  <c r="AB118" i="15" s="1"/>
  <c r="L169" i="6"/>
  <c r="BD180" i="6"/>
  <c r="AD136" i="15" s="1"/>
  <c r="AB136" i="15" s="1"/>
  <c r="K764" i="6"/>
  <c r="BD147" i="6"/>
  <c r="AF114" i="15" s="1"/>
  <c r="AC114" i="15" s="1"/>
  <c r="BD159" i="6"/>
  <c r="AF122" i="15" s="1"/>
  <c r="AC122" i="15" s="1"/>
  <c r="BD161" i="6"/>
  <c r="AF123" i="15" s="1"/>
  <c r="AC123" i="15" s="1"/>
  <c r="L149" i="6"/>
  <c r="K735" i="6"/>
  <c r="K763" i="6"/>
  <c r="L150" i="6"/>
  <c r="I159" i="6"/>
  <c r="R122" i="15" s="1"/>
  <c r="O122" i="15" s="1"/>
  <c r="V122" i="15" s="1"/>
  <c r="I165" i="6"/>
  <c r="R126" i="15" s="1"/>
  <c r="O126" i="15" s="1"/>
  <c r="V126" i="15" s="1"/>
  <c r="L181" i="6"/>
  <c r="K758" i="6"/>
  <c r="L152" i="6"/>
  <c r="L162" i="6"/>
  <c r="L179" i="6"/>
  <c r="L160" i="6"/>
  <c r="BD162" i="6"/>
  <c r="AD124" i="15" s="1"/>
  <c r="AB124" i="15" s="1"/>
  <c r="BD164" i="6"/>
  <c r="AD126" i="15" s="1"/>
  <c r="AB126" i="15" s="1"/>
  <c r="L167" i="6"/>
  <c r="L171" i="6"/>
  <c r="BD172" i="6"/>
  <c r="AD131" i="15" s="1"/>
  <c r="AB131" i="15" s="1"/>
  <c r="L180" i="6"/>
  <c r="BD149" i="6"/>
  <c r="AD116" i="15" s="1"/>
  <c r="AB116" i="15" s="1"/>
  <c r="BD152" i="6"/>
  <c r="AF117" i="15" s="1"/>
  <c r="AC117" i="15" s="1"/>
  <c r="K749" i="6"/>
  <c r="L151" i="6"/>
  <c r="L154" i="6"/>
  <c r="I157" i="6"/>
  <c r="P121" i="15" s="1"/>
  <c r="L158" i="6"/>
  <c r="L164" i="6"/>
  <c r="I176" i="6"/>
  <c r="P134" i="15" s="1"/>
  <c r="N134" i="15" s="1"/>
  <c r="K745" i="6"/>
  <c r="L174" i="6"/>
  <c r="L165" i="6"/>
  <c r="K754" i="6"/>
  <c r="L155" i="6"/>
  <c r="L173" i="6"/>
  <c r="L156" i="6"/>
  <c r="L148" i="6"/>
  <c r="L146" i="6"/>
  <c r="BD174" i="6"/>
  <c r="AF132" i="15" s="1"/>
  <c r="AC132" i="15" s="1"/>
  <c r="BD177" i="6"/>
  <c r="AF134" i="15" s="1"/>
  <c r="AC134" i="15" s="1"/>
  <c r="I178" i="6"/>
  <c r="P135" i="15" s="1"/>
  <c r="N135" i="15" s="1"/>
  <c r="BD175" i="6"/>
  <c r="AD133" i="15" s="1"/>
  <c r="AB133" i="15" s="1"/>
  <c r="BD178" i="6"/>
  <c r="AD135" i="15" s="1"/>
  <c r="AB135" i="15" s="1"/>
  <c r="BD181" i="6"/>
  <c r="AD137" i="15" s="1"/>
  <c r="AB137" i="15" s="1"/>
  <c r="BD168" i="6"/>
  <c r="AF128" i="15" s="1"/>
  <c r="AC128" i="15" s="1"/>
  <c r="BD170" i="6"/>
  <c r="AF129" i="15" s="1"/>
  <c r="AC129" i="15" s="1"/>
  <c r="BD157" i="6"/>
  <c r="AD121" i="15" s="1"/>
  <c r="AB121" i="15" s="1"/>
  <c r="BD160" i="6"/>
  <c r="AD123" i="15" s="1"/>
  <c r="AB123" i="15" s="1"/>
  <c r="BD148" i="6"/>
  <c r="AD115" i="15" s="1"/>
  <c r="AB115" i="15" s="1"/>
  <c r="BD154" i="6"/>
  <c r="AD119" i="15" s="1"/>
  <c r="AB119" i="15" s="1"/>
  <c r="I148" i="6"/>
  <c r="P115" i="15" s="1"/>
  <c r="BD151" i="6"/>
  <c r="AD117" i="15" s="1"/>
  <c r="AB117" i="15" s="1"/>
  <c r="I154" i="6"/>
  <c r="P119" i="15" s="1"/>
  <c r="I163" i="6"/>
  <c r="P125" i="15" s="1"/>
  <c r="Y135" i="15" l="1"/>
  <c r="Y128" i="15"/>
  <c r="Y123" i="15"/>
  <c r="Y117" i="15"/>
  <c r="V115" i="15"/>
  <c r="N115" i="15"/>
  <c r="Y132" i="15"/>
  <c r="Y114" i="15"/>
  <c r="V125" i="15"/>
  <c r="N125" i="15"/>
  <c r="V130" i="15"/>
  <c r="N130" i="15"/>
  <c r="V127" i="15"/>
  <c r="N127" i="15"/>
  <c r="V119" i="15"/>
  <c r="N119" i="15"/>
  <c r="V133" i="15"/>
  <c r="N133" i="15"/>
  <c r="N118" i="15"/>
  <c r="V118" i="15"/>
  <c r="V131" i="15"/>
  <c r="N131" i="15"/>
  <c r="Y122" i="15"/>
  <c r="Y134" i="15"/>
  <c r="Y116" i="15"/>
  <c r="V121" i="15"/>
  <c r="N121" i="15"/>
  <c r="V136" i="15"/>
  <c r="N136" i="15"/>
  <c r="V124" i="15"/>
  <c r="N124" i="15"/>
  <c r="V137" i="15"/>
  <c r="N137" i="15"/>
  <c r="J441" i="7" l="1"/>
  <c r="J442" i="7"/>
  <c r="J440" i="7"/>
  <c r="I442" i="7"/>
  <c r="I440" i="7"/>
  <c r="I437" i="7"/>
  <c r="F440" i="7" l="1"/>
  <c r="H308" i="15" s="1"/>
  <c r="V442" i="7" l="1"/>
  <c r="N442" i="7"/>
  <c r="M442" i="7"/>
  <c r="L442" i="7"/>
  <c r="H442" i="7"/>
  <c r="F442" i="7"/>
  <c r="H310" i="15" s="1"/>
  <c r="V441" i="7"/>
  <c r="N441" i="7"/>
  <c r="M441" i="7"/>
  <c r="L441" i="7"/>
  <c r="H441" i="7"/>
  <c r="V440" i="7"/>
  <c r="N440" i="7"/>
  <c r="M440" i="7"/>
  <c r="L440" i="7"/>
  <c r="H440" i="7"/>
  <c r="BC442" i="7" l="1"/>
  <c r="BD442" i="7" s="1"/>
  <c r="W310" i="15"/>
  <c r="Y310" i="15" s="1"/>
  <c r="BE440" i="7"/>
  <c r="AA308" i="15"/>
  <c r="BE442" i="7"/>
  <c r="AA310" i="15"/>
  <c r="BE441" i="7"/>
  <c r="AA309" i="15"/>
  <c r="BC440" i="7"/>
  <c r="BD440" i="7" s="1"/>
  <c r="W308" i="15"/>
  <c r="Y308" i="15" s="1"/>
  <c r="BC441" i="7"/>
  <c r="W309" i="15"/>
  <c r="Y309" i="15" s="1"/>
  <c r="K440" i="7"/>
  <c r="N308" i="15" s="1"/>
  <c r="V308" i="15" s="1"/>
  <c r="K442" i="7"/>
  <c r="N310" i="15" s="1"/>
  <c r="V310" i="15" s="1"/>
  <c r="BB440" i="7" l="1"/>
  <c r="Z308" i="15" s="1"/>
  <c r="AD308" i="15"/>
  <c r="AB308" i="15" s="1"/>
  <c r="BB442" i="7"/>
  <c r="Z310" i="15" s="1"/>
  <c r="AD310" i="15"/>
  <c r="AB310" i="15" s="1"/>
  <c r="AC455" i="15" l="1"/>
  <c r="G455" i="15"/>
  <c r="F455" i="15"/>
  <c r="AA455" i="15"/>
  <c r="B455" i="15"/>
  <c r="AL455" i="15" s="1"/>
  <c r="A456" i="15"/>
  <c r="AC86" i="15" l="1"/>
  <c r="AC87" i="15"/>
  <c r="AC91" i="15"/>
  <c r="AC94" i="15"/>
  <c r="AC95" i="15"/>
  <c r="AC97" i="15"/>
  <c r="AC100" i="15"/>
  <c r="AC101" i="15"/>
  <c r="AC103" i="15"/>
  <c r="AC106" i="15"/>
  <c r="AC107" i="15"/>
  <c r="AC109" i="15"/>
  <c r="AC112" i="15"/>
  <c r="AC113" i="15"/>
  <c r="AC139" i="15"/>
  <c r="AC140" i="15"/>
  <c r="AC141" i="15"/>
  <c r="AC143" i="15"/>
  <c r="AC147" i="15"/>
  <c r="AC148" i="15"/>
  <c r="AC149" i="15"/>
  <c r="AC150" i="15"/>
  <c r="AC151" i="15"/>
  <c r="AC152" i="15"/>
  <c r="AC155" i="15"/>
  <c r="AC156" i="15"/>
  <c r="AC159" i="15"/>
  <c r="AC160" i="15"/>
  <c r="AC161" i="15"/>
  <c r="AC162" i="15"/>
  <c r="AC163" i="15"/>
  <c r="AC164" i="15"/>
  <c r="AC165" i="15"/>
  <c r="AC168" i="15"/>
  <c r="AC171" i="15"/>
  <c r="AC172" i="15"/>
  <c r="AC175" i="15"/>
  <c r="AC176" i="15"/>
  <c r="AC181" i="15"/>
  <c r="AC182" i="15"/>
  <c r="AC185" i="15"/>
  <c r="AC186" i="15"/>
  <c r="AC187" i="15"/>
  <c r="AC188" i="15"/>
  <c r="AC191" i="15"/>
  <c r="AC192" i="15"/>
  <c r="AC193" i="15"/>
  <c r="AC194" i="15"/>
  <c r="AC195" i="15"/>
  <c r="AC196" i="15"/>
  <c r="AC197" i="15"/>
  <c r="AC198" i="15"/>
  <c r="AC199" i="15"/>
  <c r="AC200" i="15"/>
  <c r="AC201" i="15"/>
  <c r="AC203" i="15"/>
  <c r="AC204" i="15"/>
  <c r="AC205" i="15"/>
  <c r="AC209" i="15"/>
  <c r="AC210" i="15"/>
  <c r="AC211" i="15"/>
  <c r="AC213" i="15"/>
  <c r="AC215" i="15"/>
  <c r="AC217" i="15"/>
  <c r="AC234" i="15"/>
  <c r="AC240" i="15"/>
  <c r="AC241" i="15"/>
  <c r="AC242" i="15"/>
  <c r="AC245" i="15"/>
  <c r="AC246" i="15"/>
  <c r="AC247" i="15"/>
  <c r="AC248" i="15"/>
  <c r="AC249" i="15"/>
  <c r="AC250" i="15"/>
  <c r="AC251" i="15"/>
  <c r="AC252" i="15"/>
  <c r="AC253" i="15"/>
  <c r="AC254" i="15"/>
  <c r="AC255" i="15"/>
  <c r="AC256" i="15"/>
  <c r="AC257" i="15"/>
  <c r="AC258" i="15"/>
  <c r="AC259" i="15"/>
  <c r="AC260" i="15"/>
  <c r="AC261" i="15"/>
  <c r="AC262" i="15"/>
  <c r="AC263" i="15"/>
  <c r="AC264" i="15"/>
  <c r="AC265" i="15"/>
  <c r="AC266" i="15"/>
  <c r="AC267" i="15"/>
  <c r="AC268" i="15"/>
  <c r="AC269" i="15"/>
  <c r="AC270" i="15"/>
  <c r="AC271" i="15"/>
  <c r="AC272" i="15"/>
  <c r="AC273" i="15"/>
  <c r="AC274" i="15"/>
  <c r="AC275" i="15"/>
  <c r="AC276" i="15"/>
  <c r="AC277" i="15"/>
  <c r="AC278" i="15"/>
  <c r="AC279" i="15"/>
  <c r="AC280" i="15"/>
  <c r="AC281" i="15"/>
  <c r="AC282" i="15"/>
  <c r="AC283" i="15"/>
  <c r="AC284" i="15"/>
  <c r="AC285" i="15"/>
  <c r="AC286" i="15"/>
  <c r="AC287" i="15"/>
  <c r="AC288" i="15"/>
  <c r="AC289" i="15"/>
  <c r="AC290" i="15"/>
  <c r="AC291" i="15"/>
  <c r="AC292" i="15"/>
  <c r="AC293" i="15"/>
  <c r="AC294" i="15"/>
  <c r="AC295" i="15"/>
  <c r="AC296" i="15"/>
  <c r="AC297" i="15"/>
  <c r="AC298" i="15"/>
  <c r="AC299" i="15"/>
  <c r="AC300" i="15"/>
  <c r="AC301" i="15"/>
  <c r="AC302" i="15"/>
  <c r="AC303" i="15"/>
  <c r="AC304" i="15"/>
  <c r="AC305" i="15"/>
  <c r="AC306" i="15"/>
  <c r="AC307" i="15"/>
  <c r="AC311" i="15"/>
  <c r="AC312" i="15"/>
  <c r="AC313" i="15"/>
  <c r="AC314" i="15"/>
  <c r="AC315" i="15"/>
  <c r="AC316" i="15"/>
  <c r="AC317" i="15"/>
  <c r="AC318" i="15"/>
  <c r="AC319" i="15"/>
  <c r="AC320" i="15"/>
  <c r="AC322" i="15"/>
  <c r="AC324" i="15"/>
  <c r="AC326" i="15"/>
  <c r="AC328" i="15"/>
  <c r="AC329" i="15"/>
  <c r="AC330" i="15"/>
  <c r="AC331" i="15"/>
  <c r="AC332" i="15"/>
  <c r="AC333" i="15"/>
  <c r="AC334" i="15"/>
  <c r="AC335" i="15"/>
  <c r="AC336" i="15"/>
  <c r="AC337" i="15"/>
  <c r="AC338" i="15"/>
  <c r="AC339" i="15"/>
  <c r="AC340" i="15"/>
  <c r="AC341" i="15"/>
  <c r="AC342" i="15"/>
  <c r="AC343" i="15"/>
  <c r="AC344" i="15"/>
  <c r="AC345" i="15"/>
  <c r="AC346" i="15"/>
  <c r="AC347" i="15"/>
  <c r="AC348" i="15"/>
  <c r="AC349" i="15"/>
  <c r="AC350" i="15"/>
  <c r="AC351" i="15"/>
  <c r="AC352" i="15"/>
  <c r="AC353" i="15"/>
  <c r="AC354" i="15"/>
  <c r="AC355" i="15"/>
  <c r="AC356" i="15"/>
  <c r="AC357" i="15"/>
  <c r="AC358" i="15"/>
  <c r="AC359" i="15"/>
  <c r="AC360" i="15"/>
  <c r="AC361" i="15"/>
  <c r="AC362" i="15"/>
  <c r="AC363" i="15"/>
  <c r="AC364" i="15"/>
  <c r="AC365" i="15"/>
  <c r="AC366" i="15"/>
  <c r="AC367" i="15"/>
  <c r="AC368" i="15"/>
  <c r="AC369" i="15"/>
  <c r="AC370" i="15"/>
  <c r="AC371" i="15"/>
  <c r="AC372" i="15"/>
  <c r="AC373" i="15"/>
  <c r="AC374" i="15"/>
  <c r="AC375" i="15"/>
  <c r="AC376" i="15"/>
  <c r="AC377" i="15"/>
  <c r="AC378" i="15"/>
  <c r="AC379" i="15"/>
  <c r="AC380" i="15"/>
  <c r="AC381" i="15"/>
  <c r="AC382" i="15"/>
  <c r="AC383" i="15"/>
  <c r="AC384" i="15"/>
  <c r="AC385" i="15"/>
  <c r="AC386" i="15"/>
  <c r="AC387" i="15"/>
  <c r="AC388" i="15"/>
  <c r="AC389" i="15"/>
  <c r="AC390" i="15"/>
  <c r="AC391" i="15"/>
  <c r="AC392" i="15"/>
  <c r="AC393" i="15"/>
  <c r="AC396" i="15"/>
  <c r="AC397" i="15"/>
  <c r="AC398" i="15"/>
  <c r="AC399" i="15"/>
  <c r="AC400" i="15"/>
  <c r="AC401" i="15"/>
  <c r="AC402" i="15"/>
  <c r="AC403" i="15"/>
  <c r="AC404" i="15"/>
  <c r="AC405" i="15"/>
  <c r="AC406" i="15"/>
  <c r="AC407" i="15"/>
  <c r="AC408" i="15"/>
  <c r="AC409" i="15"/>
  <c r="AC410" i="15"/>
  <c r="AC411" i="15"/>
  <c r="AC412" i="15"/>
  <c r="AC413" i="15"/>
  <c r="AC414" i="15"/>
  <c r="AC415" i="15"/>
  <c r="AC416" i="15"/>
  <c r="AC417" i="15"/>
  <c r="AC418" i="15"/>
  <c r="AC419" i="15"/>
  <c r="AC420" i="15"/>
  <c r="AC421" i="15"/>
  <c r="AC422" i="15"/>
  <c r="AC423" i="15"/>
  <c r="AC424" i="15"/>
  <c r="AC425" i="15"/>
  <c r="AC426" i="15"/>
  <c r="AC427" i="15"/>
  <c r="AC428" i="15"/>
  <c r="AC429" i="15"/>
  <c r="AC430" i="15"/>
  <c r="AC431" i="15"/>
  <c r="AC432" i="15"/>
  <c r="AC433" i="15"/>
  <c r="AC434" i="15"/>
  <c r="AC435" i="15"/>
  <c r="AC436" i="15"/>
  <c r="AC437" i="15"/>
  <c r="AC438" i="15"/>
  <c r="AC439" i="15"/>
  <c r="AC440" i="15"/>
  <c r="AC442" i="15"/>
  <c r="AC443" i="15"/>
  <c r="AC444" i="15"/>
  <c r="AC445" i="15"/>
  <c r="AC446" i="15"/>
  <c r="AC447" i="15"/>
  <c r="AC448" i="15"/>
  <c r="AC449" i="15"/>
  <c r="AC450" i="15"/>
  <c r="AC451" i="15"/>
  <c r="AC452" i="15"/>
  <c r="AC453" i="15"/>
  <c r="AC454" i="15"/>
  <c r="AC456" i="15"/>
  <c r="AC457" i="15"/>
  <c r="AC458" i="15"/>
  <c r="AC459" i="15"/>
  <c r="AC460" i="15"/>
  <c r="AC461" i="15"/>
  <c r="AC462" i="15"/>
  <c r="AC463" i="15"/>
  <c r="AC464" i="15"/>
  <c r="AC465" i="15"/>
  <c r="AC466" i="15"/>
  <c r="AC467" i="15"/>
  <c r="AC468" i="15"/>
  <c r="AC469" i="15"/>
  <c r="AC470" i="15"/>
  <c r="AC471" i="15"/>
  <c r="AC472" i="15"/>
  <c r="AC473" i="15"/>
  <c r="AC475" i="15"/>
  <c r="AC476" i="15"/>
  <c r="AC477" i="15"/>
  <c r="AC478" i="15"/>
  <c r="AC479" i="15"/>
  <c r="AC480" i="15"/>
  <c r="AC481" i="15"/>
  <c r="AC482" i="15"/>
  <c r="AC483" i="15"/>
  <c r="AC484" i="15"/>
  <c r="AC485" i="15"/>
  <c r="AC486" i="15"/>
  <c r="AC487" i="15"/>
  <c r="AC488" i="15"/>
  <c r="AC489" i="15"/>
  <c r="AC490" i="15"/>
  <c r="AC491" i="15"/>
  <c r="AC492" i="15"/>
  <c r="AC493" i="15"/>
  <c r="AC494" i="15"/>
  <c r="AC495" i="15"/>
  <c r="AC496" i="15"/>
  <c r="AC497" i="15"/>
  <c r="AC498" i="15"/>
  <c r="AC499" i="15"/>
  <c r="AC500" i="15"/>
  <c r="AC501" i="15"/>
  <c r="AC502" i="15"/>
  <c r="AC503" i="15"/>
  <c r="AC504" i="15"/>
  <c r="AC505" i="15"/>
  <c r="AC506" i="15"/>
  <c r="AC507" i="15"/>
  <c r="AC508" i="15"/>
  <c r="AC509" i="15"/>
  <c r="AC510" i="15"/>
  <c r="AC511" i="15"/>
  <c r="AC512" i="15"/>
  <c r="AC513" i="15"/>
  <c r="AC514" i="15"/>
  <c r="AC515" i="15"/>
  <c r="AC516" i="15"/>
  <c r="AC517" i="15"/>
  <c r="AC518" i="15"/>
  <c r="AC519" i="15"/>
  <c r="AC520" i="15"/>
  <c r="AC521" i="15"/>
  <c r="AC522" i="15"/>
  <c r="AC523" i="15"/>
  <c r="AC524" i="15"/>
  <c r="AC525" i="15"/>
  <c r="AC526" i="15"/>
  <c r="AC527" i="15"/>
  <c r="AC528" i="15"/>
  <c r="AC529" i="15"/>
  <c r="AC530" i="15"/>
  <c r="AC531" i="15"/>
  <c r="AC532" i="15"/>
  <c r="AC533" i="15"/>
  <c r="AC534" i="15"/>
  <c r="AC535" i="15"/>
  <c r="AC536" i="15"/>
  <c r="AC537" i="15"/>
  <c r="AC538" i="15"/>
  <c r="AC539" i="15"/>
  <c r="AC540" i="15"/>
  <c r="AC541" i="15"/>
  <c r="AC542" i="15"/>
  <c r="AC543" i="15"/>
  <c r="AC544" i="15"/>
  <c r="AC545" i="15"/>
  <c r="AC546" i="15"/>
  <c r="AC547" i="15"/>
  <c r="AC548" i="15"/>
  <c r="AC549" i="15"/>
  <c r="AC550" i="15"/>
  <c r="AC551" i="15"/>
  <c r="AC552" i="15"/>
  <c r="AC553" i="15"/>
  <c r="AC554" i="15"/>
  <c r="AC555" i="15"/>
  <c r="AC556" i="15"/>
  <c r="AC557" i="15"/>
  <c r="AC558" i="15"/>
  <c r="AC559" i="15"/>
  <c r="AC560" i="15"/>
  <c r="AC561" i="15"/>
  <c r="AC562" i="15"/>
  <c r="AC563" i="15"/>
  <c r="AC564" i="15"/>
  <c r="AC565" i="15"/>
  <c r="AC566" i="15"/>
  <c r="AC567" i="15"/>
  <c r="AC568" i="15"/>
  <c r="AC569" i="15"/>
  <c r="AC570" i="15"/>
  <c r="AC571" i="15"/>
  <c r="AC572" i="15"/>
  <c r="AC573" i="15"/>
  <c r="AC574" i="15"/>
  <c r="AC575" i="15"/>
  <c r="AC576" i="15"/>
  <c r="AC577" i="15"/>
  <c r="AC578" i="15"/>
  <c r="AC579" i="15"/>
  <c r="AC580" i="15"/>
  <c r="AC581" i="15"/>
  <c r="AC582" i="15"/>
  <c r="AC583" i="15"/>
  <c r="AC584" i="15"/>
  <c r="AC585" i="15"/>
  <c r="AC586" i="15"/>
  <c r="AC587" i="15"/>
  <c r="AC588" i="15"/>
  <c r="AC589" i="15"/>
  <c r="AC590" i="15"/>
  <c r="AC591" i="15"/>
  <c r="AC592" i="15"/>
  <c r="AC593" i="15"/>
  <c r="AC594" i="15"/>
  <c r="AC595" i="15"/>
  <c r="AC596" i="15"/>
  <c r="AC597" i="15"/>
  <c r="AC598" i="15"/>
  <c r="AC599" i="15"/>
  <c r="AC600" i="15"/>
  <c r="AC601" i="15"/>
  <c r="AC602" i="15"/>
  <c r="AD545" i="15" l="1"/>
  <c r="AB545" i="15" s="1"/>
  <c r="AD481" i="15"/>
  <c r="AB481" i="15" s="1"/>
  <c r="AD480" i="15"/>
  <c r="AB480" i="15" s="1"/>
  <c r="AD479" i="15"/>
  <c r="AB479" i="15" s="1"/>
  <c r="AD478" i="15"/>
  <c r="AB478" i="15" s="1"/>
  <c r="AD477" i="15"/>
  <c r="AB477" i="15" s="1"/>
  <c r="AD476" i="15"/>
  <c r="AB476" i="15" s="1"/>
  <c r="AD475" i="15"/>
  <c r="AB475" i="15" s="1"/>
  <c r="AD274" i="15"/>
  <c r="AB274" i="15" s="1"/>
  <c r="AD273" i="15"/>
  <c r="AB273" i="15" s="1"/>
  <c r="W603" i="15" l="1"/>
  <c r="N603" i="15"/>
  <c r="V603" i="15" s="1"/>
  <c r="U603" i="15" s="1"/>
  <c r="T603" i="15" s="1"/>
  <c r="H603" i="15"/>
  <c r="G603" i="15"/>
  <c r="F603" i="15"/>
  <c r="B603" i="15"/>
  <c r="AL603" i="15" s="1"/>
  <c r="A603" i="15"/>
  <c r="AA602" i="15"/>
  <c r="W602" i="15"/>
  <c r="Y602" i="15" s="1"/>
  <c r="G602" i="15"/>
  <c r="F602" i="15"/>
  <c r="B602" i="15"/>
  <c r="AL602" i="15" s="1"/>
  <c r="A602" i="15"/>
  <c r="A601" i="15"/>
  <c r="B601" i="15"/>
  <c r="AL601" i="15" s="1"/>
  <c r="F601" i="15"/>
  <c r="G601" i="15"/>
  <c r="W601" i="15"/>
  <c r="Y601" i="15" s="1"/>
  <c r="V601" i="15" s="1"/>
  <c r="AA601" i="15"/>
  <c r="AA600" i="15"/>
  <c r="W600" i="15"/>
  <c r="G600" i="15"/>
  <c r="F600" i="15"/>
  <c r="B600" i="15"/>
  <c r="AL600" i="15" s="1"/>
  <c r="A600" i="15"/>
  <c r="AA599" i="15"/>
  <c r="AA598" i="15"/>
  <c r="W599" i="15"/>
  <c r="Y599" i="15" s="1"/>
  <c r="W598" i="15"/>
  <c r="Y598" i="15" s="1"/>
  <c r="B599" i="15"/>
  <c r="AL599" i="15" s="1"/>
  <c r="B598" i="15"/>
  <c r="AL598" i="15" s="1"/>
  <c r="A599" i="15"/>
  <c r="F599" i="15"/>
  <c r="G599" i="15"/>
  <c r="G598" i="15"/>
  <c r="F598" i="15"/>
  <c r="A598" i="15"/>
  <c r="AA597" i="15"/>
  <c r="W597" i="15"/>
  <c r="Y597" i="15" s="1"/>
  <c r="G597" i="15"/>
  <c r="F597" i="15"/>
  <c r="B597" i="15"/>
  <c r="AL597" i="15" s="1"/>
  <c r="A597" i="15"/>
  <c r="A595" i="15"/>
  <c r="B595" i="15"/>
  <c r="AL595" i="15" s="1"/>
  <c r="F595" i="15"/>
  <c r="G595" i="15"/>
  <c r="W595" i="15"/>
  <c r="Y595" i="15" s="1"/>
  <c r="V595" i="15" s="1"/>
  <c r="AA595" i="15"/>
  <c r="A596" i="15"/>
  <c r="B596" i="15"/>
  <c r="AL596" i="15" s="1"/>
  <c r="F596" i="15"/>
  <c r="G596" i="15"/>
  <c r="W596" i="15"/>
  <c r="AA596" i="15"/>
  <c r="AA594" i="15"/>
  <c r="W594" i="15"/>
  <c r="Y594" i="15" s="1"/>
  <c r="V594" i="15" s="1"/>
  <c r="G594" i="15"/>
  <c r="F594" i="15"/>
  <c r="B594" i="15"/>
  <c r="AL594" i="15" s="1"/>
  <c r="A594" i="15"/>
  <c r="AA593" i="15"/>
  <c r="W593" i="15"/>
  <c r="Y593" i="15" s="1"/>
  <c r="V593" i="15" s="1"/>
  <c r="U593" i="15" s="1"/>
  <c r="G593" i="15"/>
  <c r="F593" i="15"/>
  <c r="B593" i="15"/>
  <c r="AL593" i="15" s="1"/>
  <c r="A593" i="15"/>
  <c r="AA592" i="15"/>
  <c r="W592" i="15"/>
  <c r="H592" i="15"/>
  <c r="G592" i="15"/>
  <c r="F592" i="15"/>
  <c r="B592" i="15"/>
  <c r="AL592" i="15" s="1"/>
  <c r="A592" i="15"/>
  <c r="AA591" i="15"/>
  <c r="W591" i="15"/>
  <c r="Y591" i="15" s="1"/>
  <c r="V591" i="15" s="1"/>
  <c r="U591" i="15" s="1"/>
  <c r="G591" i="15"/>
  <c r="F591" i="15"/>
  <c r="B591" i="15"/>
  <c r="AL591" i="15" s="1"/>
  <c r="A591" i="15"/>
  <c r="AA590" i="15"/>
  <c r="W590" i="15"/>
  <c r="Y590" i="15" s="1"/>
  <c r="V590" i="15" s="1"/>
  <c r="U590" i="15" s="1"/>
  <c r="G590" i="15"/>
  <c r="F590" i="15"/>
  <c r="B590" i="15"/>
  <c r="AL590" i="15" s="1"/>
  <c r="A590" i="15"/>
  <c r="AA589" i="15"/>
  <c r="W589" i="15"/>
  <c r="Y589" i="15" s="1"/>
  <c r="G589" i="15"/>
  <c r="F589" i="15"/>
  <c r="B589" i="15"/>
  <c r="AL589" i="15" s="1"/>
  <c r="A589" i="15"/>
  <c r="AA588" i="15"/>
  <c r="W588" i="15"/>
  <c r="G588" i="15"/>
  <c r="F588" i="15"/>
  <c r="B588" i="15"/>
  <c r="AL588" i="15" s="1"/>
  <c r="A588" i="15"/>
  <c r="A587" i="15"/>
  <c r="B587" i="15"/>
  <c r="AL587" i="15" s="1"/>
  <c r="F587" i="15"/>
  <c r="G587" i="15"/>
  <c r="W587" i="15"/>
  <c r="Y587" i="15" s="1"/>
  <c r="V587" i="15" s="1"/>
  <c r="AA587" i="15"/>
  <c r="AA586" i="15"/>
  <c r="W586" i="15"/>
  <c r="G586" i="15"/>
  <c r="F586" i="15"/>
  <c r="B586" i="15"/>
  <c r="AL586" i="15" s="1"/>
  <c r="A586" i="15"/>
  <c r="A585" i="15"/>
  <c r="B585" i="15"/>
  <c r="AL585" i="15" s="1"/>
  <c r="F585" i="15"/>
  <c r="G585" i="15"/>
  <c r="W585" i="15"/>
  <c r="Y585" i="15" s="1"/>
  <c r="V585" i="15" s="1"/>
  <c r="AA585" i="15"/>
  <c r="AA584" i="15"/>
  <c r="W584" i="15"/>
  <c r="G584" i="15"/>
  <c r="F584" i="15"/>
  <c r="B584" i="15"/>
  <c r="AL584" i="15" s="1"/>
  <c r="A584" i="15"/>
  <c r="A583" i="15"/>
  <c r="B583" i="15"/>
  <c r="AL583" i="15" s="1"/>
  <c r="F583" i="15"/>
  <c r="G583" i="15"/>
  <c r="W583" i="15"/>
  <c r="Y583" i="15" s="1"/>
  <c r="V583" i="15" s="1"/>
  <c r="AA583" i="15"/>
  <c r="AA582" i="15"/>
  <c r="W582" i="15"/>
  <c r="Y582" i="15" s="1"/>
  <c r="V582" i="15" s="1"/>
  <c r="G582" i="15"/>
  <c r="F582" i="15"/>
  <c r="B582" i="15"/>
  <c r="AL582" i="15" s="1"/>
  <c r="A582" i="15"/>
  <c r="AA581" i="15"/>
  <c r="W581" i="15"/>
  <c r="Y581" i="15" s="1"/>
  <c r="V581" i="15" s="1"/>
  <c r="G581" i="15"/>
  <c r="F581" i="15"/>
  <c r="B581" i="15"/>
  <c r="AL581" i="15" s="1"/>
  <c r="A581" i="15"/>
  <c r="A575" i="15"/>
  <c r="B575" i="15"/>
  <c r="AL575" i="15" s="1"/>
  <c r="F575" i="15"/>
  <c r="G575" i="15"/>
  <c r="W575" i="15"/>
  <c r="Y575" i="15" s="1"/>
  <c r="AA575" i="15"/>
  <c r="A576" i="15"/>
  <c r="B576" i="15"/>
  <c r="AL576" i="15" s="1"/>
  <c r="F576" i="15"/>
  <c r="G576" i="15"/>
  <c r="W576" i="15"/>
  <c r="Y576" i="15" s="1"/>
  <c r="AA576" i="15"/>
  <c r="A577" i="15"/>
  <c r="B577" i="15"/>
  <c r="AL577" i="15" s="1"/>
  <c r="F577" i="15"/>
  <c r="G577" i="15"/>
  <c r="W577" i="15"/>
  <c r="Y577" i="15" s="1"/>
  <c r="AA577" i="15"/>
  <c r="A578" i="15"/>
  <c r="B578" i="15"/>
  <c r="AL578" i="15" s="1"/>
  <c r="F578" i="15"/>
  <c r="G578" i="15"/>
  <c r="W578" i="15"/>
  <c r="Y578" i="15" s="1"/>
  <c r="AA578" i="15"/>
  <c r="A579" i="15"/>
  <c r="B579" i="15"/>
  <c r="AL579" i="15" s="1"/>
  <c r="F579" i="15"/>
  <c r="G579" i="15"/>
  <c r="W579" i="15"/>
  <c r="Y579" i="15" s="1"/>
  <c r="AA579" i="15"/>
  <c r="A580" i="15"/>
  <c r="B580" i="15"/>
  <c r="AL580" i="15" s="1"/>
  <c r="F580" i="15"/>
  <c r="G580" i="15"/>
  <c r="W580" i="15"/>
  <c r="Y580" i="15" s="1"/>
  <c r="AA580" i="15"/>
  <c r="AA574" i="15"/>
  <c r="W574" i="15"/>
  <c r="Y574" i="15" s="1"/>
  <c r="G574" i="15"/>
  <c r="F574" i="15"/>
  <c r="B574" i="15"/>
  <c r="AL574" i="15" s="1"/>
  <c r="A574" i="15"/>
  <c r="A568" i="15"/>
  <c r="B568" i="15"/>
  <c r="AL568" i="15" s="1"/>
  <c r="F568" i="15"/>
  <c r="G568" i="15"/>
  <c r="W568" i="15"/>
  <c r="Y568" i="15" s="1"/>
  <c r="V568" i="15" s="1"/>
  <c r="AA568" i="15"/>
  <c r="A569" i="15"/>
  <c r="B569" i="15"/>
  <c r="AL569" i="15" s="1"/>
  <c r="F569" i="15"/>
  <c r="G569" i="15"/>
  <c r="W569" i="15"/>
  <c r="AA569" i="15"/>
  <c r="A570" i="15"/>
  <c r="B570" i="15"/>
  <c r="AL570" i="15" s="1"/>
  <c r="F570" i="15"/>
  <c r="G570" i="15"/>
  <c r="W570" i="15"/>
  <c r="Y570" i="15" s="1"/>
  <c r="V570" i="15" s="1"/>
  <c r="AA570" i="15"/>
  <c r="A571" i="15"/>
  <c r="B571" i="15"/>
  <c r="AL571" i="15" s="1"/>
  <c r="F571" i="15"/>
  <c r="G571" i="15"/>
  <c r="W571" i="15"/>
  <c r="Y571" i="15" s="1"/>
  <c r="V571" i="15" s="1"/>
  <c r="AA571" i="15"/>
  <c r="A572" i="15"/>
  <c r="B572" i="15"/>
  <c r="AL572" i="15" s="1"/>
  <c r="F572" i="15"/>
  <c r="G572" i="15"/>
  <c r="W572" i="15"/>
  <c r="Y572" i="15" s="1"/>
  <c r="V572" i="15" s="1"/>
  <c r="AA572" i="15"/>
  <c r="A573" i="15"/>
  <c r="B573" i="15"/>
  <c r="AL573" i="15" s="1"/>
  <c r="F573" i="15"/>
  <c r="G573" i="15"/>
  <c r="W573" i="15"/>
  <c r="Y573" i="15" s="1"/>
  <c r="V573" i="15" s="1"/>
  <c r="AA573" i="15"/>
  <c r="AA567" i="15"/>
  <c r="W567" i="15"/>
  <c r="Y567" i="15" s="1"/>
  <c r="V567" i="15" s="1"/>
  <c r="G567" i="15"/>
  <c r="F567" i="15"/>
  <c r="B567" i="15"/>
  <c r="AL567" i="15" s="1"/>
  <c r="A567" i="15"/>
  <c r="A563" i="15"/>
  <c r="B563" i="15"/>
  <c r="AL563" i="15" s="1"/>
  <c r="F563" i="15"/>
  <c r="G563" i="15"/>
  <c r="W563" i="15"/>
  <c r="Y563" i="15" s="1"/>
  <c r="V563" i="15" s="1"/>
  <c r="AA563" i="15"/>
  <c r="A564" i="15"/>
  <c r="B564" i="15"/>
  <c r="AL564" i="15" s="1"/>
  <c r="F564" i="15"/>
  <c r="G564" i="15"/>
  <c r="W564" i="15"/>
  <c r="Y564" i="15" s="1"/>
  <c r="V564" i="15" s="1"/>
  <c r="AA564" i="15"/>
  <c r="A565" i="15"/>
  <c r="B565" i="15"/>
  <c r="AL565" i="15" s="1"/>
  <c r="F565" i="15"/>
  <c r="G565" i="15"/>
  <c r="W565" i="15"/>
  <c r="Y565" i="15" s="1"/>
  <c r="V565" i="15" s="1"/>
  <c r="AA565" i="15"/>
  <c r="A566" i="15"/>
  <c r="B566" i="15"/>
  <c r="AL566" i="15" s="1"/>
  <c r="F566" i="15"/>
  <c r="G566" i="15"/>
  <c r="W566" i="15"/>
  <c r="Y566" i="15" s="1"/>
  <c r="V566" i="15" s="1"/>
  <c r="AA566" i="15"/>
  <c r="AA562" i="15"/>
  <c r="W562" i="15"/>
  <c r="G562" i="15"/>
  <c r="F562" i="15"/>
  <c r="B562" i="15"/>
  <c r="AL562" i="15" s="1"/>
  <c r="A562" i="15"/>
  <c r="A559" i="15"/>
  <c r="B559" i="15"/>
  <c r="AL559" i="15" s="1"/>
  <c r="F559" i="15"/>
  <c r="G559" i="15"/>
  <c r="W559" i="15"/>
  <c r="Y559" i="15" s="1"/>
  <c r="V559" i="15" s="1"/>
  <c r="AA559" i="15"/>
  <c r="A560" i="15"/>
  <c r="B560" i="15"/>
  <c r="AL560" i="15" s="1"/>
  <c r="F560" i="15"/>
  <c r="G560" i="15"/>
  <c r="W560" i="15"/>
  <c r="Y560" i="15" s="1"/>
  <c r="V560" i="15" s="1"/>
  <c r="AA560" i="15"/>
  <c r="A561" i="15"/>
  <c r="B561" i="15"/>
  <c r="AL561" i="15" s="1"/>
  <c r="F561" i="15"/>
  <c r="G561" i="15"/>
  <c r="W561" i="15"/>
  <c r="Y561" i="15" s="1"/>
  <c r="V561" i="15" s="1"/>
  <c r="AA561" i="15"/>
  <c r="AA558" i="15"/>
  <c r="W558" i="15"/>
  <c r="G558" i="15"/>
  <c r="F558" i="15"/>
  <c r="B558" i="15"/>
  <c r="AL558" i="15" s="1"/>
  <c r="A558" i="15"/>
  <c r="AA557" i="15"/>
  <c r="W557" i="15"/>
  <c r="Y557" i="15" s="1"/>
  <c r="G557" i="15"/>
  <c r="F557" i="15"/>
  <c r="B557" i="15"/>
  <c r="AL557" i="15" s="1"/>
  <c r="A557" i="15"/>
  <c r="O557" i="15"/>
  <c r="I557" i="15"/>
  <c r="A552" i="15"/>
  <c r="B552" i="15"/>
  <c r="AL552" i="15" s="1"/>
  <c r="C552" i="15"/>
  <c r="F552" i="15"/>
  <c r="G552" i="15"/>
  <c r="I552" i="15"/>
  <c r="O552" i="15"/>
  <c r="W552" i="15"/>
  <c r="Y552" i="15" s="1"/>
  <c r="AA552" i="15"/>
  <c r="A553" i="15"/>
  <c r="B553" i="15"/>
  <c r="AL553" i="15" s="1"/>
  <c r="C553" i="15"/>
  <c r="F553" i="15"/>
  <c r="G553" i="15"/>
  <c r="I553" i="15"/>
  <c r="O553" i="15"/>
  <c r="W553" i="15"/>
  <c r="Y553" i="15" s="1"/>
  <c r="AA553" i="15"/>
  <c r="A554" i="15"/>
  <c r="B554" i="15"/>
  <c r="AL554" i="15" s="1"/>
  <c r="C554" i="15"/>
  <c r="F554" i="15"/>
  <c r="G554" i="15"/>
  <c r="I554" i="15"/>
  <c r="O554" i="15"/>
  <c r="W554" i="15"/>
  <c r="Y554" i="15" s="1"/>
  <c r="AA554" i="15"/>
  <c r="A555" i="15"/>
  <c r="B555" i="15"/>
  <c r="AL555" i="15" s="1"/>
  <c r="C555" i="15"/>
  <c r="F555" i="15"/>
  <c r="G555" i="15"/>
  <c r="I555" i="15"/>
  <c r="O555" i="15"/>
  <c r="W555" i="15"/>
  <c r="Y555" i="15" s="1"/>
  <c r="AA555" i="15"/>
  <c r="A556" i="15"/>
  <c r="B556" i="15"/>
  <c r="AL556" i="15" s="1"/>
  <c r="C556" i="15"/>
  <c r="F556" i="15"/>
  <c r="G556" i="15"/>
  <c r="I556" i="15"/>
  <c r="O556" i="15"/>
  <c r="W556" i="15"/>
  <c r="Y556" i="15" s="1"/>
  <c r="AA556" i="15"/>
  <c r="AA551" i="15"/>
  <c r="W551" i="15"/>
  <c r="Y551" i="15" s="1"/>
  <c r="O551" i="15"/>
  <c r="I551" i="15"/>
  <c r="O550" i="15"/>
  <c r="O549" i="15"/>
  <c r="O548" i="15"/>
  <c r="O547" i="15"/>
  <c r="O546" i="15"/>
  <c r="I550" i="15"/>
  <c r="I549" i="15"/>
  <c r="I548" i="15"/>
  <c r="I547" i="15"/>
  <c r="I546" i="15"/>
  <c r="G551" i="15"/>
  <c r="F551" i="15"/>
  <c r="C542" i="15"/>
  <c r="C551" i="15"/>
  <c r="B551" i="15"/>
  <c r="AL551" i="15" s="1"/>
  <c r="A551" i="15"/>
  <c r="A547" i="15"/>
  <c r="B547" i="15"/>
  <c r="AL547" i="15" s="1"/>
  <c r="F547" i="15"/>
  <c r="G547" i="15"/>
  <c r="W547" i="15"/>
  <c r="Y547" i="15" s="1"/>
  <c r="AA547" i="15"/>
  <c r="A548" i="15"/>
  <c r="B548" i="15"/>
  <c r="AL548" i="15" s="1"/>
  <c r="F548" i="15"/>
  <c r="G548" i="15"/>
  <c r="W548" i="15"/>
  <c r="Y548" i="15" s="1"/>
  <c r="AA548" i="15"/>
  <c r="A549" i="15"/>
  <c r="B549" i="15"/>
  <c r="AL549" i="15" s="1"/>
  <c r="F549" i="15"/>
  <c r="G549" i="15"/>
  <c r="W549" i="15"/>
  <c r="Y549" i="15" s="1"/>
  <c r="AA549" i="15"/>
  <c r="A550" i="15"/>
  <c r="B550" i="15"/>
  <c r="AL550" i="15" s="1"/>
  <c r="F550" i="15"/>
  <c r="G550" i="15"/>
  <c r="W550" i="15"/>
  <c r="Y550" i="15" s="1"/>
  <c r="AA550" i="15"/>
  <c r="AA546" i="15"/>
  <c r="W546" i="15"/>
  <c r="Y546" i="15" s="1"/>
  <c r="G546" i="15"/>
  <c r="F546" i="15"/>
  <c r="B546" i="15"/>
  <c r="AL546" i="15" s="1"/>
  <c r="A546" i="15"/>
  <c r="AA545" i="15"/>
  <c r="Z545" i="15"/>
  <c r="W545" i="15"/>
  <c r="Y545" i="15" s="1"/>
  <c r="G545" i="15"/>
  <c r="F545" i="15"/>
  <c r="B545" i="15"/>
  <c r="AL545" i="15" s="1"/>
  <c r="A545" i="15"/>
  <c r="A544" i="15"/>
  <c r="B544" i="15"/>
  <c r="AL544" i="15" s="1"/>
  <c r="F544" i="15"/>
  <c r="G544" i="15"/>
  <c r="W544" i="15"/>
  <c r="Y544" i="15" s="1"/>
  <c r="AA543" i="15"/>
  <c r="W543" i="15"/>
  <c r="G543" i="15"/>
  <c r="F543" i="15"/>
  <c r="B543" i="15"/>
  <c r="AL543" i="15" s="1"/>
  <c r="A543" i="15"/>
  <c r="G542" i="15"/>
  <c r="F542" i="15"/>
  <c r="AA542" i="15"/>
  <c r="W542" i="15"/>
  <c r="Y542" i="15" s="1"/>
  <c r="V542" i="15" s="1"/>
  <c r="O542" i="15"/>
  <c r="I542" i="15"/>
  <c r="B542" i="15"/>
  <c r="AL542" i="15" s="1"/>
  <c r="A542" i="15"/>
  <c r="A540" i="15"/>
  <c r="B540" i="15"/>
  <c r="AL540" i="15" s="1"/>
  <c r="F540" i="15"/>
  <c r="G540" i="15"/>
  <c r="W540" i="15"/>
  <c r="Y540" i="15" s="1"/>
  <c r="V540" i="15" s="1"/>
  <c r="AA540" i="15"/>
  <c r="A541" i="15"/>
  <c r="B541" i="15"/>
  <c r="AL541" i="15" s="1"/>
  <c r="F541" i="15"/>
  <c r="G541" i="15"/>
  <c r="W541" i="15"/>
  <c r="Y541" i="15" s="1"/>
  <c r="V541" i="15" s="1"/>
  <c r="AA541" i="15"/>
  <c r="AA539" i="15"/>
  <c r="W539" i="15"/>
  <c r="Y539" i="15" s="1"/>
  <c r="V539" i="15" s="1"/>
  <c r="G539" i="15"/>
  <c r="F539" i="15"/>
  <c r="B539" i="15"/>
  <c r="AL539" i="15" s="1"/>
  <c r="A539" i="15"/>
  <c r="A536" i="15"/>
  <c r="B536" i="15"/>
  <c r="AL536" i="15" s="1"/>
  <c r="F536" i="15"/>
  <c r="G536" i="15"/>
  <c r="W536" i="15"/>
  <c r="Y536" i="15" s="1"/>
  <c r="V536" i="15" s="1"/>
  <c r="AA536" i="15"/>
  <c r="A537" i="15"/>
  <c r="B537" i="15"/>
  <c r="AL537" i="15" s="1"/>
  <c r="F537" i="15"/>
  <c r="G537" i="15"/>
  <c r="W537" i="15"/>
  <c r="AA537" i="15"/>
  <c r="A538" i="15"/>
  <c r="B538" i="15"/>
  <c r="AL538" i="15" s="1"/>
  <c r="F538" i="15"/>
  <c r="G538" i="15"/>
  <c r="W538" i="15"/>
  <c r="Y538" i="15" s="1"/>
  <c r="V538" i="15" s="1"/>
  <c r="AA538" i="15"/>
  <c r="AA535" i="15"/>
  <c r="W535" i="15"/>
  <c r="Y535" i="15" s="1"/>
  <c r="V535" i="15" s="1"/>
  <c r="G535" i="15"/>
  <c r="F535" i="15"/>
  <c r="B535" i="15"/>
  <c r="AL535" i="15" s="1"/>
  <c r="A535" i="15"/>
  <c r="AA534" i="15"/>
  <c r="W534" i="15"/>
  <c r="Y534" i="15" s="1"/>
  <c r="V534" i="15" s="1"/>
  <c r="G534" i="15"/>
  <c r="F534" i="15"/>
  <c r="B534" i="15"/>
  <c r="AL534" i="15" s="1"/>
  <c r="A534" i="15"/>
  <c r="W533" i="15"/>
  <c r="G533" i="15"/>
  <c r="F533" i="15"/>
  <c r="B533" i="15"/>
  <c r="AL533" i="15" s="1"/>
  <c r="A533" i="15"/>
  <c r="A532" i="15"/>
  <c r="B532" i="15"/>
  <c r="AL532" i="15" s="1"/>
  <c r="F532" i="15"/>
  <c r="G532" i="15"/>
  <c r="W532" i="15"/>
  <c r="Y532" i="15" s="1"/>
  <c r="AA532" i="15"/>
  <c r="AA531" i="15"/>
  <c r="W531" i="15"/>
  <c r="G531" i="15"/>
  <c r="F531" i="15"/>
  <c r="B531" i="15"/>
  <c r="AL531" i="15" s="1"/>
  <c r="A531" i="15"/>
  <c r="A527" i="15"/>
  <c r="B527" i="15"/>
  <c r="AL527" i="15" s="1"/>
  <c r="F527" i="15"/>
  <c r="G527" i="15"/>
  <c r="W527" i="15"/>
  <c r="AA527" i="15"/>
  <c r="A528" i="15"/>
  <c r="B528" i="15"/>
  <c r="AL528" i="15" s="1"/>
  <c r="F528" i="15"/>
  <c r="G528" i="15"/>
  <c r="W528" i="15"/>
  <c r="Y528" i="15" s="1"/>
  <c r="AA528" i="15"/>
  <c r="A529" i="15"/>
  <c r="B529" i="15"/>
  <c r="AL529" i="15" s="1"/>
  <c r="F529" i="15"/>
  <c r="G529" i="15"/>
  <c r="W529" i="15"/>
  <c r="Y529" i="15" s="1"/>
  <c r="AA529" i="15"/>
  <c r="A530" i="15"/>
  <c r="B530" i="15"/>
  <c r="AL530" i="15" s="1"/>
  <c r="F530" i="15"/>
  <c r="G530" i="15"/>
  <c r="W530" i="15"/>
  <c r="Y530" i="15" s="1"/>
  <c r="AA530" i="15"/>
  <c r="AA526" i="15"/>
  <c r="W526" i="15"/>
  <c r="G526" i="15"/>
  <c r="F526" i="15"/>
  <c r="B526" i="15"/>
  <c r="AL526" i="15" s="1"/>
  <c r="A526" i="15"/>
  <c r="AA525" i="15"/>
  <c r="W525" i="15"/>
  <c r="Y525" i="15" s="1"/>
  <c r="V525" i="15" s="1"/>
  <c r="G525" i="15"/>
  <c r="F525" i="15"/>
  <c r="B525" i="15"/>
  <c r="AL525" i="15" s="1"/>
  <c r="A525" i="15"/>
  <c r="AA524" i="15"/>
  <c r="W524" i="15"/>
  <c r="Y524" i="15" s="1"/>
  <c r="V524" i="15" s="1"/>
  <c r="G524" i="15"/>
  <c r="F524" i="15"/>
  <c r="B524" i="15"/>
  <c r="AL524" i="15" s="1"/>
  <c r="A524" i="15"/>
  <c r="A521" i="15"/>
  <c r="B521" i="15"/>
  <c r="AL521" i="15" s="1"/>
  <c r="F521" i="15"/>
  <c r="G521" i="15"/>
  <c r="W521" i="15"/>
  <c r="Y521" i="15" s="1"/>
  <c r="V521" i="15" s="1"/>
  <c r="AA521" i="15"/>
  <c r="A522" i="15"/>
  <c r="B522" i="15"/>
  <c r="AL522" i="15" s="1"/>
  <c r="F522" i="15"/>
  <c r="G522" i="15"/>
  <c r="W522" i="15"/>
  <c r="Y522" i="15" s="1"/>
  <c r="V522" i="15" s="1"/>
  <c r="AA522" i="15"/>
  <c r="A523" i="15"/>
  <c r="B523" i="15"/>
  <c r="AL523" i="15" s="1"/>
  <c r="F523" i="15"/>
  <c r="G523" i="15"/>
  <c r="W523" i="15"/>
  <c r="AA523" i="15"/>
  <c r="A507" i="15"/>
  <c r="B507" i="15"/>
  <c r="AL507" i="15" s="1"/>
  <c r="F507" i="15"/>
  <c r="G507" i="15"/>
  <c r="AA507" i="15"/>
  <c r="A508" i="15"/>
  <c r="B508" i="15"/>
  <c r="AL508" i="15" s="1"/>
  <c r="F508" i="15"/>
  <c r="G508" i="15"/>
  <c r="AA508" i="15"/>
  <c r="A509" i="15"/>
  <c r="B509" i="15"/>
  <c r="AL509" i="15" s="1"/>
  <c r="F509" i="15"/>
  <c r="G509" i="15"/>
  <c r="AA509" i="15"/>
  <c r="A510" i="15"/>
  <c r="B510" i="15"/>
  <c r="AL510" i="15" s="1"/>
  <c r="F510" i="15"/>
  <c r="G510" i="15"/>
  <c r="AA510" i="15"/>
  <c r="A511" i="15"/>
  <c r="B511" i="15"/>
  <c r="AL511" i="15" s="1"/>
  <c r="F511" i="15"/>
  <c r="G511" i="15"/>
  <c r="AA511" i="15"/>
  <c r="A512" i="15"/>
  <c r="B512" i="15"/>
  <c r="AL512" i="15" s="1"/>
  <c r="F512" i="15"/>
  <c r="G512" i="15"/>
  <c r="AA512" i="15"/>
  <c r="A513" i="15"/>
  <c r="B513" i="15"/>
  <c r="AL513" i="15" s="1"/>
  <c r="F513" i="15"/>
  <c r="G513" i="15"/>
  <c r="AA513" i="15"/>
  <c r="A514" i="15"/>
  <c r="B514" i="15"/>
  <c r="AL514" i="15" s="1"/>
  <c r="F514" i="15"/>
  <c r="G514" i="15"/>
  <c r="W514" i="15"/>
  <c r="AA514" i="15"/>
  <c r="A515" i="15"/>
  <c r="B515" i="15"/>
  <c r="AL515" i="15" s="1"/>
  <c r="F515" i="15"/>
  <c r="G515" i="15"/>
  <c r="W515" i="15"/>
  <c r="Y515" i="15" s="1"/>
  <c r="V515" i="15" s="1"/>
  <c r="AA515" i="15"/>
  <c r="A516" i="15"/>
  <c r="B516" i="15"/>
  <c r="AL516" i="15" s="1"/>
  <c r="F516" i="15"/>
  <c r="G516" i="15"/>
  <c r="W516" i="15"/>
  <c r="AA516" i="15"/>
  <c r="A517" i="15"/>
  <c r="B517" i="15"/>
  <c r="AL517" i="15" s="1"/>
  <c r="F517" i="15"/>
  <c r="G517" i="15"/>
  <c r="W517" i="15"/>
  <c r="Y517" i="15" s="1"/>
  <c r="V517" i="15" s="1"/>
  <c r="AA517" i="15"/>
  <c r="A518" i="15"/>
  <c r="B518" i="15"/>
  <c r="AL518" i="15" s="1"/>
  <c r="F518" i="15"/>
  <c r="G518" i="15"/>
  <c r="W518" i="15"/>
  <c r="Y518" i="15" s="1"/>
  <c r="V518" i="15" s="1"/>
  <c r="AA518" i="15"/>
  <c r="A519" i="15"/>
  <c r="B519" i="15"/>
  <c r="AL519" i="15" s="1"/>
  <c r="F519" i="15"/>
  <c r="G519" i="15"/>
  <c r="W519" i="15"/>
  <c r="AA519" i="15"/>
  <c r="A520" i="15"/>
  <c r="B520" i="15"/>
  <c r="AL520" i="15" s="1"/>
  <c r="F520" i="15"/>
  <c r="G520" i="15"/>
  <c r="W520" i="15"/>
  <c r="Y520" i="15" s="1"/>
  <c r="V520" i="15" s="1"/>
  <c r="AA520" i="15"/>
  <c r="AA506" i="15"/>
  <c r="W506" i="15"/>
  <c r="G506" i="15"/>
  <c r="F506" i="15"/>
  <c r="B506" i="15"/>
  <c r="AL506" i="15" s="1"/>
  <c r="A506" i="15"/>
  <c r="A502" i="15"/>
  <c r="B502" i="15"/>
  <c r="AL502" i="15" s="1"/>
  <c r="F502" i="15"/>
  <c r="G502" i="15"/>
  <c r="W502" i="15"/>
  <c r="Y502" i="15" s="1"/>
  <c r="V502" i="15" s="1"/>
  <c r="AA502" i="15"/>
  <c r="A503" i="15"/>
  <c r="B503" i="15"/>
  <c r="AL503" i="15" s="1"/>
  <c r="F503" i="15"/>
  <c r="G503" i="15"/>
  <c r="W503" i="15"/>
  <c r="AA503" i="15"/>
  <c r="A504" i="15"/>
  <c r="B504" i="15"/>
  <c r="AL504" i="15" s="1"/>
  <c r="F504" i="15"/>
  <c r="G504" i="15"/>
  <c r="W504" i="15"/>
  <c r="Y504" i="15" s="1"/>
  <c r="V504" i="15" s="1"/>
  <c r="AA504" i="15"/>
  <c r="A505" i="15"/>
  <c r="B505" i="15"/>
  <c r="AL505" i="15" s="1"/>
  <c r="F505" i="15"/>
  <c r="G505" i="15"/>
  <c r="W505" i="15"/>
  <c r="Y505" i="15" s="1"/>
  <c r="V505" i="15" s="1"/>
  <c r="U505" i="15" s="1"/>
  <c r="AA505" i="15"/>
  <c r="AA501" i="15"/>
  <c r="W501" i="15"/>
  <c r="G501" i="15"/>
  <c r="F501" i="15"/>
  <c r="B501" i="15"/>
  <c r="AL501" i="15" s="1"/>
  <c r="A501" i="15"/>
  <c r="A483" i="15"/>
  <c r="B483" i="15"/>
  <c r="AL483" i="15" s="1"/>
  <c r="F483" i="15"/>
  <c r="G483" i="15"/>
  <c r="AA483" i="15"/>
  <c r="A484" i="15"/>
  <c r="B484" i="15"/>
  <c r="AL484" i="15" s="1"/>
  <c r="F484" i="15"/>
  <c r="G484" i="15"/>
  <c r="AA484" i="15"/>
  <c r="A485" i="15"/>
  <c r="B485" i="15"/>
  <c r="AL485" i="15" s="1"/>
  <c r="F485" i="15"/>
  <c r="G485" i="15"/>
  <c r="AA485" i="15"/>
  <c r="A486" i="15"/>
  <c r="B486" i="15"/>
  <c r="AL486" i="15" s="1"/>
  <c r="F486" i="15"/>
  <c r="G486" i="15"/>
  <c r="AA486" i="15"/>
  <c r="A487" i="15"/>
  <c r="B487" i="15"/>
  <c r="AL487" i="15" s="1"/>
  <c r="F487" i="15"/>
  <c r="G487" i="15"/>
  <c r="AA487" i="15"/>
  <c r="A488" i="15"/>
  <c r="B488" i="15"/>
  <c r="AL488" i="15" s="1"/>
  <c r="F488" i="15"/>
  <c r="G488" i="15"/>
  <c r="AA488" i="15"/>
  <c r="A489" i="15"/>
  <c r="B489" i="15"/>
  <c r="AL489" i="15" s="1"/>
  <c r="F489" i="15"/>
  <c r="G489" i="15"/>
  <c r="AA489" i="15"/>
  <c r="A490" i="15"/>
  <c r="B490" i="15"/>
  <c r="AL490" i="15" s="1"/>
  <c r="F490" i="15"/>
  <c r="G490" i="15"/>
  <c r="AA490" i="15"/>
  <c r="A491" i="15"/>
  <c r="B491" i="15"/>
  <c r="AL491" i="15" s="1"/>
  <c r="F491" i="15"/>
  <c r="G491" i="15"/>
  <c r="AA491" i="15"/>
  <c r="A492" i="15"/>
  <c r="B492" i="15"/>
  <c r="AL492" i="15" s="1"/>
  <c r="F492" i="15"/>
  <c r="G492" i="15"/>
  <c r="AA492" i="15"/>
  <c r="A493" i="15"/>
  <c r="B493" i="15"/>
  <c r="AL493" i="15" s="1"/>
  <c r="F493" i="15"/>
  <c r="G493" i="15"/>
  <c r="AA493" i="15"/>
  <c r="A494" i="15"/>
  <c r="B494" i="15"/>
  <c r="AL494" i="15" s="1"/>
  <c r="F494" i="15"/>
  <c r="G494" i="15"/>
  <c r="AA494" i="15"/>
  <c r="A495" i="15"/>
  <c r="B495" i="15"/>
  <c r="AL495" i="15" s="1"/>
  <c r="F495" i="15"/>
  <c r="G495" i="15"/>
  <c r="AA495" i="15"/>
  <c r="A496" i="15"/>
  <c r="B496" i="15"/>
  <c r="AL496" i="15" s="1"/>
  <c r="F496" i="15"/>
  <c r="G496" i="15"/>
  <c r="W496" i="15"/>
  <c r="AA496" i="15"/>
  <c r="A497" i="15"/>
  <c r="B497" i="15"/>
  <c r="AL497" i="15" s="1"/>
  <c r="F497" i="15"/>
  <c r="G497" i="15"/>
  <c r="AA497" i="15"/>
  <c r="A498" i="15"/>
  <c r="B498" i="15"/>
  <c r="AL498" i="15" s="1"/>
  <c r="F498" i="15"/>
  <c r="G498" i="15"/>
  <c r="AA498" i="15"/>
  <c r="A499" i="15"/>
  <c r="B499" i="15"/>
  <c r="AL499" i="15" s="1"/>
  <c r="F499" i="15"/>
  <c r="G499" i="15"/>
  <c r="AA499" i="15"/>
  <c r="A500" i="15"/>
  <c r="B500" i="15"/>
  <c r="AL500" i="15" s="1"/>
  <c r="F500" i="15"/>
  <c r="G500" i="15"/>
  <c r="AA500" i="15"/>
  <c r="AA482" i="15"/>
  <c r="G482" i="15"/>
  <c r="F482" i="15"/>
  <c r="B482" i="15"/>
  <c r="AL482" i="15" s="1"/>
  <c r="A482" i="15"/>
  <c r="AA481" i="15"/>
  <c r="W481" i="15"/>
  <c r="Y481" i="15" s="1"/>
  <c r="N481" i="15"/>
  <c r="H481" i="15"/>
  <c r="G481" i="15"/>
  <c r="F481" i="15"/>
  <c r="B481" i="15"/>
  <c r="A481" i="15"/>
  <c r="F480" i="15"/>
  <c r="F479" i="15"/>
  <c r="F478" i="15"/>
  <c r="F477" i="15"/>
  <c r="F476" i="15"/>
  <c r="F475" i="15"/>
  <c r="Z480" i="15"/>
  <c r="Z479" i="15"/>
  <c r="Z478" i="15"/>
  <c r="Z477" i="15"/>
  <c r="Z476" i="15"/>
  <c r="Z475" i="15"/>
  <c r="AA480" i="15"/>
  <c r="AA479" i="15"/>
  <c r="AA478" i="15"/>
  <c r="AA477" i="15"/>
  <c r="AA476" i="15"/>
  <c r="AA475" i="15"/>
  <c r="W480" i="15"/>
  <c r="Y480" i="15" s="1"/>
  <c r="W479" i="15"/>
  <c r="Y479" i="15" s="1"/>
  <c r="W478" i="15"/>
  <c r="Y478" i="15" s="1"/>
  <c r="W477" i="15"/>
  <c r="Y477" i="15" s="1"/>
  <c r="W476" i="15"/>
  <c r="Y476" i="15" s="1"/>
  <c r="W475" i="15"/>
  <c r="Y475" i="15" s="1"/>
  <c r="N480" i="15"/>
  <c r="T480" i="15" s="1"/>
  <c r="N479" i="15"/>
  <c r="T479" i="15" s="1"/>
  <c r="N478" i="15"/>
  <c r="T478" i="15" s="1"/>
  <c r="N477" i="15"/>
  <c r="T477" i="15" s="1"/>
  <c r="N476" i="15"/>
  <c r="T476" i="15" s="1"/>
  <c r="N475" i="15"/>
  <c r="T475" i="15" s="1"/>
  <c r="H480" i="15"/>
  <c r="H479" i="15"/>
  <c r="H478" i="15"/>
  <c r="H477" i="15"/>
  <c r="H476" i="15"/>
  <c r="H475" i="15"/>
  <c r="G480" i="15"/>
  <c r="G479" i="15"/>
  <c r="G478" i="15"/>
  <c r="G477" i="15"/>
  <c r="G476" i="15"/>
  <c r="G475" i="15"/>
  <c r="B480" i="15"/>
  <c r="AL480" i="15" s="1"/>
  <c r="AM480" i="15" s="1"/>
  <c r="B479" i="15"/>
  <c r="AL479" i="15" s="1"/>
  <c r="AM479" i="15" s="1"/>
  <c r="B478" i="15"/>
  <c r="AL478" i="15" s="1"/>
  <c r="AM478" i="15" s="1"/>
  <c r="B477" i="15"/>
  <c r="AL477" i="15" s="1"/>
  <c r="AM477" i="15" s="1"/>
  <c r="B476" i="15"/>
  <c r="AL476" i="15" s="1"/>
  <c r="AM476" i="15" s="1"/>
  <c r="B475" i="15"/>
  <c r="AL475" i="15" s="1"/>
  <c r="AM475" i="15" s="1"/>
  <c r="A480" i="15"/>
  <c r="A479" i="15"/>
  <c r="A478" i="15"/>
  <c r="A477" i="15"/>
  <c r="A476" i="15"/>
  <c r="A475" i="15"/>
  <c r="G474" i="15"/>
  <c r="G473" i="15"/>
  <c r="F474" i="15"/>
  <c r="F473" i="15"/>
  <c r="C474" i="15"/>
  <c r="B474" i="15"/>
  <c r="AL474" i="15" s="1"/>
  <c r="B473" i="15"/>
  <c r="AL473" i="15" s="1"/>
  <c r="A474" i="15"/>
  <c r="A473" i="15"/>
  <c r="A465" i="15"/>
  <c r="G465" i="15"/>
  <c r="A466" i="15"/>
  <c r="G466" i="15"/>
  <c r="A467" i="15"/>
  <c r="G467" i="15"/>
  <c r="A468" i="15"/>
  <c r="G468" i="15"/>
  <c r="A469" i="15"/>
  <c r="G469" i="15"/>
  <c r="A470" i="15"/>
  <c r="G470" i="15"/>
  <c r="A471" i="15"/>
  <c r="G471" i="15"/>
  <c r="A472" i="15"/>
  <c r="G472" i="15"/>
  <c r="G464" i="15"/>
  <c r="A464" i="15"/>
  <c r="A463" i="15"/>
  <c r="B463" i="15"/>
  <c r="AL463" i="15" s="1"/>
  <c r="F463" i="15"/>
  <c r="G463" i="15"/>
  <c r="A459" i="15"/>
  <c r="B459" i="15"/>
  <c r="AL459" i="15" s="1"/>
  <c r="F459" i="15"/>
  <c r="G459" i="15"/>
  <c r="A460" i="15"/>
  <c r="B460" i="15"/>
  <c r="AL460" i="15" s="1"/>
  <c r="F460" i="15"/>
  <c r="G460" i="15"/>
  <c r="A461" i="15"/>
  <c r="B461" i="15"/>
  <c r="AL461" i="15" s="1"/>
  <c r="F461" i="15"/>
  <c r="G461" i="15"/>
  <c r="A462" i="15"/>
  <c r="B462" i="15"/>
  <c r="AL462" i="15" s="1"/>
  <c r="F462" i="15"/>
  <c r="G462" i="15"/>
  <c r="G458" i="15"/>
  <c r="F458" i="15"/>
  <c r="B458" i="15"/>
  <c r="AL458" i="15" s="1"/>
  <c r="A458" i="15"/>
  <c r="G457" i="15"/>
  <c r="G456" i="15"/>
  <c r="F457" i="15"/>
  <c r="F456" i="15"/>
  <c r="B457" i="15"/>
  <c r="AL457" i="15" s="1"/>
  <c r="B456" i="15"/>
  <c r="AL456" i="15" s="1"/>
  <c r="A457" i="15"/>
  <c r="A455" i="15"/>
  <c r="AA443" i="15"/>
  <c r="AA444" i="15"/>
  <c r="AA445" i="15"/>
  <c r="AA453" i="15"/>
  <c r="AA454" i="15"/>
  <c r="AA442" i="15"/>
  <c r="W443" i="15"/>
  <c r="Y443" i="15" s="1"/>
  <c r="W444" i="15"/>
  <c r="Y444" i="15" s="1"/>
  <c r="W445" i="15"/>
  <c r="Y445" i="15" s="1"/>
  <c r="W446" i="15"/>
  <c r="Y446" i="15" s="1"/>
  <c r="W447" i="15"/>
  <c r="Y447" i="15" s="1"/>
  <c r="W448" i="15"/>
  <c r="Y448" i="15" s="1"/>
  <c r="W449" i="15"/>
  <c r="Y449" i="15" s="1"/>
  <c r="W450" i="15"/>
  <c r="Y450" i="15" s="1"/>
  <c r="W451" i="15"/>
  <c r="Y451" i="15" s="1"/>
  <c r="W452" i="15"/>
  <c r="Y452" i="15" s="1"/>
  <c r="W453" i="15"/>
  <c r="Y453" i="15" s="1"/>
  <c r="W454" i="15"/>
  <c r="Y454" i="15" s="1"/>
  <c r="W442" i="15"/>
  <c r="Y442" i="15" s="1"/>
  <c r="G443" i="15"/>
  <c r="G444" i="15"/>
  <c r="G445" i="15"/>
  <c r="G446" i="15"/>
  <c r="G447" i="15"/>
  <c r="G448" i="15"/>
  <c r="G449" i="15"/>
  <c r="G450" i="15"/>
  <c r="G451" i="15"/>
  <c r="G452" i="15"/>
  <c r="G453" i="15"/>
  <c r="G454" i="15"/>
  <c r="G442" i="15"/>
  <c r="F443" i="15"/>
  <c r="F444" i="15"/>
  <c r="F445" i="15"/>
  <c r="F446" i="15"/>
  <c r="F447" i="15"/>
  <c r="F448" i="15"/>
  <c r="F449" i="15"/>
  <c r="F450" i="15"/>
  <c r="F451" i="15"/>
  <c r="F452" i="15"/>
  <c r="F453" i="15"/>
  <c r="F454" i="15"/>
  <c r="F442" i="15"/>
  <c r="B443" i="15"/>
  <c r="AL443" i="15" s="1"/>
  <c r="B444" i="15"/>
  <c r="AL444" i="15" s="1"/>
  <c r="B445" i="15"/>
  <c r="AL445" i="15" s="1"/>
  <c r="B446" i="15"/>
  <c r="AL446" i="15" s="1"/>
  <c r="B447" i="15"/>
  <c r="AL447" i="15" s="1"/>
  <c r="B448" i="15"/>
  <c r="AL448" i="15" s="1"/>
  <c r="B449" i="15"/>
  <c r="AL449" i="15" s="1"/>
  <c r="B450" i="15"/>
  <c r="AL450" i="15" s="1"/>
  <c r="B451" i="15"/>
  <c r="AL451" i="15" s="1"/>
  <c r="B452" i="15"/>
  <c r="AL452" i="15" s="1"/>
  <c r="B453" i="15"/>
  <c r="AL453" i="15" s="1"/>
  <c r="B454" i="15"/>
  <c r="AL454" i="15" s="1"/>
  <c r="B442" i="15"/>
  <c r="AL442" i="15" s="1"/>
  <c r="A443" i="15"/>
  <c r="A444" i="15"/>
  <c r="A445" i="15"/>
  <c r="A446" i="15"/>
  <c r="A447" i="15"/>
  <c r="A448" i="15"/>
  <c r="A449" i="15"/>
  <c r="A450" i="15"/>
  <c r="A451" i="15"/>
  <c r="A452" i="15"/>
  <c r="A453" i="15"/>
  <c r="A454" i="15"/>
  <c r="A442" i="15"/>
  <c r="G441" i="15"/>
  <c r="F441" i="15"/>
  <c r="C441" i="15"/>
  <c r="B441" i="15"/>
  <c r="AL441" i="15" s="1"/>
  <c r="A441" i="15"/>
  <c r="G440" i="15"/>
  <c r="G439" i="15"/>
  <c r="F439" i="15"/>
  <c r="B440" i="15"/>
  <c r="AL440" i="15" s="1"/>
  <c r="B439" i="15"/>
  <c r="AL439" i="15" s="1"/>
  <c r="A440" i="15"/>
  <c r="A439" i="15"/>
  <c r="G430" i="15"/>
  <c r="G431" i="15"/>
  <c r="G432" i="15"/>
  <c r="G433" i="15"/>
  <c r="G434" i="15"/>
  <c r="G435" i="15"/>
  <c r="G436" i="15"/>
  <c r="G437" i="15"/>
  <c r="G438" i="15"/>
  <c r="G429" i="15"/>
  <c r="F430" i="15"/>
  <c r="F431" i="15"/>
  <c r="F432" i="15"/>
  <c r="F433" i="15"/>
  <c r="F434" i="15"/>
  <c r="F435" i="15"/>
  <c r="F436" i="15"/>
  <c r="F437" i="15"/>
  <c r="F438" i="15"/>
  <c r="F429" i="15"/>
  <c r="B430" i="15"/>
  <c r="AL430" i="15" s="1"/>
  <c r="B431" i="15"/>
  <c r="AL431" i="15" s="1"/>
  <c r="B432" i="15"/>
  <c r="AL432" i="15" s="1"/>
  <c r="B433" i="15"/>
  <c r="AL433" i="15" s="1"/>
  <c r="B434" i="15"/>
  <c r="AL434" i="15" s="1"/>
  <c r="B435" i="15"/>
  <c r="AL435" i="15" s="1"/>
  <c r="B436" i="15"/>
  <c r="AL436" i="15" s="1"/>
  <c r="B437" i="15"/>
  <c r="AL437" i="15" s="1"/>
  <c r="B438" i="15"/>
  <c r="AL438" i="15" s="1"/>
  <c r="B429" i="15"/>
  <c r="AL429" i="15" s="1"/>
  <c r="A430" i="15"/>
  <c r="A431" i="15"/>
  <c r="A432" i="15"/>
  <c r="A433" i="15"/>
  <c r="A434" i="15"/>
  <c r="A435" i="15"/>
  <c r="A436" i="15"/>
  <c r="A437" i="15"/>
  <c r="A438" i="15"/>
  <c r="A429" i="15"/>
  <c r="O428" i="15"/>
  <c r="O427" i="15"/>
  <c r="O426" i="15"/>
  <c r="O425" i="15"/>
  <c r="O424" i="15"/>
  <c r="O423" i="15"/>
  <c r="O422" i="15"/>
  <c r="O421" i="15"/>
  <c r="I422" i="15"/>
  <c r="I423" i="15"/>
  <c r="I424" i="15"/>
  <c r="I425" i="15"/>
  <c r="I426" i="15"/>
  <c r="I427" i="15"/>
  <c r="I428" i="15"/>
  <c r="I421" i="15"/>
  <c r="G422" i="15"/>
  <c r="G423" i="15"/>
  <c r="G424" i="15"/>
  <c r="G425" i="15"/>
  <c r="G426" i="15"/>
  <c r="G427" i="15"/>
  <c r="G428" i="15"/>
  <c r="G421" i="15"/>
  <c r="F423" i="15"/>
  <c r="F425" i="15"/>
  <c r="F427" i="15"/>
  <c r="F421" i="15"/>
  <c r="B422" i="15"/>
  <c r="AL422" i="15" s="1"/>
  <c r="B423" i="15"/>
  <c r="AL423" i="15" s="1"/>
  <c r="B424" i="15"/>
  <c r="AL424" i="15" s="1"/>
  <c r="B425" i="15"/>
  <c r="AL425" i="15" s="1"/>
  <c r="B426" i="15"/>
  <c r="AL426" i="15" s="1"/>
  <c r="B427" i="15"/>
  <c r="AL427" i="15" s="1"/>
  <c r="B428" i="15"/>
  <c r="AL428" i="15" s="1"/>
  <c r="B421" i="15"/>
  <c r="AL421" i="15" s="1"/>
  <c r="A422" i="15"/>
  <c r="A423" i="15"/>
  <c r="A424" i="15"/>
  <c r="A425" i="15"/>
  <c r="A426" i="15"/>
  <c r="A427" i="15"/>
  <c r="A428" i="15"/>
  <c r="A421" i="15"/>
  <c r="AA420" i="15"/>
  <c r="W420" i="15"/>
  <c r="Y420" i="15" s="1"/>
  <c r="H420" i="15"/>
  <c r="G420" i="15"/>
  <c r="F420" i="15"/>
  <c r="B420" i="15"/>
  <c r="AL420" i="15" s="1"/>
  <c r="A420" i="15"/>
  <c r="I419" i="15"/>
  <c r="I418" i="15"/>
  <c r="I417" i="15"/>
  <c r="I416" i="15"/>
  <c r="I415" i="15"/>
  <c r="I414" i="15"/>
  <c r="I413" i="15"/>
  <c r="I412" i="15"/>
  <c r="I411" i="15"/>
  <c r="I410" i="15"/>
  <c r="I409" i="15"/>
  <c r="I408" i="15"/>
  <c r="I407" i="15"/>
  <c r="I406" i="15"/>
  <c r="I405" i="15"/>
  <c r="I404" i="15"/>
  <c r="I403" i="15"/>
  <c r="I402" i="15"/>
  <c r="I401" i="15"/>
  <c r="I400" i="15"/>
  <c r="I399" i="15"/>
  <c r="I398" i="15"/>
  <c r="I397" i="15"/>
  <c r="I396" i="15"/>
  <c r="O419" i="15"/>
  <c r="O418" i="15"/>
  <c r="O417" i="15"/>
  <c r="O416" i="15"/>
  <c r="O415" i="15"/>
  <c r="O414" i="15"/>
  <c r="O413" i="15"/>
  <c r="O412" i="15"/>
  <c r="O411" i="15"/>
  <c r="O410" i="15"/>
  <c r="O409" i="15"/>
  <c r="O408" i="15"/>
  <c r="O407" i="15"/>
  <c r="O406" i="15"/>
  <c r="O405" i="15"/>
  <c r="O404" i="15"/>
  <c r="O403" i="15"/>
  <c r="O402" i="15"/>
  <c r="O401" i="15"/>
  <c r="O400" i="15"/>
  <c r="O399" i="15"/>
  <c r="O398" i="15"/>
  <c r="O397" i="15"/>
  <c r="O396" i="15"/>
  <c r="F397" i="15"/>
  <c r="G397" i="15"/>
  <c r="F398" i="15"/>
  <c r="G398" i="15"/>
  <c r="F399" i="15"/>
  <c r="G399" i="15"/>
  <c r="F400" i="15"/>
  <c r="G400" i="15"/>
  <c r="F401" i="15"/>
  <c r="G401" i="15"/>
  <c r="F402" i="15"/>
  <c r="G402" i="15"/>
  <c r="F403" i="15"/>
  <c r="G403" i="15"/>
  <c r="F404" i="15"/>
  <c r="G404" i="15"/>
  <c r="F405" i="15"/>
  <c r="G405" i="15"/>
  <c r="F406" i="15"/>
  <c r="G406" i="15"/>
  <c r="F407" i="15"/>
  <c r="G407" i="15"/>
  <c r="F408" i="15"/>
  <c r="G408" i="15"/>
  <c r="F409" i="15"/>
  <c r="G409" i="15"/>
  <c r="F410" i="15"/>
  <c r="G410" i="15"/>
  <c r="F411" i="15"/>
  <c r="G411" i="15"/>
  <c r="F412" i="15"/>
  <c r="G412" i="15"/>
  <c r="F413" i="15"/>
  <c r="G413" i="15"/>
  <c r="F414" i="15"/>
  <c r="G414" i="15"/>
  <c r="F415" i="15"/>
  <c r="G415" i="15"/>
  <c r="F416" i="15"/>
  <c r="G416" i="15"/>
  <c r="F417" i="15"/>
  <c r="G417" i="15"/>
  <c r="F418" i="15"/>
  <c r="G418" i="15"/>
  <c r="F419" i="15"/>
  <c r="G419" i="15"/>
  <c r="G396" i="15"/>
  <c r="F396" i="15"/>
  <c r="B397" i="15"/>
  <c r="AL397" i="15" s="1"/>
  <c r="B398" i="15"/>
  <c r="AL398" i="15" s="1"/>
  <c r="B399" i="15"/>
  <c r="AL399" i="15" s="1"/>
  <c r="B400" i="15"/>
  <c r="AL400" i="15" s="1"/>
  <c r="B401" i="15"/>
  <c r="AL401" i="15" s="1"/>
  <c r="B402" i="15"/>
  <c r="AL402" i="15" s="1"/>
  <c r="B403" i="15"/>
  <c r="AL403" i="15" s="1"/>
  <c r="B404" i="15"/>
  <c r="AL404" i="15" s="1"/>
  <c r="B405" i="15"/>
  <c r="AL405" i="15" s="1"/>
  <c r="B406" i="15"/>
  <c r="AL406" i="15" s="1"/>
  <c r="B407" i="15"/>
  <c r="AL407" i="15" s="1"/>
  <c r="B408" i="15"/>
  <c r="AL408" i="15" s="1"/>
  <c r="B409" i="15"/>
  <c r="AL409" i="15" s="1"/>
  <c r="B410" i="15"/>
  <c r="AL410" i="15" s="1"/>
  <c r="B411" i="15"/>
  <c r="AL411" i="15" s="1"/>
  <c r="B412" i="15"/>
  <c r="AL412" i="15" s="1"/>
  <c r="B413" i="15"/>
  <c r="AL413" i="15" s="1"/>
  <c r="B414" i="15"/>
  <c r="AL414" i="15" s="1"/>
  <c r="B415" i="15"/>
  <c r="AL415" i="15" s="1"/>
  <c r="B416" i="15"/>
  <c r="AL416" i="15" s="1"/>
  <c r="B417" i="15"/>
  <c r="AL417" i="15" s="1"/>
  <c r="B418" i="15"/>
  <c r="AL418" i="15" s="1"/>
  <c r="B419" i="15"/>
  <c r="AL419" i="15" s="1"/>
  <c r="B396" i="15"/>
  <c r="AL396" i="15" s="1"/>
  <c r="A416" i="15"/>
  <c r="A417" i="15"/>
  <c r="A418" i="15"/>
  <c r="A419" i="15"/>
  <c r="A397" i="15"/>
  <c r="A398" i="15"/>
  <c r="A399" i="15"/>
  <c r="A400" i="15"/>
  <c r="A401" i="15"/>
  <c r="A402" i="15"/>
  <c r="A403" i="15"/>
  <c r="A404" i="15"/>
  <c r="A405" i="15"/>
  <c r="A406" i="15"/>
  <c r="A407" i="15"/>
  <c r="A408" i="15"/>
  <c r="A409" i="15"/>
  <c r="A410" i="15"/>
  <c r="A411" i="15"/>
  <c r="A412" i="15"/>
  <c r="A413" i="15"/>
  <c r="A414" i="15"/>
  <c r="A415" i="15"/>
  <c r="A396" i="15"/>
  <c r="G395" i="15"/>
  <c r="G394" i="15"/>
  <c r="F395" i="15"/>
  <c r="F394" i="15"/>
  <c r="C394" i="15"/>
  <c r="B395" i="15"/>
  <c r="AL395" i="15" s="1"/>
  <c r="C395" i="15"/>
  <c r="B394" i="15"/>
  <c r="AL394" i="15" s="1"/>
  <c r="A395" i="15"/>
  <c r="A394" i="15"/>
  <c r="W388" i="15"/>
  <c r="Y388" i="15" s="1"/>
  <c r="W389" i="15"/>
  <c r="Y389" i="15" s="1"/>
  <c r="W390" i="15"/>
  <c r="Y390" i="15" s="1"/>
  <c r="W391" i="15"/>
  <c r="Y391" i="15" s="1"/>
  <c r="W392" i="15"/>
  <c r="Y392" i="15" s="1"/>
  <c r="W393" i="15"/>
  <c r="Y393" i="15" s="1"/>
  <c r="AA388" i="15"/>
  <c r="AA389" i="15"/>
  <c r="AA390" i="15"/>
  <c r="AA391" i="15"/>
  <c r="AA392" i="15"/>
  <c r="AA387" i="15"/>
  <c r="W387" i="15"/>
  <c r="Y387" i="15" s="1"/>
  <c r="G388" i="15"/>
  <c r="G389" i="15"/>
  <c r="G390" i="15"/>
  <c r="G391" i="15"/>
  <c r="G392" i="15"/>
  <c r="G393" i="15"/>
  <c r="G387" i="15"/>
  <c r="F388" i="15"/>
  <c r="F389" i="15"/>
  <c r="F390" i="15"/>
  <c r="F391" i="15"/>
  <c r="F392" i="15"/>
  <c r="F393" i="15"/>
  <c r="F387" i="15"/>
  <c r="B388" i="15"/>
  <c r="AL388" i="15" s="1"/>
  <c r="B389" i="15"/>
  <c r="AL389" i="15" s="1"/>
  <c r="B390" i="15"/>
  <c r="AL390" i="15" s="1"/>
  <c r="B391" i="15"/>
  <c r="AL391" i="15" s="1"/>
  <c r="B392" i="15"/>
  <c r="AL392" i="15" s="1"/>
  <c r="B393" i="15"/>
  <c r="AL393" i="15" s="1"/>
  <c r="B387" i="15"/>
  <c r="AL387" i="15" s="1"/>
  <c r="A388" i="15"/>
  <c r="A389" i="15"/>
  <c r="A390" i="15"/>
  <c r="A391" i="15"/>
  <c r="A392" i="15"/>
  <c r="A393" i="15"/>
  <c r="A387" i="15"/>
  <c r="W368" i="15"/>
  <c r="Y368" i="15" s="1"/>
  <c r="W369" i="15"/>
  <c r="Y369" i="15" s="1"/>
  <c r="W370" i="15"/>
  <c r="Y370" i="15" s="1"/>
  <c r="W371" i="15"/>
  <c r="Y371" i="15" s="1"/>
  <c r="W372" i="15"/>
  <c r="Y372" i="15" s="1"/>
  <c r="W373" i="15"/>
  <c r="Y373" i="15" s="1"/>
  <c r="W374" i="15"/>
  <c r="Y374" i="15" s="1"/>
  <c r="W375" i="15"/>
  <c r="Y375" i="15" s="1"/>
  <c r="W376" i="15"/>
  <c r="Y376" i="15" s="1"/>
  <c r="W377" i="15"/>
  <c r="Y377" i="15" s="1"/>
  <c r="W378" i="15"/>
  <c r="Y378" i="15" s="1"/>
  <c r="W379" i="15"/>
  <c r="Y379" i="15" s="1"/>
  <c r="W380" i="15"/>
  <c r="Y380" i="15" s="1"/>
  <c r="W381" i="15"/>
  <c r="Y381" i="15" s="1"/>
  <c r="W382" i="15"/>
  <c r="Y382" i="15" s="1"/>
  <c r="W383" i="15"/>
  <c r="Y383" i="15" s="1"/>
  <c r="W384" i="15"/>
  <c r="Y384" i="15" s="1"/>
  <c r="W385" i="15"/>
  <c r="Y385" i="15" s="1"/>
  <c r="W386" i="15"/>
  <c r="Y386" i="15" s="1"/>
  <c r="W367" i="15"/>
  <c r="Y367" i="15" s="1"/>
  <c r="G368" i="15"/>
  <c r="G369" i="15"/>
  <c r="G370" i="15"/>
  <c r="G371" i="15"/>
  <c r="G372" i="15"/>
  <c r="G373" i="15"/>
  <c r="G374" i="15"/>
  <c r="G375" i="15"/>
  <c r="G376" i="15"/>
  <c r="G377" i="15"/>
  <c r="G378" i="15"/>
  <c r="G379" i="15"/>
  <c r="G380" i="15"/>
  <c r="G381" i="15"/>
  <c r="G382" i="15"/>
  <c r="G383" i="15"/>
  <c r="G384" i="15"/>
  <c r="G385" i="15"/>
  <c r="G386" i="15"/>
  <c r="G367" i="15"/>
  <c r="F368" i="15"/>
  <c r="F369" i="15"/>
  <c r="F370" i="15"/>
  <c r="F371" i="15"/>
  <c r="F372" i="15"/>
  <c r="F373" i="15"/>
  <c r="F374" i="15"/>
  <c r="F375" i="15"/>
  <c r="F376" i="15"/>
  <c r="F377" i="15"/>
  <c r="F378" i="15"/>
  <c r="F379" i="15"/>
  <c r="F380" i="15"/>
  <c r="F381" i="15"/>
  <c r="F382" i="15"/>
  <c r="F383" i="15"/>
  <c r="F384" i="15"/>
  <c r="F385" i="15"/>
  <c r="F386" i="15"/>
  <c r="F367" i="15"/>
  <c r="B368" i="15"/>
  <c r="AL368" i="15" s="1"/>
  <c r="B369" i="15"/>
  <c r="AL369" i="15" s="1"/>
  <c r="B370" i="15"/>
  <c r="AL370" i="15" s="1"/>
  <c r="B371" i="15"/>
  <c r="AL371" i="15" s="1"/>
  <c r="B372" i="15"/>
  <c r="AL372" i="15" s="1"/>
  <c r="B373" i="15"/>
  <c r="AL373" i="15" s="1"/>
  <c r="B374" i="15"/>
  <c r="AL374" i="15" s="1"/>
  <c r="B375" i="15"/>
  <c r="AL375" i="15" s="1"/>
  <c r="B376" i="15"/>
  <c r="AL376" i="15" s="1"/>
  <c r="B377" i="15"/>
  <c r="AL377" i="15" s="1"/>
  <c r="B378" i="15"/>
  <c r="AL378" i="15" s="1"/>
  <c r="B379" i="15"/>
  <c r="AL379" i="15" s="1"/>
  <c r="B380" i="15"/>
  <c r="AL380" i="15" s="1"/>
  <c r="B381" i="15"/>
  <c r="AL381" i="15" s="1"/>
  <c r="B382" i="15"/>
  <c r="AL382" i="15" s="1"/>
  <c r="B383" i="15"/>
  <c r="AL383" i="15" s="1"/>
  <c r="B384" i="15"/>
  <c r="AL384" i="15" s="1"/>
  <c r="B385" i="15"/>
  <c r="AL385" i="15" s="1"/>
  <c r="B386" i="15"/>
  <c r="AL386" i="15" s="1"/>
  <c r="B367" i="15"/>
  <c r="AL367" i="15" s="1"/>
  <c r="A368" i="15"/>
  <c r="A369" i="15"/>
  <c r="A370" i="15"/>
  <c r="A371" i="15"/>
  <c r="A372" i="15"/>
  <c r="A373" i="15"/>
  <c r="A374" i="15"/>
  <c r="A375" i="15"/>
  <c r="A376" i="15"/>
  <c r="A377" i="15"/>
  <c r="A378" i="15"/>
  <c r="A379" i="15"/>
  <c r="A380" i="15"/>
  <c r="A381" i="15"/>
  <c r="A382" i="15"/>
  <c r="A383" i="15"/>
  <c r="A384" i="15"/>
  <c r="A385" i="15"/>
  <c r="A386" i="15"/>
  <c r="A367" i="15"/>
  <c r="G366" i="15"/>
  <c r="F366" i="15"/>
  <c r="B366" i="15"/>
  <c r="AL366" i="15" s="1"/>
  <c r="A366" i="15"/>
  <c r="G365" i="15"/>
  <c r="F365" i="15"/>
  <c r="B365" i="15"/>
  <c r="AL365" i="15" s="1"/>
  <c r="A365" i="15"/>
  <c r="G364" i="15"/>
  <c r="F364" i="15"/>
  <c r="B364" i="15"/>
  <c r="AL364" i="15" s="1"/>
  <c r="A364" i="15"/>
  <c r="B363" i="15"/>
  <c r="AL363" i="15" s="1"/>
  <c r="F363" i="15"/>
  <c r="G363" i="15"/>
  <c r="G362" i="15"/>
  <c r="F362" i="15"/>
  <c r="B362" i="15"/>
  <c r="AL362" i="15" s="1"/>
  <c r="A363" i="15"/>
  <c r="A362" i="15"/>
  <c r="O361" i="15"/>
  <c r="O360" i="15"/>
  <c r="O359" i="15"/>
  <c r="O358" i="15"/>
  <c r="O357" i="15"/>
  <c r="O356" i="15"/>
  <c r="O355" i="15"/>
  <c r="O354" i="15"/>
  <c r="O353" i="15"/>
  <c r="O352" i="15"/>
  <c r="O351" i="15"/>
  <c r="O350" i="15"/>
  <c r="I361" i="15"/>
  <c r="I360" i="15"/>
  <c r="I359" i="15"/>
  <c r="I358" i="15"/>
  <c r="I357" i="15"/>
  <c r="I356" i="15"/>
  <c r="I355" i="15"/>
  <c r="I354" i="15"/>
  <c r="I353" i="15"/>
  <c r="I352" i="15"/>
  <c r="I351" i="15"/>
  <c r="I350" i="15"/>
  <c r="K356" i="15"/>
  <c r="K357" i="15"/>
  <c r="K358" i="15"/>
  <c r="G351" i="15"/>
  <c r="G352" i="15"/>
  <c r="G353" i="15"/>
  <c r="G354" i="15"/>
  <c r="G355" i="15"/>
  <c r="G356" i="15"/>
  <c r="G357" i="15"/>
  <c r="G358" i="15"/>
  <c r="G359" i="15"/>
  <c r="G360" i="15"/>
  <c r="G361" i="15"/>
  <c r="G350" i="15"/>
  <c r="F352" i="15"/>
  <c r="F353" i="15"/>
  <c r="F355" i="15"/>
  <c r="F356" i="15"/>
  <c r="F358" i="15"/>
  <c r="F359" i="15"/>
  <c r="F361" i="15"/>
  <c r="F350" i="15"/>
  <c r="C350" i="15"/>
  <c r="B351" i="15"/>
  <c r="AL351" i="15" s="1"/>
  <c r="C351" i="15"/>
  <c r="B352" i="15"/>
  <c r="AL352" i="15" s="1"/>
  <c r="C352" i="15"/>
  <c r="B353" i="15"/>
  <c r="AL353" i="15" s="1"/>
  <c r="C353" i="15"/>
  <c r="B354" i="15"/>
  <c r="AL354" i="15" s="1"/>
  <c r="C354" i="15"/>
  <c r="B355" i="15"/>
  <c r="AL355" i="15" s="1"/>
  <c r="C355" i="15"/>
  <c r="B356" i="15"/>
  <c r="AL356" i="15" s="1"/>
  <c r="C356" i="15"/>
  <c r="B357" i="15"/>
  <c r="AL357" i="15" s="1"/>
  <c r="C357" i="15"/>
  <c r="B358" i="15"/>
  <c r="AL358" i="15" s="1"/>
  <c r="C358" i="15"/>
  <c r="B359" i="15"/>
  <c r="AL359" i="15" s="1"/>
  <c r="C359" i="15"/>
  <c r="B360" i="15"/>
  <c r="AL360" i="15" s="1"/>
  <c r="C360" i="15"/>
  <c r="B361" i="15"/>
  <c r="AL361" i="15" s="1"/>
  <c r="C361" i="15"/>
  <c r="B350" i="15"/>
  <c r="AL350" i="15" s="1"/>
  <c r="A351" i="15"/>
  <c r="A352" i="15"/>
  <c r="A353" i="15"/>
  <c r="A354" i="15"/>
  <c r="A355" i="15"/>
  <c r="A356" i="15"/>
  <c r="A357" i="15"/>
  <c r="A358" i="15"/>
  <c r="A359" i="15"/>
  <c r="A360" i="15"/>
  <c r="A361" i="15"/>
  <c r="A350" i="15"/>
  <c r="G348" i="15"/>
  <c r="G349" i="15"/>
  <c r="G347" i="15"/>
  <c r="F348" i="15"/>
  <c r="F349" i="15"/>
  <c r="F347" i="15"/>
  <c r="B348" i="15"/>
  <c r="AL348" i="15" s="1"/>
  <c r="B349" i="15"/>
  <c r="AL349" i="15" s="1"/>
  <c r="B347" i="15"/>
  <c r="AL347" i="15" s="1"/>
  <c r="A348" i="15"/>
  <c r="A349" i="15"/>
  <c r="A347" i="15"/>
  <c r="AA346" i="15"/>
  <c r="G343" i="15"/>
  <c r="G344" i="15"/>
  <c r="G345" i="15"/>
  <c r="G346" i="15"/>
  <c r="G342" i="15"/>
  <c r="F343" i="15"/>
  <c r="F344" i="15"/>
  <c r="F345" i="15"/>
  <c r="F346" i="15"/>
  <c r="F342" i="15"/>
  <c r="B343" i="15"/>
  <c r="AL343" i="15" s="1"/>
  <c r="B344" i="15"/>
  <c r="AL344" i="15" s="1"/>
  <c r="B345" i="15"/>
  <c r="AL345" i="15" s="1"/>
  <c r="B346" i="15"/>
  <c r="AL346" i="15" s="1"/>
  <c r="B342" i="15"/>
  <c r="AL342" i="15" s="1"/>
  <c r="A343" i="15"/>
  <c r="A344" i="15"/>
  <c r="A345" i="15"/>
  <c r="A346" i="15"/>
  <c r="A342" i="15"/>
  <c r="G340" i="15"/>
  <c r="G341" i="15"/>
  <c r="G339" i="15"/>
  <c r="F340" i="15"/>
  <c r="F341" i="15"/>
  <c r="F339" i="15"/>
  <c r="A340" i="15"/>
  <c r="A341" i="15"/>
  <c r="A339" i="15"/>
  <c r="B340" i="15"/>
  <c r="AL340" i="15" s="1"/>
  <c r="B341" i="15"/>
  <c r="AL341" i="15" s="1"/>
  <c r="B339" i="15"/>
  <c r="AL339" i="15" s="1"/>
  <c r="I275" i="15"/>
  <c r="I276" i="15"/>
  <c r="I277" i="15"/>
  <c r="I278" i="15"/>
  <c r="I279" i="15"/>
  <c r="I280" i="15"/>
  <c r="I281" i="15"/>
  <c r="I282" i="15"/>
  <c r="I283" i="15"/>
  <c r="I284" i="15"/>
  <c r="I285" i="15"/>
  <c r="I286" i="15"/>
  <c r="I287" i="15"/>
  <c r="I288" i="15"/>
  <c r="I289" i="15"/>
  <c r="I290" i="15"/>
  <c r="I291" i="15"/>
  <c r="I292" i="15"/>
  <c r="I293" i="15"/>
  <c r="I294" i="15"/>
  <c r="I295" i="15"/>
  <c r="I296" i="15"/>
  <c r="I297" i="15"/>
  <c r="I298" i="15"/>
  <c r="I299" i="15"/>
  <c r="I300" i="15"/>
  <c r="I301" i="15"/>
  <c r="I302" i="15"/>
  <c r="I303" i="15"/>
  <c r="I304" i="15"/>
  <c r="I305" i="15"/>
  <c r="I306" i="15"/>
  <c r="I307" i="15"/>
  <c r="I311" i="15"/>
  <c r="I312" i="15"/>
  <c r="I313" i="15"/>
  <c r="I314" i="15"/>
  <c r="I315" i="15"/>
  <c r="I316" i="15"/>
  <c r="I317" i="15"/>
  <c r="I318" i="15"/>
  <c r="I319" i="15"/>
  <c r="I329" i="15"/>
  <c r="I330" i="15"/>
  <c r="I331" i="15"/>
  <c r="I332" i="15"/>
  <c r="I333" i="15"/>
  <c r="I334" i="15"/>
  <c r="I335" i="15"/>
  <c r="I336" i="15"/>
  <c r="I337" i="15"/>
  <c r="I338" i="15"/>
  <c r="I328" i="15"/>
  <c r="O338" i="15"/>
  <c r="O337" i="15"/>
  <c r="O336" i="15"/>
  <c r="O335" i="15"/>
  <c r="O334" i="15"/>
  <c r="O333" i="15"/>
  <c r="O332" i="15"/>
  <c r="O331" i="15"/>
  <c r="O330" i="15"/>
  <c r="O329" i="15"/>
  <c r="O328" i="15"/>
  <c r="C328" i="15"/>
  <c r="B329" i="15"/>
  <c r="AL329" i="15" s="1"/>
  <c r="F329" i="15"/>
  <c r="G329" i="15"/>
  <c r="C329" i="15"/>
  <c r="B330" i="15"/>
  <c r="AL330" i="15" s="1"/>
  <c r="F330" i="15"/>
  <c r="G330" i="15"/>
  <c r="C330" i="15"/>
  <c r="B331" i="15"/>
  <c r="AL331" i="15" s="1"/>
  <c r="F331" i="15"/>
  <c r="G331" i="15"/>
  <c r="C331" i="15"/>
  <c r="B332" i="15"/>
  <c r="AL332" i="15" s="1"/>
  <c r="G332" i="15"/>
  <c r="C332" i="15"/>
  <c r="B333" i="15"/>
  <c r="AL333" i="15" s="1"/>
  <c r="F333" i="15"/>
  <c r="G333" i="15"/>
  <c r="C333" i="15"/>
  <c r="B334" i="15"/>
  <c r="AL334" i="15" s="1"/>
  <c r="F334" i="15"/>
  <c r="G334" i="15"/>
  <c r="C334" i="15"/>
  <c r="B335" i="15"/>
  <c r="AL335" i="15" s="1"/>
  <c r="G335" i="15"/>
  <c r="C335" i="15"/>
  <c r="B336" i="15"/>
  <c r="AL336" i="15" s="1"/>
  <c r="F336" i="15"/>
  <c r="G336" i="15"/>
  <c r="C336" i="15"/>
  <c r="B337" i="15"/>
  <c r="AL337" i="15" s="1"/>
  <c r="F337" i="15"/>
  <c r="G337" i="15"/>
  <c r="C337" i="15"/>
  <c r="B338" i="15"/>
  <c r="AL338" i="15" s="1"/>
  <c r="G338" i="15"/>
  <c r="C338" i="15"/>
  <c r="G328" i="15"/>
  <c r="F328" i="15"/>
  <c r="B328" i="15"/>
  <c r="AL328" i="15" s="1"/>
  <c r="A338" i="15"/>
  <c r="A329" i="15"/>
  <c r="A330" i="15"/>
  <c r="A331" i="15"/>
  <c r="A332" i="15"/>
  <c r="A333" i="15"/>
  <c r="A334" i="15"/>
  <c r="A335" i="15"/>
  <c r="A336" i="15"/>
  <c r="A337" i="15"/>
  <c r="A328" i="15"/>
  <c r="F321" i="15"/>
  <c r="G321" i="15"/>
  <c r="F322" i="15"/>
  <c r="G322" i="15"/>
  <c r="F323" i="15"/>
  <c r="G323" i="15"/>
  <c r="F324" i="15"/>
  <c r="G324" i="15"/>
  <c r="F325" i="15"/>
  <c r="G325" i="15"/>
  <c r="F326" i="15"/>
  <c r="G326" i="15"/>
  <c r="F327" i="15"/>
  <c r="G327" i="15"/>
  <c r="G320" i="15"/>
  <c r="F320" i="15"/>
  <c r="B321" i="15"/>
  <c r="AL321" i="15" s="1"/>
  <c r="B322" i="15"/>
  <c r="AL322" i="15" s="1"/>
  <c r="B323" i="15"/>
  <c r="AL323" i="15" s="1"/>
  <c r="B324" i="15"/>
  <c r="AL324" i="15" s="1"/>
  <c r="B325" i="15"/>
  <c r="AL325" i="15" s="1"/>
  <c r="B326" i="15"/>
  <c r="AL326" i="15" s="1"/>
  <c r="B327" i="15"/>
  <c r="AL327" i="15" s="1"/>
  <c r="B320" i="15"/>
  <c r="AL320" i="15" s="1"/>
  <c r="A326" i="15"/>
  <c r="A327" i="15"/>
  <c r="A321" i="15"/>
  <c r="A322" i="15"/>
  <c r="A323" i="15"/>
  <c r="A324" i="15"/>
  <c r="A325" i="15"/>
  <c r="A320" i="15"/>
  <c r="G317" i="15"/>
  <c r="G318" i="15"/>
  <c r="G319" i="15"/>
  <c r="G316" i="15"/>
  <c r="F318" i="15"/>
  <c r="F319" i="15"/>
  <c r="F317" i="15"/>
  <c r="F316" i="15"/>
  <c r="B317" i="15"/>
  <c r="AL317" i="15" s="1"/>
  <c r="B318" i="15"/>
  <c r="AL318" i="15" s="1"/>
  <c r="B319" i="15"/>
  <c r="AL319" i="15" s="1"/>
  <c r="B316" i="15"/>
  <c r="AL316" i="15" s="1"/>
  <c r="A317" i="15"/>
  <c r="A318" i="15"/>
  <c r="A319" i="15"/>
  <c r="A316" i="15"/>
  <c r="G314" i="15"/>
  <c r="G315" i="15"/>
  <c r="G313" i="15"/>
  <c r="F314" i="15"/>
  <c r="F315" i="15"/>
  <c r="F313" i="15"/>
  <c r="B314" i="15"/>
  <c r="AL314" i="15" s="1"/>
  <c r="B315" i="15"/>
  <c r="AL315" i="15" s="1"/>
  <c r="B313" i="15"/>
  <c r="AL313" i="15" s="1"/>
  <c r="A314" i="15"/>
  <c r="A315" i="15"/>
  <c r="A313" i="15"/>
  <c r="G312" i="15"/>
  <c r="G311" i="15"/>
  <c r="G306" i="15"/>
  <c r="G307" i="15"/>
  <c r="G305" i="15"/>
  <c r="F311" i="15"/>
  <c r="F306" i="15"/>
  <c r="F307" i="15"/>
  <c r="F305" i="15"/>
  <c r="B312" i="15"/>
  <c r="AL312" i="15" s="1"/>
  <c r="B311" i="15"/>
  <c r="AL311" i="15" s="1"/>
  <c r="B306" i="15"/>
  <c r="AL306" i="15" s="1"/>
  <c r="B307" i="15"/>
  <c r="AL307" i="15" s="1"/>
  <c r="B305" i="15"/>
  <c r="AL305" i="15" s="1"/>
  <c r="A312" i="15"/>
  <c r="A311" i="15"/>
  <c r="A306" i="15"/>
  <c r="A307" i="15"/>
  <c r="A305" i="15"/>
  <c r="O275" i="15"/>
  <c r="O276" i="15"/>
  <c r="O277" i="15"/>
  <c r="O278" i="15"/>
  <c r="O279" i="15"/>
  <c r="O280" i="15"/>
  <c r="O281" i="15"/>
  <c r="O282" i="15"/>
  <c r="O283" i="15"/>
  <c r="O284" i="15"/>
  <c r="O285" i="15"/>
  <c r="O286" i="15"/>
  <c r="O287" i="15"/>
  <c r="O288" i="15"/>
  <c r="O289" i="15"/>
  <c r="O290" i="15"/>
  <c r="O291" i="15"/>
  <c r="O292" i="15"/>
  <c r="O293" i="15"/>
  <c r="O294" i="15"/>
  <c r="O295" i="15"/>
  <c r="O296" i="15"/>
  <c r="O297" i="15"/>
  <c r="O298" i="15"/>
  <c r="O299" i="15"/>
  <c r="O300" i="15"/>
  <c r="O301" i="15"/>
  <c r="O302" i="15"/>
  <c r="O303" i="15"/>
  <c r="O304" i="15"/>
  <c r="B276" i="15"/>
  <c r="AL276" i="15" s="1"/>
  <c r="F276" i="15"/>
  <c r="G276" i="15"/>
  <c r="B277" i="15"/>
  <c r="AL277" i="15" s="1"/>
  <c r="F277" i="15"/>
  <c r="G277" i="15"/>
  <c r="B278" i="15"/>
  <c r="AL278" i="15" s="1"/>
  <c r="F278" i="15"/>
  <c r="G278" i="15"/>
  <c r="B279" i="15"/>
  <c r="AL279" i="15" s="1"/>
  <c r="F279" i="15"/>
  <c r="G279" i="15"/>
  <c r="B280" i="15"/>
  <c r="AL280" i="15" s="1"/>
  <c r="F280" i="15"/>
  <c r="G280" i="15"/>
  <c r="B281" i="15"/>
  <c r="AL281" i="15" s="1"/>
  <c r="F281" i="15"/>
  <c r="G281" i="15"/>
  <c r="B282" i="15"/>
  <c r="AL282" i="15" s="1"/>
  <c r="F282" i="15"/>
  <c r="G282" i="15"/>
  <c r="B283" i="15"/>
  <c r="AL283" i="15" s="1"/>
  <c r="F283" i="15"/>
  <c r="G283" i="15"/>
  <c r="B284" i="15"/>
  <c r="AL284" i="15" s="1"/>
  <c r="F284" i="15"/>
  <c r="G284" i="15"/>
  <c r="B285" i="15"/>
  <c r="AL285" i="15" s="1"/>
  <c r="F285" i="15"/>
  <c r="G285" i="15"/>
  <c r="B286" i="15"/>
  <c r="AL286" i="15" s="1"/>
  <c r="F286" i="15"/>
  <c r="G286" i="15"/>
  <c r="B287" i="15"/>
  <c r="AL287" i="15" s="1"/>
  <c r="F287" i="15"/>
  <c r="G287" i="15"/>
  <c r="B288" i="15"/>
  <c r="AL288" i="15" s="1"/>
  <c r="F288" i="15"/>
  <c r="G288" i="15"/>
  <c r="B289" i="15"/>
  <c r="AL289" i="15" s="1"/>
  <c r="F289" i="15"/>
  <c r="G289" i="15"/>
  <c r="B290" i="15"/>
  <c r="AL290" i="15" s="1"/>
  <c r="F290" i="15"/>
  <c r="G290" i="15"/>
  <c r="B291" i="15"/>
  <c r="AL291" i="15" s="1"/>
  <c r="F291" i="15"/>
  <c r="G291" i="15"/>
  <c r="B292" i="15"/>
  <c r="AL292" i="15" s="1"/>
  <c r="F292" i="15"/>
  <c r="G292" i="15"/>
  <c r="B293" i="15"/>
  <c r="AL293" i="15" s="1"/>
  <c r="F293" i="15"/>
  <c r="G293" i="15"/>
  <c r="B294" i="15"/>
  <c r="AL294" i="15" s="1"/>
  <c r="F294" i="15"/>
  <c r="G294" i="15"/>
  <c r="B295" i="15"/>
  <c r="AL295" i="15" s="1"/>
  <c r="F295" i="15"/>
  <c r="G295" i="15"/>
  <c r="B296" i="15"/>
  <c r="AL296" i="15" s="1"/>
  <c r="F296" i="15"/>
  <c r="G296" i="15"/>
  <c r="B297" i="15"/>
  <c r="AL297" i="15" s="1"/>
  <c r="F297" i="15"/>
  <c r="G297" i="15"/>
  <c r="B298" i="15"/>
  <c r="AL298" i="15" s="1"/>
  <c r="F298" i="15"/>
  <c r="G298" i="15"/>
  <c r="B299" i="15"/>
  <c r="AL299" i="15" s="1"/>
  <c r="F299" i="15"/>
  <c r="G299" i="15"/>
  <c r="B300" i="15"/>
  <c r="AL300" i="15" s="1"/>
  <c r="F300" i="15"/>
  <c r="G300" i="15"/>
  <c r="B301" i="15"/>
  <c r="AL301" i="15" s="1"/>
  <c r="F301" i="15"/>
  <c r="G301" i="15"/>
  <c r="B302" i="15"/>
  <c r="AL302" i="15" s="1"/>
  <c r="F302" i="15"/>
  <c r="G302" i="15"/>
  <c r="B303" i="15"/>
  <c r="AL303" i="15" s="1"/>
  <c r="F303" i="15"/>
  <c r="G303" i="15"/>
  <c r="B304" i="15"/>
  <c r="AL304" i="15" s="1"/>
  <c r="F304" i="15"/>
  <c r="G304" i="15"/>
  <c r="G275" i="15"/>
  <c r="F275" i="15"/>
  <c r="B275" i="15"/>
  <c r="AL275" i="15" s="1"/>
  <c r="A302" i="15"/>
  <c r="A303" i="15"/>
  <c r="A304" i="15"/>
  <c r="A298" i="15"/>
  <c r="A299" i="15"/>
  <c r="A300" i="15"/>
  <c r="A301" i="15"/>
  <c r="A276" i="15"/>
  <c r="A277" i="15"/>
  <c r="A278" i="15"/>
  <c r="A279" i="15"/>
  <c r="A280" i="15"/>
  <c r="A281" i="15"/>
  <c r="A282" i="15"/>
  <c r="A283" i="15"/>
  <c r="A284" i="15"/>
  <c r="A285" i="15"/>
  <c r="A286" i="15"/>
  <c r="A287" i="15"/>
  <c r="A288" i="15"/>
  <c r="A289" i="15"/>
  <c r="A290" i="15"/>
  <c r="A291" i="15"/>
  <c r="A292" i="15"/>
  <c r="A293" i="15"/>
  <c r="A294" i="15"/>
  <c r="A295" i="15"/>
  <c r="A296" i="15"/>
  <c r="A297" i="15"/>
  <c r="A275" i="15"/>
  <c r="Z273" i="15"/>
  <c r="Z274" i="15"/>
  <c r="O267" i="15"/>
  <c r="O268" i="15"/>
  <c r="O269" i="15"/>
  <c r="O270" i="15"/>
  <c r="O271" i="15"/>
  <c r="O272" i="15"/>
  <c r="O273" i="15"/>
  <c r="O274" i="15"/>
  <c r="I267" i="15"/>
  <c r="I268" i="15"/>
  <c r="I269" i="15"/>
  <c r="I270" i="15"/>
  <c r="I271" i="15"/>
  <c r="I272" i="15"/>
  <c r="I273" i="15"/>
  <c r="I274" i="15"/>
  <c r="G267" i="15"/>
  <c r="F268" i="15"/>
  <c r="F269" i="15"/>
  <c r="F270" i="15"/>
  <c r="F271" i="15"/>
  <c r="F272" i="15"/>
  <c r="F273" i="15"/>
  <c r="F274" i="15"/>
  <c r="F267" i="15"/>
  <c r="B268" i="15"/>
  <c r="AL268" i="15" s="1"/>
  <c r="B269" i="15"/>
  <c r="AL269" i="15" s="1"/>
  <c r="B270" i="15"/>
  <c r="AL270" i="15" s="1"/>
  <c r="B271" i="15"/>
  <c r="AL271" i="15" s="1"/>
  <c r="B272" i="15"/>
  <c r="AL272" i="15" s="1"/>
  <c r="B273" i="15"/>
  <c r="AL273" i="15" s="1"/>
  <c r="B274" i="15"/>
  <c r="AL274" i="15" s="1"/>
  <c r="B267" i="15"/>
  <c r="AL267" i="15" s="1"/>
  <c r="A268" i="15"/>
  <c r="A269" i="15"/>
  <c r="A270" i="15"/>
  <c r="A271" i="15"/>
  <c r="A272" i="15"/>
  <c r="A273" i="15"/>
  <c r="A274" i="15"/>
  <c r="A267" i="15"/>
  <c r="AA257" i="15"/>
  <c r="AA260" i="15"/>
  <c r="AA263" i="15"/>
  <c r="AA266" i="15"/>
  <c r="O255" i="15"/>
  <c r="O256" i="15"/>
  <c r="O257" i="15"/>
  <c r="O258" i="15"/>
  <c r="O259" i="15"/>
  <c r="O260" i="15"/>
  <c r="O261" i="15"/>
  <c r="O262" i="15"/>
  <c r="O263" i="15"/>
  <c r="O264" i="15"/>
  <c r="O265" i="15"/>
  <c r="O266" i="15"/>
  <c r="I255" i="15"/>
  <c r="I256" i="15"/>
  <c r="I257" i="15"/>
  <c r="I258" i="15"/>
  <c r="I259" i="15"/>
  <c r="I260" i="15"/>
  <c r="I261" i="15"/>
  <c r="I262" i="15"/>
  <c r="I263" i="15"/>
  <c r="I264" i="15"/>
  <c r="I265" i="15"/>
  <c r="I266" i="15"/>
  <c r="G256" i="15"/>
  <c r="G257" i="15"/>
  <c r="G258" i="15"/>
  <c r="G259" i="15"/>
  <c r="G260" i="15"/>
  <c r="G261" i="15"/>
  <c r="G262" i="15"/>
  <c r="G263" i="15"/>
  <c r="G264" i="15"/>
  <c r="G265" i="15"/>
  <c r="G266" i="15"/>
  <c r="G255" i="15"/>
  <c r="F256" i="15"/>
  <c r="F258" i="15"/>
  <c r="F259" i="15"/>
  <c r="F261" i="15"/>
  <c r="F262" i="15"/>
  <c r="F264" i="15"/>
  <c r="F265" i="15"/>
  <c r="F255" i="15"/>
  <c r="B256" i="15"/>
  <c r="AL256" i="15" s="1"/>
  <c r="B257" i="15"/>
  <c r="AL257" i="15" s="1"/>
  <c r="B258" i="15"/>
  <c r="AL258" i="15" s="1"/>
  <c r="B259" i="15"/>
  <c r="AL259" i="15" s="1"/>
  <c r="B260" i="15"/>
  <c r="AL260" i="15" s="1"/>
  <c r="B261" i="15"/>
  <c r="AL261" i="15" s="1"/>
  <c r="B262" i="15"/>
  <c r="AL262" i="15" s="1"/>
  <c r="B263" i="15"/>
  <c r="AL263" i="15" s="1"/>
  <c r="B264" i="15"/>
  <c r="AL264" i="15" s="1"/>
  <c r="B265" i="15"/>
  <c r="AL265" i="15" s="1"/>
  <c r="B266" i="15"/>
  <c r="AL266" i="15" s="1"/>
  <c r="B255" i="15"/>
  <c r="AL255" i="15" s="1"/>
  <c r="A256" i="15"/>
  <c r="A257" i="15"/>
  <c r="A258" i="15"/>
  <c r="A259" i="15"/>
  <c r="A260" i="15"/>
  <c r="A261" i="15"/>
  <c r="A262" i="15"/>
  <c r="A263" i="15"/>
  <c r="A264" i="15"/>
  <c r="A265" i="15"/>
  <c r="A266" i="15"/>
  <c r="A255" i="15"/>
  <c r="O91" i="15"/>
  <c r="O94" i="15"/>
  <c r="O95" i="15"/>
  <c r="O97" i="15"/>
  <c r="O100" i="15"/>
  <c r="O101" i="15"/>
  <c r="O103" i="15"/>
  <c r="O106" i="15"/>
  <c r="O107" i="15"/>
  <c r="O109" i="15"/>
  <c r="O112" i="15"/>
  <c r="O113" i="15"/>
  <c r="O139" i="15"/>
  <c r="I245" i="15"/>
  <c r="I246" i="15"/>
  <c r="I247" i="15"/>
  <c r="I248" i="15"/>
  <c r="I249" i="15"/>
  <c r="I250" i="15"/>
  <c r="I251" i="15"/>
  <c r="I252" i="15"/>
  <c r="I253" i="15"/>
  <c r="I254" i="15"/>
  <c r="O245" i="15"/>
  <c r="O246" i="15"/>
  <c r="O247" i="15"/>
  <c r="O248" i="15"/>
  <c r="O249" i="15"/>
  <c r="O250" i="15"/>
  <c r="O251" i="15"/>
  <c r="O252" i="15"/>
  <c r="O253" i="15"/>
  <c r="O254" i="15"/>
  <c r="O234" i="15"/>
  <c r="O240" i="15"/>
  <c r="O241" i="15"/>
  <c r="O242" i="15"/>
  <c r="I234" i="15"/>
  <c r="I240" i="15"/>
  <c r="I241" i="15"/>
  <c r="I242" i="15"/>
  <c r="O215" i="15"/>
  <c r="O217" i="15"/>
  <c r="O199" i="15"/>
  <c r="O200" i="15"/>
  <c r="O201" i="15"/>
  <c r="O203" i="15"/>
  <c r="O204" i="15"/>
  <c r="O205" i="15"/>
  <c r="O209" i="15"/>
  <c r="O210" i="15"/>
  <c r="O211" i="15"/>
  <c r="O213" i="15"/>
  <c r="I209" i="15"/>
  <c r="I210" i="15"/>
  <c r="I211" i="15"/>
  <c r="I213" i="15"/>
  <c r="I215" i="15"/>
  <c r="I217" i="15"/>
  <c r="I203" i="15"/>
  <c r="I204" i="15"/>
  <c r="I205" i="15"/>
  <c r="I191" i="15"/>
  <c r="I192" i="15"/>
  <c r="I193" i="15"/>
  <c r="I194" i="15"/>
  <c r="I195" i="15"/>
  <c r="I196" i="15"/>
  <c r="I197" i="15"/>
  <c r="I198" i="15"/>
  <c r="I199" i="15"/>
  <c r="I200" i="15"/>
  <c r="I201" i="15"/>
  <c r="O191" i="15"/>
  <c r="O192" i="15"/>
  <c r="O193" i="15"/>
  <c r="O194" i="15"/>
  <c r="O195" i="15"/>
  <c r="O196" i="15"/>
  <c r="O197" i="15"/>
  <c r="O198" i="15"/>
  <c r="C189" i="15"/>
  <c r="D189" i="15"/>
  <c r="E189" i="15"/>
  <c r="O185" i="15"/>
  <c r="O186" i="15"/>
  <c r="O187" i="15"/>
  <c r="O188" i="15"/>
  <c r="I185" i="15"/>
  <c r="I186" i="15"/>
  <c r="I187" i="15"/>
  <c r="I188" i="15"/>
  <c r="AN480" i="15" l="1"/>
  <c r="AM420" i="15"/>
  <c r="AM603" i="15"/>
  <c r="AN603" i="15" s="1"/>
  <c r="AN478" i="15"/>
  <c r="AN479" i="15"/>
  <c r="AN477" i="15"/>
  <c r="AM592" i="15"/>
  <c r="Y562" i="15"/>
  <c r="V562" i="15" s="1"/>
  <c r="Y569" i="15"/>
  <c r="V569" i="15" s="1"/>
  <c r="Y537" i="15"/>
  <c r="V537" i="15" s="1"/>
  <c r="Y596" i="15"/>
  <c r="V596" i="15" s="1"/>
  <c r="Y600" i="15"/>
  <c r="V600" i="15" s="1"/>
  <c r="Y592" i="15"/>
  <c r="Y588" i="15"/>
  <c r="V588" i="15" s="1"/>
  <c r="Y586" i="15"/>
  <c r="V586" i="15" s="1"/>
  <c r="Y584" i="15"/>
  <c r="V584" i="15" s="1"/>
  <c r="Y558" i="15"/>
  <c r="V558" i="15" s="1"/>
  <c r="Y543" i="15"/>
  <c r="AN475" i="15"/>
  <c r="AN476" i="15"/>
  <c r="Y516" i="15"/>
  <c r="V516" i="15" s="1"/>
  <c r="Y533" i="15"/>
  <c r="Y531" i="15"/>
  <c r="Y527" i="15"/>
  <c r="Y526" i="15"/>
  <c r="Y501" i="15"/>
  <c r="V501" i="15" s="1"/>
  <c r="Y523" i="15"/>
  <c r="V523" i="15" s="1"/>
  <c r="Y519" i="15"/>
  <c r="V519" i="15" s="1"/>
  <c r="Y496" i="15"/>
  <c r="Y503" i="15"/>
  <c r="V503" i="15" s="1"/>
  <c r="Y514" i="15"/>
  <c r="V514" i="15" s="1"/>
  <c r="Y506" i="15"/>
  <c r="V506" i="15" s="1"/>
  <c r="I182" i="15"/>
  <c r="O182" i="15"/>
  <c r="I181" i="15"/>
  <c r="O181" i="15"/>
  <c r="I172" i="15"/>
  <c r="I175" i="15"/>
  <c r="I176" i="15"/>
  <c r="O172" i="15"/>
  <c r="O175" i="15"/>
  <c r="O176" i="15"/>
  <c r="I171" i="15"/>
  <c r="O171" i="15"/>
  <c r="C169" i="15"/>
  <c r="D169" i="15"/>
  <c r="E169" i="15"/>
  <c r="A170" i="15"/>
  <c r="B170" i="15"/>
  <c r="AL170" i="15" s="1"/>
  <c r="F170" i="15"/>
  <c r="G170" i="15"/>
  <c r="C170" i="15"/>
  <c r="D170" i="15"/>
  <c r="E170" i="15"/>
  <c r="A171" i="15"/>
  <c r="B171" i="15"/>
  <c r="AL171" i="15" s="1"/>
  <c r="F171" i="15"/>
  <c r="G171" i="15"/>
  <c r="C171" i="15"/>
  <c r="A172" i="15"/>
  <c r="B172" i="15"/>
  <c r="AL172" i="15" s="1"/>
  <c r="F172" i="15"/>
  <c r="G172" i="15"/>
  <c r="C172" i="15"/>
  <c r="A173" i="15"/>
  <c r="B173" i="15"/>
  <c r="AL173" i="15" s="1"/>
  <c r="F173" i="15"/>
  <c r="G173" i="15"/>
  <c r="C173" i="15"/>
  <c r="D173" i="15"/>
  <c r="E173" i="15"/>
  <c r="A174" i="15"/>
  <c r="B174" i="15"/>
  <c r="AL174" i="15" s="1"/>
  <c r="F174" i="15"/>
  <c r="G174" i="15"/>
  <c r="C174" i="15"/>
  <c r="D174" i="15"/>
  <c r="E174" i="15"/>
  <c r="A175" i="15"/>
  <c r="B175" i="15"/>
  <c r="AL175" i="15" s="1"/>
  <c r="F175" i="15"/>
  <c r="G175" i="15"/>
  <c r="C175" i="15"/>
  <c r="A176" i="15"/>
  <c r="B176" i="15"/>
  <c r="AL176" i="15" s="1"/>
  <c r="F176" i="15"/>
  <c r="G176" i="15"/>
  <c r="C176" i="15"/>
  <c r="A177" i="15"/>
  <c r="B177" i="15"/>
  <c r="AL177" i="15" s="1"/>
  <c r="F177" i="15"/>
  <c r="G177" i="15"/>
  <c r="C177" i="15"/>
  <c r="D177" i="15"/>
  <c r="E177" i="15"/>
  <c r="A178" i="15"/>
  <c r="G178" i="15"/>
  <c r="A179" i="15"/>
  <c r="B179" i="15"/>
  <c r="AL179" i="15" s="1"/>
  <c r="F179" i="15"/>
  <c r="G179" i="15"/>
  <c r="C179" i="15"/>
  <c r="D179" i="15"/>
  <c r="E179" i="15"/>
  <c r="A180" i="15"/>
  <c r="G180" i="15"/>
  <c r="A181" i="15"/>
  <c r="B181" i="15"/>
  <c r="AL181" i="15" s="1"/>
  <c r="F181" i="15"/>
  <c r="G181" i="15"/>
  <c r="C181" i="15"/>
  <c r="A182" i="15"/>
  <c r="G182" i="15"/>
  <c r="A183" i="15"/>
  <c r="B183" i="15"/>
  <c r="AL183" i="15" s="1"/>
  <c r="F183" i="15"/>
  <c r="G183" i="15"/>
  <c r="C183" i="15"/>
  <c r="D183" i="15"/>
  <c r="E183" i="15"/>
  <c r="A184" i="15"/>
  <c r="G184" i="15"/>
  <c r="A185" i="15"/>
  <c r="B185" i="15"/>
  <c r="AL185" i="15" s="1"/>
  <c r="F185" i="15"/>
  <c r="G185" i="15"/>
  <c r="C185" i="15"/>
  <c r="A186" i="15"/>
  <c r="G186" i="15"/>
  <c r="A187" i="15"/>
  <c r="B187" i="15"/>
  <c r="AL187" i="15" s="1"/>
  <c r="F187" i="15"/>
  <c r="G187" i="15"/>
  <c r="C187" i="15"/>
  <c r="A188" i="15"/>
  <c r="G188" i="15"/>
  <c r="A189" i="15"/>
  <c r="B189" i="15"/>
  <c r="AL189" i="15" s="1"/>
  <c r="F189" i="15"/>
  <c r="G189" i="15"/>
  <c r="A190" i="15"/>
  <c r="G190" i="15"/>
  <c r="A191" i="15"/>
  <c r="B191" i="15"/>
  <c r="AL191" i="15" s="1"/>
  <c r="F191" i="15"/>
  <c r="G191" i="15"/>
  <c r="C191" i="15"/>
  <c r="A192" i="15"/>
  <c r="G192" i="15"/>
  <c r="A193" i="15"/>
  <c r="B193" i="15"/>
  <c r="AL193" i="15" s="1"/>
  <c r="F193" i="15"/>
  <c r="G193" i="15"/>
  <c r="C193" i="15"/>
  <c r="A194" i="15"/>
  <c r="B194" i="15"/>
  <c r="AL194" i="15" s="1"/>
  <c r="F194" i="15"/>
  <c r="G194" i="15"/>
  <c r="C194" i="15"/>
  <c r="A195" i="15"/>
  <c r="G195" i="15"/>
  <c r="A196" i="15"/>
  <c r="B196" i="15"/>
  <c r="AL196" i="15" s="1"/>
  <c r="F196" i="15"/>
  <c r="G196" i="15"/>
  <c r="C196" i="15"/>
  <c r="A197" i="15"/>
  <c r="B197" i="15"/>
  <c r="AL197" i="15" s="1"/>
  <c r="F197" i="15"/>
  <c r="G197" i="15"/>
  <c r="C197" i="15"/>
  <c r="A198" i="15"/>
  <c r="G198" i="15"/>
  <c r="A199" i="15"/>
  <c r="B199" i="15"/>
  <c r="AL199" i="15" s="1"/>
  <c r="F199" i="15"/>
  <c r="G199" i="15"/>
  <c r="C199" i="15"/>
  <c r="A200" i="15"/>
  <c r="B200" i="15"/>
  <c r="AL200" i="15" s="1"/>
  <c r="F200" i="15"/>
  <c r="G200" i="15"/>
  <c r="C200" i="15"/>
  <c r="A201" i="15"/>
  <c r="G201" i="15"/>
  <c r="A202" i="15"/>
  <c r="B202" i="15"/>
  <c r="AL202" i="15" s="1"/>
  <c r="F202" i="15"/>
  <c r="G202" i="15"/>
  <c r="C202" i="15"/>
  <c r="D202" i="15"/>
  <c r="E202" i="15"/>
  <c r="A203" i="15"/>
  <c r="B203" i="15"/>
  <c r="AL203" i="15" s="1"/>
  <c r="F203" i="15"/>
  <c r="G203" i="15"/>
  <c r="C203" i="15"/>
  <c r="A204" i="15"/>
  <c r="B204" i="15"/>
  <c r="AL204" i="15" s="1"/>
  <c r="F204" i="15"/>
  <c r="G204" i="15"/>
  <c r="C204" i="15"/>
  <c r="A205" i="15"/>
  <c r="G205" i="15"/>
  <c r="A206" i="15"/>
  <c r="B206" i="15"/>
  <c r="AL206" i="15" s="1"/>
  <c r="F206" i="15"/>
  <c r="G206" i="15"/>
  <c r="C206" i="15"/>
  <c r="D206" i="15"/>
  <c r="E206" i="15"/>
  <c r="A207" i="15"/>
  <c r="B207" i="15"/>
  <c r="AL207" i="15" s="1"/>
  <c r="F207" i="15"/>
  <c r="G207" i="15"/>
  <c r="C207" i="15"/>
  <c r="D207" i="15"/>
  <c r="E207" i="15"/>
  <c r="A208" i="15"/>
  <c r="G208" i="15"/>
  <c r="A209" i="15"/>
  <c r="B209" i="15"/>
  <c r="AL209" i="15" s="1"/>
  <c r="F209" i="15"/>
  <c r="G209" i="15"/>
  <c r="C209" i="15"/>
  <c r="A210" i="15"/>
  <c r="B210" i="15"/>
  <c r="AL210" i="15" s="1"/>
  <c r="F210" i="15"/>
  <c r="G210" i="15"/>
  <c r="C210" i="15"/>
  <c r="A211" i="15"/>
  <c r="B211" i="15"/>
  <c r="AL211" i="15" s="1"/>
  <c r="G211" i="15"/>
  <c r="C211" i="15"/>
  <c r="A212" i="15"/>
  <c r="B212" i="15"/>
  <c r="AL212" i="15" s="1"/>
  <c r="F212" i="15"/>
  <c r="G212" i="15"/>
  <c r="C212" i="15"/>
  <c r="D212" i="15"/>
  <c r="E212" i="15"/>
  <c r="A213" i="15"/>
  <c r="B213" i="15"/>
  <c r="AL213" i="15" s="1"/>
  <c r="F213" i="15"/>
  <c r="G213" i="15"/>
  <c r="C213" i="15"/>
  <c r="A214" i="15"/>
  <c r="B214" i="15"/>
  <c r="AL214" i="15" s="1"/>
  <c r="F214" i="15"/>
  <c r="G214" i="15"/>
  <c r="C214" i="15"/>
  <c r="D214" i="15"/>
  <c r="E214" i="15"/>
  <c r="A215" i="15"/>
  <c r="B215" i="15"/>
  <c r="AL215" i="15" s="1"/>
  <c r="F215" i="15"/>
  <c r="G215" i="15"/>
  <c r="C215" i="15"/>
  <c r="A216" i="15"/>
  <c r="B216" i="15"/>
  <c r="AL216" i="15" s="1"/>
  <c r="F216" i="15"/>
  <c r="G216" i="15"/>
  <c r="C216" i="15"/>
  <c r="D216" i="15"/>
  <c r="E216" i="15"/>
  <c r="A217" i="15"/>
  <c r="B217" i="15"/>
  <c r="AL217" i="15" s="1"/>
  <c r="F217" i="15"/>
  <c r="G217" i="15"/>
  <c r="C217" i="15"/>
  <c r="A218" i="15"/>
  <c r="B218" i="15"/>
  <c r="AL218" i="15" s="1"/>
  <c r="F218" i="15"/>
  <c r="G218" i="15"/>
  <c r="C218" i="15"/>
  <c r="D218" i="15"/>
  <c r="E218" i="15"/>
  <c r="A219" i="15"/>
  <c r="B219" i="15"/>
  <c r="AL219" i="15" s="1"/>
  <c r="F219" i="15"/>
  <c r="G219" i="15"/>
  <c r="C219" i="15"/>
  <c r="D219" i="15"/>
  <c r="E219" i="15"/>
  <c r="A220" i="15"/>
  <c r="G220" i="15"/>
  <c r="A221" i="15"/>
  <c r="B221" i="15"/>
  <c r="AL221" i="15" s="1"/>
  <c r="F221" i="15"/>
  <c r="G221" i="15"/>
  <c r="C221" i="15"/>
  <c r="D221" i="15"/>
  <c r="E221" i="15"/>
  <c r="A222" i="15"/>
  <c r="G222" i="15"/>
  <c r="A223" i="15"/>
  <c r="B223" i="15"/>
  <c r="AL223" i="15" s="1"/>
  <c r="F223" i="15"/>
  <c r="G223" i="15"/>
  <c r="C223" i="15"/>
  <c r="D223" i="15"/>
  <c r="E223" i="15"/>
  <c r="A224" i="15"/>
  <c r="B224" i="15"/>
  <c r="AL224" i="15" s="1"/>
  <c r="F224" i="15"/>
  <c r="G224" i="15"/>
  <c r="C224" i="15"/>
  <c r="D224" i="15"/>
  <c r="E224" i="15"/>
  <c r="A225" i="15"/>
  <c r="G225" i="15"/>
  <c r="A226" i="15"/>
  <c r="B226" i="15"/>
  <c r="AL226" i="15" s="1"/>
  <c r="F226" i="15"/>
  <c r="G226" i="15"/>
  <c r="C226" i="15"/>
  <c r="D226" i="15"/>
  <c r="E226" i="15"/>
  <c r="A227" i="15"/>
  <c r="G227" i="15"/>
  <c r="A228" i="15"/>
  <c r="B228" i="15"/>
  <c r="AL228" i="15" s="1"/>
  <c r="F228" i="15"/>
  <c r="G228" i="15"/>
  <c r="C228" i="15"/>
  <c r="D228" i="15"/>
  <c r="E228" i="15"/>
  <c r="A229" i="15"/>
  <c r="B229" i="15"/>
  <c r="AL229" i="15" s="1"/>
  <c r="F229" i="15"/>
  <c r="G229" i="15"/>
  <c r="C229" i="15"/>
  <c r="D229" i="15"/>
  <c r="E229" i="15"/>
  <c r="A230" i="15"/>
  <c r="G230" i="15"/>
  <c r="A231" i="15"/>
  <c r="B231" i="15"/>
  <c r="AL231" i="15" s="1"/>
  <c r="F231" i="15"/>
  <c r="G231" i="15"/>
  <c r="C231" i="15"/>
  <c r="D231" i="15"/>
  <c r="E231" i="15"/>
  <c r="A232" i="15"/>
  <c r="G232" i="15"/>
  <c r="A233" i="15"/>
  <c r="B233" i="15"/>
  <c r="AL233" i="15" s="1"/>
  <c r="F233" i="15"/>
  <c r="G233" i="15"/>
  <c r="C233" i="15"/>
  <c r="D233" i="15"/>
  <c r="E233" i="15"/>
  <c r="A234" i="15"/>
  <c r="B234" i="15"/>
  <c r="AL234" i="15" s="1"/>
  <c r="F234" i="15"/>
  <c r="G234" i="15"/>
  <c r="C234" i="15"/>
  <c r="A235" i="15"/>
  <c r="B235" i="15"/>
  <c r="AL235" i="15" s="1"/>
  <c r="F235" i="15"/>
  <c r="G235" i="15"/>
  <c r="C235" i="15"/>
  <c r="D235" i="15"/>
  <c r="E235" i="15"/>
  <c r="A236" i="15"/>
  <c r="G236" i="15"/>
  <c r="A237" i="15"/>
  <c r="B237" i="15"/>
  <c r="AL237" i="15" s="1"/>
  <c r="F237" i="15"/>
  <c r="G237" i="15"/>
  <c r="C237" i="15"/>
  <c r="D237" i="15"/>
  <c r="E237" i="15"/>
  <c r="A238" i="15"/>
  <c r="G238" i="15"/>
  <c r="A239" i="15"/>
  <c r="B239" i="15"/>
  <c r="AL239" i="15" s="1"/>
  <c r="F239" i="15"/>
  <c r="G239" i="15"/>
  <c r="C239" i="15"/>
  <c r="D239" i="15"/>
  <c r="E239" i="15"/>
  <c r="A240" i="15"/>
  <c r="B240" i="15"/>
  <c r="AL240" i="15" s="1"/>
  <c r="F240" i="15"/>
  <c r="G240" i="15"/>
  <c r="C240" i="15"/>
  <c r="A241" i="15"/>
  <c r="B241" i="15"/>
  <c r="AL241" i="15" s="1"/>
  <c r="F241" i="15"/>
  <c r="G241" i="15"/>
  <c r="C241" i="15"/>
  <c r="A242" i="15"/>
  <c r="G242" i="15"/>
  <c r="A243" i="15"/>
  <c r="B243" i="15"/>
  <c r="AL243" i="15" s="1"/>
  <c r="F243" i="15"/>
  <c r="G243" i="15"/>
  <c r="C243" i="15"/>
  <c r="D243" i="15"/>
  <c r="E243" i="15"/>
  <c r="A244" i="15"/>
  <c r="G244" i="15"/>
  <c r="A245" i="15"/>
  <c r="B245" i="15"/>
  <c r="AL245" i="15" s="1"/>
  <c r="F245" i="15"/>
  <c r="G245" i="15"/>
  <c r="C245" i="15"/>
  <c r="A246" i="15"/>
  <c r="G246" i="15"/>
  <c r="A247" i="15"/>
  <c r="B247" i="15"/>
  <c r="AL247" i="15" s="1"/>
  <c r="F247" i="15"/>
  <c r="G247" i="15"/>
  <c r="C247" i="15"/>
  <c r="A248" i="15"/>
  <c r="G248" i="15"/>
  <c r="A249" i="15"/>
  <c r="B249" i="15"/>
  <c r="AL249" i="15" s="1"/>
  <c r="F249" i="15"/>
  <c r="G249" i="15"/>
  <c r="C249" i="15"/>
  <c r="A250" i="15"/>
  <c r="G250" i="15"/>
  <c r="A251" i="15"/>
  <c r="B251" i="15"/>
  <c r="AL251" i="15" s="1"/>
  <c r="F251" i="15"/>
  <c r="G251" i="15"/>
  <c r="C251" i="15"/>
  <c r="A252" i="15"/>
  <c r="G252" i="15"/>
  <c r="A253" i="15"/>
  <c r="B253" i="15"/>
  <c r="AL253" i="15" s="1"/>
  <c r="F253" i="15"/>
  <c r="G253" i="15"/>
  <c r="C253" i="15"/>
  <c r="A254" i="15"/>
  <c r="G254" i="15"/>
  <c r="G169" i="15"/>
  <c r="F169" i="15"/>
  <c r="B169" i="15"/>
  <c r="AL169" i="15" s="1"/>
  <c r="A169" i="15"/>
  <c r="I165" i="15"/>
  <c r="I168" i="15"/>
  <c r="O165" i="15"/>
  <c r="O168" i="15"/>
  <c r="AA166" i="15"/>
  <c r="AA167" i="15"/>
  <c r="AA168" i="15"/>
  <c r="AA165" i="15"/>
  <c r="W166" i="15"/>
  <c r="X166" i="15"/>
  <c r="W167" i="15"/>
  <c r="X167" i="15"/>
  <c r="W168" i="15"/>
  <c r="Y168" i="15" s="1"/>
  <c r="W165" i="15"/>
  <c r="Y165" i="15" s="1"/>
  <c r="G166" i="15"/>
  <c r="G167" i="15"/>
  <c r="G168" i="15"/>
  <c r="G165" i="15"/>
  <c r="F166" i="15"/>
  <c r="F167" i="15"/>
  <c r="F168" i="15"/>
  <c r="F165" i="15"/>
  <c r="C165" i="15"/>
  <c r="B166" i="15"/>
  <c r="AL166" i="15" s="1"/>
  <c r="C166" i="15"/>
  <c r="D166" i="15"/>
  <c r="E166" i="15"/>
  <c r="B167" i="15"/>
  <c r="AL167" i="15" s="1"/>
  <c r="C167" i="15"/>
  <c r="D167" i="15"/>
  <c r="E167" i="15"/>
  <c r="B168" i="15"/>
  <c r="AL168" i="15" s="1"/>
  <c r="C168" i="15"/>
  <c r="B165" i="15"/>
  <c r="AL165" i="15" s="1"/>
  <c r="A166" i="15"/>
  <c r="A167" i="15"/>
  <c r="A168" i="15"/>
  <c r="A165" i="15"/>
  <c r="I159" i="15"/>
  <c r="I160" i="15"/>
  <c r="I161" i="15"/>
  <c r="I162" i="15"/>
  <c r="I163" i="15"/>
  <c r="I164" i="15"/>
  <c r="O159" i="15"/>
  <c r="O160" i="15"/>
  <c r="O161" i="15"/>
  <c r="O162" i="15"/>
  <c r="O163" i="15"/>
  <c r="O164" i="15"/>
  <c r="C159" i="15"/>
  <c r="B160" i="15"/>
  <c r="AL160" i="15" s="1"/>
  <c r="G160" i="15"/>
  <c r="C160" i="15"/>
  <c r="B161" i="15"/>
  <c r="AL161" i="15" s="1"/>
  <c r="F161" i="15"/>
  <c r="G161" i="15"/>
  <c r="C161" i="15"/>
  <c r="B162" i="15"/>
  <c r="AL162" i="15" s="1"/>
  <c r="G162" i="15"/>
  <c r="C162" i="15"/>
  <c r="B163" i="15"/>
  <c r="AL163" i="15" s="1"/>
  <c r="F163" i="15"/>
  <c r="G163" i="15"/>
  <c r="C163" i="15"/>
  <c r="B164" i="15"/>
  <c r="AL164" i="15" s="1"/>
  <c r="G164" i="15"/>
  <c r="C164" i="15"/>
  <c r="G159" i="15"/>
  <c r="F159" i="15"/>
  <c r="B159" i="15"/>
  <c r="AL159" i="15" s="1"/>
  <c r="A160" i="15"/>
  <c r="A161" i="15"/>
  <c r="A162" i="15"/>
  <c r="A163" i="15"/>
  <c r="A164" i="15"/>
  <c r="A159" i="15"/>
  <c r="O156" i="15"/>
  <c r="I156" i="15"/>
  <c r="O155" i="15"/>
  <c r="I155" i="15"/>
  <c r="D153" i="15"/>
  <c r="O152" i="15"/>
  <c r="I152" i="15"/>
  <c r="C152" i="15"/>
  <c r="O151" i="15"/>
  <c r="I151" i="15"/>
  <c r="O150" i="15"/>
  <c r="I150" i="15"/>
  <c r="O147" i="15"/>
  <c r="O148" i="15"/>
  <c r="O149" i="15"/>
  <c r="I147" i="15"/>
  <c r="I148" i="15"/>
  <c r="I149" i="15"/>
  <c r="I94" i="15"/>
  <c r="I95" i="15"/>
  <c r="I97" i="15"/>
  <c r="I100" i="15"/>
  <c r="I101" i="15"/>
  <c r="I103" i="15"/>
  <c r="I106" i="15"/>
  <c r="I107" i="15"/>
  <c r="I109" i="15"/>
  <c r="I112" i="15"/>
  <c r="I113" i="15"/>
  <c r="I139" i="15"/>
  <c r="I91" i="15"/>
  <c r="O33" i="15"/>
  <c r="O34" i="15"/>
  <c r="O35" i="15"/>
  <c r="O36" i="15"/>
  <c r="O37" i="15"/>
  <c r="O38" i="15"/>
  <c r="O39" i="15"/>
  <c r="O40" i="15"/>
  <c r="O41" i="15"/>
  <c r="O42" i="15"/>
  <c r="O43" i="15"/>
  <c r="O32" i="15"/>
  <c r="I33" i="15"/>
  <c r="I34" i="15"/>
  <c r="I35" i="15"/>
  <c r="I36" i="15"/>
  <c r="I37" i="15"/>
  <c r="I38" i="15"/>
  <c r="I39" i="15"/>
  <c r="I40" i="15"/>
  <c r="I41" i="15"/>
  <c r="I42" i="15"/>
  <c r="I43" i="15"/>
  <c r="I32" i="15"/>
  <c r="Y167" i="15" l="1"/>
  <c r="Y166" i="15"/>
  <c r="O143" i="15"/>
  <c r="I143" i="15"/>
  <c r="I141" i="15"/>
  <c r="O141" i="15"/>
  <c r="O140" i="15"/>
  <c r="I140" i="15"/>
  <c r="G139" i="15"/>
  <c r="G140" i="15"/>
  <c r="G141" i="15"/>
  <c r="G142" i="15"/>
  <c r="G143" i="15"/>
  <c r="G144" i="15"/>
  <c r="G145" i="15"/>
  <c r="G146" i="15"/>
  <c r="G147" i="15"/>
  <c r="G148" i="15"/>
  <c r="G149" i="15"/>
  <c r="G150" i="15"/>
  <c r="G151" i="15"/>
  <c r="G152" i="15"/>
  <c r="G153" i="15"/>
  <c r="G154" i="15"/>
  <c r="G155" i="15"/>
  <c r="G156" i="15"/>
  <c r="G157" i="15"/>
  <c r="G158" i="15"/>
  <c r="G138" i="15"/>
  <c r="F139" i="15"/>
  <c r="F140" i="15"/>
  <c r="F141" i="15"/>
  <c r="F142" i="15"/>
  <c r="F143" i="15"/>
  <c r="F144" i="15"/>
  <c r="F145" i="15"/>
  <c r="F147" i="15"/>
  <c r="F149" i="15"/>
  <c r="F151" i="15"/>
  <c r="F153" i="15"/>
  <c r="F155" i="15"/>
  <c r="F157" i="15"/>
  <c r="F138" i="15"/>
  <c r="C138" i="15"/>
  <c r="B139" i="15"/>
  <c r="AL139" i="15" s="1"/>
  <c r="B140" i="15"/>
  <c r="AL140" i="15" s="1"/>
  <c r="C140" i="15"/>
  <c r="B141" i="15"/>
  <c r="AL141" i="15" s="1"/>
  <c r="C141" i="15"/>
  <c r="B142" i="15"/>
  <c r="AL142" i="15" s="1"/>
  <c r="C142" i="15"/>
  <c r="D142" i="15"/>
  <c r="E142" i="15"/>
  <c r="B143" i="15"/>
  <c r="AL143" i="15" s="1"/>
  <c r="C143" i="15"/>
  <c r="B144" i="15"/>
  <c r="AL144" i="15" s="1"/>
  <c r="C144" i="15"/>
  <c r="D144" i="15"/>
  <c r="E144" i="15"/>
  <c r="B145" i="15"/>
  <c r="AL145" i="15" s="1"/>
  <c r="C145" i="15"/>
  <c r="B146" i="15"/>
  <c r="AL146" i="15" s="1"/>
  <c r="C146" i="15"/>
  <c r="B147" i="15"/>
  <c r="AL147" i="15" s="1"/>
  <c r="B148" i="15"/>
  <c r="AL148" i="15" s="1"/>
  <c r="B149" i="15"/>
  <c r="AL149" i="15" s="1"/>
  <c r="C149" i="15"/>
  <c r="B150" i="15"/>
  <c r="AL150" i="15" s="1"/>
  <c r="C150" i="15"/>
  <c r="B151" i="15"/>
  <c r="AL151" i="15" s="1"/>
  <c r="C151" i="15"/>
  <c r="B152" i="15"/>
  <c r="AL152" i="15" s="1"/>
  <c r="B153" i="15"/>
  <c r="AL153" i="15" s="1"/>
  <c r="C153" i="15"/>
  <c r="E153" i="15"/>
  <c r="B154" i="15"/>
  <c r="AL154" i="15" s="1"/>
  <c r="C154" i="15"/>
  <c r="D154" i="15"/>
  <c r="E154" i="15"/>
  <c r="B155" i="15"/>
  <c r="AL155" i="15" s="1"/>
  <c r="C155" i="15"/>
  <c r="B156" i="15"/>
  <c r="AL156" i="15" s="1"/>
  <c r="C156" i="15"/>
  <c r="B157" i="15"/>
  <c r="AL157" i="15" s="1"/>
  <c r="C157" i="15"/>
  <c r="D157" i="15"/>
  <c r="E157" i="15"/>
  <c r="B158" i="15"/>
  <c r="AL158" i="15" s="1"/>
  <c r="C158" i="15"/>
  <c r="D158" i="15"/>
  <c r="E158" i="15"/>
  <c r="B138" i="15"/>
  <c r="AL138" i="15" s="1"/>
  <c r="A139" i="15"/>
  <c r="A140" i="15"/>
  <c r="A141" i="15"/>
  <c r="A142" i="15"/>
  <c r="A143" i="15"/>
  <c r="A144" i="15"/>
  <c r="A145" i="15"/>
  <c r="A146" i="15"/>
  <c r="A147" i="15"/>
  <c r="A148" i="15"/>
  <c r="A149" i="15"/>
  <c r="A150" i="15"/>
  <c r="A151" i="15"/>
  <c r="A152" i="15"/>
  <c r="A153" i="15"/>
  <c r="A154" i="15"/>
  <c r="A155" i="15"/>
  <c r="A156" i="15"/>
  <c r="A157" i="15"/>
  <c r="A158" i="15"/>
  <c r="A138" i="15"/>
  <c r="C43" i="15"/>
  <c r="C42" i="15"/>
  <c r="C41" i="15"/>
  <c r="C40" i="15"/>
  <c r="C39" i="15"/>
  <c r="C38" i="15"/>
  <c r="C37" i="15"/>
  <c r="C36" i="15"/>
  <c r="C35" i="15"/>
  <c r="C34" i="15"/>
  <c r="C33" i="15"/>
  <c r="W94" i="15"/>
  <c r="Y94" i="15" s="1"/>
  <c r="W95" i="15"/>
  <c r="Y95" i="15" s="1"/>
  <c r="W101" i="15"/>
  <c r="Y101" i="15" s="1"/>
  <c r="W107" i="15"/>
  <c r="Y107" i="15" s="1"/>
  <c r="G91" i="15"/>
  <c r="G92" i="15"/>
  <c r="G93" i="15"/>
  <c r="G94" i="15"/>
  <c r="G95" i="15"/>
  <c r="G96" i="15"/>
  <c r="G97" i="15"/>
  <c r="G98" i="15"/>
  <c r="G99" i="15"/>
  <c r="G100" i="15"/>
  <c r="G101" i="15"/>
  <c r="G102" i="15"/>
  <c r="G103" i="15"/>
  <c r="G104" i="15"/>
  <c r="G105" i="15"/>
  <c r="G106" i="15"/>
  <c r="G107" i="15"/>
  <c r="G108" i="15"/>
  <c r="G109" i="15"/>
  <c r="G110" i="15"/>
  <c r="G111" i="15"/>
  <c r="G112" i="15"/>
  <c r="G113" i="15"/>
  <c r="G90" i="15"/>
  <c r="G83" i="15"/>
  <c r="G84" i="15"/>
  <c r="G85" i="15"/>
  <c r="G86" i="15"/>
  <c r="G87" i="15"/>
  <c r="G88" i="15"/>
  <c r="G89" i="15"/>
  <c r="G82" i="15"/>
  <c r="G77" i="15"/>
  <c r="G78" i="15"/>
  <c r="G79" i="15"/>
  <c r="G80" i="15"/>
  <c r="G81" i="15"/>
  <c r="G76" i="15"/>
  <c r="F77" i="15"/>
  <c r="F78" i="15"/>
  <c r="F79" i="15"/>
  <c r="F80" i="15"/>
  <c r="F81" i="15"/>
  <c r="F76" i="15"/>
  <c r="F83" i="15"/>
  <c r="F84" i="15"/>
  <c r="F85" i="15"/>
  <c r="F86" i="15"/>
  <c r="F87" i="15"/>
  <c r="F88" i="15"/>
  <c r="F89" i="15"/>
  <c r="F82" i="15"/>
  <c r="F91" i="15"/>
  <c r="F92" i="15"/>
  <c r="F94" i="15"/>
  <c r="F96" i="15"/>
  <c r="F97" i="15"/>
  <c r="F98" i="15"/>
  <c r="F100" i="15"/>
  <c r="F102" i="15"/>
  <c r="F103" i="15"/>
  <c r="F104" i="15"/>
  <c r="F106" i="15"/>
  <c r="F108" i="15"/>
  <c r="F109" i="15"/>
  <c r="F110" i="15"/>
  <c r="F112" i="15"/>
  <c r="F90" i="15"/>
  <c r="C90" i="15"/>
  <c r="B91" i="15"/>
  <c r="AL91" i="15" s="1"/>
  <c r="B92" i="15"/>
  <c r="AL92" i="15" s="1"/>
  <c r="C92" i="15"/>
  <c r="B93" i="15"/>
  <c r="AL93" i="15" s="1"/>
  <c r="C93" i="15"/>
  <c r="B94" i="15"/>
  <c r="AL94" i="15" s="1"/>
  <c r="B95" i="15"/>
  <c r="AL95" i="15" s="1"/>
  <c r="B96" i="15"/>
  <c r="AL96" i="15" s="1"/>
  <c r="C96" i="15"/>
  <c r="B97" i="15"/>
  <c r="AL97" i="15" s="1"/>
  <c r="B98" i="15"/>
  <c r="AL98" i="15" s="1"/>
  <c r="C98" i="15"/>
  <c r="B99" i="15"/>
  <c r="AL99" i="15" s="1"/>
  <c r="C99" i="15"/>
  <c r="B100" i="15"/>
  <c r="AL100" i="15" s="1"/>
  <c r="B101" i="15"/>
  <c r="AL101" i="15" s="1"/>
  <c r="B102" i="15"/>
  <c r="AL102" i="15" s="1"/>
  <c r="C102" i="15"/>
  <c r="B103" i="15"/>
  <c r="AL103" i="15" s="1"/>
  <c r="B104" i="15"/>
  <c r="AL104" i="15" s="1"/>
  <c r="C104" i="15"/>
  <c r="B105" i="15"/>
  <c r="AL105" i="15" s="1"/>
  <c r="C105" i="15"/>
  <c r="B106" i="15"/>
  <c r="AL106" i="15" s="1"/>
  <c r="B107" i="15"/>
  <c r="AL107" i="15" s="1"/>
  <c r="B108" i="15"/>
  <c r="AL108" i="15" s="1"/>
  <c r="C108" i="15"/>
  <c r="B109" i="15"/>
  <c r="AL109" i="15" s="1"/>
  <c r="B110" i="15"/>
  <c r="AL110" i="15" s="1"/>
  <c r="C110" i="15"/>
  <c r="B111" i="15"/>
  <c r="AL111" i="15" s="1"/>
  <c r="C111" i="15"/>
  <c r="B112" i="15"/>
  <c r="AL112" i="15" s="1"/>
  <c r="B113" i="15"/>
  <c r="AL113" i="15" s="1"/>
  <c r="B90" i="15"/>
  <c r="AL90" i="15" s="1"/>
  <c r="A105" i="15"/>
  <c r="A106" i="15"/>
  <c r="A107" i="15"/>
  <c r="A108" i="15"/>
  <c r="A109" i="15"/>
  <c r="A110" i="15"/>
  <c r="A111" i="15"/>
  <c r="A112" i="15"/>
  <c r="A113" i="15"/>
  <c r="A91" i="15"/>
  <c r="A92" i="15"/>
  <c r="A93" i="15"/>
  <c r="A94" i="15"/>
  <c r="A95" i="15"/>
  <c r="A96" i="15"/>
  <c r="A97" i="15"/>
  <c r="A98" i="15"/>
  <c r="A99" i="15"/>
  <c r="A100" i="15"/>
  <c r="A101" i="15"/>
  <c r="A102" i="15"/>
  <c r="A103" i="15"/>
  <c r="A104" i="15"/>
  <c r="A90" i="15"/>
  <c r="B83" i="15"/>
  <c r="AL83" i="15" s="1"/>
  <c r="B84" i="15"/>
  <c r="AL84" i="15" s="1"/>
  <c r="B85" i="15"/>
  <c r="AL85" i="15" s="1"/>
  <c r="B86" i="15"/>
  <c r="AL86" i="15" s="1"/>
  <c r="B87" i="15"/>
  <c r="AL87" i="15" s="1"/>
  <c r="B88" i="15"/>
  <c r="AL88" i="15" s="1"/>
  <c r="B89" i="15"/>
  <c r="AL89" i="15" s="1"/>
  <c r="B82" i="15"/>
  <c r="AL82" i="15" s="1"/>
  <c r="A83" i="15"/>
  <c r="A84" i="15"/>
  <c r="A85" i="15"/>
  <c r="A86" i="15"/>
  <c r="A87" i="15"/>
  <c r="A88" i="15"/>
  <c r="A89" i="15"/>
  <c r="A82" i="15"/>
  <c r="B77" i="15"/>
  <c r="AL77" i="15" s="1"/>
  <c r="B78" i="15"/>
  <c r="AL78" i="15" s="1"/>
  <c r="B79" i="15"/>
  <c r="AL79" i="15" s="1"/>
  <c r="B80" i="15"/>
  <c r="AL80" i="15" s="1"/>
  <c r="B81" i="15"/>
  <c r="AL81" i="15" s="1"/>
  <c r="B76" i="15"/>
  <c r="AL76" i="15" s="1"/>
  <c r="A77" i="15"/>
  <c r="A78" i="15"/>
  <c r="A79" i="15"/>
  <c r="A80" i="15"/>
  <c r="A81" i="15"/>
  <c r="A76" i="15"/>
  <c r="G75" i="15"/>
  <c r="G74" i="15"/>
  <c r="F75" i="15"/>
  <c r="F74" i="15"/>
  <c r="B75" i="15"/>
  <c r="AL75" i="15" s="1"/>
  <c r="B74" i="15"/>
  <c r="AL74" i="15" s="1"/>
  <c r="A75" i="15"/>
  <c r="A74" i="15"/>
  <c r="A73" i="15"/>
  <c r="B73" i="15"/>
  <c r="AL73" i="15" s="1"/>
  <c r="F73" i="15"/>
  <c r="G73" i="15"/>
  <c r="G72" i="15"/>
  <c r="F72" i="15"/>
  <c r="B72" i="15"/>
  <c r="AL72" i="15" s="1"/>
  <c r="A72" i="15"/>
  <c r="A71" i="15"/>
  <c r="B71" i="15"/>
  <c r="AL71" i="15" s="1"/>
  <c r="G71" i="15"/>
  <c r="G70" i="15"/>
  <c r="F70" i="15"/>
  <c r="B70" i="15"/>
  <c r="AL70" i="15" s="1"/>
  <c r="A70" i="15"/>
  <c r="G69" i="15"/>
  <c r="G68" i="15"/>
  <c r="F69" i="15"/>
  <c r="F68" i="15"/>
  <c r="B69" i="15"/>
  <c r="AL69" i="15" s="1"/>
  <c r="B68" i="15"/>
  <c r="AL68" i="15" s="1"/>
  <c r="A69" i="15"/>
  <c r="A68" i="15"/>
  <c r="G63" i="15"/>
  <c r="G64" i="15"/>
  <c r="G65" i="15"/>
  <c r="G66" i="15"/>
  <c r="G67" i="15"/>
  <c r="G62" i="15"/>
  <c r="F66" i="15"/>
  <c r="F67" i="15"/>
  <c r="B63" i="15"/>
  <c r="AL63" i="15" s="1"/>
  <c r="B64" i="15"/>
  <c r="AL64" i="15" s="1"/>
  <c r="B65" i="15"/>
  <c r="AL65" i="15" s="1"/>
  <c r="B66" i="15"/>
  <c r="AL66" i="15" s="1"/>
  <c r="B67" i="15"/>
  <c r="AL67" i="15" s="1"/>
  <c r="B62" i="15"/>
  <c r="AL62" i="15" s="1"/>
  <c r="A63" i="15"/>
  <c r="A64" i="15"/>
  <c r="A65" i="15"/>
  <c r="A66" i="15"/>
  <c r="A67" i="15"/>
  <c r="A62" i="15"/>
  <c r="G60" i="15"/>
  <c r="G61" i="15"/>
  <c r="G59" i="15"/>
  <c r="F60" i="15"/>
  <c r="F59" i="15"/>
  <c r="B60" i="15"/>
  <c r="AL60" i="15" s="1"/>
  <c r="B61" i="15"/>
  <c r="AL61" i="15" s="1"/>
  <c r="B59" i="15"/>
  <c r="AL59" i="15" s="1"/>
  <c r="A60" i="15"/>
  <c r="A61" i="15"/>
  <c r="A59" i="15"/>
  <c r="G58" i="15"/>
  <c r="G57" i="15"/>
  <c r="G56" i="15"/>
  <c r="G55" i="15"/>
  <c r="F58" i="15"/>
  <c r="F57" i="15"/>
  <c r="F56" i="15"/>
  <c r="F55" i="15"/>
  <c r="F47" i="15"/>
  <c r="F48" i="15"/>
  <c r="F49" i="15"/>
  <c r="F50" i="15"/>
  <c r="F51" i="15"/>
  <c r="F52" i="15"/>
  <c r="F53" i="15"/>
  <c r="F54" i="15"/>
  <c r="F46" i="15"/>
  <c r="B58" i="15"/>
  <c r="AL58" i="15" s="1"/>
  <c r="B57" i="15"/>
  <c r="AL57" i="15" s="1"/>
  <c r="B56" i="15"/>
  <c r="AL56" i="15" s="1"/>
  <c r="B55" i="15"/>
  <c r="AL55" i="15" s="1"/>
  <c r="A58" i="15"/>
  <c r="A57" i="15"/>
  <c r="A56" i="15"/>
  <c r="A55" i="15"/>
  <c r="G47" i="15"/>
  <c r="G48" i="15"/>
  <c r="G49" i="15"/>
  <c r="G50" i="15"/>
  <c r="G51" i="15"/>
  <c r="G52" i="15"/>
  <c r="G53" i="15"/>
  <c r="G54" i="15"/>
  <c r="G46" i="15"/>
  <c r="B47" i="15"/>
  <c r="AL47" i="15" s="1"/>
  <c r="B48" i="15"/>
  <c r="AL48" i="15" s="1"/>
  <c r="B49" i="15"/>
  <c r="AL49" i="15" s="1"/>
  <c r="B50" i="15"/>
  <c r="AL50" i="15" s="1"/>
  <c r="B51" i="15"/>
  <c r="AL51" i="15" s="1"/>
  <c r="B52" i="15"/>
  <c r="AL52" i="15" s="1"/>
  <c r="B53" i="15"/>
  <c r="AL53" i="15" s="1"/>
  <c r="B54" i="15"/>
  <c r="AL54" i="15" s="1"/>
  <c r="B46" i="15"/>
  <c r="AL46" i="15" s="1"/>
  <c r="A47" i="15"/>
  <c r="A48" i="15"/>
  <c r="A49" i="15"/>
  <c r="A50" i="15"/>
  <c r="A51" i="15"/>
  <c r="A52" i="15"/>
  <c r="A53" i="15"/>
  <c r="A54" i="15"/>
  <c r="A46" i="15"/>
  <c r="W45" i="15"/>
  <c r="Y45" i="15" s="1"/>
  <c r="AA45" i="15"/>
  <c r="AA44" i="15"/>
  <c r="W44" i="15"/>
  <c r="Y44" i="15" s="1"/>
  <c r="F45" i="15"/>
  <c r="F44" i="15"/>
  <c r="G45" i="15"/>
  <c r="G44" i="15"/>
  <c r="B45" i="15"/>
  <c r="AL45" i="15" s="1"/>
  <c r="B44" i="15"/>
  <c r="AL44" i="15" s="1"/>
  <c r="A45" i="15"/>
  <c r="A44" i="15"/>
  <c r="V4" i="16" l="1"/>
  <c r="H7" i="16"/>
  <c r="I7" i="16"/>
  <c r="J7" i="16"/>
  <c r="K7" i="16"/>
  <c r="M7" i="16"/>
  <c r="BC7" i="16" s="1"/>
  <c r="N7" i="16"/>
  <c r="BE7" i="16" s="1"/>
  <c r="V7" i="16"/>
  <c r="X26" i="16"/>
  <c r="Y26" i="16"/>
  <c r="Z26" i="16"/>
  <c r="AA26" i="16"/>
  <c r="AB26" i="16"/>
  <c r="AC26" i="16"/>
  <c r="AD26" i="16"/>
  <c r="AE26" i="16"/>
  <c r="AF26" i="16"/>
  <c r="AG26" i="16"/>
  <c r="V27" i="16"/>
  <c r="V28" i="16"/>
  <c r="V29" i="16"/>
  <c r="W29" i="16"/>
  <c r="V30" i="16"/>
  <c r="V31" i="16"/>
  <c r="V32" i="16"/>
  <c r="V33" i="16"/>
  <c r="V34" i="16"/>
  <c r="V35" i="16"/>
  <c r="V36" i="16"/>
  <c r="V37" i="16"/>
  <c r="V38" i="16"/>
  <c r="V39" i="16"/>
  <c r="V40" i="16"/>
  <c r="V41" i="16"/>
  <c r="V42" i="16"/>
  <c r="V43" i="16"/>
  <c r="V44" i="16"/>
  <c r="V45" i="16"/>
  <c r="V46" i="16"/>
  <c r="V47" i="16"/>
  <c r="V48" i="16"/>
  <c r="V49" i="16"/>
  <c r="D50" i="16"/>
  <c r="V50" i="16" s="1"/>
  <c r="E50" i="16"/>
  <c r="E227" i="16" s="1"/>
  <c r="D51" i="16"/>
  <c r="V51" i="16" s="1"/>
  <c r="E51" i="16"/>
  <c r="E160" i="16" s="1"/>
  <c r="V54" i="16"/>
  <c r="X56" i="16"/>
  <c r="Y56" i="16"/>
  <c r="Z56" i="16"/>
  <c r="AA56" i="16"/>
  <c r="AB56" i="16"/>
  <c r="AC56" i="16"/>
  <c r="AD56" i="16"/>
  <c r="AE56" i="16"/>
  <c r="AF56" i="16"/>
  <c r="AG56" i="16"/>
  <c r="BB56" i="16"/>
  <c r="BC56" i="16"/>
  <c r="BD56" i="16"/>
  <c r="BE56" i="16"/>
  <c r="F57" i="16"/>
  <c r="J32" i="15" s="1"/>
  <c r="H57" i="16"/>
  <c r="J57" i="16"/>
  <c r="BC57" i="16" s="1"/>
  <c r="BD57" i="16" s="1"/>
  <c r="AD32" i="15" s="1"/>
  <c r="K57" i="16"/>
  <c r="AA32" i="15" s="1"/>
  <c r="V57" i="16"/>
  <c r="H58" i="16"/>
  <c r="J58" i="16"/>
  <c r="BC58" i="16" s="1"/>
  <c r="V58" i="16"/>
  <c r="BE58" i="16"/>
  <c r="F59" i="16"/>
  <c r="H59" i="16"/>
  <c r="J59" i="16"/>
  <c r="BC59" i="16" s="1"/>
  <c r="K59" i="16"/>
  <c r="V59" i="16"/>
  <c r="H60" i="16"/>
  <c r="J60" i="16"/>
  <c r="BC60" i="16" s="1"/>
  <c r="V60" i="16"/>
  <c r="BE60" i="16"/>
  <c r="D61" i="16"/>
  <c r="E61" i="16"/>
  <c r="E107" i="16" s="1"/>
  <c r="F61" i="16"/>
  <c r="H61" i="16"/>
  <c r="I61" i="16" s="1"/>
  <c r="J61" i="16"/>
  <c r="BC61" i="16" s="1"/>
  <c r="BD61" i="16" s="1"/>
  <c r="AD34" i="15" s="1"/>
  <c r="K61" i="16"/>
  <c r="V61" i="16"/>
  <c r="D62" i="16"/>
  <c r="E62" i="16"/>
  <c r="H62" i="16"/>
  <c r="J62" i="16"/>
  <c r="BC62" i="16" s="1"/>
  <c r="V62" i="16"/>
  <c r="BE62" i="16"/>
  <c r="F63" i="16"/>
  <c r="H63" i="16"/>
  <c r="J63" i="16"/>
  <c r="BC63" i="16" s="1"/>
  <c r="BD63" i="16" s="1"/>
  <c r="AD35" i="15" s="1"/>
  <c r="K63" i="16"/>
  <c r="V63" i="16"/>
  <c r="H64" i="16"/>
  <c r="J64" i="16"/>
  <c r="BC64" i="16" s="1"/>
  <c r="BD64" i="16" s="1"/>
  <c r="AE35" i="15" s="1"/>
  <c r="V64" i="16"/>
  <c r="BE64" i="16"/>
  <c r="D65" i="16"/>
  <c r="E65" i="16"/>
  <c r="E109" i="16" s="1"/>
  <c r="F65" i="16"/>
  <c r="H65" i="16"/>
  <c r="J65" i="16"/>
  <c r="BC65" i="16" s="1"/>
  <c r="K65" i="16"/>
  <c r="V65" i="16"/>
  <c r="D66" i="16"/>
  <c r="E66" i="16"/>
  <c r="H66" i="16"/>
  <c r="J66" i="16"/>
  <c r="BC66" i="16" s="1"/>
  <c r="V66" i="16"/>
  <c r="BE66" i="16"/>
  <c r="F67" i="16"/>
  <c r="H67" i="16"/>
  <c r="J67" i="16"/>
  <c r="BC67" i="16" s="1"/>
  <c r="K67" i="16"/>
  <c r="V67" i="16"/>
  <c r="H68" i="16"/>
  <c r="J68" i="16"/>
  <c r="BC68" i="16" s="1"/>
  <c r="V68" i="16"/>
  <c r="BE68" i="16"/>
  <c r="F69" i="16"/>
  <c r="H69" i="16"/>
  <c r="I69" i="16" s="1"/>
  <c r="J69" i="16"/>
  <c r="K69" i="16"/>
  <c r="AA38" i="15" s="1"/>
  <c r="V69" i="16"/>
  <c r="BC69" i="16"/>
  <c r="BD69" i="16" s="1"/>
  <c r="AD38" i="15" s="1"/>
  <c r="H70" i="16"/>
  <c r="J70" i="16"/>
  <c r="BC70" i="16" s="1"/>
  <c r="V70" i="16"/>
  <c r="BE70" i="16"/>
  <c r="F71" i="16"/>
  <c r="H71" i="16"/>
  <c r="J71" i="16"/>
  <c r="BC71" i="16" s="1"/>
  <c r="K71" i="16"/>
  <c r="V71" i="16"/>
  <c r="H72" i="16"/>
  <c r="J72" i="16"/>
  <c r="BC72" i="16" s="1"/>
  <c r="V72" i="16"/>
  <c r="BE72" i="16"/>
  <c r="D73" i="16"/>
  <c r="F73" i="16"/>
  <c r="H73" i="16"/>
  <c r="I73" i="16" s="1"/>
  <c r="J73" i="16"/>
  <c r="K73" i="16"/>
  <c r="V73" i="16"/>
  <c r="BC73" i="16"/>
  <c r="BD73" i="16" s="1"/>
  <c r="AD40" i="15" s="1"/>
  <c r="D74" i="16"/>
  <c r="H74" i="16"/>
  <c r="J74" i="16"/>
  <c r="V74" i="16"/>
  <c r="BC74" i="16"/>
  <c r="BE74" i="16"/>
  <c r="F75" i="16"/>
  <c r="H75" i="16"/>
  <c r="J75" i="16"/>
  <c r="BC75" i="16" s="1"/>
  <c r="BD75" i="16" s="1"/>
  <c r="AD41" i="15" s="1"/>
  <c r="K75" i="16"/>
  <c r="AA41" i="15" s="1"/>
  <c r="V75" i="16"/>
  <c r="H76" i="16"/>
  <c r="J76" i="16"/>
  <c r="BC76" i="16" s="1"/>
  <c r="V76" i="16"/>
  <c r="BE76" i="16"/>
  <c r="F77" i="16"/>
  <c r="H77" i="16"/>
  <c r="J77" i="16"/>
  <c r="BC77" i="16" s="1"/>
  <c r="K77" i="16"/>
  <c r="V77" i="16"/>
  <c r="H78" i="16"/>
  <c r="J78" i="16"/>
  <c r="V78" i="16"/>
  <c r="BC78" i="16"/>
  <c r="BE78" i="16"/>
  <c r="D79" i="16"/>
  <c r="F79" i="16"/>
  <c r="H79" i="16"/>
  <c r="J79" i="16"/>
  <c r="BC79" i="16" s="1"/>
  <c r="K79" i="16"/>
  <c r="V79" i="16"/>
  <c r="D80" i="16"/>
  <c r="H80" i="16"/>
  <c r="J80" i="16"/>
  <c r="BC80" i="16" s="1"/>
  <c r="V80" i="16"/>
  <c r="BE80" i="16"/>
  <c r="X88" i="16"/>
  <c r="Y88" i="16"/>
  <c r="Z88" i="16"/>
  <c r="AA88" i="16"/>
  <c r="AB88" i="16"/>
  <c r="AC88" i="16"/>
  <c r="AD88" i="16"/>
  <c r="AE88" i="16"/>
  <c r="AF88" i="16"/>
  <c r="AG88" i="16"/>
  <c r="J91" i="16"/>
  <c r="X96" i="16"/>
  <c r="Y96" i="16"/>
  <c r="Z96" i="16"/>
  <c r="AA96" i="16"/>
  <c r="AB96" i="16"/>
  <c r="AC96" i="16"/>
  <c r="AD96" i="16"/>
  <c r="AE96" i="16"/>
  <c r="AF96" i="16"/>
  <c r="AG96" i="16"/>
  <c r="E97" i="16"/>
  <c r="E117" i="16" s="1"/>
  <c r="V97" i="16"/>
  <c r="E98" i="16"/>
  <c r="E137" i="16" s="1"/>
  <c r="E99" i="16"/>
  <c r="E108" i="16" s="1"/>
  <c r="E100" i="16"/>
  <c r="E120" i="16" s="1"/>
  <c r="E101" i="16"/>
  <c r="E111" i="16" s="1"/>
  <c r="E102" i="16"/>
  <c r="E112" i="16" s="1"/>
  <c r="E103" i="16"/>
  <c r="E133" i="16" s="1"/>
  <c r="E104" i="16"/>
  <c r="E124" i="16" s="1"/>
  <c r="V105" i="16"/>
  <c r="X105" i="16"/>
  <c r="F107" i="16"/>
  <c r="W108" i="16"/>
  <c r="F109" i="16"/>
  <c r="F66" i="16" s="1"/>
  <c r="K36" i="15" s="1"/>
  <c r="E110" i="16"/>
  <c r="X110" i="16"/>
  <c r="X108" i="16" s="1"/>
  <c r="E113" i="16"/>
  <c r="F113" i="16"/>
  <c r="F74" i="16" s="1"/>
  <c r="K40" i="15" s="1"/>
  <c r="E116" i="16"/>
  <c r="F116" i="16"/>
  <c r="V117" i="16"/>
  <c r="E118" i="16"/>
  <c r="E123" i="16"/>
  <c r="V125" i="16"/>
  <c r="V126" i="16"/>
  <c r="F127" i="16"/>
  <c r="F60" i="16" s="1"/>
  <c r="K33" i="15" s="1"/>
  <c r="V127" i="16"/>
  <c r="W127" i="16"/>
  <c r="X127" i="16"/>
  <c r="F128" i="16"/>
  <c r="E129" i="16"/>
  <c r="F129" i="16"/>
  <c r="F64" i="16" s="1"/>
  <c r="K35" i="15" s="1"/>
  <c r="W129" i="16"/>
  <c r="X129" i="16"/>
  <c r="E130" i="16"/>
  <c r="F130" i="16"/>
  <c r="F68" i="16" s="1"/>
  <c r="K37" i="15" s="1"/>
  <c r="W130" i="16"/>
  <c r="X130" i="16"/>
  <c r="E131" i="16"/>
  <c r="F131" i="16"/>
  <c r="F70" i="16" s="1"/>
  <c r="K38" i="15" s="1"/>
  <c r="W131" i="16"/>
  <c r="X131" i="16"/>
  <c r="E132" i="16"/>
  <c r="F132" i="16"/>
  <c r="F72" i="16" s="1"/>
  <c r="K39" i="15" s="1"/>
  <c r="F133" i="16"/>
  <c r="F76" i="16" s="1"/>
  <c r="K41" i="15" s="1"/>
  <c r="W133" i="16"/>
  <c r="X133" i="16"/>
  <c r="F134" i="16"/>
  <c r="F78" i="16" s="1"/>
  <c r="K42" i="15" s="1"/>
  <c r="V135" i="16"/>
  <c r="V136" i="16"/>
  <c r="V144" i="16"/>
  <c r="V146" i="16"/>
  <c r="V147" i="16"/>
  <c r="X147" i="16"/>
  <c r="V148" i="16"/>
  <c r="V149" i="16"/>
  <c r="V150" i="16"/>
  <c r="E154" i="16"/>
  <c r="E156" i="16"/>
  <c r="V158" i="16"/>
  <c r="D159" i="16"/>
  <c r="V159" i="16" s="1"/>
  <c r="V163" i="16"/>
  <c r="X165" i="16"/>
  <c r="Y165" i="16"/>
  <c r="Z165" i="16"/>
  <c r="AA165" i="16"/>
  <c r="AB165" i="16"/>
  <c r="AC165" i="16"/>
  <c r="AD165" i="16"/>
  <c r="AE165" i="16"/>
  <c r="AF165" i="16"/>
  <c r="AG165" i="16"/>
  <c r="BB165" i="16"/>
  <c r="BC165" i="16"/>
  <c r="BD165" i="16"/>
  <c r="BE165" i="16"/>
  <c r="F166" i="16"/>
  <c r="H44" i="15" s="1"/>
  <c r="AM44" i="15" s="1"/>
  <c r="H166" i="16"/>
  <c r="BC166" i="16"/>
  <c r="BD166" i="16" s="1"/>
  <c r="BE166" i="16"/>
  <c r="F167" i="16"/>
  <c r="H45" i="15" s="1"/>
  <c r="AM45" i="15" s="1"/>
  <c r="H167" i="16"/>
  <c r="BC167" i="16"/>
  <c r="BE167" i="16"/>
  <c r="X182" i="16"/>
  <c r="Y182" i="16"/>
  <c r="Z182" i="16"/>
  <c r="AA182" i="16"/>
  <c r="AB182" i="16"/>
  <c r="AC182" i="16"/>
  <c r="AD182" i="16"/>
  <c r="AE182" i="16"/>
  <c r="AF182" i="16"/>
  <c r="AG182" i="16"/>
  <c r="AJ182" i="16"/>
  <c r="AK182" i="16"/>
  <c r="AL182" i="16"/>
  <c r="AM182" i="16"/>
  <c r="AN182" i="16"/>
  <c r="AO182" i="16"/>
  <c r="AP182" i="16"/>
  <c r="AQ182" i="16"/>
  <c r="AR182" i="16"/>
  <c r="AS182" i="16"/>
  <c r="V184" i="16"/>
  <c r="V185" i="16"/>
  <c r="V186" i="16"/>
  <c r="V187" i="16"/>
  <c r="V188" i="16"/>
  <c r="V189" i="16"/>
  <c r="V190" i="16"/>
  <c r="V191" i="16"/>
  <c r="V192" i="16"/>
  <c r="V193" i="16"/>
  <c r="V194" i="16"/>
  <c r="D195" i="16"/>
  <c r="V195" i="16" s="1"/>
  <c r="D196" i="16"/>
  <c r="V196" i="16" s="1"/>
  <c r="V199" i="16"/>
  <c r="X201" i="16"/>
  <c r="Y201" i="16"/>
  <c r="Z201" i="16"/>
  <c r="AA201" i="16"/>
  <c r="AB201" i="16"/>
  <c r="AC201" i="16"/>
  <c r="AD201" i="16"/>
  <c r="AE201" i="16"/>
  <c r="AF201" i="16"/>
  <c r="AG201" i="16"/>
  <c r="BB201" i="16"/>
  <c r="BC201" i="16"/>
  <c r="BD201" i="16"/>
  <c r="BE201" i="16"/>
  <c r="F202" i="16"/>
  <c r="H46" i="15" s="1"/>
  <c r="AM46" i="15" s="1"/>
  <c r="H202" i="16"/>
  <c r="J202" i="16"/>
  <c r="K202" i="16"/>
  <c r="AA46" i="15" s="1"/>
  <c r="F203" i="16"/>
  <c r="H47" i="15" s="1"/>
  <c r="AM47" i="15" s="1"/>
  <c r="H203" i="16"/>
  <c r="J203" i="16"/>
  <c r="W47" i="15" s="1"/>
  <c r="Y47" i="15" s="1"/>
  <c r="K203" i="16"/>
  <c r="AA47" i="15" s="1"/>
  <c r="F204" i="16"/>
  <c r="H48" i="15" s="1"/>
  <c r="AM48" i="15" s="1"/>
  <c r="H204" i="16"/>
  <c r="J204" i="16"/>
  <c r="K204" i="16"/>
  <c r="AA48" i="15" s="1"/>
  <c r="F205" i="16"/>
  <c r="H49" i="15" s="1"/>
  <c r="AM49" i="15" s="1"/>
  <c r="H205" i="16"/>
  <c r="J205" i="16"/>
  <c r="W49" i="15" s="1"/>
  <c r="Y49" i="15" s="1"/>
  <c r="K205" i="16"/>
  <c r="AA49" i="15" s="1"/>
  <c r="F206" i="16"/>
  <c r="H50" i="15" s="1"/>
  <c r="AM50" i="15" s="1"/>
  <c r="H206" i="16"/>
  <c r="J206" i="16"/>
  <c r="K206" i="16"/>
  <c r="AA50" i="15" s="1"/>
  <c r="F207" i="16"/>
  <c r="H51" i="15" s="1"/>
  <c r="AM51" i="15" s="1"/>
  <c r="H207" i="16"/>
  <c r="J207" i="16"/>
  <c r="W51" i="15" s="1"/>
  <c r="Y51" i="15" s="1"/>
  <c r="K207" i="16"/>
  <c r="AA51" i="15" s="1"/>
  <c r="F208" i="16"/>
  <c r="H52" i="15" s="1"/>
  <c r="AM52" i="15" s="1"/>
  <c r="H208" i="16"/>
  <c r="J208" i="16"/>
  <c r="K208" i="16"/>
  <c r="AA52" i="15" s="1"/>
  <c r="BE208" i="16"/>
  <c r="F209" i="16"/>
  <c r="H53" i="15" s="1"/>
  <c r="AM53" i="15" s="1"/>
  <c r="H209" i="16"/>
  <c r="I209" i="16" s="1"/>
  <c r="N53" i="15" s="1"/>
  <c r="U53" i="15" s="1"/>
  <c r="J209" i="16"/>
  <c r="W53" i="15" s="1"/>
  <c r="Y53" i="15" s="1"/>
  <c r="K209" i="16"/>
  <c r="AA53" i="15" s="1"/>
  <c r="H210" i="16"/>
  <c r="J210" i="16"/>
  <c r="K210" i="16"/>
  <c r="AA54" i="15" s="1"/>
  <c r="X216" i="16"/>
  <c r="Y216" i="16"/>
  <c r="Z216" i="16"/>
  <c r="AA216" i="16"/>
  <c r="AB216" i="16"/>
  <c r="AC216" i="16"/>
  <c r="AD216" i="16"/>
  <c r="AE216" i="16"/>
  <c r="AF216" i="16"/>
  <c r="AG216" i="16"/>
  <c r="AJ216" i="16"/>
  <c r="AK216" i="16"/>
  <c r="AL216" i="16"/>
  <c r="AM216" i="16"/>
  <c r="AN216" i="16"/>
  <c r="AO216" i="16"/>
  <c r="AP216" i="16"/>
  <c r="AQ216" i="16"/>
  <c r="AR216" i="16"/>
  <c r="AS216" i="16"/>
  <c r="V218" i="16"/>
  <c r="V219" i="16"/>
  <c r="V220" i="16"/>
  <c r="V221" i="16"/>
  <c r="V222" i="16"/>
  <c r="V223" i="16"/>
  <c r="V224" i="16"/>
  <c r="V225" i="16"/>
  <c r="D227" i="16"/>
  <c r="V227" i="16" s="1"/>
  <c r="V231" i="16"/>
  <c r="X233" i="16"/>
  <c r="Y233" i="16"/>
  <c r="Z233" i="16"/>
  <c r="AA233" i="16"/>
  <c r="AB233" i="16"/>
  <c r="AC233" i="16"/>
  <c r="AD233" i="16"/>
  <c r="AE233" i="16"/>
  <c r="AF233" i="16"/>
  <c r="AG233" i="16"/>
  <c r="BB233" i="16"/>
  <c r="BC233" i="16"/>
  <c r="BD233" i="16"/>
  <c r="BE233" i="16"/>
  <c r="F234" i="16"/>
  <c r="H55" i="15" s="1"/>
  <c r="AM55" i="15" s="1"/>
  <c r="H234" i="16"/>
  <c r="J234" i="16"/>
  <c r="W55" i="15" s="1"/>
  <c r="Y55" i="15" s="1"/>
  <c r="K234" i="16"/>
  <c r="AA55" i="15" s="1"/>
  <c r="X242" i="16"/>
  <c r="Y242" i="16"/>
  <c r="Z242" i="16"/>
  <c r="AA242" i="16"/>
  <c r="AB242" i="16"/>
  <c r="AC242" i="16"/>
  <c r="AD242" i="16"/>
  <c r="AE242" i="16"/>
  <c r="AF242" i="16"/>
  <c r="AG242" i="16"/>
  <c r="V243" i="16"/>
  <c r="V244" i="16"/>
  <c r="V245" i="16"/>
  <c r="V246" i="16"/>
  <c r="V247" i="16"/>
  <c r="V248" i="16"/>
  <c r="V249" i="16"/>
  <c r="V250" i="16"/>
  <c r="D251" i="16"/>
  <c r="V251" i="16" s="1"/>
  <c r="D252" i="16"/>
  <c r="V252" i="16" s="1"/>
  <c r="V255" i="16"/>
  <c r="X257" i="16"/>
  <c r="Y257" i="16"/>
  <c r="Z257" i="16"/>
  <c r="AA257" i="16"/>
  <c r="AB257" i="16"/>
  <c r="AC257" i="16"/>
  <c r="AD257" i="16"/>
  <c r="AE257" i="16"/>
  <c r="AF257" i="16"/>
  <c r="AG257" i="16"/>
  <c r="BB257" i="16"/>
  <c r="BC257" i="16"/>
  <c r="BD257" i="16"/>
  <c r="BE257" i="16"/>
  <c r="F258" i="16"/>
  <c r="H56" i="15" s="1"/>
  <c r="J56" i="15" s="1"/>
  <c r="H258" i="16"/>
  <c r="J258" i="16"/>
  <c r="W56" i="15" s="1"/>
  <c r="Y56" i="15" s="1"/>
  <c r="K258" i="16"/>
  <c r="AA56" i="15" s="1"/>
  <c r="X264" i="16"/>
  <c r="Y264" i="16"/>
  <c r="Z264" i="16"/>
  <c r="AA264" i="16"/>
  <c r="AB264" i="16"/>
  <c r="AC264" i="16"/>
  <c r="AD264" i="16"/>
  <c r="AE264" i="16"/>
  <c r="AF264" i="16"/>
  <c r="AG264" i="16"/>
  <c r="D278" i="16"/>
  <c r="V278" i="16" s="1"/>
  <c r="D279" i="16"/>
  <c r="V279" i="16" s="1"/>
  <c r="V282" i="16"/>
  <c r="X284" i="16"/>
  <c r="Y284" i="16"/>
  <c r="Z284" i="16"/>
  <c r="AA284" i="16"/>
  <c r="AB284" i="16"/>
  <c r="AC284" i="16"/>
  <c r="AD284" i="16"/>
  <c r="AE284" i="16"/>
  <c r="AF284" i="16"/>
  <c r="AG284" i="16"/>
  <c r="BB284" i="16"/>
  <c r="BC284" i="16"/>
  <c r="BD284" i="16"/>
  <c r="BE284" i="16"/>
  <c r="F285" i="16"/>
  <c r="H57" i="15" s="1"/>
  <c r="J57" i="15" s="1"/>
  <c r="H285" i="16"/>
  <c r="J285" i="16"/>
  <c r="W57" i="15" s="1"/>
  <c r="Y57" i="15" s="1"/>
  <c r="K285" i="16"/>
  <c r="AA57" i="15" s="1"/>
  <c r="F286" i="16"/>
  <c r="H58" i="15" s="1"/>
  <c r="J58" i="15" s="1"/>
  <c r="H286" i="16"/>
  <c r="J286" i="16"/>
  <c r="W58" i="15" s="1"/>
  <c r="Y58" i="15" s="1"/>
  <c r="K286" i="16"/>
  <c r="AA58" i="15" s="1"/>
  <c r="X294" i="16"/>
  <c r="Y294" i="16"/>
  <c r="Z294" i="16"/>
  <c r="AA294" i="16"/>
  <c r="AB294" i="16"/>
  <c r="AC294" i="16"/>
  <c r="AD294" i="16"/>
  <c r="AE294" i="16"/>
  <c r="AF294" i="16"/>
  <c r="AG294" i="16"/>
  <c r="D304" i="16"/>
  <c r="V304" i="16" s="1"/>
  <c r="D305" i="16"/>
  <c r="V305" i="16" s="1"/>
  <c r="I286" i="16" l="1"/>
  <c r="N58" i="15" s="1"/>
  <c r="P58" i="15" s="1"/>
  <c r="I234" i="16"/>
  <c r="N55" i="15" s="1"/>
  <c r="BE206" i="16"/>
  <c r="I204" i="16"/>
  <c r="N48" i="15" s="1"/>
  <c r="U48" i="15" s="1"/>
  <c r="E114" i="16"/>
  <c r="BD65" i="16"/>
  <c r="AD36" i="15" s="1"/>
  <c r="I63" i="16"/>
  <c r="I57" i="16"/>
  <c r="P32" i="15" s="1"/>
  <c r="N32" i="15" s="1"/>
  <c r="E152" i="16"/>
  <c r="E142" i="16"/>
  <c r="BE75" i="16"/>
  <c r="BD67" i="16"/>
  <c r="AD37" i="15" s="1"/>
  <c r="BD59" i="16"/>
  <c r="AD33" i="15" s="1"/>
  <c r="BE209" i="16"/>
  <c r="BC205" i="16"/>
  <c r="BD205" i="16" s="1"/>
  <c r="BC285" i="16"/>
  <c r="BD285" i="16" s="1"/>
  <c r="BC258" i="16"/>
  <c r="BD258" i="16" s="1"/>
  <c r="BC209" i="16"/>
  <c r="BD209" i="16" s="1"/>
  <c r="I207" i="16"/>
  <c r="N51" i="15" s="1"/>
  <c r="U51" i="15" s="1"/>
  <c r="E138" i="16"/>
  <c r="E195" i="16"/>
  <c r="E159" i="16"/>
  <c r="E251" i="16"/>
  <c r="E278" i="16"/>
  <c r="I202" i="16"/>
  <c r="N46" i="15" s="1"/>
  <c r="U46" i="15" s="1"/>
  <c r="I166" i="16"/>
  <c r="N44" i="15" s="1"/>
  <c r="U44" i="15" s="1"/>
  <c r="E151" i="16"/>
  <c r="BD77" i="16"/>
  <c r="AD42" i="15" s="1"/>
  <c r="BD71" i="16"/>
  <c r="AD39" i="15" s="1"/>
  <c r="BE285" i="16"/>
  <c r="I285" i="16"/>
  <c r="N57" i="15" s="1"/>
  <c r="T57" i="15" s="1"/>
  <c r="BC207" i="16"/>
  <c r="BD207" i="16" s="1"/>
  <c r="BB207" i="16" s="1"/>
  <c r="Z51" i="15" s="1"/>
  <c r="E155" i="16"/>
  <c r="E140" i="16"/>
  <c r="E128" i="16"/>
  <c r="E122" i="16"/>
  <c r="F62" i="16"/>
  <c r="K34" i="15" s="1"/>
  <c r="BD79" i="16"/>
  <c r="I78" i="16"/>
  <c r="AN53" i="15"/>
  <c r="AD43" i="15"/>
  <c r="AD56" i="15"/>
  <c r="AB56" i="15" s="1"/>
  <c r="BC208" i="16"/>
  <c r="BD208" i="16" s="1"/>
  <c r="W52" i="15"/>
  <c r="Y52" i="15" s="1"/>
  <c r="BC206" i="16"/>
  <c r="BD206" i="16" s="1"/>
  <c r="W50" i="15"/>
  <c r="Y50" i="15" s="1"/>
  <c r="BE286" i="16"/>
  <c r="BE234" i="16"/>
  <c r="AN55" i="15"/>
  <c r="BE203" i="16"/>
  <c r="I203" i="16"/>
  <c r="N47" i="15" s="1"/>
  <c r="U47" i="15" s="1"/>
  <c r="I167" i="16"/>
  <c r="N45" i="15" s="1"/>
  <c r="U45" i="15" s="1"/>
  <c r="BB166" i="16"/>
  <c r="Z44" i="15" s="1"/>
  <c r="AD44" i="15"/>
  <c r="AB44" i="15" s="1"/>
  <c r="E157" i="16"/>
  <c r="E153" i="16"/>
  <c r="E150" i="16"/>
  <c r="F80" i="16"/>
  <c r="K43" i="15" s="1"/>
  <c r="I76" i="16"/>
  <c r="BE63" i="16"/>
  <c r="AA35" i="15"/>
  <c r="BE61" i="16"/>
  <c r="AA34" i="15"/>
  <c r="P57" i="15"/>
  <c r="AN46" i="15"/>
  <c r="BC286" i="16"/>
  <c r="BD286" i="16" s="1"/>
  <c r="BE258" i="16"/>
  <c r="BB258" i="16" s="1"/>
  <c r="Z56" i="15" s="1"/>
  <c r="I258" i="16"/>
  <c r="N56" i="15" s="1"/>
  <c r="BC234" i="16"/>
  <c r="BD234" i="16" s="1"/>
  <c r="D228" i="16"/>
  <c r="V228" i="16" s="1"/>
  <c r="BE210" i="16"/>
  <c r="F210" i="16"/>
  <c r="H54" i="15" s="1"/>
  <c r="AM54" i="15" s="1"/>
  <c r="BE207" i="16"/>
  <c r="BE205" i="16"/>
  <c r="I205" i="16"/>
  <c r="N49" i="15" s="1"/>
  <c r="U49" i="15" s="1"/>
  <c r="BC204" i="16"/>
  <c r="BD204" i="16" s="1"/>
  <c r="W48" i="15"/>
  <c r="Y48" i="15" s="1"/>
  <c r="BC203" i="16"/>
  <c r="BD203" i="16" s="1"/>
  <c r="BC202" i="16"/>
  <c r="BD202" i="16" s="1"/>
  <c r="W46" i="15"/>
  <c r="Y46" i="15" s="1"/>
  <c r="E119" i="16"/>
  <c r="BE79" i="16"/>
  <c r="AA43" i="15"/>
  <c r="BE77" i="16"/>
  <c r="AA42" i="15"/>
  <c r="BE71" i="16"/>
  <c r="AA39" i="15"/>
  <c r="BE69" i="16"/>
  <c r="I67" i="16"/>
  <c r="I65" i="16"/>
  <c r="BE59" i="16"/>
  <c r="AA33" i="15"/>
  <c r="BE57" i="16"/>
  <c r="T58" i="15"/>
  <c r="AM56" i="15"/>
  <c r="AD51" i="15"/>
  <c r="AB51" i="15" s="1"/>
  <c r="BE73" i="16"/>
  <c r="AA40" i="15"/>
  <c r="AB35" i="15"/>
  <c r="I60" i="16"/>
  <c r="AM58" i="15"/>
  <c r="AN58" i="15" s="1"/>
  <c r="BB205" i="16"/>
  <c r="Z49" i="15" s="1"/>
  <c r="AD49" i="15"/>
  <c r="AB49" i="15" s="1"/>
  <c r="BB285" i="16"/>
  <c r="Z57" i="15" s="1"/>
  <c r="AD57" i="15"/>
  <c r="AB57" i="15" s="1"/>
  <c r="BC210" i="16"/>
  <c r="W54" i="15"/>
  <c r="Y54" i="15" s="1"/>
  <c r="BB209" i="16"/>
  <c r="Z53" i="15" s="1"/>
  <c r="AD53" i="15"/>
  <c r="AB53" i="15" s="1"/>
  <c r="I208" i="16"/>
  <c r="N52" i="15" s="1"/>
  <c r="U52" i="15" s="1"/>
  <c r="I206" i="16"/>
  <c r="N50" i="15" s="1"/>
  <c r="U50" i="15" s="1"/>
  <c r="BE204" i="16"/>
  <c r="BE202" i="16"/>
  <c r="BD167" i="16"/>
  <c r="D160" i="16"/>
  <c r="V160" i="16" s="1"/>
  <c r="E106" i="16"/>
  <c r="I79" i="16"/>
  <c r="BD78" i="16"/>
  <c r="AE42" i="15" s="1"/>
  <c r="I77" i="16"/>
  <c r="BD76" i="16"/>
  <c r="AE41" i="15" s="1"/>
  <c r="AB41" i="15" s="1"/>
  <c r="I75" i="16"/>
  <c r="I72" i="16"/>
  <c r="I71" i="16"/>
  <c r="BD70" i="16"/>
  <c r="AE38" i="15" s="1"/>
  <c r="AB38" i="15" s="1"/>
  <c r="BE67" i="16"/>
  <c r="AA37" i="15"/>
  <c r="BE65" i="16"/>
  <c r="AA36" i="15"/>
  <c r="I62" i="16"/>
  <c r="BD60" i="16"/>
  <c r="AE33" i="15" s="1"/>
  <c r="AB33" i="15" s="1"/>
  <c r="I59" i="16"/>
  <c r="F7" i="16"/>
  <c r="L7" i="16" s="1"/>
  <c r="AM57" i="15"/>
  <c r="T55" i="15"/>
  <c r="E279" i="16"/>
  <c r="E252" i="16"/>
  <c r="E228" i="16"/>
  <c r="E196" i="16"/>
  <c r="I80" i="16"/>
  <c r="BD72" i="16"/>
  <c r="I70" i="16"/>
  <c r="I68" i="16"/>
  <c r="I74" i="16"/>
  <c r="BD68" i="16"/>
  <c r="BD66" i="16"/>
  <c r="AE36" i="15" s="1"/>
  <c r="AB36" i="15" s="1"/>
  <c r="I64" i="16"/>
  <c r="BD74" i="16"/>
  <c r="I66" i="16"/>
  <c r="BB63" i="16"/>
  <c r="BD62" i="16"/>
  <c r="E143" i="16"/>
  <c r="E139" i="16"/>
  <c r="E136" i="16"/>
  <c r="E127" i="16"/>
  <c r="E105" i="16"/>
  <c r="F58" i="16"/>
  <c r="E141" i="16"/>
  <c r="E121" i="16"/>
  <c r="E115" i="16"/>
  <c r="E134" i="16"/>
  <c r="AB42" i="15" l="1"/>
  <c r="AN57" i="15"/>
  <c r="AN48" i="15"/>
  <c r="AN51" i="15"/>
  <c r="AN44" i="15"/>
  <c r="BB59" i="16"/>
  <c r="BB75" i="16"/>
  <c r="BB69" i="16"/>
  <c r="BD7" i="16"/>
  <c r="BB7" i="16" s="1"/>
  <c r="Z31" i="15" s="1"/>
  <c r="AN52" i="15"/>
  <c r="BD58" i="16"/>
  <c r="K32" i="15"/>
  <c r="H32" i="15" s="1"/>
  <c r="BB206" i="16"/>
  <c r="Z50" i="15" s="1"/>
  <c r="AD50" i="15"/>
  <c r="AB50" i="15" s="1"/>
  <c r="BB65" i="16"/>
  <c r="BB167" i="16"/>
  <c r="Z45" i="15" s="1"/>
  <c r="AD45" i="15"/>
  <c r="AB45" i="15" s="1"/>
  <c r="BD210" i="16"/>
  <c r="AN56" i="15"/>
  <c r="BB202" i="16"/>
  <c r="Z46" i="15" s="1"/>
  <c r="AD46" i="15"/>
  <c r="AB46" i="15" s="1"/>
  <c r="AN47" i="15"/>
  <c r="AN50" i="15"/>
  <c r="BB71" i="16"/>
  <c r="AE39" i="15"/>
  <c r="AB39" i="15" s="1"/>
  <c r="BB203" i="16"/>
  <c r="Z47" i="15" s="1"/>
  <c r="AD47" i="15"/>
  <c r="AB47" i="15" s="1"/>
  <c r="BB286" i="16"/>
  <c r="Z58" i="15" s="1"/>
  <c r="AD58" i="15"/>
  <c r="AB58" i="15" s="1"/>
  <c r="BB208" i="16"/>
  <c r="Z52" i="15" s="1"/>
  <c r="AD52" i="15"/>
  <c r="AB52" i="15" s="1"/>
  <c r="BD80" i="16"/>
  <c r="AN49" i="15"/>
  <c r="BB204" i="16"/>
  <c r="Z48" i="15" s="1"/>
  <c r="AD48" i="15"/>
  <c r="AB48" i="15" s="1"/>
  <c r="U56" i="15"/>
  <c r="P56" i="15"/>
  <c r="BB61" i="16"/>
  <c r="AE34" i="15"/>
  <c r="AB34" i="15" s="1"/>
  <c r="BB73" i="16"/>
  <c r="AE40" i="15"/>
  <c r="AB40" i="15" s="1"/>
  <c r="BB67" i="16"/>
  <c r="AE37" i="15"/>
  <c r="AB37" i="15" s="1"/>
  <c r="BB77" i="16"/>
  <c r="BB234" i="16"/>
  <c r="Z55" i="15" s="1"/>
  <c r="AD55" i="15"/>
  <c r="AB55" i="15" s="1"/>
  <c r="I210" i="16"/>
  <c r="N54" i="15" s="1"/>
  <c r="U54" i="15" s="1"/>
  <c r="AN45" i="15"/>
  <c r="I58" i="16"/>
  <c r="P34" i="15"/>
  <c r="N34" i="15" s="1"/>
  <c r="P37" i="15"/>
  <c r="N37" i="15" s="1"/>
  <c r="P38" i="15"/>
  <c r="N38" i="15" s="1"/>
  <c r="P39" i="15"/>
  <c r="N39" i="15" s="1"/>
  <c r="P41" i="15"/>
  <c r="N41" i="15" s="1"/>
  <c r="Z41" i="15"/>
  <c r="P42" i="15"/>
  <c r="N42" i="15" s="1"/>
  <c r="B42" i="15"/>
  <c r="AL42" i="15" s="1"/>
  <c r="F42" i="15"/>
  <c r="G42" i="15"/>
  <c r="J42" i="15"/>
  <c r="H42" i="15" s="1"/>
  <c r="W42" i="15"/>
  <c r="Y42" i="15" s="1"/>
  <c r="B43" i="15"/>
  <c r="AL43" i="15" s="1"/>
  <c r="F43" i="15"/>
  <c r="G43" i="15"/>
  <c r="J43" i="15"/>
  <c r="H43" i="15" s="1"/>
  <c r="P43" i="15"/>
  <c r="N43" i="15" s="1"/>
  <c r="W43" i="15"/>
  <c r="Y43" i="15" s="1"/>
  <c r="B33" i="15"/>
  <c r="AL33" i="15" s="1"/>
  <c r="F33" i="15"/>
  <c r="G33" i="15"/>
  <c r="W33" i="15"/>
  <c r="Y33" i="15" s="1"/>
  <c r="B34" i="15"/>
  <c r="AL34" i="15" s="1"/>
  <c r="F34" i="15"/>
  <c r="G34" i="15"/>
  <c r="J34" i="15"/>
  <c r="H34" i="15" s="1"/>
  <c r="W34" i="15"/>
  <c r="Y34" i="15" s="1"/>
  <c r="B35" i="15"/>
  <c r="AL35" i="15" s="1"/>
  <c r="F35" i="15"/>
  <c r="G35" i="15"/>
  <c r="W35" i="15"/>
  <c r="Y35" i="15" s="1"/>
  <c r="B36" i="15"/>
  <c r="AL36" i="15" s="1"/>
  <c r="F36" i="15"/>
  <c r="G36" i="15"/>
  <c r="W36" i="15"/>
  <c r="Y36" i="15" s="1"/>
  <c r="B37" i="15"/>
  <c r="AL37" i="15" s="1"/>
  <c r="F37" i="15"/>
  <c r="G37" i="15"/>
  <c r="J37" i="15"/>
  <c r="H37" i="15" s="1"/>
  <c r="W37" i="15"/>
  <c r="Y37" i="15" s="1"/>
  <c r="B38" i="15"/>
  <c r="AL38" i="15" s="1"/>
  <c r="F38" i="15"/>
  <c r="G38" i="15"/>
  <c r="J38" i="15"/>
  <c r="H38" i="15" s="1"/>
  <c r="W38" i="15"/>
  <c r="Y38" i="15" s="1"/>
  <c r="B39" i="15"/>
  <c r="AL39" i="15" s="1"/>
  <c r="F39" i="15"/>
  <c r="G39" i="15"/>
  <c r="J39" i="15"/>
  <c r="H39" i="15" s="1"/>
  <c r="W39" i="15"/>
  <c r="Y39" i="15" s="1"/>
  <c r="B40" i="15"/>
  <c r="AL40" i="15" s="1"/>
  <c r="F40" i="15"/>
  <c r="G40" i="15"/>
  <c r="J40" i="15"/>
  <c r="H40" i="15" s="1"/>
  <c r="P40" i="15"/>
  <c r="N40" i="15" s="1"/>
  <c r="W40" i="15"/>
  <c r="Y40" i="15" s="1"/>
  <c r="B41" i="15"/>
  <c r="AL41" i="15" s="1"/>
  <c r="F41" i="15"/>
  <c r="G41" i="15"/>
  <c r="J41" i="15"/>
  <c r="H41" i="15" s="1"/>
  <c r="W41" i="15"/>
  <c r="Y41" i="15" s="1"/>
  <c r="C32" i="15"/>
  <c r="F32" i="15"/>
  <c r="F31" i="15"/>
  <c r="W32" i="15"/>
  <c r="Y32" i="15" s="1"/>
  <c r="G32" i="15"/>
  <c r="B32" i="15"/>
  <c r="AL32" i="15" s="1"/>
  <c r="AA31" i="15"/>
  <c r="W31" i="15"/>
  <c r="Y31" i="15" s="1"/>
  <c r="G31" i="15"/>
  <c r="B31" i="15"/>
  <c r="AL31" i="15" s="1"/>
  <c r="A33" i="15"/>
  <c r="A34" i="15"/>
  <c r="A35" i="15"/>
  <c r="A36" i="15"/>
  <c r="A37" i="15"/>
  <c r="A38" i="15"/>
  <c r="A39" i="15"/>
  <c r="A40" i="15"/>
  <c r="A41" i="15"/>
  <c r="A42" i="15"/>
  <c r="A43" i="15"/>
  <c r="A32" i="15"/>
  <c r="A31" i="15"/>
  <c r="AD31" i="15" l="1"/>
  <c r="AB31" i="15" s="1"/>
  <c r="AE43" i="15"/>
  <c r="AB43" i="15" s="1"/>
  <c r="BB79" i="16"/>
  <c r="BB210" i="16"/>
  <c r="Z54" i="15" s="1"/>
  <c r="AD54" i="15"/>
  <c r="AB54" i="15" s="1"/>
  <c r="AM40" i="15"/>
  <c r="AN54" i="15"/>
  <c r="BB57" i="16"/>
  <c r="Z32" i="15" s="1"/>
  <c r="AE32" i="15"/>
  <c r="AB32" i="15" s="1"/>
  <c r="AM39" i="15"/>
  <c r="AN39" i="15" s="1"/>
  <c r="AM38" i="15"/>
  <c r="AN38" i="15" s="1"/>
  <c r="AM43" i="15"/>
  <c r="AN43" i="15" s="1"/>
  <c r="AM41" i="15"/>
  <c r="AN41" i="15" s="1"/>
  <c r="AM42" i="15"/>
  <c r="AN42" i="15" s="1"/>
  <c r="AM37" i="15"/>
  <c r="AN37" i="15" s="1"/>
  <c r="AM32" i="15"/>
  <c r="AN32" i="15" s="1"/>
  <c r="AM34" i="15"/>
  <c r="AN34" i="15" s="1"/>
  <c r="AN40" i="15"/>
  <c r="U38" i="15"/>
  <c r="U40" i="15"/>
  <c r="U43" i="15"/>
  <c r="U41" i="15"/>
  <c r="U37" i="15"/>
  <c r="U39" i="15"/>
  <c r="U34" i="15"/>
  <c r="U42" i="15"/>
  <c r="P33" i="15"/>
  <c r="N33" i="15" s="1"/>
  <c r="J33" i="15"/>
  <c r="H33" i="15" s="1"/>
  <c r="H31" i="15"/>
  <c r="AM31" i="15" s="1"/>
  <c r="N31" i="15"/>
  <c r="Z42" i="15"/>
  <c r="Z40" i="15"/>
  <c r="Z38" i="15"/>
  <c r="Z37" i="15"/>
  <c r="J36" i="15"/>
  <c r="H36" i="15" s="1"/>
  <c r="P36" i="15"/>
  <c r="N36" i="15" s="1"/>
  <c r="Z35" i="15"/>
  <c r="J35" i="15"/>
  <c r="H35" i="15" s="1"/>
  <c r="P35" i="15"/>
  <c r="N35" i="15" s="1"/>
  <c r="Z34" i="15"/>
  <c r="Z33" i="15"/>
  <c r="Z43" i="15"/>
  <c r="Z39" i="15"/>
  <c r="Z36" i="15"/>
  <c r="AM33" i="15" l="1"/>
  <c r="AN33" i="15" s="1"/>
  <c r="AM35" i="15"/>
  <c r="AN35" i="15" s="1"/>
  <c r="AM36" i="15"/>
  <c r="AN36" i="15" s="1"/>
  <c r="AN31" i="15"/>
  <c r="U31" i="15"/>
  <c r="U35" i="15"/>
  <c r="U36" i="15"/>
  <c r="U33" i="15"/>
  <c r="AA10" i="15" l="1"/>
  <c r="AA11" i="15"/>
  <c r="AA12" i="15"/>
  <c r="AA13" i="15"/>
  <c r="AA14" i="15"/>
  <c r="AA15" i="15"/>
  <c r="AA16" i="15"/>
  <c r="AA17" i="15"/>
  <c r="AA18" i="15"/>
  <c r="AA19" i="15"/>
  <c r="AA20" i="15"/>
  <c r="AA21" i="15"/>
  <c r="AA22" i="15"/>
  <c r="AA23" i="15"/>
  <c r="AA24" i="15"/>
  <c r="AA25" i="15"/>
  <c r="AA26" i="15"/>
  <c r="AA27" i="15"/>
  <c r="AA28" i="15"/>
  <c r="AA29" i="15"/>
  <c r="AA30" i="15"/>
  <c r="AA9" i="15"/>
  <c r="B10" i="15"/>
  <c r="AL10" i="15" s="1"/>
  <c r="F10" i="15"/>
  <c r="G10" i="15"/>
  <c r="B11" i="15"/>
  <c r="AL11" i="15" s="1"/>
  <c r="F11" i="15"/>
  <c r="G11" i="15"/>
  <c r="B12" i="15"/>
  <c r="AL12" i="15" s="1"/>
  <c r="F12" i="15"/>
  <c r="G12" i="15"/>
  <c r="B13" i="15"/>
  <c r="AL13" i="15" s="1"/>
  <c r="F13" i="15"/>
  <c r="G13" i="15"/>
  <c r="B14" i="15"/>
  <c r="AL14" i="15" s="1"/>
  <c r="F14" i="15"/>
  <c r="G14" i="15"/>
  <c r="B15" i="15"/>
  <c r="AL15" i="15" s="1"/>
  <c r="F15" i="15"/>
  <c r="G15" i="15"/>
  <c r="B16" i="15"/>
  <c r="AL16" i="15" s="1"/>
  <c r="F16" i="15"/>
  <c r="G16" i="15"/>
  <c r="B17" i="15"/>
  <c r="AL17" i="15" s="1"/>
  <c r="F17" i="15"/>
  <c r="G17" i="15"/>
  <c r="B18" i="15"/>
  <c r="AL18" i="15" s="1"/>
  <c r="F18" i="15"/>
  <c r="G18" i="15"/>
  <c r="B19" i="15"/>
  <c r="AL19" i="15" s="1"/>
  <c r="F19" i="15"/>
  <c r="G19" i="15"/>
  <c r="B20" i="15"/>
  <c r="AL20" i="15" s="1"/>
  <c r="F20" i="15"/>
  <c r="G20" i="15"/>
  <c r="B21" i="15"/>
  <c r="AL21" i="15" s="1"/>
  <c r="F21" i="15"/>
  <c r="G21" i="15"/>
  <c r="B22" i="15"/>
  <c r="AL22" i="15" s="1"/>
  <c r="F22" i="15"/>
  <c r="G22" i="15"/>
  <c r="B23" i="15"/>
  <c r="AL23" i="15" s="1"/>
  <c r="F23" i="15"/>
  <c r="G23" i="15"/>
  <c r="B24" i="15"/>
  <c r="AL24" i="15" s="1"/>
  <c r="F24" i="15"/>
  <c r="G24" i="15"/>
  <c r="B25" i="15"/>
  <c r="AL25" i="15" s="1"/>
  <c r="F25" i="15"/>
  <c r="G25" i="15"/>
  <c r="B26" i="15"/>
  <c r="AL26" i="15" s="1"/>
  <c r="F26" i="15"/>
  <c r="G26" i="15"/>
  <c r="B27" i="15"/>
  <c r="AL27" i="15" s="1"/>
  <c r="F27" i="15"/>
  <c r="G27" i="15"/>
  <c r="B28" i="15"/>
  <c r="AL28" i="15" s="1"/>
  <c r="F28" i="15"/>
  <c r="G28" i="15"/>
  <c r="B29" i="15"/>
  <c r="AL29" i="15" s="1"/>
  <c r="F29" i="15"/>
  <c r="G29" i="15"/>
  <c r="B30" i="15"/>
  <c r="AL30" i="15" s="1"/>
  <c r="F30" i="15"/>
  <c r="G30" i="15"/>
  <c r="G9" i="15"/>
  <c r="F9" i="15"/>
  <c r="B9" i="15"/>
  <c r="AL9" i="15" s="1"/>
  <c r="A29" i="15"/>
  <c r="A30" i="15"/>
  <c r="A10" i="15"/>
  <c r="A11" i="15"/>
  <c r="A12" i="15"/>
  <c r="A13" i="15"/>
  <c r="A14" i="15"/>
  <c r="A15" i="15"/>
  <c r="A16" i="15"/>
  <c r="A17" i="15"/>
  <c r="A18" i="15"/>
  <c r="A19" i="15"/>
  <c r="A20" i="15"/>
  <c r="A21" i="15"/>
  <c r="A22" i="15"/>
  <c r="A23" i="15"/>
  <c r="A24" i="15"/>
  <c r="A25" i="15"/>
  <c r="A26" i="15"/>
  <c r="A27" i="15"/>
  <c r="A28" i="15"/>
  <c r="A9" i="15"/>
  <c r="BE667" i="7" l="1"/>
  <c r="BE661" i="7"/>
  <c r="BE655" i="7"/>
  <c r="Y39" i="9"/>
  <c r="Y154" i="9"/>
  <c r="Y153" i="9"/>
  <c r="Y152" i="9"/>
  <c r="Y151" i="9"/>
  <c r="Y150" i="9"/>
  <c r="Y149" i="9"/>
  <c r="Y148" i="9"/>
  <c r="Y147" i="9"/>
  <c r="Y146" i="9"/>
  <c r="Y145" i="9"/>
  <c r="Y120" i="9"/>
  <c r="Y119" i="9"/>
  <c r="Y118" i="9"/>
  <c r="Y117" i="9"/>
  <c r="Y116" i="9"/>
  <c r="Y115" i="9"/>
  <c r="Y114" i="9"/>
  <c r="Y113" i="9"/>
  <c r="Y112" i="9"/>
  <c r="Y111" i="9"/>
  <c r="H146" i="9" l="1"/>
  <c r="H147" i="9"/>
  <c r="H148" i="9"/>
  <c r="H149" i="9"/>
  <c r="H150" i="9"/>
  <c r="H151" i="9"/>
  <c r="H152" i="9"/>
  <c r="H153" i="9"/>
  <c r="H154" i="9"/>
  <c r="H145" i="9"/>
  <c r="F154" i="9"/>
  <c r="F153" i="9"/>
  <c r="F152" i="9"/>
  <c r="F151" i="9"/>
  <c r="F150" i="9"/>
  <c r="F149" i="9"/>
  <c r="F148" i="9"/>
  <c r="F147" i="9"/>
  <c r="F146" i="9"/>
  <c r="F145" i="9"/>
  <c r="L749" i="7" l="1"/>
  <c r="AA344" i="15" s="1"/>
  <c r="L750" i="7"/>
  <c r="AA345" i="15" s="1"/>
  <c r="L748" i="7"/>
  <c r="AA343" i="15" s="1"/>
  <c r="L747" i="7"/>
  <c r="AA342" i="15" s="1"/>
  <c r="BE7" i="11" l="1"/>
  <c r="BB7" i="11" s="1"/>
  <c r="Z481" i="15" s="1"/>
  <c r="V7" i="11"/>
  <c r="F7" i="11"/>
  <c r="V4" i="11"/>
  <c r="V72" i="10"/>
  <c r="AG71" i="10"/>
  <c r="AF71" i="10"/>
  <c r="AE71" i="10"/>
  <c r="AD71" i="10"/>
  <c r="AC71" i="10"/>
  <c r="AB71" i="10"/>
  <c r="AA71" i="10"/>
  <c r="Z71" i="10"/>
  <c r="Y71" i="10"/>
  <c r="X71" i="10"/>
  <c r="W71" i="10"/>
  <c r="V63" i="10"/>
  <c r="K63" i="10"/>
  <c r="BE63" i="10" s="1"/>
  <c r="J63" i="10"/>
  <c r="BC63" i="10" s="1"/>
  <c r="BD63" i="10" s="1"/>
  <c r="BB63" i="10" s="1"/>
  <c r="H63" i="10"/>
  <c r="F63" i="10"/>
  <c r="BE62" i="10"/>
  <c r="BD62" i="10"/>
  <c r="BC62" i="10"/>
  <c r="BB62" i="10"/>
  <c r="AG62" i="10"/>
  <c r="AF62" i="10"/>
  <c r="AE62" i="10"/>
  <c r="AD62" i="10"/>
  <c r="AC62" i="10"/>
  <c r="AB62" i="10"/>
  <c r="AA62" i="10"/>
  <c r="Z62" i="10"/>
  <c r="Y62" i="10"/>
  <c r="X62" i="10"/>
  <c r="V60" i="10"/>
  <c r="V57" i="10"/>
  <c r="V56" i="10"/>
  <c r="V55" i="10"/>
  <c r="V54" i="10"/>
  <c r="V53" i="10"/>
  <c r="V52" i="10"/>
  <c r="AG51" i="10"/>
  <c r="AF51" i="10"/>
  <c r="AE51" i="10"/>
  <c r="AD51" i="10"/>
  <c r="AC51" i="10"/>
  <c r="AB51" i="10"/>
  <c r="AA51" i="10"/>
  <c r="Z51" i="10"/>
  <c r="Y51" i="10"/>
  <c r="X51" i="10"/>
  <c r="W51" i="10"/>
  <c r="BE40" i="10"/>
  <c r="BC40" i="10"/>
  <c r="X40" i="10"/>
  <c r="W40" i="10"/>
  <c r="K40" i="10"/>
  <c r="H40" i="10"/>
  <c r="F40" i="10"/>
  <c r="BE39" i="10"/>
  <c r="BC39" i="10"/>
  <c r="X39" i="10"/>
  <c r="W39" i="10"/>
  <c r="V39" i="10"/>
  <c r="V40" i="10" s="1"/>
  <c r="K39" i="10"/>
  <c r="H39" i="10"/>
  <c r="I39" i="10" s="1"/>
  <c r="F39" i="10"/>
  <c r="BE38" i="10"/>
  <c r="BD38" i="10"/>
  <c r="BC38" i="10"/>
  <c r="BB38" i="10"/>
  <c r="AG38" i="10"/>
  <c r="AF38" i="10"/>
  <c r="AE38" i="10"/>
  <c r="AD38" i="10"/>
  <c r="AC38" i="10"/>
  <c r="AB38" i="10"/>
  <c r="AA38" i="10"/>
  <c r="Z38" i="10"/>
  <c r="Y38" i="10"/>
  <c r="X38" i="10"/>
  <c r="W38" i="10"/>
  <c r="V36" i="10"/>
  <c r="V32" i="10"/>
  <c r="V31" i="10"/>
  <c r="AG30" i="10"/>
  <c r="AF30" i="10"/>
  <c r="AE30" i="10"/>
  <c r="AD30" i="10"/>
  <c r="AC30" i="10"/>
  <c r="AB30" i="10"/>
  <c r="AA30" i="10"/>
  <c r="Z30" i="10"/>
  <c r="Y30" i="10"/>
  <c r="X30" i="10"/>
  <c r="W30" i="10"/>
  <c r="BE24" i="10"/>
  <c r="BC24" i="10"/>
  <c r="X24" i="10"/>
  <c r="W24" i="10"/>
  <c r="V24" i="10"/>
  <c r="H24" i="10"/>
  <c r="F24" i="10"/>
  <c r="BE23" i="10"/>
  <c r="BD23" i="10"/>
  <c r="BC23" i="10"/>
  <c r="BB23" i="10"/>
  <c r="AG23" i="10"/>
  <c r="AF23" i="10"/>
  <c r="AE23" i="10"/>
  <c r="AD23" i="10"/>
  <c r="AC23" i="10"/>
  <c r="AB23" i="10"/>
  <c r="AA23" i="10"/>
  <c r="Z23" i="10"/>
  <c r="Y23" i="10"/>
  <c r="X23" i="10"/>
  <c r="W23" i="10"/>
  <c r="V21" i="10"/>
  <c r="V16" i="10"/>
  <c r="V15" i="10"/>
  <c r="AG14" i="10"/>
  <c r="AF14" i="10"/>
  <c r="AE14" i="10"/>
  <c r="AD14" i="10"/>
  <c r="AC14" i="10"/>
  <c r="AB14" i="10"/>
  <c r="AA14" i="10"/>
  <c r="Z14" i="10"/>
  <c r="Y14" i="10"/>
  <c r="X14" i="10"/>
  <c r="W14" i="10"/>
  <c r="BE8" i="10"/>
  <c r="BC8" i="10"/>
  <c r="BD8" i="10" s="1"/>
  <c r="H8" i="10"/>
  <c r="I8" i="10" s="1"/>
  <c r="F8" i="10"/>
  <c r="BE7" i="10"/>
  <c r="BC7" i="10"/>
  <c r="BD7" i="10" s="1"/>
  <c r="Y7" i="10"/>
  <c r="X7" i="10"/>
  <c r="W7" i="10"/>
  <c r="V7" i="10"/>
  <c r="V8" i="10" s="1"/>
  <c r="H7" i="10"/>
  <c r="F7" i="10"/>
  <c r="V4" i="10"/>
  <c r="V520" i="9"/>
  <c r="V519" i="9"/>
  <c r="V518" i="9"/>
  <c r="V517" i="9"/>
  <c r="V516" i="9"/>
  <c r="V515" i="9"/>
  <c r="V514" i="9"/>
  <c r="F514" i="9"/>
  <c r="V513" i="9"/>
  <c r="F513" i="9"/>
  <c r="V512" i="9"/>
  <c r="F512" i="9"/>
  <c r="V511" i="9"/>
  <c r="F511" i="9"/>
  <c r="V510" i="9"/>
  <c r="F510" i="9"/>
  <c r="V509" i="9"/>
  <c r="F509" i="9"/>
  <c r="F507" i="9" s="1"/>
  <c r="F500" i="9" s="1"/>
  <c r="I474" i="15" s="1"/>
  <c r="V508" i="9"/>
  <c r="V507" i="9"/>
  <c r="V506" i="9"/>
  <c r="AG505" i="9"/>
  <c r="AF505" i="9"/>
  <c r="AE505" i="9"/>
  <c r="AD505" i="9"/>
  <c r="AC505" i="9"/>
  <c r="AB505" i="9"/>
  <c r="AA505" i="9"/>
  <c r="Z505" i="9"/>
  <c r="Y505" i="9"/>
  <c r="X505" i="9"/>
  <c r="W505" i="9"/>
  <c r="BE500" i="9"/>
  <c r="J500" i="9"/>
  <c r="H500" i="9"/>
  <c r="V499" i="9"/>
  <c r="V500" i="9" s="1"/>
  <c r="K499" i="9"/>
  <c r="J499" i="9"/>
  <c r="H499" i="9"/>
  <c r="BE498" i="9"/>
  <c r="BD498" i="9"/>
  <c r="BC498" i="9"/>
  <c r="BB498" i="9"/>
  <c r="AG498" i="9"/>
  <c r="AF498" i="9"/>
  <c r="AE498" i="9"/>
  <c r="AD498" i="9"/>
  <c r="AC498" i="9"/>
  <c r="AB498" i="9"/>
  <c r="AA498" i="9"/>
  <c r="Z498" i="9"/>
  <c r="Y498" i="9"/>
  <c r="X498" i="9"/>
  <c r="W498" i="9"/>
  <c r="V496" i="9"/>
  <c r="V491" i="9"/>
  <c r="V490" i="9"/>
  <c r="V489" i="9"/>
  <c r="V488" i="9"/>
  <c r="V487" i="9"/>
  <c r="V486" i="9"/>
  <c r="V485" i="9"/>
  <c r="V484" i="9"/>
  <c r="V483" i="9"/>
  <c r="V482" i="9"/>
  <c r="V481" i="9"/>
  <c r="V480" i="9"/>
  <c r="AG479" i="9"/>
  <c r="AF479" i="9"/>
  <c r="AE479" i="9"/>
  <c r="AD479" i="9"/>
  <c r="AC479" i="9"/>
  <c r="AB479" i="9"/>
  <c r="AA479" i="9"/>
  <c r="Z479" i="9"/>
  <c r="Y479" i="9"/>
  <c r="X479" i="9"/>
  <c r="W479" i="9"/>
  <c r="V463" i="9"/>
  <c r="N463" i="9"/>
  <c r="M463" i="9"/>
  <c r="K463" i="9"/>
  <c r="J463" i="9"/>
  <c r="I463" i="9"/>
  <c r="H463" i="9"/>
  <c r="BE462" i="9"/>
  <c r="BD462" i="9"/>
  <c r="BC462" i="9"/>
  <c r="BB462" i="9"/>
  <c r="AG462" i="9"/>
  <c r="AF462" i="9"/>
  <c r="AE462" i="9"/>
  <c r="AD462" i="9"/>
  <c r="AC462" i="9"/>
  <c r="AB462" i="9"/>
  <c r="AA462" i="9"/>
  <c r="Z462" i="9"/>
  <c r="Y462" i="9"/>
  <c r="X462" i="9"/>
  <c r="W462" i="9"/>
  <c r="V460" i="9"/>
  <c r="D457" i="9"/>
  <c r="V457" i="9" s="1"/>
  <c r="D456" i="9"/>
  <c r="V456" i="9" s="1"/>
  <c r="AK454" i="9"/>
  <c r="AJ454" i="9"/>
  <c r="AI454" i="9"/>
  <c r="Y454" i="9"/>
  <c r="X454" i="9"/>
  <c r="W454" i="9"/>
  <c r="F454" i="9"/>
  <c r="E454" i="9"/>
  <c r="D454" i="9"/>
  <c r="V454" i="9" s="1"/>
  <c r="AK453" i="9"/>
  <c r="AJ453" i="9"/>
  <c r="AI453" i="9"/>
  <c r="Y453" i="9"/>
  <c r="X453" i="9"/>
  <c r="W453" i="9"/>
  <c r="F453" i="9"/>
  <c r="E453" i="9"/>
  <c r="D453" i="9"/>
  <c r="V453" i="9" s="1"/>
  <c r="AK452" i="9"/>
  <c r="AJ452" i="9"/>
  <c r="AI452" i="9"/>
  <c r="Y452" i="9"/>
  <c r="X452" i="9"/>
  <c r="W452" i="9"/>
  <c r="F452" i="9"/>
  <c r="E452" i="9"/>
  <c r="D452" i="9"/>
  <c r="V452" i="9" s="1"/>
  <c r="AK451" i="9"/>
  <c r="AJ451" i="9"/>
  <c r="AI451" i="9"/>
  <c r="Y451" i="9"/>
  <c r="X451" i="9"/>
  <c r="W451" i="9"/>
  <c r="F451" i="9"/>
  <c r="E451" i="9"/>
  <c r="D451" i="9"/>
  <c r="V451" i="9" s="1"/>
  <c r="AK450" i="9"/>
  <c r="AJ450" i="9"/>
  <c r="AI450" i="9"/>
  <c r="Y450" i="9"/>
  <c r="X450" i="9"/>
  <c r="W450" i="9"/>
  <c r="F450" i="9"/>
  <c r="E450" i="9"/>
  <c r="D450" i="9"/>
  <c r="V450" i="9" s="1"/>
  <c r="AK449" i="9"/>
  <c r="AJ449" i="9"/>
  <c r="AI449" i="9"/>
  <c r="Y449" i="9"/>
  <c r="X449" i="9"/>
  <c r="W449" i="9"/>
  <c r="F449" i="9"/>
  <c r="E449" i="9"/>
  <c r="D449" i="9"/>
  <c r="V449" i="9" s="1"/>
  <c r="AK448" i="9"/>
  <c r="AJ448" i="9"/>
  <c r="AI448" i="9"/>
  <c r="Y448" i="9"/>
  <c r="X448" i="9"/>
  <c r="W448" i="9"/>
  <c r="F448" i="9"/>
  <c r="E448" i="9"/>
  <c r="D448" i="9"/>
  <c r="V448" i="9" s="1"/>
  <c r="AK447" i="9"/>
  <c r="AJ447" i="9"/>
  <c r="AI447" i="9"/>
  <c r="Y447" i="9"/>
  <c r="X447" i="9"/>
  <c r="W447" i="9"/>
  <c r="F447" i="9"/>
  <c r="E447" i="9"/>
  <c r="D447" i="9"/>
  <c r="V447" i="9" s="1"/>
  <c r="AS445" i="9"/>
  <c r="AR445" i="9"/>
  <c r="AQ445" i="9"/>
  <c r="AP445" i="9"/>
  <c r="AO445" i="9"/>
  <c r="AN445" i="9"/>
  <c r="AM445" i="9"/>
  <c r="AL445" i="9"/>
  <c r="AK445" i="9"/>
  <c r="AJ445" i="9"/>
  <c r="AG445" i="9"/>
  <c r="AF445" i="9"/>
  <c r="AE445" i="9"/>
  <c r="AD445" i="9"/>
  <c r="AC445" i="9"/>
  <c r="AB445" i="9"/>
  <c r="AA445" i="9"/>
  <c r="Z445" i="9"/>
  <c r="Y445" i="9"/>
  <c r="X445" i="9"/>
  <c r="G445" i="9"/>
  <c r="F445" i="9"/>
  <c r="E445" i="9"/>
  <c r="D445" i="9"/>
  <c r="X439" i="9"/>
  <c r="W439" i="9"/>
  <c r="L439" i="9"/>
  <c r="K439" i="9"/>
  <c r="J439" i="9"/>
  <c r="W472" i="15" s="1"/>
  <c r="Y472" i="15" s="1"/>
  <c r="G439" i="9"/>
  <c r="E439" i="9"/>
  <c r="F472" i="15" s="1"/>
  <c r="X438" i="9"/>
  <c r="W438" i="9"/>
  <c r="L438" i="9"/>
  <c r="K438" i="9"/>
  <c r="J438" i="9"/>
  <c r="W471" i="15" s="1"/>
  <c r="Y471" i="15" s="1"/>
  <c r="G438" i="9"/>
  <c r="B471" i="15" s="1"/>
  <c r="AL471" i="15" s="1"/>
  <c r="E438" i="9"/>
  <c r="F471" i="15" s="1"/>
  <c r="X437" i="9"/>
  <c r="W437" i="9"/>
  <c r="L437" i="9"/>
  <c r="K437" i="9"/>
  <c r="J437" i="9"/>
  <c r="W470" i="15" s="1"/>
  <c r="Y470" i="15" s="1"/>
  <c r="G437" i="9"/>
  <c r="B470" i="15" s="1"/>
  <c r="AL470" i="15" s="1"/>
  <c r="E437" i="9"/>
  <c r="F470" i="15" s="1"/>
  <c r="X436" i="9"/>
  <c r="W436" i="9"/>
  <c r="L436" i="9"/>
  <c r="K436" i="9"/>
  <c r="J436" i="9"/>
  <c r="W469" i="15" s="1"/>
  <c r="Y469" i="15" s="1"/>
  <c r="G436" i="9"/>
  <c r="B469" i="15" s="1"/>
  <c r="AL469" i="15" s="1"/>
  <c r="E436" i="9"/>
  <c r="F469" i="15" s="1"/>
  <c r="X435" i="9"/>
  <c r="W435" i="9"/>
  <c r="L435" i="9"/>
  <c r="K435" i="9"/>
  <c r="J435" i="9"/>
  <c r="W468" i="15" s="1"/>
  <c r="Y468" i="15" s="1"/>
  <c r="G435" i="9"/>
  <c r="E435" i="9"/>
  <c r="F468" i="15" s="1"/>
  <c r="X434" i="9"/>
  <c r="W434" i="9"/>
  <c r="L434" i="9"/>
  <c r="K434" i="9"/>
  <c r="J434" i="9"/>
  <c r="W467" i="15" s="1"/>
  <c r="Y467" i="15" s="1"/>
  <c r="G434" i="9"/>
  <c r="B467" i="15" s="1"/>
  <c r="AL467" i="15" s="1"/>
  <c r="E434" i="9"/>
  <c r="F467" i="15" s="1"/>
  <c r="X433" i="9"/>
  <c r="W433" i="9"/>
  <c r="L433" i="9"/>
  <c r="K433" i="9"/>
  <c r="J433" i="9"/>
  <c r="W466" i="15" s="1"/>
  <c r="Y466" i="15" s="1"/>
  <c r="G433" i="9"/>
  <c r="B466" i="15" s="1"/>
  <c r="AL466" i="15" s="1"/>
  <c r="E433" i="9"/>
  <c r="F466" i="15" s="1"/>
  <c r="X432" i="9"/>
  <c r="W432" i="9"/>
  <c r="L432" i="9"/>
  <c r="K432" i="9"/>
  <c r="J432" i="9"/>
  <c r="W465" i="15" s="1"/>
  <c r="Y465" i="15" s="1"/>
  <c r="G432" i="9"/>
  <c r="B465" i="15" s="1"/>
  <c r="AL465" i="15" s="1"/>
  <c r="E432" i="9"/>
  <c r="F465" i="15" s="1"/>
  <c r="X431" i="9"/>
  <c r="W431" i="9"/>
  <c r="V431" i="9"/>
  <c r="V432" i="9" s="1"/>
  <c r="V433" i="9" s="1"/>
  <c r="V434" i="9" s="1"/>
  <c r="V435" i="9" s="1"/>
  <c r="V436" i="9" s="1"/>
  <c r="V437" i="9" s="1"/>
  <c r="V438" i="9" s="1"/>
  <c r="V439" i="9" s="1"/>
  <c r="K431" i="9"/>
  <c r="J431" i="9"/>
  <c r="W464" i="15" s="1"/>
  <c r="Y464" i="15" s="1"/>
  <c r="G431" i="9"/>
  <c r="E431" i="9"/>
  <c r="F464" i="15" s="1"/>
  <c r="BE430" i="9"/>
  <c r="BD430" i="9"/>
  <c r="BC430" i="9"/>
  <c r="BB430" i="9"/>
  <c r="AG430" i="9"/>
  <c r="AF430" i="9"/>
  <c r="AE430" i="9"/>
  <c r="AD430" i="9"/>
  <c r="AC430" i="9"/>
  <c r="AB430" i="9"/>
  <c r="AA430" i="9"/>
  <c r="Z430" i="9"/>
  <c r="Y430" i="9"/>
  <c r="X430" i="9"/>
  <c r="W430" i="9"/>
  <c r="V428" i="9"/>
  <c r="AW420" i="9"/>
  <c r="AV420" i="9"/>
  <c r="AU420" i="9"/>
  <c r="I420" i="9"/>
  <c r="F410" i="9" s="1"/>
  <c r="H463" i="15" s="1"/>
  <c r="AM463" i="15" s="1"/>
  <c r="H420" i="9"/>
  <c r="F409" i="9" s="1"/>
  <c r="H462" i="15" s="1"/>
  <c r="AM462" i="15" s="1"/>
  <c r="AU418" i="9"/>
  <c r="AV418" i="9" s="1"/>
  <c r="AW418" i="9" s="1"/>
  <c r="AX418" i="9" s="1"/>
  <c r="AY418" i="9" s="1"/>
  <c r="AZ418" i="9" s="1"/>
  <c r="BA418" i="9" s="1"/>
  <c r="AI418" i="9"/>
  <c r="AJ418" i="9" s="1"/>
  <c r="AK418" i="9" s="1"/>
  <c r="AL418" i="9" s="1"/>
  <c r="AM418" i="9" s="1"/>
  <c r="AN418" i="9" s="1"/>
  <c r="AO418" i="9" s="1"/>
  <c r="AP418" i="9" s="1"/>
  <c r="AQ418" i="9" s="1"/>
  <c r="AR418" i="9" s="1"/>
  <c r="AS418" i="9" s="1"/>
  <c r="BA417" i="9"/>
  <c r="AZ417" i="9"/>
  <c r="AY417" i="9"/>
  <c r="AX417" i="9"/>
  <c r="AW417" i="9"/>
  <c r="AV417" i="9"/>
  <c r="AU417" i="9"/>
  <c r="AS417" i="9"/>
  <c r="AR417" i="9"/>
  <c r="AQ417" i="9"/>
  <c r="AP417" i="9"/>
  <c r="AO417" i="9"/>
  <c r="AN417" i="9"/>
  <c r="AM417" i="9"/>
  <c r="AL417" i="9"/>
  <c r="AK417" i="9"/>
  <c r="AJ417" i="9"/>
  <c r="AI417" i="9"/>
  <c r="AG417" i="9"/>
  <c r="AF417" i="9"/>
  <c r="AE417" i="9"/>
  <c r="AD417" i="9"/>
  <c r="AC417" i="9"/>
  <c r="AB417" i="9"/>
  <c r="AA417" i="9"/>
  <c r="Z417" i="9"/>
  <c r="Y417" i="9"/>
  <c r="X417" i="9"/>
  <c r="W417" i="9"/>
  <c r="K410" i="9"/>
  <c r="J410" i="9"/>
  <c r="H410" i="9"/>
  <c r="K409" i="9"/>
  <c r="J409" i="9"/>
  <c r="H409" i="9"/>
  <c r="K408" i="9"/>
  <c r="J408" i="9"/>
  <c r="H408" i="9"/>
  <c r="F408" i="9"/>
  <c r="H461" i="15" s="1"/>
  <c r="AM461" i="15" s="1"/>
  <c r="K407" i="9"/>
  <c r="J407" i="9"/>
  <c r="H407" i="9"/>
  <c r="F407" i="9"/>
  <c r="H460" i="15" s="1"/>
  <c r="AM460" i="15" s="1"/>
  <c r="K406" i="9"/>
  <c r="J406" i="9"/>
  <c r="H406" i="9"/>
  <c r="F406" i="9"/>
  <c r="H459" i="15" s="1"/>
  <c r="AM459" i="15" s="1"/>
  <c r="V405" i="9"/>
  <c r="V406" i="9" s="1"/>
  <c r="V407" i="9" s="1"/>
  <c r="V408" i="9" s="1"/>
  <c r="V409" i="9" s="1"/>
  <c r="V410" i="9" s="1"/>
  <c r="K405" i="9"/>
  <c r="J405" i="9"/>
  <c r="H405" i="9"/>
  <c r="F405" i="9"/>
  <c r="H458" i="15" s="1"/>
  <c r="AM458" i="15" s="1"/>
  <c r="BE404" i="9"/>
  <c r="BD404" i="9"/>
  <c r="BC404" i="9"/>
  <c r="BB404" i="9"/>
  <c r="AG404" i="9"/>
  <c r="AF404" i="9"/>
  <c r="AE404" i="9"/>
  <c r="AD404" i="9"/>
  <c r="AC404" i="9"/>
  <c r="AB404" i="9"/>
  <c r="AA404" i="9"/>
  <c r="Z404" i="9"/>
  <c r="Y404" i="9"/>
  <c r="X404" i="9"/>
  <c r="W404" i="9"/>
  <c r="V402" i="9"/>
  <c r="V396" i="9"/>
  <c r="V395" i="9"/>
  <c r="V394" i="9"/>
  <c r="V393" i="9"/>
  <c r="V392" i="9"/>
  <c r="V391" i="9"/>
  <c r="V390" i="9"/>
  <c r="V389" i="9"/>
  <c r="V388" i="9"/>
  <c r="V387" i="9"/>
  <c r="V386" i="9"/>
  <c r="V385" i="9"/>
  <c r="V384" i="9"/>
  <c r="V383" i="9"/>
  <c r="V382" i="9"/>
  <c r="V381" i="9"/>
  <c r="V380" i="9"/>
  <c r="AG379" i="9"/>
  <c r="AF379" i="9"/>
  <c r="AE379" i="9"/>
  <c r="AD379" i="9"/>
  <c r="AC379" i="9"/>
  <c r="AB379" i="9"/>
  <c r="AA379" i="9"/>
  <c r="Z379" i="9"/>
  <c r="Y379" i="9"/>
  <c r="X379" i="9"/>
  <c r="W379" i="9"/>
  <c r="V370" i="9"/>
  <c r="L370" i="9"/>
  <c r="K370" i="9"/>
  <c r="I370" i="9"/>
  <c r="F370" i="9" s="1"/>
  <c r="H457" i="15" s="1"/>
  <c r="AM457" i="15" s="1"/>
  <c r="H370" i="9"/>
  <c r="BE369" i="9"/>
  <c r="BD369" i="9"/>
  <c r="BC369" i="9"/>
  <c r="BB369" i="9"/>
  <c r="AG369" i="9"/>
  <c r="AF369" i="9"/>
  <c r="AE369" i="9"/>
  <c r="AD369" i="9"/>
  <c r="AC369" i="9"/>
  <c r="AB369" i="9"/>
  <c r="AA369" i="9"/>
  <c r="Z369" i="9"/>
  <c r="Y369" i="9"/>
  <c r="X369" i="9"/>
  <c r="W369" i="9"/>
  <c r="V367" i="9"/>
  <c r="V362" i="9"/>
  <c r="V361" i="9"/>
  <c r="V360" i="9"/>
  <c r="V359" i="9"/>
  <c r="V358" i="9"/>
  <c r="V357" i="9"/>
  <c r="V356" i="9"/>
  <c r="V355" i="9"/>
  <c r="V354" i="9"/>
  <c r="V353" i="9"/>
  <c r="V352" i="9"/>
  <c r="V351" i="9"/>
  <c r="V350" i="9"/>
  <c r="V349" i="9"/>
  <c r="V348" i="9"/>
  <c r="V347" i="9"/>
  <c r="V346" i="9"/>
  <c r="AG345" i="9"/>
  <c r="AF345" i="9"/>
  <c r="AE345" i="9"/>
  <c r="AD345" i="9"/>
  <c r="AC345" i="9"/>
  <c r="AB345" i="9"/>
  <c r="AA345" i="9"/>
  <c r="Z345" i="9"/>
  <c r="Y345" i="9"/>
  <c r="X345" i="9"/>
  <c r="W345" i="9"/>
  <c r="V336" i="9"/>
  <c r="L336" i="9"/>
  <c r="K336" i="9"/>
  <c r="I336" i="9"/>
  <c r="F336" i="9" s="1"/>
  <c r="H456" i="15" s="1"/>
  <c r="AM456" i="15" s="1"/>
  <c r="H336" i="9"/>
  <c r="BE335" i="9"/>
  <c r="BD335" i="9"/>
  <c r="BC335" i="9"/>
  <c r="BB335" i="9"/>
  <c r="AG335" i="9"/>
  <c r="AF335" i="9"/>
  <c r="AE335" i="9"/>
  <c r="AD335" i="9"/>
  <c r="AC335" i="9"/>
  <c r="AB335" i="9"/>
  <c r="AA335" i="9"/>
  <c r="Z335" i="9"/>
  <c r="Y335" i="9"/>
  <c r="X335" i="9"/>
  <c r="W335" i="9"/>
  <c r="V333" i="9"/>
  <c r="V328" i="9"/>
  <c r="V327" i="9"/>
  <c r="V326" i="9"/>
  <c r="V325" i="9"/>
  <c r="V324" i="9"/>
  <c r="V323" i="9"/>
  <c r="V322" i="9"/>
  <c r="V321" i="9"/>
  <c r="V320" i="9"/>
  <c r="V319" i="9"/>
  <c r="V318" i="9"/>
  <c r="V317" i="9"/>
  <c r="V316" i="9"/>
  <c r="V315" i="9"/>
  <c r="V314" i="9"/>
  <c r="V313" i="9"/>
  <c r="V312" i="9"/>
  <c r="AG311" i="9"/>
  <c r="AF311" i="9"/>
  <c r="AE311" i="9"/>
  <c r="AD311" i="9"/>
  <c r="AC311" i="9"/>
  <c r="AB311" i="9"/>
  <c r="AA311" i="9"/>
  <c r="Z311" i="9"/>
  <c r="Y311" i="9"/>
  <c r="X311" i="9"/>
  <c r="W311" i="9"/>
  <c r="V301" i="9"/>
  <c r="L301" i="9"/>
  <c r="BE301" i="9" s="1"/>
  <c r="K301" i="9"/>
  <c r="I301" i="9"/>
  <c r="F301" i="9" s="1"/>
  <c r="H455" i="15" s="1"/>
  <c r="AM455" i="15" s="1"/>
  <c r="H301" i="9"/>
  <c r="BE300" i="9"/>
  <c r="BD300" i="9"/>
  <c r="BC300" i="9"/>
  <c r="BB300" i="9"/>
  <c r="AG300" i="9"/>
  <c r="AF300" i="9"/>
  <c r="AE300" i="9"/>
  <c r="AD300" i="9"/>
  <c r="AC300" i="9"/>
  <c r="AB300" i="9"/>
  <c r="AA300" i="9"/>
  <c r="Z300" i="9"/>
  <c r="Y300" i="9"/>
  <c r="X300" i="9"/>
  <c r="W300" i="9"/>
  <c r="V298" i="9"/>
  <c r="W293" i="9"/>
  <c r="F293" i="9"/>
  <c r="V283" i="9"/>
  <c r="V282" i="9"/>
  <c r="V281" i="9"/>
  <c r="V280" i="9"/>
  <c r="Y279" i="9"/>
  <c r="X279" i="9"/>
  <c r="W279" i="9"/>
  <c r="V279" i="9"/>
  <c r="V278" i="9"/>
  <c r="Y277" i="9"/>
  <c r="X277" i="9"/>
  <c r="W277" i="9"/>
  <c r="V277" i="9"/>
  <c r="V276" i="9"/>
  <c r="V275" i="9"/>
  <c r="V274" i="9"/>
  <c r="X273" i="9"/>
  <c r="W273" i="9"/>
  <c r="V273" i="9"/>
  <c r="E273" i="9"/>
  <c r="X272" i="9"/>
  <c r="W272" i="9"/>
  <c r="V272" i="9"/>
  <c r="E272" i="9"/>
  <c r="X271" i="9"/>
  <c r="W271" i="9"/>
  <c r="V271" i="9"/>
  <c r="E271" i="9"/>
  <c r="X270" i="9"/>
  <c r="W270" i="9"/>
  <c r="V270" i="9"/>
  <c r="G270" i="9"/>
  <c r="E270" i="9"/>
  <c r="X269" i="9"/>
  <c r="W269" i="9"/>
  <c r="V269" i="9"/>
  <c r="E269" i="9"/>
  <c r="X268" i="9"/>
  <c r="W268" i="9"/>
  <c r="V268" i="9"/>
  <c r="G268" i="9"/>
  <c r="E268" i="9"/>
  <c r="X267" i="9"/>
  <c r="W267" i="9"/>
  <c r="V267" i="9"/>
  <c r="E267" i="9"/>
  <c r="X266" i="9"/>
  <c r="W266" i="9"/>
  <c r="V266" i="9"/>
  <c r="G266" i="9"/>
  <c r="E266" i="9"/>
  <c r="V265" i="9"/>
  <c r="E265" i="9"/>
  <c r="X264" i="9"/>
  <c r="W264" i="9"/>
  <c r="V264" i="9"/>
  <c r="E264" i="9"/>
  <c r="V263" i="9"/>
  <c r="E263" i="9"/>
  <c r="V262" i="9"/>
  <c r="E262" i="9"/>
  <c r="V261" i="9"/>
  <c r="E261" i="9"/>
  <c r="X260" i="9"/>
  <c r="W260" i="9"/>
  <c r="V260" i="9"/>
  <c r="E260" i="9"/>
  <c r="X259" i="9"/>
  <c r="W259" i="9"/>
  <c r="V259" i="9"/>
  <c r="E259" i="9"/>
  <c r="X258" i="9"/>
  <c r="W258" i="9"/>
  <c r="V258" i="9"/>
  <c r="E258" i="9"/>
  <c r="X257" i="9"/>
  <c r="W257" i="9"/>
  <c r="V257" i="9"/>
  <c r="G257" i="9"/>
  <c r="E257" i="9"/>
  <c r="X256" i="9"/>
  <c r="W256" i="9"/>
  <c r="V256" i="9"/>
  <c r="E256" i="9"/>
  <c r="X255" i="9"/>
  <c r="W255" i="9"/>
  <c r="V255" i="9"/>
  <c r="G255" i="9"/>
  <c r="E255" i="9"/>
  <c r="X254" i="9"/>
  <c r="W254" i="9"/>
  <c r="V254" i="9"/>
  <c r="E254" i="9"/>
  <c r="X253" i="9"/>
  <c r="W253" i="9"/>
  <c r="V253" i="9"/>
  <c r="G253" i="9"/>
  <c r="E253" i="9"/>
  <c r="V252" i="9"/>
  <c r="E252" i="9"/>
  <c r="X251" i="9"/>
  <c r="W251" i="9"/>
  <c r="V251" i="9"/>
  <c r="E251" i="9"/>
  <c r="V250" i="9"/>
  <c r="E250" i="9"/>
  <c r="V249" i="9"/>
  <c r="E249" i="9"/>
  <c r="AG248" i="9"/>
  <c r="AF248" i="9"/>
  <c r="AE248" i="9"/>
  <c r="AD248" i="9"/>
  <c r="AC248" i="9"/>
  <c r="AB248" i="9"/>
  <c r="AA248" i="9"/>
  <c r="Z248" i="9"/>
  <c r="Y248" i="9"/>
  <c r="X248" i="9"/>
  <c r="W248" i="9"/>
  <c r="BE236" i="9"/>
  <c r="BC236" i="9"/>
  <c r="O236" i="9"/>
  <c r="L236" i="9"/>
  <c r="K236" i="9"/>
  <c r="J236" i="9"/>
  <c r="H236" i="9"/>
  <c r="BC235" i="9"/>
  <c r="BE235" i="9"/>
  <c r="O235" i="9"/>
  <c r="L235" i="9"/>
  <c r="K235" i="9"/>
  <c r="J235" i="9"/>
  <c r="H235" i="9"/>
  <c r="BC234" i="9"/>
  <c r="P234" i="9"/>
  <c r="O234" i="9"/>
  <c r="L234" i="9"/>
  <c r="K234" i="9"/>
  <c r="J234" i="9"/>
  <c r="H234" i="9"/>
  <c r="BC233" i="9"/>
  <c r="O233" i="9"/>
  <c r="L233" i="9"/>
  <c r="K233" i="9"/>
  <c r="J233" i="9"/>
  <c r="H233" i="9"/>
  <c r="BC232" i="9"/>
  <c r="O232" i="9"/>
  <c r="L232" i="9"/>
  <c r="K232" i="9"/>
  <c r="J232" i="9"/>
  <c r="H232" i="9"/>
  <c r="BC231" i="9"/>
  <c r="O231" i="9"/>
  <c r="L231" i="9"/>
  <c r="K231" i="9"/>
  <c r="J231" i="9"/>
  <c r="H231" i="9"/>
  <c r="BC230" i="9"/>
  <c r="O230" i="9"/>
  <c r="L230" i="9"/>
  <c r="K230" i="9"/>
  <c r="J230" i="9"/>
  <c r="H230" i="9"/>
  <c r="BC229" i="9"/>
  <c r="O229" i="9"/>
  <c r="L229" i="9"/>
  <c r="K229" i="9"/>
  <c r="J229" i="9"/>
  <c r="H229" i="9"/>
  <c r="BC228" i="9"/>
  <c r="O228" i="9"/>
  <c r="L228" i="9"/>
  <c r="K228" i="9"/>
  <c r="J228" i="9"/>
  <c r="H228" i="9"/>
  <c r="BC227" i="9"/>
  <c r="BE227" i="9"/>
  <c r="O227" i="9"/>
  <c r="L227" i="9"/>
  <c r="K227" i="9"/>
  <c r="J227" i="9"/>
  <c r="H227" i="9"/>
  <c r="BC226" i="9"/>
  <c r="BE226" i="9"/>
  <c r="O226" i="9"/>
  <c r="L226" i="9"/>
  <c r="K226" i="9"/>
  <c r="J226" i="9"/>
  <c r="H226" i="9"/>
  <c r="BC225" i="9"/>
  <c r="BE225" i="9"/>
  <c r="O225" i="9"/>
  <c r="L225" i="9"/>
  <c r="K225" i="9"/>
  <c r="J225" i="9"/>
  <c r="H225" i="9"/>
  <c r="BE224" i="9"/>
  <c r="BC224" i="9"/>
  <c r="V224" i="9"/>
  <c r="O224" i="9"/>
  <c r="L224" i="9"/>
  <c r="K224" i="9"/>
  <c r="J224" i="9"/>
  <c r="H224" i="9"/>
  <c r="BE223" i="9"/>
  <c r="BD223" i="9"/>
  <c r="BC223" i="9"/>
  <c r="BB223" i="9"/>
  <c r="AG223" i="9"/>
  <c r="AF223" i="9"/>
  <c r="AE223" i="9"/>
  <c r="AD223" i="9"/>
  <c r="AC223" i="9"/>
  <c r="AB223" i="9"/>
  <c r="AA223" i="9"/>
  <c r="Z223" i="9"/>
  <c r="Y223" i="9"/>
  <c r="X223" i="9"/>
  <c r="W223" i="9"/>
  <c r="V221" i="9"/>
  <c r="F218" i="9"/>
  <c r="F217" i="9"/>
  <c r="F216" i="9"/>
  <c r="F215" i="9"/>
  <c r="E213" i="9"/>
  <c r="Q212" i="9"/>
  <c r="R207" i="9" s="1"/>
  <c r="I217" i="9" s="1"/>
  <c r="O188" i="9" s="1"/>
  <c r="E207" i="9"/>
  <c r="E206" i="9"/>
  <c r="E203" i="9"/>
  <c r="E202" i="9"/>
  <c r="E201" i="9"/>
  <c r="AG197" i="9"/>
  <c r="AF197" i="9"/>
  <c r="AE197" i="9"/>
  <c r="AD197" i="9"/>
  <c r="AC197" i="9"/>
  <c r="AB197" i="9"/>
  <c r="AA197" i="9"/>
  <c r="Z197" i="9"/>
  <c r="Y197" i="9"/>
  <c r="X197" i="9"/>
  <c r="W197" i="9"/>
  <c r="BE189" i="9"/>
  <c r="N189" i="9"/>
  <c r="K189" i="9"/>
  <c r="J189" i="9"/>
  <c r="I189" i="9"/>
  <c r="H189" i="9"/>
  <c r="V188" i="9"/>
  <c r="V189" i="9" s="1"/>
  <c r="N188" i="9"/>
  <c r="K188" i="9"/>
  <c r="J188" i="9"/>
  <c r="I188" i="9"/>
  <c r="H188" i="9"/>
  <c r="BE187" i="9"/>
  <c r="BD187" i="9"/>
  <c r="BC187" i="9"/>
  <c r="BB187" i="9"/>
  <c r="AG187" i="9"/>
  <c r="AF187" i="9"/>
  <c r="AE187" i="9"/>
  <c r="AD187" i="9"/>
  <c r="AC187" i="9"/>
  <c r="AB187" i="9"/>
  <c r="AA187" i="9"/>
  <c r="Z187" i="9"/>
  <c r="Y187" i="9"/>
  <c r="X187" i="9"/>
  <c r="W187" i="9"/>
  <c r="V182" i="9"/>
  <c r="W181" i="9"/>
  <c r="X181" i="9" s="1"/>
  <c r="Y181" i="9" s="1"/>
  <c r="V181" i="9"/>
  <c r="W180" i="9"/>
  <c r="X180" i="9" s="1"/>
  <c r="Y180" i="9" s="1"/>
  <c r="V180" i="9"/>
  <c r="V178" i="9"/>
  <c r="V177" i="9"/>
  <c r="V176" i="9"/>
  <c r="V175" i="9"/>
  <c r="V174" i="9"/>
  <c r="V172" i="9"/>
  <c r="V171" i="9"/>
  <c r="V170" i="9"/>
  <c r="AG169" i="9"/>
  <c r="AF169" i="9"/>
  <c r="AE169" i="9"/>
  <c r="AD169" i="9"/>
  <c r="AC169" i="9"/>
  <c r="AB169" i="9"/>
  <c r="AA169" i="9"/>
  <c r="Z169" i="9"/>
  <c r="Y169" i="9"/>
  <c r="X169" i="9"/>
  <c r="W169" i="9"/>
  <c r="J161" i="9"/>
  <c r="I161" i="9"/>
  <c r="H161" i="9"/>
  <c r="E161" i="9"/>
  <c r="F440" i="15" s="1"/>
  <c r="V160" i="9"/>
  <c r="V161" i="9" s="1"/>
  <c r="M160" i="9"/>
  <c r="L160" i="9"/>
  <c r="J160" i="9"/>
  <c r="I160" i="9"/>
  <c r="H160" i="9"/>
  <c r="BE159" i="9"/>
  <c r="BD159" i="9"/>
  <c r="BC159" i="9"/>
  <c r="BB159" i="9"/>
  <c r="AG159" i="9"/>
  <c r="AF159" i="9"/>
  <c r="AE159" i="9"/>
  <c r="AD159" i="9"/>
  <c r="AC159" i="9"/>
  <c r="AB159" i="9"/>
  <c r="AA159" i="9"/>
  <c r="Z159" i="9"/>
  <c r="Y159" i="9"/>
  <c r="X159" i="9"/>
  <c r="W159" i="9"/>
  <c r="V157" i="9"/>
  <c r="V134" i="9"/>
  <c r="V124" i="9"/>
  <c r="V123" i="9"/>
  <c r="V122" i="9"/>
  <c r="V121" i="9"/>
  <c r="X120" i="9"/>
  <c r="X119" i="9"/>
  <c r="F119" i="9"/>
  <c r="X118" i="9"/>
  <c r="X117" i="9"/>
  <c r="F117" i="9"/>
  <c r="I46" i="9" s="1"/>
  <c r="X116" i="9"/>
  <c r="X115" i="9"/>
  <c r="F115" i="9"/>
  <c r="I44" i="9" s="1"/>
  <c r="X114" i="9"/>
  <c r="X113" i="9"/>
  <c r="F113" i="9"/>
  <c r="I42" i="9" s="1"/>
  <c r="X112" i="9"/>
  <c r="X111" i="9"/>
  <c r="V111" i="9"/>
  <c r="V101" i="9"/>
  <c r="V100" i="9"/>
  <c r="V99" i="9"/>
  <c r="V98" i="9"/>
  <c r="X97" i="9"/>
  <c r="W97" i="9"/>
  <c r="W120" i="9" s="1"/>
  <c r="X96" i="9"/>
  <c r="W96" i="9"/>
  <c r="W119" i="9" s="1"/>
  <c r="X95" i="9"/>
  <c r="W95" i="9"/>
  <c r="W118" i="9" s="1"/>
  <c r="F118" i="9"/>
  <c r="I47" i="9" s="1"/>
  <c r="X94" i="9"/>
  <c r="W94" i="9"/>
  <c r="W117" i="9" s="1"/>
  <c r="N46" i="9"/>
  <c r="X93" i="9"/>
  <c r="W93" i="9"/>
  <c r="W116" i="9" s="1"/>
  <c r="N45" i="9"/>
  <c r="X92" i="9"/>
  <c r="W92" i="9"/>
  <c r="W115" i="9" s="1"/>
  <c r="X91" i="9"/>
  <c r="W91" i="9"/>
  <c r="W114" i="9" s="1"/>
  <c r="F114" i="9"/>
  <c r="X90" i="9"/>
  <c r="W90" i="9"/>
  <c r="W113" i="9" s="1"/>
  <c r="X89" i="9"/>
  <c r="W89" i="9"/>
  <c r="W112" i="9" s="1"/>
  <c r="X88" i="9"/>
  <c r="W88" i="9"/>
  <c r="W111" i="9" s="1"/>
  <c r="V88" i="9"/>
  <c r="V78" i="9"/>
  <c r="V68" i="9"/>
  <c r="V58" i="9"/>
  <c r="AG57" i="9"/>
  <c r="AF57" i="9"/>
  <c r="AE57" i="9"/>
  <c r="AD57" i="9"/>
  <c r="AC57" i="9"/>
  <c r="AB57" i="9"/>
  <c r="AA57" i="9"/>
  <c r="Z57" i="9"/>
  <c r="Y57" i="9"/>
  <c r="X57" i="9"/>
  <c r="W57" i="9"/>
  <c r="N49" i="9"/>
  <c r="M49" i="9"/>
  <c r="L49" i="9"/>
  <c r="J49" i="9"/>
  <c r="H49" i="9"/>
  <c r="M48" i="9"/>
  <c r="L48" i="9"/>
  <c r="H48" i="9"/>
  <c r="N47" i="9"/>
  <c r="M47" i="9"/>
  <c r="L47" i="9"/>
  <c r="J47" i="9"/>
  <c r="H47" i="9"/>
  <c r="M46" i="9"/>
  <c r="L46" i="9"/>
  <c r="H46" i="9"/>
  <c r="M45" i="9"/>
  <c r="L45" i="9"/>
  <c r="H45" i="9"/>
  <c r="M44" i="9"/>
  <c r="L44" i="9"/>
  <c r="H44" i="9"/>
  <c r="M43" i="9"/>
  <c r="L43" i="9"/>
  <c r="J43" i="9"/>
  <c r="H43" i="9"/>
  <c r="N42" i="9"/>
  <c r="M42" i="9"/>
  <c r="L42" i="9"/>
  <c r="J42" i="9"/>
  <c r="H42" i="9"/>
  <c r="N41" i="9"/>
  <c r="M41" i="9"/>
  <c r="L41" i="9"/>
  <c r="J41" i="9"/>
  <c r="H41" i="9"/>
  <c r="V40" i="9"/>
  <c r="V41" i="9" s="1"/>
  <c r="V42" i="9" s="1"/>
  <c r="V43" i="9" s="1"/>
  <c r="V44" i="9" s="1"/>
  <c r="V45" i="9" s="1"/>
  <c r="V46" i="9" s="1"/>
  <c r="V47" i="9" s="1"/>
  <c r="V48" i="9" s="1"/>
  <c r="V49" i="9" s="1"/>
  <c r="M40" i="9"/>
  <c r="L40" i="9"/>
  <c r="H40" i="9"/>
  <c r="BE39" i="9"/>
  <c r="BD39" i="9"/>
  <c r="BC39" i="9"/>
  <c r="BB39" i="9"/>
  <c r="AG39" i="9"/>
  <c r="AF39" i="9"/>
  <c r="AE39" i="9"/>
  <c r="AD39" i="9"/>
  <c r="AC39" i="9"/>
  <c r="AB39" i="9"/>
  <c r="AA39" i="9"/>
  <c r="Z39" i="9"/>
  <c r="X39" i="9"/>
  <c r="W39" i="9"/>
  <c r="V37" i="9"/>
  <c r="F34" i="9"/>
  <c r="F33" i="9"/>
  <c r="F32" i="9"/>
  <c r="F31" i="9"/>
  <c r="E31" i="9"/>
  <c r="D31" i="9"/>
  <c r="E30" i="9"/>
  <c r="E521" i="9" s="1"/>
  <c r="D30" i="9"/>
  <c r="V30" i="9" s="1"/>
  <c r="V29" i="9"/>
  <c r="Y28" i="9"/>
  <c r="X28" i="9"/>
  <c r="W28" i="9"/>
  <c r="V28" i="9"/>
  <c r="G28" i="9"/>
  <c r="F13" i="9" s="1"/>
  <c r="J427" i="15" s="1"/>
  <c r="H427" i="15" s="1"/>
  <c r="AM427" i="15" s="1"/>
  <c r="Y27" i="9"/>
  <c r="X27" i="9"/>
  <c r="W27" i="9"/>
  <c r="V27" i="9"/>
  <c r="G27" i="9"/>
  <c r="F12" i="9" s="1"/>
  <c r="J426" i="15" s="1"/>
  <c r="H426" i="15" s="1"/>
  <c r="AM426" i="15" s="1"/>
  <c r="Y26" i="9"/>
  <c r="X26" i="9"/>
  <c r="W26" i="9"/>
  <c r="V26" i="9"/>
  <c r="G26" i="9"/>
  <c r="F10" i="9" s="1"/>
  <c r="J424" i="15" s="1"/>
  <c r="H424" i="15" s="1"/>
  <c r="AM424" i="15" s="1"/>
  <c r="Y25" i="9"/>
  <c r="X25" i="9"/>
  <c r="W25" i="9"/>
  <c r="V25" i="9"/>
  <c r="G25" i="9"/>
  <c r="F8" i="9" s="1"/>
  <c r="J422" i="15" s="1"/>
  <c r="H422" i="15" s="1"/>
  <c r="AM422" i="15" s="1"/>
  <c r="V24" i="9"/>
  <c r="V23" i="9"/>
  <c r="AG20" i="9"/>
  <c r="AF20" i="9"/>
  <c r="AE20" i="9"/>
  <c r="AD20" i="9"/>
  <c r="AC20" i="9"/>
  <c r="AB20" i="9"/>
  <c r="AA20" i="9"/>
  <c r="Z20" i="9"/>
  <c r="Y20" i="9"/>
  <c r="X20" i="9"/>
  <c r="W20" i="9"/>
  <c r="J14" i="9"/>
  <c r="H14" i="9"/>
  <c r="F14" i="9"/>
  <c r="J428" i="15" s="1"/>
  <c r="H428" i="15" s="1"/>
  <c r="AM428" i="15" s="1"/>
  <c r="E14" i="9"/>
  <c r="F428" i="15" s="1"/>
  <c r="K13" i="9"/>
  <c r="J13" i="9"/>
  <c r="H13" i="9"/>
  <c r="J12" i="9"/>
  <c r="H12" i="9"/>
  <c r="E12" i="9"/>
  <c r="F426" i="15" s="1"/>
  <c r="K11" i="9"/>
  <c r="AA425" i="15" s="1"/>
  <c r="J11" i="9"/>
  <c r="H11" i="9"/>
  <c r="J10" i="9"/>
  <c r="H10" i="9"/>
  <c r="E10" i="9"/>
  <c r="F424" i="15" s="1"/>
  <c r="K9" i="9"/>
  <c r="J9" i="9"/>
  <c r="H9" i="9"/>
  <c r="J8" i="9"/>
  <c r="H8" i="9"/>
  <c r="E8" i="9"/>
  <c r="F422" i="15" s="1"/>
  <c r="V7" i="9"/>
  <c r="V8" i="9" s="1"/>
  <c r="V9" i="9" s="1"/>
  <c r="V10" i="9" s="1"/>
  <c r="V11" i="9" s="1"/>
  <c r="V12" i="9" s="1"/>
  <c r="V13" i="9" s="1"/>
  <c r="V14" i="9" s="1"/>
  <c r="K7" i="9"/>
  <c r="AA421" i="15" s="1"/>
  <c r="J7" i="9"/>
  <c r="H7" i="9"/>
  <c r="V4" i="9"/>
  <c r="BE7" i="8"/>
  <c r="BC7" i="8"/>
  <c r="BD7" i="8" s="1"/>
  <c r="V7" i="8"/>
  <c r="H7" i="8"/>
  <c r="I7" i="8" s="1"/>
  <c r="N420" i="15" s="1"/>
  <c r="F7" i="8"/>
  <c r="V4" i="8"/>
  <c r="AS1239" i="7"/>
  <c r="AR1239" i="7"/>
  <c r="AQ1239" i="7"/>
  <c r="AP1239" i="7"/>
  <c r="AO1239" i="7"/>
  <c r="AN1239" i="7"/>
  <c r="AM1239" i="7"/>
  <c r="AL1239" i="7"/>
  <c r="AK1239" i="7"/>
  <c r="AJ1239" i="7"/>
  <c r="AG1239" i="7"/>
  <c r="AF1239" i="7"/>
  <c r="AE1239" i="7"/>
  <c r="AD1239" i="7"/>
  <c r="AC1239" i="7"/>
  <c r="AB1239" i="7"/>
  <c r="AA1239" i="7"/>
  <c r="Z1239" i="7"/>
  <c r="Y1239" i="7"/>
  <c r="X1239" i="7"/>
  <c r="K1231" i="7"/>
  <c r="J1231" i="7"/>
  <c r="H1231" i="7"/>
  <c r="F1231" i="7"/>
  <c r="J419" i="15" s="1"/>
  <c r="H419" i="15" s="1"/>
  <c r="AM419" i="15" s="1"/>
  <c r="K1230" i="7"/>
  <c r="J1230" i="7"/>
  <c r="H1230" i="7"/>
  <c r="F1230" i="7"/>
  <c r="J418" i="15" s="1"/>
  <c r="H418" i="15" s="1"/>
  <c r="AM418" i="15" s="1"/>
  <c r="K1229" i="7"/>
  <c r="J1229" i="7"/>
  <c r="H1229" i="7"/>
  <c r="F1229" i="7"/>
  <c r="J417" i="15" s="1"/>
  <c r="H417" i="15" s="1"/>
  <c r="AM417" i="15" s="1"/>
  <c r="K1228" i="7"/>
  <c r="J1228" i="7"/>
  <c r="H1228" i="7"/>
  <c r="F1228" i="7"/>
  <c r="J416" i="15" s="1"/>
  <c r="H416" i="15" s="1"/>
  <c r="AM416" i="15" s="1"/>
  <c r="K1227" i="7"/>
  <c r="J1227" i="7"/>
  <c r="H1227" i="7"/>
  <c r="F1227" i="7"/>
  <c r="J415" i="15" s="1"/>
  <c r="H415" i="15" s="1"/>
  <c r="AM415" i="15" s="1"/>
  <c r="K1226" i="7"/>
  <c r="J1226" i="7"/>
  <c r="H1226" i="7"/>
  <c r="F1226" i="7"/>
  <c r="J414" i="15" s="1"/>
  <c r="H414" i="15" s="1"/>
  <c r="AM414" i="15" s="1"/>
  <c r="K1225" i="7"/>
  <c r="J1225" i="7"/>
  <c r="H1225" i="7"/>
  <c r="F1225" i="7"/>
  <c r="J413" i="15" s="1"/>
  <c r="H413" i="15" s="1"/>
  <c r="AM413" i="15" s="1"/>
  <c r="K1224" i="7"/>
  <c r="J1224" i="7"/>
  <c r="H1224" i="7"/>
  <c r="F1224" i="7"/>
  <c r="J412" i="15" s="1"/>
  <c r="H412" i="15" s="1"/>
  <c r="AM412" i="15" s="1"/>
  <c r="K1223" i="7"/>
  <c r="J1223" i="7"/>
  <c r="H1223" i="7"/>
  <c r="F1223" i="7"/>
  <c r="J411" i="15" s="1"/>
  <c r="H411" i="15" s="1"/>
  <c r="AM411" i="15" s="1"/>
  <c r="K1222" i="7"/>
  <c r="J1222" i="7"/>
  <c r="H1222" i="7"/>
  <c r="F1222" i="7"/>
  <c r="J410" i="15" s="1"/>
  <c r="H410" i="15" s="1"/>
  <c r="AM410" i="15" s="1"/>
  <c r="K1221" i="7"/>
  <c r="J1221" i="7"/>
  <c r="H1221" i="7"/>
  <c r="F1221" i="7"/>
  <c r="J409" i="15" s="1"/>
  <c r="H409" i="15" s="1"/>
  <c r="AM409" i="15" s="1"/>
  <c r="K1220" i="7"/>
  <c r="J1220" i="7"/>
  <c r="H1220" i="7"/>
  <c r="F1220" i="7"/>
  <c r="J408" i="15" s="1"/>
  <c r="H408" i="15" s="1"/>
  <c r="AM408" i="15" s="1"/>
  <c r="K1219" i="7"/>
  <c r="J1219" i="7"/>
  <c r="H1219" i="7"/>
  <c r="F1219" i="7"/>
  <c r="J407" i="15" s="1"/>
  <c r="H407" i="15" s="1"/>
  <c r="AM407" i="15" s="1"/>
  <c r="K1218" i="7"/>
  <c r="J1218" i="7"/>
  <c r="H1218" i="7"/>
  <c r="F1218" i="7"/>
  <c r="J406" i="15" s="1"/>
  <c r="H406" i="15" s="1"/>
  <c r="AM406" i="15" s="1"/>
  <c r="K1217" i="7"/>
  <c r="J1217" i="7"/>
  <c r="H1217" i="7"/>
  <c r="F1217" i="7"/>
  <c r="J405" i="15" s="1"/>
  <c r="H405" i="15" s="1"/>
  <c r="AM405" i="15" s="1"/>
  <c r="K1216" i="7"/>
  <c r="J1216" i="7"/>
  <c r="H1216" i="7"/>
  <c r="F1216" i="7"/>
  <c r="J404" i="15" s="1"/>
  <c r="H404" i="15" s="1"/>
  <c r="AM404" i="15" s="1"/>
  <c r="K1215" i="7"/>
  <c r="J1215" i="7"/>
  <c r="H1215" i="7"/>
  <c r="F1215" i="7"/>
  <c r="J403" i="15" s="1"/>
  <c r="H403" i="15" s="1"/>
  <c r="AM403" i="15" s="1"/>
  <c r="K1214" i="7"/>
  <c r="J1214" i="7"/>
  <c r="H1214" i="7"/>
  <c r="F1214" i="7"/>
  <c r="J402" i="15" s="1"/>
  <c r="H402" i="15" s="1"/>
  <c r="AM402" i="15" s="1"/>
  <c r="K1213" i="7"/>
  <c r="J1213" i="7"/>
  <c r="H1213" i="7"/>
  <c r="F1213" i="7"/>
  <c r="J401" i="15" s="1"/>
  <c r="H401" i="15" s="1"/>
  <c r="AM401" i="15" s="1"/>
  <c r="K1212" i="7"/>
  <c r="J1212" i="7"/>
  <c r="H1212" i="7"/>
  <c r="F1212" i="7"/>
  <c r="J400" i="15" s="1"/>
  <c r="H400" i="15" s="1"/>
  <c r="AM400" i="15" s="1"/>
  <c r="K1211" i="7"/>
  <c r="J1211" i="7"/>
  <c r="H1211" i="7"/>
  <c r="F1211" i="7"/>
  <c r="J399" i="15" s="1"/>
  <c r="H399" i="15" s="1"/>
  <c r="AM399" i="15" s="1"/>
  <c r="K1210" i="7"/>
  <c r="J1210" i="7"/>
  <c r="H1210" i="7"/>
  <c r="F1210" i="7"/>
  <c r="J398" i="15" s="1"/>
  <c r="H398" i="15" s="1"/>
  <c r="AM398" i="15" s="1"/>
  <c r="K1209" i="7"/>
  <c r="J1209" i="7"/>
  <c r="H1209" i="7"/>
  <c r="F1209" i="7"/>
  <c r="J397" i="15" s="1"/>
  <c r="H397" i="15" s="1"/>
  <c r="AM397" i="15" s="1"/>
  <c r="K1208" i="7"/>
  <c r="J1208" i="7"/>
  <c r="H1208" i="7"/>
  <c r="F1208" i="7"/>
  <c r="J396" i="15" s="1"/>
  <c r="H396" i="15" s="1"/>
  <c r="AM396" i="15" s="1"/>
  <c r="BE1207" i="7"/>
  <c r="BD1207" i="7"/>
  <c r="BC1207" i="7"/>
  <c r="BB1207" i="7"/>
  <c r="AG1207" i="7"/>
  <c r="AF1207" i="7"/>
  <c r="AE1207" i="7"/>
  <c r="AD1207" i="7"/>
  <c r="AC1207" i="7"/>
  <c r="AB1207" i="7"/>
  <c r="AA1207" i="7"/>
  <c r="Z1207" i="7"/>
  <c r="Y1207" i="7"/>
  <c r="X1207" i="7"/>
  <c r="V1205" i="7"/>
  <c r="E1200" i="7"/>
  <c r="E1199" i="7"/>
  <c r="V1198" i="7"/>
  <c r="V1197" i="7"/>
  <c r="V1196" i="7"/>
  <c r="V1195" i="7"/>
  <c r="V1194" i="7"/>
  <c r="V1193" i="7"/>
  <c r="X1192" i="7"/>
  <c r="V1192" i="7"/>
  <c r="F1192" i="7"/>
  <c r="X1191" i="7"/>
  <c r="V1191" i="7"/>
  <c r="F1191" i="7"/>
  <c r="X1190" i="7"/>
  <c r="V1190" i="7"/>
  <c r="F1190" i="7"/>
  <c r="X1189" i="7"/>
  <c r="V1189" i="7"/>
  <c r="F1189" i="7"/>
  <c r="X1188" i="7"/>
  <c r="V1188" i="7"/>
  <c r="F1188" i="7"/>
  <c r="X1187" i="7"/>
  <c r="V1187" i="7"/>
  <c r="F1187" i="7"/>
  <c r="V1186" i="7"/>
  <c r="V1185" i="7"/>
  <c r="V1183" i="7"/>
  <c r="AG1182" i="7"/>
  <c r="AF1182" i="7"/>
  <c r="AE1182" i="7"/>
  <c r="AD1182" i="7"/>
  <c r="AC1182" i="7"/>
  <c r="AB1182" i="7"/>
  <c r="AA1182" i="7"/>
  <c r="Z1182" i="7"/>
  <c r="Y1182" i="7"/>
  <c r="X1182" i="7"/>
  <c r="W1182" i="7"/>
  <c r="BE1175" i="7"/>
  <c r="J1175" i="7"/>
  <c r="H1175" i="7"/>
  <c r="K1174" i="7"/>
  <c r="J1174" i="7"/>
  <c r="H1174" i="7"/>
  <c r="BE1173" i="7"/>
  <c r="J1173" i="7"/>
  <c r="H1173" i="7"/>
  <c r="V1172" i="7"/>
  <c r="V1173" i="7" s="1"/>
  <c r="V1174" i="7" s="1"/>
  <c r="V1175" i="7" s="1"/>
  <c r="K1172" i="7"/>
  <c r="J1172" i="7"/>
  <c r="H1172" i="7"/>
  <c r="BE1171" i="7"/>
  <c r="BD1171" i="7"/>
  <c r="BC1171" i="7"/>
  <c r="BB1171" i="7"/>
  <c r="AG1171" i="7"/>
  <c r="AF1171" i="7"/>
  <c r="AE1171" i="7"/>
  <c r="AD1171" i="7"/>
  <c r="AC1171" i="7"/>
  <c r="AB1171" i="7"/>
  <c r="AA1171" i="7"/>
  <c r="Z1171" i="7"/>
  <c r="Y1171" i="7"/>
  <c r="X1171" i="7"/>
  <c r="V1169" i="7"/>
  <c r="F1166" i="7"/>
  <c r="V1165" i="7"/>
  <c r="F1165" i="7"/>
  <c r="V1163" i="7"/>
  <c r="V1161" i="7"/>
  <c r="V1160" i="7"/>
  <c r="BG1159" i="7"/>
  <c r="AU1159" i="7"/>
  <c r="V1159" i="7"/>
  <c r="I1159" i="7"/>
  <c r="F1149" i="7" s="1"/>
  <c r="H392" i="15" s="1"/>
  <c r="AM392" i="15" s="1"/>
  <c r="H1159" i="7"/>
  <c r="F1148" i="7" s="1"/>
  <c r="H391" i="15" s="1"/>
  <c r="AM391" i="15" s="1"/>
  <c r="V1158" i="7"/>
  <c r="BQ1157" i="7"/>
  <c r="BP1157" i="7"/>
  <c r="BO1157" i="7"/>
  <c r="BN1157" i="7"/>
  <c r="BM1157" i="7"/>
  <c r="BL1157" i="7"/>
  <c r="BK1157" i="7"/>
  <c r="BJ1157" i="7"/>
  <c r="BI1157" i="7"/>
  <c r="BH1157" i="7"/>
  <c r="BG1157" i="7"/>
  <c r="BE1157" i="7"/>
  <c r="BD1157" i="7"/>
  <c r="BC1157" i="7"/>
  <c r="BB1157" i="7"/>
  <c r="BA1157" i="7"/>
  <c r="AZ1157" i="7"/>
  <c r="AY1157" i="7"/>
  <c r="AX1157" i="7"/>
  <c r="AW1157" i="7"/>
  <c r="AV1157" i="7"/>
  <c r="AU1157" i="7"/>
  <c r="AS1157" i="7"/>
  <c r="AR1157" i="7"/>
  <c r="AQ1157" i="7"/>
  <c r="AP1157" i="7"/>
  <c r="AO1157" i="7"/>
  <c r="AN1157" i="7"/>
  <c r="AM1157" i="7"/>
  <c r="AL1157" i="7"/>
  <c r="AK1157" i="7"/>
  <c r="AJ1157" i="7"/>
  <c r="AI1157" i="7"/>
  <c r="AG1157" i="7"/>
  <c r="AF1157" i="7"/>
  <c r="AE1157" i="7"/>
  <c r="AD1157" i="7"/>
  <c r="AC1157" i="7"/>
  <c r="AB1157" i="7"/>
  <c r="AA1157" i="7"/>
  <c r="Z1157" i="7"/>
  <c r="Y1157" i="7"/>
  <c r="X1157" i="7"/>
  <c r="W1157" i="7"/>
  <c r="BQ1156" i="7"/>
  <c r="BP1156" i="7"/>
  <c r="BO1156" i="7"/>
  <c r="BN1156" i="7"/>
  <c r="BM1156" i="7"/>
  <c r="BL1156" i="7"/>
  <c r="BK1156" i="7"/>
  <c r="BJ1156" i="7"/>
  <c r="BI1156" i="7"/>
  <c r="BH1156" i="7"/>
  <c r="BG1156" i="7"/>
  <c r="BE1156" i="7"/>
  <c r="BD1156" i="7"/>
  <c r="BC1156" i="7"/>
  <c r="BB1156" i="7"/>
  <c r="BA1156" i="7"/>
  <c r="AZ1156" i="7"/>
  <c r="AY1156" i="7"/>
  <c r="AX1156" i="7"/>
  <c r="AW1156" i="7"/>
  <c r="AV1156" i="7"/>
  <c r="AU1156" i="7"/>
  <c r="AS1156" i="7"/>
  <c r="AR1156" i="7"/>
  <c r="AQ1156" i="7"/>
  <c r="AP1156" i="7"/>
  <c r="AO1156" i="7"/>
  <c r="AN1156" i="7"/>
  <c r="AM1156" i="7"/>
  <c r="AL1156" i="7"/>
  <c r="AK1156" i="7"/>
  <c r="AJ1156" i="7"/>
  <c r="AI1156" i="7"/>
  <c r="AG1156" i="7"/>
  <c r="AF1156" i="7"/>
  <c r="AE1156" i="7"/>
  <c r="AD1156" i="7"/>
  <c r="AC1156" i="7"/>
  <c r="AB1156" i="7"/>
  <c r="AA1156" i="7"/>
  <c r="Z1156" i="7"/>
  <c r="Y1156" i="7"/>
  <c r="X1156" i="7"/>
  <c r="W1156" i="7"/>
  <c r="BC1150" i="7"/>
  <c r="V1150" i="7"/>
  <c r="H1150" i="7"/>
  <c r="BE1149" i="7"/>
  <c r="BC1149" i="7"/>
  <c r="V1149" i="7"/>
  <c r="H1149" i="7"/>
  <c r="BE1148" i="7"/>
  <c r="BC1148" i="7"/>
  <c r="V1148" i="7"/>
  <c r="H1148" i="7"/>
  <c r="BE1147" i="7"/>
  <c r="BC1147" i="7"/>
  <c r="V1147" i="7"/>
  <c r="H1147" i="7"/>
  <c r="F1147" i="7"/>
  <c r="H390" i="15" s="1"/>
  <c r="AM390" i="15" s="1"/>
  <c r="BE1146" i="7"/>
  <c r="BC1146" i="7"/>
  <c r="V1146" i="7"/>
  <c r="H1146" i="7"/>
  <c r="F1146" i="7"/>
  <c r="H389" i="15" s="1"/>
  <c r="AM389" i="15" s="1"/>
  <c r="BE1145" i="7"/>
  <c r="BC1145" i="7"/>
  <c r="V1145" i="7"/>
  <c r="H1145" i="7"/>
  <c r="F1145" i="7"/>
  <c r="H388" i="15" s="1"/>
  <c r="AM388" i="15" s="1"/>
  <c r="BE1144" i="7"/>
  <c r="BC1144" i="7"/>
  <c r="V1144" i="7"/>
  <c r="H1144" i="7"/>
  <c r="F1144" i="7"/>
  <c r="H387" i="15" s="1"/>
  <c r="AM387" i="15" s="1"/>
  <c r="BE1143" i="7"/>
  <c r="BD1143" i="7"/>
  <c r="BC1143" i="7"/>
  <c r="BB1143" i="7"/>
  <c r="AG1143" i="7"/>
  <c r="AF1143" i="7"/>
  <c r="AE1143" i="7"/>
  <c r="AD1143" i="7"/>
  <c r="AC1143" i="7"/>
  <c r="AB1143" i="7"/>
  <c r="AA1143" i="7"/>
  <c r="Z1143" i="7"/>
  <c r="Y1143" i="7"/>
  <c r="X1143" i="7"/>
  <c r="V1141" i="7"/>
  <c r="AI1138" i="7"/>
  <c r="W1138" i="7"/>
  <c r="G1138" i="7"/>
  <c r="Q1051" i="7" s="1"/>
  <c r="F1138" i="7"/>
  <c r="P1051" i="7" s="1"/>
  <c r="W1137" i="7"/>
  <c r="F1137" i="7"/>
  <c r="P1050" i="7" s="1"/>
  <c r="W1136" i="7"/>
  <c r="F1136" i="7"/>
  <c r="P1049" i="7" s="1"/>
  <c r="AI1135" i="7"/>
  <c r="W1135" i="7"/>
  <c r="G1135" i="7"/>
  <c r="Q1048" i="7" s="1"/>
  <c r="F1135" i="7"/>
  <c r="P1048" i="7" s="1"/>
  <c r="AI1134" i="7"/>
  <c r="W1134" i="7"/>
  <c r="G1134" i="7"/>
  <c r="Q1047" i="7" s="1"/>
  <c r="F1134" i="7"/>
  <c r="P1047" i="7" s="1"/>
  <c r="W1133" i="7"/>
  <c r="F1133" i="7"/>
  <c r="P1046" i="7" s="1"/>
  <c r="W1132" i="7"/>
  <c r="F1132" i="7"/>
  <c r="P1045" i="7" s="1"/>
  <c r="W1131" i="7"/>
  <c r="F1131" i="7"/>
  <c r="P1044" i="7" s="1"/>
  <c r="AI1130" i="7"/>
  <c r="G1130" i="7"/>
  <c r="Q1043" i="7" s="1"/>
  <c r="AI1128" i="7"/>
  <c r="G1128" i="7"/>
  <c r="Q1041" i="7" s="1"/>
  <c r="AS1118" i="7"/>
  <c r="AR1118" i="7"/>
  <c r="AQ1118" i="7"/>
  <c r="AP1118" i="7"/>
  <c r="AO1118" i="7"/>
  <c r="AN1118" i="7"/>
  <c r="AM1118" i="7"/>
  <c r="AL1118" i="7"/>
  <c r="AK1118" i="7"/>
  <c r="AJ1118" i="7"/>
  <c r="AI1118" i="7"/>
  <c r="AG1118" i="7"/>
  <c r="AF1118" i="7"/>
  <c r="AE1118" i="7"/>
  <c r="AD1118" i="7"/>
  <c r="AC1118" i="7"/>
  <c r="AB1118" i="7"/>
  <c r="AA1118" i="7"/>
  <c r="Z1118" i="7"/>
  <c r="Y1118" i="7"/>
  <c r="X1118" i="7"/>
  <c r="W1118" i="7"/>
  <c r="AS1117" i="7"/>
  <c r="AR1117" i="7"/>
  <c r="AQ1117" i="7"/>
  <c r="AP1117" i="7"/>
  <c r="AO1117" i="7"/>
  <c r="AN1117" i="7"/>
  <c r="AM1117" i="7"/>
  <c r="AL1117" i="7"/>
  <c r="AK1117" i="7"/>
  <c r="AJ1117" i="7"/>
  <c r="AI1117" i="7"/>
  <c r="AG1117" i="7"/>
  <c r="AF1117" i="7"/>
  <c r="AE1117" i="7"/>
  <c r="AD1117" i="7"/>
  <c r="AC1117" i="7"/>
  <c r="AB1117" i="7"/>
  <c r="AA1117" i="7"/>
  <c r="Z1117" i="7"/>
  <c r="Y1117" i="7"/>
  <c r="X1117" i="7"/>
  <c r="W1117" i="7"/>
  <c r="V1114" i="7"/>
  <c r="U1114" i="7"/>
  <c r="V1113" i="7"/>
  <c r="U1113" i="7"/>
  <c r="V1112" i="7"/>
  <c r="U1112" i="7"/>
  <c r="V1111" i="7"/>
  <c r="U1111" i="7"/>
  <c r="V1110" i="7"/>
  <c r="U1110" i="7"/>
  <c r="V1109" i="7"/>
  <c r="U1109" i="7"/>
  <c r="V1108" i="7"/>
  <c r="U1108" i="7"/>
  <c r="V1107" i="7"/>
  <c r="U1107" i="7"/>
  <c r="V1106" i="7"/>
  <c r="U1106" i="7"/>
  <c r="V1105" i="7"/>
  <c r="U1105" i="7"/>
  <c r="V1104" i="7"/>
  <c r="U1104" i="7"/>
  <c r="U1103" i="7"/>
  <c r="U1102" i="7"/>
  <c r="E1102" i="7"/>
  <c r="V1102" i="7" s="1"/>
  <c r="U1101" i="7"/>
  <c r="E1101" i="7"/>
  <c r="V1101" i="7" s="1"/>
  <c r="U1100" i="7"/>
  <c r="U1099" i="7"/>
  <c r="U1098" i="7"/>
  <c r="E1098" i="7"/>
  <c r="V1098" i="7" s="1"/>
  <c r="U1097" i="7"/>
  <c r="E1097" i="7"/>
  <c r="V1097" i="7" s="1"/>
  <c r="U1096" i="7"/>
  <c r="E1096" i="7"/>
  <c r="V1096" i="7" s="1"/>
  <c r="U1095" i="7"/>
  <c r="E1095" i="7"/>
  <c r="V1095" i="7" s="1"/>
  <c r="U1094" i="7"/>
  <c r="E1094" i="7"/>
  <c r="V1094" i="7" s="1"/>
  <c r="U1093" i="7"/>
  <c r="E1093" i="7"/>
  <c r="V1093" i="7" s="1"/>
  <c r="U1092" i="7"/>
  <c r="E1092" i="7"/>
  <c r="V1092" i="7" s="1"/>
  <c r="U1091" i="7"/>
  <c r="E1091" i="7"/>
  <c r="V1091" i="7" s="1"/>
  <c r="U1090" i="7"/>
  <c r="E1090" i="7"/>
  <c r="V1090" i="7" s="1"/>
  <c r="U1089" i="7"/>
  <c r="E1089" i="7"/>
  <c r="V1089" i="7" s="1"/>
  <c r="U1088" i="7"/>
  <c r="E1088" i="7"/>
  <c r="V1088" i="7" s="1"/>
  <c r="U1087" i="7"/>
  <c r="E1087" i="7"/>
  <c r="V1087" i="7" s="1"/>
  <c r="U1086" i="7"/>
  <c r="E1086" i="7"/>
  <c r="V1086" i="7" s="1"/>
  <c r="U1085" i="7"/>
  <c r="E1085" i="7"/>
  <c r="V1085" i="7" s="1"/>
  <c r="U1084" i="7"/>
  <c r="E1084" i="7"/>
  <c r="V1084" i="7" s="1"/>
  <c r="U1083" i="7"/>
  <c r="E1083" i="7"/>
  <c r="E1138" i="7" s="1"/>
  <c r="U1082" i="7"/>
  <c r="E1082" i="7"/>
  <c r="V1082" i="7" s="1"/>
  <c r="U1081" i="7"/>
  <c r="E1081" i="7"/>
  <c r="V1081" i="7" s="1"/>
  <c r="U1080" i="7"/>
  <c r="E1080" i="7"/>
  <c r="E1135" i="7" s="1"/>
  <c r="U1079" i="7"/>
  <c r="E1079" i="7"/>
  <c r="E1134" i="7" s="1"/>
  <c r="U1078" i="7"/>
  <c r="E1078" i="7"/>
  <c r="V1078" i="7" s="1"/>
  <c r="U1077" i="7"/>
  <c r="E1077" i="7"/>
  <c r="V1077" i="7" s="1"/>
  <c r="U1076" i="7"/>
  <c r="E1076" i="7"/>
  <c r="U1075" i="7"/>
  <c r="E1075" i="7"/>
  <c r="E1130" i="7" s="1"/>
  <c r="U1074" i="7"/>
  <c r="E1074" i="7"/>
  <c r="E1129" i="7" s="1"/>
  <c r="U1073" i="7"/>
  <c r="E1073" i="7"/>
  <c r="U1072" i="7"/>
  <c r="E1072" i="7"/>
  <c r="E1127" i="7" s="1"/>
  <c r="U1071" i="7"/>
  <c r="E1071" i="7"/>
  <c r="V1071" i="7" s="1"/>
  <c r="U1070" i="7"/>
  <c r="E1070" i="7"/>
  <c r="E1125" i="7" s="1"/>
  <c r="U1069" i="7"/>
  <c r="E1069" i="7"/>
  <c r="E1124" i="7" s="1"/>
  <c r="U1068" i="7"/>
  <c r="E1068" i="7"/>
  <c r="E1123" i="7" s="1"/>
  <c r="U1067" i="7"/>
  <c r="E1067" i="7"/>
  <c r="V1067" i="7" s="1"/>
  <c r="U1066" i="7"/>
  <c r="E1066" i="7"/>
  <c r="E1121" i="7" s="1"/>
  <c r="U1065" i="7"/>
  <c r="E1065" i="7"/>
  <c r="U1064" i="7"/>
  <c r="E1064" i="7"/>
  <c r="V1064" i="7" s="1"/>
  <c r="AG1063" i="7"/>
  <c r="AF1063" i="7"/>
  <c r="AE1063" i="7"/>
  <c r="AD1063" i="7"/>
  <c r="AC1063" i="7"/>
  <c r="AB1063" i="7"/>
  <c r="AA1063" i="7"/>
  <c r="Z1063" i="7"/>
  <c r="Y1063" i="7"/>
  <c r="X1063" i="7"/>
  <c r="W1063" i="7"/>
  <c r="V1056" i="7"/>
  <c r="V1055" i="7"/>
  <c r="V1054" i="7"/>
  <c r="BC1051" i="7"/>
  <c r="O1051" i="7"/>
  <c r="L1051" i="7"/>
  <c r="K1051" i="7"/>
  <c r="J1051" i="7"/>
  <c r="H1051" i="7"/>
  <c r="BC1050" i="7"/>
  <c r="Q1050" i="7"/>
  <c r="O1050" i="7"/>
  <c r="L1050" i="7"/>
  <c r="K1050" i="7"/>
  <c r="J1050" i="7"/>
  <c r="H1050" i="7"/>
  <c r="BC1049" i="7"/>
  <c r="Q1049" i="7"/>
  <c r="O1049" i="7"/>
  <c r="L1049" i="7"/>
  <c r="K1049" i="7"/>
  <c r="J1049" i="7"/>
  <c r="H1049" i="7"/>
  <c r="BC1048" i="7"/>
  <c r="O1048" i="7"/>
  <c r="L1048" i="7"/>
  <c r="K1048" i="7"/>
  <c r="J1048" i="7"/>
  <c r="H1048" i="7"/>
  <c r="BC1047" i="7"/>
  <c r="O1047" i="7"/>
  <c r="L1047" i="7"/>
  <c r="K1047" i="7"/>
  <c r="J1047" i="7"/>
  <c r="H1047" i="7"/>
  <c r="BC1046" i="7"/>
  <c r="Q1046" i="7"/>
  <c r="O1046" i="7"/>
  <c r="L1046" i="7"/>
  <c r="K1046" i="7"/>
  <c r="J1046" i="7"/>
  <c r="H1046" i="7"/>
  <c r="BC1045" i="7"/>
  <c r="Q1045" i="7"/>
  <c r="O1045" i="7"/>
  <c r="L1045" i="7"/>
  <c r="K1045" i="7"/>
  <c r="J1045" i="7"/>
  <c r="H1045" i="7"/>
  <c r="BC1044" i="7"/>
  <c r="Q1044" i="7"/>
  <c r="O1044" i="7"/>
  <c r="L1044" i="7"/>
  <c r="K1044" i="7"/>
  <c r="J1044" i="7"/>
  <c r="H1044" i="7"/>
  <c r="BC1043" i="7"/>
  <c r="P1043" i="7"/>
  <c r="O1043" i="7"/>
  <c r="L1043" i="7"/>
  <c r="K1043" i="7"/>
  <c r="J1043" i="7"/>
  <c r="H1043" i="7"/>
  <c r="BC1042" i="7"/>
  <c r="Q1042" i="7"/>
  <c r="P1042" i="7"/>
  <c r="O1042" i="7"/>
  <c r="L1042" i="7"/>
  <c r="K1042" i="7"/>
  <c r="J1042" i="7"/>
  <c r="H1042" i="7"/>
  <c r="BC1041" i="7"/>
  <c r="P1041" i="7"/>
  <c r="O1041" i="7"/>
  <c r="L1041" i="7"/>
  <c r="K1041" i="7"/>
  <c r="J1041" i="7"/>
  <c r="H1041" i="7"/>
  <c r="BC1040" i="7"/>
  <c r="Q1040" i="7"/>
  <c r="P1040" i="7"/>
  <c r="O1040" i="7"/>
  <c r="L1040" i="7"/>
  <c r="K1040" i="7"/>
  <c r="J1040" i="7"/>
  <c r="H1040" i="7"/>
  <c r="BC1039" i="7"/>
  <c r="Q1039" i="7"/>
  <c r="P1039" i="7"/>
  <c r="O1039" i="7"/>
  <c r="L1039" i="7"/>
  <c r="K1039" i="7"/>
  <c r="J1039" i="7"/>
  <c r="H1039" i="7"/>
  <c r="BC1038" i="7"/>
  <c r="Q1038" i="7"/>
  <c r="P1038" i="7"/>
  <c r="O1038" i="7"/>
  <c r="L1038" i="7"/>
  <c r="K1038" i="7"/>
  <c r="J1038" i="7"/>
  <c r="H1038" i="7"/>
  <c r="BC1037" i="7"/>
  <c r="Q1037" i="7"/>
  <c r="P1037" i="7"/>
  <c r="O1037" i="7"/>
  <c r="L1037" i="7"/>
  <c r="K1037" i="7"/>
  <c r="J1037" i="7"/>
  <c r="H1037" i="7"/>
  <c r="BC1036" i="7"/>
  <c r="Q1036" i="7"/>
  <c r="P1036" i="7"/>
  <c r="O1036" i="7"/>
  <c r="L1036" i="7"/>
  <c r="K1036" i="7"/>
  <c r="J1036" i="7"/>
  <c r="H1036" i="7"/>
  <c r="BC1035" i="7"/>
  <c r="Q1035" i="7"/>
  <c r="P1035" i="7"/>
  <c r="O1035" i="7"/>
  <c r="L1035" i="7"/>
  <c r="K1035" i="7"/>
  <c r="J1035" i="7"/>
  <c r="H1035" i="7"/>
  <c r="BC1034" i="7"/>
  <c r="Q1034" i="7"/>
  <c r="P1034" i="7"/>
  <c r="O1034" i="7"/>
  <c r="L1034" i="7"/>
  <c r="K1034" i="7"/>
  <c r="J1034" i="7"/>
  <c r="H1034" i="7"/>
  <c r="BC1033" i="7"/>
  <c r="Q1033" i="7"/>
  <c r="P1033" i="7"/>
  <c r="O1033" i="7"/>
  <c r="L1033" i="7"/>
  <c r="K1033" i="7"/>
  <c r="J1033" i="7"/>
  <c r="H1033" i="7"/>
  <c r="BC1032" i="7"/>
  <c r="V1032" i="7"/>
  <c r="V1033" i="7" s="1"/>
  <c r="V1034" i="7" s="1"/>
  <c r="V1035" i="7" s="1"/>
  <c r="V1036" i="7" s="1"/>
  <c r="V1037" i="7" s="1"/>
  <c r="V1038" i="7" s="1"/>
  <c r="V1039" i="7" s="1"/>
  <c r="V1040" i="7" s="1"/>
  <c r="V1041" i="7" s="1"/>
  <c r="V1042" i="7" s="1"/>
  <c r="V1043" i="7" s="1"/>
  <c r="V1044" i="7" s="1"/>
  <c r="V1045" i="7" s="1"/>
  <c r="V1046" i="7" s="1"/>
  <c r="V1047" i="7" s="1"/>
  <c r="V1048" i="7" s="1"/>
  <c r="V1049" i="7" s="1"/>
  <c r="V1050" i="7" s="1"/>
  <c r="V1051" i="7" s="1"/>
  <c r="Q1032" i="7"/>
  <c r="P1032" i="7"/>
  <c r="O1032" i="7"/>
  <c r="L1032" i="7"/>
  <c r="K1032" i="7"/>
  <c r="J1032" i="7"/>
  <c r="H1032" i="7"/>
  <c r="BE1031" i="7"/>
  <c r="BD1031" i="7"/>
  <c r="BC1031" i="7"/>
  <c r="BB1031" i="7"/>
  <c r="Y1031" i="7"/>
  <c r="X1031" i="7"/>
  <c r="V1028" i="7"/>
  <c r="V1022" i="7"/>
  <c r="V1021" i="7"/>
  <c r="V1020" i="7"/>
  <c r="V1019" i="7"/>
  <c r="V1018" i="7"/>
  <c r="V1017" i="7"/>
  <c r="V1016" i="7"/>
  <c r="V1015" i="7"/>
  <c r="V1014" i="7"/>
  <c r="V1013" i="7"/>
  <c r="V1012" i="7"/>
  <c r="V1011" i="7"/>
  <c r="V1010" i="7"/>
  <c r="V1009" i="7"/>
  <c r="V1008" i="7"/>
  <c r="AG1007" i="7"/>
  <c r="AF1007" i="7"/>
  <c r="AE1007" i="7"/>
  <c r="AD1007" i="7"/>
  <c r="AC1007" i="7"/>
  <c r="AB1007" i="7"/>
  <c r="AA1007" i="7"/>
  <c r="Z1007" i="7"/>
  <c r="Y1007" i="7"/>
  <c r="X1007" i="7"/>
  <c r="W1007" i="7"/>
  <c r="V998" i="7"/>
  <c r="L998" i="7"/>
  <c r="K998" i="7"/>
  <c r="I998" i="7"/>
  <c r="F998" i="7" s="1"/>
  <c r="H366" i="15" s="1"/>
  <c r="AM366" i="15" s="1"/>
  <c r="H998" i="7"/>
  <c r="BE997" i="7"/>
  <c r="BD997" i="7"/>
  <c r="BC997" i="7"/>
  <c r="BB997" i="7"/>
  <c r="AG997" i="7"/>
  <c r="AF997" i="7"/>
  <c r="AE997" i="7"/>
  <c r="AD997" i="7"/>
  <c r="AC997" i="7"/>
  <c r="AB997" i="7"/>
  <c r="AA997" i="7"/>
  <c r="Z997" i="7"/>
  <c r="Y997" i="7"/>
  <c r="X997" i="7"/>
  <c r="W997" i="7"/>
  <c r="V996" i="7"/>
  <c r="V995" i="7"/>
  <c r="V989" i="7"/>
  <c r="V988" i="7"/>
  <c r="V987" i="7"/>
  <c r="V986" i="7"/>
  <c r="V985" i="7"/>
  <c r="V984" i="7"/>
  <c r="V983" i="7"/>
  <c r="V982" i="7"/>
  <c r="V981" i="7"/>
  <c r="V980" i="7"/>
  <c r="V979" i="7"/>
  <c r="V978" i="7"/>
  <c r="AG977" i="7"/>
  <c r="AF977" i="7"/>
  <c r="AE977" i="7"/>
  <c r="AD977" i="7"/>
  <c r="AC977" i="7"/>
  <c r="AB977" i="7"/>
  <c r="AA977" i="7"/>
  <c r="Z977" i="7"/>
  <c r="Y977" i="7"/>
  <c r="X977" i="7"/>
  <c r="W977" i="7"/>
  <c r="V967" i="7"/>
  <c r="L967" i="7"/>
  <c r="K967" i="7"/>
  <c r="I967" i="7"/>
  <c r="F967" i="7" s="1"/>
  <c r="H365" i="15" s="1"/>
  <c r="AM365" i="15" s="1"/>
  <c r="H967" i="7"/>
  <c r="BE966" i="7"/>
  <c r="BD966" i="7"/>
  <c r="BC966" i="7"/>
  <c r="BB966" i="7"/>
  <c r="AG966" i="7"/>
  <c r="AF966" i="7"/>
  <c r="AE966" i="7"/>
  <c r="AD966" i="7"/>
  <c r="AC966" i="7"/>
  <c r="AB966" i="7"/>
  <c r="AA966" i="7"/>
  <c r="Z966" i="7"/>
  <c r="Y966" i="7"/>
  <c r="X966" i="7"/>
  <c r="W966" i="7"/>
  <c r="V965" i="7"/>
  <c r="V964" i="7"/>
  <c r="V958" i="7"/>
  <c r="V957" i="7"/>
  <c r="V956" i="7"/>
  <c r="V955" i="7"/>
  <c r="V954" i="7"/>
  <c r="V953" i="7"/>
  <c r="V952" i="7"/>
  <c r="V951" i="7"/>
  <c r="Y950" i="7"/>
  <c r="X950" i="7"/>
  <c r="W950" i="7"/>
  <c r="V950" i="7"/>
  <c r="F950" i="7"/>
  <c r="V949" i="7"/>
  <c r="Y948" i="7"/>
  <c r="X948" i="7"/>
  <c r="W948" i="7"/>
  <c r="V948" i="7"/>
  <c r="F948" i="7"/>
  <c r="AG947" i="7"/>
  <c r="AF947" i="7"/>
  <c r="AE947" i="7"/>
  <c r="AD947" i="7"/>
  <c r="AC947" i="7"/>
  <c r="AB947" i="7"/>
  <c r="AA947" i="7"/>
  <c r="Z947" i="7"/>
  <c r="Y947" i="7"/>
  <c r="X947" i="7"/>
  <c r="W947" i="7"/>
  <c r="V941" i="7"/>
  <c r="K941" i="7"/>
  <c r="J941" i="7"/>
  <c r="H941" i="7"/>
  <c r="BE940" i="7"/>
  <c r="BD940" i="7"/>
  <c r="BC940" i="7"/>
  <c r="BB940" i="7"/>
  <c r="AG940" i="7"/>
  <c r="AF940" i="7"/>
  <c r="AE940" i="7"/>
  <c r="AD940" i="7"/>
  <c r="AC940" i="7"/>
  <c r="AB940" i="7"/>
  <c r="AA940" i="7"/>
  <c r="Z940" i="7"/>
  <c r="Y940" i="7"/>
  <c r="X940" i="7"/>
  <c r="W940" i="7"/>
  <c r="V938" i="7"/>
  <c r="E933" i="7"/>
  <c r="V932" i="7"/>
  <c r="V931" i="7"/>
  <c r="V930" i="7"/>
  <c r="V929" i="7"/>
  <c r="V928" i="7"/>
  <c r="V927" i="7"/>
  <c r="V926" i="7"/>
  <c r="V925" i="7"/>
  <c r="V923" i="7"/>
  <c r="V922" i="7"/>
  <c r="V921" i="7"/>
  <c r="V919" i="7"/>
  <c r="V918" i="7"/>
  <c r="V917" i="7"/>
  <c r="V916" i="7"/>
  <c r="AG915" i="7"/>
  <c r="AF915" i="7"/>
  <c r="AE915" i="7"/>
  <c r="AD915" i="7"/>
  <c r="AC915" i="7"/>
  <c r="AB915" i="7"/>
  <c r="AA915" i="7"/>
  <c r="Z915" i="7"/>
  <c r="Y915" i="7"/>
  <c r="X915" i="7"/>
  <c r="W915" i="7"/>
  <c r="V907" i="7"/>
  <c r="L907" i="7"/>
  <c r="K907" i="7"/>
  <c r="I907" i="7"/>
  <c r="H907" i="7"/>
  <c r="V906" i="7"/>
  <c r="L906" i="7"/>
  <c r="K906" i="7"/>
  <c r="I906" i="7"/>
  <c r="H906" i="7"/>
  <c r="BE905" i="7"/>
  <c r="BD905" i="7"/>
  <c r="BC905" i="7"/>
  <c r="BB905" i="7"/>
  <c r="AG905" i="7"/>
  <c r="AF905" i="7"/>
  <c r="AE905" i="7"/>
  <c r="AD905" i="7"/>
  <c r="AC905" i="7"/>
  <c r="AB905" i="7"/>
  <c r="AA905" i="7"/>
  <c r="Z905" i="7"/>
  <c r="Y905" i="7"/>
  <c r="X905" i="7"/>
  <c r="W905" i="7"/>
  <c r="V903" i="7"/>
  <c r="V902" i="7"/>
  <c r="V901" i="7"/>
  <c r="E900" i="7"/>
  <c r="E961" i="7" s="1"/>
  <c r="E992" i="7" s="1"/>
  <c r="E1025" i="7" s="1"/>
  <c r="E899" i="7"/>
  <c r="E960" i="7" s="1"/>
  <c r="E991" i="7" s="1"/>
  <c r="E1024" i="7" s="1"/>
  <c r="E898" i="7"/>
  <c r="E959" i="7" s="1"/>
  <c r="E990" i="7" s="1"/>
  <c r="E1023" i="7" s="1"/>
  <c r="E1162" i="7" s="1"/>
  <c r="V897" i="7"/>
  <c r="V896" i="7"/>
  <c r="V895" i="7"/>
  <c r="X894" i="7"/>
  <c r="F894" i="7"/>
  <c r="X893" i="7"/>
  <c r="F893" i="7"/>
  <c r="X890" i="7"/>
  <c r="F890" i="7"/>
  <c r="F832" i="7" s="1"/>
  <c r="K355" i="15" s="1"/>
  <c r="X889" i="7"/>
  <c r="F889" i="7"/>
  <c r="F830" i="7" s="1"/>
  <c r="K354" i="15" s="1"/>
  <c r="V887" i="7"/>
  <c r="V879" i="7"/>
  <c r="V877" i="7"/>
  <c r="X876" i="7"/>
  <c r="W876" i="7"/>
  <c r="F876" i="7"/>
  <c r="F844" i="7" s="1"/>
  <c r="K361" i="15" s="1"/>
  <c r="X875" i="7"/>
  <c r="W875" i="7"/>
  <c r="F875" i="7"/>
  <c r="V869" i="7"/>
  <c r="V868" i="7"/>
  <c r="V867" i="7"/>
  <c r="V866" i="7"/>
  <c r="V865" i="7"/>
  <c r="W863" i="7"/>
  <c r="W861" i="7"/>
  <c r="W859" i="7"/>
  <c r="W857" i="7"/>
  <c r="V857" i="7"/>
  <c r="V855" i="7"/>
  <c r="AG854" i="7"/>
  <c r="AF854" i="7"/>
  <c r="AE854" i="7"/>
  <c r="AD854" i="7"/>
  <c r="AC854" i="7"/>
  <c r="AB854" i="7"/>
  <c r="AA854" i="7"/>
  <c r="Z854" i="7"/>
  <c r="Y854" i="7"/>
  <c r="X854" i="7"/>
  <c r="W854" i="7"/>
  <c r="V853" i="7"/>
  <c r="V852" i="7"/>
  <c r="V851" i="7"/>
  <c r="V850" i="7"/>
  <c r="V849" i="7"/>
  <c r="V848" i="7"/>
  <c r="V847" i="7"/>
  <c r="BE844" i="7"/>
  <c r="J844" i="7"/>
  <c r="BC844" i="7" s="1"/>
  <c r="H844" i="7"/>
  <c r="K843" i="7"/>
  <c r="J843" i="7"/>
  <c r="H843" i="7"/>
  <c r="F843" i="7"/>
  <c r="J361" i="15" s="1"/>
  <c r="BE842" i="7"/>
  <c r="J842" i="7"/>
  <c r="BC842" i="7" s="1"/>
  <c r="H842" i="7"/>
  <c r="E842" i="7"/>
  <c r="K841" i="7"/>
  <c r="J841" i="7"/>
  <c r="H841" i="7"/>
  <c r="F841" i="7"/>
  <c r="J360" i="15" s="1"/>
  <c r="E841" i="7"/>
  <c r="F360" i="15" s="1"/>
  <c r="BE840" i="7"/>
  <c r="J840" i="7"/>
  <c r="BC840" i="7" s="1"/>
  <c r="H840" i="7"/>
  <c r="K839" i="7"/>
  <c r="J839" i="7"/>
  <c r="H839" i="7"/>
  <c r="F839" i="7"/>
  <c r="J359" i="15" s="1"/>
  <c r="BE838" i="7"/>
  <c r="J838" i="7"/>
  <c r="BC838" i="7" s="1"/>
  <c r="BD838" i="7" s="1"/>
  <c r="AE358" i="15" s="1"/>
  <c r="H838" i="7"/>
  <c r="I838" i="7" s="1"/>
  <c r="Q358" i="15" s="1"/>
  <c r="K837" i="7"/>
  <c r="J837" i="7"/>
  <c r="H837" i="7"/>
  <c r="F837" i="7"/>
  <c r="J358" i="15" s="1"/>
  <c r="H358" i="15" s="1"/>
  <c r="AM358" i="15" s="1"/>
  <c r="BE836" i="7"/>
  <c r="J836" i="7"/>
  <c r="BC836" i="7" s="1"/>
  <c r="BD836" i="7" s="1"/>
  <c r="AE357" i="15" s="1"/>
  <c r="H836" i="7"/>
  <c r="I836" i="7" s="1"/>
  <c r="Q357" i="15" s="1"/>
  <c r="E836" i="7"/>
  <c r="K835" i="7"/>
  <c r="J835" i="7"/>
  <c r="H835" i="7"/>
  <c r="F835" i="7"/>
  <c r="J357" i="15" s="1"/>
  <c r="H357" i="15" s="1"/>
  <c r="AM357" i="15" s="1"/>
  <c r="E835" i="7"/>
  <c r="F357" i="15" s="1"/>
  <c r="BE834" i="7"/>
  <c r="J834" i="7"/>
  <c r="BC834" i="7" s="1"/>
  <c r="BD834" i="7" s="1"/>
  <c r="AE356" i="15" s="1"/>
  <c r="H834" i="7"/>
  <c r="I834" i="7" s="1"/>
  <c r="Q356" i="15" s="1"/>
  <c r="K833" i="7"/>
  <c r="J833" i="7"/>
  <c r="H833" i="7"/>
  <c r="F833" i="7"/>
  <c r="J356" i="15" s="1"/>
  <c r="H356" i="15" s="1"/>
  <c r="AM356" i="15" s="1"/>
  <c r="BE832" i="7"/>
  <c r="J832" i="7"/>
  <c r="BC832" i="7" s="1"/>
  <c r="H832" i="7"/>
  <c r="K831" i="7"/>
  <c r="J831" i="7"/>
  <c r="H831" i="7"/>
  <c r="F831" i="7"/>
  <c r="J355" i="15" s="1"/>
  <c r="BE830" i="7"/>
  <c r="J830" i="7"/>
  <c r="BC830" i="7" s="1"/>
  <c r="H830" i="7"/>
  <c r="E830" i="7"/>
  <c r="K829" i="7"/>
  <c r="J829" i="7"/>
  <c r="H829" i="7"/>
  <c r="F829" i="7"/>
  <c r="J354" i="15" s="1"/>
  <c r="E829" i="7"/>
  <c r="F354" i="15" s="1"/>
  <c r="BE828" i="7"/>
  <c r="J828" i="7"/>
  <c r="BC828" i="7" s="1"/>
  <c r="H828" i="7"/>
  <c r="K827" i="7"/>
  <c r="J827" i="7"/>
  <c r="H827" i="7"/>
  <c r="F827" i="7"/>
  <c r="J353" i="15" s="1"/>
  <c r="BE826" i="7"/>
  <c r="J826" i="7"/>
  <c r="BC826" i="7" s="1"/>
  <c r="H826" i="7"/>
  <c r="F826" i="7"/>
  <c r="K352" i="15" s="1"/>
  <c r="K825" i="7"/>
  <c r="J825" i="7"/>
  <c r="H825" i="7"/>
  <c r="F825" i="7"/>
  <c r="J352" i="15" s="1"/>
  <c r="BE824" i="7"/>
  <c r="J824" i="7"/>
  <c r="BC824" i="7" s="1"/>
  <c r="H824" i="7"/>
  <c r="F824" i="7"/>
  <c r="K351" i="15" s="1"/>
  <c r="E824" i="7"/>
  <c r="K823" i="7"/>
  <c r="J823" i="7"/>
  <c r="H823" i="7"/>
  <c r="F823" i="7"/>
  <c r="J351" i="15" s="1"/>
  <c r="E823" i="7"/>
  <c r="F351" i="15" s="1"/>
  <c r="BE822" i="7"/>
  <c r="J822" i="7"/>
  <c r="BC822" i="7" s="1"/>
  <c r="H822" i="7"/>
  <c r="F822" i="7"/>
  <c r="K350" i="15" s="1"/>
  <c r="V821" i="7"/>
  <c r="V822" i="7" s="1"/>
  <c r="V823" i="7" s="1"/>
  <c r="V824" i="7" s="1"/>
  <c r="V825" i="7" s="1"/>
  <c r="V826" i="7" s="1"/>
  <c r="V827" i="7" s="1"/>
  <c r="V828" i="7" s="1"/>
  <c r="V829" i="7" s="1"/>
  <c r="V830" i="7" s="1"/>
  <c r="V831" i="7" s="1"/>
  <c r="V832" i="7" s="1"/>
  <c r="V833" i="7" s="1"/>
  <c r="V834" i="7" s="1"/>
  <c r="V835" i="7" s="1"/>
  <c r="V836" i="7" s="1"/>
  <c r="V837" i="7" s="1"/>
  <c r="V838" i="7" s="1"/>
  <c r="V839" i="7" s="1"/>
  <c r="V840" i="7" s="1"/>
  <c r="V841" i="7" s="1"/>
  <c r="V842" i="7" s="1"/>
  <c r="V843" i="7" s="1"/>
  <c r="V844" i="7" s="1"/>
  <c r="K821" i="7"/>
  <c r="J821" i="7"/>
  <c r="H821" i="7"/>
  <c r="F821" i="7"/>
  <c r="J350" i="15" s="1"/>
  <c r="BE820" i="7"/>
  <c r="BD820" i="7"/>
  <c r="BC820" i="7"/>
  <c r="BB820" i="7"/>
  <c r="AG820" i="7"/>
  <c r="AF820" i="7"/>
  <c r="AE820" i="7"/>
  <c r="AD820" i="7"/>
  <c r="AC820" i="7"/>
  <c r="AB820" i="7"/>
  <c r="AA820" i="7"/>
  <c r="Z820" i="7"/>
  <c r="Y820" i="7"/>
  <c r="X820" i="7"/>
  <c r="W820" i="7"/>
  <c r="V818" i="7"/>
  <c r="V812" i="7"/>
  <c r="V811" i="7"/>
  <c r="V810" i="7"/>
  <c r="V809" i="7"/>
  <c r="V808" i="7"/>
  <c r="V807" i="7"/>
  <c r="V806" i="7"/>
  <c r="V805" i="7"/>
  <c r="V804" i="7"/>
  <c r="V803" i="7"/>
  <c r="W802" i="7"/>
  <c r="V802" i="7"/>
  <c r="X801" i="7"/>
  <c r="W801" i="7"/>
  <c r="V801" i="7"/>
  <c r="F801" i="7"/>
  <c r="V800" i="7"/>
  <c r="X799" i="7"/>
  <c r="W799" i="7"/>
  <c r="V799" i="7"/>
  <c r="F799" i="7"/>
  <c r="AG798" i="7"/>
  <c r="AF798" i="7"/>
  <c r="AE798" i="7"/>
  <c r="AD798" i="7"/>
  <c r="AC798" i="7"/>
  <c r="AB798" i="7"/>
  <c r="AA798" i="7"/>
  <c r="Z798" i="7"/>
  <c r="Y798" i="7"/>
  <c r="X798" i="7"/>
  <c r="W798" i="7"/>
  <c r="K793" i="7"/>
  <c r="J793" i="7"/>
  <c r="H793" i="7"/>
  <c r="K792" i="7"/>
  <c r="J792" i="7"/>
  <c r="H792" i="7"/>
  <c r="V791" i="7"/>
  <c r="V792" i="7" s="1"/>
  <c r="V793" i="7" s="1"/>
  <c r="K791" i="7"/>
  <c r="J791" i="7"/>
  <c r="H791" i="7"/>
  <c r="BE790" i="7"/>
  <c r="BD790" i="7"/>
  <c r="BC790" i="7"/>
  <c r="BB790" i="7"/>
  <c r="AG790" i="7"/>
  <c r="AF790" i="7"/>
  <c r="AE790" i="7"/>
  <c r="AD790" i="7"/>
  <c r="AC790" i="7"/>
  <c r="AB790" i="7"/>
  <c r="AA790" i="7"/>
  <c r="Z790" i="7"/>
  <c r="Y790" i="7"/>
  <c r="X790" i="7"/>
  <c r="W790" i="7"/>
  <c r="V788" i="7"/>
  <c r="V779" i="7"/>
  <c r="V778" i="7"/>
  <c r="V777" i="7"/>
  <c r="V776" i="7"/>
  <c r="V775" i="7"/>
  <c r="V774" i="7"/>
  <c r="V773" i="7"/>
  <c r="V772" i="7"/>
  <c r="V770" i="7"/>
  <c r="V769" i="7"/>
  <c r="V768" i="7"/>
  <c r="V766" i="7"/>
  <c r="V765" i="7"/>
  <c r="V764" i="7"/>
  <c r="V763" i="7"/>
  <c r="X762" i="7"/>
  <c r="X764" i="7" s="1"/>
  <c r="V762" i="7"/>
  <c r="AG760" i="7"/>
  <c r="AF760" i="7"/>
  <c r="AE760" i="7"/>
  <c r="AD760" i="7"/>
  <c r="AC760" i="7"/>
  <c r="AB760" i="7"/>
  <c r="AA760" i="7"/>
  <c r="Z760" i="7"/>
  <c r="Y760" i="7"/>
  <c r="X760" i="7"/>
  <c r="W760" i="7"/>
  <c r="BE751" i="7"/>
  <c r="K751" i="7"/>
  <c r="I751" i="7"/>
  <c r="H751" i="7"/>
  <c r="BE750" i="7"/>
  <c r="K750" i="7"/>
  <c r="I750" i="7"/>
  <c r="H750" i="7"/>
  <c r="BE749" i="7"/>
  <c r="K749" i="7"/>
  <c r="I749" i="7"/>
  <c r="H749" i="7"/>
  <c r="BE748" i="7"/>
  <c r="K748" i="7"/>
  <c r="I748" i="7"/>
  <c r="H748" i="7"/>
  <c r="V747" i="7"/>
  <c r="V748" i="7" s="1"/>
  <c r="V749" i="7" s="1"/>
  <c r="V750" i="7" s="1"/>
  <c r="V751" i="7" s="1"/>
  <c r="BE747" i="7"/>
  <c r="K747" i="7"/>
  <c r="I747" i="7"/>
  <c r="F747" i="7" s="1"/>
  <c r="H342" i="15" s="1"/>
  <c r="AM342" i="15" s="1"/>
  <c r="H747" i="7"/>
  <c r="BE746" i="7"/>
  <c r="BD746" i="7"/>
  <c r="BC746" i="7"/>
  <c r="BB746" i="7"/>
  <c r="AG746" i="7"/>
  <c r="AF746" i="7"/>
  <c r="AE746" i="7"/>
  <c r="AD746" i="7"/>
  <c r="AC746" i="7"/>
  <c r="AB746" i="7"/>
  <c r="AA746" i="7"/>
  <c r="Z746" i="7"/>
  <c r="Y746" i="7"/>
  <c r="X746" i="7"/>
  <c r="W746" i="7"/>
  <c r="V744" i="7"/>
  <c r="AG720" i="7"/>
  <c r="AF720" i="7"/>
  <c r="AE720" i="7"/>
  <c r="AD720" i="7"/>
  <c r="AC720" i="7"/>
  <c r="AB720" i="7"/>
  <c r="AA720" i="7"/>
  <c r="Z720" i="7"/>
  <c r="Y720" i="7"/>
  <c r="X720" i="7"/>
  <c r="W720" i="7"/>
  <c r="L711" i="7"/>
  <c r="K711" i="7"/>
  <c r="I711" i="7"/>
  <c r="F711" i="7" s="1"/>
  <c r="H341" i="15" s="1"/>
  <c r="AM341" i="15" s="1"/>
  <c r="H711" i="7"/>
  <c r="L710" i="7"/>
  <c r="K710" i="7"/>
  <c r="I710" i="7"/>
  <c r="F710" i="7" s="1"/>
  <c r="H340" i="15" s="1"/>
  <c r="AM340" i="15" s="1"/>
  <c r="H710" i="7"/>
  <c r="V709" i="7"/>
  <c r="V710" i="7" s="1"/>
  <c r="V711" i="7" s="1"/>
  <c r="L709" i="7"/>
  <c r="K709" i="7"/>
  <c r="I709" i="7"/>
  <c r="F709" i="7" s="1"/>
  <c r="H339" i="15" s="1"/>
  <c r="AM339" i="15" s="1"/>
  <c r="H709" i="7"/>
  <c r="BE708" i="7"/>
  <c r="BD708" i="7"/>
  <c r="BC708" i="7"/>
  <c r="BB708" i="7"/>
  <c r="AG708" i="7"/>
  <c r="AF708" i="7"/>
  <c r="AE708" i="7"/>
  <c r="AD708" i="7"/>
  <c r="AC708" i="7"/>
  <c r="AB708" i="7"/>
  <c r="AA708" i="7"/>
  <c r="Z708" i="7"/>
  <c r="Y708" i="7"/>
  <c r="X708" i="7"/>
  <c r="W708" i="7"/>
  <c r="V706" i="7"/>
  <c r="W677" i="7"/>
  <c r="AG673" i="7"/>
  <c r="AF673" i="7"/>
  <c r="AE673" i="7"/>
  <c r="AD673" i="7"/>
  <c r="AC673" i="7"/>
  <c r="AB673" i="7"/>
  <c r="AA673" i="7"/>
  <c r="Z673" i="7"/>
  <c r="Y673" i="7"/>
  <c r="X673" i="7"/>
  <c r="W673" i="7"/>
  <c r="V667" i="7"/>
  <c r="J667" i="7"/>
  <c r="BC667" i="7" s="1"/>
  <c r="BD667" i="7" s="1"/>
  <c r="AE338" i="15" s="1"/>
  <c r="H667" i="7"/>
  <c r="F667" i="7"/>
  <c r="K338" i="15" s="1"/>
  <c r="E667" i="7"/>
  <c r="V666" i="7"/>
  <c r="K666" i="7"/>
  <c r="J666" i="7"/>
  <c r="H666" i="7"/>
  <c r="F666" i="7"/>
  <c r="J338" i="15" s="1"/>
  <c r="E666" i="7"/>
  <c r="F338" i="15" s="1"/>
  <c r="BE665" i="7"/>
  <c r="V665" i="7"/>
  <c r="J665" i="7"/>
  <c r="BC665" i="7" s="1"/>
  <c r="H665" i="7"/>
  <c r="F665" i="7"/>
  <c r="K337" i="15" s="1"/>
  <c r="V664" i="7"/>
  <c r="K664" i="7"/>
  <c r="J664" i="7"/>
  <c r="H664" i="7"/>
  <c r="F664" i="7"/>
  <c r="J337" i="15" s="1"/>
  <c r="BE663" i="7"/>
  <c r="V663" i="7"/>
  <c r="J663" i="7"/>
  <c r="BC663" i="7" s="1"/>
  <c r="H663" i="7"/>
  <c r="F663" i="7"/>
  <c r="K336" i="15" s="1"/>
  <c r="V662" i="7"/>
  <c r="K662" i="7"/>
  <c r="J662" i="7"/>
  <c r="H662" i="7"/>
  <c r="F662" i="7"/>
  <c r="J336" i="15" s="1"/>
  <c r="V661" i="7"/>
  <c r="J661" i="7"/>
  <c r="BC661" i="7" s="1"/>
  <c r="H661" i="7"/>
  <c r="F661" i="7"/>
  <c r="K335" i="15" s="1"/>
  <c r="E661" i="7"/>
  <c r="V660" i="7"/>
  <c r="K660" i="7"/>
  <c r="J660" i="7"/>
  <c r="H660" i="7"/>
  <c r="F660" i="7"/>
  <c r="J335" i="15" s="1"/>
  <c r="E660" i="7"/>
  <c r="F335" i="15" s="1"/>
  <c r="BE659" i="7"/>
  <c r="V659" i="7"/>
  <c r="J659" i="7"/>
  <c r="BC659" i="7" s="1"/>
  <c r="H659" i="7"/>
  <c r="F659" i="7"/>
  <c r="K334" i="15" s="1"/>
  <c r="V658" i="7"/>
  <c r="K658" i="7"/>
  <c r="J658" i="7"/>
  <c r="H658" i="7"/>
  <c r="F658" i="7"/>
  <c r="J334" i="15" s="1"/>
  <c r="BE657" i="7"/>
  <c r="V657" i="7"/>
  <c r="J657" i="7"/>
  <c r="BC657" i="7" s="1"/>
  <c r="H657" i="7"/>
  <c r="F657" i="7"/>
  <c r="K333" i="15" s="1"/>
  <c r="V656" i="7"/>
  <c r="K656" i="7"/>
  <c r="J656" i="7"/>
  <c r="H656" i="7"/>
  <c r="F656" i="7"/>
  <c r="J333" i="15" s="1"/>
  <c r="V655" i="7"/>
  <c r="J655" i="7"/>
  <c r="BC655" i="7" s="1"/>
  <c r="H655" i="7"/>
  <c r="F655" i="7"/>
  <c r="K332" i="15" s="1"/>
  <c r="E655" i="7"/>
  <c r="V654" i="7"/>
  <c r="K654" i="7"/>
  <c r="J654" i="7"/>
  <c r="H654" i="7"/>
  <c r="F654" i="7"/>
  <c r="J332" i="15" s="1"/>
  <c r="E654" i="7"/>
  <c r="F332" i="15" s="1"/>
  <c r="BE653" i="7"/>
  <c r="V653" i="7"/>
  <c r="J653" i="7"/>
  <c r="BC653" i="7" s="1"/>
  <c r="H653" i="7"/>
  <c r="F653" i="7"/>
  <c r="K331" i="15" s="1"/>
  <c r="V652" i="7"/>
  <c r="K652" i="7"/>
  <c r="J652" i="7"/>
  <c r="H652" i="7"/>
  <c r="F652" i="7"/>
  <c r="J331" i="15" s="1"/>
  <c r="BE651" i="7"/>
  <c r="V651" i="7"/>
  <c r="J651" i="7"/>
  <c r="BC651" i="7" s="1"/>
  <c r="H651" i="7"/>
  <c r="F651" i="7"/>
  <c r="K330" i="15" s="1"/>
  <c r="V650" i="7"/>
  <c r="K650" i="7"/>
  <c r="J650" i="7"/>
  <c r="H650" i="7"/>
  <c r="F650" i="7"/>
  <c r="J330" i="15" s="1"/>
  <c r="BE649" i="7"/>
  <c r="V649" i="7"/>
  <c r="J649" i="7"/>
  <c r="BC649" i="7" s="1"/>
  <c r="H649" i="7"/>
  <c r="F649" i="7"/>
  <c r="K329" i="15" s="1"/>
  <c r="V648" i="7"/>
  <c r="K648" i="7"/>
  <c r="J648" i="7"/>
  <c r="H648" i="7"/>
  <c r="F648" i="7"/>
  <c r="J329" i="15" s="1"/>
  <c r="BE647" i="7"/>
  <c r="V647" i="7"/>
  <c r="J647" i="7"/>
  <c r="BC647" i="7" s="1"/>
  <c r="H647" i="7"/>
  <c r="F647" i="7"/>
  <c r="K328" i="15" s="1"/>
  <c r="V646" i="7"/>
  <c r="K646" i="7"/>
  <c r="J646" i="7"/>
  <c r="H646" i="7"/>
  <c r="F646" i="7"/>
  <c r="J328" i="15" s="1"/>
  <c r="BE645" i="7"/>
  <c r="BD645" i="7"/>
  <c r="BC645" i="7"/>
  <c r="BB645" i="7"/>
  <c r="AG645" i="7"/>
  <c r="AF645" i="7"/>
  <c r="AE645" i="7"/>
  <c r="AD645" i="7"/>
  <c r="AC645" i="7"/>
  <c r="AB645" i="7"/>
  <c r="AA645" i="7"/>
  <c r="Z645" i="7"/>
  <c r="Y645" i="7"/>
  <c r="X645" i="7"/>
  <c r="W645" i="7"/>
  <c r="V643" i="7"/>
  <c r="Y639" i="7"/>
  <c r="G639" i="7"/>
  <c r="O590" i="7" s="1"/>
  <c r="Y636" i="7"/>
  <c r="G636" i="7"/>
  <c r="O581" i="7" s="1"/>
  <c r="O632" i="7"/>
  <c r="O627" i="7" s="1"/>
  <c r="G638" i="7" s="1"/>
  <c r="F614" i="7"/>
  <c r="F613" i="7"/>
  <c r="F612" i="7"/>
  <c r="F611" i="7"/>
  <c r="F610" i="7"/>
  <c r="F609" i="7"/>
  <c r="AG599" i="7"/>
  <c r="AF599" i="7"/>
  <c r="AE599" i="7"/>
  <c r="AD599" i="7"/>
  <c r="AC599" i="7"/>
  <c r="AB599" i="7"/>
  <c r="AA599" i="7"/>
  <c r="Z599" i="7"/>
  <c r="Y599" i="7"/>
  <c r="X599" i="7"/>
  <c r="W599" i="7"/>
  <c r="V591" i="7"/>
  <c r="O591" i="7"/>
  <c r="BE591" i="7" s="1"/>
  <c r="N591" i="7"/>
  <c r="X327" i="15" s="1"/>
  <c r="L591" i="7"/>
  <c r="J591" i="7"/>
  <c r="I591" i="7"/>
  <c r="G591" i="7"/>
  <c r="V590" i="7"/>
  <c r="N590" i="7"/>
  <c r="L590" i="7"/>
  <c r="J590" i="7"/>
  <c r="I590" i="7"/>
  <c r="H590" i="7"/>
  <c r="V589" i="7"/>
  <c r="N589" i="7"/>
  <c r="L589" i="7"/>
  <c r="J589" i="7"/>
  <c r="I589" i="7"/>
  <c r="H589" i="7"/>
  <c r="V588" i="7"/>
  <c r="O588" i="7"/>
  <c r="BE588" i="7" s="1"/>
  <c r="N588" i="7"/>
  <c r="X325" i="15" s="1"/>
  <c r="K588" i="7"/>
  <c r="J588" i="7"/>
  <c r="I588" i="7"/>
  <c r="G588" i="7"/>
  <c r="V587" i="7"/>
  <c r="N587" i="7"/>
  <c r="K587" i="7"/>
  <c r="J587" i="7"/>
  <c r="I587" i="7"/>
  <c r="H587" i="7"/>
  <c r="V586" i="7"/>
  <c r="N586" i="7"/>
  <c r="K586" i="7"/>
  <c r="J586" i="7"/>
  <c r="I586" i="7"/>
  <c r="H586" i="7"/>
  <c r="V585" i="7"/>
  <c r="O585" i="7"/>
  <c r="BE585" i="7" s="1"/>
  <c r="N585" i="7"/>
  <c r="X323" i="15" s="1"/>
  <c r="L585" i="7"/>
  <c r="J585" i="7"/>
  <c r="I585" i="7"/>
  <c r="G585" i="7"/>
  <c r="V584" i="7"/>
  <c r="N584" i="7"/>
  <c r="L584" i="7"/>
  <c r="J584" i="7"/>
  <c r="I584" i="7"/>
  <c r="H584" i="7"/>
  <c r="V583" i="7"/>
  <c r="N583" i="7"/>
  <c r="L583" i="7"/>
  <c r="J583" i="7"/>
  <c r="I583" i="7"/>
  <c r="H583" i="7"/>
  <c r="V582" i="7"/>
  <c r="O582" i="7"/>
  <c r="BE582" i="7" s="1"/>
  <c r="N582" i="7"/>
  <c r="X321" i="15" s="1"/>
  <c r="K582" i="7"/>
  <c r="J582" i="7"/>
  <c r="I582" i="7"/>
  <c r="G582" i="7"/>
  <c r="C321" i="15" s="1"/>
  <c r="V581" i="7"/>
  <c r="N581" i="7"/>
  <c r="K581" i="7"/>
  <c r="J581" i="7"/>
  <c r="I581" i="7"/>
  <c r="H581" i="7"/>
  <c r="V580" i="7"/>
  <c r="N580" i="7"/>
  <c r="K580" i="7"/>
  <c r="J580" i="7"/>
  <c r="I580" i="7"/>
  <c r="H580" i="7"/>
  <c r="BE579" i="7"/>
  <c r="BD579" i="7"/>
  <c r="BC579" i="7"/>
  <c r="BB579" i="7"/>
  <c r="AG579" i="7"/>
  <c r="AF579" i="7"/>
  <c r="AE579" i="7"/>
  <c r="AD579" i="7"/>
  <c r="AC579" i="7"/>
  <c r="AB579" i="7"/>
  <c r="AA579" i="7"/>
  <c r="Z579" i="7"/>
  <c r="Y579" i="7"/>
  <c r="X579" i="7"/>
  <c r="W579" i="7"/>
  <c r="B577" i="7"/>
  <c r="G574" i="7"/>
  <c r="M545" i="7" s="1"/>
  <c r="V572" i="7"/>
  <c r="V571" i="7"/>
  <c r="V570" i="7"/>
  <c r="V569" i="7"/>
  <c r="V568" i="7"/>
  <c r="V562" i="7"/>
  <c r="W561" i="7"/>
  <c r="V561" i="7"/>
  <c r="V558" i="7"/>
  <c r="AG557" i="7"/>
  <c r="AF557" i="7"/>
  <c r="AE557" i="7"/>
  <c r="AD557" i="7"/>
  <c r="AC557" i="7"/>
  <c r="AB557" i="7"/>
  <c r="AA557" i="7"/>
  <c r="Z557" i="7"/>
  <c r="Y557" i="7"/>
  <c r="X557" i="7"/>
  <c r="W557" i="7"/>
  <c r="V546" i="7"/>
  <c r="L546" i="7"/>
  <c r="J546" i="7"/>
  <c r="I546" i="7"/>
  <c r="H546" i="7"/>
  <c r="V545" i="7"/>
  <c r="N545" i="7"/>
  <c r="L545" i="7"/>
  <c r="J545" i="7"/>
  <c r="I545" i="7"/>
  <c r="H545" i="7"/>
  <c r="V544" i="7"/>
  <c r="L544" i="7"/>
  <c r="J544" i="7"/>
  <c r="I544" i="7"/>
  <c r="H544" i="7"/>
  <c r="V543" i="7"/>
  <c r="N543" i="7"/>
  <c r="L543" i="7"/>
  <c r="J543" i="7"/>
  <c r="I543" i="7"/>
  <c r="H543" i="7"/>
  <c r="BE542" i="7"/>
  <c r="BD542" i="7"/>
  <c r="BC542" i="7"/>
  <c r="BB542" i="7"/>
  <c r="AG542" i="7"/>
  <c r="AF542" i="7"/>
  <c r="AE542" i="7"/>
  <c r="AD542" i="7"/>
  <c r="AC542" i="7"/>
  <c r="AB542" i="7"/>
  <c r="AA542" i="7"/>
  <c r="Z542" i="7"/>
  <c r="Y542" i="7"/>
  <c r="X542" i="7"/>
  <c r="W542" i="7"/>
  <c r="V540" i="7"/>
  <c r="Y537" i="7"/>
  <c r="G537" i="7"/>
  <c r="N504" i="7" s="1"/>
  <c r="V535" i="7"/>
  <c r="V534" i="7"/>
  <c r="V533" i="7"/>
  <c r="V532" i="7"/>
  <c r="V531" i="7"/>
  <c r="V530" i="7"/>
  <c r="V529" i="7"/>
  <c r="V528" i="7"/>
  <c r="V527" i="7"/>
  <c r="V526" i="7"/>
  <c r="V525" i="7"/>
  <c r="V524" i="7"/>
  <c r="V523" i="7"/>
  <c r="V522" i="7"/>
  <c r="V521" i="7"/>
  <c r="Y520" i="7"/>
  <c r="X520" i="7"/>
  <c r="V520" i="7"/>
  <c r="G520" i="7"/>
  <c r="I503" i="7" s="1"/>
  <c r="Y519" i="7"/>
  <c r="X519" i="7"/>
  <c r="W519" i="7"/>
  <c r="V519" i="7"/>
  <c r="G519" i="7"/>
  <c r="K504" i="7" s="1"/>
  <c r="J504" i="7" s="1"/>
  <c r="V518" i="7"/>
  <c r="V517" i="7"/>
  <c r="AG516" i="7"/>
  <c r="AF516" i="7"/>
  <c r="AE516" i="7"/>
  <c r="AD516" i="7"/>
  <c r="AC516" i="7"/>
  <c r="AB516" i="7"/>
  <c r="AA516" i="7"/>
  <c r="Z516" i="7"/>
  <c r="Y516" i="7"/>
  <c r="X516" i="7"/>
  <c r="W516" i="7"/>
  <c r="V504" i="7"/>
  <c r="M504" i="7"/>
  <c r="H504" i="7"/>
  <c r="V503" i="7"/>
  <c r="M503" i="7"/>
  <c r="H503" i="7"/>
  <c r="V502" i="7"/>
  <c r="M502" i="7"/>
  <c r="H502" i="7"/>
  <c r="BE501" i="7"/>
  <c r="BD501" i="7"/>
  <c r="BC501" i="7"/>
  <c r="BB501" i="7"/>
  <c r="AG501" i="7"/>
  <c r="AF501" i="7"/>
  <c r="AE501" i="7"/>
  <c r="AD501" i="7"/>
  <c r="AC501" i="7"/>
  <c r="AB501" i="7"/>
  <c r="AA501" i="7"/>
  <c r="Z501" i="7"/>
  <c r="Y501" i="7"/>
  <c r="X501" i="7"/>
  <c r="W501" i="7"/>
  <c r="V499" i="7"/>
  <c r="V495" i="7"/>
  <c r="AG484" i="7"/>
  <c r="AF484" i="7"/>
  <c r="AE484" i="7"/>
  <c r="AD484" i="7"/>
  <c r="AC484" i="7"/>
  <c r="AB484" i="7"/>
  <c r="AA484" i="7"/>
  <c r="Z484" i="7"/>
  <c r="Y484" i="7"/>
  <c r="X484" i="7"/>
  <c r="W484" i="7"/>
  <c r="L476" i="7"/>
  <c r="J476" i="7"/>
  <c r="I476" i="7"/>
  <c r="H476" i="7"/>
  <c r="E476" i="7"/>
  <c r="V475" i="7"/>
  <c r="V476" i="7" s="1"/>
  <c r="M475" i="7"/>
  <c r="L475" i="7"/>
  <c r="J475" i="7"/>
  <c r="I475" i="7"/>
  <c r="H475" i="7"/>
  <c r="BE474" i="7"/>
  <c r="BD474" i="7"/>
  <c r="BC474" i="7"/>
  <c r="BB474" i="7"/>
  <c r="AG474" i="7"/>
  <c r="AF474" i="7"/>
  <c r="AE474" i="7"/>
  <c r="AD474" i="7"/>
  <c r="AC474" i="7"/>
  <c r="AB474" i="7"/>
  <c r="AA474" i="7"/>
  <c r="Z474" i="7"/>
  <c r="Y474" i="7"/>
  <c r="X474" i="7"/>
  <c r="W474" i="7"/>
  <c r="V472" i="7"/>
  <c r="F469" i="7"/>
  <c r="M437" i="7" s="1"/>
  <c r="E469" i="7"/>
  <c r="E497" i="7" s="1"/>
  <c r="E537" i="7" s="1"/>
  <c r="E574" i="7" s="1"/>
  <c r="E700" i="7" s="1"/>
  <c r="E740" i="7" s="1"/>
  <c r="E782" i="7" s="1"/>
  <c r="E934" i="7" s="1"/>
  <c r="D469" i="7"/>
  <c r="E468" i="7"/>
  <c r="E496" i="7" s="1"/>
  <c r="E536" i="7" s="1"/>
  <c r="E573" i="7" s="1"/>
  <c r="E699" i="7" s="1"/>
  <c r="E739" i="7" s="1"/>
  <c r="E781" i="7" s="1"/>
  <c r="D468" i="7"/>
  <c r="V467" i="7"/>
  <c r="V466" i="7"/>
  <c r="E465" i="7"/>
  <c r="E464" i="7"/>
  <c r="V463" i="7"/>
  <c r="E463" i="7"/>
  <c r="E462" i="7"/>
  <c r="F461" i="7"/>
  <c r="E461" i="7"/>
  <c r="V460" i="7"/>
  <c r="E460" i="7"/>
  <c r="V459" i="7"/>
  <c r="E458" i="7"/>
  <c r="F457" i="7"/>
  <c r="I441" i="7" s="1"/>
  <c r="F441" i="7" s="1"/>
  <c r="E457" i="7"/>
  <c r="V456" i="7"/>
  <c r="E456" i="7"/>
  <c r="V455" i="7"/>
  <c r="W454" i="7"/>
  <c r="V454" i="7"/>
  <c r="V453" i="7"/>
  <c r="V451" i="7"/>
  <c r="AG450" i="7"/>
  <c r="AF450" i="7"/>
  <c r="AE450" i="7"/>
  <c r="AD450" i="7"/>
  <c r="AC450" i="7"/>
  <c r="AB450" i="7"/>
  <c r="AA450" i="7"/>
  <c r="Z450" i="7"/>
  <c r="Y450" i="7"/>
  <c r="X450" i="7"/>
  <c r="W450" i="7"/>
  <c r="V439" i="7"/>
  <c r="N439" i="7"/>
  <c r="M439" i="7"/>
  <c r="L439" i="7"/>
  <c r="J439" i="7"/>
  <c r="I439" i="7"/>
  <c r="H439" i="7"/>
  <c r="V438" i="7"/>
  <c r="N438" i="7"/>
  <c r="L438" i="7"/>
  <c r="J438" i="7"/>
  <c r="H438" i="7"/>
  <c r="V437" i="7"/>
  <c r="N437" i="7"/>
  <c r="L437" i="7"/>
  <c r="J437" i="7"/>
  <c r="H437" i="7"/>
  <c r="BE436" i="7"/>
  <c r="BD436" i="7"/>
  <c r="BC436" i="7"/>
  <c r="BB436" i="7"/>
  <c r="AG436" i="7"/>
  <c r="AF436" i="7"/>
  <c r="AE436" i="7"/>
  <c r="AD436" i="7"/>
  <c r="AC436" i="7"/>
  <c r="AB436" i="7"/>
  <c r="AA436" i="7"/>
  <c r="Z436" i="7"/>
  <c r="Y436" i="7"/>
  <c r="X436" i="7"/>
  <c r="W436" i="7"/>
  <c r="V434" i="7"/>
  <c r="F431" i="7"/>
  <c r="M145" i="7" s="1"/>
  <c r="F430" i="7"/>
  <c r="M144" i="7" s="1"/>
  <c r="F429" i="7"/>
  <c r="I428" i="7"/>
  <c r="F428" i="7"/>
  <c r="M142" i="7" s="1"/>
  <c r="I427" i="7"/>
  <c r="F427" i="7"/>
  <c r="M141" i="7" s="1"/>
  <c r="I426" i="7"/>
  <c r="F426" i="7"/>
  <c r="M140" i="7" s="1"/>
  <c r="F425" i="7"/>
  <c r="M139" i="7" s="1"/>
  <c r="F424" i="7"/>
  <c r="M138" i="7" s="1"/>
  <c r="F423" i="7"/>
  <c r="I422" i="7"/>
  <c r="F422" i="7"/>
  <c r="I421" i="7"/>
  <c r="F421" i="7"/>
  <c r="M135" i="7" s="1"/>
  <c r="I420" i="7"/>
  <c r="F420" i="7"/>
  <c r="M134" i="7" s="1"/>
  <c r="F419" i="7"/>
  <c r="F418" i="7"/>
  <c r="M132" i="7" s="1"/>
  <c r="F417" i="7"/>
  <c r="M131" i="7" s="1"/>
  <c r="I416" i="7"/>
  <c r="F416" i="7"/>
  <c r="M130" i="7" s="1"/>
  <c r="I415" i="7"/>
  <c r="F415" i="7"/>
  <c r="M129" i="7" s="1"/>
  <c r="I414" i="7"/>
  <c r="F414" i="7"/>
  <c r="M128" i="7" s="1"/>
  <c r="F413" i="7"/>
  <c r="M127" i="7" s="1"/>
  <c r="F412" i="7"/>
  <c r="M126" i="7" s="1"/>
  <c r="F411" i="7"/>
  <c r="M125" i="7" s="1"/>
  <c r="I410" i="7"/>
  <c r="F410" i="7"/>
  <c r="I409" i="7"/>
  <c r="F409" i="7"/>
  <c r="M123" i="7" s="1"/>
  <c r="I408" i="7"/>
  <c r="F408" i="7"/>
  <c r="F407" i="7"/>
  <c r="M121" i="7" s="1"/>
  <c r="F406" i="7"/>
  <c r="M120" i="7" s="1"/>
  <c r="F405" i="7"/>
  <c r="I404" i="7"/>
  <c r="F404" i="7"/>
  <c r="M118" i="7" s="1"/>
  <c r="I403" i="7"/>
  <c r="F403" i="7"/>
  <c r="M117" i="7" s="1"/>
  <c r="I402" i="7"/>
  <c r="F402" i="7"/>
  <c r="M116" i="7" s="1"/>
  <c r="V371" i="7"/>
  <c r="V341" i="7"/>
  <c r="V340" i="7"/>
  <c r="V339" i="7"/>
  <c r="V338" i="7"/>
  <c r="W337" i="7"/>
  <c r="F337" i="7"/>
  <c r="I145" i="7" s="1"/>
  <c r="W335" i="7"/>
  <c r="F335" i="7"/>
  <c r="I143" i="7" s="1"/>
  <c r="F334" i="7"/>
  <c r="I142" i="7" s="1"/>
  <c r="F332" i="7"/>
  <c r="I140" i="7" s="1"/>
  <c r="W331" i="7"/>
  <c r="F331" i="7"/>
  <c r="I139" i="7" s="1"/>
  <c r="W329" i="7"/>
  <c r="F329" i="7"/>
  <c r="I137" i="7" s="1"/>
  <c r="F328" i="7"/>
  <c r="I136" i="7" s="1"/>
  <c r="F326" i="7"/>
  <c r="I134" i="7" s="1"/>
  <c r="W325" i="7"/>
  <c r="F325" i="7"/>
  <c r="I133" i="7" s="1"/>
  <c r="W323" i="7"/>
  <c r="F323" i="7"/>
  <c r="F322" i="7"/>
  <c r="I130" i="7" s="1"/>
  <c r="F320" i="7"/>
  <c r="I128" i="7" s="1"/>
  <c r="W319" i="7"/>
  <c r="F319" i="7"/>
  <c r="I127" i="7" s="1"/>
  <c r="W317" i="7"/>
  <c r="F317" i="7"/>
  <c r="I125" i="7" s="1"/>
  <c r="F316" i="7"/>
  <c r="I124" i="7" s="1"/>
  <c r="F314" i="7"/>
  <c r="I122" i="7" s="1"/>
  <c r="W313" i="7"/>
  <c r="F313" i="7"/>
  <c r="I121" i="7" s="1"/>
  <c r="W311" i="7"/>
  <c r="F311" i="7"/>
  <c r="I119" i="7" s="1"/>
  <c r="F310" i="7"/>
  <c r="I118" i="7" s="1"/>
  <c r="V308" i="7"/>
  <c r="F308" i="7"/>
  <c r="I116" i="7" s="1"/>
  <c r="W306" i="7"/>
  <c r="W336" i="7" s="1"/>
  <c r="F306" i="7"/>
  <c r="F336" i="7" s="1"/>
  <c r="I144" i="7" s="1"/>
  <c r="W303" i="7"/>
  <c r="F303" i="7"/>
  <c r="F333" i="7" s="1"/>
  <c r="I141" i="7" s="1"/>
  <c r="W300" i="7"/>
  <c r="W330" i="7" s="1"/>
  <c r="F300" i="7"/>
  <c r="F330" i="7" s="1"/>
  <c r="W297" i="7"/>
  <c r="F297" i="7"/>
  <c r="F327" i="7" s="1"/>
  <c r="W294" i="7"/>
  <c r="W324" i="7" s="1"/>
  <c r="F294" i="7"/>
  <c r="F324" i="7" s="1"/>
  <c r="I132" i="7" s="1"/>
  <c r="W291" i="7"/>
  <c r="F291" i="7"/>
  <c r="W288" i="7"/>
  <c r="W318" i="7" s="1"/>
  <c r="F288" i="7"/>
  <c r="F318" i="7" s="1"/>
  <c r="W285" i="7"/>
  <c r="F285" i="7"/>
  <c r="F315" i="7" s="1"/>
  <c r="W282" i="7"/>
  <c r="W312" i="7" s="1"/>
  <c r="F282" i="7"/>
  <c r="F312" i="7" s="1"/>
  <c r="I120" i="7" s="1"/>
  <c r="W279" i="7"/>
  <c r="F279" i="7"/>
  <c r="F309" i="7" s="1"/>
  <c r="I117" i="7" s="1"/>
  <c r="V278" i="7"/>
  <c r="V277" i="7"/>
  <c r="V276" i="7"/>
  <c r="V275" i="7"/>
  <c r="W271" i="7"/>
  <c r="W334" i="7" s="1"/>
  <c r="W270" i="7"/>
  <c r="W269" i="7"/>
  <c r="W332" i="7" s="1"/>
  <c r="W265" i="7"/>
  <c r="W328" i="7" s="1"/>
  <c r="W264" i="7"/>
  <c r="W263" i="7"/>
  <c r="W326" i="7" s="1"/>
  <c r="W259" i="7"/>
  <c r="W322" i="7" s="1"/>
  <c r="W258" i="7"/>
  <c r="W321" i="7" s="1"/>
  <c r="W257" i="7"/>
  <c r="W320" i="7" s="1"/>
  <c r="W253" i="7"/>
  <c r="W316" i="7" s="1"/>
  <c r="W252" i="7"/>
  <c r="W315" i="7" s="1"/>
  <c r="W251" i="7"/>
  <c r="W314" i="7" s="1"/>
  <c r="W247" i="7"/>
  <c r="W310" i="7" s="1"/>
  <c r="W246" i="7"/>
  <c r="W245" i="7"/>
  <c r="W308" i="7" s="1"/>
  <c r="V245" i="7"/>
  <c r="V215" i="7"/>
  <c r="V185" i="7"/>
  <c r="V155" i="7"/>
  <c r="AG154" i="7"/>
  <c r="AF154" i="7"/>
  <c r="AE154" i="7"/>
  <c r="AD154" i="7"/>
  <c r="AC154" i="7"/>
  <c r="AB154" i="7"/>
  <c r="AA154" i="7"/>
  <c r="Z154" i="7"/>
  <c r="Y154" i="7"/>
  <c r="X154" i="7"/>
  <c r="W154" i="7"/>
  <c r="V145" i="7"/>
  <c r="N145" i="7"/>
  <c r="L145" i="7"/>
  <c r="J145" i="7"/>
  <c r="H145" i="7"/>
  <c r="V144" i="7"/>
  <c r="N144" i="7"/>
  <c r="L144" i="7"/>
  <c r="J144" i="7"/>
  <c r="H144" i="7"/>
  <c r="V143" i="7"/>
  <c r="N143" i="7"/>
  <c r="M143" i="7"/>
  <c r="L143" i="7"/>
  <c r="J143" i="7"/>
  <c r="H143" i="7"/>
  <c r="V142" i="7"/>
  <c r="N142" i="7"/>
  <c r="L142" i="7"/>
  <c r="J142" i="7"/>
  <c r="F142" i="7" s="1"/>
  <c r="H301" i="15" s="1"/>
  <c r="AM301" i="15" s="1"/>
  <c r="H142" i="7"/>
  <c r="V141" i="7"/>
  <c r="N141" i="7"/>
  <c r="L141" i="7"/>
  <c r="J141" i="7"/>
  <c r="H141" i="7"/>
  <c r="V140" i="7"/>
  <c r="N140" i="7"/>
  <c r="L140" i="7"/>
  <c r="J140" i="7"/>
  <c r="H140" i="7"/>
  <c r="V139" i="7"/>
  <c r="N139" i="7"/>
  <c r="L139" i="7"/>
  <c r="J139" i="7"/>
  <c r="H139" i="7"/>
  <c r="V138" i="7"/>
  <c r="N138" i="7"/>
  <c r="L138" i="7"/>
  <c r="J138" i="7"/>
  <c r="H138" i="7"/>
  <c r="V137" i="7"/>
  <c r="N137" i="7"/>
  <c r="M137" i="7"/>
  <c r="L137" i="7"/>
  <c r="J137" i="7"/>
  <c r="H137" i="7"/>
  <c r="V136" i="7"/>
  <c r="N136" i="7"/>
  <c r="M136" i="7"/>
  <c r="L136" i="7"/>
  <c r="J136" i="7"/>
  <c r="H136" i="7"/>
  <c r="V135" i="7"/>
  <c r="N135" i="7"/>
  <c r="L135" i="7"/>
  <c r="J135" i="7"/>
  <c r="H135" i="7"/>
  <c r="V134" i="7"/>
  <c r="N134" i="7"/>
  <c r="L134" i="7"/>
  <c r="J134" i="7"/>
  <c r="H134" i="7"/>
  <c r="V133" i="7"/>
  <c r="N133" i="7"/>
  <c r="M133" i="7"/>
  <c r="L133" i="7"/>
  <c r="J133" i="7"/>
  <c r="H133" i="7"/>
  <c r="V132" i="7"/>
  <c r="N132" i="7"/>
  <c r="L132" i="7"/>
  <c r="J132" i="7"/>
  <c r="H132" i="7"/>
  <c r="V131" i="7"/>
  <c r="N131" i="7"/>
  <c r="L131" i="7"/>
  <c r="J131" i="7"/>
  <c r="I131" i="7"/>
  <c r="H131" i="7"/>
  <c r="V130" i="7"/>
  <c r="N130" i="7"/>
  <c r="L130" i="7"/>
  <c r="J130" i="7"/>
  <c r="H130" i="7"/>
  <c r="V129" i="7"/>
  <c r="N129" i="7"/>
  <c r="L129" i="7"/>
  <c r="J129" i="7"/>
  <c r="H129" i="7"/>
  <c r="V128" i="7"/>
  <c r="N128" i="7"/>
  <c r="L128" i="7"/>
  <c r="J128" i="7"/>
  <c r="H128" i="7"/>
  <c r="V127" i="7"/>
  <c r="N127" i="7"/>
  <c r="L127" i="7"/>
  <c r="J127" i="7"/>
  <c r="H127" i="7"/>
  <c r="V126" i="7"/>
  <c r="N126" i="7"/>
  <c r="L126" i="7"/>
  <c r="J126" i="7"/>
  <c r="H126" i="7"/>
  <c r="V125" i="7"/>
  <c r="N125" i="7"/>
  <c r="L125" i="7"/>
  <c r="J125" i="7"/>
  <c r="H125" i="7"/>
  <c r="V124" i="7"/>
  <c r="N124" i="7"/>
  <c r="M124" i="7"/>
  <c r="L124" i="7"/>
  <c r="J124" i="7"/>
  <c r="H124" i="7"/>
  <c r="V123" i="7"/>
  <c r="N123" i="7"/>
  <c r="L123" i="7"/>
  <c r="J123" i="7"/>
  <c r="H123" i="7"/>
  <c r="V122" i="7"/>
  <c r="N122" i="7"/>
  <c r="M122" i="7"/>
  <c r="L122" i="7"/>
  <c r="J122" i="7"/>
  <c r="H122" i="7"/>
  <c r="V121" i="7"/>
  <c r="N121" i="7"/>
  <c r="L121" i="7"/>
  <c r="J121" i="7"/>
  <c r="H121" i="7"/>
  <c r="V120" i="7"/>
  <c r="N120" i="7"/>
  <c r="L120" i="7"/>
  <c r="J120" i="7"/>
  <c r="H120" i="7"/>
  <c r="V119" i="7"/>
  <c r="N119" i="7"/>
  <c r="M119" i="7"/>
  <c r="L119" i="7"/>
  <c r="J119" i="7"/>
  <c r="H119" i="7"/>
  <c r="V118" i="7"/>
  <c r="N118" i="7"/>
  <c r="L118" i="7"/>
  <c r="J118" i="7"/>
  <c r="H118" i="7"/>
  <c r="V117" i="7"/>
  <c r="N117" i="7"/>
  <c r="L117" i="7"/>
  <c r="J117" i="7"/>
  <c r="H117" i="7"/>
  <c r="V116" i="7"/>
  <c r="N116" i="7"/>
  <c r="L116" i="7"/>
  <c r="J116" i="7"/>
  <c r="H116" i="7"/>
  <c r="BE115" i="7"/>
  <c r="BD115" i="7"/>
  <c r="BC115" i="7"/>
  <c r="BB115" i="7"/>
  <c r="AG115" i="7"/>
  <c r="AF115" i="7"/>
  <c r="AE115" i="7"/>
  <c r="AD115" i="7"/>
  <c r="AC115" i="7"/>
  <c r="AB115" i="7"/>
  <c r="AA115" i="7"/>
  <c r="Z115" i="7"/>
  <c r="Y115" i="7"/>
  <c r="X115" i="7"/>
  <c r="W115" i="7"/>
  <c r="V113" i="7"/>
  <c r="F110" i="7"/>
  <c r="F109" i="7"/>
  <c r="F108" i="7"/>
  <c r="F107" i="7"/>
  <c r="F106" i="7"/>
  <c r="F105" i="7"/>
  <c r="F104" i="7"/>
  <c r="F103" i="7"/>
  <c r="D103" i="7"/>
  <c r="D102" i="7"/>
  <c r="V102" i="7" s="1"/>
  <c r="V101" i="7"/>
  <c r="V100" i="7"/>
  <c r="F90" i="7"/>
  <c r="F91" i="7" s="1"/>
  <c r="J59" i="7" s="1"/>
  <c r="F87" i="7"/>
  <c r="J55" i="7" s="1"/>
  <c r="V84" i="7"/>
  <c r="W81" i="7"/>
  <c r="W520" i="7" s="1"/>
  <c r="W77" i="7"/>
  <c r="W76" i="7"/>
  <c r="V76" i="7"/>
  <c r="E75" i="7"/>
  <c r="E83" i="7" s="1"/>
  <c r="E91" i="7" s="1"/>
  <c r="E99" i="7" s="1"/>
  <c r="E74" i="7"/>
  <c r="E82" i="7" s="1"/>
  <c r="E90" i="7" s="1"/>
  <c r="E73" i="7"/>
  <c r="E81" i="7" s="1"/>
  <c r="E89" i="7" s="1"/>
  <c r="E97" i="7" s="1"/>
  <c r="E72" i="7"/>
  <c r="E80" i="7" s="1"/>
  <c r="E88" i="7" s="1"/>
  <c r="E107" i="7" s="1"/>
  <c r="E71" i="7"/>
  <c r="E79" i="7" s="1"/>
  <c r="E87" i="7" s="1"/>
  <c r="E70" i="7"/>
  <c r="E78" i="7" s="1"/>
  <c r="E86" i="7" s="1"/>
  <c r="E105" i="7" s="1"/>
  <c r="E69" i="7"/>
  <c r="E77" i="7" s="1"/>
  <c r="E85" i="7" s="1"/>
  <c r="E93" i="7" s="1"/>
  <c r="V68" i="7"/>
  <c r="E68" i="7"/>
  <c r="E76" i="7" s="1"/>
  <c r="E84" i="7" s="1"/>
  <c r="AG67" i="7"/>
  <c r="AF67" i="7"/>
  <c r="AE67" i="7"/>
  <c r="AD67" i="7"/>
  <c r="AC67" i="7"/>
  <c r="AB67" i="7"/>
  <c r="AA67" i="7"/>
  <c r="Z67" i="7"/>
  <c r="Y67" i="7"/>
  <c r="X67" i="7"/>
  <c r="W67" i="7"/>
  <c r="N59" i="7"/>
  <c r="M59" i="7"/>
  <c r="AA274" i="15" s="1"/>
  <c r="L59" i="7"/>
  <c r="W274" i="15" s="1"/>
  <c r="Y274" i="15" s="1"/>
  <c r="I59" i="7"/>
  <c r="H59" i="7"/>
  <c r="N58" i="7"/>
  <c r="M58" i="7"/>
  <c r="AA273" i="15" s="1"/>
  <c r="L58" i="7"/>
  <c r="W273" i="15" s="1"/>
  <c r="Y273" i="15" s="1"/>
  <c r="I58" i="7"/>
  <c r="H58" i="7"/>
  <c r="V57" i="7"/>
  <c r="N57" i="7"/>
  <c r="M57" i="7"/>
  <c r="L57" i="7"/>
  <c r="J57" i="7"/>
  <c r="I57" i="7"/>
  <c r="H57" i="7"/>
  <c r="V56" i="7"/>
  <c r="N56" i="7"/>
  <c r="M56" i="7"/>
  <c r="L56" i="7"/>
  <c r="J56" i="7"/>
  <c r="I56" i="7"/>
  <c r="H56" i="7"/>
  <c r="N55" i="7"/>
  <c r="M55" i="7"/>
  <c r="L55" i="7"/>
  <c r="I55" i="7"/>
  <c r="H55" i="7"/>
  <c r="V54" i="7"/>
  <c r="N54" i="7"/>
  <c r="M54" i="7"/>
  <c r="L54" i="7"/>
  <c r="J54" i="7"/>
  <c r="I54" i="7"/>
  <c r="H54" i="7"/>
  <c r="V53" i="7"/>
  <c r="N53" i="7"/>
  <c r="M53" i="7"/>
  <c r="L53" i="7"/>
  <c r="J53" i="7"/>
  <c r="I53" i="7"/>
  <c r="H53" i="7"/>
  <c r="V52" i="7"/>
  <c r="N52" i="7"/>
  <c r="M52" i="7"/>
  <c r="L52" i="7"/>
  <c r="J52" i="7"/>
  <c r="I52" i="7"/>
  <c r="H52" i="7"/>
  <c r="BE51" i="7"/>
  <c r="BD51" i="7"/>
  <c r="BC51" i="7"/>
  <c r="BB51" i="7"/>
  <c r="AG51" i="7"/>
  <c r="AF51" i="7"/>
  <c r="AE51" i="7"/>
  <c r="AD51" i="7"/>
  <c r="AC51" i="7"/>
  <c r="AB51" i="7"/>
  <c r="AA51" i="7"/>
  <c r="Z51" i="7"/>
  <c r="Y51" i="7"/>
  <c r="X51" i="7"/>
  <c r="W51" i="7"/>
  <c r="V49" i="7"/>
  <c r="F46" i="7"/>
  <c r="F45" i="7"/>
  <c r="F44" i="7"/>
  <c r="F43" i="7"/>
  <c r="F42" i="7"/>
  <c r="F41" i="7"/>
  <c r="F40" i="7"/>
  <c r="F39" i="7"/>
  <c r="D39" i="7"/>
  <c r="V39" i="7" s="1"/>
  <c r="D38" i="7"/>
  <c r="D401" i="7" s="1"/>
  <c r="V401" i="7" s="1"/>
  <c r="V37" i="7"/>
  <c r="Y36" i="7"/>
  <c r="X36" i="7"/>
  <c r="G36" i="7"/>
  <c r="F16" i="7" s="1"/>
  <c r="Y35" i="7"/>
  <c r="X35" i="7"/>
  <c r="G35" i="7"/>
  <c r="Y34" i="7"/>
  <c r="X34" i="7"/>
  <c r="G34" i="7"/>
  <c r="F11" i="7" s="1"/>
  <c r="J259" i="15" s="1"/>
  <c r="H259" i="15" s="1"/>
  <c r="AM259" i="15" s="1"/>
  <c r="Y33" i="7"/>
  <c r="X33" i="7"/>
  <c r="V33" i="7"/>
  <c r="G33" i="7"/>
  <c r="F7" i="7" s="1"/>
  <c r="J255" i="15" s="1"/>
  <c r="H255" i="15" s="1"/>
  <c r="AM255" i="15" s="1"/>
  <c r="V29" i="7"/>
  <c r="V27" i="7"/>
  <c r="V25" i="7"/>
  <c r="AG24" i="7"/>
  <c r="AF24" i="7"/>
  <c r="AE24" i="7"/>
  <c r="AD24" i="7"/>
  <c r="AC24" i="7"/>
  <c r="AB24" i="7"/>
  <c r="AA24" i="7"/>
  <c r="Z24" i="7"/>
  <c r="Y24" i="7"/>
  <c r="X24" i="7"/>
  <c r="W24" i="7"/>
  <c r="BE18" i="7"/>
  <c r="J18" i="7"/>
  <c r="H18" i="7"/>
  <c r="E18" i="7"/>
  <c r="F266" i="15" s="1"/>
  <c r="K17" i="7"/>
  <c r="J17" i="7"/>
  <c r="H17" i="7"/>
  <c r="K16" i="7"/>
  <c r="J16" i="7"/>
  <c r="H16" i="7"/>
  <c r="BE15" i="7"/>
  <c r="J15" i="7"/>
  <c r="H15" i="7"/>
  <c r="E15" i="7"/>
  <c r="F263" i="15" s="1"/>
  <c r="K14" i="7"/>
  <c r="J14" i="7"/>
  <c r="H14" i="7"/>
  <c r="K13" i="7"/>
  <c r="J13" i="7"/>
  <c r="H13" i="7"/>
  <c r="BE12" i="7"/>
  <c r="J12" i="7"/>
  <c r="H12" i="7"/>
  <c r="E12" i="7"/>
  <c r="F260" i="15" s="1"/>
  <c r="K11" i="7"/>
  <c r="J11" i="7"/>
  <c r="H11" i="7"/>
  <c r="K10" i="7"/>
  <c r="J10" i="7"/>
  <c r="H10" i="7"/>
  <c r="BE9" i="7"/>
  <c r="J9" i="7"/>
  <c r="H9" i="7"/>
  <c r="E9" i="7"/>
  <c r="F257" i="15" s="1"/>
  <c r="K8" i="7"/>
  <c r="J8" i="7"/>
  <c r="H8" i="7"/>
  <c r="V7" i="7"/>
  <c r="V8" i="7" s="1"/>
  <c r="V10" i="7" s="1"/>
  <c r="V11" i="7" s="1"/>
  <c r="V13" i="7" s="1"/>
  <c r="V14" i="7" s="1"/>
  <c r="V16" i="7" s="1"/>
  <c r="V17" i="7" s="1"/>
  <c r="K7" i="7"/>
  <c r="J7" i="7"/>
  <c r="H7" i="7"/>
  <c r="V4" i="7"/>
  <c r="M3155" i="6"/>
  <c r="L3155" i="6"/>
  <c r="J3155" i="6"/>
  <c r="F3155" i="6"/>
  <c r="J3154" i="6"/>
  <c r="F3154" i="6"/>
  <c r="M3153" i="6"/>
  <c r="L3153" i="6"/>
  <c r="J3153" i="6"/>
  <c r="F3153" i="6"/>
  <c r="J3152" i="6"/>
  <c r="F3152" i="6"/>
  <c r="M3151" i="6"/>
  <c r="L3151" i="6"/>
  <c r="J3151" i="6"/>
  <c r="F3151" i="6"/>
  <c r="J3150" i="6"/>
  <c r="F3150" i="6"/>
  <c r="M3149" i="6"/>
  <c r="L3149" i="6"/>
  <c r="J3149" i="6"/>
  <c r="F3149" i="6"/>
  <c r="J3148" i="6"/>
  <c r="F3148" i="6"/>
  <c r="M3147" i="6"/>
  <c r="L3147" i="6"/>
  <c r="J3147" i="6"/>
  <c r="F3147" i="6"/>
  <c r="X3146" i="6"/>
  <c r="K3146" i="6"/>
  <c r="J3146" i="6"/>
  <c r="F3146" i="6"/>
  <c r="M3145" i="6"/>
  <c r="L3145" i="6"/>
  <c r="J3145" i="6"/>
  <c r="F3145" i="6"/>
  <c r="M3144" i="6"/>
  <c r="L3144" i="6"/>
  <c r="J3144" i="6"/>
  <c r="F3144" i="6"/>
  <c r="M3143" i="6"/>
  <c r="L3143" i="6"/>
  <c r="J3143" i="6"/>
  <c r="F3143" i="6"/>
  <c r="J3142" i="6"/>
  <c r="F3142" i="6"/>
  <c r="M3141" i="6"/>
  <c r="L3141" i="6"/>
  <c r="J3141" i="6"/>
  <c r="F3141" i="6"/>
  <c r="J3140" i="6"/>
  <c r="F3140" i="6"/>
  <c r="M3139" i="6"/>
  <c r="L3139" i="6"/>
  <c r="J3139" i="6"/>
  <c r="F3139" i="6"/>
  <c r="J3138" i="6"/>
  <c r="F3138" i="6"/>
  <c r="M3137" i="6"/>
  <c r="L3137" i="6"/>
  <c r="J3137" i="6"/>
  <c r="F3137" i="6"/>
  <c r="M3136" i="6"/>
  <c r="L3136" i="6"/>
  <c r="J3136" i="6"/>
  <c r="F3136" i="6"/>
  <c r="M3135" i="6"/>
  <c r="L3135" i="6"/>
  <c r="J3135" i="6"/>
  <c r="F3135" i="6"/>
  <c r="J3134" i="6"/>
  <c r="F3134" i="6"/>
  <c r="M3133" i="6"/>
  <c r="L3133" i="6"/>
  <c r="J3133" i="6"/>
  <c r="F3133" i="6"/>
  <c r="M3132" i="6"/>
  <c r="L3132" i="6"/>
  <c r="J3132" i="6"/>
  <c r="F3132" i="6"/>
  <c r="M3131" i="6"/>
  <c r="L3131" i="6"/>
  <c r="J3131" i="6"/>
  <c r="F3131" i="6"/>
  <c r="J3130" i="6"/>
  <c r="F3130" i="6"/>
  <c r="M3129" i="6"/>
  <c r="L3129" i="6"/>
  <c r="J3129" i="6"/>
  <c r="F3129" i="6"/>
  <c r="M3128" i="6"/>
  <c r="L3128" i="6"/>
  <c r="J3128" i="6"/>
  <c r="F3128" i="6"/>
  <c r="M3127" i="6"/>
  <c r="L3127" i="6"/>
  <c r="J3127" i="6"/>
  <c r="F3127" i="6"/>
  <c r="J3126" i="6"/>
  <c r="F3126" i="6"/>
  <c r="M3125" i="6"/>
  <c r="L3125" i="6"/>
  <c r="J3125" i="6"/>
  <c r="F3125" i="6"/>
  <c r="J3124" i="6"/>
  <c r="F3124" i="6"/>
  <c r="M3123" i="6"/>
  <c r="L3123" i="6"/>
  <c r="J3123" i="6"/>
  <c r="F3123" i="6"/>
  <c r="M3122" i="6"/>
  <c r="L3122" i="6"/>
  <c r="J3122" i="6"/>
  <c r="F3122" i="6"/>
  <c r="M3121" i="6"/>
  <c r="L3121" i="6"/>
  <c r="J3121" i="6"/>
  <c r="F3121" i="6"/>
  <c r="J3120" i="6"/>
  <c r="F3120" i="6"/>
  <c r="M3119" i="6"/>
  <c r="L3119" i="6"/>
  <c r="J3119" i="6"/>
  <c r="F3119" i="6"/>
  <c r="M3118" i="6"/>
  <c r="L3118" i="6"/>
  <c r="J3118" i="6"/>
  <c r="F3118" i="6"/>
  <c r="M3117" i="6"/>
  <c r="L3117" i="6"/>
  <c r="J3117" i="6"/>
  <c r="F3117" i="6"/>
  <c r="J3116" i="6"/>
  <c r="F3116" i="6"/>
  <c r="M3115" i="6"/>
  <c r="L3115" i="6"/>
  <c r="J3115" i="6"/>
  <c r="F3115" i="6"/>
  <c r="M3114" i="6"/>
  <c r="L3114" i="6"/>
  <c r="J3114" i="6"/>
  <c r="F3114" i="6"/>
  <c r="M3113" i="6"/>
  <c r="L3113" i="6"/>
  <c r="J3113" i="6"/>
  <c r="F3113" i="6"/>
  <c r="J3112" i="6"/>
  <c r="F3112" i="6"/>
  <c r="M3111" i="6"/>
  <c r="L3111" i="6"/>
  <c r="J3111" i="6"/>
  <c r="F3111" i="6"/>
  <c r="M3110" i="6"/>
  <c r="L3110" i="6"/>
  <c r="J3110" i="6"/>
  <c r="F3110" i="6"/>
  <c r="M3109" i="6"/>
  <c r="L3109" i="6"/>
  <c r="J3109" i="6"/>
  <c r="F3109" i="6"/>
  <c r="J3108" i="6"/>
  <c r="F3108" i="6"/>
  <c r="M3107" i="6"/>
  <c r="L3107" i="6"/>
  <c r="J3107" i="6"/>
  <c r="F3107" i="6"/>
  <c r="M3106" i="6"/>
  <c r="L3106" i="6"/>
  <c r="J3106" i="6"/>
  <c r="F3106" i="6"/>
  <c r="M3105" i="6"/>
  <c r="L3105" i="6"/>
  <c r="J3105" i="6"/>
  <c r="F3105" i="6"/>
  <c r="J3104" i="6"/>
  <c r="F3104" i="6"/>
  <c r="M3103" i="6"/>
  <c r="L3103" i="6"/>
  <c r="J3103" i="6"/>
  <c r="F3103" i="6"/>
  <c r="M3102" i="6"/>
  <c r="L3102" i="6"/>
  <c r="J3102" i="6"/>
  <c r="F3102" i="6"/>
  <c r="M3101" i="6"/>
  <c r="L3101" i="6"/>
  <c r="J3101" i="6"/>
  <c r="F3101" i="6"/>
  <c r="J3100" i="6"/>
  <c r="F3100" i="6"/>
  <c r="M3099" i="6"/>
  <c r="L3099" i="6"/>
  <c r="J3099" i="6"/>
  <c r="F3099" i="6"/>
  <c r="M3098" i="6"/>
  <c r="L3098" i="6"/>
  <c r="J3098" i="6"/>
  <c r="F3098" i="6"/>
  <c r="M3097" i="6"/>
  <c r="L3097" i="6"/>
  <c r="J3097" i="6"/>
  <c r="F3097" i="6"/>
  <c r="J3096" i="6"/>
  <c r="F3096" i="6"/>
  <c r="M3095" i="6"/>
  <c r="L3095" i="6"/>
  <c r="J3095" i="6"/>
  <c r="F3095" i="6"/>
  <c r="M3094" i="6"/>
  <c r="L3094" i="6"/>
  <c r="J3094" i="6"/>
  <c r="F3094" i="6"/>
  <c r="M3093" i="6"/>
  <c r="L3093" i="6"/>
  <c r="J3093" i="6"/>
  <c r="F3093" i="6"/>
  <c r="J3092" i="6"/>
  <c r="F3092" i="6"/>
  <c r="M3091" i="6"/>
  <c r="L3091" i="6"/>
  <c r="J3091" i="6"/>
  <c r="F3091" i="6"/>
  <c r="M3090" i="6"/>
  <c r="L3090" i="6"/>
  <c r="J3090" i="6"/>
  <c r="F3090" i="6"/>
  <c r="M3089" i="6"/>
  <c r="L3089" i="6"/>
  <c r="J3089" i="6"/>
  <c r="F3089" i="6"/>
  <c r="J3088" i="6"/>
  <c r="F3088" i="6"/>
  <c r="M3087" i="6"/>
  <c r="L3087" i="6"/>
  <c r="J3087" i="6"/>
  <c r="F3087" i="6"/>
  <c r="M3086" i="6"/>
  <c r="L3086" i="6"/>
  <c r="J3086" i="6"/>
  <c r="F3086" i="6"/>
  <c r="M3085" i="6"/>
  <c r="L3085" i="6"/>
  <c r="J3085" i="6"/>
  <c r="F3085" i="6"/>
  <c r="J3084" i="6"/>
  <c r="F3084" i="6"/>
  <c r="M3083" i="6"/>
  <c r="L3083" i="6"/>
  <c r="J3083" i="6"/>
  <c r="F3083" i="6"/>
  <c r="J3082" i="6"/>
  <c r="F3082" i="6"/>
  <c r="M3081" i="6"/>
  <c r="L3081" i="6"/>
  <c r="J3081" i="6"/>
  <c r="F3081" i="6"/>
  <c r="M3080" i="6"/>
  <c r="L3080" i="6"/>
  <c r="J3080" i="6"/>
  <c r="F3080" i="6"/>
  <c r="M3079" i="6"/>
  <c r="L3079" i="6"/>
  <c r="J3079" i="6"/>
  <c r="F3079" i="6"/>
  <c r="J3078" i="6"/>
  <c r="F3078" i="6"/>
  <c r="M3077" i="6"/>
  <c r="L3077" i="6"/>
  <c r="J3077" i="6"/>
  <c r="F3077" i="6"/>
  <c r="J3076" i="6"/>
  <c r="F3076" i="6"/>
  <c r="M3075" i="6"/>
  <c r="L3075" i="6"/>
  <c r="J3075" i="6"/>
  <c r="F3075" i="6"/>
  <c r="M3074" i="6"/>
  <c r="L3074" i="6"/>
  <c r="J3074" i="6"/>
  <c r="F3074" i="6"/>
  <c r="M3073" i="6"/>
  <c r="L3073" i="6"/>
  <c r="J3073" i="6"/>
  <c r="F3073" i="6"/>
  <c r="J3072" i="6"/>
  <c r="F3072" i="6"/>
  <c r="M3071" i="6"/>
  <c r="L3071" i="6"/>
  <c r="J3071" i="6"/>
  <c r="F3071" i="6"/>
  <c r="X3070" i="6"/>
  <c r="K3070" i="6"/>
  <c r="K1510" i="6" s="1"/>
  <c r="J3070" i="6"/>
  <c r="F3070" i="6"/>
  <c r="M3069" i="6"/>
  <c r="L3069" i="6"/>
  <c r="J3069" i="6"/>
  <c r="F3069" i="6"/>
  <c r="M3068" i="6"/>
  <c r="L3068" i="6"/>
  <c r="J3068" i="6"/>
  <c r="F3068" i="6"/>
  <c r="M3067" i="6"/>
  <c r="L3067" i="6"/>
  <c r="J3067" i="6"/>
  <c r="F3067" i="6"/>
  <c r="J3066" i="6"/>
  <c r="F3066" i="6"/>
  <c r="M3065" i="6"/>
  <c r="L3065" i="6"/>
  <c r="J3065" i="6"/>
  <c r="F3065" i="6"/>
  <c r="J3064" i="6"/>
  <c r="F3064" i="6"/>
  <c r="M3063" i="6"/>
  <c r="L3063" i="6"/>
  <c r="J3063" i="6"/>
  <c r="F3063" i="6"/>
  <c r="J3062" i="6"/>
  <c r="F3062" i="6"/>
  <c r="M3061" i="6"/>
  <c r="L3061" i="6"/>
  <c r="J3061" i="6"/>
  <c r="F3061" i="6"/>
  <c r="M3060" i="6"/>
  <c r="L3060" i="6"/>
  <c r="J3060" i="6"/>
  <c r="F3060" i="6"/>
  <c r="M3059" i="6"/>
  <c r="L3059" i="6"/>
  <c r="J3059" i="6"/>
  <c r="F3059" i="6"/>
  <c r="J3058" i="6"/>
  <c r="F3058" i="6"/>
  <c r="M3057" i="6"/>
  <c r="L3057" i="6"/>
  <c r="J3057" i="6"/>
  <c r="F3057" i="6"/>
  <c r="M3056" i="6"/>
  <c r="L3056" i="6"/>
  <c r="J3056" i="6"/>
  <c r="F3056" i="6"/>
  <c r="M3055" i="6"/>
  <c r="L3055" i="6"/>
  <c r="J3055" i="6"/>
  <c r="F3055" i="6"/>
  <c r="J3054" i="6"/>
  <c r="F3054" i="6"/>
  <c r="M3053" i="6"/>
  <c r="L3053" i="6"/>
  <c r="J3053" i="6"/>
  <c r="F3053" i="6"/>
  <c r="J3052" i="6"/>
  <c r="F3052" i="6"/>
  <c r="M3051" i="6"/>
  <c r="L3051" i="6"/>
  <c r="J3051" i="6"/>
  <c r="F3051" i="6"/>
  <c r="J3050" i="6"/>
  <c r="F3050" i="6"/>
  <c r="M3049" i="6"/>
  <c r="L3049" i="6"/>
  <c r="J3049" i="6"/>
  <c r="F3049" i="6"/>
  <c r="M3048" i="6"/>
  <c r="L3048" i="6"/>
  <c r="J3048" i="6"/>
  <c r="F3048" i="6"/>
  <c r="M3047" i="6"/>
  <c r="L3047" i="6"/>
  <c r="J3047" i="6"/>
  <c r="F3047" i="6"/>
  <c r="J3046" i="6"/>
  <c r="F3046" i="6"/>
  <c r="M3045" i="6"/>
  <c r="L3045" i="6"/>
  <c r="J3045" i="6"/>
  <c r="F3045" i="6"/>
  <c r="J3044" i="6"/>
  <c r="F3044" i="6"/>
  <c r="M3043" i="6"/>
  <c r="L3043" i="6"/>
  <c r="J3043" i="6"/>
  <c r="F3043" i="6"/>
  <c r="J3042" i="6"/>
  <c r="F3042" i="6"/>
  <c r="M3041" i="6"/>
  <c r="L3041" i="6"/>
  <c r="J3041" i="6"/>
  <c r="F3041" i="6"/>
  <c r="J3040" i="6"/>
  <c r="F3040" i="6"/>
  <c r="M3039" i="6"/>
  <c r="L3039" i="6"/>
  <c r="J3039" i="6"/>
  <c r="F3039" i="6"/>
  <c r="J3038" i="6"/>
  <c r="F3038" i="6"/>
  <c r="M3037" i="6"/>
  <c r="L3037" i="6"/>
  <c r="J3037" i="6"/>
  <c r="F3037" i="6"/>
  <c r="X3036" i="6"/>
  <c r="K3036" i="6"/>
  <c r="K1462" i="6" s="1"/>
  <c r="AA194" i="15" s="1"/>
  <c r="J3036" i="6"/>
  <c r="F3036" i="6"/>
  <c r="M3035" i="6"/>
  <c r="L3035" i="6"/>
  <c r="J3035" i="6"/>
  <c r="F3035" i="6"/>
  <c r="X3034" i="6"/>
  <c r="K3034" i="6"/>
  <c r="K1460" i="6" s="1"/>
  <c r="J3034" i="6"/>
  <c r="F3034" i="6"/>
  <c r="M3033" i="6"/>
  <c r="L3033" i="6"/>
  <c r="J3033" i="6"/>
  <c r="F3033" i="6"/>
  <c r="X3032" i="6"/>
  <c r="K3032" i="6"/>
  <c r="K1456" i="6" s="1"/>
  <c r="J3032" i="6"/>
  <c r="F3032" i="6"/>
  <c r="M3031" i="6"/>
  <c r="L3031" i="6"/>
  <c r="J3031" i="6"/>
  <c r="F3031" i="6"/>
  <c r="M3030" i="6"/>
  <c r="L3030" i="6"/>
  <c r="J3030" i="6"/>
  <c r="F3030" i="6"/>
  <c r="M3029" i="6"/>
  <c r="L3029" i="6"/>
  <c r="J3029" i="6"/>
  <c r="F3029" i="6"/>
  <c r="J3028" i="6"/>
  <c r="F3028" i="6"/>
  <c r="M3027" i="6"/>
  <c r="L3027" i="6"/>
  <c r="J3027" i="6"/>
  <c r="F3027" i="6"/>
  <c r="X3026" i="6"/>
  <c r="K3026" i="6"/>
  <c r="J3026" i="6"/>
  <c r="F3026" i="6"/>
  <c r="M3025" i="6"/>
  <c r="L3025" i="6"/>
  <c r="J3025" i="6"/>
  <c r="F3025" i="6"/>
  <c r="X3024" i="6"/>
  <c r="K3024" i="6"/>
  <c r="J3024" i="6"/>
  <c r="F3024" i="6"/>
  <c r="M3023" i="6"/>
  <c r="L3023" i="6"/>
  <c r="J3023" i="6"/>
  <c r="F3023" i="6"/>
  <c r="M3022" i="6"/>
  <c r="L3022" i="6"/>
  <c r="J3022" i="6"/>
  <c r="F3022" i="6"/>
  <c r="M3021" i="6"/>
  <c r="L3021" i="6"/>
  <c r="J3021" i="6"/>
  <c r="F3021" i="6"/>
  <c r="J3020" i="6"/>
  <c r="F3020" i="6"/>
  <c r="M3019" i="6"/>
  <c r="L3019" i="6"/>
  <c r="J3019" i="6"/>
  <c r="F3019" i="6"/>
  <c r="X3018" i="6"/>
  <c r="K3018" i="6"/>
  <c r="K1428" i="6" s="1"/>
  <c r="AA181" i="15" s="1"/>
  <c r="J3018" i="6"/>
  <c r="F3018" i="6"/>
  <c r="M3017" i="6"/>
  <c r="L3017" i="6"/>
  <c r="J3017" i="6"/>
  <c r="F3017" i="6"/>
  <c r="M3016" i="6"/>
  <c r="L3016" i="6"/>
  <c r="J3016" i="6"/>
  <c r="F3016" i="6"/>
  <c r="M3015" i="6"/>
  <c r="L3015" i="6"/>
  <c r="J3015" i="6"/>
  <c r="F3015" i="6"/>
  <c r="J3014" i="6"/>
  <c r="F3014" i="6"/>
  <c r="M3013" i="6"/>
  <c r="L3013" i="6"/>
  <c r="J3013" i="6"/>
  <c r="F3013" i="6"/>
  <c r="M3012" i="6"/>
  <c r="L3012" i="6"/>
  <c r="J3012" i="6"/>
  <c r="F3012" i="6"/>
  <c r="M3011" i="6"/>
  <c r="L3011" i="6"/>
  <c r="J3011" i="6"/>
  <c r="F3011" i="6"/>
  <c r="J3010" i="6"/>
  <c r="F3010" i="6"/>
  <c r="M3009" i="6"/>
  <c r="L3009" i="6"/>
  <c r="J3009" i="6"/>
  <c r="F3009" i="6"/>
  <c r="K3008" i="6"/>
  <c r="J3008" i="6"/>
  <c r="F3008" i="6"/>
  <c r="M3007" i="6"/>
  <c r="L3007" i="6"/>
  <c r="J3007" i="6"/>
  <c r="F3007" i="6"/>
  <c r="K3006" i="6"/>
  <c r="J3006" i="6"/>
  <c r="F3006" i="6"/>
  <c r="M3005" i="6"/>
  <c r="L3005" i="6"/>
  <c r="J3005" i="6"/>
  <c r="F3005" i="6"/>
  <c r="M3004" i="6"/>
  <c r="L3004" i="6"/>
  <c r="J3004" i="6"/>
  <c r="F3004" i="6"/>
  <c r="M3003" i="6"/>
  <c r="L3003" i="6"/>
  <c r="J3003" i="6"/>
  <c r="F3003" i="6"/>
  <c r="J3002" i="6"/>
  <c r="F3002" i="6"/>
  <c r="M3001" i="6"/>
  <c r="L3001" i="6"/>
  <c r="J3001" i="6"/>
  <c r="F3001" i="6"/>
  <c r="M3000" i="6"/>
  <c r="L3000" i="6"/>
  <c r="J3000" i="6"/>
  <c r="F3000" i="6"/>
  <c r="M2999" i="6"/>
  <c r="L2999" i="6"/>
  <c r="J2999" i="6"/>
  <c r="F2999" i="6"/>
  <c r="J2998" i="6"/>
  <c r="F2998" i="6"/>
  <c r="M2997" i="6"/>
  <c r="L2997" i="6"/>
  <c r="J2997" i="6"/>
  <c r="F2997" i="6"/>
  <c r="K2996" i="6"/>
  <c r="K1398" i="6" s="1"/>
  <c r="J2996" i="6"/>
  <c r="F2996" i="6"/>
  <c r="M2995" i="6"/>
  <c r="L2995" i="6"/>
  <c r="J2995" i="6"/>
  <c r="F2995" i="6"/>
  <c r="K2994" i="6"/>
  <c r="K1396" i="6" s="1"/>
  <c r="J2994" i="6"/>
  <c r="F2994" i="6"/>
  <c r="M2993" i="6"/>
  <c r="L2993" i="6"/>
  <c r="J2993" i="6"/>
  <c r="F2993" i="6"/>
  <c r="M2992" i="6"/>
  <c r="L2992" i="6"/>
  <c r="J2992" i="6"/>
  <c r="F2992" i="6"/>
  <c r="M2991" i="6"/>
  <c r="L2991" i="6"/>
  <c r="J2991" i="6"/>
  <c r="F2991" i="6"/>
  <c r="J2990" i="6"/>
  <c r="F2990" i="6"/>
  <c r="M2989" i="6"/>
  <c r="J2989" i="6"/>
  <c r="F2989" i="6"/>
  <c r="M2988" i="6"/>
  <c r="J2988" i="6"/>
  <c r="F2988" i="6"/>
  <c r="M2987" i="6"/>
  <c r="J2987" i="6"/>
  <c r="F2987" i="6"/>
  <c r="J2986" i="6"/>
  <c r="F2986" i="6"/>
  <c r="J2985" i="6"/>
  <c r="F2985" i="6"/>
  <c r="J2984" i="6"/>
  <c r="F2984" i="6"/>
  <c r="J2983" i="6"/>
  <c r="F2983" i="6"/>
  <c r="J2982" i="6"/>
  <c r="F2982" i="6"/>
  <c r="J2981" i="6"/>
  <c r="F2981" i="6"/>
  <c r="J2980" i="6"/>
  <c r="F2980" i="6"/>
  <c r="J2979" i="6"/>
  <c r="F2979" i="6"/>
  <c r="J2978" i="6"/>
  <c r="F2978" i="6"/>
  <c r="J2977" i="6"/>
  <c r="F2977" i="6"/>
  <c r="J2976" i="6"/>
  <c r="F2976" i="6"/>
  <c r="J2975" i="6"/>
  <c r="F2975" i="6"/>
  <c r="J2974" i="6"/>
  <c r="F2974" i="6"/>
  <c r="J2973" i="6"/>
  <c r="F2973" i="6"/>
  <c r="J2972" i="6"/>
  <c r="F2972" i="6"/>
  <c r="J2971" i="6"/>
  <c r="F2971" i="6"/>
  <c r="J2970" i="6"/>
  <c r="F2970" i="6"/>
  <c r="J2969" i="6"/>
  <c r="F2969" i="6"/>
  <c r="J2968" i="6"/>
  <c r="F2968" i="6"/>
  <c r="J2967" i="6"/>
  <c r="F2967" i="6"/>
  <c r="J2966" i="6"/>
  <c r="F2966" i="6"/>
  <c r="J2965" i="6"/>
  <c r="F2965" i="6"/>
  <c r="J2964" i="6"/>
  <c r="F2964" i="6"/>
  <c r="J2963" i="6"/>
  <c r="F2963" i="6"/>
  <c r="J2962" i="6"/>
  <c r="F2962" i="6"/>
  <c r="J2961" i="6"/>
  <c r="F2961" i="6"/>
  <c r="J2960" i="6"/>
  <c r="F2960" i="6"/>
  <c r="J2959" i="6"/>
  <c r="F2959" i="6"/>
  <c r="J2958" i="6"/>
  <c r="F2958" i="6"/>
  <c r="J2957" i="6"/>
  <c r="F2957" i="6"/>
  <c r="J2956" i="6"/>
  <c r="F2956" i="6"/>
  <c r="J2955" i="6"/>
  <c r="F2955" i="6"/>
  <c r="J2954" i="6"/>
  <c r="F2954" i="6"/>
  <c r="J2953" i="6"/>
  <c r="F2953" i="6"/>
  <c r="J2952" i="6"/>
  <c r="F2952" i="6"/>
  <c r="J2951" i="6"/>
  <c r="F2951" i="6"/>
  <c r="J2950" i="6"/>
  <c r="F2950" i="6"/>
  <c r="J2949" i="6"/>
  <c r="F2949" i="6"/>
  <c r="J2948" i="6"/>
  <c r="F2948" i="6"/>
  <c r="J2947" i="6"/>
  <c r="F2947" i="6"/>
  <c r="J2946" i="6"/>
  <c r="F2946" i="6"/>
  <c r="J2945" i="6"/>
  <c r="F2945" i="6"/>
  <c r="J2944" i="6"/>
  <c r="F2944" i="6"/>
  <c r="J2943" i="6"/>
  <c r="F2943" i="6"/>
  <c r="J2942" i="6"/>
  <c r="F2942" i="6"/>
  <c r="J2941" i="6"/>
  <c r="F2941" i="6"/>
  <c r="J2940" i="6"/>
  <c r="F2940" i="6"/>
  <c r="J2939" i="6"/>
  <c r="F2939" i="6"/>
  <c r="J2938" i="6"/>
  <c r="F2938" i="6"/>
  <c r="J2937" i="6"/>
  <c r="F2937" i="6"/>
  <c r="J2936" i="6"/>
  <c r="F2936" i="6"/>
  <c r="J2935" i="6"/>
  <c r="F2935" i="6"/>
  <c r="J2934" i="6"/>
  <c r="F2934" i="6"/>
  <c r="J2933" i="6"/>
  <c r="F2933" i="6"/>
  <c r="J2932" i="6"/>
  <c r="F2932" i="6"/>
  <c r="J2931" i="6"/>
  <c r="F2931" i="6"/>
  <c r="J2930" i="6"/>
  <c r="F2930" i="6"/>
  <c r="J2929" i="6"/>
  <c r="F2929" i="6"/>
  <c r="J2928" i="6"/>
  <c r="F2928" i="6"/>
  <c r="J2927" i="6"/>
  <c r="F2927" i="6"/>
  <c r="J2926" i="6"/>
  <c r="F2926" i="6"/>
  <c r="J2925" i="6"/>
  <c r="F2925" i="6"/>
  <c r="J2924" i="6"/>
  <c r="F2924" i="6"/>
  <c r="J2923" i="6"/>
  <c r="F2923" i="6"/>
  <c r="J2922" i="6"/>
  <c r="F2922" i="6"/>
  <c r="J2921" i="6"/>
  <c r="F2921" i="6"/>
  <c r="J2920" i="6"/>
  <c r="F2920" i="6"/>
  <c r="J2919" i="6"/>
  <c r="F2919" i="6"/>
  <c r="J2918" i="6"/>
  <c r="F2918" i="6"/>
  <c r="J2917" i="6"/>
  <c r="F2917" i="6"/>
  <c r="J2916" i="6"/>
  <c r="F2916" i="6"/>
  <c r="J2915" i="6"/>
  <c r="F2915" i="6"/>
  <c r="J2914" i="6"/>
  <c r="F2914" i="6"/>
  <c r="J2913" i="6"/>
  <c r="F2913" i="6"/>
  <c r="J2912" i="6"/>
  <c r="F2912" i="6"/>
  <c r="J2911" i="6"/>
  <c r="F2911" i="6"/>
  <c r="J2910" i="6"/>
  <c r="F2910" i="6"/>
  <c r="J2909" i="6"/>
  <c r="F2909" i="6"/>
  <c r="J2908" i="6"/>
  <c r="F2908" i="6"/>
  <c r="J2907" i="6"/>
  <c r="F2907" i="6"/>
  <c r="J2906" i="6"/>
  <c r="F2906" i="6"/>
  <c r="J2905" i="6"/>
  <c r="F2905" i="6"/>
  <c r="J2904" i="6"/>
  <c r="F2904" i="6"/>
  <c r="J2903" i="6"/>
  <c r="F2903" i="6"/>
  <c r="J2902" i="6"/>
  <c r="F2902" i="6"/>
  <c r="J2901" i="6"/>
  <c r="F2901" i="6"/>
  <c r="J2900" i="6"/>
  <c r="F2900" i="6"/>
  <c r="J2899" i="6"/>
  <c r="F2899" i="6"/>
  <c r="J2898" i="6"/>
  <c r="F2898" i="6"/>
  <c r="J2897" i="6"/>
  <c r="F2897" i="6"/>
  <c r="J2896" i="6"/>
  <c r="F2896" i="6"/>
  <c r="J2895" i="6"/>
  <c r="F2895" i="6"/>
  <c r="J2894" i="6"/>
  <c r="F2894" i="6"/>
  <c r="J2893" i="6"/>
  <c r="F2893" i="6"/>
  <c r="J2892" i="6"/>
  <c r="F2892" i="6"/>
  <c r="J2891" i="6"/>
  <c r="F2891" i="6"/>
  <c r="J2890" i="6"/>
  <c r="F2890" i="6"/>
  <c r="J2889" i="6"/>
  <c r="F2889" i="6"/>
  <c r="J2888" i="6"/>
  <c r="F2888" i="6"/>
  <c r="J2887" i="6"/>
  <c r="F2887" i="6"/>
  <c r="J2886" i="6"/>
  <c r="F2886" i="6"/>
  <c r="J2885" i="6"/>
  <c r="F2885" i="6"/>
  <c r="J2884" i="6"/>
  <c r="F2884" i="6"/>
  <c r="J2883" i="6"/>
  <c r="F2883" i="6"/>
  <c r="J2882" i="6"/>
  <c r="F2882" i="6"/>
  <c r="J2881" i="6"/>
  <c r="F2881" i="6"/>
  <c r="J2880" i="6"/>
  <c r="F2880" i="6"/>
  <c r="J2879" i="6"/>
  <c r="F2879" i="6"/>
  <c r="J2878" i="6"/>
  <c r="F2878" i="6"/>
  <c r="J2877" i="6"/>
  <c r="F2877" i="6"/>
  <c r="J2876" i="6"/>
  <c r="F2876" i="6"/>
  <c r="J2875" i="6"/>
  <c r="F2875" i="6"/>
  <c r="J2874" i="6"/>
  <c r="F2874" i="6"/>
  <c r="J2873" i="6"/>
  <c r="F2873" i="6"/>
  <c r="J2872" i="6"/>
  <c r="F2872" i="6"/>
  <c r="J2871" i="6"/>
  <c r="F2871" i="6"/>
  <c r="J2870" i="6"/>
  <c r="F2870" i="6"/>
  <c r="J2869" i="6"/>
  <c r="F2869" i="6"/>
  <c r="J2868" i="6"/>
  <c r="F2868" i="6"/>
  <c r="J2867" i="6"/>
  <c r="F2867" i="6"/>
  <c r="J2866" i="6"/>
  <c r="F2866" i="6"/>
  <c r="J2865" i="6"/>
  <c r="F2865" i="6"/>
  <c r="J2864" i="6"/>
  <c r="F2864" i="6"/>
  <c r="J2863" i="6"/>
  <c r="F2863" i="6"/>
  <c r="J2862" i="6"/>
  <c r="F2862" i="6"/>
  <c r="J2861" i="6"/>
  <c r="F2861" i="6"/>
  <c r="J2860" i="6"/>
  <c r="F2860" i="6"/>
  <c r="J2859" i="6"/>
  <c r="F2859" i="6"/>
  <c r="J2858" i="6"/>
  <c r="F2858" i="6"/>
  <c r="J2857" i="6"/>
  <c r="F2857" i="6"/>
  <c r="J2856" i="6"/>
  <c r="F2856" i="6"/>
  <c r="J2855" i="6"/>
  <c r="F2855" i="6"/>
  <c r="J2854" i="6"/>
  <c r="F2854" i="6"/>
  <c r="J2853" i="6"/>
  <c r="F2853" i="6"/>
  <c r="J2852" i="6"/>
  <c r="F2852" i="6"/>
  <c r="J2851" i="6"/>
  <c r="F2851" i="6"/>
  <c r="J2850" i="6"/>
  <c r="F2850" i="6"/>
  <c r="J2849" i="6"/>
  <c r="F2849" i="6"/>
  <c r="J2848" i="6"/>
  <c r="F2848" i="6"/>
  <c r="J2847" i="6"/>
  <c r="F2847" i="6"/>
  <c r="J2846" i="6"/>
  <c r="F2846" i="6"/>
  <c r="J2845" i="6"/>
  <c r="F2845" i="6"/>
  <c r="J2844" i="6"/>
  <c r="F2844" i="6"/>
  <c r="J2843" i="6"/>
  <c r="F2843" i="6"/>
  <c r="J2842" i="6"/>
  <c r="F2842" i="6"/>
  <c r="J2841" i="6"/>
  <c r="F2841" i="6"/>
  <c r="J2840" i="6"/>
  <c r="F2840" i="6"/>
  <c r="J2839" i="6"/>
  <c r="F2839" i="6"/>
  <c r="J2838" i="6"/>
  <c r="F2838" i="6"/>
  <c r="J2837" i="6"/>
  <c r="F2837" i="6"/>
  <c r="J2836" i="6"/>
  <c r="F2836" i="6"/>
  <c r="J2835" i="6"/>
  <c r="F2835" i="6"/>
  <c r="J2834" i="6"/>
  <c r="F2834" i="6"/>
  <c r="J2833" i="6"/>
  <c r="F2833" i="6"/>
  <c r="J2832" i="6"/>
  <c r="F2832" i="6"/>
  <c r="J2831" i="6"/>
  <c r="F2831" i="6"/>
  <c r="J2830" i="6"/>
  <c r="F2830" i="6"/>
  <c r="J2829" i="6"/>
  <c r="F2829" i="6"/>
  <c r="J2828" i="6"/>
  <c r="F2828" i="6"/>
  <c r="J2827" i="6"/>
  <c r="F2827" i="6"/>
  <c r="J2826" i="6"/>
  <c r="F2826" i="6"/>
  <c r="J2825" i="6"/>
  <c r="F2825" i="6"/>
  <c r="J2824" i="6"/>
  <c r="F2824" i="6"/>
  <c r="J2823" i="6"/>
  <c r="F2823" i="6"/>
  <c r="J2822" i="6"/>
  <c r="F2822" i="6"/>
  <c r="J2821" i="6"/>
  <c r="F2821" i="6"/>
  <c r="J2820" i="6"/>
  <c r="F2820" i="6"/>
  <c r="J2819" i="6"/>
  <c r="F2819" i="6"/>
  <c r="J2818" i="6"/>
  <c r="F2818" i="6"/>
  <c r="J2817" i="6"/>
  <c r="F2817" i="6"/>
  <c r="J2816" i="6"/>
  <c r="F2816" i="6"/>
  <c r="K2815" i="6"/>
  <c r="J2815" i="6"/>
  <c r="J2814" i="6"/>
  <c r="F2814" i="6"/>
  <c r="K2813" i="6"/>
  <c r="J2813" i="6"/>
  <c r="J2812" i="6"/>
  <c r="F2812" i="6"/>
  <c r="K2811" i="6"/>
  <c r="J2811" i="6"/>
  <c r="J2810" i="6"/>
  <c r="F2810" i="6"/>
  <c r="J2809" i="6"/>
  <c r="J2808" i="6"/>
  <c r="F2808" i="6"/>
  <c r="K2807" i="6"/>
  <c r="J2807" i="6"/>
  <c r="J2806" i="6"/>
  <c r="F2806" i="6"/>
  <c r="K2805" i="6"/>
  <c r="K2804" i="6"/>
  <c r="J2804" i="6"/>
  <c r="J2803" i="6"/>
  <c r="F2803" i="6"/>
  <c r="J2802" i="6"/>
  <c r="F2802" i="6"/>
  <c r="K2801" i="6"/>
  <c r="J2801" i="6"/>
  <c r="J2800" i="6"/>
  <c r="F2800" i="6"/>
  <c r="J2799" i="6"/>
  <c r="F2799" i="6"/>
  <c r="J2798" i="6"/>
  <c r="F2798" i="6"/>
  <c r="J2797" i="6"/>
  <c r="F2797" i="6"/>
  <c r="K2796" i="6"/>
  <c r="K2795" i="6"/>
  <c r="J2795" i="6"/>
  <c r="J2794" i="6"/>
  <c r="F2794" i="6"/>
  <c r="J2793" i="6"/>
  <c r="F2793" i="6"/>
  <c r="K2792" i="6"/>
  <c r="K2791" i="6"/>
  <c r="J2791" i="6"/>
  <c r="J2790" i="6"/>
  <c r="F2790" i="6"/>
  <c r="J2789" i="6"/>
  <c r="F2789" i="6"/>
  <c r="J2788" i="6"/>
  <c r="F2788" i="6"/>
  <c r="J2787" i="6"/>
  <c r="F2787" i="6"/>
  <c r="J2786" i="6"/>
  <c r="F2786" i="6"/>
  <c r="K2785" i="6"/>
  <c r="K2784" i="6"/>
  <c r="J2784" i="6"/>
  <c r="J2783" i="6"/>
  <c r="F2783" i="6"/>
  <c r="J2782" i="6"/>
  <c r="F2782" i="6"/>
  <c r="K2781" i="6"/>
  <c r="K2780" i="6"/>
  <c r="J2780" i="6"/>
  <c r="J2779" i="6"/>
  <c r="F2779" i="6"/>
  <c r="J2778" i="6"/>
  <c r="F2778" i="6"/>
  <c r="J2777" i="6"/>
  <c r="F2777" i="6"/>
  <c r="J2776" i="6"/>
  <c r="F2776" i="6"/>
  <c r="K2775" i="6"/>
  <c r="K2774" i="6"/>
  <c r="J2774" i="6"/>
  <c r="J2773" i="6"/>
  <c r="F2773" i="6"/>
  <c r="J2772" i="6"/>
  <c r="F2772" i="6"/>
  <c r="K2771" i="6"/>
  <c r="K2770" i="6"/>
  <c r="J2770" i="6"/>
  <c r="J2769" i="6"/>
  <c r="F2769" i="6"/>
  <c r="J2768" i="6"/>
  <c r="F2768" i="6"/>
  <c r="J2767" i="6"/>
  <c r="F2767" i="6"/>
  <c r="J2766" i="6"/>
  <c r="F2766" i="6"/>
  <c r="K2765" i="6"/>
  <c r="K2764" i="6"/>
  <c r="J2764" i="6"/>
  <c r="J2763" i="6"/>
  <c r="F2763" i="6"/>
  <c r="J2762" i="6"/>
  <c r="F2762" i="6"/>
  <c r="K2761" i="6"/>
  <c r="K2760" i="6"/>
  <c r="J2760" i="6"/>
  <c r="J2759" i="6"/>
  <c r="F2759" i="6"/>
  <c r="J2758" i="6"/>
  <c r="F2758" i="6"/>
  <c r="J2757" i="6"/>
  <c r="F2757" i="6"/>
  <c r="J2756" i="6"/>
  <c r="F2756" i="6"/>
  <c r="J2755" i="6"/>
  <c r="F2755" i="6"/>
  <c r="J2754" i="6"/>
  <c r="F2754" i="6"/>
  <c r="J2753" i="6"/>
  <c r="F2753" i="6"/>
  <c r="J2752" i="6"/>
  <c r="F2752" i="6"/>
  <c r="J2751" i="6"/>
  <c r="F2751" i="6"/>
  <c r="J2750" i="6"/>
  <c r="F2750" i="6"/>
  <c r="J2749" i="6"/>
  <c r="F2749" i="6"/>
  <c r="J2748" i="6"/>
  <c r="F2748" i="6"/>
  <c r="J2747" i="6"/>
  <c r="F2747" i="6"/>
  <c r="J2746" i="6"/>
  <c r="J2745" i="6"/>
  <c r="F2745" i="6"/>
  <c r="J2744" i="6"/>
  <c r="F2744" i="6"/>
  <c r="K2743" i="6"/>
  <c r="K2742" i="6"/>
  <c r="J2742" i="6"/>
  <c r="J2741" i="6"/>
  <c r="F2741" i="6"/>
  <c r="J2740" i="6"/>
  <c r="F2740" i="6"/>
  <c r="J2739" i="6"/>
  <c r="F2739" i="6"/>
  <c r="J2738" i="6"/>
  <c r="F2738" i="6"/>
  <c r="K2737" i="6"/>
  <c r="J2737" i="6"/>
  <c r="J2736" i="6"/>
  <c r="F2736" i="6"/>
  <c r="J2735" i="6"/>
  <c r="F2735" i="6"/>
  <c r="J2734" i="6"/>
  <c r="F2734" i="6"/>
  <c r="J2733" i="6"/>
  <c r="F2733" i="6"/>
  <c r="K2732" i="6"/>
  <c r="J2732" i="6"/>
  <c r="J2731" i="6"/>
  <c r="F2731" i="6"/>
  <c r="J2730" i="6"/>
  <c r="F2730" i="6"/>
  <c r="K2729" i="6"/>
  <c r="J2729" i="6"/>
  <c r="J2728" i="6"/>
  <c r="F2728" i="6"/>
  <c r="J2727" i="6"/>
  <c r="F2727" i="6"/>
  <c r="K2726" i="6"/>
  <c r="J2726" i="6"/>
  <c r="J2725" i="6"/>
  <c r="F2725" i="6"/>
  <c r="J2724" i="6"/>
  <c r="F2724" i="6"/>
  <c r="K2723" i="6"/>
  <c r="J2723" i="6"/>
  <c r="J2722" i="6"/>
  <c r="F2722" i="6"/>
  <c r="K2721" i="6"/>
  <c r="K2720" i="6"/>
  <c r="J2720" i="6"/>
  <c r="J2719" i="6"/>
  <c r="F2719" i="6"/>
  <c r="J2718" i="6"/>
  <c r="F2718" i="6"/>
  <c r="K2717" i="6"/>
  <c r="J2717" i="6"/>
  <c r="J2716" i="6"/>
  <c r="F2716" i="6"/>
  <c r="K2715" i="6"/>
  <c r="J2715" i="6"/>
  <c r="J2714" i="6"/>
  <c r="F2714" i="6"/>
  <c r="K2713" i="6"/>
  <c r="K2712" i="6"/>
  <c r="J2712" i="6"/>
  <c r="J2711" i="6"/>
  <c r="F2711" i="6"/>
  <c r="J2710" i="6"/>
  <c r="F2710" i="6"/>
  <c r="J2709" i="6"/>
  <c r="J2708" i="6"/>
  <c r="F2708" i="6"/>
  <c r="K2707" i="6"/>
  <c r="K2706" i="6"/>
  <c r="J2706" i="6"/>
  <c r="J2705" i="6"/>
  <c r="F2705" i="6"/>
  <c r="J2704" i="6"/>
  <c r="F2704" i="6"/>
  <c r="K2703" i="6"/>
  <c r="K2702" i="6"/>
  <c r="F1416" i="6" s="1"/>
  <c r="J2702" i="6"/>
  <c r="J2701" i="6"/>
  <c r="F2701" i="6"/>
  <c r="J2700" i="6"/>
  <c r="F2700" i="6"/>
  <c r="J2699" i="6"/>
  <c r="F2699" i="6"/>
  <c r="J2698" i="6"/>
  <c r="F2698" i="6"/>
  <c r="J2697" i="6"/>
  <c r="F2697" i="6"/>
  <c r="J2696" i="6"/>
  <c r="F2696" i="6"/>
  <c r="J2695" i="6"/>
  <c r="F2695" i="6"/>
  <c r="J2694" i="6"/>
  <c r="F2694" i="6"/>
  <c r="J2693" i="6"/>
  <c r="F2693" i="6"/>
  <c r="J2692" i="6"/>
  <c r="F2692" i="6"/>
  <c r="J2691" i="6"/>
  <c r="F2691" i="6"/>
  <c r="J2690" i="6"/>
  <c r="F2690" i="6"/>
  <c r="J2689" i="6"/>
  <c r="F2689" i="6"/>
  <c r="J2688" i="6"/>
  <c r="F2688" i="6"/>
  <c r="J2687" i="6"/>
  <c r="J2686" i="6"/>
  <c r="F2686" i="6"/>
  <c r="J2685" i="6"/>
  <c r="J2684" i="6"/>
  <c r="F2684" i="6"/>
  <c r="J2683" i="6"/>
  <c r="J2682" i="6"/>
  <c r="F2682" i="6"/>
  <c r="J2681" i="6"/>
  <c r="J2680" i="6"/>
  <c r="F2680" i="6"/>
  <c r="J2679" i="6"/>
  <c r="J2678" i="6"/>
  <c r="F2678" i="6"/>
  <c r="J2676" i="6"/>
  <c r="J2675" i="6"/>
  <c r="F2675" i="6"/>
  <c r="J2674" i="6"/>
  <c r="F2674" i="6"/>
  <c r="J2673" i="6"/>
  <c r="J2672" i="6"/>
  <c r="F2672" i="6"/>
  <c r="J2671" i="6"/>
  <c r="F2671" i="6"/>
  <c r="J2670" i="6"/>
  <c r="F2670" i="6"/>
  <c r="J2669" i="6"/>
  <c r="F2669" i="6"/>
  <c r="J2667" i="6"/>
  <c r="J2666" i="6"/>
  <c r="F2666" i="6"/>
  <c r="J2665" i="6"/>
  <c r="F2665" i="6"/>
  <c r="J2663" i="6"/>
  <c r="J2662" i="6"/>
  <c r="F2662" i="6"/>
  <c r="J2661" i="6"/>
  <c r="F2661" i="6"/>
  <c r="J2660" i="6"/>
  <c r="F2660" i="6"/>
  <c r="J2659" i="6"/>
  <c r="F2659" i="6"/>
  <c r="J2658" i="6"/>
  <c r="F2658" i="6"/>
  <c r="J2656" i="6"/>
  <c r="J2655" i="6"/>
  <c r="F2655" i="6"/>
  <c r="J2654" i="6"/>
  <c r="F2654" i="6"/>
  <c r="J2652" i="6"/>
  <c r="J2651" i="6"/>
  <c r="F2651" i="6"/>
  <c r="J2650" i="6"/>
  <c r="F2650" i="6"/>
  <c r="J2649" i="6"/>
  <c r="F2649" i="6"/>
  <c r="J2648" i="6"/>
  <c r="F2648" i="6"/>
  <c r="J2646" i="6"/>
  <c r="J2645" i="6"/>
  <c r="F2645" i="6"/>
  <c r="J2644" i="6"/>
  <c r="F2644" i="6"/>
  <c r="J2642" i="6"/>
  <c r="J2641" i="6"/>
  <c r="F2641" i="6"/>
  <c r="J2640" i="6"/>
  <c r="F2640" i="6"/>
  <c r="J2639" i="6"/>
  <c r="F2639" i="6"/>
  <c r="J2638" i="6"/>
  <c r="F2638" i="6"/>
  <c r="J2636" i="6"/>
  <c r="J2635" i="6"/>
  <c r="F2635" i="6"/>
  <c r="J2634" i="6"/>
  <c r="F2634" i="6"/>
  <c r="J2632" i="6"/>
  <c r="J2631" i="6"/>
  <c r="F2631" i="6"/>
  <c r="J2630" i="6"/>
  <c r="F2630" i="6"/>
  <c r="J2629" i="6"/>
  <c r="F2629" i="6"/>
  <c r="J2628" i="6"/>
  <c r="F2628" i="6"/>
  <c r="J2627" i="6"/>
  <c r="F2627" i="6"/>
  <c r="J2626" i="6"/>
  <c r="F2626" i="6"/>
  <c r="J2625" i="6"/>
  <c r="F2625" i="6"/>
  <c r="J2624" i="6"/>
  <c r="F2624" i="6"/>
  <c r="J2623" i="6"/>
  <c r="F2623" i="6"/>
  <c r="J2622" i="6"/>
  <c r="F2622" i="6"/>
  <c r="J2621" i="6"/>
  <c r="F2621" i="6"/>
  <c r="J2620" i="6"/>
  <c r="F2620" i="6"/>
  <c r="J2619" i="6"/>
  <c r="F2619" i="6"/>
  <c r="J2618" i="6"/>
  <c r="J2617" i="6"/>
  <c r="F2617" i="6"/>
  <c r="J2616" i="6"/>
  <c r="F2616" i="6"/>
  <c r="J2614" i="6"/>
  <c r="J2613" i="6"/>
  <c r="F2613" i="6"/>
  <c r="J2612" i="6"/>
  <c r="F2612" i="6"/>
  <c r="J2611" i="6"/>
  <c r="F2611" i="6"/>
  <c r="J2610" i="6"/>
  <c r="F2610" i="6"/>
  <c r="J2609" i="6"/>
  <c r="J2608" i="6"/>
  <c r="F2608" i="6"/>
  <c r="J2607" i="6"/>
  <c r="F2607" i="6"/>
  <c r="J2606" i="6"/>
  <c r="F2606" i="6"/>
  <c r="J2605" i="6"/>
  <c r="F2605" i="6"/>
  <c r="J2604" i="6"/>
  <c r="J2603" i="6"/>
  <c r="F2603" i="6"/>
  <c r="J2602" i="6"/>
  <c r="F2602" i="6"/>
  <c r="J2601" i="6"/>
  <c r="J2600" i="6"/>
  <c r="F2600" i="6"/>
  <c r="J2599" i="6"/>
  <c r="F2599" i="6"/>
  <c r="J2598" i="6"/>
  <c r="J2597" i="6"/>
  <c r="F2597" i="6"/>
  <c r="J2596" i="6"/>
  <c r="F2596" i="6"/>
  <c r="J2595" i="6"/>
  <c r="J2594" i="6"/>
  <c r="F2594" i="6"/>
  <c r="J2592" i="6"/>
  <c r="J2591" i="6"/>
  <c r="F2591" i="6"/>
  <c r="J2590" i="6"/>
  <c r="F2590" i="6"/>
  <c r="J2589" i="6"/>
  <c r="J2588" i="6"/>
  <c r="F2588" i="6"/>
  <c r="J2587" i="6"/>
  <c r="J2586" i="6"/>
  <c r="F2586" i="6"/>
  <c r="J2584" i="6"/>
  <c r="J2583" i="6"/>
  <c r="F2583" i="6"/>
  <c r="J2582" i="6"/>
  <c r="F2582" i="6"/>
  <c r="J2581" i="6"/>
  <c r="J2580" i="6"/>
  <c r="F2580" i="6"/>
  <c r="J2578" i="6"/>
  <c r="J2577" i="6"/>
  <c r="F2577" i="6"/>
  <c r="J2576" i="6"/>
  <c r="F2576" i="6"/>
  <c r="J2574" i="6"/>
  <c r="J2573" i="6"/>
  <c r="F2573" i="6"/>
  <c r="J2572" i="6"/>
  <c r="F2572" i="6"/>
  <c r="J2571" i="6"/>
  <c r="F2571" i="6"/>
  <c r="J2570" i="6"/>
  <c r="F2570" i="6"/>
  <c r="J2569" i="6"/>
  <c r="F2569" i="6"/>
  <c r="J2568" i="6"/>
  <c r="F2568" i="6"/>
  <c r="J2567" i="6"/>
  <c r="F2567" i="6"/>
  <c r="J2566" i="6"/>
  <c r="F2566" i="6"/>
  <c r="J2565" i="6"/>
  <c r="F2565" i="6"/>
  <c r="J2564" i="6"/>
  <c r="F2564" i="6"/>
  <c r="J2563" i="6"/>
  <c r="F2563" i="6"/>
  <c r="J2562" i="6"/>
  <c r="F2562" i="6"/>
  <c r="J2561" i="6"/>
  <c r="F2561" i="6"/>
  <c r="J2560" i="6"/>
  <c r="F2560" i="6"/>
  <c r="J2559" i="6"/>
  <c r="J2558" i="6"/>
  <c r="F2558" i="6"/>
  <c r="J2557" i="6"/>
  <c r="J2556" i="6"/>
  <c r="F2556" i="6"/>
  <c r="J2555" i="6"/>
  <c r="J2554" i="6"/>
  <c r="F2554" i="6"/>
  <c r="J2553" i="6"/>
  <c r="J2552" i="6"/>
  <c r="F2552" i="6"/>
  <c r="J2551" i="6"/>
  <c r="J2550" i="6"/>
  <c r="F2550" i="6"/>
  <c r="J2548" i="6"/>
  <c r="J2547" i="6"/>
  <c r="F2547" i="6"/>
  <c r="J2546" i="6"/>
  <c r="F2546" i="6"/>
  <c r="J2545" i="6"/>
  <c r="J2544" i="6"/>
  <c r="F2544" i="6"/>
  <c r="J2543" i="6"/>
  <c r="F2543" i="6"/>
  <c r="J2542" i="6"/>
  <c r="F2542" i="6"/>
  <c r="J2541" i="6"/>
  <c r="F2541" i="6"/>
  <c r="J2539" i="6"/>
  <c r="J2538" i="6"/>
  <c r="F2538" i="6"/>
  <c r="J2537" i="6"/>
  <c r="F2537" i="6"/>
  <c r="J2535" i="6"/>
  <c r="J2534" i="6"/>
  <c r="F2534" i="6"/>
  <c r="J2533" i="6"/>
  <c r="F2533" i="6"/>
  <c r="J2532" i="6"/>
  <c r="F2532" i="6"/>
  <c r="J2531" i="6"/>
  <c r="F2531" i="6"/>
  <c r="J2530" i="6"/>
  <c r="F2530" i="6"/>
  <c r="J2528" i="6"/>
  <c r="J2527" i="6"/>
  <c r="F2527" i="6"/>
  <c r="J2526" i="6"/>
  <c r="F2526" i="6"/>
  <c r="J2524" i="6"/>
  <c r="J2523" i="6"/>
  <c r="F2523" i="6"/>
  <c r="J2522" i="6"/>
  <c r="F2522" i="6"/>
  <c r="J2521" i="6"/>
  <c r="F2521" i="6"/>
  <c r="J2520" i="6"/>
  <c r="F2520" i="6"/>
  <c r="J2518" i="6"/>
  <c r="J2517" i="6"/>
  <c r="F2517" i="6"/>
  <c r="J2516" i="6"/>
  <c r="F2516" i="6"/>
  <c r="J2514" i="6"/>
  <c r="J2513" i="6"/>
  <c r="F2513" i="6"/>
  <c r="J2512" i="6"/>
  <c r="F2512" i="6"/>
  <c r="J2511" i="6"/>
  <c r="F2511" i="6"/>
  <c r="J2510" i="6"/>
  <c r="F2510" i="6"/>
  <c r="J2508" i="6"/>
  <c r="J2507" i="6"/>
  <c r="F2507" i="6"/>
  <c r="J2506" i="6"/>
  <c r="F2506" i="6"/>
  <c r="J2504" i="6"/>
  <c r="J2503" i="6"/>
  <c r="F2503" i="6"/>
  <c r="J2502" i="6"/>
  <c r="F2502" i="6"/>
  <c r="J2501" i="6"/>
  <c r="F2501" i="6"/>
  <c r="J2500" i="6"/>
  <c r="F2500" i="6"/>
  <c r="J2499" i="6"/>
  <c r="F2499" i="6"/>
  <c r="J2498" i="6"/>
  <c r="F2498" i="6"/>
  <c r="J2497" i="6"/>
  <c r="F2497" i="6"/>
  <c r="J2496" i="6"/>
  <c r="F2496" i="6"/>
  <c r="J2495" i="6"/>
  <c r="F2495" i="6"/>
  <c r="J2494" i="6"/>
  <c r="F2494" i="6"/>
  <c r="J2493" i="6"/>
  <c r="F2493" i="6"/>
  <c r="J2492" i="6"/>
  <c r="F2492" i="6"/>
  <c r="J2491" i="6"/>
  <c r="F2491" i="6"/>
  <c r="J2490" i="6"/>
  <c r="J2489" i="6"/>
  <c r="F2489" i="6"/>
  <c r="J2488" i="6"/>
  <c r="F2488" i="6"/>
  <c r="J2486" i="6"/>
  <c r="J2485" i="6"/>
  <c r="F2485" i="6"/>
  <c r="J2484" i="6"/>
  <c r="F2484" i="6"/>
  <c r="J2483" i="6"/>
  <c r="F2483" i="6"/>
  <c r="J2482" i="6"/>
  <c r="F2482" i="6"/>
  <c r="J2481" i="6"/>
  <c r="J2480" i="6"/>
  <c r="F2480" i="6"/>
  <c r="J2479" i="6"/>
  <c r="F2479" i="6"/>
  <c r="J2478" i="6"/>
  <c r="F2478" i="6"/>
  <c r="J2477" i="6"/>
  <c r="F2477" i="6"/>
  <c r="J2476" i="6"/>
  <c r="J2475" i="6"/>
  <c r="F2475" i="6"/>
  <c r="J2474" i="6"/>
  <c r="F2474" i="6"/>
  <c r="J2473" i="6"/>
  <c r="J2472" i="6"/>
  <c r="F2472" i="6"/>
  <c r="J2471" i="6"/>
  <c r="F2471" i="6"/>
  <c r="J2470" i="6"/>
  <c r="J2469" i="6"/>
  <c r="F2469" i="6"/>
  <c r="J2468" i="6"/>
  <c r="F2468" i="6"/>
  <c r="J2467" i="6"/>
  <c r="J2466" i="6"/>
  <c r="F2466" i="6"/>
  <c r="J2464" i="6"/>
  <c r="J2463" i="6"/>
  <c r="F2463" i="6"/>
  <c r="J2462" i="6"/>
  <c r="F2462" i="6"/>
  <c r="J2461" i="6"/>
  <c r="J2460" i="6"/>
  <c r="F2460" i="6"/>
  <c r="J2459" i="6"/>
  <c r="J2458" i="6"/>
  <c r="F2458" i="6"/>
  <c r="J2456" i="6"/>
  <c r="J2455" i="6"/>
  <c r="F2455" i="6"/>
  <c r="J2454" i="6"/>
  <c r="F2454" i="6"/>
  <c r="J2453" i="6"/>
  <c r="J2452" i="6"/>
  <c r="F2452" i="6"/>
  <c r="J2450" i="6"/>
  <c r="J2449" i="6"/>
  <c r="F2449" i="6"/>
  <c r="J2448" i="6"/>
  <c r="F2448" i="6"/>
  <c r="J2446" i="6"/>
  <c r="J2445" i="6"/>
  <c r="F2445" i="6"/>
  <c r="J2444" i="6"/>
  <c r="F2444" i="6"/>
  <c r="J2443" i="6"/>
  <c r="F2443" i="6"/>
  <c r="J2442" i="6"/>
  <c r="F2442" i="6"/>
  <c r="J2441" i="6"/>
  <c r="F2441" i="6"/>
  <c r="J2440" i="6"/>
  <c r="F2440" i="6"/>
  <c r="J2439" i="6"/>
  <c r="F2439" i="6"/>
  <c r="J2438" i="6"/>
  <c r="F2438" i="6"/>
  <c r="J2437" i="6"/>
  <c r="F2437" i="6"/>
  <c r="J2436" i="6"/>
  <c r="F2436" i="6"/>
  <c r="J2435" i="6"/>
  <c r="F2435" i="6"/>
  <c r="J2434" i="6"/>
  <c r="F2434" i="6"/>
  <c r="J2433" i="6"/>
  <c r="F2433" i="6"/>
  <c r="J2432" i="6"/>
  <c r="F2432" i="6"/>
  <c r="Y2431" i="6"/>
  <c r="K2431" i="6"/>
  <c r="J2431" i="6"/>
  <c r="J2430" i="6"/>
  <c r="F2430" i="6"/>
  <c r="Y2429" i="6"/>
  <c r="K2429" i="6"/>
  <c r="J2429" i="6"/>
  <c r="J2428" i="6"/>
  <c r="F2428" i="6"/>
  <c r="Y2427" i="6"/>
  <c r="K2427" i="6"/>
  <c r="F1634" i="6" s="1"/>
  <c r="J2427" i="6"/>
  <c r="J2426" i="6"/>
  <c r="F2426" i="6"/>
  <c r="Y2425" i="6"/>
  <c r="K2425" i="6"/>
  <c r="F1630" i="6" s="1"/>
  <c r="J2425" i="6"/>
  <c r="J2424" i="6"/>
  <c r="F2424" i="6"/>
  <c r="Y2423" i="6"/>
  <c r="K2423" i="6"/>
  <c r="J2423" i="6"/>
  <c r="J2422" i="6"/>
  <c r="F2422" i="6"/>
  <c r="Y2421" i="6"/>
  <c r="K2421" i="6"/>
  <c r="F1622" i="6" s="1"/>
  <c r="Y2420" i="6"/>
  <c r="K2420" i="6"/>
  <c r="J2420" i="6"/>
  <c r="J2419" i="6"/>
  <c r="F2419" i="6"/>
  <c r="J2418" i="6"/>
  <c r="F2418" i="6"/>
  <c r="Y2417" i="6"/>
  <c r="K2417" i="6"/>
  <c r="J2417" i="6"/>
  <c r="J2416" i="6"/>
  <c r="F2416" i="6"/>
  <c r="J2415" i="6"/>
  <c r="F2415" i="6"/>
  <c r="J2414" i="6"/>
  <c r="F2414" i="6"/>
  <c r="J2413" i="6"/>
  <c r="F2413" i="6"/>
  <c r="Y2412" i="6"/>
  <c r="K2412" i="6"/>
  <c r="Y2411" i="6"/>
  <c r="K2411" i="6"/>
  <c r="F1602" i="6" s="1"/>
  <c r="J2411" i="6"/>
  <c r="J2410" i="6"/>
  <c r="F2410" i="6"/>
  <c r="J2409" i="6"/>
  <c r="F2409" i="6"/>
  <c r="Y2408" i="6"/>
  <c r="K2408" i="6"/>
  <c r="Y2407" i="6"/>
  <c r="K2407" i="6"/>
  <c r="J2407" i="6"/>
  <c r="J2406" i="6"/>
  <c r="F2406" i="6"/>
  <c r="J2405" i="6"/>
  <c r="F2405" i="6"/>
  <c r="J2404" i="6"/>
  <c r="F2404" i="6"/>
  <c r="J2403" i="6"/>
  <c r="F2403" i="6"/>
  <c r="J2402" i="6"/>
  <c r="F2402" i="6"/>
  <c r="Y2401" i="6"/>
  <c r="K2401" i="6"/>
  <c r="Y2400" i="6"/>
  <c r="K2400" i="6"/>
  <c r="F1580" i="6" s="1"/>
  <c r="J2400" i="6"/>
  <c r="J2399" i="6"/>
  <c r="F2399" i="6"/>
  <c r="J2398" i="6"/>
  <c r="F2398" i="6"/>
  <c r="Y2397" i="6"/>
  <c r="K2397" i="6"/>
  <c r="Y2396" i="6"/>
  <c r="K2396" i="6"/>
  <c r="J2396" i="6"/>
  <c r="J2395" i="6"/>
  <c r="F2395" i="6"/>
  <c r="J2394" i="6"/>
  <c r="F2394" i="6"/>
  <c r="J2393" i="6"/>
  <c r="F2393" i="6"/>
  <c r="J2392" i="6"/>
  <c r="F2392" i="6"/>
  <c r="Y2391" i="6"/>
  <c r="K2391" i="6"/>
  <c r="Y2390" i="6"/>
  <c r="K2390" i="6"/>
  <c r="F1560" i="6" s="1"/>
  <c r="J2390" i="6"/>
  <c r="J2389" i="6"/>
  <c r="F2389" i="6"/>
  <c r="J2388" i="6"/>
  <c r="F2388" i="6"/>
  <c r="Y2387" i="6"/>
  <c r="K2387" i="6"/>
  <c r="Y2386" i="6"/>
  <c r="K2386" i="6"/>
  <c r="J2386" i="6"/>
  <c r="J2385" i="6"/>
  <c r="F2385" i="6"/>
  <c r="J2384" i="6"/>
  <c r="F2384" i="6"/>
  <c r="J2383" i="6"/>
  <c r="F2383" i="6"/>
  <c r="J2382" i="6"/>
  <c r="F2382" i="6"/>
  <c r="Y2381" i="6"/>
  <c r="K2381" i="6"/>
  <c r="Y2380" i="6"/>
  <c r="K2380" i="6"/>
  <c r="F1540" i="6" s="1"/>
  <c r="J2380" i="6"/>
  <c r="J2379" i="6"/>
  <c r="F2379" i="6"/>
  <c r="J2378" i="6"/>
  <c r="F2378" i="6"/>
  <c r="Y2377" i="6"/>
  <c r="K2377" i="6"/>
  <c r="Y2376" i="6"/>
  <c r="K2376" i="6"/>
  <c r="J2376" i="6"/>
  <c r="J2375" i="6"/>
  <c r="F2375" i="6"/>
  <c r="J2374" i="6"/>
  <c r="F2374" i="6"/>
  <c r="J2373" i="6"/>
  <c r="F2373" i="6"/>
  <c r="J2372" i="6"/>
  <c r="F2372" i="6"/>
  <c r="J2371" i="6"/>
  <c r="F2371" i="6"/>
  <c r="J2370" i="6"/>
  <c r="F2370" i="6"/>
  <c r="J2369" i="6"/>
  <c r="F2369" i="6"/>
  <c r="J2368" i="6"/>
  <c r="F2368" i="6"/>
  <c r="J2367" i="6"/>
  <c r="F2367" i="6"/>
  <c r="J2366" i="6"/>
  <c r="F2366" i="6"/>
  <c r="J2365" i="6"/>
  <c r="F2365" i="6"/>
  <c r="J2364" i="6"/>
  <c r="F2364" i="6"/>
  <c r="J2363" i="6"/>
  <c r="F2363" i="6"/>
  <c r="J2362" i="6"/>
  <c r="J2361" i="6"/>
  <c r="F2361" i="6"/>
  <c r="J2360" i="6"/>
  <c r="F2360" i="6"/>
  <c r="Y2359" i="6"/>
  <c r="K2359" i="6"/>
  <c r="Y2358" i="6"/>
  <c r="K2358" i="6"/>
  <c r="J2358" i="6"/>
  <c r="J2357" i="6"/>
  <c r="F2357" i="6"/>
  <c r="J2356" i="6"/>
  <c r="F2356" i="6"/>
  <c r="J2355" i="6"/>
  <c r="F2355" i="6"/>
  <c r="J2354" i="6"/>
  <c r="F2354" i="6"/>
  <c r="Y2353" i="6"/>
  <c r="K2353" i="6"/>
  <c r="J2353" i="6"/>
  <c r="J2352" i="6"/>
  <c r="F2352" i="6"/>
  <c r="J2351" i="6"/>
  <c r="F2351" i="6"/>
  <c r="J2350" i="6"/>
  <c r="F2350" i="6"/>
  <c r="J2349" i="6"/>
  <c r="F2349" i="6"/>
  <c r="Y2348" i="6"/>
  <c r="K2348" i="6"/>
  <c r="J2348" i="6"/>
  <c r="J2347" i="6"/>
  <c r="F2347" i="6"/>
  <c r="J2346" i="6"/>
  <c r="F2346" i="6"/>
  <c r="Y2345" i="6"/>
  <c r="K2345" i="6"/>
  <c r="J2345" i="6"/>
  <c r="J2344" i="6"/>
  <c r="F2344" i="6"/>
  <c r="J2343" i="6"/>
  <c r="F2343" i="6"/>
  <c r="Y2342" i="6"/>
  <c r="K2342" i="6"/>
  <c r="J2342" i="6"/>
  <c r="J2341" i="6"/>
  <c r="F2341" i="6"/>
  <c r="J2340" i="6"/>
  <c r="F2340" i="6"/>
  <c r="Y2339" i="6"/>
  <c r="K2339" i="6"/>
  <c r="J2339" i="6"/>
  <c r="J2338" i="6"/>
  <c r="F2338" i="6"/>
  <c r="Y2337" i="6"/>
  <c r="K2337" i="6"/>
  <c r="Y2336" i="6"/>
  <c r="K2336" i="6"/>
  <c r="J2336" i="6"/>
  <c r="J2335" i="6"/>
  <c r="F2335" i="6"/>
  <c r="J2334" i="6"/>
  <c r="F2334" i="6"/>
  <c r="Y2333" i="6"/>
  <c r="K2333" i="6"/>
  <c r="J2333" i="6"/>
  <c r="J2332" i="6"/>
  <c r="F2332" i="6"/>
  <c r="Y2331" i="6"/>
  <c r="K2331" i="6"/>
  <c r="J2331" i="6"/>
  <c r="J2330" i="6"/>
  <c r="F2330" i="6"/>
  <c r="Y2329" i="6"/>
  <c r="K2329" i="6"/>
  <c r="Y2328" i="6"/>
  <c r="K2328" i="6"/>
  <c r="J2328" i="6"/>
  <c r="J2327" i="6"/>
  <c r="F2327" i="6"/>
  <c r="J2326" i="6"/>
  <c r="F2326" i="6"/>
  <c r="Y2325" i="6"/>
  <c r="K2325" i="6"/>
  <c r="J2325" i="6"/>
  <c r="J2324" i="6"/>
  <c r="F2324" i="6"/>
  <c r="Y2323" i="6"/>
  <c r="K2323" i="6"/>
  <c r="Y2322" i="6"/>
  <c r="K2322" i="6"/>
  <c r="J2322" i="6"/>
  <c r="J2321" i="6"/>
  <c r="F2321" i="6"/>
  <c r="J2320" i="6"/>
  <c r="F2320" i="6"/>
  <c r="Y2319" i="6"/>
  <c r="K2319" i="6"/>
  <c r="F1418" i="6" s="1"/>
  <c r="J2318" i="6"/>
  <c r="J2317" i="6"/>
  <c r="F2317" i="6"/>
  <c r="J2316" i="6"/>
  <c r="F2316" i="6"/>
  <c r="J2315" i="6"/>
  <c r="F2315" i="6"/>
  <c r="J2314" i="6"/>
  <c r="F2314" i="6"/>
  <c r="J2313" i="6"/>
  <c r="F2313" i="6"/>
  <c r="J2312" i="6"/>
  <c r="F2312" i="6"/>
  <c r="J2311" i="6"/>
  <c r="F2311" i="6"/>
  <c r="J2310" i="6"/>
  <c r="F2310" i="6"/>
  <c r="J2309" i="6"/>
  <c r="F2309" i="6"/>
  <c r="J2308" i="6"/>
  <c r="F2308" i="6"/>
  <c r="J2307" i="6"/>
  <c r="F2307" i="6"/>
  <c r="J2306" i="6"/>
  <c r="F2306" i="6"/>
  <c r="J2305" i="6"/>
  <c r="F2305" i="6"/>
  <c r="J2304" i="6"/>
  <c r="F2304" i="6"/>
  <c r="L2303" i="6"/>
  <c r="J2303" i="6"/>
  <c r="L2302" i="6"/>
  <c r="J2302" i="6"/>
  <c r="F2302" i="6"/>
  <c r="L2301" i="6"/>
  <c r="J2301" i="6"/>
  <c r="L2300" i="6"/>
  <c r="J2300" i="6"/>
  <c r="F2300" i="6"/>
  <c r="L2299" i="6"/>
  <c r="J2299" i="6"/>
  <c r="L2298" i="6"/>
  <c r="J2298" i="6"/>
  <c r="F2298" i="6"/>
  <c r="L2297" i="6"/>
  <c r="J2297" i="6"/>
  <c r="L2296" i="6"/>
  <c r="J2296" i="6"/>
  <c r="F2296" i="6"/>
  <c r="L2295" i="6"/>
  <c r="J2295" i="6"/>
  <c r="L2294" i="6"/>
  <c r="J2294" i="6"/>
  <c r="F2294" i="6"/>
  <c r="L2293" i="6"/>
  <c r="L2292" i="6"/>
  <c r="J2292" i="6"/>
  <c r="L2291" i="6"/>
  <c r="J2291" i="6"/>
  <c r="F2291" i="6"/>
  <c r="L2290" i="6"/>
  <c r="J2290" i="6"/>
  <c r="F2290" i="6"/>
  <c r="L2289" i="6"/>
  <c r="J2289" i="6"/>
  <c r="L2288" i="6"/>
  <c r="J2288" i="6"/>
  <c r="F2288" i="6"/>
  <c r="L2287" i="6"/>
  <c r="J2287" i="6"/>
  <c r="F2287" i="6"/>
  <c r="L2286" i="6"/>
  <c r="J2286" i="6"/>
  <c r="F2286" i="6"/>
  <c r="L2285" i="6"/>
  <c r="J2285" i="6"/>
  <c r="F2285" i="6"/>
  <c r="L2284" i="6"/>
  <c r="L2283" i="6"/>
  <c r="J2283" i="6"/>
  <c r="L2282" i="6"/>
  <c r="J2282" i="6"/>
  <c r="F2282" i="6"/>
  <c r="L2281" i="6"/>
  <c r="J2281" i="6"/>
  <c r="F2281" i="6"/>
  <c r="L2280" i="6"/>
  <c r="L2279" i="6"/>
  <c r="J2279" i="6"/>
  <c r="L2278" i="6"/>
  <c r="J2278" i="6"/>
  <c r="F2278" i="6"/>
  <c r="L2277" i="6"/>
  <c r="J2277" i="6"/>
  <c r="F2277" i="6"/>
  <c r="L2276" i="6"/>
  <c r="J2276" i="6"/>
  <c r="F2276" i="6"/>
  <c r="L2275" i="6"/>
  <c r="J2275" i="6"/>
  <c r="F2275" i="6"/>
  <c r="L2274" i="6"/>
  <c r="J2274" i="6"/>
  <c r="F2274" i="6"/>
  <c r="L2273" i="6"/>
  <c r="L2272" i="6"/>
  <c r="J2272" i="6"/>
  <c r="L2271" i="6"/>
  <c r="J2271" i="6"/>
  <c r="F2271" i="6"/>
  <c r="L2270" i="6"/>
  <c r="J2270" i="6"/>
  <c r="F2270" i="6"/>
  <c r="L2269" i="6"/>
  <c r="L2268" i="6"/>
  <c r="J2268" i="6"/>
  <c r="L2267" i="6"/>
  <c r="J2267" i="6"/>
  <c r="F2267" i="6"/>
  <c r="L2266" i="6"/>
  <c r="J2266" i="6"/>
  <c r="F2266" i="6"/>
  <c r="L2265" i="6"/>
  <c r="J2265" i="6"/>
  <c r="F2265" i="6"/>
  <c r="L2264" i="6"/>
  <c r="J2264" i="6"/>
  <c r="F2264" i="6"/>
  <c r="L2263" i="6"/>
  <c r="L2262" i="6"/>
  <c r="J2262" i="6"/>
  <c r="L2261" i="6"/>
  <c r="J2261" i="6"/>
  <c r="F2261" i="6"/>
  <c r="L2260" i="6"/>
  <c r="J2260" i="6"/>
  <c r="F2260" i="6"/>
  <c r="L2259" i="6"/>
  <c r="L2258" i="6"/>
  <c r="J2258" i="6"/>
  <c r="L2257" i="6"/>
  <c r="J2257" i="6"/>
  <c r="F2257" i="6"/>
  <c r="L2256" i="6"/>
  <c r="J2256" i="6"/>
  <c r="F2256" i="6"/>
  <c r="L2255" i="6"/>
  <c r="J2255" i="6"/>
  <c r="F2255" i="6"/>
  <c r="L2254" i="6"/>
  <c r="J2254" i="6"/>
  <c r="F2254" i="6"/>
  <c r="L2253" i="6"/>
  <c r="L2252" i="6"/>
  <c r="J2252" i="6"/>
  <c r="L2251" i="6"/>
  <c r="J2251" i="6"/>
  <c r="F2251" i="6"/>
  <c r="L2250" i="6"/>
  <c r="J2250" i="6"/>
  <c r="F2250" i="6"/>
  <c r="L2249" i="6"/>
  <c r="L2248" i="6"/>
  <c r="J2248" i="6"/>
  <c r="L2247" i="6"/>
  <c r="J2247" i="6"/>
  <c r="F2247" i="6"/>
  <c r="L2246" i="6"/>
  <c r="J2246" i="6"/>
  <c r="F2246" i="6"/>
  <c r="L2245" i="6"/>
  <c r="J2245" i="6"/>
  <c r="F2245" i="6"/>
  <c r="L2244" i="6"/>
  <c r="J2244" i="6"/>
  <c r="F2244" i="6"/>
  <c r="L2243" i="6"/>
  <c r="J2243" i="6"/>
  <c r="F2243" i="6"/>
  <c r="L2242" i="6"/>
  <c r="J2242" i="6"/>
  <c r="F2242" i="6"/>
  <c r="L2241" i="6"/>
  <c r="J2241" i="6"/>
  <c r="F2241" i="6"/>
  <c r="L2240" i="6"/>
  <c r="J2240" i="6"/>
  <c r="F2240" i="6"/>
  <c r="L2239" i="6"/>
  <c r="J2239" i="6"/>
  <c r="F2239" i="6"/>
  <c r="L2238" i="6"/>
  <c r="J2238" i="6"/>
  <c r="F2238" i="6"/>
  <c r="L2237" i="6"/>
  <c r="J2237" i="6"/>
  <c r="F2237" i="6"/>
  <c r="L2236" i="6"/>
  <c r="J2236" i="6"/>
  <c r="F2236" i="6"/>
  <c r="L2235" i="6"/>
  <c r="J2235" i="6"/>
  <c r="F2235" i="6"/>
  <c r="L2234" i="6"/>
  <c r="J2234" i="6"/>
  <c r="L2233" i="6"/>
  <c r="J2233" i="6"/>
  <c r="F2233" i="6"/>
  <c r="L2232" i="6"/>
  <c r="J2232" i="6"/>
  <c r="F2232" i="6"/>
  <c r="L2231" i="6"/>
  <c r="L2230" i="6"/>
  <c r="J2230" i="6"/>
  <c r="L2229" i="6"/>
  <c r="J2229" i="6"/>
  <c r="F2229" i="6"/>
  <c r="L2228" i="6"/>
  <c r="J2228" i="6"/>
  <c r="F2228" i="6"/>
  <c r="L2227" i="6"/>
  <c r="J2227" i="6"/>
  <c r="F2227" i="6"/>
  <c r="L2226" i="6"/>
  <c r="J2226" i="6"/>
  <c r="F2226" i="6"/>
  <c r="L2225" i="6"/>
  <c r="J2225" i="6"/>
  <c r="L2224" i="6"/>
  <c r="J2224" i="6"/>
  <c r="F2224" i="6"/>
  <c r="L2223" i="6"/>
  <c r="J2223" i="6"/>
  <c r="F2223" i="6"/>
  <c r="L2222" i="6"/>
  <c r="J2222" i="6"/>
  <c r="F2222" i="6"/>
  <c r="L2221" i="6"/>
  <c r="J2221" i="6"/>
  <c r="F2221" i="6"/>
  <c r="L2220" i="6"/>
  <c r="J2220" i="6"/>
  <c r="L2219" i="6"/>
  <c r="J2219" i="6"/>
  <c r="F2219" i="6"/>
  <c r="L2218" i="6"/>
  <c r="J2218" i="6"/>
  <c r="F2218" i="6"/>
  <c r="L2217" i="6"/>
  <c r="J2217" i="6"/>
  <c r="L2216" i="6"/>
  <c r="J2216" i="6"/>
  <c r="F2216" i="6"/>
  <c r="L2215" i="6"/>
  <c r="J2215" i="6"/>
  <c r="F2215" i="6"/>
  <c r="L2214" i="6"/>
  <c r="J2214" i="6"/>
  <c r="L2213" i="6"/>
  <c r="J2213" i="6"/>
  <c r="F2213" i="6"/>
  <c r="L2212" i="6"/>
  <c r="J2212" i="6"/>
  <c r="F2212" i="6"/>
  <c r="L2211" i="6"/>
  <c r="J2211" i="6"/>
  <c r="L2210" i="6"/>
  <c r="J2210" i="6"/>
  <c r="F2210" i="6"/>
  <c r="L2209" i="6"/>
  <c r="L2208" i="6"/>
  <c r="J2208" i="6"/>
  <c r="L2207" i="6"/>
  <c r="J2207" i="6"/>
  <c r="F2207" i="6"/>
  <c r="L2206" i="6"/>
  <c r="J2206" i="6"/>
  <c r="F2206" i="6"/>
  <c r="L2205" i="6"/>
  <c r="J2205" i="6"/>
  <c r="L2204" i="6"/>
  <c r="J2204" i="6"/>
  <c r="F2204" i="6"/>
  <c r="L2203" i="6"/>
  <c r="J2203" i="6"/>
  <c r="L2202" i="6"/>
  <c r="J2202" i="6"/>
  <c r="F2202" i="6"/>
  <c r="L2201" i="6"/>
  <c r="L2200" i="6"/>
  <c r="J2200" i="6"/>
  <c r="L2199" i="6"/>
  <c r="J2199" i="6"/>
  <c r="F2199" i="6"/>
  <c r="L2198" i="6"/>
  <c r="J2198" i="6"/>
  <c r="F2198" i="6"/>
  <c r="L2197" i="6"/>
  <c r="J2197" i="6"/>
  <c r="L2196" i="6"/>
  <c r="J2196" i="6"/>
  <c r="F2196" i="6"/>
  <c r="L2195" i="6"/>
  <c r="L2194" i="6"/>
  <c r="J2194" i="6"/>
  <c r="L2193" i="6"/>
  <c r="J2193" i="6"/>
  <c r="F2193" i="6"/>
  <c r="L2192" i="6"/>
  <c r="J2192" i="6"/>
  <c r="F2192" i="6"/>
  <c r="L2191" i="6"/>
  <c r="L2190" i="6"/>
  <c r="J2190" i="6"/>
  <c r="L2189" i="6"/>
  <c r="J2189" i="6"/>
  <c r="F2189" i="6"/>
  <c r="L2188" i="6"/>
  <c r="J2188" i="6"/>
  <c r="F2188" i="6"/>
  <c r="X2187" i="6"/>
  <c r="J2187" i="6"/>
  <c r="F2187" i="6"/>
  <c r="X2186" i="6"/>
  <c r="J2186" i="6"/>
  <c r="F2186" i="6"/>
  <c r="X2185" i="6"/>
  <c r="J2185" i="6"/>
  <c r="F2185" i="6"/>
  <c r="X2184" i="6"/>
  <c r="J2184" i="6"/>
  <c r="F2184" i="6"/>
  <c r="X2183" i="6"/>
  <c r="J2183" i="6"/>
  <c r="F2183" i="6"/>
  <c r="X2182" i="6"/>
  <c r="J2182" i="6"/>
  <c r="F2182" i="6"/>
  <c r="X2181" i="6"/>
  <c r="J2181" i="6"/>
  <c r="F2181" i="6"/>
  <c r="X2180" i="6"/>
  <c r="J2180" i="6"/>
  <c r="F2180" i="6"/>
  <c r="X2179" i="6"/>
  <c r="J2179" i="6"/>
  <c r="F2179" i="6"/>
  <c r="X2178" i="6"/>
  <c r="J2178" i="6"/>
  <c r="F2178" i="6"/>
  <c r="X2177" i="6"/>
  <c r="J2177" i="6"/>
  <c r="F2177" i="6"/>
  <c r="X2176" i="6"/>
  <c r="J2176" i="6"/>
  <c r="F2176" i="6"/>
  <c r="J2175" i="6"/>
  <c r="J2174" i="6"/>
  <c r="F2174" i="6"/>
  <c r="J2173" i="6"/>
  <c r="J2172" i="6"/>
  <c r="F2172" i="6"/>
  <c r="J2171" i="6"/>
  <c r="J2170" i="6"/>
  <c r="F2170" i="6"/>
  <c r="J2169" i="6"/>
  <c r="J2168" i="6"/>
  <c r="F2168" i="6"/>
  <c r="J2167" i="6"/>
  <c r="J2166" i="6"/>
  <c r="F2166" i="6"/>
  <c r="J2164" i="6"/>
  <c r="J2163" i="6"/>
  <c r="F2163" i="6"/>
  <c r="J2162" i="6"/>
  <c r="F2162" i="6"/>
  <c r="J2161" i="6"/>
  <c r="J2160" i="6"/>
  <c r="F2160" i="6"/>
  <c r="J2159" i="6"/>
  <c r="F2159" i="6"/>
  <c r="J2158" i="6"/>
  <c r="F2158" i="6"/>
  <c r="J2157" i="6"/>
  <c r="F2157" i="6"/>
  <c r="J2155" i="6"/>
  <c r="J2154" i="6"/>
  <c r="F2154" i="6"/>
  <c r="J2153" i="6"/>
  <c r="F2153" i="6"/>
  <c r="J2151" i="6"/>
  <c r="J2150" i="6"/>
  <c r="F2150" i="6"/>
  <c r="J2149" i="6"/>
  <c r="F2149" i="6"/>
  <c r="J2148" i="6"/>
  <c r="F2148" i="6"/>
  <c r="J2147" i="6"/>
  <c r="F2147" i="6"/>
  <c r="J2146" i="6"/>
  <c r="F2146" i="6"/>
  <c r="J2144" i="6"/>
  <c r="J2143" i="6"/>
  <c r="F2143" i="6"/>
  <c r="J2142" i="6"/>
  <c r="F2142" i="6"/>
  <c r="J2140" i="6"/>
  <c r="J2139" i="6"/>
  <c r="F2139" i="6"/>
  <c r="J2138" i="6"/>
  <c r="F2138" i="6"/>
  <c r="J2137" i="6"/>
  <c r="F2137" i="6"/>
  <c r="J2136" i="6"/>
  <c r="F2136" i="6"/>
  <c r="J2134" i="6"/>
  <c r="J2133" i="6"/>
  <c r="F2133" i="6"/>
  <c r="J2132" i="6"/>
  <c r="F2132" i="6"/>
  <c r="J2130" i="6"/>
  <c r="J2129" i="6"/>
  <c r="F2129" i="6"/>
  <c r="J2128" i="6"/>
  <c r="F2128" i="6"/>
  <c r="J2127" i="6"/>
  <c r="F2127" i="6"/>
  <c r="J2126" i="6"/>
  <c r="F2126" i="6"/>
  <c r="J2124" i="6"/>
  <c r="J2123" i="6"/>
  <c r="F2123" i="6"/>
  <c r="J2122" i="6"/>
  <c r="F2122" i="6"/>
  <c r="J2120" i="6"/>
  <c r="J2119" i="6"/>
  <c r="F2119" i="6"/>
  <c r="J2118" i="6"/>
  <c r="F2118" i="6"/>
  <c r="J2117" i="6"/>
  <c r="F2117" i="6"/>
  <c r="J2116" i="6"/>
  <c r="F2116" i="6"/>
  <c r="J2115" i="6"/>
  <c r="F2115" i="6"/>
  <c r="J2114" i="6"/>
  <c r="F2114" i="6"/>
  <c r="J2113" i="6"/>
  <c r="F2113" i="6"/>
  <c r="J2112" i="6"/>
  <c r="F2112" i="6"/>
  <c r="J2111" i="6"/>
  <c r="F2111" i="6"/>
  <c r="J2110" i="6"/>
  <c r="F2110" i="6"/>
  <c r="J2109" i="6"/>
  <c r="F2109" i="6"/>
  <c r="J2108" i="6"/>
  <c r="F2108" i="6"/>
  <c r="J2107" i="6"/>
  <c r="F2107" i="6"/>
  <c r="J2106" i="6"/>
  <c r="J2105" i="6"/>
  <c r="F2105" i="6"/>
  <c r="J2104" i="6"/>
  <c r="F2104" i="6"/>
  <c r="J2102" i="6"/>
  <c r="J2101" i="6"/>
  <c r="F2101" i="6"/>
  <c r="J2100" i="6"/>
  <c r="F2100" i="6"/>
  <c r="J2099" i="6"/>
  <c r="F2099" i="6"/>
  <c r="J2098" i="6"/>
  <c r="F2098" i="6"/>
  <c r="J2097" i="6"/>
  <c r="J2096" i="6"/>
  <c r="F2096" i="6"/>
  <c r="J2095" i="6"/>
  <c r="F2095" i="6"/>
  <c r="J2094" i="6"/>
  <c r="F2094" i="6"/>
  <c r="J2093" i="6"/>
  <c r="F2093" i="6"/>
  <c r="J2092" i="6"/>
  <c r="J2091" i="6"/>
  <c r="F2091" i="6"/>
  <c r="J2090" i="6"/>
  <c r="F2090" i="6"/>
  <c r="J2089" i="6"/>
  <c r="J2088" i="6"/>
  <c r="F2088" i="6"/>
  <c r="J2087" i="6"/>
  <c r="F2087" i="6"/>
  <c r="J2086" i="6"/>
  <c r="J2085" i="6"/>
  <c r="F2085" i="6"/>
  <c r="J2084" i="6"/>
  <c r="F2084" i="6"/>
  <c r="J2083" i="6"/>
  <c r="J2082" i="6"/>
  <c r="F2082" i="6"/>
  <c r="J2080" i="6"/>
  <c r="J2079" i="6"/>
  <c r="F2079" i="6"/>
  <c r="J2078" i="6"/>
  <c r="F2078" i="6"/>
  <c r="J2077" i="6"/>
  <c r="J2076" i="6"/>
  <c r="F2076" i="6"/>
  <c r="J2075" i="6"/>
  <c r="J2074" i="6"/>
  <c r="F2074" i="6"/>
  <c r="J2072" i="6"/>
  <c r="J2071" i="6"/>
  <c r="F2071" i="6"/>
  <c r="J2070" i="6"/>
  <c r="F2070" i="6"/>
  <c r="J2069" i="6"/>
  <c r="J2068" i="6"/>
  <c r="F2068" i="6"/>
  <c r="J2066" i="6"/>
  <c r="J2065" i="6"/>
  <c r="F2065" i="6"/>
  <c r="J2064" i="6"/>
  <c r="F2064" i="6"/>
  <c r="J2062" i="6"/>
  <c r="J2061" i="6"/>
  <c r="F2061" i="6"/>
  <c r="J2060" i="6"/>
  <c r="F2060" i="6"/>
  <c r="J2059" i="6"/>
  <c r="F2059" i="6"/>
  <c r="J2058" i="6"/>
  <c r="F2058" i="6"/>
  <c r="J2057" i="6"/>
  <c r="F2057" i="6"/>
  <c r="J2056" i="6"/>
  <c r="F2056" i="6"/>
  <c r="J2055" i="6"/>
  <c r="F2055" i="6"/>
  <c r="J2054" i="6"/>
  <c r="F2054" i="6"/>
  <c r="J2053" i="6"/>
  <c r="F2053" i="6"/>
  <c r="J2052" i="6"/>
  <c r="F2052" i="6"/>
  <c r="J2051" i="6"/>
  <c r="F2051" i="6"/>
  <c r="J2050" i="6"/>
  <c r="F2050" i="6"/>
  <c r="J2049" i="6"/>
  <c r="F2049" i="6"/>
  <c r="J2048" i="6"/>
  <c r="F2048" i="6"/>
  <c r="J2047" i="6"/>
  <c r="J2046" i="6"/>
  <c r="F2046" i="6"/>
  <c r="J2045" i="6"/>
  <c r="J2044" i="6"/>
  <c r="F2044" i="6"/>
  <c r="J2043" i="6"/>
  <c r="J2042" i="6"/>
  <c r="F2042" i="6"/>
  <c r="J2041" i="6"/>
  <c r="J2040" i="6"/>
  <c r="F2040" i="6"/>
  <c r="J2039" i="6"/>
  <c r="J2038" i="6"/>
  <c r="F2038" i="6"/>
  <c r="J2036" i="6"/>
  <c r="J2035" i="6"/>
  <c r="F2035" i="6"/>
  <c r="J2034" i="6"/>
  <c r="F2034" i="6"/>
  <c r="J2033" i="6"/>
  <c r="J2032" i="6"/>
  <c r="F2032" i="6"/>
  <c r="J2031" i="6"/>
  <c r="F2031" i="6"/>
  <c r="J2030" i="6"/>
  <c r="F2030" i="6"/>
  <c r="J2029" i="6"/>
  <c r="F2029" i="6"/>
  <c r="J2027" i="6"/>
  <c r="J2026" i="6"/>
  <c r="F2026" i="6"/>
  <c r="J2025" i="6"/>
  <c r="F2025" i="6"/>
  <c r="J2023" i="6"/>
  <c r="J2022" i="6"/>
  <c r="F2022" i="6"/>
  <c r="J2021" i="6"/>
  <c r="F2021" i="6"/>
  <c r="J2020" i="6"/>
  <c r="F2020" i="6"/>
  <c r="J2019" i="6"/>
  <c r="F2019" i="6"/>
  <c r="J2018" i="6"/>
  <c r="F2018" i="6"/>
  <c r="J2016" i="6"/>
  <c r="J2015" i="6"/>
  <c r="F2015" i="6"/>
  <c r="J2014" i="6"/>
  <c r="F2014" i="6"/>
  <c r="J2012" i="6"/>
  <c r="J2011" i="6"/>
  <c r="F2011" i="6"/>
  <c r="J2010" i="6"/>
  <c r="F2010" i="6"/>
  <c r="J2009" i="6"/>
  <c r="F2009" i="6"/>
  <c r="J2008" i="6"/>
  <c r="F2008" i="6"/>
  <c r="J2006" i="6"/>
  <c r="J2005" i="6"/>
  <c r="F2005" i="6"/>
  <c r="J2004" i="6"/>
  <c r="F2004" i="6"/>
  <c r="J2002" i="6"/>
  <c r="J2001" i="6"/>
  <c r="F2001" i="6"/>
  <c r="J2000" i="6"/>
  <c r="F2000" i="6"/>
  <c r="J1999" i="6"/>
  <c r="F1999" i="6"/>
  <c r="J1998" i="6"/>
  <c r="F1998" i="6"/>
  <c r="J1996" i="6"/>
  <c r="J1995" i="6"/>
  <c r="F1995" i="6"/>
  <c r="J1994" i="6"/>
  <c r="F1994" i="6"/>
  <c r="J1992" i="6"/>
  <c r="J1991" i="6"/>
  <c r="F1991" i="6"/>
  <c r="J1990" i="6"/>
  <c r="F1990" i="6"/>
  <c r="J1989" i="6"/>
  <c r="F1989" i="6"/>
  <c r="J1988" i="6"/>
  <c r="F1988" i="6"/>
  <c r="J1987" i="6"/>
  <c r="F1987" i="6"/>
  <c r="J1986" i="6"/>
  <c r="F1986" i="6"/>
  <c r="J1985" i="6"/>
  <c r="F1985" i="6"/>
  <c r="J1984" i="6"/>
  <c r="F1984" i="6"/>
  <c r="J1983" i="6"/>
  <c r="F1983" i="6"/>
  <c r="J1982" i="6"/>
  <c r="F1982" i="6"/>
  <c r="J1981" i="6"/>
  <c r="F1981" i="6"/>
  <c r="J1980" i="6"/>
  <c r="F1980" i="6"/>
  <c r="J1979" i="6"/>
  <c r="F1979" i="6"/>
  <c r="J1978" i="6"/>
  <c r="J1977" i="6"/>
  <c r="F1977" i="6"/>
  <c r="J1976" i="6"/>
  <c r="F1976" i="6"/>
  <c r="J1974" i="6"/>
  <c r="J1973" i="6"/>
  <c r="F1973" i="6"/>
  <c r="J1972" i="6"/>
  <c r="F1972" i="6"/>
  <c r="J1971" i="6"/>
  <c r="F1971" i="6"/>
  <c r="J1970" i="6"/>
  <c r="F1970" i="6"/>
  <c r="J1969" i="6"/>
  <c r="J1968" i="6"/>
  <c r="F1968" i="6"/>
  <c r="J1967" i="6"/>
  <c r="F1967" i="6"/>
  <c r="J1966" i="6"/>
  <c r="F1966" i="6"/>
  <c r="J1965" i="6"/>
  <c r="F1965" i="6"/>
  <c r="J1964" i="6"/>
  <c r="J1963" i="6"/>
  <c r="F1963" i="6"/>
  <c r="J1962" i="6"/>
  <c r="F1962" i="6"/>
  <c r="J1961" i="6"/>
  <c r="J1960" i="6"/>
  <c r="F1960" i="6"/>
  <c r="J1959" i="6"/>
  <c r="F1959" i="6"/>
  <c r="J1958" i="6"/>
  <c r="J1957" i="6"/>
  <c r="F1957" i="6"/>
  <c r="J1956" i="6"/>
  <c r="F1956" i="6"/>
  <c r="J1955" i="6"/>
  <c r="J1954" i="6"/>
  <c r="F1954" i="6"/>
  <c r="J1952" i="6"/>
  <c r="J1951" i="6"/>
  <c r="F1951" i="6"/>
  <c r="J1950" i="6"/>
  <c r="F1950" i="6"/>
  <c r="J1949" i="6"/>
  <c r="J1948" i="6"/>
  <c r="F1948" i="6"/>
  <c r="J1947" i="6"/>
  <c r="J1946" i="6"/>
  <c r="F1946" i="6"/>
  <c r="J1944" i="6"/>
  <c r="J1943" i="6"/>
  <c r="F1943" i="6"/>
  <c r="J1942" i="6"/>
  <c r="F1942" i="6"/>
  <c r="J1941" i="6"/>
  <c r="J1940" i="6"/>
  <c r="F1940" i="6"/>
  <c r="J1938" i="6"/>
  <c r="J1937" i="6"/>
  <c r="F1937" i="6"/>
  <c r="J1936" i="6"/>
  <c r="F1936" i="6"/>
  <c r="J1934" i="6"/>
  <c r="J1933" i="6"/>
  <c r="F1933" i="6"/>
  <c r="J1932" i="6"/>
  <c r="F1932" i="6"/>
  <c r="J1931" i="6"/>
  <c r="F1931" i="6"/>
  <c r="J1930" i="6"/>
  <c r="F1930" i="6"/>
  <c r="J1929" i="6"/>
  <c r="F1929" i="6"/>
  <c r="J1928" i="6"/>
  <c r="F1928" i="6"/>
  <c r="J1927" i="6"/>
  <c r="F1927" i="6"/>
  <c r="J1926" i="6"/>
  <c r="F1926" i="6"/>
  <c r="J1925" i="6"/>
  <c r="F1925" i="6"/>
  <c r="J1924" i="6"/>
  <c r="F1924" i="6"/>
  <c r="J1923" i="6"/>
  <c r="F1923" i="6"/>
  <c r="J1922" i="6"/>
  <c r="F1922" i="6"/>
  <c r="J1921" i="6"/>
  <c r="F1921" i="6"/>
  <c r="J1920" i="6"/>
  <c r="F1920" i="6"/>
  <c r="J1919" i="6"/>
  <c r="J1918" i="6"/>
  <c r="F1918" i="6"/>
  <c r="J1917" i="6"/>
  <c r="J1916" i="6"/>
  <c r="F1916" i="6"/>
  <c r="J1915" i="6"/>
  <c r="J1914" i="6"/>
  <c r="F1914" i="6"/>
  <c r="J1913" i="6"/>
  <c r="J1912" i="6"/>
  <c r="F1912" i="6"/>
  <c r="J1911" i="6"/>
  <c r="J1910" i="6"/>
  <c r="F1910" i="6"/>
  <c r="J1908" i="6"/>
  <c r="J1907" i="6"/>
  <c r="F1907" i="6"/>
  <c r="J1906" i="6"/>
  <c r="F1906" i="6"/>
  <c r="J1905" i="6"/>
  <c r="J1904" i="6"/>
  <c r="F1904" i="6"/>
  <c r="J1903" i="6"/>
  <c r="F1903" i="6"/>
  <c r="J1902" i="6"/>
  <c r="F1902" i="6"/>
  <c r="J1901" i="6"/>
  <c r="F1901" i="6"/>
  <c r="J1899" i="6"/>
  <c r="J1898" i="6"/>
  <c r="F1898" i="6"/>
  <c r="J1897" i="6"/>
  <c r="F1897" i="6"/>
  <c r="J1895" i="6"/>
  <c r="J1894" i="6"/>
  <c r="F1894" i="6"/>
  <c r="J1893" i="6"/>
  <c r="F1893" i="6"/>
  <c r="J1892" i="6"/>
  <c r="F1892" i="6"/>
  <c r="J1891" i="6"/>
  <c r="F1891" i="6"/>
  <c r="J1890" i="6"/>
  <c r="F1890" i="6"/>
  <c r="J1888" i="6"/>
  <c r="J1887" i="6"/>
  <c r="F1887" i="6"/>
  <c r="J1886" i="6"/>
  <c r="F1886" i="6"/>
  <c r="J1884" i="6"/>
  <c r="J1883" i="6"/>
  <c r="F1883" i="6"/>
  <c r="J1882" i="6"/>
  <c r="F1882" i="6"/>
  <c r="J1881" i="6"/>
  <c r="F1881" i="6"/>
  <c r="J1880" i="6"/>
  <c r="F1880" i="6"/>
  <c r="J1878" i="6"/>
  <c r="J1877" i="6"/>
  <c r="F1877" i="6"/>
  <c r="J1876" i="6"/>
  <c r="F1876" i="6"/>
  <c r="J1874" i="6"/>
  <c r="J1873" i="6"/>
  <c r="F1873" i="6"/>
  <c r="J1872" i="6"/>
  <c r="F1872" i="6"/>
  <c r="J1871" i="6"/>
  <c r="F1871" i="6"/>
  <c r="J1870" i="6"/>
  <c r="F1870" i="6"/>
  <c r="J1868" i="6"/>
  <c r="J1867" i="6"/>
  <c r="F1867" i="6"/>
  <c r="J1866" i="6"/>
  <c r="F1866" i="6"/>
  <c r="J1864" i="6"/>
  <c r="J1863" i="6"/>
  <c r="F1863" i="6"/>
  <c r="J1862" i="6"/>
  <c r="F1862" i="6"/>
  <c r="J1861" i="6"/>
  <c r="F1861" i="6"/>
  <c r="J1860" i="6"/>
  <c r="F1860" i="6"/>
  <c r="J1859" i="6"/>
  <c r="F1859" i="6"/>
  <c r="J1858" i="6"/>
  <c r="F1858" i="6"/>
  <c r="J1857" i="6"/>
  <c r="F1857" i="6"/>
  <c r="J1856" i="6"/>
  <c r="F1856" i="6"/>
  <c r="J1855" i="6"/>
  <c r="F1855" i="6"/>
  <c r="J1854" i="6"/>
  <c r="F1854" i="6"/>
  <c r="J1853" i="6"/>
  <c r="F1853" i="6"/>
  <c r="J1852" i="6"/>
  <c r="F1852" i="6"/>
  <c r="J1851" i="6"/>
  <c r="F1851" i="6"/>
  <c r="J1850" i="6"/>
  <c r="J1849" i="6"/>
  <c r="F1849" i="6"/>
  <c r="J1848" i="6"/>
  <c r="F1848" i="6"/>
  <c r="J1846" i="6"/>
  <c r="J1845" i="6"/>
  <c r="F1845" i="6"/>
  <c r="J1844" i="6"/>
  <c r="F1844" i="6"/>
  <c r="J1843" i="6"/>
  <c r="F1843" i="6"/>
  <c r="J1842" i="6"/>
  <c r="F1842" i="6"/>
  <c r="J1841" i="6"/>
  <c r="J1840" i="6"/>
  <c r="F1840" i="6"/>
  <c r="J1839" i="6"/>
  <c r="F1839" i="6"/>
  <c r="J1838" i="6"/>
  <c r="F1838" i="6"/>
  <c r="J1837" i="6"/>
  <c r="F1837" i="6"/>
  <c r="J1836" i="6"/>
  <c r="J1835" i="6"/>
  <c r="F1835" i="6"/>
  <c r="J1834" i="6"/>
  <c r="F1834" i="6"/>
  <c r="J1833" i="6"/>
  <c r="J1832" i="6"/>
  <c r="F1832" i="6"/>
  <c r="J1831" i="6"/>
  <c r="F1831" i="6"/>
  <c r="J1830" i="6"/>
  <c r="J1829" i="6"/>
  <c r="F1829" i="6"/>
  <c r="J1828" i="6"/>
  <c r="F1828" i="6"/>
  <c r="J1827" i="6"/>
  <c r="J1826" i="6"/>
  <c r="F1826" i="6"/>
  <c r="J1824" i="6"/>
  <c r="J1823" i="6"/>
  <c r="F1823" i="6"/>
  <c r="J1822" i="6"/>
  <c r="F1822" i="6"/>
  <c r="J1821" i="6"/>
  <c r="J1820" i="6"/>
  <c r="F1820" i="6"/>
  <c r="J1819" i="6"/>
  <c r="J1818" i="6"/>
  <c r="F1818" i="6"/>
  <c r="J1816" i="6"/>
  <c r="J1815" i="6"/>
  <c r="F1815" i="6"/>
  <c r="J1814" i="6"/>
  <c r="F1814" i="6"/>
  <c r="J1813" i="6"/>
  <c r="J1812" i="6"/>
  <c r="F1812" i="6"/>
  <c r="J1810" i="6"/>
  <c r="J1809" i="6"/>
  <c r="F1809" i="6"/>
  <c r="J1808" i="6"/>
  <c r="F1808" i="6"/>
  <c r="J1806" i="6"/>
  <c r="J1805" i="6"/>
  <c r="F1805" i="6"/>
  <c r="J1804" i="6"/>
  <c r="F1804" i="6"/>
  <c r="J1803" i="6"/>
  <c r="F1803" i="6"/>
  <c r="J1802" i="6"/>
  <c r="F1802" i="6"/>
  <c r="J1801" i="6"/>
  <c r="F1801" i="6"/>
  <c r="J1800" i="6"/>
  <c r="F1800" i="6"/>
  <c r="J1799" i="6"/>
  <c r="F1799" i="6"/>
  <c r="J1798" i="6"/>
  <c r="F1798" i="6"/>
  <c r="J1797" i="6"/>
  <c r="F1797" i="6"/>
  <c r="J1796" i="6"/>
  <c r="F1796" i="6"/>
  <c r="J1795" i="6"/>
  <c r="F1795" i="6"/>
  <c r="J1794" i="6"/>
  <c r="F1794" i="6"/>
  <c r="J1793" i="6"/>
  <c r="F1793" i="6"/>
  <c r="J1792" i="6"/>
  <c r="F1792" i="6"/>
  <c r="K1791" i="6"/>
  <c r="L1791" i="6" s="1"/>
  <c r="J1791" i="6"/>
  <c r="L1790" i="6"/>
  <c r="L1640" i="6" s="1"/>
  <c r="L1642" i="6" s="1"/>
  <c r="J1790" i="6"/>
  <c r="F1790" i="6"/>
  <c r="K1789" i="6"/>
  <c r="J1789" i="6"/>
  <c r="L1788" i="6"/>
  <c r="L1636" i="6" s="1"/>
  <c r="L1638" i="6" s="1"/>
  <c r="J1788" i="6"/>
  <c r="F1788" i="6"/>
  <c r="K1787" i="6"/>
  <c r="L1787" i="6" s="1"/>
  <c r="J1787" i="6"/>
  <c r="L1786" i="6"/>
  <c r="L1632" i="6" s="1"/>
  <c r="L1634" i="6" s="1"/>
  <c r="J1786" i="6"/>
  <c r="F1786" i="6"/>
  <c r="K1785" i="6"/>
  <c r="J1785" i="6"/>
  <c r="L1784" i="6"/>
  <c r="L1628" i="6" s="1"/>
  <c r="L1630" i="6" s="1"/>
  <c r="J1784" i="6"/>
  <c r="F1784" i="6"/>
  <c r="K1783" i="6"/>
  <c r="L1783" i="6" s="1"/>
  <c r="J1783" i="6"/>
  <c r="L1782" i="6"/>
  <c r="L1624" i="6" s="1"/>
  <c r="L1626" i="6" s="1"/>
  <c r="J1782" i="6"/>
  <c r="F1782" i="6"/>
  <c r="K1781" i="6"/>
  <c r="K1780" i="6"/>
  <c r="L1780" i="6" s="1"/>
  <c r="J1780" i="6"/>
  <c r="L1779" i="6"/>
  <c r="J1779" i="6"/>
  <c r="F1779" i="6"/>
  <c r="L1778" i="6"/>
  <c r="L1616" i="6" s="1"/>
  <c r="L1620" i="6" s="1"/>
  <c r="J1778" i="6"/>
  <c r="F1778" i="6"/>
  <c r="K1777" i="6"/>
  <c r="L1777" i="6" s="1"/>
  <c r="J1777" i="6"/>
  <c r="L1776" i="6"/>
  <c r="L1612" i="6" s="1"/>
  <c r="L1614" i="6" s="1"/>
  <c r="J1776" i="6"/>
  <c r="F1776" i="6"/>
  <c r="L1775" i="6"/>
  <c r="L1610" i="6" s="1"/>
  <c r="J1775" i="6"/>
  <c r="F1775" i="6"/>
  <c r="L1774" i="6"/>
  <c r="J1774" i="6"/>
  <c r="F1774" i="6"/>
  <c r="L1773" i="6"/>
  <c r="L1606" i="6" s="1"/>
  <c r="J1773" i="6"/>
  <c r="F1773" i="6"/>
  <c r="K1772" i="6"/>
  <c r="K1771" i="6"/>
  <c r="J1771" i="6"/>
  <c r="L1770" i="6"/>
  <c r="J1770" i="6"/>
  <c r="F1770" i="6"/>
  <c r="L1769" i="6"/>
  <c r="L1598" i="6" s="1"/>
  <c r="L1602" i="6" s="1"/>
  <c r="J1769" i="6"/>
  <c r="F1769" i="6"/>
  <c r="K1768" i="6"/>
  <c r="L1768" i="6" s="1"/>
  <c r="K1767" i="6"/>
  <c r="L1767" i="6" s="1"/>
  <c r="J1767" i="6"/>
  <c r="L1766" i="6"/>
  <c r="J1766" i="6"/>
  <c r="F1766" i="6"/>
  <c r="L1765" i="6"/>
  <c r="L1590" i="6" s="1"/>
  <c r="L1594" i="6" s="1"/>
  <c r="J1765" i="6"/>
  <c r="F1765" i="6"/>
  <c r="L1764" i="6"/>
  <c r="L1588" i="6" s="1"/>
  <c r="J1764" i="6"/>
  <c r="F1764" i="6"/>
  <c r="L1763" i="6"/>
  <c r="J1763" i="6"/>
  <c r="F1763" i="6"/>
  <c r="L1762" i="6"/>
  <c r="L1584" i="6" s="1"/>
  <c r="J1762" i="6"/>
  <c r="F1762" i="6"/>
  <c r="K1761" i="6"/>
  <c r="L1761" i="6" s="1"/>
  <c r="K1760" i="6"/>
  <c r="L1760" i="6" s="1"/>
  <c r="J1760" i="6"/>
  <c r="L1759" i="6"/>
  <c r="J1759" i="6"/>
  <c r="F1759" i="6"/>
  <c r="L1758" i="6"/>
  <c r="L1576" i="6" s="1"/>
  <c r="L1580" i="6" s="1"/>
  <c r="J1758" i="6"/>
  <c r="F1758" i="6"/>
  <c r="K1757" i="6"/>
  <c r="L1757" i="6" s="1"/>
  <c r="K1756" i="6"/>
  <c r="J1756" i="6"/>
  <c r="L1755" i="6"/>
  <c r="J1755" i="6"/>
  <c r="F1755" i="6"/>
  <c r="L1754" i="6"/>
  <c r="L1568" i="6" s="1"/>
  <c r="L1572" i="6" s="1"/>
  <c r="J1754" i="6"/>
  <c r="F1754" i="6"/>
  <c r="L1753" i="6"/>
  <c r="J1753" i="6"/>
  <c r="F1753" i="6"/>
  <c r="L1752" i="6"/>
  <c r="L1564" i="6" s="1"/>
  <c r="J1752" i="6"/>
  <c r="F1752" i="6"/>
  <c r="K1751" i="6"/>
  <c r="L1751" i="6" s="1"/>
  <c r="K1750" i="6"/>
  <c r="L1750" i="6" s="1"/>
  <c r="J1750" i="6"/>
  <c r="L1749" i="6"/>
  <c r="J1749" i="6"/>
  <c r="F1749" i="6"/>
  <c r="L1748" i="6"/>
  <c r="L1556" i="6" s="1"/>
  <c r="L1560" i="6" s="1"/>
  <c r="J1748" i="6"/>
  <c r="F1748" i="6"/>
  <c r="K1747" i="6"/>
  <c r="K1746" i="6"/>
  <c r="L1746" i="6" s="1"/>
  <c r="J1746" i="6"/>
  <c r="L1745" i="6"/>
  <c r="J1745" i="6"/>
  <c r="F1745" i="6"/>
  <c r="L1744" i="6"/>
  <c r="L1548" i="6" s="1"/>
  <c r="L1552" i="6" s="1"/>
  <c r="J1744" i="6"/>
  <c r="F1744" i="6"/>
  <c r="L1743" i="6"/>
  <c r="J1743" i="6"/>
  <c r="F1743" i="6"/>
  <c r="L1742" i="6"/>
  <c r="L1544" i="6" s="1"/>
  <c r="J1742" i="6"/>
  <c r="F1742" i="6"/>
  <c r="K1741" i="6"/>
  <c r="L1741" i="6" s="1"/>
  <c r="K1740" i="6"/>
  <c r="J1740" i="6"/>
  <c r="L1739" i="6"/>
  <c r="J1739" i="6"/>
  <c r="F1739" i="6"/>
  <c r="L1738" i="6"/>
  <c r="L1536" i="6" s="1"/>
  <c r="L1540" i="6" s="1"/>
  <c r="J1738" i="6"/>
  <c r="F1738" i="6"/>
  <c r="K1737" i="6"/>
  <c r="K1736" i="6"/>
  <c r="L1736" i="6" s="1"/>
  <c r="J1736" i="6"/>
  <c r="L1735" i="6"/>
  <c r="J1735" i="6"/>
  <c r="F1735" i="6"/>
  <c r="L1734" i="6"/>
  <c r="L1528" i="6" s="1"/>
  <c r="L1532" i="6" s="1"/>
  <c r="J1734" i="6"/>
  <c r="F1734" i="6"/>
  <c r="L1733" i="6"/>
  <c r="J1733" i="6"/>
  <c r="F1733" i="6"/>
  <c r="L1732" i="6"/>
  <c r="L1524" i="6" s="1"/>
  <c r="J1732" i="6"/>
  <c r="F1732" i="6"/>
  <c r="L1731" i="6"/>
  <c r="L1522" i="6" s="1"/>
  <c r="J1731" i="6"/>
  <c r="F1731" i="6"/>
  <c r="L1730" i="6"/>
  <c r="J1730" i="6"/>
  <c r="F1730" i="6"/>
  <c r="L1729" i="6"/>
  <c r="L1518" i="6" s="1"/>
  <c r="J1729" i="6"/>
  <c r="F1729" i="6"/>
  <c r="L1728" i="6"/>
  <c r="L1516" i="6" s="1"/>
  <c r="J1728" i="6"/>
  <c r="F1728" i="6"/>
  <c r="L1727" i="6"/>
  <c r="J1727" i="6"/>
  <c r="F1727" i="6"/>
  <c r="L1726" i="6"/>
  <c r="L1512" i="6" s="1"/>
  <c r="J1726" i="6"/>
  <c r="F1726" i="6"/>
  <c r="L1725" i="6"/>
  <c r="L1510" i="6" s="1"/>
  <c r="J1725" i="6"/>
  <c r="F1725" i="6"/>
  <c r="L1724" i="6"/>
  <c r="J1724" i="6"/>
  <c r="F1724" i="6"/>
  <c r="L1723" i="6"/>
  <c r="L1506" i="6" s="1"/>
  <c r="J1723" i="6"/>
  <c r="F1723" i="6"/>
  <c r="L1722" i="6"/>
  <c r="J1722" i="6"/>
  <c r="L1721" i="6"/>
  <c r="L1502" i="6" s="1"/>
  <c r="L1504" i="6" s="1"/>
  <c r="J1721" i="6"/>
  <c r="F1721" i="6"/>
  <c r="L1720" i="6"/>
  <c r="L1500" i="6" s="1"/>
  <c r="J1720" i="6"/>
  <c r="F1720" i="6"/>
  <c r="K1719" i="6"/>
  <c r="L1719" i="6" s="1"/>
  <c r="K1718" i="6"/>
  <c r="L1718" i="6" s="1"/>
  <c r="J1718" i="6"/>
  <c r="L1717" i="6"/>
  <c r="J1717" i="6"/>
  <c r="F1717" i="6"/>
  <c r="L1716" i="6"/>
  <c r="L1492" i="6" s="1"/>
  <c r="L1496" i="6" s="1"/>
  <c r="J1716" i="6"/>
  <c r="F1716" i="6"/>
  <c r="L1715" i="6"/>
  <c r="J1715" i="6"/>
  <c r="F1715" i="6"/>
  <c r="L1714" i="6"/>
  <c r="L1488" i="6" s="1"/>
  <c r="J1714" i="6"/>
  <c r="F1714" i="6"/>
  <c r="K1713" i="6"/>
  <c r="L1713" i="6" s="1"/>
  <c r="J1713" i="6"/>
  <c r="L1712" i="6"/>
  <c r="L1484" i="6" s="1"/>
  <c r="L1486" i="6" s="1"/>
  <c r="J1712" i="6"/>
  <c r="F1712" i="6"/>
  <c r="L1711" i="6"/>
  <c r="L1482" i="6" s="1"/>
  <c r="J1711" i="6"/>
  <c r="F1711" i="6"/>
  <c r="L1710" i="6"/>
  <c r="J1710" i="6"/>
  <c r="F1710" i="6"/>
  <c r="L1709" i="6"/>
  <c r="L1478" i="6" s="1"/>
  <c r="J1709" i="6"/>
  <c r="F1709" i="6"/>
  <c r="K1708" i="6"/>
  <c r="L1708" i="6" s="1"/>
  <c r="J1708" i="6"/>
  <c r="L1707" i="6"/>
  <c r="L1474" i="6" s="1"/>
  <c r="L1476" i="6" s="1"/>
  <c r="J1707" i="6"/>
  <c r="F1707" i="6"/>
  <c r="L1706" i="6"/>
  <c r="L1472" i="6" s="1"/>
  <c r="J1706" i="6"/>
  <c r="F1706" i="6"/>
  <c r="K1705" i="6"/>
  <c r="L1705" i="6" s="1"/>
  <c r="J1705" i="6"/>
  <c r="L1704" i="6"/>
  <c r="L1468" i="6" s="1"/>
  <c r="L1470" i="6" s="1"/>
  <c r="J1704" i="6"/>
  <c r="F1704" i="6"/>
  <c r="L1703" i="6"/>
  <c r="L1466" i="6" s="1"/>
  <c r="J1703" i="6"/>
  <c r="F1703" i="6"/>
  <c r="K1702" i="6"/>
  <c r="L1702" i="6" s="1"/>
  <c r="J1702" i="6"/>
  <c r="L1701" i="6"/>
  <c r="L1462" i="6" s="1"/>
  <c r="L1464" i="6" s="1"/>
  <c r="J1701" i="6"/>
  <c r="F1701" i="6"/>
  <c r="L1700" i="6"/>
  <c r="L1460" i="6" s="1"/>
  <c r="J1700" i="6"/>
  <c r="F1700" i="6"/>
  <c r="K1699" i="6"/>
  <c r="L1699" i="6" s="1"/>
  <c r="J1699" i="6"/>
  <c r="L1698" i="6"/>
  <c r="L1456" i="6" s="1"/>
  <c r="L1458" i="6" s="1"/>
  <c r="J1698" i="6"/>
  <c r="F1698" i="6"/>
  <c r="K1697" i="6"/>
  <c r="L1697" i="6" s="1"/>
  <c r="K1696" i="6"/>
  <c r="L1696" i="6" s="1"/>
  <c r="J1696" i="6"/>
  <c r="L1695" i="6"/>
  <c r="J1695" i="6"/>
  <c r="F1695" i="6"/>
  <c r="L1694" i="6"/>
  <c r="L1448" i="6" s="1"/>
  <c r="L1452" i="6" s="1"/>
  <c r="J1694" i="6"/>
  <c r="F1694" i="6"/>
  <c r="K1693" i="6"/>
  <c r="L1693" i="6" s="1"/>
  <c r="J1693" i="6"/>
  <c r="L1692" i="6"/>
  <c r="L1444" i="6" s="1"/>
  <c r="L1446" i="6" s="1"/>
  <c r="J1692" i="6"/>
  <c r="F1692" i="6"/>
  <c r="K1691" i="6"/>
  <c r="J1691" i="6"/>
  <c r="L1690" i="6"/>
  <c r="J1690" i="6"/>
  <c r="F1690" i="6"/>
  <c r="K1689" i="6"/>
  <c r="L1689" i="6" s="1"/>
  <c r="K1688" i="6"/>
  <c r="L1688" i="6" s="1"/>
  <c r="J1688" i="6"/>
  <c r="L1687" i="6"/>
  <c r="J1687" i="6"/>
  <c r="F1687" i="6"/>
  <c r="L1686" i="6"/>
  <c r="L1432" i="6" s="1"/>
  <c r="L1436" i="6" s="1"/>
  <c r="J1686" i="6"/>
  <c r="F1686" i="6"/>
  <c r="K1685" i="6"/>
  <c r="L1685" i="6" s="1"/>
  <c r="J1685" i="6"/>
  <c r="L1684" i="6"/>
  <c r="L1428" i="6" s="1"/>
  <c r="L1430" i="6" s="1"/>
  <c r="J1684" i="6"/>
  <c r="F1684" i="6"/>
  <c r="K1683" i="6"/>
  <c r="K1682" i="6"/>
  <c r="L1682" i="6" s="1"/>
  <c r="J1682" i="6"/>
  <c r="L1681" i="6"/>
  <c r="J1681" i="6"/>
  <c r="F1681" i="6"/>
  <c r="L1680" i="6"/>
  <c r="L1420" i="6" s="1"/>
  <c r="L1424" i="6" s="1"/>
  <c r="J1680" i="6"/>
  <c r="F1680" i="6"/>
  <c r="R1680" i="6"/>
  <c r="K1679" i="6"/>
  <c r="L1679" i="6" s="1"/>
  <c r="R1679" i="6"/>
  <c r="Q1678" i="6" s="1"/>
  <c r="K1678" i="6"/>
  <c r="L1678" i="6" s="1"/>
  <c r="J1678" i="6"/>
  <c r="L1677" i="6"/>
  <c r="J1677" i="6"/>
  <c r="F1677" i="6"/>
  <c r="L1676" i="6"/>
  <c r="L1412" i="6" s="1"/>
  <c r="L1416" i="6" s="1"/>
  <c r="J1676" i="6"/>
  <c r="F1676" i="6"/>
  <c r="X1675" i="6"/>
  <c r="X3008" i="6" s="1"/>
  <c r="K1675" i="6"/>
  <c r="K2187" i="6" s="1"/>
  <c r="L2187" i="6" s="1"/>
  <c r="J1675" i="6"/>
  <c r="F1675" i="6"/>
  <c r="X1674" i="6"/>
  <c r="X3006" i="6" s="1"/>
  <c r="K1674" i="6"/>
  <c r="K2186" i="6" s="1"/>
  <c r="L2186" i="6" s="1"/>
  <c r="J1674" i="6"/>
  <c r="F1674" i="6"/>
  <c r="X1673" i="6"/>
  <c r="K1673" i="6"/>
  <c r="K2185" i="6" s="1"/>
  <c r="L2185" i="6" s="1"/>
  <c r="J1673" i="6"/>
  <c r="F1673" i="6"/>
  <c r="X1672" i="6"/>
  <c r="K1672" i="6"/>
  <c r="K2184" i="6" s="1"/>
  <c r="L2184" i="6" s="1"/>
  <c r="J1672" i="6"/>
  <c r="F1672" i="6"/>
  <c r="X1671" i="6"/>
  <c r="K1671" i="6"/>
  <c r="K2183" i="6" s="1"/>
  <c r="L2183" i="6" s="1"/>
  <c r="J1671" i="6"/>
  <c r="F1671" i="6"/>
  <c r="X1670" i="6"/>
  <c r="K1670" i="6"/>
  <c r="K2182" i="6" s="1"/>
  <c r="L2182" i="6" s="1"/>
  <c r="J1670" i="6"/>
  <c r="F1670" i="6"/>
  <c r="X1669" i="6"/>
  <c r="X2996" i="6" s="1"/>
  <c r="R1669" i="6"/>
  <c r="R1670" i="6" s="1"/>
  <c r="K1669" i="6"/>
  <c r="K2181" i="6" s="1"/>
  <c r="J1669" i="6"/>
  <c r="F1669" i="6"/>
  <c r="X1668" i="6"/>
  <c r="X2994" i="6" s="1"/>
  <c r="K1668" i="6"/>
  <c r="K2180" i="6" s="1"/>
  <c r="L2180" i="6" s="1"/>
  <c r="J1668" i="6"/>
  <c r="F1668" i="6"/>
  <c r="X1667" i="6"/>
  <c r="K1667" i="6"/>
  <c r="K2179" i="6" s="1"/>
  <c r="L2179" i="6" s="1"/>
  <c r="J1667" i="6"/>
  <c r="F1667" i="6"/>
  <c r="X1666" i="6"/>
  <c r="K1666" i="6"/>
  <c r="K2178" i="6" s="1"/>
  <c r="L2178" i="6" s="1"/>
  <c r="J1666" i="6"/>
  <c r="F1666" i="6"/>
  <c r="X1665" i="6"/>
  <c r="K1665" i="6"/>
  <c r="K2177" i="6" s="1"/>
  <c r="L2177" i="6" s="1"/>
  <c r="J1665" i="6"/>
  <c r="F1665" i="6"/>
  <c r="X1664" i="6"/>
  <c r="K1664" i="6"/>
  <c r="K2176" i="6" s="1"/>
  <c r="L2176" i="6" s="1"/>
  <c r="J1664" i="6"/>
  <c r="F1664" i="6"/>
  <c r="AG1663" i="6"/>
  <c r="AF1663" i="6"/>
  <c r="AE1663" i="6"/>
  <c r="AD1663" i="6"/>
  <c r="AC1663" i="6"/>
  <c r="AB1663" i="6"/>
  <c r="AA1663" i="6"/>
  <c r="Z1663" i="6"/>
  <c r="Y1663" i="6"/>
  <c r="X1663" i="6"/>
  <c r="G1643" i="6"/>
  <c r="C254" i="15" s="1"/>
  <c r="E1643" i="6"/>
  <c r="C1643" i="6"/>
  <c r="G1642" i="6"/>
  <c r="B254" i="15" s="1"/>
  <c r="AL254" i="15" s="1"/>
  <c r="E1642" i="6"/>
  <c r="K1641" i="6"/>
  <c r="K1643" i="6" s="1"/>
  <c r="BE1643" i="6" s="1"/>
  <c r="J1641" i="6"/>
  <c r="J1643" i="6" s="1"/>
  <c r="H1641" i="6"/>
  <c r="H1643" i="6" s="1"/>
  <c r="F1641" i="6"/>
  <c r="K253" i="15" s="1"/>
  <c r="J1640" i="6"/>
  <c r="H1640" i="6"/>
  <c r="H1642" i="6" s="1"/>
  <c r="F1640" i="6"/>
  <c r="J253" i="15" s="1"/>
  <c r="G1639" i="6"/>
  <c r="C252" i="15" s="1"/>
  <c r="E1639" i="6"/>
  <c r="C1639" i="6"/>
  <c r="G1638" i="6"/>
  <c r="B252" i="15" s="1"/>
  <c r="AL252" i="15" s="1"/>
  <c r="E1638" i="6"/>
  <c r="F252" i="15" s="1"/>
  <c r="K1637" i="6"/>
  <c r="K1639" i="6" s="1"/>
  <c r="BE1639" i="6" s="1"/>
  <c r="J1637" i="6"/>
  <c r="J1639" i="6" s="1"/>
  <c r="H1637" i="6"/>
  <c r="H1639" i="6" s="1"/>
  <c r="F1637" i="6"/>
  <c r="K251" i="15" s="1"/>
  <c r="J1636" i="6"/>
  <c r="H1636" i="6"/>
  <c r="H1638" i="6" s="1"/>
  <c r="F1636" i="6"/>
  <c r="J251" i="15" s="1"/>
  <c r="G1635" i="6"/>
  <c r="C250" i="15" s="1"/>
  <c r="E1635" i="6"/>
  <c r="C1635" i="6"/>
  <c r="G1634" i="6"/>
  <c r="B250" i="15" s="1"/>
  <c r="AL250" i="15" s="1"/>
  <c r="E1634" i="6"/>
  <c r="K1633" i="6"/>
  <c r="K1635" i="6" s="1"/>
  <c r="BE1635" i="6" s="1"/>
  <c r="J1633" i="6"/>
  <c r="J1635" i="6" s="1"/>
  <c r="H1633" i="6"/>
  <c r="H1635" i="6" s="1"/>
  <c r="F1633" i="6"/>
  <c r="K249" i="15" s="1"/>
  <c r="J1632" i="6"/>
  <c r="H1632" i="6"/>
  <c r="H1634" i="6" s="1"/>
  <c r="F1632" i="6"/>
  <c r="J249" i="15" s="1"/>
  <c r="G1631" i="6"/>
  <c r="C248" i="15" s="1"/>
  <c r="E1631" i="6"/>
  <c r="C1631" i="6"/>
  <c r="G1630" i="6"/>
  <c r="B248" i="15" s="1"/>
  <c r="AL248" i="15" s="1"/>
  <c r="E1630" i="6"/>
  <c r="F248" i="15" s="1"/>
  <c r="K1629" i="6"/>
  <c r="J1629" i="6"/>
  <c r="BC1629" i="6" s="1"/>
  <c r="H1629" i="6"/>
  <c r="H1631" i="6" s="1"/>
  <c r="F1629" i="6"/>
  <c r="K247" i="15" s="1"/>
  <c r="J1628" i="6"/>
  <c r="H1628" i="6"/>
  <c r="H1630" i="6" s="1"/>
  <c r="F1628" i="6"/>
  <c r="J247" i="15" s="1"/>
  <c r="G1627" i="6"/>
  <c r="C246" i="15" s="1"/>
  <c r="E1627" i="6"/>
  <c r="C1627" i="6"/>
  <c r="G1626" i="6"/>
  <c r="B246" i="15" s="1"/>
  <c r="AL246" i="15" s="1"/>
  <c r="E1626" i="6"/>
  <c r="K1625" i="6"/>
  <c r="K1627" i="6" s="1"/>
  <c r="BE1627" i="6" s="1"/>
  <c r="J1625" i="6"/>
  <c r="J1627" i="6" s="1"/>
  <c r="H1625" i="6"/>
  <c r="H1627" i="6" s="1"/>
  <c r="F1625" i="6"/>
  <c r="K245" i="15" s="1"/>
  <c r="K1624" i="6"/>
  <c r="J1624" i="6"/>
  <c r="H1624" i="6"/>
  <c r="H1626" i="6" s="1"/>
  <c r="F1624" i="6"/>
  <c r="J245" i="15" s="1"/>
  <c r="G1623" i="6"/>
  <c r="E244" i="15" s="1"/>
  <c r="E1623" i="6"/>
  <c r="G1622" i="6"/>
  <c r="D244" i="15" s="1"/>
  <c r="E1622" i="6"/>
  <c r="F1781" i="6" s="1"/>
  <c r="G1621" i="6"/>
  <c r="C244" i="15" s="1"/>
  <c r="E1621" i="6"/>
  <c r="C1621" i="6"/>
  <c r="C1622" i="6" s="1"/>
  <c r="G1620" i="6"/>
  <c r="B244" i="15" s="1"/>
  <c r="AL244" i="15" s="1"/>
  <c r="E1620" i="6"/>
  <c r="K1619" i="6"/>
  <c r="K1623" i="6" s="1"/>
  <c r="BE1623" i="6" s="1"/>
  <c r="J1619" i="6"/>
  <c r="J1623" i="6" s="1"/>
  <c r="H1619" i="6"/>
  <c r="H1623" i="6" s="1"/>
  <c r="F1619" i="6"/>
  <c r="M243" i="15" s="1"/>
  <c r="K1618" i="6"/>
  <c r="BE1618" i="6" s="1"/>
  <c r="J1618" i="6"/>
  <c r="H1618" i="6"/>
  <c r="H1622" i="6" s="1"/>
  <c r="F1618" i="6"/>
  <c r="L243" i="15" s="1"/>
  <c r="I243" i="15" s="1"/>
  <c r="K1617" i="6"/>
  <c r="K1621" i="6" s="1"/>
  <c r="BE1621" i="6" s="1"/>
  <c r="J1617" i="6"/>
  <c r="H1617" i="6"/>
  <c r="H1621" i="6" s="1"/>
  <c r="F1617" i="6"/>
  <c r="K243" i="15" s="1"/>
  <c r="J1616" i="6"/>
  <c r="H1616" i="6"/>
  <c r="H1620" i="6" s="1"/>
  <c r="F1616" i="6"/>
  <c r="J243" i="15" s="1"/>
  <c r="G1615" i="6"/>
  <c r="C242" i="15" s="1"/>
  <c r="E1615" i="6"/>
  <c r="C1615" i="6"/>
  <c r="G1614" i="6"/>
  <c r="B242" i="15" s="1"/>
  <c r="AL242" i="15" s="1"/>
  <c r="E1614" i="6"/>
  <c r="K1613" i="6"/>
  <c r="K1615" i="6" s="1"/>
  <c r="BE1615" i="6" s="1"/>
  <c r="J1613" i="6"/>
  <c r="H1613" i="6"/>
  <c r="H1615" i="6" s="1"/>
  <c r="F1613" i="6"/>
  <c r="K241" i="15" s="1"/>
  <c r="J1612" i="6"/>
  <c r="H1612" i="6"/>
  <c r="H1614" i="6" s="1"/>
  <c r="F1612" i="6"/>
  <c r="J241" i="15" s="1"/>
  <c r="K1611" i="6"/>
  <c r="BE1611" i="6" s="1"/>
  <c r="J1611" i="6"/>
  <c r="BC1611" i="6" s="1"/>
  <c r="H1611" i="6"/>
  <c r="F1611" i="6"/>
  <c r="K240" i="15" s="1"/>
  <c r="J1610" i="6"/>
  <c r="H1610" i="6"/>
  <c r="F1610" i="6"/>
  <c r="J240" i="15" s="1"/>
  <c r="K1609" i="6"/>
  <c r="BE1609" i="6" s="1"/>
  <c r="J1609" i="6"/>
  <c r="BC1609" i="6" s="1"/>
  <c r="H1609" i="6"/>
  <c r="F1609" i="6"/>
  <c r="M239" i="15" s="1"/>
  <c r="K1608" i="6"/>
  <c r="BE1608" i="6" s="1"/>
  <c r="J1608" i="6"/>
  <c r="H1608" i="6"/>
  <c r="F1608" i="6"/>
  <c r="L239" i="15" s="1"/>
  <c r="I239" i="15" s="1"/>
  <c r="K1607" i="6"/>
  <c r="BE1607" i="6" s="1"/>
  <c r="J1607" i="6"/>
  <c r="BC1607" i="6" s="1"/>
  <c r="H1607" i="6"/>
  <c r="F1607" i="6"/>
  <c r="K239" i="15" s="1"/>
  <c r="J1606" i="6"/>
  <c r="H1606" i="6"/>
  <c r="F1606" i="6"/>
  <c r="J239" i="15" s="1"/>
  <c r="G1605" i="6"/>
  <c r="E238" i="15" s="1"/>
  <c r="E1605" i="6"/>
  <c r="G1604" i="6"/>
  <c r="D238" i="15" s="1"/>
  <c r="E1604" i="6"/>
  <c r="F2028" i="6" s="1"/>
  <c r="G1603" i="6"/>
  <c r="C238" i="15" s="1"/>
  <c r="E1603" i="6"/>
  <c r="C1603" i="6"/>
  <c r="C1604" i="6" s="1"/>
  <c r="G1602" i="6"/>
  <c r="B238" i="15" s="1"/>
  <c r="AL238" i="15" s="1"/>
  <c r="E1602" i="6"/>
  <c r="F238" i="15" s="1"/>
  <c r="K1601" i="6"/>
  <c r="BE1601" i="6" s="1"/>
  <c r="J1601" i="6"/>
  <c r="J1605" i="6" s="1"/>
  <c r="H1601" i="6"/>
  <c r="H1605" i="6" s="1"/>
  <c r="F1601" i="6"/>
  <c r="M237" i="15" s="1"/>
  <c r="K1600" i="6"/>
  <c r="BE1600" i="6" s="1"/>
  <c r="J1600" i="6"/>
  <c r="X237" i="15" s="1"/>
  <c r="H1600" i="6"/>
  <c r="H1604" i="6" s="1"/>
  <c r="F1600" i="6"/>
  <c r="L237" i="15" s="1"/>
  <c r="I237" i="15" s="1"/>
  <c r="K1599" i="6"/>
  <c r="K1603" i="6" s="1"/>
  <c r="BE1603" i="6" s="1"/>
  <c r="J1599" i="6"/>
  <c r="J1603" i="6" s="1"/>
  <c r="H1599" i="6"/>
  <c r="H1603" i="6" s="1"/>
  <c r="F1599" i="6"/>
  <c r="K237" i="15" s="1"/>
  <c r="J1598" i="6"/>
  <c r="H1598" i="6"/>
  <c r="H1602" i="6" s="1"/>
  <c r="F1598" i="6"/>
  <c r="J237" i="15" s="1"/>
  <c r="G1597" i="6"/>
  <c r="E236" i="15" s="1"/>
  <c r="E1597" i="6"/>
  <c r="G1596" i="6"/>
  <c r="D236" i="15" s="1"/>
  <c r="E1596" i="6"/>
  <c r="G1595" i="6"/>
  <c r="C236" i="15" s="1"/>
  <c r="E1595" i="6"/>
  <c r="C1595" i="6"/>
  <c r="C1596" i="6" s="1"/>
  <c r="G1594" i="6"/>
  <c r="B236" i="15" s="1"/>
  <c r="AL236" i="15" s="1"/>
  <c r="E1594" i="6"/>
  <c r="F236" i="15" s="1"/>
  <c r="K1593" i="6"/>
  <c r="J1593" i="6"/>
  <c r="BC1593" i="6" s="1"/>
  <c r="H1593" i="6"/>
  <c r="H1597" i="6" s="1"/>
  <c r="F1593" i="6"/>
  <c r="M235" i="15" s="1"/>
  <c r="K1592" i="6"/>
  <c r="J1592" i="6"/>
  <c r="H1592" i="6"/>
  <c r="H1596" i="6" s="1"/>
  <c r="F1592" i="6"/>
  <c r="L235" i="15" s="1"/>
  <c r="I235" i="15" s="1"/>
  <c r="K1591" i="6"/>
  <c r="J1591" i="6"/>
  <c r="J1595" i="6" s="1"/>
  <c r="H1591" i="6"/>
  <c r="H1595" i="6" s="1"/>
  <c r="F1591" i="6"/>
  <c r="K235" i="15" s="1"/>
  <c r="J1590" i="6"/>
  <c r="H1590" i="6"/>
  <c r="F1590" i="6"/>
  <c r="J235" i="15" s="1"/>
  <c r="K1589" i="6"/>
  <c r="BE1589" i="6" s="1"/>
  <c r="J1589" i="6"/>
  <c r="BC1589" i="6" s="1"/>
  <c r="H1589" i="6"/>
  <c r="F1589" i="6"/>
  <c r="K234" i="15" s="1"/>
  <c r="J1588" i="6"/>
  <c r="H1588" i="6"/>
  <c r="F1588" i="6"/>
  <c r="J234" i="15" s="1"/>
  <c r="K1587" i="6"/>
  <c r="BE1587" i="6" s="1"/>
  <c r="J1587" i="6"/>
  <c r="BC1587" i="6" s="1"/>
  <c r="H1587" i="6"/>
  <c r="F1587" i="6"/>
  <c r="M233" i="15" s="1"/>
  <c r="K1586" i="6"/>
  <c r="BE1586" i="6" s="1"/>
  <c r="J1586" i="6"/>
  <c r="H1586" i="6"/>
  <c r="F1586" i="6"/>
  <c r="L233" i="15" s="1"/>
  <c r="K1585" i="6"/>
  <c r="BE1585" i="6" s="1"/>
  <c r="J1585" i="6"/>
  <c r="BC1585" i="6" s="1"/>
  <c r="H1585" i="6"/>
  <c r="F1585" i="6"/>
  <c r="K233" i="15" s="1"/>
  <c r="J1584" i="6"/>
  <c r="H1584" i="6"/>
  <c r="F1584" i="6"/>
  <c r="J233" i="15" s="1"/>
  <c r="G1583" i="6"/>
  <c r="E232" i="15" s="1"/>
  <c r="E1583" i="6"/>
  <c r="G1582" i="6"/>
  <c r="D232" i="15" s="1"/>
  <c r="E1582" i="6"/>
  <c r="G1581" i="6"/>
  <c r="C232" i="15" s="1"/>
  <c r="E1581" i="6"/>
  <c r="C1581" i="6"/>
  <c r="C1582" i="6" s="1"/>
  <c r="G1580" i="6"/>
  <c r="B232" i="15" s="1"/>
  <c r="AL232" i="15" s="1"/>
  <c r="E1580" i="6"/>
  <c r="F232" i="15" s="1"/>
  <c r="K1579" i="6"/>
  <c r="J1579" i="6"/>
  <c r="H1579" i="6"/>
  <c r="H1583" i="6" s="1"/>
  <c r="F1579" i="6"/>
  <c r="M231" i="15" s="1"/>
  <c r="K1578" i="6"/>
  <c r="K1582" i="6" s="1"/>
  <c r="BE1582" i="6" s="1"/>
  <c r="J1578" i="6"/>
  <c r="X231" i="15" s="1"/>
  <c r="H1578" i="6"/>
  <c r="H1582" i="6" s="1"/>
  <c r="F1578" i="6"/>
  <c r="L231" i="15" s="1"/>
  <c r="I231" i="15" s="1"/>
  <c r="K1577" i="6"/>
  <c r="J1577" i="6"/>
  <c r="H1577" i="6"/>
  <c r="H1581" i="6" s="1"/>
  <c r="F1577" i="6"/>
  <c r="K231" i="15" s="1"/>
  <c r="J1576" i="6"/>
  <c r="H1576" i="6"/>
  <c r="F1576" i="6"/>
  <c r="J231" i="15" s="1"/>
  <c r="G1575" i="6"/>
  <c r="E230" i="15" s="1"/>
  <c r="E1575" i="6"/>
  <c r="G1574" i="6"/>
  <c r="D230" i="15" s="1"/>
  <c r="E1574" i="6"/>
  <c r="F1757" i="6" s="1"/>
  <c r="G1573" i="6"/>
  <c r="C230" i="15" s="1"/>
  <c r="E1573" i="6"/>
  <c r="C1573" i="6"/>
  <c r="C1574" i="6" s="1"/>
  <c r="G1572" i="6"/>
  <c r="B230" i="15" s="1"/>
  <c r="AL230" i="15" s="1"/>
  <c r="E1572" i="6"/>
  <c r="F230" i="15" s="1"/>
  <c r="K1571" i="6"/>
  <c r="K1575" i="6" s="1"/>
  <c r="BE1575" i="6" s="1"/>
  <c r="J1571" i="6"/>
  <c r="H1571" i="6"/>
  <c r="H1575" i="6" s="1"/>
  <c r="F1571" i="6"/>
  <c r="M229" i="15" s="1"/>
  <c r="K1570" i="6"/>
  <c r="K1574" i="6" s="1"/>
  <c r="BE1574" i="6" s="1"/>
  <c r="J1570" i="6"/>
  <c r="H1570" i="6"/>
  <c r="H1574" i="6" s="1"/>
  <c r="F1570" i="6"/>
  <c r="L229" i="15" s="1"/>
  <c r="K1569" i="6"/>
  <c r="K1573" i="6" s="1"/>
  <c r="BE1573" i="6" s="1"/>
  <c r="J1569" i="6"/>
  <c r="H1569" i="6"/>
  <c r="H1573" i="6" s="1"/>
  <c r="F1569" i="6"/>
  <c r="K229" i="15" s="1"/>
  <c r="J1568" i="6"/>
  <c r="H1568" i="6"/>
  <c r="H1572" i="6" s="1"/>
  <c r="F1568" i="6"/>
  <c r="J229" i="15" s="1"/>
  <c r="K1567" i="6"/>
  <c r="BE1567" i="6" s="1"/>
  <c r="J1567" i="6"/>
  <c r="BC1567" i="6" s="1"/>
  <c r="H1567" i="6"/>
  <c r="F1567" i="6"/>
  <c r="M228" i="15" s="1"/>
  <c r="K1566" i="6"/>
  <c r="BE1566" i="6" s="1"/>
  <c r="J1566" i="6"/>
  <c r="H1566" i="6"/>
  <c r="F1566" i="6"/>
  <c r="L228" i="15" s="1"/>
  <c r="I228" i="15" s="1"/>
  <c r="K1565" i="6"/>
  <c r="BE1565" i="6" s="1"/>
  <c r="J1565" i="6"/>
  <c r="BC1565" i="6" s="1"/>
  <c r="H1565" i="6"/>
  <c r="F1565" i="6"/>
  <c r="K228" i="15" s="1"/>
  <c r="J1564" i="6"/>
  <c r="H1564" i="6"/>
  <c r="F1564" i="6"/>
  <c r="J228" i="15" s="1"/>
  <c r="G1563" i="6"/>
  <c r="E227" i="15" s="1"/>
  <c r="E1563" i="6"/>
  <c r="G1562" i="6"/>
  <c r="D227" i="15" s="1"/>
  <c r="E1562" i="6"/>
  <c r="G1561" i="6"/>
  <c r="C227" i="15" s="1"/>
  <c r="E1561" i="6"/>
  <c r="C1561" i="6"/>
  <c r="C1562" i="6" s="1"/>
  <c r="C1563" i="6" s="1"/>
  <c r="G1560" i="6"/>
  <c r="B227" i="15" s="1"/>
  <c r="AL227" i="15" s="1"/>
  <c r="E1560" i="6"/>
  <c r="F227" i="15" s="1"/>
  <c r="K1559" i="6"/>
  <c r="BE1559" i="6" s="1"/>
  <c r="J1559" i="6"/>
  <c r="H1559" i="6"/>
  <c r="H1563" i="6" s="1"/>
  <c r="F1559" i="6"/>
  <c r="M226" i="15" s="1"/>
  <c r="K1558" i="6"/>
  <c r="J1558" i="6"/>
  <c r="X226" i="15" s="1"/>
  <c r="H1558" i="6"/>
  <c r="H1562" i="6" s="1"/>
  <c r="F1558" i="6"/>
  <c r="L226" i="15" s="1"/>
  <c r="I226" i="15" s="1"/>
  <c r="K1557" i="6"/>
  <c r="K1561" i="6" s="1"/>
  <c r="BE1561" i="6" s="1"/>
  <c r="J1557" i="6"/>
  <c r="H1557" i="6"/>
  <c r="H1561" i="6" s="1"/>
  <c r="F1557" i="6"/>
  <c r="K226" i="15" s="1"/>
  <c r="J1556" i="6"/>
  <c r="H1556" i="6"/>
  <c r="H1560" i="6" s="1"/>
  <c r="F1556" i="6"/>
  <c r="J226" i="15" s="1"/>
  <c r="G1555" i="6"/>
  <c r="E225" i="15" s="1"/>
  <c r="E1555" i="6"/>
  <c r="G1554" i="6"/>
  <c r="D225" i="15" s="1"/>
  <c r="E1554" i="6"/>
  <c r="G1553" i="6"/>
  <c r="C225" i="15" s="1"/>
  <c r="E1553" i="6"/>
  <c r="C1553" i="6"/>
  <c r="C1554" i="6" s="1"/>
  <c r="G1552" i="6"/>
  <c r="B225" i="15" s="1"/>
  <c r="AL225" i="15" s="1"/>
  <c r="E1552" i="6"/>
  <c r="F225" i="15" s="1"/>
  <c r="K1551" i="6"/>
  <c r="BE1551" i="6" s="1"/>
  <c r="J1551" i="6"/>
  <c r="H1551" i="6"/>
  <c r="H1555" i="6" s="1"/>
  <c r="F1551" i="6"/>
  <c r="M224" i="15" s="1"/>
  <c r="K1550" i="6"/>
  <c r="K1554" i="6" s="1"/>
  <c r="BE1554" i="6" s="1"/>
  <c r="J1550" i="6"/>
  <c r="H1550" i="6"/>
  <c r="H1554" i="6" s="1"/>
  <c r="F1550" i="6"/>
  <c r="L224" i="15" s="1"/>
  <c r="I224" i="15" s="1"/>
  <c r="K1549" i="6"/>
  <c r="K1553" i="6" s="1"/>
  <c r="BE1553" i="6" s="1"/>
  <c r="J1549" i="6"/>
  <c r="BC1549" i="6" s="1"/>
  <c r="H1549" i="6"/>
  <c r="H1553" i="6" s="1"/>
  <c r="F1549" i="6"/>
  <c r="K224" i="15" s="1"/>
  <c r="J1548" i="6"/>
  <c r="H1548" i="6"/>
  <c r="H1552" i="6" s="1"/>
  <c r="F1548" i="6"/>
  <c r="J224" i="15" s="1"/>
  <c r="K1547" i="6"/>
  <c r="BE1547" i="6" s="1"/>
  <c r="J1547" i="6"/>
  <c r="BC1547" i="6" s="1"/>
  <c r="H1547" i="6"/>
  <c r="F1547" i="6"/>
  <c r="M223" i="15" s="1"/>
  <c r="K1546" i="6"/>
  <c r="BE1546" i="6" s="1"/>
  <c r="J1546" i="6"/>
  <c r="H1546" i="6"/>
  <c r="F1546" i="6"/>
  <c r="L223" i="15" s="1"/>
  <c r="I223" i="15" s="1"/>
  <c r="K1545" i="6"/>
  <c r="BE1545" i="6" s="1"/>
  <c r="J1545" i="6"/>
  <c r="BC1545" i="6" s="1"/>
  <c r="H1545" i="6"/>
  <c r="F1545" i="6"/>
  <c r="K223" i="15" s="1"/>
  <c r="J1544" i="6"/>
  <c r="H1544" i="6"/>
  <c r="F1544" i="6"/>
  <c r="J223" i="15" s="1"/>
  <c r="G1543" i="6"/>
  <c r="E222" i="15" s="1"/>
  <c r="E1543" i="6"/>
  <c r="G1542" i="6"/>
  <c r="D222" i="15" s="1"/>
  <c r="E1542" i="6"/>
  <c r="G1541" i="6"/>
  <c r="C222" i="15" s="1"/>
  <c r="E1541" i="6"/>
  <c r="C1541" i="6"/>
  <c r="C1542" i="6" s="1"/>
  <c r="C1543" i="6" s="1"/>
  <c r="G1540" i="6"/>
  <c r="B222" i="15" s="1"/>
  <c r="AL222" i="15" s="1"/>
  <c r="E1540" i="6"/>
  <c r="F222" i="15" s="1"/>
  <c r="K1539" i="6"/>
  <c r="J1539" i="6"/>
  <c r="J1543" i="6" s="1"/>
  <c r="H1539" i="6"/>
  <c r="H1543" i="6" s="1"/>
  <c r="F1539" i="6"/>
  <c r="M221" i="15" s="1"/>
  <c r="K1538" i="6"/>
  <c r="J1538" i="6"/>
  <c r="H1538" i="6"/>
  <c r="H1542" i="6" s="1"/>
  <c r="F1538" i="6"/>
  <c r="L221" i="15" s="1"/>
  <c r="K1537" i="6"/>
  <c r="J1537" i="6"/>
  <c r="BC1537" i="6" s="1"/>
  <c r="H1537" i="6"/>
  <c r="H1541" i="6" s="1"/>
  <c r="F1537" i="6"/>
  <c r="K221" i="15" s="1"/>
  <c r="J1536" i="6"/>
  <c r="H1536" i="6"/>
  <c r="H1540" i="6" s="1"/>
  <c r="F1536" i="6"/>
  <c r="J221" i="15" s="1"/>
  <c r="G1535" i="6"/>
  <c r="E220" i="15" s="1"/>
  <c r="E1535" i="6"/>
  <c r="G1534" i="6"/>
  <c r="D220" i="15" s="1"/>
  <c r="E1534" i="6"/>
  <c r="G1533" i="6"/>
  <c r="C220" i="15" s="1"/>
  <c r="E1533" i="6"/>
  <c r="C1533" i="6"/>
  <c r="C1534" i="6" s="1"/>
  <c r="G1532" i="6"/>
  <c r="B220" i="15" s="1"/>
  <c r="AL220" i="15" s="1"/>
  <c r="E1532" i="6"/>
  <c r="F220" i="15" s="1"/>
  <c r="K1531" i="6"/>
  <c r="BE1531" i="6" s="1"/>
  <c r="J1531" i="6"/>
  <c r="BC1531" i="6" s="1"/>
  <c r="H1531" i="6"/>
  <c r="H1535" i="6" s="1"/>
  <c r="F1531" i="6"/>
  <c r="M219" i="15" s="1"/>
  <c r="K1530" i="6"/>
  <c r="K1534" i="6" s="1"/>
  <c r="BE1534" i="6" s="1"/>
  <c r="J1530" i="6"/>
  <c r="X219" i="15" s="1"/>
  <c r="H1530" i="6"/>
  <c r="H1534" i="6" s="1"/>
  <c r="F1530" i="6"/>
  <c r="L219" i="15" s="1"/>
  <c r="I219" i="15" s="1"/>
  <c r="K1529" i="6"/>
  <c r="K1533" i="6" s="1"/>
  <c r="BE1533" i="6" s="1"/>
  <c r="J1529" i="6"/>
  <c r="J1533" i="6" s="1"/>
  <c r="H1529" i="6"/>
  <c r="H1533" i="6" s="1"/>
  <c r="F1529" i="6"/>
  <c r="K219" i="15" s="1"/>
  <c r="J1528" i="6"/>
  <c r="W219" i="15" s="1"/>
  <c r="H1528" i="6"/>
  <c r="H1532" i="6" s="1"/>
  <c r="F1528" i="6"/>
  <c r="J219" i="15" s="1"/>
  <c r="K1527" i="6"/>
  <c r="BE1527" i="6" s="1"/>
  <c r="J1527" i="6"/>
  <c r="BC1527" i="6" s="1"/>
  <c r="H1527" i="6"/>
  <c r="F1527" i="6"/>
  <c r="M218" i="15" s="1"/>
  <c r="K1526" i="6"/>
  <c r="BE1526" i="6" s="1"/>
  <c r="J1526" i="6"/>
  <c r="H1526" i="6"/>
  <c r="F1526" i="6"/>
  <c r="L218" i="15" s="1"/>
  <c r="I218" i="15" s="1"/>
  <c r="K1525" i="6"/>
  <c r="BE1525" i="6" s="1"/>
  <c r="J1525" i="6"/>
  <c r="BC1525" i="6" s="1"/>
  <c r="H1525" i="6"/>
  <c r="F1525" i="6"/>
  <c r="K218" i="15" s="1"/>
  <c r="J1524" i="6"/>
  <c r="H1524" i="6"/>
  <c r="F1524" i="6"/>
  <c r="J218" i="15" s="1"/>
  <c r="K1523" i="6"/>
  <c r="BE1523" i="6" s="1"/>
  <c r="J1523" i="6"/>
  <c r="BC1523" i="6" s="1"/>
  <c r="H1523" i="6"/>
  <c r="F1523" i="6"/>
  <c r="K217" i="15" s="1"/>
  <c r="J1522" i="6"/>
  <c r="H1522" i="6"/>
  <c r="F1522" i="6"/>
  <c r="J217" i="15" s="1"/>
  <c r="K1521" i="6"/>
  <c r="BE1521" i="6" s="1"/>
  <c r="J1521" i="6"/>
  <c r="BC1521" i="6" s="1"/>
  <c r="H1521" i="6"/>
  <c r="F1521" i="6"/>
  <c r="M216" i="15" s="1"/>
  <c r="K1520" i="6"/>
  <c r="BE1520" i="6" s="1"/>
  <c r="J1520" i="6"/>
  <c r="H1520" i="6"/>
  <c r="F1520" i="6"/>
  <c r="L216" i="15" s="1"/>
  <c r="I216" i="15" s="1"/>
  <c r="K1519" i="6"/>
  <c r="BE1519" i="6" s="1"/>
  <c r="J1519" i="6"/>
  <c r="BC1519" i="6" s="1"/>
  <c r="H1519" i="6"/>
  <c r="F1519" i="6"/>
  <c r="K216" i="15" s="1"/>
  <c r="J1518" i="6"/>
  <c r="H1518" i="6"/>
  <c r="F1518" i="6"/>
  <c r="J216" i="15" s="1"/>
  <c r="K1517" i="6"/>
  <c r="BE1517" i="6" s="1"/>
  <c r="J1517" i="6"/>
  <c r="BC1517" i="6" s="1"/>
  <c r="H1517" i="6"/>
  <c r="F1517" i="6"/>
  <c r="K215" i="15" s="1"/>
  <c r="J1516" i="6"/>
  <c r="H1516" i="6"/>
  <c r="F1516" i="6"/>
  <c r="J215" i="15" s="1"/>
  <c r="K1515" i="6"/>
  <c r="BE1515" i="6" s="1"/>
  <c r="J1515" i="6"/>
  <c r="BC1515" i="6" s="1"/>
  <c r="H1515" i="6"/>
  <c r="F1515" i="6"/>
  <c r="M214" i="15" s="1"/>
  <c r="K1514" i="6"/>
  <c r="BE1514" i="6" s="1"/>
  <c r="J1514" i="6"/>
  <c r="H1514" i="6"/>
  <c r="F1514" i="6"/>
  <c r="L214" i="15" s="1"/>
  <c r="K1513" i="6"/>
  <c r="BE1513" i="6" s="1"/>
  <c r="J1513" i="6"/>
  <c r="BC1513" i="6" s="1"/>
  <c r="H1513" i="6"/>
  <c r="F1513" i="6"/>
  <c r="K214" i="15" s="1"/>
  <c r="J1512" i="6"/>
  <c r="H1512" i="6"/>
  <c r="F1512" i="6"/>
  <c r="J214" i="15" s="1"/>
  <c r="K1511" i="6"/>
  <c r="BE1511" i="6" s="1"/>
  <c r="J1511" i="6"/>
  <c r="BC1511" i="6" s="1"/>
  <c r="H1511" i="6"/>
  <c r="F1511" i="6"/>
  <c r="K213" i="15" s="1"/>
  <c r="J1510" i="6"/>
  <c r="H1510" i="6"/>
  <c r="F1510" i="6"/>
  <c r="J213" i="15" s="1"/>
  <c r="K1509" i="6"/>
  <c r="BE1509" i="6" s="1"/>
  <c r="J1509" i="6"/>
  <c r="BC1509" i="6" s="1"/>
  <c r="H1509" i="6"/>
  <c r="F1509" i="6"/>
  <c r="M212" i="15" s="1"/>
  <c r="K1508" i="6"/>
  <c r="BE1508" i="6" s="1"/>
  <c r="J1508" i="6"/>
  <c r="H1508" i="6"/>
  <c r="F1508" i="6"/>
  <c r="L212" i="15" s="1"/>
  <c r="I212" i="15" s="1"/>
  <c r="K1507" i="6"/>
  <c r="BE1507" i="6" s="1"/>
  <c r="J1507" i="6"/>
  <c r="BC1507" i="6" s="1"/>
  <c r="H1507" i="6"/>
  <c r="F1507" i="6"/>
  <c r="K212" i="15" s="1"/>
  <c r="J1506" i="6"/>
  <c r="H1506" i="6"/>
  <c r="F1506" i="6"/>
  <c r="J212" i="15" s="1"/>
  <c r="K1505" i="6"/>
  <c r="BE1505" i="6" s="1"/>
  <c r="H1505" i="6"/>
  <c r="F1505" i="6"/>
  <c r="K211" i="15" s="1"/>
  <c r="E1505" i="6"/>
  <c r="H1504" i="6"/>
  <c r="F1504" i="6"/>
  <c r="J211" i="15" s="1"/>
  <c r="E1504" i="6"/>
  <c r="F211" i="15" s="1"/>
  <c r="K1503" i="6"/>
  <c r="BE1503" i="6" s="1"/>
  <c r="J1503" i="6"/>
  <c r="J1505" i="6" s="1"/>
  <c r="BC1505" i="6" s="1"/>
  <c r="H1503" i="6"/>
  <c r="F1503" i="6"/>
  <c r="K210" i="15" s="1"/>
  <c r="J1502" i="6"/>
  <c r="W210" i="15" s="1"/>
  <c r="Y210" i="15" s="1"/>
  <c r="H1502" i="6"/>
  <c r="F1502" i="6"/>
  <c r="J210" i="15" s="1"/>
  <c r="K1501" i="6"/>
  <c r="BE1501" i="6" s="1"/>
  <c r="J1501" i="6"/>
  <c r="BC1501" i="6" s="1"/>
  <c r="H1501" i="6"/>
  <c r="F1501" i="6"/>
  <c r="K209" i="15" s="1"/>
  <c r="J1500" i="6"/>
  <c r="H1500" i="6"/>
  <c r="F1500" i="6"/>
  <c r="J209" i="15" s="1"/>
  <c r="G1499" i="6"/>
  <c r="E208" i="15" s="1"/>
  <c r="E1499" i="6"/>
  <c r="G1498" i="6"/>
  <c r="D208" i="15" s="1"/>
  <c r="E1498" i="6"/>
  <c r="G1497" i="6"/>
  <c r="C208" i="15" s="1"/>
  <c r="E1497" i="6"/>
  <c r="C1497" i="6"/>
  <c r="C1498" i="6" s="1"/>
  <c r="C1499" i="6" s="1"/>
  <c r="G1496" i="6"/>
  <c r="B208" i="15" s="1"/>
  <c r="AL208" i="15" s="1"/>
  <c r="F1496" i="6"/>
  <c r="E1496" i="6"/>
  <c r="F208" i="15" s="1"/>
  <c r="K1495" i="6"/>
  <c r="BE1495" i="6" s="1"/>
  <c r="J1495" i="6"/>
  <c r="H1495" i="6"/>
  <c r="H1499" i="6" s="1"/>
  <c r="F1495" i="6"/>
  <c r="M207" i="15" s="1"/>
  <c r="K1494" i="6"/>
  <c r="BE1494" i="6" s="1"/>
  <c r="J1494" i="6"/>
  <c r="H1494" i="6"/>
  <c r="H1498" i="6" s="1"/>
  <c r="F1494" i="6"/>
  <c r="L207" i="15" s="1"/>
  <c r="K1493" i="6"/>
  <c r="K1497" i="6" s="1"/>
  <c r="BE1497" i="6" s="1"/>
  <c r="J1493" i="6"/>
  <c r="H1493" i="6"/>
  <c r="H1497" i="6" s="1"/>
  <c r="F1493" i="6"/>
  <c r="K207" i="15" s="1"/>
  <c r="J1492" i="6"/>
  <c r="H1492" i="6"/>
  <c r="H1496" i="6" s="1"/>
  <c r="F1492" i="6"/>
  <c r="J207" i="15" s="1"/>
  <c r="K1491" i="6"/>
  <c r="BE1491" i="6" s="1"/>
  <c r="J1491" i="6"/>
  <c r="BC1491" i="6" s="1"/>
  <c r="H1491" i="6"/>
  <c r="F1491" i="6"/>
  <c r="M206" i="15" s="1"/>
  <c r="K1490" i="6"/>
  <c r="BE1490" i="6" s="1"/>
  <c r="J1490" i="6"/>
  <c r="H1490" i="6"/>
  <c r="F1490" i="6"/>
  <c r="L206" i="15" s="1"/>
  <c r="I206" i="15" s="1"/>
  <c r="K1489" i="6"/>
  <c r="BE1489" i="6" s="1"/>
  <c r="J1489" i="6"/>
  <c r="BC1489" i="6" s="1"/>
  <c r="H1489" i="6"/>
  <c r="F1489" i="6"/>
  <c r="K206" i="15" s="1"/>
  <c r="J1488" i="6"/>
  <c r="H1488" i="6"/>
  <c r="F1488" i="6"/>
  <c r="J206" i="15" s="1"/>
  <c r="G1487" i="6"/>
  <c r="C205" i="15" s="1"/>
  <c r="E1487" i="6"/>
  <c r="C1487" i="6"/>
  <c r="G1486" i="6"/>
  <c r="B205" i="15" s="1"/>
  <c r="AL205" i="15" s="1"/>
  <c r="E1486" i="6"/>
  <c r="F205" i="15" s="1"/>
  <c r="K1485" i="6"/>
  <c r="K1487" i="6" s="1"/>
  <c r="BE1487" i="6" s="1"/>
  <c r="J1485" i="6"/>
  <c r="H1485" i="6"/>
  <c r="H1487" i="6" s="1"/>
  <c r="F1485" i="6"/>
  <c r="K204" i="15" s="1"/>
  <c r="J1484" i="6"/>
  <c r="H1484" i="6"/>
  <c r="H1486" i="6" s="1"/>
  <c r="F1484" i="6"/>
  <c r="J204" i="15" s="1"/>
  <c r="K1483" i="6"/>
  <c r="BE1483" i="6" s="1"/>
  <c r="J1483" i="6"/>
  <c r="BC1483" i="6" s="1"/>
  <c r="H1483" i="6"/>
  <c r="F1483" i="6"/>
  <c r="K203" i="15" s="1"/>
  <c r="J1482" i="6"/>
  <c r="H1482" i="6"/>
  <c r="F1482" i="6"/>
  <c r="J203" i="15" s="1"/>
  <c r="K1481" i="6"/>
  <c r="BE1481" i="6" s="1"/>
  <c r="J1481" i="6"/>
  <c r="BC1481" i="6" s="1"/>
  <c r="H1481" i="6"/>
  <c r="F1481" i="6"/>
  <c r="M202" i="15" s="1"/>
  <c r="K1480" i="6"/>
  <c r="BE1480" i="6" s="1"/>
  <c r="J1480" i="6"/>
  <c r="H1480" i="6"/>
  <c r="F1480" i="6"/>
  <c r="L202" i="15" s="1"/>
  <c r="I202" i="15" s="1"/>
  <c r="K1479" i="6"/>
  <c r="BE1479" i="6" s="1"/>
  <c r="J1479" i="6"/>
  <c r="BC1479" i="6" s="1"/>
  <c r="H1479" i="6"/>
  <c r="F1479" i="6"/>
  <c r="K202" i="15" s="1"/>
  <c r="J1478" i="6"/>
  <c r="H1478" i="6"/>
  <c r="F1478" i="6"/>
  <c r="J202" i="15" s="1"/>
  <c r="G1477" i="6"/>
  <c r="C201" i="15" s="1"/>
  <c r="E1477" i="6"/>
  <c r="C1477" i="6"/>
  <c r="G1476" i="6"/>
  <c r="B201" i="15" s="1"/>
  <c r="AL201" i="15" s="1"/>
  <c r="E1476" i="6"/>
  <c r="F201" i="15" s="1"/>
  <c r="K1475" i="6"/>
  <c r="K1477" i="6" s="1"/>
  <c r="BE1477" i="6" s="1"/>
  <c r="J1475" i="6"/>
  <c r="J1477" i="6" s="1"/>
  <c r="H1475" i="6"/>
  <c r="H1477" i="6" s="1"/>
  <c r="F1475" i="6"/>
  <c r="K200" i="15" s="1"/>
  <c r="J1474" i="6"/>
  <c r="H1474" i="6"/>
  <c r="H1476" i="6" s="1"/>
  <c r="F1474" i="6"/>
  <c r="J200" i="15" s="1"/>
  <c r="K1473" i="6"/>
  <c r="BE1473" i="6" s="1"/>
  <c r="J1473" i="6"/>
  <c r="BC1473" i="6" s="1"/>
  <c r="H1473" i="6"/>
  <c r="F1473" i="6"/>
  <c r="K199" i="15" s="1"/>
  <c r="J1472" i="6"/>
  <c r="H1472" i="6"/>
  <c r="F1472" i="6"/>
  <c r="J199" i="15" s="1"/>
  <c r="G1471" i="6"/>
  <c r="C198" i="15" s="1"/>
  <c r="E1471" i="6"/>
  <c r="C1471" i="6"/>
  <c r="G1470" i="6"/>
  <c r="B198" i="15" s="1"/>
  <c r="AL198" i="15" s="1"/>
  <c r="E1470" i="6"/>
  <c r="F198" i="15" s="1"/>
  <c r="K1469" i="6"/>
  <c r="K1471" i="6" s="1"/>
  <c r="BE1471" i="6" s="1"/>
  <c r="J1469" i="6"/>
  <c r="H1469" i="6"/>
  <c r="H1471" i="6" s="1"/>
  <c r="F1469" i="6"/>
  <c r="K197" i="15" s="1"/>
  <c r="J1468" i="6"/>
  <c r="W197" i="15" s="1"/>
  <c r="Y197" i="15" s="1"/>
  <c r="H1468" i="6"/>
  <c r="H1470" i="6" s="1"/>
  <c r="F1468" i="6"/>
  <c r="J197" i="15" s="1"/>
  <c r="K1467" i="6"/>
  <c r="BE1467" i="6" s="1"/>
  <c r="J1467" i="6"/>
  <c r="BC1467" i="6" s="1"/>
  <c r="H1467" i="6"/>
  <c r="F1467" i="6"/>
  <c r="K196" i="15" s="1"/>
  <c r="J1466" i="6"/>
  <c r="H1466" i="6"/>
  <c r="F1466" i="6"/>
  <c r="J196" i="15" s="1"/>
  <c r="G1465" i="6"/>
  <c r="C195" i="15" s="1"/>
  <c r="E1465" i="6"/>
  <c r="C1465" i="6"/>
  <c r="G1464" i="6"/>
  <c r="B195" i="15" s="1"/>
  <c r="AL195" i="15" s="1"/>
  <c r="F1464" i="6"/>
  <c r="E1464" i="6"/>
  <c r="F195" i="15" s="1"/>
  <c r="K1463" i="6"/>
  <c r="J1463" i="6"/>
  <c r="BC1463" i="6" s="1"/>
  <c r="H1463" i="6"/>
  <c r="H1465" i="6" s="1"/>
  <c r="F1463" i="6"/>
  <c r="K194" i="15" s="1"/>
  <c r="J1462" i="6"/>
  <c r="H1462" i="6"/>
  <c r="F1462" i="6"/>
  <c r="J194" i="15" s="1"/>
  <c r="K1461" i="6"/>
  <c r="BE1461" i="6" s="1"/>
  <c r="J1461" i="6"/>
  <c r="BC1461" i="6" s="1"/>
  <c r="H1461" i="6"/>
  <c r="F1461" i="6"/>
  <c r="K193" i="15" s="1"/>
  <c r="J1460" i="6"/>
  <c r="H1460" i="6"/>
  <c r="F1460" i="6"/>
  <c r="J193" i="15" s="1"/>
  <c r="G1459" i="6"/>
  <c r="C192" i="15" s="1"/>
  <c r="E1459" i="6"/>
  <c r="C1459" i="6"/>
  <c r="G1458" i="6"/>
  <c r="B192" i="15" s="1"/>
  <c r="AL192" i="15" s="1"/>
  <c r="E1458" i="6"/>
  <c r="F192" i="15" s="1"/>
  <c r="K1457" i="6"/>
  <c r="BE1457" i="6" s="1"/>
  <c r="J1457" i="6"/>
  <c r="H1457" i="6"/>
  <c r="H1459" i="6" s="1"/>
  <c r="F1457" i="6"/>
  <c r="K191" i="15" s="1"/>
  <c r="J1456" i="6"/>
  <c r="H1456" i="6"/>
  <c r="H1458" i="6" s="1"/>
  <c r="F1456" i="6"/>
  <c r="J191" i="15" s="1"/>
  <c r="G1455" i="6"/>
  <c r="E190" i="15" s="1"/>
  <c r="E1455" i="6"/>
  <c r="G1454" i="6"/>
  <c r="D190" i="15" s="1"/>
  <c r="E1454" i="6"/>
  <c r="G1453" i="6"/>
  <c r="C190" i="15" s="1"/>
  <c r="E1453" i="6"/>
  <c r="C1453" i="6"/>
  <c r="C1454" i="6" s="1"/>
  <c r="C1455" i="6" s="1"/>
  <c r="G1452" i="6"/>
  <c r="B190" i="15" s="1"/>
  <c r="AL190" i="15" s="1"/>
  <c r="E1452" i="6"/>
  <c r="F190" i="15" s="1"/>
  <c r="K1451" i="6"/>
  <c r="BE1451" i="6" s="1"/>
  <c r="J1451" i="6"/>
  <c r="J1455" i="6" s="1"/>
  <c r="H1451" i="6"/>
  <c r="H1455" i="6" s="1"/>
  <c r="F1451" i="6"/>
  <c r="M189" i="15" s="1"/>
  <c r="K1450" i="6"/>
  <c r="J1450" i="6"/>
  <c r="H1450" i="6"/>
  <c r="H1454" i="6" s="1"/>
  <c r="F1450" i="6"/>
  <c r="L189" i="15" s="1"/>
  <c r="I189" i="15" s="1"/>
  <c r="K1449" i="6"/>
  <c r="BE1449" i="6" s="1"/>
  <c r="J1449" i="6"/>
  <c r="J1453" i="6" s="1"/>
  <c r="H1449" i="6"/>
  <c r="H1453" i="6" s="1"/>
  <c r="F1449" i="6"/>
  <c r="K189" i="15" s="1"/>
  <c r="J1448" i="6"/>
  <c r="H1448" i="6"/>
  <c r="H1452" i="6" s="1"/>
  <c r="F1448" i="6"/>
  <c r="G1447" i="6"/>
  <c r="C188" i="15" s="1"/>
  <c r="F1447" i="6"/>
  <c r="E1447" i="6"/>
  <c r="C1447" i="6"/>
  <c r="G1446" i="6"/>
  <c r="B188" i="15" s="1"/>
  <c r="AL188" i="15" s="1"/>
  <c r="F1446" i="6"/>
  <c r="J188" i="15" s="1"/>
  <c r="E1446" i="6"/>
  <c r="F188" i="15" s="1"/>
  <c r="K1445" i="6"/>
  <c r="K1447" i="6" s="1"/>
  <c r="BE1447" i="6" s="1"/>
  <c r="J1445" i="6"/>
  <c r="H1445" i="6"/>
  <c r="H1447" i="6" s="1"/>
  <c r="F1445" i="6"/>
  <c r="K187" i="15" s="1"/>
  <c r="K1444" i="6"/>
  <c r="AA187" i="15" s="1"/>
  <c r="J1444" i="6"/>
  <c r="H1444" i="6"/>
  <c r="H1446" i="6" s="1"/>
  <c r="F1444" i="6"/>
  <c r="J187" i="15" s="1"/>
  <c r="G1443" i="6"/>
  <c r="C186" i="15" s="1"/>
  <c r="E1443" i="6"/>
  <c r="C1443" i="6"/>
  <c r="G1442" i="6"/>
  <c r="B186" i="15" s="1"/>
  <c r="AL186" i="15" s="1"/>
  <c r="E1442" i="6"/>
  <c r="F186" i="15" s="1"/>
  <c r="K1441" i="6"/>
  <c r="J1441" i="6"/>
  <c r="BC1441" i="6" s="1"/>
  <c r="H1441" i="6"/>
  <c r="H1443" i="6" s="1"/>
  <c r="F1441" i="6"/>
  <c r="K185" i="15" s="1"/>
  <c r="L1440" i="6"/>
  <c r="L1442" i="6" s="1"/>
  <c r="K1440" i="6"/>
  <c r="J1440" i="6"/>
  <c r="H1440" i="6"/>
  <c r="H1442" i="6" s="1"/>
  <c r="F1440" i="6"/>
  <c r="J185" i="15" s="1"/>
  <c r="G1439" i="6"/>
  <c r="E184" i="15" s="1"/>
  <c r="E1439" i="6"/>
  <c r="G1438" i="6"/>
  <c r="D184" i="15" s="1"/>
  <c r="E1438" i="6"/>
  <c r="G1437" i="6"/>
  <c r="C184" i="15" s="1"/>
  <c r="E1437" i="6"/>
  <c r="C1437" i="6"/>
  <c r="C1438" i="6" s="1"/>
  <c r="G1436" i="6"/>
  <c r="B184" i="15" s="1"/>
  <c r="AL184" i="15" s="1"/>
  <c r="E1436" i="6"/>
  <c r="F184" i="15" s="1"/>
  <c r="K1435" i="6"/>
  <c r="J1435" i="6"/>
  <c r="H1435" i="6"/>
  <c r="H1439" i="6" s="1"/>
  <c r="F1435" i="6"/>
  <c r="M183" i="15" s="1"/>
  <c r="K1434" i="6"/>
  <c r="K1438" i="6" s="1"/>
  <c r="BE1438" i="6" s="1"/>
  <c r="J1434" i="6"/>
  <c r="X183" i="15" s="1"/>
  <c r="H1434" i="6"/>
  <c r="H1438" i="6" s="1"/>
  <c r="F1434" i="6"/>
  <c r="L183" i="15" s="1"/>
  <c r="I183" i="15" s="1"/>
  <c r="K1433" i="6"/>
  <c r="K1437" i="6" s="1"/>
  <c r="BE1437" i="6" s="1"/>
  <c r="J1433" i="6"/>
  <c r="H1433" i="6"/>
  <c r="H1437" i="6" s="1"/>
  <c r="F1433" i="6"/>
  <c r="K183" i="15" s="1"/>
  <c r="J1432" i="6"/>
  <c r="H1432" i="6"/>
  <c r="H1436" i="6" s="1"/>
  <c r="F1432" i="6"/>
  <c r="J183" i="15" s="1"/>
  <c r="G1431" i="6"/>
  <c r="C182" i="15" s="1"/>
  <c r="E1431" i="6"/>
  <c r="C1431" i="6"/>
  <c r="G1430" i="6"/>
  <c r="B182" i="15" s="1"/>
  <c r="AL182" i="15" s="1"/>
  <c r="F1430" i="6"/>
  <c r="E1430" i="6"/>
  <c r="F182" i="15" s="1"/>
  <c r="K1429" i="6"/>
  <c r="J1429" i="6"/>
  <c r="BC1429" i="6" s="1"/>
  <c r="H1429" i="6"/>
  <c r="H1431" i="6" s="1"/>
  <c r="F1429" i="6"/>
  <c r="K181" i="15" s="1"/>
  <c r="J1428" i="6"/>
  <c r="H1428" i="6"/>
  <c r="H1430" i="6" s="1"/>
  <c r="F1428" i="6"/>
  <c r="J181" i="15" s="1"/>
  <c r="G1427" i="6"/>
  <c r="E180" i="15" s="1"/>
  <c r="E1427" i="6"/>
  <c r="G1426" i="6"/>
  <c r="D180" i="15" s="1"/>
  <c r="E1426" i="6"/>
  <c r="G1425" i="6"/>
  <c r="C180" i="15" s="1"/>
  <c r="E1425" i="6"/>
  <c r="C1425" i="6"/>
  <c r="C1426" i="6" s="1"/>
  <c r="G1424" i="6"/>
  <c r="B180" i="15" s="1"/>
  <c r="AL180" i="15" s="1"/>
  <c r="E1424" i="6"/>
  <c r="F180" i="15" s="1"/>
  <c r="K1423" i="6"/>
  <c r="K1427" i="6" s="1"/>
  <c r="BE1427" i="6" s="1"/>
  <c r="J1423" i="6"/>
  <c r="H1423" i="6"/>
  <c r="F1423" i="6"/>
  <c r="M179" i="15" s="1"/>
  <c r="K1422" i="6"/>
  <c r="K1426" i="6" s="1"/>
  <c r="BE1426" i="6" s="1"/>
  <c r="J1422" i="6"/>
  <c r="X179" i="15" s="1"/>
  <c r="H1422" i="6"/>
  <c r="H1426" i="6" s="1"/>
  <c r="F1422" i="6"/>
  <c r="L179" i="15" s="1"/>
  <c r="K1421" i="6"/>
  <c r="BE1421" i="6" s="1"/>
  <c r="J1421" i="6"/>
  <c r="H1421" i="6"/>
  <c r="H1425" i="6" s="1"/>
  <c r="F1421" i="6"/>
  <c r="K179" i="15" s="1"/>
  <c r="J1420" i="6"/>
  <c r="H1420" i="6"/>
  <c r="H1424" i="6" s="1"/>
  <c r="F1420" i="6"/>
  <c r="J179" i="15" s="1"/>
  <c r="G1419" i="6"/>
  <c r="E178" i="15" s="1"/>
  <c r="E1419" i="6"/>
  <c r="G1418" i="6"/>
  <c r="D178" i="15" s="1"/>
  <c r="E1418" i="6"/>
  <c r="G1417" i="6"/>
  <c r="C178" i="15" s="1"/>
  <c r="E1417" i="6"/>
  <c r="C1417" i="6"/>
  <c r="C1418" i="6" s="1"/>
  <c r="C1419" i="6" s="1"/>
  <c r="G1416" i="6"/>
  <c r="B178" i="15" s="1"/>
  <c r="AL178" i="15" s="1"/>
  <c r="E1416" i="6"/>
  <c r="F178" i="15" s="1"/>
  <c r="K1415" i="6"/>
  <c r="K1419" i="6" s="1"/>
  <c r="BE1419" i="6" s="1"/>
  <c r="J1415" i="6"/>
  <c r="H1415" i="6"/>
  <c r="H1419" i="6" s="1"/>
  <c r="F1415" i="6"/>
  <c r="M177" i="15" s="1"/>
  <c r="K1414" i="6"/>
  <c r="J1414" i="6"/>
  <c r="H1414" i="6"/>
  <c r="H1418" i="6" s="1"/>
  <c r="F1414" i="6"/>
  <c r="L177" i="15" s="1"/>
  <c r="K1413" i="6"/>
  <c r="K1417" i="6" s="1"/>
  <c r="BE1417" i="6" s="1"/>
  <c r="J1413" i="6"/>
  <c r="J1417" i="6" s="1"/>
  <c r="H1413" i="6"/>
  <c r="H1417" i="6" s="1"/>
  <c r="F1413" i="6"/>
  <c r="K177" i="15" s="1"/>
  <c r="J1412" i="6"/>
  <c r="H1412" i="6"/>
  <c r="H1416" i="6" s="1"/>
  <c r="F1412" i="6"/>
  <c r="J177" i="15" s="1"/>
  <c r="K1411" i="6"/>
  <c r="BE1411" i="6" s="1"/>
  <c r="J1411" i="6"/>
  <c r="BC1411" i="6" s="1"/>
  <c r="H1411" i="6"/>
  <c r="F1411" i="6"/>
  <c r="K176" i="15" s="1"/>
  <c r="K1410" i="6"/>
  <c r="J1410" i="6"/>
  <c r="H1410" i="6"/>
  <c r="K1409" i="6"/>
  <c r="BE1409" i="6" s="1"/>
  <c r="J1409" i="6"/>
  <c r="BC1409" i="6" s="1"/>
  <c r="H1409" i="6"/>
  <c r="K1408" i="6"/>
  <c r="J1408" i="6"/>
  <c r="H1408" i="6"/>
  <c r="K1407" i="6"/>
  <c r="BE1407" i="6" s="1"/>
  <c r="J1407" i="6"/>
  <c r="BC1407" i="6" s="1"/>
  <c r="H1407" i="6"/>
  <c r="F1407" i="6"/>
  <c r="M174" i="15" s="1"/>
  <c r="K1406" i="6"/>
  <c r="BE1406" i="6" s="1"/>
  <c r="J1406" i="6"/>
  <c r="H1406" i="6"/>
  <c r="K1405" i="6"/>
  <c r="BE1405" i="6" s="1"/>
  <c r="J1405" i="6"/>
  <c r="BC1405" i="6" s="1"/>
  <c r="H1405" i="6"/>
  <c r="F1405" i="6"/>
  <c r="K174" i="15" s="1"/>
  <c r="J1404" i="6"/>
  <c r="H1404" i="6"/>
  <c r="F1404" i="6"/>
  <c r="J174" i="15" s="1"/>
  <c r="K1403" i="6"/>
  <c r="BE1403" i="6" s="1"/>
  <c r="J1403" i="6"/>
  <c r="BC1403" i="6" s="1"/>
  <c r="H1403" i="6"/>
  <c r="K1402" i="6"/>
  <c r="BE1402" i="6" s="1"/>
  <c r="J1402" i="6"/>
  <c r="H1402" i="6"/>
  <c r="K1401" i="6"/>
  <c r="BE1401" i="6" s="1"/>
  <c r="J1401" i="6"/>
  <c r="BC1401" i="6" s="1"/>
  <c r="H1401" i="6"/>
  <c r="J1400" i="6"/>
  <c r="H1400" i="6"/>
  <c r="K1399" i="6"/>
  <c r="BE1399" i="6" s="1"/>
  <c r="J1399" i="6"/>
  <c r="BC1399" i="6" s="1"/>
  <c r="H1399" i="6"/>
  <c r="J1398" i="6"/>
  <c r="H1398" i="6"/>
  <c r="K1397" i="6"/>
  <c r="BE1397" i="6" s="1"/>
  <c r="J1397" i="6"/>
  <c r="BC1397" i="6" s="1"/>
  <c r="H1397" i="6"/>
  <c r="J1396" i="6"/>
  <c r="H1396" i="6"/>
  <c r="K1395" i="6"/>
  <c r="BE1395" i="6" s="1"/>
  <c r="J1395" i="6"/>
  <c r="BC1395" i="6" s="1"/>
  <c r="H1395" i="6"/>
  <c r="K1394" i="6"/>
  <c r="BE1394" i="6" s="1"/>
  <c r="J1394" i="6"/>
  <c r="H1394" i="6"/>
  <c r="K1393" i="6"/>
  <c r="BE1393" i="6" s="1"/>
  <c r="J1393" i="6"/>
  <c r="BC1393" i="6" s="1"/>
  <c r="H1393" i="6"/>
  <c r="J1392" i="6"/>
  <c r="H1392" i="6"/>
  <c r="K1391" i="6"/>
  <c r="BE1391" i="6" s="1"/>
  <c r="J1391" i="6"/>
  <c r="BC1391" i="6" s="1"/>
  <c r="H1391" i="6"/>
  <c r="K1390" i="6"/>
  <c r="BE1390" i="6" s="1"/>
  <c r="J1390" i="6"/>
  <c r="H1390" i="6"/>
  <c r="K1389" i="6"/>
  <c r="BE1389" i="6" s="1"/>
  <c r="J1389" i="6"/>
  <c r="BC1389" i="6" s="1"/>
  <c r="H1389" i="6"/>
  <c r="J1388" i="6"/>
  <c r="H1388" i="6"/>
  <c r="BE1387" i="6"/>
  <c r="BD1387" i="6"/>
  <c r="BC1387" i="6"/>
  <c r="BB1387" i="6"/>
  <c r="V1384" i="6"/>
  <c r="F1381" i="6"/>
  <c r="F1380" i="6"/>
  <c r="F1379" i="6"/>
  <c r="F1378" i="6"/>
  <c r="F1377" i="6"/>
  <c r="F1376" i="6"/>
  <c r="F1375" i="6"/>
  <c r="F1374" i="6"/>
  <c r="F1373" i="6"/>
  <c r="F1372" i="6"/>
  <c r="F1371" i="6"/>
  <c r="F1370" i="6"/>
  <c r="D1370" i="6"/>
  <c r="D2986" i="6" s="1"/>
  <c r="F1369" i="6"/>
  <c r="F1368" i="6"/>
  <c r="F1367" i="6"/>
  <c r="F1366" i="6"/>
  <c r="F1365" i="6"/>
  <c r="F1364" i="6"/>
  <c r="F1363" i="6"/>
  <c r="F1362" i="6"/>
  <c r="F1361" i="6"/>
  <c r="F1360" i="6"/>
  <c r="F1359" i="6"/>
  <c r="F1358" i="6"/>
  <c r="D1358" i="6"/>
  <c r="F1357" i="6"/>
  <c r="F1356" i="6"/>
  <c r="F1355" i="6"/>
  <c r="F1354" i="6"/>
  <c r="F1353" i="6"/>
  <c r="F1352" i="6"/>
  <c r="F1351" i="6"/>
  <c r="F1350" i="6"/>
  <c r="F1349" i="6"/>
  <c r="F1348" i="6"/>
  <c r="F1347" i="6"/>
  <c r="F1346" i="6"/>
  <c r="F1345" i="6"/>
  <c r="F1344" i="6"/>
  <c r="F1343" i="6"/>
  <c r="X1342" i="6"/>
  <c r="K1342" i="6"/>
  <c r="L1295" i="6" s="1"/>
  <c r="F1342" i="6"/>
  <c r="X1341" i="6"/>
  <c r="K1341" i="6"/>
  <c r="L1291" i="6" s="1"/>
  <c r="F1341" i="6"/>
  <c r="X1340" i="6"/>
  <c r="K1340" i="6"/>
  <c r="F1340" i="6"/>
  <c r="X1339" i="6"/>
  <c r="K1339" i="6"/>
  <c r="L1287" i="6" s="1"/>
  <c r="F1339" i="6"/>
  <c r="X1338" i="6"/>
  <c r="K1338" i="6"/>
  <c r="L1285" i="6" s="1"/>
  <c r="F1338" i="6"/>
  <c r="Y1337" i="6"/>
  <c r="W1337" i="6"/>
  <c r="F1337" i="6"/>
  <c r="Y1336" i="6"/>
  <c r="W1336" i="6"/>
  <c r="F1336" i="6"/>
  <c r="Y1335" i="6"/>
  <c r="W1335" i="6"/>
  <c r="F1335" i="6"/>
  <c r="Y1334" i="6"/>
  <c r="W1334" i="6"/>
  <c r="F1334" i="6"/>
  <c r="Y1333" i="6"/>
  <c r="W1333" i="6"/>
  <c r="F1333" i="6"/>
  <c r="F1332" i="6"/>
  <c r="F1331" i="6"/>
  <c r="F1329" i="6"/>
  <c r="F1328" i="6"/>
  <c r="F1327" i="6"/>
  <c r="F1326" i="6"/>
  <c r="F1325" i="6"/>
  <c r="F1324" i="6"/>
  <c r="F1323" i="6"/>
  <c r="F1322" i="6"/>
  <c r="Y1321" i="6"/>
  <c r="Y1342" i="6" s="1"/>
  <c r="X1321" i="6"/>
  <c r="K1321" i="6"/>
  <c r="F1321" i="6"/>
  <c r="Y1320" i="6"/>
  <c r="Y1341" i="6" s="1"/>
  <c r="X1320" i="6"/>
  <c r="K1320" i="6"/>
  <c r="F1320" i="6"/>
  <c r="Y1319" i="6"/>
  <c r="Y1340" i="6" s="1"/>
  <c r="X1319" i="6"/>
  <c r="K1319" i="6"/>
  <c r="F1319" i="6"/>
  <c r="Y1318" i="6"/>
  <c r="Y1339" i="6" s="1"/>
  <c r="X1318" i="6"/>
  <c r="K1318" i="6"/>
  <c r="F1318" i="6"/>
  <c r="Y1317" i="6"/>
  <c r="Y1338" i="6" s="1"/>
  <c r="X1317" i="6"/>
  <c r="K1317" i="6"/>
  <c r="F1317" i="6"/>
  <c r="AG1316" i="6"/>
  <c r="AF1316" i="6"/>
  <c r="AE1316" i="6"/>
  <c r="AD1316" i="6"/>
  <c r="AC1316" i="6"/>
  <c r="AB1316" i="6"/>
  <c r="AA1316" i="6"/>
  <c r="Z1316" i="6"/>
  <c r="Y1316" i="6"/>
  <c r="X1316" i="6"/>
  <c r="BE1296" i="6"/>
  <c r="BC1296" i="6"/>
  <c r="H1296" i="6"/>
  <c r="F1296" i="6"/>
  <c r="K168" i="15" s="1"/>
  <c r="BE1295" i="6"/>
  <c r="BC1295" i="6"/>
  <c r="H1295" i="6"/>
  <c r="F1295" i="6"/>
  <c r="J168" i="15" s="1"/>
  <c r="BE1294" i="6"/>
  <c r="BC1294" i="6"/>
  <c r="H1294" i="6"/>
  <c r="F1294" i="6"/>
  <c r="M167" i="15" s="1"/>
  <c r="BE1293" i="6"/>
  <c r="BC1293" i="6"/>
  <c r="H1293" i="6"/>
  <c r="F1293" i="6"/>
  <c r="L167" i="15" s="1"/>
  <c r="I167" i="15" s="1"/>
  <c r="BE1292" i="6"/>
  <c r="BC1292" i="6"/>
  <c r="H1292" i="6"/>
  <c r="F1292" i="6"/>
  <c r="K167" i="15" s="1"/>
  <c r="BE1291" i="6"/>
  <c r="BC1291" i="6"/>
  <c r="H1291" i="6"/>
  <c r="F1291" i="6"/>
  <c r="J167" i="15" s="1"/>
  <c r="BE1290" i="6"/>
  <c r="BC1290" i="6"/>
  <c r="H1290" i="6"/>
  <c r="F1290" i="6"/>
  <c r="M166" i="15" s="1"/>
  <c r="BE1289" i="6"/>
  <c r="BC1289" i="6"/>
  <c r="H1289" i="6"/>
  <c r="F1289" i="6"/>
  <c r="L166" i="15" s="1"/>
  <c r="I166" i="15" s="1"/>
  <c r="BE1288" i="6"/>
  <c r="BC1288" i="6"/>
  <c r="H1288" i="6"/>
  <c r="F1288" i="6"/>
  <c r="K166" i="15" s="1"/>
  <c r="BE1287" i="6"/>
  <c r="BC1287" i="6"/>
  <c r="H1287" i="6"/>
  <c r="F1287" i="6"/>
  <c r="J166" i="15" s="1"/>
  <c r="BE1286" i="6"/>
  <c r="BC1286" i="6"/>
  <c r="H1286" i="6"/>
  <c r="F1286" i="6"/>
  <c r="K165" i="15" s="1"/>
  <c r="BE1285" i="6"/>
  <c r="BC1285" i="6"/>
  <c r="H1285" i="6"/>
  <c r="F1285" i="6"/>
  <c r="J165" i="15" s="1"/>
  <c r="BE1284" i="6"/>
  <c r="BD1284" i="6"/>
  <c r="BC1284" i="6"/>
  <c r="BB1284" i="6"/>
  <c r="AG1284" i="6"/>
  <c r="AF1284" i="6"/>
  <c r="AE1284" i="6"/>
  <c r="AD1284" i="6"/>
  <c r="AC1284" i="6"/>
  <c r="AB1284" i="6"/>
  <c r="AA1284" i="6"/>
  <c r="Z1284" i="6"/>
  <c r="Y1284" i="6"/>
  <c r="X1284" i="6"/>
  <c r="V1281" i="6"/>
  <c r="K1242" i="6"/>
  <c r="L1190" i="6" s="1"/>
  <c r="K1241" i="6"/>
  <c r="W1241" i="6" s="1"/>
  <c r="K1240" i="6"/>
  <c r="L1186" i="6" s="1"/>
  <c r="K1239" i="6"/>
  <c r="K1238" i="6"/>
  <c r="L1182" i="6" s="1"/>
  <c r="K1237" i="6"/>
  <c r="W1237" i="6" s="1"/>
  <c r="K1218" i="6"/>
  <c r="K1217" i="6"/>
  <c r="W1217" i="6" s="1"/>
  <c r="F1217" i="6"/>
  <c r="F1271" i="6" s="1"/>
  <c r="K1216" i="6"/>
  <c r="K1215" i="6"/>
  <c r="W1215" i="6" s="1"/>
  <c r="F1215" i="6"/>
  <c r="F1275" i="6" s="1"/>
  <c r="K1214" i="6"/>
  <c r="K1213" i="6"/>
  <c r="F1213" i="6"/>
  <c r="F1267" i="6" s="1"/>
  <c r="AG1211" i="6"/>
  <c r="AF1211" i="6"/>
  <c r="AE1211" i="6"/>
  <c r="AD1211" i="6"/>
  <c r="AC1211" i="6"/>
  <c r="AB1211" i="6"/>
  <c r="AA1211" i="6"/>
  <c r="Z1211" i="6"/>
  <c r="Y1211" i="6"/>
  <c r="X1211" i="6"/>
  <c r="BE1191" i="6"/>
  <c r="H1191" i="6"/>
  <c r="F1191" i="6"/>
  <c r="K164" i="15" s="1"/>
  <c r="E1191" i="6"/>
  <c r="J1190" i="6"/>
  <c r="H1190" i="6"/>
  <c r="F1190" i="6"/>
  <c r="J164" i="15" s="1"/>
  <c r="E1190" i="6"/>
  <c r="BE1189" i="6"/>
  <c r="H1189" i="6"/>
  <c r="F1189" i="6"/>
  <c r="K163" i="15" s="1"/>
  <c r="J1188" i="6"/>
  <c r="H1188" i="6"/>
  <c r="F1188" i="6"/>
  <c r="J163" i="15" s="1"/>
  <c r="BE1187" i="6"/>
  <c r="H1187" i="6"/>
  <c r="F1187" i="6"/>
  <c r="K162" i="15" s="1"/>
  <c r="E1187" i="6"/>
  <c r="J1186" i="6"/>
  <c r="H1186" i="6"/>
  <c r="F1186" i="6"/>
  <c r="J162" i="15" s="1"/>
  <c r="E1186" i="6"/>
  <c r="BE1185" i="6"/>
  <c r="H1185" i="6"/>
  <c r="F1185" i="6"/>
  <c r="J1184" i="6"/>
  <c r="H1184" i="6"/>
  <c r="F1184" i="6"/>
  <c r="BE1183" i="6"/>
  <c r="H1183" i="6"/>
  <c r="F1183" i="6"/>
  <c r="K160" i="15" s="1"/>
  <c r="E1183" i="6"/>
  <c r="J1182" i="6"/>
  <c r="H1182" i="6"/>
  <c r="F1182" i="6"/>
  <c r="J160" i="15" s="1"/>
  <c r="E1182" i="6"/>
  <c r="BE1181" i="6"/>
  <c r="H1181" i="6"/>
  <c r="F1181" i="6"/>
  <c r="K159" i="15" s="1"/>
  <c r="J1180" i="6"/>
  <c r="H1180" i="6"/>
  <c r="F1180" i="6"/>
  <c r="J159" i="15" s="1"/>
  <c r="BE1179" i="6"/>
  <c r="BD1179" i="6"/>
  <c r="BC1179" i="6"/>
  <c r="BB1179" i="6"/>
  <c r="AG1179" i="6"/>
  <c r="AF1179" i="6"/>
  <c r="AE1179" i="6"/>
  <c r="AD1179" i="6"/>
  <c r="AC1179" i="6"/>
  <c r="AB1179" i="6"/>
  <c r="AA1179" i="6"/>
  <c r="Z1179" i="6"/>
  <c r="Y1179" i="6"/>
  <c r="X1179" i="6"/>
  <c r="V1176" i="6"/>
  <c r="Y1157" i="6"/>
  <c r="J1157" i="6"/>
  <c r="K792" i="6" s="1"/>
  <c r="AA145" i="15" s="1"/>
  <c r="Y1153" i="6"/>
  <c r="J1153" i="6"/>
  <c r="K788" i="6" s="1"/>
  <c r="Y1151" i="6"/>
  <c r="J1151" i="6"/>
  <c r="K786" i="6" s="1"/>
  <c r="Y1147" i="6"/>
  <c r="J1147" i="6"/>
  <c r="K782" i="6" s="1"/>
  <c r="Y1145" i="6"/>
  <c r="J1145" i="6"/>
  <c r="K780" i="6" s="1"/>
  <c r="Y1143" i="6"/>
  <c r="J1143" i="6"/>
  <c r="K778" i="6" s="1"/>
  <c r="Y1142" i="6"/>
  <c r="J1142" i="6"/>
  <c r="K777" i="6" s="1"/>
  <c r="Y1140" i="6"/>
  <c r="J1140" i="6"/>
  <c r="K775" i="6" s="1"/>
  <c r="F1088" i="6"/>
  <c r="F1139" i="6" s="1"/>
  <c r="F1173" i="6" s="1"/>
  <c r="F1087" i="6"/>
  <c r="F1138" i="6" s="1"/>
  <c r="F1172" i="6" s="1"/>
  <c r="F1086" i="6"/>
  <c r="F1137" i="6" s="1"/>
  <c r="F1171" i="6" s="1"/>
  <c r="F1085" i="6"/>
  <c r="F1136" i="6" s="1"/>
  <c r="F1170" i="6" s="1"/>
  <c r="F1084" i="6"/>
  <c r="F1135" i="6" s="1"/>
  <c r="F1169" i="6" s="1"/>
  <c r="F1083" i="6"/>
  <c r="F1134" i="6" s="1"/>
  <c r="F1168" i="6" s="1"/>
  <c r="F1082" i="6"/>
  <c r="F1133" i="6" s="1"/>
  <c r="F1167" i="6" s="1"/>
  <c r="F1081" i="6"/>
  <c r="F1132" i="6" s="1"/>
  <c r="F1166" i="6" s="1"/>
  <c r="F1080" i="6"/>
  <c r="F1131" i="6" s="1"/>
  <c r="F1165" i="6" s="1"/>
  <c r="F1079" i="6"/>
  <c r="F1130" i="6" s="1"/>
  <c r="F1164" i="6" s="1"/>
  <c r="F1078" i="6"/>
  <c r="F1129" i="6" s="1"/>
  <c r="F1163" i="6" s="1"/>
  <c r="F1077" i="6"/>
  <c r="F1128" i="6" s="1"/>
  <c r="F1162" i="6" s="1"/>
  <c r="F1076" i="6"/>
  <c r="F1127" i="6" s="1"/>
  <c r="F1161" i="6" s="1"/>
  <c r="F1075" i="6"/>
  <c r="F1126" i="6" s="1"/>
  <c r="F1160" i="6" s="1"/>
  <c r="F1074" i="6"/>
  <c r="F1125" i="6" s="1"/>
  <c r="F1159" i="6" s="1"/>
  <c r="Y1073" i="6"/>
  <c r="Y1074" i="6" s="1"/>
  <c r="Y1159" i="6" s="1"/>
  <c r="J1073" i="6"/>
  <c r="J1074" i="6" s="1"/>
  <c r="F1073" i="6"/>
  <c r="F1124" i="6" s="1"/>
  <c r="F1158" i="6" s="1"/>
  <c r="F1072" i="6"/>
  <c r="F1123" i="6" s="1"/>
  <c r="F1157" i="6" s="1"/>
  <c r="F1071" i="6"/>
  <c r="F1122" i="6" s="1"/>
  <c r="F1156" i="6" s="1"/>
  <c r="F1070" i="6"/>
  <c r="F1121" i="6" s="1"/>
  <c r="F1155" i="6" s="1"/>
  <c r="F1069" i="6"/>
  <c r="F1120" i="6" s="1"/>
  <c r="F1154" i="6" s="1"/>
  <c r="F1068" i="6"/>
  <c r="F1119" i="6" s="1"/>
  <c r="F1153" i="6" s="1"/>
  <c r="F1067" i="6"/>
  <c r="F1118" i="6" s="1"/>
  <c r="F1152" i="6" s="1"/>
  <c r="F1066" i="6"/>
  <c r="F1117" i="6" s="1"/>
  <c r="F1151" i="6" s="1"/>
  <c r="F1065" i="6"/>
  <c r="F1116" i="6" s="1"/>
  <c r="F1150" i="6" s="1"/>
  <c r="F1064" i="6"/>
  <c r="F1115" i="6" s="1"/>
  <c r="F1149" i="6" s="1"/>
  <c r="F1063" i="6"/>
  <c r="F1114" i="6" s="1"/>
  <c r="F1148" i="6" s="1"/>
  <c r="F1062" i="6"/>
  <c r="F1113" i="6" s="1"/>
  <c r="F1147" i="6" s="1"/>
  <c r="F1061" i="6"/>
  <c r="F1112" i="6" s="1"/>
  <c r="F1146" i="6" s="1"/>
  <c r="F1060" i="6"/>
  <c r="F1111" i="6" s="1"/>
  <c r="F1145" i="6" s="1"/>
  <c r="F1059" i="6"/>
  <c r="F1110" i="6" s="1"/>
  <c r="F1144" i="6" s="1"/>
  <c r="F1058" i="6"/>
  <c r="F1109" i="6" s="1"/>
  <c r="F1143" i="6" s="1"/>
  <c r="F1057" i="6"/>
  <c r="F1108" i="6" s="1"/>
  <c r="F1142" i="6" s="1"/>
  <c r="F1056" i="6"/>
  <c r="F1107" i="6" s="1"/>
  <c r="F1141" i="6" s="1"/>
  <c r="F1055" i="6"/>
  <c r="F1106" i="6" s="1"/>
  <c r="F1140" i="6" s="1"/>
  <c r="J1054" i="6"/>
  <c r="J1053" i="6"/>
  <c r="J1052" i="6"/>
  <c r="J1051" i="6"/>
  <c r="J1050" i="6"/>
  <c r="J1049" i="6"/>
  <c r="J1048" i="6"/>
  <c r="J1047" i="6"/>
  <c r="J1046" i="6"/>
  <c r="J1045" i="6"/>
  <c r="J1044" i="6"/>
  <c r="J1043" i="6"/>
  <c r="J1042" i="6"/>
  <c r="J1041" i="6"/>
  <c r="J1033" i="6"/>
  <c r="J1032" i="6"/>
  <c r="J1031" i="6"/>
  <c r="J1030" i="6"/>
  <c r="J1029" i="6"/>
  <c r="J1028" i="6"/>
  <c r="J1027" i="6"/>
  <c r="J1026" i="6"/>
  <c r="J1025" i="6"/>
  <c r="J1024" i="6"/>
  <c r="J1023" i="6"/>
  <c r="J1022" i="6"/>
  <c r="J1021" i="6"/>
  <c r="J1020" i="6"/>
  <c r="J1012" i="6"/>
  <c r="J1011" i="6"/>
  <c r="J1010" i="6"/>
  <c r="J1009" i="6"/>
  <c r="J1008" i="6"/>
  <c r="J1007" i="6"/>
  <c r="J1006" i="6"/>
  <c r="J1005" i="6"/>
  <c r="J1004" i="6"/>
  <c r="J1003" i="6"/>
  <c r="J1002" i="6"/>
  <c r="J1001" i="6"/>
  <c r="J1000" i="6"/>
  <c r="J999" i="6"/>
  <c r="J970" i="6"/>
  <c r="K970" i="6" s="1"/>
  <c r="L822" i="6" s="1"/>
  <c r="J969" i="6"/>
  <c r="K969" i="6" s="1"/>
  <c r="L816" i="6" s="1"/>
  <c r="J968" i="6"/>
  <c r="K968" i="6" s="1"/>
  <c r="L810" i="6" s="1"/>
  <c r="J967" i="6"/>
  <c r="K967" i="6" s="1"/>
  <c r="L804" i="6" s="1"/>
  <c r="J966" i="6"/>
  <c r="K966" i="6" s="1"/>
  <c r="L800" i="6" s="1"/>
  <c r="J965" i="6"/>
  <c r="K965" i="6" s="1"/>
  <c r="L797" i="6" s="1"/>
  <c r="J964" i="6"/>
  <c r="K964" i="6" s="1"/>
  <c r="L794" i="6" s="1"/>
  <c r="J963" i="6"/>
  <c r="J962" i="6"/>
  <c r="K962" i="6" s="1"/>
  <c r="J961" i="6"/>
  <c r="J960" i="6"/>
  <c r="K960" i="6" s="1"/>
  <c r="J959" i="6"/>
  <c r="J958" i="6"/>
  <c r="K958" i="6" s="1"/>
  <c r="J957" i="6"/>
  <c r="K957" i="6" s="1"/>
  <c r="X956" i="6"/>
  <c r="K956" i="6"/>
  <c r="L788" i="6" s="1"/>
  <c r="X955" i="6"/>
  <c r="X1151" i="6" s="1"/>
  <c r="K955" i="6"/>
  <c r="L786" i="6" s="1"/>
  <c r="X954" i="6"/>
  <c r="K954" i="6"/>
  <c r="L806" i="6" s="1"/>
  <c r="X953" i="6"/>
  <c r="X1162" i="6" s="1"/>
  <c r="K953" i="6"/>
  <c r="L802" i="6" s="1"/>
  <c r="X952" i="6"/>
  <c r="K952" i="6"/>
  <c r="L778" i="6" s="1"/>
  <c r="X951" i="6"/>
  <c r="X1142" i="6" s="1"/>
  <c r="K951" i="6"/>
  <c r="X950" i="6"/>
  <c r="K950" i="6"/>
  <c r="L792" i="6" s="1"/>
  <c r="J949" i="6"/>
  <c r="J948" i="6"/>
  <c r="J947" i="6"/>
  <c r="J946" i="6"/>
  <c r="J945" i="6"/>
  <c r="J944" i="6"/>
  <c r="J943" i="6"/>
  <c r="J942" i="6"/>
  <c r="J941" i="6"/>
  <c r="J940" i="6"/>
  <c r="J939" i="6"/>
  <c r="J938" i="6"/>
  <c r="J937" i="6"/>
  <c r="J936" i="6"/>
  <c r="J928" i="6"/>
  <c r="J927" i="6"/>
  <c r="J926" i="6"/>
  <c r="J925" i="6"/>
  <c r="J924" i="6"/>
  <c r="J923" i="6"/>
  <c r="J922" i="6"/>
  <c r="J921" i="6"/>
  <c r="J920" i="6"/>
  <c r="J919" i="6"/>
  <c r="J918" i="6"/>
  <c r="J917" i="6"/>
  <c r="J916" i="6"/>
  <c r="J915" i="6"/>
  <c r="J907" i="6"/>
  <c r="J906" i="6"/>
  <c r="J905" i="6"/>
  <c r="J904" i="6"/>
  <c r="J903" i="6"/>
  <c r="J902" i="6"/>
  <c r="J901" i="6"/>
  <c r="J900" i="6"/>
  <c r="J899" i="6"/>
  <c r="J898" i="6"/>
  <c r="J897" i="6"/>
  <c r="J896" i="6"/>
  <c r="J895" i="6"/>
  <c r="J894" i="6"/>
  <c r="J865" i="6"/>
  <c r="J864" i="6"/>
  <c r="K864" i="6" s="1"/>
  <c r="J863" i="6"/>
  <c r="J862" i="6"/>
  <c r="K862" i="6" s="1"/>
  <c r="J861" i="6"/>
  <c r="J860" i="6"/>
  <c r="K860" i="6" s="1"/>
  <c r="J859" i="6"/>
  <c r="K859" i="6" s="1"/>
  <c r="J858" i="6"/>
  <c r="K858" i="6" s="1"/>
  <c r="F858" i="6"/>
  <c r="F879" i="6" s="1"/>
  <c r="F900" i="6" s="1"/>
  <c r="F921" i="6" s="1"/>
  <c r="F942" i="6" s="1"/>
  <c r="F963" i="6" s="1"/>
  <c r="F984" i="6" s="1"/>
  <c r="F1005" i="6" s="1"/>
  <c r="F1026" i="6" s="1"/>
  <c r="F1047" i="6" s="1"/>
  <c r="J857" i="6"/>
  <c r="K857" i="6" s="1"/>
  <c r="F857" i="6"/>
  <c r="F878" i="6" s="1"/>
  <c r="F899" i="6" s="1"/>
  <c r="F920" i="6" s="1"/>
  <c r="F941" i="6" s="1"/>
  <c r="F962" i="6" s="1"/>
  <c r="F983" i="6" s="1"/>
  <c r="F1004" i="6" s="1"/>
  <c r="F1025" i="6" s="1"/>
  <c r="F1046" i="6" s="1"/>
  <c r="J856" i="6"/>
  <c r="K856" i="6" s="1"/>
  <c r="F856" i="6"/>
  <c r="F877" i="6" s="1"/>
  <c r="F898" i="6" s="1"/>
  <c r="F919" i="6" s="1"/>
  <c r="F940" i="6" s="1"/>
  <c r="F961" i="6" s="1"/>
  <c r="F982" i="6" s="1"/>
  <c r="F1003" i="6" s="1"/>
  <c r="F1024" i="6" s="1"/>
  <c r="F1045" i="6" s="1"/>
  <c r="J855" i="6"/>
  <c r="F855" i="6"/>
  <c r="F876" i="6" s="1"/>
  <c r="F897" i="6" s="1"/>
  <c r="F918" i="6" s="1"/>
  <c r="F939" i="6" s="1"/>
  <c r="F960" i="6" s="1"/>
  <c r="F981" i="6" s="1"/>
  <c r="F1002" i="6" s="1"/>
  <c r="F1023" i="6" s="1"/>
  <c r="F1044" i="6" s="1"/>
  <c r="J854" i="6"/>
  <c r="K854" i="6" s="1"/>
  <c r="F854" i="6"/>
  <c r="F875" i="6" s="1"/>
  <c r="F896" i="6" s="1"/>
  <c r="F917" i="6" s="1"/>
  <c r="F938" i="6" s="1"/>
  <c r="F959" i="6" s="1"/>
  <c r="F980" i="6" s="1"/>
  <c r="F1001" i="6" s="1"/>
  <c r="F1022" i="6" s="1"/>
  <c r="F1043" i="6" s="1"/>
  <c r="J853" i="6"/>
  <c r="K853" i="6" s="1"/>
  <c r="F853" i="6"/>
  <c r="F874" i="6" s="1"/>
  <c r="F895" i="6" s="1"/>
  <c r="F916" i="6" s="1"/>
  <c r="F937" i="6" s="1"/>
  <c r="F958" i="6" s="1"/>
  <c r="F979" i="6" s="1"/>
  <c r="F1000" i="6" s="1"/>
  <c r="F1021" i="6" s="1"/>
  <c r="F1042" i="6" s="1"/>
  <c r="J852" i="6"/>
  <c r="K852" i="6" s="1"/>
  <c r="F852" i="6"/>
  <c r="F873" i="6" s="1"/>
  <c r="F894" i="6" s="1"/>
  <c r="F915" i="6" s="1"/>
  <c r="F936" i="6" s="1"/>
  <c r="F957" i="6" s="1"/>
  <c r="F978" i="6" s="1"/>
  <c r="F999" i="6" s="1"/>
  <c r="F1020" i="6" s="1"/>
  <c r="F1041" i="6" s="1"/>
  <c r="X851" i="6"/>
  <c r="K851" i="6"/>
  <c r="F851" i="6"/>
  <c r="F872" i="6" s="1"/>
  <c r="F893" i="6" s="1"/>
  <c r="F914" i="6" s="1"/>
  <c r="F935" i="6" s="1"/>
  <c r="F956" i="6" s="1"/>
  <c r="F977" i="6" s="1"/>
  <c r="F998" i="6" s="1"/>
  <c r="F1019" i="6" s="1"/>
  <c r="F1040" i="6" s="1"/>
  <c r="X850" i="6"/>
  <c r="K850" i="6"/>
  <c r="F850" i="6"/>
  <c r="F871" i="6" s="1"/>
  <c r="F892" i="6" s="1"/>
  <c r="F913" i="6" s="1"/>
  <c r="F934" i="6" s="1"/>
  <c r="F955" i="6" s="1"/>
  <c r="F976" i="6" s="1"/>
  <c r="F997" i="6" s="1"/>
  <c r="F1018" i="6" s="1"/>
  <c r="F1039" i="6" s="1"/>
  <c r="X849" i="6"/>
  <c r="K849" i="6"/>
  <c r="F849" i="6"/>
  <c r="F870" i="6" s="1"/>
  <c r="F891" i="6" s="1"/>
  <c r="F912" i="6" s="1"/>
  <c r="F933" i="6" s="1"/>
  <c r="F954" i="6" s="1"/>
  <c r="F975" i="6" s="1"/>
  <c r="F996" i="6" s="1"/>
  <c r="F1017" i="6" s="1"/>
  <c r="F1038" i="6" s="1"/>
  <c r="X848" i="6"/>
  <c r="K848" i="6"/>
  <c r="F848" i="6"/>
  <c r="F869" i="6" s="1"/>
  <c r="F890" i="6" s="1"/>
  <c r="F911" i="6" s="1"/>
  <c r="F932" i="6" s="1"/>
  <c r="F953" i="6" s="1"/>
  <c r="F974" i="6" s="1"/>
  <c r="F995" i="6" s="1"/>
  <c r="F1016" i="6" s="1"/>
  <c r="F1037" i="6" s="1"/>
  <c r="X847" i="6"/>
  <c r="K847" i="6"/>
  <c r="F847" i="6"/>
  <c r="F868" i="6" s="1"/>
  <c r="F889" i="6" s="1"/>
  <c r="F910" i="6" s="1"/>
  <c r="F931" i="6" s="1"/>
  <c r="F952" i="6" s="1"/>
  <c r="F973" i="6" s="1"/>
  <c r="F994" i="6" s="1"/>
  <c r="F1015" i="6" s="1"/>
  <c r="F1036" i="6" s="1"/>
  <c r="F846" i="6"/>
  <c r="F867" i="6" s="1"/>
  <c r="F888" i="6" s="1"/>
  <c r="F909" i="6" s="1"/>
  <c r="F930" i="6" s="1"/>
  <c r="F951" i="6" s="1"/>
  <c r="F972" i="6" s="1"/>
  <c r="F993" i="6" s="1"/>
  <c r="F1014" i="6" s="1"/>
  <c r="F1035" i="6" s="1"/>
  <c r="F845" i="6"/>
  <c r="F866" i="6" s="1"/>
  <c r="F887" i="6" s="1"/>
  <c r="F908" i="6" s="1"/>
  <c r="F929" i="6" s="1"/>
  <c r="F950" i="6" s="1"/>
  <c r="F971" i="6" s="1"/>
  <c r="F992" i="6" s="1"/>
  <c r="F1013" i="6" s="1"/>
  <c r="F1034" i="6" s="1"/>
  <c r="AG844" i="6"/>
  <c r="AF844" i="6"/>
  <c r="AE844" i="6"/>
  <c r="AD844" i="6"/>
  <c r="AC844" i="6"/>
  <c r="AB844" i="6"/>
  <c r="AA844" i="6"/>
  <c r="Z844" i="6"/>
  <c r="Y844" i="6"/>
  <c r="X844" i="6"/>
  <c r="H825" i="6"/>
  <c r="E825" i="6"/>
  <c r="F1105" i="6" s="1"/>
  <c r="H824" i="6"/>
  <c r="E824" i="6"/>
  <c r="F1104" i="6" s="1"/>
  <c r="H823" i="6"/>
  <c r="E823" i="6"/>
  <c r="F1103" i="6" s="1"/>
  <c r="H822" i="6"/>
  <c r="E822" i="6"/>
  <c r="K821" i="6"/>
  <c r="BE821" i="6" s="1"/>
  <c r="J821" i="6"/>
  <c r="BC821" i="6" s="1"/>
  <c r="H821" i="6"/>
  <c r="K820" i="6"/>
  <c r="BE820" i="6" s="1"/>
  <c r="J820" i="6"/>
  <c r="X157" i="15" s="1"/>
  <c r="H820" i="6"/>
  <c r="K819" i="6"/>
  <c r="J819" i="6"/>
  <c r="J823" i="6" s="1"/>
  <c r="BC823" i="6" s="1"/>
  <c r="H819" i="6"/>
  <c r="J818" i="6"/>
  <c r="H818" i="6"/>
  <c r="H817" i="6"/>
  <c r="E817" i="6"/>
  <c r="F1101" i="6" s="1"/>
  <c r="H816" i="6"/>
  <c r="E816" i="6"/>
  <c r="K815" i="6"/>
  <c r="K817" i="6" s="1"/>
  <c r="BE817" i="6" s="1"/>
  <c r="J815" i="6"/>
  <c r="BC815" i="6" s="1"/>
  <c r="H815" i="6"/>
  <c r="J814" i="6"/>
  <c r="W155" i="15" s="1"/>
  <c r="Y155" i="15" s="1"/>
  <c r="H814" i="6"/>
  <c r="H813" i="6"/>
  <c r="E813" i="6"/>
  <c r="F1099" i="6" s="1"/>
  <c r="H812" i="6"/>
  <c r="E812" i="6"/>
  <c r="F1098" i="6" s="1"/>
  <c r="H811" i="6"/>
  <c r="E811" i="6"/>
  <c r="F1097" i="6" s="1"/>
  <c r="H810" i="6"/>
  <c r="E810" i="6"/>
  <c r="K809" i="6"/>
  <c r="K813" i="6" s="1"/>
  <c r="BE813" i="6" s="1"/>
  <c r="J809" i="6"/>
  <c r="J813" i="6" s="1"/>
  <c r="BC813" i="6" s="1"/>
  <c r="H809" i="6"/>
  <c r="K808" i="6"/>
  <c r="BE808" i="6" s="1"/>
  <c r="J808" i="6"/>
  <c r="X153" i="15" s="1"/>
  <c r="H808" i="6"/>
  <c r="K807" i="6"/>
  <c r="K811" i="6" s="1"/>
  <c r="BE811" i="6" s="1"/>
  <c r="J807" i="6"/>
  <c r="H807" i="6"/>
  <c r="J806" i="6"/>
  <c r="H806" i="6"/>
  <c r="H805" i="6"/>
  <c r="E805" i="6"/>
  <c r="F1095" i="6" s="1"/>
  <c r="H804" i="6"/>
  <c r="E804" i="6"/>
  <c r="K803" i="6"/>
  <c r="J803" i="6"/>
  <c r="J805" i="6" s="1"/>
  <c r="BC805" i="6" s="1"/>
  <c r="H803" i="6"/>
  <c r="J802" i="6"/>
  <c r="H802" i="6"/>
  <c r="H801" i="6"/>
  <c r="E801" i="6"/>
  <c r="F1093" i="6" s="1"/>
  <c r="H800" i="6"/>
  <c r="E800" i="6"/>
  <c r="K799" i="6"/>
  <c r="K801" i="6" s="1"/>
  <c r="BE801" i="6" s="1"/>
  <c r="J799" i="6"/>
  <c r="BC799" i="6" s="1"/>
  <c r="H799" i="6"/>
  <c r="J798" i="6"/>
  <c r="H798" i="6"/>
  <c r="H797" i="6"/>
  <c r="E797" i="6"/>
  <c r="J796" i="6"/>
  <c r="H796" i="6"/>
  <c r="H795" i="6"/>
  <c r="E795" i="6"/>
  <c r="F1090" i="6" s="1"/>
  <c r="H794" i="6"/>
  <c r="E794" i="6"/>
  <c r="F146" i="15" s="1"/>
  <c r="K793" i="6"/>
  <c r="BE793" i="6" s="1"/>
  <c r="J793" i="6"/>
  <c r="H793" i="6"/>
  <c r="J792" i="6"/>
  <c r="H792" i="6"/>
  <c r="K791" i="6"/>
  <c r="BE791" i="6" s="1"/>
  <c r="J791" i="6"/>
  <c r="BC791" i="6" s="1"/>
  <c r="H791" i="6"/>
  <c r="F791" i="6"/>
  <c r="M144" i="15" s="1"/>
  <c r="K790" i="6"/>
  <c r="BE790" i="6" s="1"/>
  <c r="J790" i="6"/>
  <c r="H790" i="6"/>
  <c r="F790" i="6"/>
  <c r="L144" i="15" s="1"/>
  <c r="I144" i="15" s="1"/>
  <c r="K789" i="6"/>
  <c r="BE789" i="6" s="1"/>
  <c r="J789" i="6"/>
  <c r="BC789" i="6" s="1"/>
  <c r="H789" i="6"/>
  <c r="F789" i="6"/>
  <c r="K144" i="15" s="1"/>
  <c r="J788" i="6"/>
  <c r="H788" i="6"/>
  <c r="F788" i="6"/>
  <c r="J144" i="15" s="1"/>
  <c r="AM144" i="15" s="1"/>
  <c r="K787" i="6"/>
  <c r="BE787" i="6" s="1"/>
  <c r="J787" i="6"/>
  <c r="BC787" i="6" s="1"/>
  <c r="H787" i="6"/>
  <c r="F787" i="6"/>
  <c r="K143" i="15" s="1"/>
  <c r="J786" i="6"/>
  <c r="H786" i="6"/>
  <c r="F786" i="6"/>
  <c r="J143" i="15" s="1"/>
  <c r="AM143" i="15" s="1"/>
  <c r="K785" i="6"/>
  <c r="BE785" i="6" s="1"/>
  <c r="J785" i="6"/>
  <c r="BC785" i="6" s="1"/>
  <c r="H785" i="6"/>
  <c r="F785" i="6"/>
  <c r="M142" i="15" s="1"/>
  <c r="K784" i="6"/>
  <c r="BE784" i="6" s="1"/>
  <c r="J784" i="6"/>
  <c r="H784" i="6"/>
  <c r="F784" i="6"/>
  <c r="L142" i="15" s="1"/>
  <c r="I142" i="15" s="1"/>
  <c r="K783" i="6"/>
  <c r="BE783" i="6" s="1"/>
  <c r="J783" i="6"/>
  <c r="BC783" i="6" s="1"/>
  <c r="H783" i="6"/>
  <c r="F783" i="6"/>
  <c r="K142" i="15" s="1"/>
  <c r="J782" i="6"/>
  <c r="H782" i="6"/>
  <c r="F782" i="6"/>
  <c r="J142" i="15" s="1"/>
  <c r="AM142" i="15" s="1"/>
  <c r="K781" i="6"/>
  <c r="BE781" i="6" s="1"/>
  <c r="J781" i="6"/>
  <c r="BC781" i="6" s="1"/>
  <c r="H781" i="6"/>
  <c r="F781" i="6"/>
  <c r="K141" i="15" s="1"/>
  <c r="J780" i="6"/>
  <c r="H780" i="6"/>
  <c r="F780" i="6"/>
  <c r="J141" i="15" s="1"/>
  <c r="AM141" i="15" s="1"/>
  <c r="K779" i="6"/>
  <c r="BE779" i="6" s="1"/>
  <c r="J779" i="6"/>
  <c r="BC779" i="6" s="1"/>
  <c r="H779" i="6"/>
  <c r="F779" i="6"/>
  <c r="K140" i="15" s="1"/>
  <c r="J778" i="6"/>
  <c r="H778" i="6"/>
  <c r="F778" i="6"/>
  <c r="J140" i="15" s="1"/>
  <c r="AM140" i="15" s="1"/>
  <c r="J777" i="6"/>
  <c r="H777" i="6"/>
  <c r="F777" i="6"/>
  <c r="J139" i="15" s="1"/>
  <c r="H139" i="15" s="1"/>
  <c r="AM139" i="15" s="1"/>
  <c r="K776" i="6"/>
  <c r="BE776" i="6" s="1"/>
  <c r="J776" i="6"/>
  <c r="H776" i="6"/>
  <c r="F776" i="6"/>
  <c r="L138" i="15" s="1"/>
  <c r="I138" i="15" s="1"/>
  <c r="J775" i="6"/>
  <c r="H775" i="6"/>
  <c r="F775" i="6"/>
  <c r="J138" i="15" s="1"/>
  <c r="H138" i="15" s="1"/>
  <c r="AM138" i="15" s="1"/>
  <c r="BE774" i="6"/>
  <c r="BD774" i="6"/>
  <c r="BC774" i="6"/>
  <c r="BB774" i="6"/>
  <c r="AG774" i="6"/>
  <c r="AF774" i="6"/>
  <c r="AE774" i="6"/>
  <c r="AD774" i="6"/>
  <c r="AC774" i="6"/>
  <c r="AB774" i="6"/>
  <c r="AA774" i="6"/>
  <c r="Z774" i="6"/>
  <c r="Y774" i="6"/>
  <c r="X774" i="6"/>
  <c r="V772" i="6"/>
  <c r="J733" i="6"/>
  <c r="K145" i="6" s="1"/>
  <c r="J732" i="6"/>
  <c r="K144" i="6" s="1"/>
  <c r="J727" i="6"/>
  <c r="K139" i="6" s="1"/>
  <c r="J724" i="6"/>
  <c r="K136" i="6" s="1"/>
  <c r="J723" i="6"/>
  <c r="K135" i="6" s="1"/>
  <c r="J718" i="6"/>
  <c r="K130" i="6" s="1"/>
  <c r="J715" i="6"/>
  <c r="K127" i="6" s="1"/>
  <c r="AA101" i="15" s="1"/>
  <c r="J714" i="6"/>
  <c r="K126" i="6" s="1"/>
  <c r="J709" i="6"/>
  <c r="K121" i="6" s="1"/>
  <c r="J706" i="6"/>
  <c r="K118" i="6" s="1"/>
  <c r="J705" i="6"/>
  <c r="K117" i="6" s="1"/>
  <c r="E1140" i="6"/>
  <c r="D698" i="6"/>
  <c r="V698" i="6" s="1"/>
  <c r="E626" i="6"/>
  <c r="E1106" i="6" s="1"/>
  <c r="D626" i="6"/>
  <c r="V626" i="6" s="1"/>
  <c r="L339" i="6"/>
  <c r="L340" i="6" s="1"/>
  <c r="L341" i="6" s="1"/>
  <c r="L342" i="6" s="1"/>
  <c r="L345" i="6" s="1"/>
  <c r="L347" i="6" s="1"/>
  <c r="L348" i="6" s="1"/>
  <c r="L349" i="6" s="1"/>
  <c r="L350" i="6" s="1"/>
  <c r="L351" i="6" s="1"/>
  <c r="L354" i="6" s="1"/>
  <c r="L356" i="6" s="1"/>
  <c r="L357" i="6" s="1"/>
  <c r="L358" i="6" s="1"/>
  <c r="L359" i="6" s="1"/>
  <c r="L360" i="6" s="1"/>
  <c r="L363" i="6" s="1"/>
  <c r="L365" i="6" s="1"/>
  <c r="L366" i="6" s="1"/>
  <c r="L367" i="6" s="1"/>
  <c r="L368" i="6" s="1"/>
  <c r="L369" i="6" s="1"/>
  <c r="L372" i="6" s="1"/>
  <c r="K301" i="6"/>
  <c r="K300" i="6"/>
  <c r="K732" i="6" s="1"/>
  <c r="K299" i="6"/>
  <c r="L143" i="6" s="1"/>
  <c r="K298" i="6"/>
  <c r="K297" i="6"/>
  <c r="K729" i="6" s="1"/>
  <c r="K296" i="6"/>
  <c r="K728" i="6" s="1"/>
  <c r="K292" i="6"/>
  <c r="K724" i="6" s="1"/>
  <c r="K291" i="6"/>
  <c r="K723" i="6" s="1"/>
  <c r="K290" i="6"/>
  <c r="K722" i="6" s="1"/>
  <c r="K289" i="6"/>
  <c r="K721" i="6" s="1"/>
  <c r="K288" i="6"/>
  <c r="K720" i="6" s="1"/>
  <c r="K287" i="6"/>
  <c r="L131" i="6" s="1"/>
  <c r="J286" i="6"/>
  <c r="J295" i="6" s="1"/>
  <c r="F139" i="6" s="1"/>
  <c r="J109" i="15" s="1"/>
  <c r="H109" i="15" s="1"/>
  <c r="AM109" i="15" s="1"/>
  <c r="J285" i="6"/>
  <c r="J294" i="6" s="1"/>
  <c r="K294" i="6" s="1"/>
  <c r="J284" i="6"/>
  <c r="J293" i="6" s="1"/>
  <c r="K283" i="6"/>
  <c r="K715" i="6" s="1"/>
  <c r="K282" i="6"/>
  <c r="K714" i="6" s="1"/>
  <c r="K281" i="6"/>
  <c r="L125" i="6" s="1"/>
  <c r="K280" i="6"/>
  <c r="K712" i="6" s="1"/>
  <c r="K279" i="6"/>
  <c r="K711" i="6" s="1"/>
  <c r="K278" i="6"/>
  <c r="K710" i="6" s="1"/>
  <c r="J277" i="6"/>
  <c r="J276" i="6"/>
  <c r="J275" i="6"/>
  <c r="K275" i="6" s="1"/>
  <c r="L119" i="6" s="1"/>
  <c r="K274" i="6"/>
  <c r="K273" i="6"/>
  <c r="K705" i="6" s="1"/>
  <c r="K272" i="6"/>
  <c r="K271" i="6"/>
  <c r="K703" i="6" s="1"/>
  <c r="K270" i="6"/>
  <c r="K702" i="6" s="1"/>
  <c r="K269" i="6"/>
  <c r="K701" i="6" s="1"/>
  <c r="J268" i="6"/>
  <c r="J267" i="6"/>
  <c r="K267" i="6" s="1"/>
  <c r="L111" i="6" s="1"/>
  <c r="J266" i="6"/>
  <c r="K266" i="6" s="1"/>
  <c r="K698" i="6" s="1"/>
  <c r="J229" i="6"/>
  <c r="F145" i="6" s="1"/>
  <c r="J113" i="15" s="1"/>
  <c r="H113" i="15" s="1"/>
  <c r="AM113" i="15" s="1"/>
  <c r="I229" i="6"/>
  <c r="I228" i="6"/>
  <c r="F228" i="6"/>
  <c r="F300" i="6" s="1"/>
  <c r="F372" i="6" s="1"/>
  <c r="F444" i="6" s="1"/>
  <c r="F516" i="6" s="1"/>
  <c r="F588" i="6" s="1"/>
  <c r="F660" i="6" s="1"/>
  <c r="F732" i="6" s="1"/>
  <c r="J227" i="6"/>
  <c r="F143" i="6" s="1"/>
  <c r="L111" i="15" s="1"/>
  <c r="I111" i="15" s="1"/>
  <c r="I227" i="6"/>
  <c r="J226" i="6"/>
  <c r="F142" i="6" s="1"/>
  <c r="J111" i="15" s="1"/>
  <c r="H111" i="15" s="1"/>
  <c r="AM111" i="15" s="1"/>
  <c r="I226" i="6"/>
  <c r="I225" i="6"/>
  <c r="F225" i="6"/>
  <c r="F297" i="6" s="1"/>
  <c r="F369" i="6" s="1"/>
  <c r="F441" i="6" s="1"/>
  <c r="F513" i="6" s="1"/>
  <c r="F585" i="6" s="1"/>
  <c r="F657" i="6" s="1"/>
  <c r="F729" i="6" s="1"/>
  <c r="I224" i="6"/>
  <c r="F224" i="6"/>
  <c r="F296" i="6" s="1"/>
  <c r="F368" i="6" s="1"/>
  <c r="F440" i="6" s="1"/>
  <c r="F512" i="6" s="1"/>
  <c r="F584" i="6" s="1"/>
  <c r="F656" i="6" s="1"/>
  <c r="F728" i="6" s="1"/>
  <c r="I223" i="6"/>
  <c r="F223" i="6"/>
  <c r="F295" i="6" s="1"/>
  <c r="F367" i="6" s="1"/>
  <c r="F439" i="6" s="1"/>
  <c r="F511" i="6" s="1"/>
  <c r="F583" i="6" s="1"/>
  <c r="F655" i="6" s="1"/>
  <c r="F727" i="6" s="1"/>
  <c r="I222" i="6"/>
  <c r="F222" i="6"/>
  <c r="F294" i="6" s="1"/>
  <c r="F366" i="6" s="1"/>
  <c r="F438" i="6" s="1"/>
  <c r="F510" i="6" s="1"/>
  <c r="F582" i="6" s="1"/>
  <c r="F654" i="6" s="1"/>
  <c r="F726" i="6" s="1"/>
  <c r="I221" i="6"/>
  <c r="F221" i="6"/>
  <c r="F293" i="6" s="1"/>
  <c r="F365" i="6" s="1"/>
  <c r="F437" i="6" s="1"/>
  <c r="F509" i="6" s="1"/>
  <c r="F581" i="6" s="1"/>
  <c r="F653" i="6" s="1"/>
  <c r="F725" i="6" s="1"/>
  <c r="J220" i="6"/>
  <c r="F136" i="6" s="1"/>
  <c r="J107" i="15" s="1"/>
  <c r="H107" i="15" s="1"/>
  <c r="AM107" i="15" s="1"/>
  <c r="I220" i="6"/>
  <c r="I219" i="6"/>
  <c r="F219" i="6"/>
  <c r="F291" i="6" s="1"/>
  <c r="F363" i="6" s="1"/>
  <c r="F435" i="6" s="1"/>
  <c r="F507" i="6" s="1"/>
  <c r="F579" i="6" s="1"/>
  <c r="F651" i="6" s="1"/>
  <c r="F723" i="6" s="1"/>
  <c r="J218" i="6"/>
  <c r="F134" i="6" s="1"/>
  <c r="L105" i="15" s="1"/>
  <c r="I105" i="15" s="1"/>
  <c r="I218" i="6"/>
  <c r="J217" i="6"/>
  <c r="F133" i="6" s="1"/>
  <c r="J105" i="15" s="1"/>
  <c r="H105" i="15" s="1"/>
  <c r="AM105" i="15" s="1"/>
  <c r="I217" i="6"/>
  <c r="I216" i="6"/>
  <c r="F216" i="6"/>
  <c r="F288" i="6" s="1"/>
  <c r="F360" i="6" s="1"/>
  <c r="F432" i="6" s="1"/>
  <c r="F504" i="6" s="1"/>
  <c r="F576" i="6" s="1"/>
  <c r="F648" i="6" s="1"/>
  <c r="F720" i="6" s="1"/>
  <c r="I215" i="6"/>
  <c r="F215" i="6"/>
  <c r="F287" i="6" s="1"/>
  <c r="F359" i="6" s="1"/>
  <c r="F431" i="6" s="1"/>
  <c r="F503" i="6" s="1"/>
  <c r="F575" i="6" s="1"/>
  <c r="F647" i="6" s="1"/>
  <c r="F719" i="6" s="1"/>
  <c r="I214" i="6"/>
  <c r="F214" i="6"/>
  <c r="F286" i="6" s="1"/>
  <c r="F358" i="6" s="1"/>
  <c r="F430" i="6" s="1"/>
  <c r="F502" i="6" s="1"/>
  <c r="F574" i="6" s="1"/>
  <c r="F646" i="6" s="1"/>
  <c r="F718" i="6" s="1"/>
  <c r="I213" i="6"/>
  <c r="F213" i="6"/>
  <c r="F285" i="6" s="1"/>
  <c r="F357" i="6" s="1"/>
  <c r="F429" i="6" s="1"/>
  <c r="F501" i="6" s="1"/>
  <c r="F573" i="6" s="1"/>
  <c r="F645" i="6" s="1"/>
  <c r="F717" i="6" s="1"/>
  <c r="I212" i="6"/>
  <c r="F212" i="6"/>
  <c r="F284" i="6" s="1"/>
  <c r="F356" i="6" s="1"/>
  <c r="F428" i="6" s="1"/>
  <c r="F500" i="6" s="1"/>
  <c r="F572" i="6" s="1"/>
  <c r="F644" i="6" s="1"/>
  <c r="F716" i="6" s="1"/>
  <c r="J211" i="6"/>
  <c r="F127" i="6" s="1"/>
  <c r="J101" i="15" s="1"/>
  <c r="H101" i="15" s="1"/>
  <c r="AM101" i="15" s="1"/>
  <c r="I211" i="6"/>
  <c r="I210" i="6"/>
  <c r="F210" i="6"/>
  <c r="F282" i="6" s="1"/>
  <c r="F354" i="6" s="1"/>
  <c r="F426" i="6" s="1"/>
  <c r="F498" i="6" s="1"/>
  <c r="F570" i="6" s="1"/>
  <c r="F642" i="6" s="1"/>
  <c r="F714" i="6" s="1"/>
  <c r="J209" i="6"/>
  <c r="F125" i="6" s="1"/>
  <c r="L99" i="15" s="1"/>
  <c r="I99" i="15" s="1"/>
  <c r="I209" i="6"/>
  <c r="R209" i="6"/>
  <c r="J208" i="6"/>
  <c r="F124" i="6" s="1"/>
  <c r="J99" i="15" s="1"/>
  <c r="H99" i="15" s="1"/>
  <c r="AM99" i="15" s="1"/>
  <c r="I208" i="6"/>
  <c r="R208" i="6"/>
  <c r="Q207" i="6" s="1"/>
  <c r="I207" i="6"/>
  <c r="F207" i="6"/>
  <c r="F279" i="6" s="1"/>
  <c r="F351" i="6" s="1"/>
  <c r="F423" i="6" s="1"/>
  <c r="F495" i="6" s="1"/>
  <c r="F567" i="6" s="1"/>
  <c r="F639" i="6" s="1"/>
  <c r="F711" i="6" s="1"/>
  <c r="I206" i="6"/>
  <c r="F206" i="6"/>
  <c r="F278" i="6" s="1"/>
  <c r="F350" i="6" s="1"/>
  <c r="F422" i="6" s="1"/>
  <c r="F494" i="6" s="1"/>
  <c r="F566" i="6" s="1"/>
  <c r="F638" i="6" s="1"/>
  <c r="F710" i="6" s="1"/>
  <c r="I205" i="6"/>
  <c r="F205" i="6"/>
  <c r="F277" i="6" s="1"/>
  <c r="F349" i="6" s="1"/>
  <c r="F421" i="6" s="1"/>
  <c r="F493" i="6" s="1"/>
  <c r="F565" i="6" s="1"/>
  <c r="F637" i="6" s="1"/>
  <c r="F709" i="6" s="1"/>
  <c r="I204" i="6"/>
  <c r="F204" i="6"/>
  <c r="F276" i="6" s="1"/>
  <c r="F348" i="6" s="1"/>
  <c r="F420" i="6" s="1"/>
  <c r="F492" i="6" s="1"/>
  <c r="F564" i="6" s="1"/>
  <c r="F636" i="6" s="1"/>
  <c r="F708" i="6" s="1"/>
  <c r="I203" i="6"/>
  <c r="F203" i="6"/>
  <c r="F275" i="6" s="1"/>
  <c r="F347" i="6" s="1"/>
  <c r="F419" i="6" s="1"/>
  <c r="F491" i="6" s="1"/>
  <c r="F563" i="6" s="1"/>
  <c r="F635" i="6" s="1"/>
  <c r="F707" i="6" s="1"/>
  <c r="J202" i="6"/>
  <c r="F118" i="6" s="1"/>
  <c r="J95" i="15" s="1"/>
  <c r="H95" i="15" s="1"/>
  <c r="AM95" i="15" s="1"/>
  <c r="I202" i="6"/>
  <c r="I201" i="6"/>
  <c r="F201" i="6"/>
  <c r="F273" i="6" s="1"/>
  <c r="F345" i="6" s="1"/>
  <c r="F417" i="6" s="1"/>
  <c r="F489" i="6" s="1"/>
  <c r="F561" i="6" s="1"/>
  <c r="F633" i="6" s="1"/>
  <c r="F705" i="6" s="1"/>
  <c r="J200" i="6"/>
  <c r="F116" i="6" s="1"/>
  <c r="L93" i="15" s="1"/>
  <c r="I93" i="15" s="1"/>
  <c r="I200" i="6"/>
  <c r="I199" i="6"/>
  <c r="R198" i="6"/>
  <c r="J736" i="6" s="1"/>
  <c r="K148" i="6" s="1"/>
  <c r="I198" i="6"/>
  <c r="F198" i="6"/>
  <c r="F270" i="6" s="1"/>
  <c r="F342" i="6" s="1"/>
  <c r="F414" i="6" s="1"/>
  <c r="F486" i="6" s="1"/>
  <c r="F558" i="6" s="1"/>
  <c r="F630" i="6" s="1"/>
  <c r="F702" i="6" s="1"/>
  <c r="I197" i="6"/>
  <c r="F197" i="6"/>
  <c r="F269" i="6" s="1"/>
  <c r="F341" i="6" s="1"/>
  <c r="F413" i="6" s="1"/>
  <c r="F485" i="6" s="1"/>
  <c r="F557" i="6" s="1"/>
  <c r="F629" i="6" s="1"/>
  <c r="F701" i="6" s="1"/>
  <c r="I196" i="6"/>
  <c r="F196" i="6"/>
  <c r="F268" i="6" s="1"/>
  <c r="F340" i="6" s="1"/>
  <c r="F412" i="6" s="1"/>
  <c r="F484" i="6" s="1"/>
  <c r="F556" i="6" s="1"/>
  <c r="F628" i="6" s="1"/>
  <c r="F700" i="6" s="1"/>
  <c r="I195" i="6"/>
  <c r="F195" i="6"/>
  <c r="F267" i="6" s="1"/>
  <c r="F339" i="6" s="1"/>
  <c r="F411" i="6" s="1"/>
  <c r="F483" i="6" s="1"/>
  <c r="F555" i="6" s="1"/>
  <c r="F627" i="6" s="1"/>
  <c r="F699" i="6" s="1"/>
  <c r="I194" i="6"/>
  <c r="F194" i="6"/>
  <c r="F266" i="6" s="1"/>
  <c r="F338" i="6" s="1"/>
  <c r="F410" i="6" s="1"/>
  <c r="F482" i="6" s="1"/>
  <c r="F554" i="6" s="1"/>
  <c r="F626" i="6" s="1"/>
  <c r="F698" i="6" s="1"/>
  <c r="AG193" i="6"/>
  <c r="AF193" i="6"/>
  <c r="AE193" i="6"/>
  <c r="AD193" i="6"/>
  <c r="AC193" i="6"/>
  <c r="AB193" i="6"/>
  <c r="AA193" i="6"/>
  <c r="Z193" i="6"/>
  <c r="Y193" i="6"/>
  <c r="X193" i="6"/>
  <c r="J145" i="6"/>
  <c r="H145" i="6"/>
  <c r="E145" i="6"/>
  <c r="J144" i="6"/>
  <c r="H144" i="6"/>
  <c r="F144" i="6"/>
  <c r="J112" i="15" s="1"/>
  <c r="H112" i="15" s="1"/>
  <c r="AM112" i="15" s="1"/>
  <c r="K143" i="6"/>
  <c r="BE143" i="6" s="1"/>
  <c r="J143" i="6"/>
  <c r="H143" i="6"/>
  <c r="E143" i="6"/>
  <c r="F227" i="6" s="1"/>
  <c r="F299" i="6" s="1"/>
  <c r="F371" i="6" s="1"/>
  <c r="F443" i="6" s="1"/>
  <c r="F515" i="6" s="1"/>
  <c r="F587" i="6" s="1"/>
  <c r="F659" i="6" s="1"/>
  <c r="F731" i="6" s="1"/>
  <c r="J142" i="6"/>
  <c r="H142" i="6"/>
  <c r="E142" i="6"/>
  <c r="K141" i="6"/>
  <c r="BE141" i="6" s="1"/>
  <c r="J141" i="6"/>
  <c r="H141" i="6"/>
  <c r="F141" i="6"/>
  <c r="L110" i="15" s="1"/>
  <c r="I110" i="15" s="1"/>
  <c r="J140" i="6"/>
  <c r="H140" i="6"/>
  <c r="F140" i="6"/>
  <c r="J110" i="15" s="1"/>
  <c r="H110" i="15" s="1"/>
  <c r="AM110" i="15" s="1"/>
  <c r="J139" i="6"/>
  <c r="H139" i="6"/>
  <c r="K138" i="6"/>
  <c r="BE138" i="6" s="1"/>
  <c r="J138" i="6"/>
  <c r="H138" i="6"/>
  <c r="J137" i="6"/>
  <c r="H137" i="6"/>
  <c r="BC136" i="6"/>
  <c r="H136" i="6"/>
  <c r="E136" i="6"/>
  <c r="J135" i="6"/>
  <c r="H135" i="6"/>
  <c r="F135" i="6"/>
  <c r="J106" i="15" s="1"/>
  <c r="H106" i="15" s="1"/>
  <c r="AM106" i="15" s="1"/>
  <c r="K134" i="6"/>
  <c r="BE134" i="6" s="1"/>
  <c r="J134" i="6"/>
  <c r="H134" i="6"/>
  <c r="E134" i="6"/>
  <c r="F218" i="6" s="1"/>
  <c r="F290" i="6" s="1"/>
  <c r="F362" i="6" s="1"/>
  <c r="F434" i="6" s="1"/>
  <c r="F506" i="6" s="1"/>
  <c r="F578" i="6" s="1"/>
  <c r="F650" i="6" s="1"/>
  <c r="F722" i="6" s="1"/>
  <c r="J133" i="6"/>
  <c r="H133" i="6"/>
  <c r="E133" i="6"/>
  <c r="K132" i="6"/>
  <c r="BE132" i="6" s="1"/>
  <c r="J132" i="6"/>
  <c r="H132" i="6"/>
  <c r="F132" i="6"/>
  <c r="L104" i="15" s="1"/>
  <c r="I104" i="15" s="1"/>
  <c r="J131" i="6"/>
  <c r="H131" i="6"/>
  <c r="F131" i="6"/>
  <c r="J104" i="15" s="1"/>
  <c r="H104" i="15" s="1"/>
  <c r="AM104" i="15" s="1"/>
  <c r="J130" i="6"/>
  <c r="H130" i="6"/>
  <c r="K129" i="6"/>
  <c r="BE129" i="6" s="1"/>
  <c r="J129" i="6"/>
  <c r="H129" i="6"/>
  <c r="J128" i="6"/>
  <c r="H128" i="6"/>
  <c r="BC127" i="6"/>
  <c r="H127" i="6"/>
  <c r="E127" i="6"/>
  <c r="J126" i="6"/>
  <c r="H126" i="6"/>
  <c r="F126" i="6"/>
  <c r="J100" i="15" s="1"/>
  <c r="H100" i="15" s="1"/>
  <c r="AM100" i="15" s="1"/>
  <c r="K125" i="6"/>
  <c r="BE125" i="6" s="1"/>
  <c r="J125" i="6"/>
  <c r="H125" i="6"/>
  <c r="E125" i="6"/>
  <c r="F209" i="6" s="1"/>
  <c r="F281" i="6" s="1"/>
  <c r="F353" i="6" s="1"/>
  <c r="F425" i="6" s="1"/>
  <c r="F497" i="6" s="1"/>
  <c r="F569" i="6" s="1"/>
  <c r="F641" i="6" s="1"/>
  <c r="F713" i="6" s="1"/>
  <c r="J124" i="6"/>
  <c r="H124" i="6"/>
  <c r="E124" i="6"/>
  <c r="K123" i="6"/>
  <c r="BE123" i="6" s="1"/>
  <c r="J123" i="6"/>
  <c r="H123" i="6"/>
  <c r="F123" i="6"/>
  <c r="L98" i="15" s="1"/>
  <c r="I98" i="15" s="1"/>
  <c r="J122" i="6"/>
  <c r="H122" i="6"/>
  <c r="F122" i="6"/>
  <c r="J98" i="15" s="1"/>
  <c r="H98" i="15" s="1"/>
  <c r="AM98" i="15" s="1"/>
  <c r="J121" i="6"/>
  <c r="H121" i="6"/>
  <c r="K120" i="6"/>
  <c r="BE120" i="6" s="1"/>
  <c r="J120" i="6"/>
  <c r="BC120" i="6" s="1"/>
  <c r="H120" i="6"/>
  <c r="J119" i="6"/>
  <c r="H119" i="6"/>
  <c r="BC118" i="6"/>
  <c r="H118" i="6"/>
  <c r="E118" i="6"/>
  <c r="BC117" i="6"/>
  <c r="H117" i="6"/>
  <c r="F117" i="6"/>
  <c r="J94" i="15" s="1"/>
  <c r="H94" i="15" s="1"/>
  <c r="AM94" i="15" s="1"/>
  <c r="K116" i="6"/>
  <c r="BE116" i="6" s="1"/>
  <c r="J116" i="6"/>
  <c r="H116" i="6"/>
  <c r="E116" i="6"/>
  <c r="F200" i="6" s="1"/>
  <c r="F272" i="6" s="1"/>
  <c r="F344" i="6" s="1"/>
  <c r="F416" i="6" s="1"/>
  <c r="F488" i="6" s="1"/>
  <c r="F560" i="6" s="1"/>
  <c r="F632" i="6" s="1"/>
  <c r="F704" i="6" s="1"/>
  <c r="J115" i="6"/>
  <c r="H115" i="6"/>
  <c r="F115" i="6"/>
  <c r="J93" i="15" s="1"/>
  <c r="H93" i="15" s="1"/>
  <c r="AM93" i="15" s="1"/>
  <c r="E115" i="6"/>
  <c r="K114" i="6"/>
  <c r="BE114" i="6" s="1"/>
  <c r="J114" i="6"/>
  <c r="H114" i="6"/>
  <c r="F114" i="6"/>
  <c r="L92" i="15" s="1"/>
  <c r="I92" i="15" s="1"/>
  <c r="J113" i="6"/>
  <c r="H113" i="6"/>
  <c r="F113" i="6"/>
  <c r="J92" i="15" s="1"/>
  <c r="H92" i="15" s="1"/>
  <c r="AM92" i="15" s="1"/>
  <c r="K112" i="6"/>
  <c r="J112" i="6"/>
  <c r="H112" i="6"/>
  <c r="K111" i="6"/>
  <c r="BE111" i="6" s="1"/>
  <c r="J111" i="6"/>
  <c r="H111" i="6"/>
  <c r="J110" i="6"/>
  <c r="H110" i="6"/>
  <c r="BE109" i="6"/>
  <c r="BD109" i="6"/>
  <c r="BC109" i="6"/>
  <c r="BB109" i="6"/>
  <c r="AG109" i="6"/>
  <c r="AF109" i="6"/>
  <c r="AE109" i="6"/>
  <c r="AD109" i="6"/>
  <c r="AC109" i="6"/>
  <c r="AB109" i="6"/>
  <c r="AA109" i="6"/>
  <c r="Z109" i="6"/>
  <c r="Y109" i="6"/>
  <c r="X109" i="6"/>
  <c r="V106" i="6"/>
  <c r="F103" i="6"/>
  <c r="F102" i="6"/>
  <c r="F101" i="6"/>
  <c r="F100" i="6"/>
  <c r="Y99" i="6"/>
  <c r="X99" i="6"/>
  <c r="W99" i="6"/>
  <c r="I99" i="6"/>
  <c r="O14" i="6" s="1"/>
  <c r="F99" i="6"/>
  <c r="Y98" i="6"/>
  <c r="X98" i="6"/>
  <c r="W98" i="6"/>
  <c r="I98" i="6"/>
  <c r="O13" i="6" s="1"/>
  <c r="F98" i="6"/>
  <c r="F97" i="6"/>
  <c r="F96" i="6"/>
  <c r="F95" i="6"/>
  <c r="F94" i="6"/>
  <c r="Y93" i="6"/>
  <c r="X93" i="6"/>
  <c r="W93" i="6"/>
  <c r="Q93" i="6"/>
  <c r="Q88" i="6" s="1"/>
  <c r="I93" i="6"/>
  <c r="O8" i="6" s="1"/>
  <c r="F93" i="6"/>
  <c r="Y92" i="6"/>
  <c r="X92" i="6"/>
  <c r="W92" i="6"/>
  <c r="V92" i="6"/>
  <c r="I92" i="6"/>
  <c r="O7" i="6" s="1"/>
  <c r="F92" i="6"/>
  <c r="D92" i="6"/>
  <c r="F91" i="6"/>
  <c r="F90" i="6"/>
  <c r="F89" i="6"/>
  <c r="F88" i="6"/>
  <c r="F87" i="6"/>
  <c r="F86" i="6"/>
  <c r="F85" i="6"/>
  <c r="F84" i="6"/>
  <c r="F83" i="6"/>
  <c r="F82" i="6"/>
  <c r="F81" i="6"/>
  <c r="V80" i="6"/>
  <c r="F80" i="6"/>
  <c r="D80" i="6"/>
  <c r="F79" i="6"/>
  <c r="F78" i="6"/>
  <c r="F77" i="6"/>
  <c r="F76" i="6"/>
  <c r="F75" i="6"/>
  <c r="F74" i="6"/>
  <c r="F73" i="6"/>
  <c r="F72" i="6"/>
  <c r="F71" i="6"/>
  <c r="F70" i="6"/>
  <c r="F69" i="6"/>
  <c r="F68" i="6"/>
  <c r="X59" i="6"/>
  <c r="F59" i="6"/>
  <c r="X58" i="6"/>
  <c r="F58" i="6"/>
  <c r="X57" i="6"/>
  <c r="F57" i="6"/>
  <c r="X56" i="6"/>
  <c r="F56" i="6"/>
  <c r="X55" i="6"/>
  <c r="F55" i="6"/>
  <c r="X54" i="6"/>
  <c r="F54" i="6"/>
  <c r="X53" i="6"/>
  <c r="F53" i="6"/>
  <c r="X52" i="6"/>
  <c r="F52" i="6"/>
  <c r="X51" i="6"/>
  <c r="F51" i="6"/>
  <c r="X50" i="6"/>
  <c r="F50" i="6"/>
  <c r="X49" i="6"/>
  <c r="I49" i="6"/>
  <c r="I50" i="6" s="1"/>
  <c r="F49" i="6"/>
  <c r="X48" i="6"/>
  <c r="F48" i="6"/>
  <c r="X44" i="6"/>
  <c r="F44" i="6"/>
  <c r="X43" i="6"/>
  <c r="F43" i="6"/>
  <c r="X42" i="6"/>
  <c r="F42" i="6"/>
  <c r="X41" i="6"/>
  <c r="F41" i="6"/>
  <c r="X40" i="6"/>
  <c r="F40" i="6"/>
  <c r="X39" i="6"/>
  <c r="F39" i="6"/>
  <c r="X38" i="6"/>
  <c r="F38" i="6"/>
  <c r="X37" i="6"/>
  <c r="F37" i="6"/>
  <c r="X36" i="6"/>
  <c r="F36" i="6"/>
  <c r="X35" i="6"/>
  <c r="F35" i="6"/>
  <c r="X34" i="6"/>
  <c r="I34" i="6"/>
  <c r="I35" i="6" s="1"/>
  <c r="I36" i="6" s="1"/>
  <c r="F34" i="6"/>
  <c r="X33" i="6"/>
  <c r="F33" i="6"/>
  <c r="AG32" i="6"/>
  <c r="AF32" i="6"/>
  <c r="AE32" i="6"/>
  <c r="AD32" i="6"/>
  <c r="AC32" i="6"/>
  <c r="AB32" i="6"/>
  <c r="AA32" i="6"/>
  <c r="Z32" i="6"/>
  <c r="Y32" i="6"/>
  <c r="X32" i="6"/>
  <c r="O18" i="6"/>
  <c r="BE18" i="6" s="1"/>
  <c r="N18" i="6"/>
  <c r="L18" i="6"/>
  <c r="G18" i="6"/>
  <c r="C89" i="15" s="1"/>
  <c r="N17" i="6"/>
  <c r="L17" i="6"/>
  <c r="H17" i="6"/>
  <c r="O16" i="6"/>
  <c r="BE16" i="6" s="1"/>
  <c r="N16" i="6"/>
  <c r="L16" i="6"/>
  <c r="G16" i="6"/>
  <c r="C88" i="15" s="1"/>
  <c r="N15" i="6"/>
  <c r="L15" i="6"/>
  <c r="H15" i="6"/>
  <c r="N14" i="6"/>
  <c r="L14" i="6"/>
  <c r="H14" i="6"/>
  <c r="N13" i="6"/>
  <c r="L13" i="6"/>
  <c r="H13" i="6"/>
  <c r="O12" i="6"/>
  <c r="BE12" i="6" s="1"/>
  <c r="N12" i="6"/>
  <c r="K12" i="6"/>
  <c r="G12" i="6"/>
  <c r="C85" i="15" s="1"/>
  <c r="N11" i="6"/>
  <c r="K11" i="6"/>
  <c r="H11" i="6"/>
  <c r="O10" i="6"/>
  <c r="BE10" i="6" s="1"/>
  <c r="N10" i="6"/>
  <c r="K10" i="6"/>
  <c r="G10" i="6"/>
  <c r="C84" i="15" s="1"/>
  <c r="N9" i="6"/>
  <c r="K9" i="6"/>
  <c r="H9" i="6"/>
  <c r="N8" i="6"/>
  <c r="K8" i="6"/>
  <c r="H8" i="6"/>
  <c r="N7" i="6"/>
  <c r="K7" i="6"/>
  <c r="J7" i="6"/>
  <c r="I7" i="6"/>
  <c r="H7" i="6"/>
  <c r="V4" i="6"/>
  <c r="BI227" i="5"/>
  <c r="BH227" i="5"/>
  <c r="BG227" i="5"/>
  <c r="AW227" i="5"/>
  <c r="AV227" i="5"/>
  <c r="AU227" i="5"/>
  <c r="BG225" i="5"/>
  <c r="BH225" i="5" s="1"/>
  <c r="BI225" i="5" s="1"/>
  <c r="BJ225" i="5" s="1"/>
  <c r="BK225" i="5" s="1"/>
  <c r="BL225" i="5" s="1"/>
  <c r="BM225" i="5" s="1"/>
  <c r="BN225" i="5" s="1"/>
  <c r="BO225" i="5" s="1"/>
  <c r="BP225" i="5" s="1"/>
  <c r="BQ225" i="5" s="1"/>
  <c r="AU225" i="5"/>
  <c r="AV225" i="5" s="1"/>
  <c r="AW225" i="5" s="1"/>
  <c r="AX225" i="5" s="1"/>
  <c r="AY225" i="5" s="1"/>
  <c r="AZ225" i="5" s="1"/>
  <c r="BA225" i="5" s="1"/>
  <c r="BB225" i="5" s="1"/>
  <c r="BC225" i="5" s="1"/>
  <c r="BD225" i="5" s="1"/>
  <c r="BE225" i="5" s="1"/>
  <c r="AI225" i="5"/>
  <c r="AJ225" i="5" s="1"/>
  <c r="AK225" i="5" s="1"/>
  <c r="AL225" i="5" s="1"/>
  <c r="AM225" i="5" s="1"/>
  <c r="AN225" i="5" s="1"/>
  <c r="AO225" i="5" s="1"/>
  <c r="AP225" i="5" s="1"/>
  <c r="AQ225" i="5" s="1"/>
  <c r="AR225" i="5" s="1"/>
  <c r="AS225" i="5" s="1"/>
  <c r="BQ224" i="5"/>
  <c r="BP224" i="5"/>
  <c r="BO224" i="5"/>
  <c r="BN224" i="5"/>
  <c r="BM224" i="5"/>
  <c r="BL224" i="5"/>
  <c r="BK224" i="5"/>
  <c r="BJ224" i="5"/>
  <c r="BI224" i="5"/>
  <c r="BH224" i="5"/>
  <c r="BG224" i="5"/>
  <c r="BE224" i="5"/>
  <c r="BD224" i="5"/>
  <c r="BC224" i="5"/>
  <c r="BB224" i="5"/>
  <c r="BA224" i="5"/>
  <c r="AZ224" i="5"/>
  <c r="AY224" i="5"/>
  <c r="AX224" i="5"/>
  <c r="AW224" i="5"/>
  <c r="AV224" i="5"/>
  <c r="AU224" i="5"/>
  <c r="AS224" i="5"/>
  <c r="AR224" i="5"/>
  <c r="AQ224" i="5"/>
  <c r="AP224" i="5"/>
  <c r="AO224" i="5"/>
  <c r="AN224" i="5"/>
  <c r="AM224" i="5"/>
  <c r="AL224" i="5"/>
  <c r="AK224" i="5"/>
  <c r="AJ224" i="5"/>
  <c r="AI224" i="5"/>
  <c r="AG224" i="5"/>
  <c r="AF224" i="5"/>
  <c r="AE224" i="5"/>
  <c r="AD224" i="5"/>
  <c r="AC224" i="5"/>
  <c r="AB224" i="5"/>
  <c r="AA224" i="5"/>
  <c r="Z224" i="5"/>
  <c r="Y224" i="5"/>
  <c r="X224" i="5"/>
  <c r="W224" i="5"/>
  <c r="K217" i="5"/>
  <c r="J217" i="5"/>
  <c r="H217" i="5"/>
  <c r="F217" i="5"/>
  <c r="H81" i="15" s="1"/>
  <c r="AM81" i="15" s="1"/>
  <c r="K216" i="5"/>
  <c r="J216" i="5"/>
  <c r="H216" i="5"/>
  <c r="F216" i="5"/>
  <c r="H80" i="15" s="1"/>
  <c r="AM80" i="15" s="1"/>
  <c r="K215" i="5"/>
  <c r="J215" i="5"/>
  <c r="H215" i="5"/>
  <c r="F215" i="5"/>
  <c r="H79" i="15" s="1"/>
  <c r="AM79" i="15" s="1"/>
  <c r="K214" i="5"/>
  <c r="J214" i="5"/>
  <c r="H214" i="5"/>
  <c r="F214" i="5"/>
  <c r="H78" i="15" s="1"/>
  <c r="AM78" i="15" s="1"/>
  <c r="K213" i="5"/>
  <c r="J213" i="5"/>
  <c r="H213" i="5"/>
  <c r="F213" i="5"/>
  <c r="H77" i="15" s="1"/>
  <c r="AM77" i="15" s="1"/>
  <c r="V212" i="5"/>
  <c r="V213" i="5" s="1"/>
  <c r="V214" i="5" s="1"/>
  <c r="V215" i="5" s="1"/>
  <c r="V216" i="5" s="1"/>
  <c r="V217" i="5" s="1"/>
  <c r="K212" i="5"/>
  <c r="J212" i="5"/>
  <c r="H212" i="5"/>
  <c r="F212" i="5"/>
  <c r="H76" i="15" s="1"/>
  <c r="AM76" i="15" s="1"/>
  <c r="BE211" i="5"/>
  <c r="BD211" i="5"/>
  <c r="BC211" i="5"/>
  <c r="BB211" i="5"/>
  <c r="AG211" i="5"/>
  <c r="AF211" i="5"/>
  <c r="AE211" i="5"/>
  <c r="AD211" i="5"/>
  <c r="AC211" i="5"/>
  <c r="AB211" i="5"/>
  <c r="AA211" i="5"/>
  <c r="Z211" i="5"/>
  <c r="Y211" i="5"/>
  <c r="X211" i="5"/>
  <c r="W211" i="5"/>
  <c r="V209" i="5"/>
  <c r="AG206" i="5"/>
  <c r="AF206" i="5"/>
  <c r="AE206" i="5"/>
  <c r="AD206" i="5"/>
  <c r="AC206" i="5"/>
  <c r="AB206" i="5"/>
  <c r="AA206" i="5"/>
  <c r="Z206" i="5"/>
  <c r="AG205" i="5"/>
  <c r="AF205" i="5"/>
  <c r="AE205" i="5"/>
  <c r="AD205" i="5"/>
  <c r="AC205" i="5"/>
  <c r="AB205" i="5"/>
  <c r="AA205" i="5"/>
  <c r="Z205" i="5"/>
  <c r="AG202" i="5"/>
  <c r="AF202" i="5"/>
  <c r="AE202" i="5"/>
  <c r="AD202" i="5"/>
  <c r="AC202" i="5"/>
  <c r="AB202" i="5"/>
  <c r="AA202" i="5"/>
  <c r="Z202" i="5"/>
  <c r="AG201" i="5"/>
  <c r="AF201" i="5"/>
  <c r="AE201" i="5"/>
  <c r="AD201" i="5"/>
  <c r="AC201" i="5"/>
  <c r="AB201" i="5"/>
  <c r="AA201" i="5"/>
  <c r="Z201" i="5"/>
  <c r="AG200" i="5"/>
  <c r="AF200" i="5"/>
  <c r="AE200" i="5"/>
  <c r="AD200" i="5"/>
  <c r="AC200" i="5"/>
  <c r="AB200" i="5"/>
  <c r="AA200" i="5"/>
  <c r="Z200" i="5"/>
  <c r="AG199" i="5"/>
  <c r="AF199" i="5"/>
  <c r="AE199" i="5"/>
  <c r="AD199" i="5"/>
  <c r="AC199" i="5"/>
  <c r="AB199" i="5"/>
  <c r="AA199" i="5"/>
  <c r="Z199" i="5"/>
  <c r="AG198" i="5"/>
  <c r="AF198" i="5"/>
  <c r="AE198" i="5"/>
  <c r="AD198" i="5"/>
  <c r="AC198" i="5"/>
  <c r="AB198" i="5"/>
  <c r="AA198" i="5"/>
  <c r="Z198" i="5"/>
  <c r="AG197" i="5"/>
  <c r="AF197" i="5"/>
  <c r="AE197" i="5"/>
  <c r="AD197" i="5"/>
  <c r="AC197" i="5"/>
  <c r="AB197" i="5"/>
  <c r="AA197" i="5"/>
  <c r="Z197" i="5"/>
  <c r="AG196" i="5"/>
  <c r="AF196" i="5"/>
  <c r="AE196" i="5"/>
  <c r="AD196" i="5"/>
  <c r="AC196" i="5"/>
  <c r="AB196" i="5"/>
  <c r="AA196" i="5"/>
  <c r="Z196" i="5"/>
  <c r="AG195" i="5"/>
  <c r="AF195" i="5"/>
  <c r="AE195" i="5"/>
  <c r="AD195" i="5"/>
  <c r="AC195" i="5"/>
  <c r="AB195" i="5"/>
  <c r="AA195" i="5"/>
  <c r="Z195" i="5"/>
  <c r="AK194" i="5"/>
  <c r="AG194" i="5"/>
  <c r="AF194" i="5"/>
  <c r="AE194" i="5"/>
  <c r="AD194" i="5"/>
  <c r="AC194" i="5"/>
  <c r="AB194" i="5"/>
  <c r="AA194" i="5"/>
  <c r="Z194" i="5"/>
  <c r="Y194" i="5"/>
  <c r="X194" i="5"/>
  <c r="W194" i="5"/>
  <c r="H194" i="5"/>
  <c r="F194" i="5"/>
  <c r="AK193" i="5"/>
  <c r="AJ193" i="5"/>
  <c r="AI193" i="5"/>
  <c r="AG193" i="5"/>
  <c r="AF193" i="5"/>
  <c r="AE193" i="5"/>
  <c r="AD193" i="5"/>
  <c r="AC193" i="5"/>
  <c r="AB193" i="5"/>
  <c r="AA193" i="5"/>
  <c r="Y193" i="5"/>
  <c r="Z193" i="5" s="1"/>
  <c r="X193" i="5"/>
  <c r="W193" i="5"/>
  <c r="H193" i="5"/>
  <c r="F193" i="5"/>
  <c r="AG192" i="5"/>
  <c r="AF192" i="5"/>
  <c r="AE192" i="5"/>
  <c r="AD192" i="5"/>
  <c r="AC192" i="5"/>
  <c r="AB192" i="5"/>
  <c r="AA192" i="5"/>
  <c r="Z192" i="5"/>
  <c r="AK191" i="5"/>
  <c r="AJ191" i="5"/>
  <c r="AI191" i="5"/>
  <c r="AG191" i="5"/>
  <c r="AF191" i="5"/>
  <c r="AE191" i="5"/>
  <c r="AD191" i="5"/>
  <c r="AC191" i="5"/>
  <c r="AB191" i="5"/>
  <c r="AA191" i="5"/>
  <c r="Y191" i="5"/>
  <c r="Z191" i="5" s="1"/>
  <c r="X191" i="5"/>
  <c r="W191" i="5"/>
  <c r="H191" i="5"/>
  <c r="F184" i="5" s="1"/>
  <c r="H75" i="15" s="1"/>
  <c r="AM75" i="15" s="1"/>
  <c r="F191" i="5"/>
  <c r="F183" i="5" s="1"/>
  <c r="H74" i="15" s="1"/>
  <c r="AM74" i="15" s="1"/>
  <c r="AS189" i="5"/>
  <c r="AR189" i="5"/>
  <c r="AQ189" i="5"/>
  <c r="AP189" i="5"/>
  <c r="AO189" i="5"/>
  <c r="AN189" i="5"/>
  <c r="AM189" i="5"/>
  <c r="AL189" i="5"/>
  <c r="AK189" i="5"/>
  <c r="AJ189" i="5"/>
  <c r="AI189" i="5"/>
  <c r="AG189" i="5"/>
  <c r="AF189" i="5"/>
  <c r="AE189" i="5"/>
  <c r="AD189" i="5"/>
  <c r="AC189" i="5"/>
  <c r="AB189" i="5"/>
  <c r="AA189" i="5"/>
  <c r="Z189" i="5"/>
  <c r="Y189" i="5"/>
  <c r="X189" i="5"/>
  <c r="W189" i="5"/>
  <c r="K184" i="5"/>
  <c r="J184" i="5"/>
  <c r="H184" i="5"/>
  <c r="V183" i="5"/>
  <c r="V184" i="5" s="1"/>
  <c r="K183" i="5"/>
  <c r="AA74" i="15" s="1"/>
  <c r="J183" i="5"/>
  <c r="H183" i="5"/>
  <c r="BE182" i="5"/>
  <c r="BD182" i="5"/>
  <c r="BC182" i="5"/>
  <c r="BB182" i="5"/>
  <c r="AG182" i="5"/>
  <c r="AF182" i="5"/>
  <c r="AE182" i="5"/>
  <c r="AD182" i="5"/>
  <c r="AC182" i="5"/>
  <c r="AB182" i="5"/>
  <c r="AA182" i="5"/>
  <c r="Z182" i="5"/>
  <c r="Y182" i="5"/>
  <c r="X182" i="5"/>
  <c r="W182" i="5"/>
  <c r="V180" i="5"/>
  <c r="AS157" i="5"/>
  <c r="AR157" i="5"/>
  <c r="AQ157" i="5"/>
  <c r="AP157" i="5"/>
  <c r="AO157" i="5"/>
  <c r="AN157" i="5"/>
  <c r="AM157" i="5"/>
  <c r="AL157" i="5"/>
  <c r="AK157" i="5"/>
  <c r="AJ157" i="5"/>
  <c r="AI157" i="5"/>
  <c r="AG157" i="5"/>
  <c r="AF157" i="5"/>
  <c r="AE157" i="5"/>
  <c r="AD157" i="5"/>
  <c r="AC157" i="5"/>
  <c r="AB157" i="5"/>
  <c r="AA157" i="5"/>
  <c r="Z157" i="5"/>
  <c r="Y157" i="5"/>
  <c r="X157" i="5"/>
  <c r="W157" i="5"/>
  <c r="L149" i="5"/>
  <c r="K149" i="5"/>
  <c r="I149" i="5"/>
  <c r="H149" i="5"/>
  <c r="V148" i="5"/>
  <c r="V149" i="5" s="1"/>
  <c r="L148" i="5"/>
  <c r="K148" i="5"/>
  <c r="I148" i="5"/>
  <c r="F149" i="5" s="1"/>
  <c r="H148" i="5"/>
  <c r="BE147" i="5"/>
  <c r="BD147" i="5"/>
  <c r="BC147" i="5"/>
  <c r="BB147" i="5"/>
  <c r="AG147" i="5"/>
  <c r="AF147" i="5"/>
  <c r="AE147" i="5"/>
  <c r="AD147" i="5"/>
  <c r="AC147" i="5"/>
  <c r="AB147" i="5"/>
  <c r="AA147" i="5"/>
  <c r="Z147" i="5"/>
  <c r="Y147" i="5"/>
  <c r="X147" i="5"/>
  <c r="W147" i="5"/>
  <c r="V145" i="5"/>
  <c r="AS122" i="5"/>
  <c r="AR122" i="5"/>
  <c r="AQ122" i="5"/>
  <c r="AP122" i="5"/>
  <c r="AO122" i="5"/>
  <c r="AN122" i="5"/>
  <c r="AM122" i="5"/>
  <c r="AL122" i="5"/>
  <c r="AK122" i="5"/>
  <c r="AJ122" i="5"/>
  <c r="AI122" i="5"/>
  <c r="AG122" i="5"/>
  <c r="AF122" i="5"/>
  <c r="AE122" i="5"/>
  <c r="AD122" i="5"/>
  <c r="AC122" i="5"/>
  <c r="AB122" i="5"/>
  <c r="AA122" i="5"/>
  <c r="Z122" i="5"/>
  <c r="Y122" i="5"/>
  <c r="X122" i="5"/>
  <c r="W122" i="5"/>
  <c r="L114" i="5"/>
  <c r="K114" i="5"/>
  <c r="I114" i="5"/>
  <c r="F114" i="5" s="1"/>
  <c r="H71" i="15" s="1"/>
  <c r="AM71" i="15" s="1"/>
  <c r="H114" i="5"/>
  <c r="E114" i="5"/>
  <c r="F71" i="15" s="1"/>
  <c r="V113" i="5"/>
  <c r="V114" i="5" s="1"/>
  <c r="L113" i="5"/>
  <c r="K113" i="5"/>
  <c r="I113" i="5"/>
  <c r="F113" i="5" s="1"/>
  <c r="H70" i="15" s="1"/>
  <c r="AM70" i="15" s="1"/>
  <c r="H113" i="5"/>
  <c r="BE112" i="5"/>
  <c r="BD112" i="5"/>
  <c r="BC112" i="5"/>
  <c r="BB112" i="5"/>
  <c r="AG112" i="5"/>
  <c r="AF112" i="5"/>
  <c r="AE112" i="5"/>
  <c r="AD112" i="5"/>
  <c r="AC112" i="5"/>
  <c r="AB112" i="5"/>
  <c r="AA112" i="5"/>
  <c r="Z112" i="5"/>
  <c r="Y112" i="5"/>
  <c r="X112" i="5"/>
  <c r="W112" i="5"/>
  <c r="V110" i="5"/>
  <c r="AS87" i="5"/>
  <c r="AR87" i="5"/>
  <c r="AQ87" i="5"/>
  <c r="AP87" i="5"/>
  <c r="AO87" i="5"/>
  <c r="AN87" i="5"/>
  <c r="AM87" i="5"/>
  <c r="AL87" i="5"/>
  <c r="AK87" i="5"/>
  <c r="AJ87" i="5"/>
  <c r="AI87" i="5"/>
  <c r="AG87" i="5"/>
  <c r="AF87" i="5"/>
  <c r="AE87" i="5"/>
  <c r="AD87" i="5"/>
  <c r="AC87" i="5"/>
  <c r="AB87" i="5"/>
  <c r="AA87" i="5"/>
  <c r="Z87" i="5"/>
  <c r="Y87" i="5"/>
  <c r="X87" i="5"/>
  <c r="W87" i="5"/>
  <c r="L79" i="5"/>
  <c r="K79" i="5"/>
  <c r="I79" i="5"/>
  <c r="F79" i="5" s="1"/>
  <c r="H69" i="15" s="1"/>
  <c r="AM69" i="15" s="1"/>
  <c r="H79" i="5"/>
  <c r="V78" i="5"/>
  <c r="V79" i="5" s="1"/>
  <c r="L78" i="5"/>
  <c r="K78" i="5"/>
  <c r="I78" i="5"/>
  <c r="F78" i="5" s="1"/>
  <c r="H68" i="15" s="1"/>
  <c r="AM68" i="15" s="1"/>
  <c r="H78" i="5"/>
  <c r="BE77" i="5"/>
  <c r="BD77" i="5"/>
  <c r="BC77" i="5"/>
  <c r="BB77" i="5"/>
  <c r="AG77" i="5"/>
  <c r="AF77" i="5"/>
  <c r="AE77" i="5"/>
  <c r="AD77" i="5"/>
  <c r="AC77" i="5"/>
  <c r="AB77" i="5"/>
  <c r="AA77" i="5"/>
  <c r="Z77" i="5"/>
  <c r="Y77" i="5"/>
  <c r="X77" i="5"/>
  <c r="W77" i="5"/>
  <c r="V75" i="5"/>
  <c r="AI62" i="5"/>
  <c r="AI61" i="5"/>
  <c r="AS56" i="5"/>
  <c r="AR56" i="5"/>
  <c r="AQ56" i="5"/>
  <c r="AP56" i="5"/>
  <c r="AO56" i="5"/>
  <c r="AN56" i="5"/>
  <c r="AM56" i="5"/>
  <c r="AL56" i="5"/>
  <c r="AK56" i="5"/>
  <c r="AJ56" i="5"/>
  <c r="AI56" i="5"/>
  <c r="AG56" i="5"/>
  <c r="AF56" i="5"/>
  <c r="AE56" i="5"/>
  <c r="AD56" i="5"/>
  <c r="AC56" i="5"/>
  <c r="AB56" i="5"/>
  <c r="AA56" i="5"/>
  <c r="Z56" i="5"/>
  <c r="Y56" i="5"/>
  <c r="X56" i="5"/>
  <c r="W56" i="5"/>
  <c r="K45" i="5"/>
  <c r="J45" i="5"/>
  <c r="H45" i="5"/>
  <c r="F45" i="5"/>
  <c r="H67" i="15" s="1"/>
  <c r="AM67" i="15" s="1"/>
  <c r="K44" i="5"/>
  <c r="J44" i="5"/>
  <c r="H44" i="5"/>
  <c r="F44" i="5"/>
  <c r="H66" i="15" s="1"/>
  <c r="AM66" i="15" s="1"/>
  <c r="K43" i="5"/>
  <c r="J43" i="5"/>
  <c r="H43" i="5"/>
  <c r="F43" i="5"/>
  <c r="H65" i="15" s="1"/>
  <c r="AM65" i="15" s="1"/>
  <c r="K42" i="5"/>
  <c r="J42" i="5"/>
  <c r="H42" i="5"/>
  <c r="F42" i="5"/>
  <c r="H64" i="15" s="1"/>
  <c r="AM64" i="15" s="1"/>
  <c r="K41" i="5"/>
  <c r="J41" i="5"/>
  <c r="H41" i="5"/>
  <c r="F41" i="5"/>
  <c r="V40" i="5"/>
  <c r="V41" i="5" s="1"/>
  <c r="V42" i="5" s="1"/>
  <c r="V43" i="5" s="1"/>
  <c r="V44" i="5" s="1"/>
  <c r="V45" i="5" s="1"/>
  <c r="K40" i="5"/>
  <c r="J40" i="5"/>
  <c r="H40" i="5"/>
  <c r="F40" i="5"/>
  <c r="H62" i="15" s="1"/>
  <c r="AM62" i="15" s="1"/>
  <c r="BE39" i="5"/>
  <c r="BD39" i="5"/>
  <c r="BC39" i="5"/>
  <c r="BB39" i="5"/>
  <c r="AG39" i="5"/>
  <c r="AF39" i="5"/>
  <c r="AE39" i="5"/>
  <c r="AD39" i="5"/>
  <c r="AC39" i="5"/>
  <c r="AB39" i="5"/>
  <c r="AA39" i="5"/>
  <c r="Z39" i="5"/>
  <c r="Y39" i="5"/>
  <c r="X39" i="5"/>
  <c r="W39" i="5"/>
  <c r="V37" i="5"/>
  <c r="V35" i="5"/>
  <c r="V33" i="5"/>
  <c r="V32" i="5"/>
  <c r="V30" i="5"/>
  <c r="W29" i="5"/>
  <c r="V28" i="5"/>
  <c r="V26" i="5"/>
  <c r="V24" i="5"/>
  <c r="V23" i="5"/>
  <c r="V21" i="5"/>
  <c r="V20" i="5"/>
  <c r="W19" i="5"/>
  <c r="V18" i="5"/>
  <c r="AG17" i="5"/>
  <c r="AF17" i="5"/>
  <c r="AE17" i="5"/>
  <c r="AD17" i="5"/>
  <c r="AC17" i="5"/>
  <c r="AB17" i="5"/>
  <c r="AA17" i="5"/>
  <c r="Z17" i="5"/>
  <c r="Y17" i="5"/>
  <c r="X17" i="5"/>
  <c r="W17" i="5"/>
  <c r="M9" i="5"/>
  <c r="L9" i="5"/>
  <c r="J9" i="5"/>
  <c r="I9" i="5"/>
  <c r="H9" i="5"/>
  <c r="E9" i="5"/>
  <c r="F61" i="15" s="1"/>
  <c r="M8" i="5"/>
  <c r="L8" i="5"/>
  <c r="J8" i="5"/>
  <c r="I8" i="5"/>
  <c r="H8" i="5"/>
  <c r="V7" i="5"/>
  <c r="V8" i="5" s="1"/>
  <c r="V9" i="5" s="1"/>
  <c r="M7" i="5"/>
  <c r="L7" i="5"/>
  <c r="J7" i="5"/>
  <c r="I7" i="5"/>
  <c r="H7" i="5"/>
  <c r="V4" i="5"/>
  <c r="K1150" i="7"/>
  <c r="H439" i="9"/>
  <c r="H438" i="9"/>
  <c r="H437" i="9"/>
  <c r="H436" i="9"/>
  <c r="H435" i="9"/>
  <c r="H434" i="9"/>
  <c r="H433" i="9"/>
  <c r="H432" i="9"/>
  <c r="H431" i="9"/>
  <c r="Y86" i="3"/>
  <c r="X86" i="3"/>
  <c r="W86" i="3"/>
  <c r="F83" i="3"/>
  <c r="X82" i="3"/>
  <c r="W82" i="3"/>
  <c r="F82" i="3"/>
  <c r="X81" i="3"/>
  <c r="W81" i="3"/>
  <c r="F81" i="3"/>
  <c r="X80" i="3"/>
  <c r="W80" i="3"/>
  <c r="F80" i="3"/>
  <c r="H79" i="3"/>
  <c r="F79" i="3"/>
  <c r="H78" i="3"/>
  <c r="F78" i="3"/>
  <c r="H77" i="3"/>
  <c r="F77" i="3"/>
  <c r="H76" i="3"/>
  <c r="F76" i="3"/>
  <c r="H75" i="3"/>
  <c r="F75" i="3"/>
  <c r="H74" i="3"/>
  <c r="F74" i="3"/>
  <c r="H73" i="3"/>
  <c r="F73" i="3"/>
  <c r="H72" i="3"/>
  <c r="F72" i="3"/>
  <c r="H71" i="3"/>
  <c r="H83" i="3" s="1"/>
  <c r="F71" i="3"/>
  <c r="H70" i="3"/>
  <c r="H82" i="3" s="1"/>
  <c r="F70" i="3"/>
  <c r="H69" i="3"/>
  <c r="F69" i="3"/>
  <c r="H68" i="3"/>
  <c r="H81" i="3" s="1"/>
  <c r="F68" i="3"/>
  <c r="H67" i="3"/>
  <c r="F67" i="3"/>
  <c r="H66" i="3"/>
  <c r="F66" i="3"/>
  <c r="H65" i="3"/>
  <c r="H80" i="3" s="1"/>
  <c r="F65" i="3"/>
  <c r="H64" i="3"/>
  <c r="F64" i="3"/>
  <c r="H63" i="3"/>
  <c r="F63" i="3"/>
  <c r="H62" i="3"/>
  <c r="F62" i="3"/>
  <c r="H61" i="3"/>
  <c r="F61" i="3"/>
  <c r="X60" i="3"/>
  <c r="W60" i="3"/>
  <c r="H60" i="3"/>
  <c r="F60" i="3"/>
  <c r="X59" i="3"/>
  <c r="W59" i="3"/>
  <c r="I59" i="3"/>
  <c r="H59" i="3"/>
  <c r="F59" i="3"/>
  <c r="X58" i="3"/>
  <c r="W58" i="3"/>
  <c r="I58" i="3"/>
  <c r="H58" i="3"/>
  <c r="F58" i="3"/>
  <c r="H57" i="3"/>
  <c r="F57" i="3"/>
  <c r="H56" i="3"/>
  <c r="F56" i="3"/>
  <c r="H55" i="3"/>
  <c r="F55" i="3"/>
  <c r="H54" i="3"/>
  <c r="F54" i="3"/>
  <c r="H53" i="3"/>
  <c r="F53" i="3"/>
  <c r="H52" i="3"/>
  <c r="F52" i="3"/>
  <c r="H51" i="3"/>
  <c r="F51" i="3"/>
  <c r="H50" i="3"/>
  <c r="F50" i="3"/>
  <c r="H49" i="3"/>
  <c r="F49" i="3"/>
  <c r="H48" i="3"/>
  <c r="F48" i="3"/>
  <c r="H47" i="3"/>
  <c r="F47" i="3"/>
  <c r="H46" i="3"/>
  <c r="F46" i="3"/>
  <c r="H45" i="3"/>
  <c r="F45" i="3"/>
  <c r="H44" i="3"/>
  <c r="F44" i="3"/>
  <c r="H43" i="3"/>
  <c r="F43" i="3"/>
  <c r="H42" i="3"/>
  <c r="F42" i="3"/>
  <c r="H41" i="3"/>
  <c r="F41" i="3"/>
  <c r="H40" i="3"/>
  <c r="F40" i="3"/>
  <c r="AG39" i="3"/>
  <c r="AF39" i="3"/>
  <c r="AE39" i="3"/>
  <c r="AD39" i="3"/>
  <c r="AC39" i="3"/>
  <c r="AB39" i="3"/>
  <c r="AA39" i="3"/>
  <c r="Z39" i="3"/>
  <c r="Y39" i="3"/>
  <c r="X39" i="3"/>
  <c r="H39" i="3"/>
  <c r="Q28" i="3"/>
  <c r="P28" i="3"/>
  <c r="M28" i="3"/>
  <c r="L28" i="3"/>
  <c r="K28" i="3"/>
  <c r="I28" i="3"/>
  <c r="Q27" i="3"/>
  <c r="P27" i="3"/>
  <c r="M27" i="3"/>
  <c r="F27" i="3" s="1"/>
  <c r="H29" i="15" s="1"/>
  <c r="AM29" i="15" s="1"/>
  <c r="L27" i="3"/>
  <c r="K27" i="3"/>
  <c r="I27" i="3"/>
  <c r="Q26" i="3"/>
  <c r="P26" i="3"/>
  <c r="M26" i="3"/>
  <c r="L26" i="3"/>
  <c r="K26" i="3"/>
  <c r="I26" i="3"/>
  <c r="Q25" i="3"/>
  <c r="P25" i="3"/>
  <c r="M25" i="3"/>
  <c r="L25" i="3"/>
  <c r="K25" i="3"/>
  <c r="I25" i="3"/>
  <c r="Q24" i="3"/>
  <c r="P24" i="3"/>
  <c r="M24" i="3"/>
  <c r="L24" i="3"/>
  <c r="K24" i="3"/>
  <c r="I24" i="3"/>
  <c r="Q23" i="3"/>
  <c r="P23" i="3"/>
  <c r="M23" i="3"/>
  <c r="L23" i="3"/>
  <c r="K23" i="3"/>
  <c r="I23" i="3"/>
  <c r="Q22" i="3"/>
  <c r="P22" i="3"/>
  <c r="M22" i="3"/>
  <c r="L22" i="3"/>
  <c r="K22" i="3"/>
  <c r="I22" i="3"/>
  <c r="Q21" i="3"/>
  <c r="P21" i="3"/>
  <c r="M21" i="3"/>
  <c r="L21" i="3"/>
  <c r="K21" i="3"/>
  <c r="I21" i="3"/>
  <c r="Q20" i="3"/>
  <c r="P20" i="3"/>
  <c r="M20" i="3"/>
  <c r="L20" i="3"/>
  <c r="K20" i="3"/>
  <c r="I20" i="3"/>
  <c r="Q19" i="3"/>
  <c r="P19" i="3"/>
  <c r="M19" i="3"/>
  <c r="L19" i="3"/>
  <c r="K19" i="3"/>
  <c r="I19" i="3"/>
  <c r="Q18" i="3"/>
  <c r="P18" i="3"/>
  <c r="M18" i="3"/>
  <c r="L18" i="3"/>
  <c r="K18" i="3"/>
  <c r="I18" i="3"/>
  <c r="Q17" i="3"/>
  <c r="P17" i="3"/>
  <c r="M17" i="3"/>
  <c r="L17" i="3"/>
  <c r="K17" i="3"/>
  <c r="I17" i="3"/>
  <c r="Q16" i="3"/>
  <c r="P16" i="3"/>
  <c r="M16" i="3"/>
  <c r="L16" i="3"/>
  <c r="K16" i="3"/>
  <c r="I16" i="3"/>
  <c r="Q15" i="3"/>
  <c r="P15" i="3"/>
  <c r="M15" i="3"/>
  <c r="L15" i="3"/>
  <c r="K15" i="3"/>
  <c r="I15" i="3"/>
  <c r="Q14" i="3"/>
  <c r="P14" i="3"/>
  <c r="M14" i="3"/>
  <c r="L14" i="3"/>
  <c r="K14" i="3"/>
  <c r="I14" i="3"/>
  <c r="Q13" i="3"/>
  <c r="P13" i="3"/>
  <c r="M13" i="3"/>
  <c r="L13" i="3"/>
  <c r="K13" i="3"/>
  <c r="I13" i="3"/>
  <c r="Q12" i="3"/>
  <c r="P12" i="3"/>
  <c r="M12" i="3"/>
  <c r="L12" i="3"/>
  <c r="K12" i="3"/>
  <c r="I12" i="3"/>
  <c r="Q11" i="3"/>
  <c r="P11" i="3"/>
  <c r="M11" i="3"/>
  <c r="L11" i="3"/>
  <c r="K11" i="3"/>
  <c r="I11" i="3"/>
  <c r="Q10" i="3"/>
  <c r="P10" i="3"/>
  <c r="M10" i="3"/>
  <c r="L10" i="3"/>
  <c r="K10" i="3"/>
  <c r="I10" i="3"/>
  <c r="Q9" i="3"/>
  <c r="P9" i="3"/>
  <c r="M9" i="3"/>
  <c r="L9" i="3"/>
  <c r="K9" i="3"/>
  <c r="I9" i="3"/>
  <c r="Q8" i="3"/>
  <c r="P8" i="3"/>
  <c r="M8" i="3"/>
  <c r="L8" i="3"/>
  <c r="K8" i="3"/>
  <c r="I8" i="3"/>
  <c r="Q7" i="3"/>
  <c r="P7" i="3"/>
  <c r="M7" i="3"/>
  <c r="L7" i="3"/>
  <c r="K7" i="3"/>
  <c r="I7" i="3"/>
  <c r="V4" i="3"/>
  <c r="DC751" i="2"/>
  <c r="DE750" i="2"/>
  <c r="DD750" i="2"/>
  <c r="DC750" i="2"/>
  <c r="DB750" i="2"/>
  <c r="BE750" i="2"/>
  <c r="BD750" i="2"/>
  <c r="BC750" i="2"/>
  <c r="BB750" i="2"/>
  <c r="BA750" i="2"/>
  <c r="AZ750" i="2"/>
  <c r="AY750" i="2"/>
  <c r="AX750" i="2"/>
  <c r="AW750" i="2"/>
  <c r="AS750" i="2"/>
  <c r="AR750" i="2"/>
  <c r="AQ750" i="2"/>
  <c r="AP750" i="2"/>
  <c r="AO750" i="2"/>
  <c r="AN750" i="2"/>
  <c r="AM750" i="2"/>
  <c r="AL750" i="2"/>
  <c r="AK750" i="2"/>
  <c r="AG750" i="2"/>
  <c r="AF750" i="2"/>
  <c r="AE750" i="2"/>
  <c r="AD750" i="2"/>
  <c r="AC750" i="2"/>
  <c r="AB750" i="2"/>
  <c r="AA750" i="2"/>
  <c r="Z750" i="2"/>
  <c r="Y750" i="2"/>
  <c r="X750" i="2"/>
  <c r="W750" i="2"/>
  <c r="V748" i="2"/>
  <c r="E744" i="2"/>
  <c r="D744" i="2"/>
  <c r="DE734" i="2"/>
  <c r="DC734" i="2"/>
  <c r="H734" i="2"/>
  <c r="F734" i="2"/>
  <c r="H602" i="15" s="1"/>
  <c r="AM602" i="15" s="1"/>
  <c r="DE733" i="2"/>
  <c r="DD733" i="2"/>
  <c r="DC733" i="2"/>
  <c r="DB733" i="2"/>
  <c r="BE733" i="2"/>
  <c r="BD733" i="2"/>
  <c r="BC733" i="2"/>
  <c r="BB733" i="2"/>
  <c r="BA733" i="2"/>
  <c r="AZ733" i="2"/>
  <c r="AY733" i="2"/>
  <c r="AX733" i="2"/>
  <c r="AW733" i="2"/>
  <c r="AS733" i="2"/>
  <c r="AR733" i="2"/>
  <c r="AQ733" i="2"/>
  <c r="AP733" i="2"/>
  <c r="AO733" i="2"/>
  <c r="AN733" i="2"/>
  <c r="AM733" i="2"/>
  <c r="AL733" i="2"/>
  <c r="AK733" i="2"/>
  <c r="AG733" i="2"/>
  <c r="AF733" i="2"/>
  <c r="AE733" i="2"/>
  <c r="AD733" i="2"/>
  <c r="AC733" i="2"/>
  <c r="AB733" i="2"/>
  <c r="AA733" i="2"/>
  <c r="Z733" i="2"/>
  <c r="Y733" i="2"/>
  <c r="X733" i="2"/>
  <c r="W733" i="2"/>
  <c r="V731" i="2"/>
  <c r="G728" i="2"/>
  <c r="F728" i="2"/>
  <c r="E728" i="2"/>
  <c r="D728" i="2"/>
  <c r="G727" i="2"/>
  <c r="F727" i="2"/>
  <c r="E727" i="2"/>
  <c r="D727" i="2"/>
  <c r="DE717" i="2"/>
  <c r="DC717" i="2"/>
  <c r="H717" i="2"/>
  <c r="DE716" i="2"/>
  <c r="DC716" i="2"/>
  <c r="H716" i="2"/>
  <c r="DE715" i="2"/>
  <c r="DD715" i="2"/>
  <c r="DC715" i="2"/>
  <c r="DB715" i="2"/>
  <c r="BE715" i="2"/>
  <c r="BD715" i="2"/>
  <c r="BC715" i="2"/>
  <c r="BB715" i="2"/>
  <c r="BA715" i="2"/>
  <c r="AZ715" i="2"/>
  <c r="AY715" i="2"/>
  <c r="AX715" i="2"/>
  <c r="AW715" i="2"/>
  <c r="AS715" i="2"/>
  <c r="AR715" i="2"/>
  <c r="AQ715" i="2"/>
  <c r="AP715" i="2"/>
  <c r="AO715" i="2"/>
  <c r="AN715" i="2"/>
  <c r="AM715" i="2"/>
  <c r="AL715" i="2"/>
  <c r="AK715" i="2"/>
  <c r="AG715" i="2"/>
  <c r="AF715" i="2"/>
  <c r="AE715" i="2"/>
  <c r="AD715" i="2"/>
  <c r="AC715" i="2"/>
  <c r="AB715" i="2"/>
  <c r="AA715" i="2"/>
  <c r="Z715" i="2"/>
  <c r="Y715" i="2"/>
  <c r="X715" i="2"/>
  <c r="W715" i="2"/>
  <c r="V713" i="2"/>
  <c r="E710" i="2"/>
  <c r="D710" i="2"/>
  <c r="E709" i="2"/>
  <c r="D709" i="2"/>
  <c r="DE699" i="2"/>
  <c r="DC699" i="2"/>
  <c r="V699" i="2"/>
  <c r="G699" i="2"/>
  <c r="F699" i="2"/>
  <c r="J699" i="2" s="1"/>
  <c r="DE698" i="2"/>
  <c r="DC698" i="2"/>
  <c r="AI698" i="2"/>
  <c r="AI699" i="2" s="1"/>
  <c r="V698" i="2"/>
  <c r="G698" i="2"/>
  <c r="F698" i="2"/>
  <c r="DE697" i="2"/>
  <c r="DD697" i="2"/>
  <c r="DC697" i="2"/>
  <c r="DB697" i="2"/>
  <c r="BQ697" i="2"/>
  <c r="BP697" i="2"/>
  <c r="BO697" i="2"/>
  <c r="BN697" i="2"/>
  <c r="BM697" i="2"/>
  <c r="BL697" i="2"/>
  <c r="BK697" i="2"/>
  <c r="BJ697" i="2"/>
  <c r="BI697" i="2"/>
  <c r="BE697" i="2"/>
  <c r="BD697" i="2"/>
  <c r="BC697" i="2"/>
  <c r="BB697" i="2"/>
  <c r="BA697" i="2"/>
  <c r="AZ697" i="2"/>
  <c r="AY697" i="2"/>
  <c r="AX697" i="2"/>
  <c r="AW697" i="2"/>
  <c r="AS697" i="2"/>
  <c r="AR697" i="2"/>
  <c r="AQ697" i="2"/>
  <c r="AP697" i="2"/>
  <c r="AO697" i="2"/>
  <c r="AN697" i="2"/>
  <c r="AM697" i="2"/>
  <c r="AL697" i="2"/>
  <c r="AK697" i="2"/>
  <c r="AG697" i="2"/>
  <c r="AF697" i="2"/>
  <c r="AE697" i="2"/>
  <c r="AD697" i="2"/>
  <c r="AC697" i="2"/>
  <c r="AB697" i="2"/>
  <c r="AA697" i="2"/>
  <c r="Z697" i="2"/>
  <c r="Y697" i="2"/>
  <c r="X697" i="2"/>
  <c r="W697" i="2"/>
  <c r="V695" i="2"/>
  <c r="E692" i="2"/>
  <c r="D692" i="2"/>
  <c r="DE682" i="2"/>
  <c r="DC682" i="2"/>
  <c r="V682" i="2"/>
  <c r="V683" i="2" s="1"/>
  <c r="H682" i="2"/>
  <c r="I682" i="2" s="1"/>
  <c r="N597" i="15" s="1"/>
  <c r="V597" i="15" s="1"/>
  <c r="U597" i="15" s="1"/>
  <c r="T597" i="15" s="1"/>
  <c r="F682" i="2"/>
  <c r="H597" i="15" s="1"/>
  <c r="AM597" i="15" s="1"/>
  <c r="DE681" i="2"/>
  <c r="DD681" i="2"/>
  <c r="DC681" i="2"/>
  <c r="DB681" i="2"/>
  <c r="BE681" i="2"/>
  <c r="BD681" i="2"/>
  <c r="BC681" i="2"/>
  <c r="BB681" i="2"/>
  <c r="BA681" i="2"/>
  <c r="AZ681" i="2"/>
  <c r="AY681" i="2"/>
  <c r="AX681" i="2"/>
  <c r="AW681" i="2"/>
  <c r="AS681" i="2"/>
  <c r="AR681" i="2"/>
  <c r="AQ681" i="2"/>
  <c r="AP681" i="2"/>
  <c r="AO681" i="2"/>
  <c r="AN681" i="2"/>
  <c r="AM681" i="2"/>
  <c r="AL681" i="2"/>
  <c r="AK681" i="2"/>
  <c r="AG681" i="2"/>
  <c r="AF681" i="2"/>
  <c r="AE681" i="2"/>
  <c r="AD681" i="2"/>
  <c r="AC681" i="2"/>
  <c r="AB681" i="2"/>
  <c r="AA681" i="2"/>
  <c r="Z681" i="2"/>
  <c r="Y681" i="2"/>
  <c r="X681" i="2"/>
  <c r="W681" i="2"/>
  <c r="V679" i="2"/>
  <c r="E676" i="2"/>
  <c r="D676" i="2"/>
  <c r="E675" i="2"/>
  <c r="D675" i="2"/>
  <c r="E674" i="2"/>
  <c r="D674" i="2"/>
  <c r="DE664" i="2"/>
  <c r="DC664" i="2"/>
  <c r="H664" i="2"/>
  <c r="F664" i="2"/>
  <c r="H596" i="15" s="1"/>
  <c r="AM596" i="15" s="1"/>
  <c r="DE663" i="2"/>
  <c r="DC663" i="2"/>
  <c r="H663" i="2"/>
  <c r="I663" i="2" s="1"/>
  <c r="N595" i="15" s="1"/>
  <c r="U595" i="15" s="1"/>
  <c r="T595" i="15" s="1"/>
  <c r="F663" i="2"/>
  <c r="DE662" i="2"/>
  <c r="DC662" i="2"/>
  <c r="V662" i="2"/>
  <c r="V663" i="2" s="1"/>
  <c r="V664" i="2" s="1"/>
  <c r="H662" i="2"/>
  <c r="F662" i="2"/>
  <c r="H594" i="15" s="1"/>
  <c r="AM594" i="15" s="1"/>
  <c r="DE661" i="2"/>
  <c r="DD661" i="2"/>
  <c r="DC661" i="2"/>
  <c r="DB661" i="2"/>
  <c r="BE661" i="2"/>
  <c r="BD661" i="2"/>
  <c r="BC661" i="2"/>
  <c r="BB661" i="2"/>
  <c r="BA661" i="2"/>
  <c r="AZ661" i="2"/>
  <c r="AY661" i="2"/>
  <c r="AX661" i="2"/>
  <c r="AW661" i="2"/>
  <c r="AS661" i="2"/>
  <c r="AR661" i="2"/>
  <c r="AQ661" i="2"/>
  <c r="AP661" i="2"/>
  <c r="AO661" i="2"/>
  <c r="AN661" i="2"/>
  <c r="AM661" i="2"/>
  <c r="AL661" i="2"/>
  <c r="AK661" i="2"/>
  <c r="AG661" i="2"/>
  <c r="AF661" i="2"/>
  <c r="AE661" i="2"/>
  <c r="AD661" i="2"/>
  <c r="AC661" i="2"/>
  <c r="AB661" i="2"/>
  <c r="AA661" i="2"/>
  <c r="Z661" i="2"/>
  <c r="Y661" i="2"/>
  <c r="X661" i="2"/>
  <c r="W661" i="2"/>
  <c r="V659" i="2"/>
  <c r="E656" i="2"/>
  <c r="D656" i="2"/>
  <c r="DE646" i="2"/>
  <c r="DC646" i="2"/>
  <c r="V646" i="2"/>
  <c r="H646" i="2"/>
  <c r="F646" i="2"/>
  <c r="H593" i="15" s="1"/>
  <c r="AM593" i="15" s="1"/>
  <c r="DE645" i="2"/>
  <c r="DD645" i="2"/>
  <c r="DC645" i="2"/>
  <c r="DB645" i="2"/>
  <c r="BE645" i="2"/>
  <c r="BD645" i="2"/>
  <c r="BC645" i="2"/>
  <c r="BB645" i="2"/>
  <c r="BA645" i="2"/>
  <c r="AZ645" i="2"/>
  <c r="AY645" i="2"/>
  <c r="AX645" i="2"/>
  <c r="AW645" i="2"/>
  <c r="AS645" i="2"/>
  <c r="AR645" i="2"/>
  <c r="AQ645" i="2"/>
  <c r="AP645" i="2"/>
  <c r="AO645" i="2"/>
  <c r="AN645" i="2"/>
  <c r="AM645" i="2"/>
  <c r="AL645" i="2"/>
  <c r="AK645" i="2"/>
  <c r="AG645" i="2"/>
  <c r="AF645" i="2"/>
  <c r="AE645" i="2"/>
  <c r="AD645" i="2"/>
  <c r="AC645" i="2"/>
  <c r="AB645" i="2"/>
  <c r="AA645" i="2"/>
  <c r="Z645" i="2"/>
  <c r="Y645" i="2"/>
  <c r="X645" i="2"/>
  <c r="W645" i="2"/>
  <c r="V643" i="2"/>
  <c r="E640" i="2"/>
  <c r="D640" i="2"/>
  <c r="DE630" i="2"/>
  <c r="DC630" i="2"/>
  <c r="DD630" i="2" s="1"/>
  <c r="AD592" i="15" s="1"/>
  <c r="AB592" i="15" s="1"/>
  <c r="H630" i="2"/>
  <c r="I630" i="2" s="1"/>
  <c r="N592" i="15" s="1"/>
  <c r="F630" i="2"/>
  <c r="DE629" i="2"/>
  <c r="DD629" i="2"/>
  <c r="DC629" i="2"/>
  <c r="DB629" i="2"/>
  <c r="BE629" i="2"/>
  <c r="BD629" i="2"/>
  <c r="BC629" i="2"/>
  <c r="BB629" i="2"/>
  <c r="BA629" i="2"/>
  <c r="AZ629" i="2"/>
  <c r="AY629" i="2"/>
  <c r="AX629" i="2"/>
  <c r="AW629" i="2"/>
  <c r="AS629" i="2"/>
  <c r="AR629" i="2"/>
  <c r="AQ629" i="2"/>
  <c r="AP629" i="2"/>
  <c r="AO629" i="2"/>
  <c r="AN629" i="2"/>
  <c r="AM629" i="2"/>
  <c r="AL629" i="2"/>
  <c r="AK629" i="2"/>
  <c r="AG629" i="2"/>
  <c r="AF629" i="2"/>
  <c r="AE629" i="2"/>
  <c r="AD629" i="2"/>
  <c r="AC629" i="2"/>
  <c r="AB629" i="2"/>
  <c r="AA629" i="2"/>
  <c r="Z629" i="2"/>
  <c r="Y629" i="2"/>
  <c r="X629" i="2"/>
  <c r="W629" i="2"/>
  <c r="V627" i="2"/>
  <c r="J624" i="2"/>
  <c r="F614" i="2" s="1"/>
  <c r="H591" i="15" s="1"/>
  <c r="AM591" i="15" s="1"/>
  <c r="E624" i="2"/>
  <c r="D624" i="2"/>
  <c r="DE614" i="2"/>
  <c r="DC614" i="2"/>
  <c r="H614" i="2"/>
  <c r="DE613" i="2"/>
  <c r="DD613" i="2"/>
  <c r="DC613" i="2"/>
  <c r="DB613" i="2"/>
  <c r="BE613" i="2"/>
  <c r="BD613" i="2"/>
  <c r="BC613" i="2"/>
  <c r="BB613" i="2"/>
  <c r="BA613" i="2"/>
  <c r="AZ613" i="2"/>
  <c r="AY613" i="2"/>
  <c r="AX613" i="2"/>
  <c r="AW613" i="2"/>
  <c r="AS613" i="2"/>
  <c r="AR613" i="2"/>
  <c r="AQ613" i="2"/>
  <c r="AP613" i="2"/>
  <c r="AO613" i="2"/>
  <c r="AN613" i="2"/>
  <c r="AM613" i="2"/>
  <c r="AL613" i="2"/>
  <c r="AK613" i="2"/>
  <c r="AG613" i="2"/>
  <c r="AF613" i="2"/>
  <c r="AE613" i="2"/>
  <c r="AD613" i="2"/>
  <c r="AC613" i="2"/>
  <c r="AB613" i="2"/>
  <c r="AA613" i="2"/>
  <c r="Z613" i="2"/>
  <c r="Y613" i="2"/>
  <c r="X613" i="2"/>
  <c r="W613" i="2"/>
  <c r="V611" i="2"/>
  <c r="K608" i="2"/>
  <c r="F608" i="2"/>
  <c r="E608" i="2"/>
  <c r="D608" i="2"/>
  <c r="DE598" i="2"/>
  <c r="DC598" i="2"/>
  <c r="H598" i="2"/>
  <c r="DE597" i="2"/>
  <c r="DD597" i="2"/>
  <c r="DC597" i="2"/>
  <c r="DB597" i="2"/>
  <c r="BE597" i="2"/>
  <c r="BD597" i="2"/>
  <c r="BC597" i="2"/>
  <c r="BB597" i="2"/>
  <c r="BA597" i="2"/>
  <c r="AZ597" i="2"/>
  <c r="AY597" i="2"/>
  <c r="AX597" i="2"/>
  <c r="AW597" i="2"/>
  <c r="AS597" i="2"/>
  <c r="AR597" i="2"/>
  <c r="AQ597" i="2"/>
  <c r="AP597" i="2"/>
  <c r="AO597" i="2"/>
  <c r="AN597" i="2"/>
  <c r="AM597" i="2"/>
  <c r="AL597" i="2"/>
  <c r="AK597" i="2"/>
  <c r="AG597" i="2"/>
  <c r="AF597" i="2"/>
  <c r="AE597" i="2"/>
  <c r="AD597" i="2"/>
  <c r="AC597" i="2"/>
  <c r="AB597" i="2"/>
  <c r="AA597" i="2"/>
  <c r="Z597" i="2"/>
  <c r="Y597" i="2"/>
  <c r="X597" i="2"/>
  <c r="W597" i="2"/>
  <c r="V595" i="2"/>
  <c r="E592" i="2"/>
  <c r="D592" i="2"/>
  <c r="DC582" i="2"/>
  <c r="V582" i="2"/>
  <c r="K582" i="2"/>
  <c r="DE582" i="2" s="1"/>
  <c r="H582" i="2"/>
  <c r="F582" i="2"/>
  <c r="H589" i="15" s="1"/>
  <c r="AM589" i="15" s="1"/>
  <c r="DE581" i="2"/>
  <c r="DD581" i="2"/>
  <c r="DC581" i="2"/>
  <c r="DB581" i="2"/>
  <c r="BE581" i="2"/>
  <c r="BD581" i="2"/>
  <c r="BC581" i="2"/>
  <c r="BB581" i="2"/>
  <c r="BA581" i="2"/>
  <c r="AZ581" i="2"/>
  <c r="AY581" i="2"/>
  <c r="AX581" i="2"/>
  <c r="AW581" i="2"/>
  <c r="AS581" i="2"/>
  <c r="AR581" i="2"/>
  <c r="AQ581" i="2"/>
  <c r="AP581" i="2"/>
  <c r="AO581" i="2"/>
  <c r="AN581" i="2"/>
  <c r="AM581" i="2"/>
  <c r="AL581" i="2"/>
  <c r="AK581" i="2"/>
  <c r="AG581" i="2"/>
  <c r="AF581" i="2"/>
  <c r="AE581" i="2"/>
  <c r="AD581" i="2"/>
  <c r="AC581" i="2"/>
  <c r="AB581" i="2"/>
  <c r="AA581" i="2"/>
  <c r="Z581" i="2"/>
  <c r="Y581" i="2"/>
  <c r="X581" i="2"/>
  <c r="W581" i="2"/>
  <c r="V579" i="2"/>
  <c r="E576" i="2"/>
  <c r="D576" i="2"/>
  <c r="DE566" i="2"/>
  <c r="DC566" i="2"/>
  <c r="H566" i="2"/>
  <c r="F566" i="2"/>
  <c r="H588" i="15" s="1"/>
  <c r="AM588" i="15" s="1"/>
  <c r="DE565" i="2"/>
  <c r="DD565" i="2"/>
  <c r="DC565" i="2"/>
  <c r="DB565" i="2"/>
  <c r="BE565" i="2"/>
  <c r="BD565" i="2"/>
  <c r="BC565" i="2"/>
  <c r="BB565" i="2"/>
  <c r="BA565" i="2"/>
  <c r="AZ565" i="2"/>
  <c r="AY565" i="2"/>
  <c r="AX565" i="2"/>
  <c r="AW565" i="2"/>
  <c r="AS565" i="2"/>
  <c r="AR565" i="2"/>
  <c r="AQ565" i="2"/>
  <c r="AP565" i="2"/>
  <c r="AO565" i="2"/>
  <c r="AN565" i="2"/>
  <c r="AM565" i="2"/>
  <c r="AL565" i="2"/>
  <c r="AK565" i="2"/>
  <c r="AG565" i="2"/>
  <c r="AF565" i="2"/>
  <c r="AE565" i="2"/>
  <c r="AD565" i="2"/>
  <c r="AC565" i="2"/>
  <c r="AB565" i="2"/>
  <c r="AA565" i="2"/>
  <c r="Z565" i="2"/>
  <c r="Y565" i="2"/>
  <c r="X565" i="2"/>
  <c r="W565" i="2"/>
  <c r="V563" i="2"/>
  <c r="E560" i="2"/>
  <c r="D560" i="2"/>
  <c r="E559" i="2"/>
  <c r="D559" i="2"/>
  <c r="DE549" i="2"/>
  <c r="DC549" i="2"/>
  <c r="H549" i="2"/>
  <c r="F549" i="2"/>
  <c r="H587" i="15" s="1"/>
  <c r="AM587" i="15" s="1"/>
  <c r="DE548" i="2"/>
  <c r="DC548" i="2"/>
  <c r="H548" i="2"/>
  <c r="F548" i="2"/>
  <c r="H586" i="15" s="1"/>
  <c r="AM586" i="15" s="1"/>
  <c r="DE547" i="2"/>
  <c r="DD547" i="2"/>
  <c r="DC547" i="2"/>
  <c r="DB547" i="2"/>
  <c r="BE547" i="2"/>
  <c r="BD547" i="2"/>
  <c r="BC547" i="2"/>
  <c r="BB547" i="2"/>
  <c r="BA547" i="2"/>
  <c r="AZ547" i="2"/>
  <c r="AY547" i="2"/>
  <c r="AX547" i="2"/>
  <c r="AW547" i="2"/>
  <c r="AS547" i="2"/>
  <c r="AR547" i="2"/>
  <c r="AQ547" i="2"/>
  <c r="AP547" i="2"/>
  <c r="AO547" i="2"/>
  <c r="AN547" i="2"/>
  <c r="AM547" i="2"/>
  <c r="AL547" i="2"/>
  <c r="AK547" i="2"/>
  <c r="AG547" i="2"/>
  <c r="AF547" i="2"/>
  <c r="AE547" i="2"/>
  <c r="AD547" i="2"/>
  <c r="AC547" i="2"/>
  <c r="AB547" i="2"/>
  <c r="AA547" i="2"/>
  <c r="Z547" i="2"/>
  <c r="Y547" i="2"/>
  <c r="X547" i="2"/>
  <c r="W547" i="2"/>
  <c r="V545" i="2"/>
  <c r="E542" i="2"/>
  <c r="D542" i="2"/>
  <c r="E541" i="2"/>
  <c r="D541" i="2"/>
  <c r="DE531" i="2"/>
  <c r="DC531" i="2"/>
  <c r="H531" i="2"/>
  <c r="F531" i="2"/>
  <c r="H585" i="15" s="1"/>
  <c r="AM585" i="15" s="1"/>
  <c r="DE530" i="2"/>
  <c r="DC530" i="2"/>
  <c r="H530" i="2"/>
  <c r="F530" i="2"/>
  <c r="H584" i="15" s="1"/>
  <c r="AM584" i="15" s="1"/>
  <c r="DE529" i="2"/>
  <c r="DD529" i="2"/>
  <c r="DC529" i="2"/>
  <c r="DB529" i="2"/>
  <c r="BE529" i="2"/>
  <c r="BD529" i="2"/>
  <c r="BC529" i="2"/>
  <c r="BB529" i="2"/>
  <c r="BA529" i="2"/>
  <c r="AZ529" i="2"/>
  <c r="AY529" i="2"/>
  <c r="AX529" i="2"/>
  <c r="AW529" i="2"/>
  <c r="AS529" i="2"/>
  <c r="AR529" i="2"/>
  <c r="AQ529" i="2"/>
  <c r="AP529" i="2"/>
  <c r="AO529" i="2"/>
  <c r="AN529" i="2"/>
  <c r="AM529" i="2"/>
  <c r="AL529" i="2"/>
  <c r="AK529" i="2"/>
  <c r="AG529" i="2"/>
  <c r="AF529" i="2"/>
  <c r="AE529" i="2"/>
  <c r="AD529" i="2"/>
  <c r="AC529" i="2"/>
  <c r="AB529" i="2"/>
  <c r="AA529" i="2"/>
  <c r="Z529" i="2"/>
  <c r="Y529" i="2"/>
  <c r="X529" i="2"/>
  <c r="W529" i="2"/>
  <c r="V527" i="2"/>
  <c r="M525" i="2"/>
  <c r="I525" i="2"/>
  <c r="E525" i="2"/>
  <c r="D525" i="2"/>
  <c r="M524" i="2"/>
  <c r="I524" i="2"/>
  <c r="E524" i="2"/>
  <c r="D524" i="2"/>
  <c r="N521" i="2"/>
  <c r="E521" i="2"/>
  <c r="D521" i="2"/>
  <c r="N520" i="2"/>
  <c r="E520" i="2"/>
  <c r="D520" i="2"/>
  <c r="DE508" i="2"/>
  <c r="DC508" i="2"/>
  <c r="H508" i="2"/>
  <c r="DE507" i="2"/>
  <c r="DC507" i="2"/>
  <c r="H507" i="2"/>
  <c r="DE506" i="2"/>
  <c r="DD506" i="2"/>
  <c r="DC506" i="2"/>
  <c r="DB506" i="2"/>
  <c r="BE506" i="2"/>
  <c r="BD506" i="2"/>
  <c r="BC506" i="2"/>
  <c r="BB506" i="2"/>
  <c r="BA506" i="2"/>
  <c r="AZ506" i="2"/>
  <c r="AY506" i="2"/>
  <c r="AX506" i="2"/>
  <c r="AW506" i="2"/>
  <c r="AS506" i="2"/>
  <c r="AR506" i="2"/>
  <c r="AQ506" i="2"/>
  <c r="AP506" i="2"/>
  <c r="AO506" i="2"/>
  <c r="AN506" i="2"/>
  <c r="AM506" i="2"/>
  <c r="AL506" i="2"/>
  <c r="AK506" i="2"/>
  <c r="AG506" i="2"/>
  <c r="AF506" i="2"/>
  <c r="AE506" i="2"/>
  <c r="AD506" i="2"/>
  <c r="AC506" i="2"/>
  <c r="AB506" i="2"/>
  <c r="AA506" i="2"/>
  <c r="Z506" i="2"/>
  <c r="Y506" i="2"/>
  <c r="X506" i="2"/>
  <c r="W506" i="2"/>
  <c r="V504" i="2"/>
  <c r="E501" i="2"/>
  <c r="D501" i="2"/>
  <c r="DC491" i="2"/>
  <c r="AU491" i="2"/>
  <c r="V491" i="2"/>
  <c r="K491" i="2"/>
  <c r="DE491" i="2" s="1"/>
  <c r="H491" i="2"/>
  <c r="F491" i="2"/>
  <c r="H581" i="15" s="1"/>
  <c r="AM581" i="15" s="1"/>
  <c r="DE490" i="2"/>
  <c r="DD490" i="2"/>
  <c r="DC490" i="2"/>
  <c r="DB490" i="2"/>
  <c r="BE490" i="2"/>
  <c r="BD490" i="2"/>
  <c r="BC490" i="2"/>
  <c r="BB490" i="2"/>
  <c r="BA490" i="2"/>
  <c r="AZ490" i="2"/>
  <c r="AY490" i="2"/>
  <c r="AX490" i="2"/>
  <c r="AW490" i="2"/>
  <c r="AS490" i="2"/>
  <c r="AR490" i="2"/>
  <c r="AQ490" i="2"/>
  <c r="AP490" i="2"/>
  <c r="AO490" i="2"/>
  <c r="AN490" i="2"/>
  <c r="AM490" i="2"/>
  <c r="AL490" i="2"/>
  <c r="AK490" i="2"/>
  <c r="AG490" i="2"/>
  <c r="AF490" i="2"/>
  <c r="AE490" i="2"/>
  <c r="AD490" i="2"/>
  <c r="AC490" i="2"/>
  <c r="AB490" i="2"/>
  <c r="AA490" i="2"/>
  <c r="Z490" i="2"/>
  <c r="Y490" i="2"/>
  <c r="X490" i="2"/>
  <c r="W490" i="2"/>
  <c r="E487" i="2"/>
  <c r="D487" i="2"/>
  <c r="E486" i="2"/>
  <c r="D486" i="2"/>
  <c r="E485" i="2"/>
  <c r="D485" i="2"/>
  <c r="E484" i="2"/>
  <c r="D484" i="2"/>
  <c r="E483" i="2"/>
  <c r="D483" i="2"/>
  <c r="E482" i="2"/>
  <c r="D482" i="2"/>
  <c r="E481" i="2"/>
  <c r="D481" i="2"/>
  <c r="DE471" i="2"/>
  <c r="DC471" i="2"/>
  <c r="H471" i="2"/>
  <c r="F471" i="2"/>
  <c r="H580" i="15" s="1"/>
  <c r="AM580" i="15" s="1"/>
  <c r="DE470" i="2"/>
  <c r="DC470" i="2"/>
  <c r="H470" i="2"/>
  <c r="F470" i="2"/>
  <c r="H579" i="15" s="1"/>
  <c r="AM579" i="15" s="1"/>
  <c r="DE469" i="2"/>
  <c r="DC469" i="2"/>
  <c r="H469" i="2"/>
  <c r="F469" i="2"/>
  <c r="DE468" i="2"/>
  <c r="DC468" i="2"/>
  <c r="H468" i="2"/>
  <c r="F468" i="2"/>
  <c r="H577" i="15" s="1"/>
  <c r="AM577" i="15" s="1"/>
  <c r="DE467" i="2"/>
  <c r="DC467" i="2"/>
  <c r="H467" i="2"/>
  <c r="F467" i="2"/>
  <c r="H576" i="15" s="1"/>
  <c r="AM576" i="15" s="1"/>
  <c r="DE466" i="2"/>
  <c r="DC466" i="2"/>
  <c r="H466" i="2"/>
  <c r="F466" i="2"/>
  <c r="H575" i="15" s="1"/>
  <c r="AM575" i="15" s="1"/>
  <c r="DE465" i="2"/>
  <c r="DC465" i="2"/>
  <c r="H465" i="2"/>
  <c r="F465" i="2"/>
  <c r="DE464" i="2"/>
  <c r="DD464" i="2"/>
  <c r="DC464" i="2"/>
  <c r="DB464" i="2"/>
  <c r="BE464" i="2"/>
  <c r="BD464" i="2"/>
  <c r="BC464" i="2"/>
  <c r="BB464" i="2"/>
  <c r="BA464" i="2"/>
  <c r="AZ464" i="2"/>
  <c r="AY464" i="2"/>
  <c r="AX464" i="2"/>
  <c r="AW464" i="2"/>
  <c r="AS464" i="2"/>
  <c r="AR464" i="2"/>
  <c r="AQ464" i="2"/>
  <c r="AP464" i="2"/>
  <c r="AO464" i="2"/>
  <c r="AN464" i="2"/>
  <c r="AM464" i="2"/>
  <c r="AL464" i="2"/>
  <c r="AK464" i="2"/>
  <c r="AG464" i="2"/>
  <c r="AF464" i="2"/>
  <c r="AE464" i="2"/>
  <c r="AD464" i="2"/>
  <c r="AC464" i="2"/>
  <c r="AB464" i="2"/>
  <c r="AA464" i="2"/>
  <c r="Z464" i="2"/>
  <c r="Y464" i="2"/>
  <c r="X464" i="2"/>
  <c r="W464" i="2"/>
  <c r="E461" i="2"/>
  <c r="D461" i="2"/>
  <c r="E460" i="2"/>
  <c r="D460" i="2"/>
  <c r="E459" i="2"/>
  <c r="D459" i="2"/>
  <c r="E458" i="2"/>
  <c r="D458" i="2"/>
  <c r="E457" i="2"/>
  <c r="D457" i="2"/>
  <c r="E456" i="2"/>
  <c r="D456" i="2"/>
  <c r="E455" i="2"/>
  <c r="D455" i="2"/>
  <c r="DE445" i="2"/>
  <c r="DC445" i="2"/>
  <c r="H445" i="2"/>
  <c r="I445" i="2" s="1"/>
  <c r="N573" i="15" s="1"/>
  <c r="U573" i="15" s="1"/>
  <c r="T573" i="15" s="1"/>
  <c r="F445" i="2"/>
  <c r="H573" i="15" s="1"/>
  <c r="AM573" i="15" s="1"/>
  <c r="DE444" i="2"/>
  <c r="DC444" i="2"/>
  <c r="H444" i="2"/>
  <c r="I444" i="2" s="1"/>
  <c r="N572" i="15" s="1"/>
  <c r="U572" i="15" s="1"/>
  <c r="T572" i="15" s="1"/>
  <c r="F444" i="2"/>
  <c r="H572" i="15" s="1"/>
  <c r="AM572" i="15" s="1"/>
  <c r="DE443" i="2"/>
  <c r="DC443" i="2"/>
  <c r="H443" i="2"/>
  <c r="F443" i="2"/>
  <c r="H571" i="15" s="1"/>
  <c r="AM571" i="15" s="1"/>
  <c r="DE442" i="2"/>
  <c r="DC442" i="2"/>
  <c r="H442" i="2"/>
  <c r="F442" i="2"/>
  <c r="H570" i="15" s="1"/>
  <c r="AM570" i="15" s="1"/>
  <c r="DE441" i="2"/>
  <c r="DC441" i="2"/>
  <c r="H441" i="2"/>
  <c r="F441" i="2"/>
  <c r="H569" i="15" s="1"/>
  <c r="AM569" i="15" s="1"/>
  <c r="DE440" i="2"/>
  <c r="DC440" i="2"/>
  <c r="H440" i="2"/>
  <c r="F440" i="2"/>
  <c r="H568" i="15" s="1"/>
  <c r="AM568" i="15" s="1"/>
  <c r="DE439" i="2"/>
  <c r="DC439" i="2"/>
  <c r="H439" i="2"/>
  <c r="F439" i="2"/>
  <c r="H567" i="15" s="1"/>
  <c r="AM567" i="15" s="1"/>
  <c r="DE438" i="2"/>
  <c r="DD438" i="2"/>
  <c r="DC438" i="2"/>
  <c r="DB438" i="2"/>
  <c r="BE438" i="2"/>
  <c r="BD438" i="2"/>
  <c r="BC438" i="2"/>
  <c r="BB438" i="2"/>
  <c r="BA438" i="2"/>
  <c r="AZ438" i="2"/>
  <c r="AY438" i="2"/>
  <c r="AX438" i="2"/>
  <c r="AW438" i="2"/>
  <c r="AS438" i="2"/>
  <c r="AR438" i="2"/>
  <c r="AQ438" i="2"/>
  <c r="AP438" i="2"/>
  <c r="AO438" i="2"/>
  <c r="AN438" i="2"/>
  <c r="AM438" i="2"/>
  <c r="AL438" i="2"/>
  <c r="AK438" i="2"/>
  <c r="AG438" i="2"/>
  <c r="AF438" i="2"/>
  <c r="AE438" i="2"/>
  <c r="AD438" i="2"/>
  <c r="AC438" i="2"/>
  <c r="AB438" i="2"/>
  <c r="AA438" i="2"/>
  <c r="Z438" i="2"/>
  <c r="Y438" i="2"/>
  <c r="X438" i="2"/>
  <c r="W438" i="2"/>
  <c r="V436" i="2"/>
  <c r="E433" i="2"/>
  <c r="D433" i="2"/>
  <c r="E432" i="2"/>
  <c r="D432" i="2"/>
  <c r="E431" i="2"/>
  <c r="D431" i="2"/>
  <c r="E430" i="2"/>
  <c r="D430" i="2"/>
  <c r="E429" i="2"/>
  <c r="D429" i="2"/>
  <c r="DE419" i="2"/>
  <c r="DC419" i="2"/>
  <c r="H419" i="2"/>
  <c r="F419" i="2"/>
  <c r="H566" i="15" s="1"/>
  <c r="AM566" i="15" s="1"/>
  <c r="DE418" i="2"/>
  <c r="DC418" i="2"/>
  <c r="H418" i="2"/>
  <c r="F418" i="2"/>
  <c r="H565" i="15" s="1"/>
  <c r="AM565" i="15" s="1"/>
  <c r="DE417" i="2"/>
  <c r="DC417" i="2"/>
  <c r="H417" i="2"/>
  <c r="F417" i="2"/>
  <c r="H564" i="15" s="1"/>
  <c r="AM564" i="15" s="1"/>
  <c r="DE416" i="2"/>
  <c r="DC416" i="2"/>
  <c r="H416" i="2"/>
  <c r="F416" i="2"/>
  <c r="H563" i="15" s="1"/>
  <c r="AM563" i="15" s="1"/>
  <c r="DE415" i="2"/>
  <c r="DC415" i="2"/>
  <c r="H415" i="2"/>
  <c r="F415" i="2"/>
  <c r="H562" i="15" s="1"/>
  <c r="AM562" i="15" s="1"/>
  <c r="DE414" i="2"/>
  <c r="DD414" i="2"/>
  <c r="DC414" i="2"/>
  <c r="DB414" i="2"/>
  <c r="BE414" i="2"/>
  <c r="BD414" i="2"/>
  <c r="BC414" i="2"/>
  <c r="BB414" i="2"/>
  <c r="BA414" i="2"/>
  <c r="AZ414" i="2"/>
  <c r="AY414" i="2"/>
  <c r="AX414" i="2"/>
  <c r="AW414" i="2"/>
  <c r="AS414" i="2"/>
  <c r="AR414" i="2"/>
  <c r="AQ414" i="2"/>
  <c r="AP414" i="2"/>
  <c r="AO414" i="2"/>
  <c r="AN414" i="2"/>
  <c r="AM414" i="2"/>
  <c r="AL414" i="2"/>
  <c r="AK414" i="2"/>
  <c r="AG414" i="2"/>
  <c r="AF414" i="2"/>
  <c r="AE414" i="2"/>
  <c r="AD414" i="2"/>
  <c r="AC414" i="2"/>
  <c r="AB414" i="2"/>
  <c r="AA414" i="2"/>
  <c r="Z414" i="2"/>
  <c r="Y414" i="2"/>
  <c r="X414" i="2"/>
  <c r="W414" i="2"/>
  <c r="E411" i="2"/>
  <c r="D411" i="2"/>
  <c r="E410" i="2"/>
  <c r="D410" i="2"/>
  <c r="E409" i="2"/>
  <c r="D409" i="2"/>
  <c r="E408" i="2"/>
  <c r="D408" i="2"/>
  <c r="DE398" i="2"/>
  <c r="DC398" i="2"/>
  <c r="H398" i="2"/>
  <c r="F398" i="2"/>
  <c r="H561" i="15" s="1"/>
  <c r="AM561" i="15" s="1"/>
  <c r="DE397" i="2"/>
  <c r="DC397" i="2"/>
  <c r="H397" i="2"/>
  <c r="F397" i="2"/>
  <c r="H560" i="15" s="1"/>
  <c r="AM560" i="15" s="1"/>
  <c r="DE396" i="2"/>
  <c r="DC396" i="2"/>
  <c r="H396" i="2"/>
  <c r="F396" i="2"/>
  <c r="H559" i="15" s="1"/>
  <c r="AM559" i="15" s="1"/>
  <c r="DE395" i="2"/>
  <c r="DC395" i="2"/>
  <c r="H395" i="2"/>
  <c r="F395" i="2"/>
  <c r="H558" i="15" s="1"/>
  <c r="AM558" i="15" s="1"/>
  <c r="DE394" i="2"/>
  <c r="DD394" i="2"/>
  <c r="DC394" i="2"/>
  <c r="DB394" i="2"/>
  <c r="BE394" i="2"/>
  <c r="BD394" i="2"/>
  <c r="BC394" i="2"/>
  <c r="BB394" i="2"/>
  <c r="BA394" i="2"/>
  <c r="AZ394" i="2"/>
  <c r="AY394" i="2"/>
  <c r="AX394" i="2"/>
  <c r="AW394" i="2"/>
  <c r="AS394" i="2"/>
  <c r="AR394" i="2"/>
  <c r="AQ394" i="2"/>
  <c r="AP394" i="2"/>
  <c r="AO394" i="2"/>
  <c r="AN394" i="2"/>
  <c r="AM394" i="2"/>
  <c r="AL394" i="2"/>
  <c r="AK394" i="2"/>
  <c r="AG394" i="2"/>
  <c r="AF394" i="2"/>
  <c r="AE394" i="2"/>
  <c r="AD394" i="2"/>
  <c r="AC394" i="2"/>
  <c r="AB394" i="2"/>
  <c r="AA394" i="2"/>
  <c r="Z394" i="2"/>
  <c r="Y394" i="2"/>
  <c r="X394" i="2"/>
  <c r="W394" i="2"/>
  <c r="V392" i="2"/>
  <c r="G389" i="2"/>
  <c r="E389" i="2"/>
  <c r="D389" i="2"/>
  <c r="DE379" i="2"/>
  <c r="DC379" i="2"/>
  <c r="AU379" i="2"/>
  <c r="V379" i="2"/>
  <c r="H379" i="2"/>
  <c r="F379" i="2"/>
  <c r="J557" i="15" s="1"/>
  <c r="H557" i="15" s="1"/>
  <c r="AM557" i="15" s="1"/>
  <c r="DE378" i="2"/>
  <c r="DD378" i="2"/>
  <c r="DC378" i="2"/>
  <c r="DB378" i="2"/>
  <c r="BE378" i="2"/>
  <c r="BD378" i="2"/>
  <c r="BC378" i="2"/>
  <c r="BB378" i="2"/>
  <c r="BA378" i="2"/>
  <c r="AZ378" i="2"/>
  <c r="AY378" i="2"/>
  <c r="AX378" i="2"/>
  <c r="AW378" i="2"/>
  <c r="AS378" i="2"/>
  <c r="AR378" i="2"/>
  <c r="AQ378" i="2"/>
  <c r="AP378" i="2"/>
  <c r="AO378" i="2"/>
  <c r="AN378" i="2"/>
  <c r="AM378" i="2"/>
  <c r="AL378" i="2"/>
  <c r="AK378" i="2"/>
  <c r="AG378" i="2"/>
  <c r="AF378" i="2"/>
  <c r="AE378" i="2"/>
  <c r="AD378" i="2"/>
  <c r="AC378" i="2"/>
  <c r="AB378" i="2"/>
  <c r="AA378" i="2"/>
  <c r="Z378" i="2"/>
  <c r="Y378" i="2"/>
  <c r="X378" i="2"/>
  <c r="W378" i="2"/>
  <c r="E375" i="2"/>
  <c r="D375" i="2"/>
  <c r="E374" i="2"/>
  <c r="D374" i="2"/>
  <c r="E373" i="2"/>
  <c r="D373" i="2"/>
  <c r="E372" i="2"/>
  <c r="D372" i="2"/>
  <c r="E371" i="2"/>
  <c r="D371" i="2"/>
  <c r="E370" i="2"/>
  <c r="D370" i="2"/>
  <c r="DE360" i="2"/>
  <c r="DC360" i="2"/>
  <c r="G360" i="2"/>
  <c r="K556" i="15" s="1"/>
  <c r="F360" i="2"/>
  <c r="DE359" i="2"/>
  <c r="DC359" i="2"/>
  <c r="G359" i="2"/>
  <c r="K555" i="15" s="1"/>
  <c r="F359" i="2"/>
  <c r="DE358" i="2"/>
  <c r="DC358" i="2"/>
  <c r="G358" i="2"/>
  <c r="K554" i="15" s="1"/>
  <c r="F358" i="2"/>
  <c r="J554" i="15" s="1"/>
  <c r="DE357" i="2"/>
  <c r="DC357" i="2"/>
  <c r="G357" i="2"/>
  <c r="K553" i="15" s="1"/>
  <c r="F357" i="2"/>
  <c r="J553" i="15" s="1"/>
  <c r="DE356" i="2"/>
  <c r="DC356" i="2"/>
  <c r="G356" i="2"/>
  <c r="K552" i="15" s="1"/>
  <c r="F356" i="2"/>
  <c r="J552" i="15" s="1"/>
  <c r="DE355" i="2"/>
  <c r="DC355" i="2"/>
  <c r="BS355" i="2"/>
  <c r="BS356" i="2" s="1"/>
  <c r="BS357" i="2" s="1"/>
  <c r="BS358" i="2" s="1"/>
  <c r="BS359" i="2" s="1"/>
  <c r="BS360" i="2" s="1"/>
  <c r="AU355" i="2"/>
  <c r="AU356" i="2" s="1"/>
  <c r="AU357" i="2" s="1"/>
  <c r="AU358" i="2" s="1"/>
  <c r="AU359" i="2" s="1"/>
  <c r="AU360" i="2" s="1"/>
  <c r="AI355" i="2"/>
  <c r="AI356" i="2" s="1"/>
  <c r="AI357" i="2" s="1"/>
  <c r="AI358" i="2" s="1"/>
  <c r="AI359" i="2" s="1"/>
  <c r="AI360" i="2" s="1"/>
  <c r="V355" i="2"/>
  <c r="V356" i="2" s="1"/>
  <c r="V357" i="2" s="1"/>
  <c r="V358" i="2" s="1"/>
  <c r="V359" i="2" s="1"/>
  <c r="V360" i="2" s="1"/>
  <c r="G355" i="2"/>
  <c r="K551" i="15" s="1"/>
  <c r="F355" i="2"/>
  <c r="J551" i="15" s="1"/>
  <c r="DE354" i="2"/>
  <c r="DD354" i="2"/>
  <c r="DC354" i="2"/>
  <c r="DB354" i="2"/>
  <c r="CC354" i="2"/>
  <c r="CB354" i="2"/>
  <c r="CA354" i="2"/>
  <c r="BZ354" i="2"/>
  <c r="BY354" i="2"/>
  <c r="BX354" i="2"/>
  <c r="BW354" i="2"/>
  <c r="BV354" i="2"/>
  <c r="BU354" i="2"/>
  <c r="BQ354" i="2"/>
  <c r="BP354" i="2"/>
  <c r="BO354" i="2"/>
  <c r="BN354" i="2"/>
  <c r="BM354" i="2"/>
  <c r="BL354" i="2"/>
  <c r="BK354" i="2"/>
  <c r="BJ354" i="2"/>
  <c r="BI354" i="2"/>
  <c r="BE354" i="2"/>
  <c r="BD354" i="2"/>
  <c r="BC354" i="2"/>
  <c r="BB354" i="2"/>
  <c r="BA354" i="2"/>
  <c r="AZ354" i="2"/>
  <c r="AY354" i="2"/>
  <c r="AX354" i="2"/>
  <c r="AW354" i="2"/>
  <c r="AS354" i="2"/>
  <c r="AR354" i="2"/>
  <c r="AQ354" i="2"/>
  <c r="AP354" i="2"/>
  <c r="AO354" i="2"/>
  <c r="AN354" i="2"/>
  <c r="AM354" i="2"/>
  <c r="AL354" i="2"/>
  <c r="AK354" i="2"/>
  <c r="AG354" i="2"/>
  <c r="AF354" i="2"/>
  <c r="AE354" i="2"/>
  <c r="AD354" i="2"/>
  <c r="AC354" i="2"/>
  <c r="AB354" i="2"/>
  <c r="AA354" i="2"/>
  <c r="Z354" i="2"/>
  <c r="Y354" i="2"/>
  <c r="X354" i="2"/>
  <c r="W354" i="2"/>
  <c r="E351" i="2"/>
  <c r="D351" i="2"/>
  <c r="E350" i="2"/>
  <c r="D350" i="2"/>
  <c r="E349" i="2"/>
  <c r="D349" i="2"/>
  <c r="E348" i="2"/>
  <c r="D348" i="2"/>
  <c r="E347" i="2"/>
  <c r="D347" i="2"/>
  <c r="DE337" i="2"/>
  <c r="DC337" i="2"/>
  <c r="H337" i="2"/>
  <c r="F337" i="2"/>
  <c r="J550" i="15" s="1"/>
  <c r="H550" i="15" s="1"/>
  <c r="AM550" i="15" s="1"/>
  <c r="DE336" i="2"/>
  <c r="DC336" i="2"/>
  <c r="H336" i="2"/>
  <c r="F336" i="2"/>
  <c r="J549" i="15" s="1"/>
  <c r="H549" i="15" s="1"/>
  <c r="AM549" i="15" s="1"/>
  <c r="DE335" i="2"/>
  <c r="DC335" i="2"/>
  <c r="H335" i="2"/>
  <c r="F335" i="2"/>
  <c r="J548" i="15" s="1"/>
  <c r="H548" i="15" s="1"/>
  <c r="AM548" i="15" s="1"/>
  <c r="DE334" i="2"/>
  <c r="DC334" i="2"/>
  <c r="H334" i="2"/>
  <c r="F334" i="2"/>
  <c r="J547" i="15" s="1"/>
  <c r="H547" i="15" s="1"/>
  <c r="AM547" i="15" s="1"/>
  <c r="DE333" i="2"/>
  <c r="DC333" i="2"/>
  <c r="V333" i="2"/>
  <c r="V334" i="2" s="1"/>
  <c r="V335" i="2" s="1"/>
  <c r="V336" i="2" s="1"/>
  <c r="V337" i="2" s="1"/>
  <c r="H333" i="2"/>
  <c r="F333" i="2"/>
  <c r="J546" i="15" s="1"/>
  <c r="H546" i="15" s="1"/>
  <c r="AM546" i="15" s="1"/>
  <c r="DE332" i="2"/>
  <c r="DD332" i="2"/>
  <c r="DC332" i="2"/>
  <c r="DB332" i="2"/>
  <c r="BE332" i="2"/>
  <c r="BD332" i="2"/>
  <c r="BC332" i="2"/>
  <c r="BB332" i="2"/>
  <c r="BA332" i="2"/>
  <c r="AZ332" i="2"/>
  <c r="AY332" i="2"/>
  <c r="AX332" i="2"/>
  <c r="AW332" i="2"/>
  <c r="AS332" i="2"/>
  <c r="AR332" i="2"/>
  <c r="AQ332" i="2"/>
  <c r="AP332" i="2"/>
  <c r="AO332" i="2"/>
  <c r="AN332" i="2"/>
  <c r="AM332" i="2"/>
  <c r="AL332" i="2"/>
  <c r="AK332" i="2"/>
  <c r="AG332" i="2"/>
  <c r="AF332" i="2"/>
  <c r="AE332" i="2"/>
  <c r="AD332" i="2"/>
  <c r="AC332" i="2"/>
  <c r="AB332" i="2"/>
  <c r="AA332" i="2"/>
  <c r="Z332" i="2"/>
  <c r="Y332" i="2"/>
  <c r="X332" i="2"/>
  <c r="W332" i="2"/>
  <c r="E329" i="2"/>
  <c r="D329" i="2"/>
  <c r="AU303" i="2"/>
  <c r="V303" i="2"/>
  <c r="H303" i="2"/>
  <c r="F303" i="2"/>
  <c r="H545" i="15" s="1"/>
  <c r="AM545" i="15" s="1"/>
  <c r="BE302" i="2"/>
  <c r="BD302" i="2"/>
  <c r="BC302" i="2"/>
  <c r="BB302" i="2"/>
  <c r="BA302" i="2"/>
  <c r="AZ302" i="2"/>
  <c r="AY302" i="2"/>
  <c r="AX302" i="2"/>
  <c r="AW302" i="2"/>
  <c r="AS302" i="2"/>
  <c r="AR302" i="2"/>
  <c r="AQ302" i="2"/>
  <c r="AP302" i="2"/>
  <c r="AO302" i="2"/>
  <c r="AN302" i="2"/>
  <c r="AM302" i="2"/>
  <c r="AL302" i="2"/>
  <c r="AK302" i="2"/>
  <c r="AG302" i="2"/>
  <c r="AF302" i="2"/>
  <c r="AE302" i="2"/>
  <c r="AD302" i="2"/>
  <c r="AC302" i="2"/>
  <c r="AB302" i="2"/>
  <c r="AA302" i="2"/>
  <c r="Z302" i="2"/>
  <c r="Y302" i="2"/>
  <c r="X302" i="2"/>
  <c r="W302" i="2"/>
  <c r="E299" i="2"/>
  <c r="D299" i="2"/>
  <c r="E298" i="2"/>
  <c r="D298" i="2"/>
  <c r="DC288" i="2"/>
  <c r="AW288" i="2"/>
  <c r="AV288" i="2"/>
  <c r="K288" i="2"/>
  <c r="H288" i="2"/>
  <c r="F288" i="2"/>
  <c r="H544" i="15" s="1"/>
  <c r="AM544" i="15" s="1"/>
  <c r="DE287" i="2"/>
  <c r="DC287" i="2"/>
  <c r="AU287" i="2"/>
  <c r="AU288" i="2" s="1"/>
  <c r="V287" i="2"/>
  <c r="V288" i="2" s="1"/>
  <c r="H287" i="2"/>
  <c r="F287" i="2"/>
  <c r="H543" i="15" s="1"/>
  <c r="AM543" i="15" s="1"/>
  <c r="DE286" i="2"/>
  <c r="DD286" i="2"/>
  <c r="DC286" i="2"/>
  <c r="DB286" i="2"/>
  <c r="BE286" i="2"/>
  <c r="BD286" i="2"/>
  <c r="BC286" i="2"/>
  <c r="BB286" i="2"/>
  <c r="BA286" i="2"/>
  <c r="AZ286" i="2"/>
  <c r="AY286" i="2"/>
  <c r="AX286" i="2"/>
  <c r="AW286" i="2"/>
  <c r="AS286" i="2"/>
  <c r="AR286" i="2"/>
  <c r="AQ286" i="2"/>
  <c r="AP286" i="2"/>
  <c r="AO286" i="2"/>
  <c r="AN286" i="2"/>
  <c r="AM286" i="2"/>
  <c r="AL286" i="2"/>
  <c r="AK286" i="2"/>
  <c r="AG286" i="2"/>
  <c r="AF286" i="2"/>
  <c r="AE286" i="2"/>
  <c r="AD286" i="2"/>
  <c r="AC286" i="2"/>
  <c r="AB286" i="2"/>
  <c r="AA286" i="2"/>
  <c r="Z286" i="2"/>
  <c r="Y286" i="2"/>
  <c r="X286" i="2"/>
  <c r="W286" i="2"/>
  <c r="E283" i="2"/>
  <c r="D283" i="2"/>
  <c r="DE273" i="2"/>
  <c r="DC273" i="2"/>
  <c r="DD273" i="2" s="1"/>
  <c r="AD542" i="15" s="1"/>
  <c r="AB542" i="15" s="1"/>
  <c r="BS273" i="2"/>
  <c r="AU273" i="2"/>
  <c r="AI273" i="2"/>
  <c r="V273" i="2"/>
  <c r="G273" i="2"/>
  <c r="K542" i="15" s="1"/>
  <c r="F273" i="2"/>
  <c r="DE272" i="2"/>
  <c r="DD272" i="2"/>
  <c r="DC272" i="2"/>
  <c r="DB272" i="2"/>
  <c r="CC272" i="2"/>
  <c r="CB272" i="2"/>
  <c r="CA272" i="2"/>
  <c r="BZ272" i="2"/>
  <c r="BY272" i="2"/>
  <c r="BX272" i="2"/>
  <c r="BW272" i="2"/>
  <c r="BV272" i="2"/>
  <c r="BU272" i="2"/>
  <c r="BQ272" i="2"/>
  <c r="BP272" i="2"/>
  <c r="BO272" i="2"/>
  <c r="BN272" i="2"/>
  <c r="BM272" i="2"/>
  <c r="BL272" i="2"/>
  <c r="BK272" i="2"/>
  <c r="BJ272" i="2"/>
  <c r="BI272" i="2"/>
  <c r="BE272" i="2"/>
  <c r="BD272" i="2"/>
  <c r="BC272" i="2"/>
  <c r="BB272" i="2"/>
  <c r="BA272" i="2"/>
  <c r="AZ272" i="2"/>
  <c r="AY272" i="2"/>
  <c r="AX272" i="2"/>
  <c r="AW272" i="2"/>
  <c r="AS272" i="2"/>
  <c r="AR272" i="2"/>
  <c r="AQ272" i="2"/>
  <c r="AP272" i="2"/>
  <c r="AO272" i="2"/>
  <c r="AN272" i="2"/>
  <c r="AM272" i="2"/>
  <c r="AL272" i="2"/>
  <c r="AK272" i="2"/>
  <c r="AG272" i="2"/>
  <c r="AF272" i="2"/>
  <c r="AE272" i="2"/>
  <c r="AD272" i="2"/>
  <c r="AC272" i="2"/>
  <c r="AB272" i="2"/>
  <c r="AA272" i="2"/>
  <c r="Z272" i="2"/>
  <c r="Y272" i="2"/>
  <c r="X272" i="2"/>
  <c r="W272" i="2"/>
  <c r="V270" i="2"/>
  <c r="I267" i="2"/>
  <c r="H267" i="2"/>
  <c r="E267" i="2"/>
  <c r="D267" i="2"/>
  <c r="I266" i="2"/>
  <c r="H266" i="2"/>
  <c r="E266" i="2"/>
  <c r="D266" i="2"/>
  <c r="I265" i="2"/>
  <c r="H265" i="2"/>
  <c r="E265" i="2"/>
  <c r="D265" i="2"/>
  <c r="DE255" i="2"/>
  <c r="DC255" i="2"/>
  <c r="H255" i="2"/>
  <c r="DE254" i="2"/>
  <c r="DC254" i="2"/>
  <c r="H254" i="2"/>
  <c r="DE253" i="2"/>
  <c r="DC253" i="2"/>
  <c r="H253" i="2"/>
  <c r="DE252" i="2"/>
  <c r="DD252" i="2"/>
  <c r="DC252" i="2"/>
  <c r="DB252" i="2"/>
  <c r="BE252" i="2"/>
  <c r="BD252" i="2"/>
  <c r="BC252" i="2"/>
  <c r="BB252" i="2"/>
  <c r="BA252" i="2"/>
  <c r="AZ252" i="2"/>
  <c r="AY252" i="2"/>
  <c r="AX252" i="2"/>
  <c r="AW252" i="2"/>
  <c r="AS252" i="2"/>
  <c r="AR252" i="2"/>
  <c r="AQ252" i="2"/>
  <c r="AP252" i="2"/>
  <c r="AO252" i="2"/>
  <c r="AN252" i="2"/>
  <c r="AM252" i="2"/>
  <c r="AL252" i="2"/>
  <c r="AK252" i="2"/>
  <c r="AG252" i="2"/>
  <c r="AF252" i="2"/>
  <c r="AE252" i="2"/>
  <c r="AD252" i="2"/>
  <c r="AC252" i="2"/>
  <c r="AB252" i="2"/>
  <c r="AA252" i="2"/>
  <c r="Z252" i="2"/>
  <c r="Y252" i="2"/>
  <c r="X252" i="2"/>
  <c r="W252" i="2"/>
  <c r="V250" i="2"/>
  <c r="G247" i="2"/>
  <c r="F247" i="2"/>
  <c r="F234" i="2" s="1"/>
  <c r="H538" i="15" s="1"/>
  <c r="AM538" i="15" s="1"/>
  <c r="E247" i="2"/>
  <c r="D247" i="2"/>
  <c r="G246" i="2"/>
  <c r="F246" i="2"/>
  <c r="F233" i="2" s="1"/>
  <c r="H537" i="15" s="1"/>
  <c r="AM537" i="15" s="1"/>
  <c r="E246" i="2"/>
  <c r="D246" i="2"/>
  <c r="G245" i="2"/>
  <c r="F245" i="2"/>
  <c r="E245" i="2"/>
  <c r="D245" i="2"/>
  <c r="G244" i="2"/>
  <c r="F244" i="2"/>
  <c r="F231" i="2" s="1"/>
  <c r="E244" i="2"/>
  <c r="D244" i="2"/>
  <c r="DE234" i="2"/>
  <c r="DC234" i="2"/>
  <c r="H234" i="2"/>
  <c r="DE233" i="2"/>
  <c r="DC233" i="2"/>
  <c r="H233" i="2"/>
  <c r="DE232" i="2"/>
  <c r="DC232" i="2"/>
  <c r="H232" i="2"/>
  <c r="DE231" i="2"/>
  <c r="DC231" i="2"/>
  <c r="H231" i="2"/>
  <c r="DE230" i="2"/>
  <c r="DD230" i="2"/>
  <c r="DC230" i="2"/>
  <c r="DB230" i="2"/>
  <c r="BE230" i="2"/>
  <c r="BD230" i="2"/>
  <c r="BC230" i="2"/>
  <c r="BB230" i="2"/>
  <c r="BA230" i="2"/>
  <c r="AZ230" i="2"/>
  <c r="AY230" i="2"/>
  <c r="AX230" i="2"/>
  <c r="AW230" i="2"/>
  <c r="AS230" i="2"/>
  <c r="AR230" i="2"/>
  <c r="AQ230" i="2"/>
  <c r="AP230" i="2"/>
  <c r="AO230" i="2"/>
  <c r="AN230" i="2"/>
  <c r="AM230" i="2"/>
  <c r="AL230" i="2"/>
  <c r="AK230" i="2"/>
  <c r="AG230" i="2"/>
  <c r="AF230" i="2"/>
  <c r="AE230" i="2"/>
  <c r="AD230" i="2"/>
  <c r="AC230" i="2"/>
  <c r="AB230" i="2"/>
  <c r="AA230" i="2"/>
  <c r="Z230" i="2"/>
  <c r="Y230" i="2"/>
  <c r="X230" i="2"/>
  <c r="W230" i="2"/>
  <c r="V228" i="2"/>
  <c r="E225" i="2"/>
  <c r="D225" i="2"/>
  <c r="DE215" i="2"/>
  <c r="DC215" i="2"/>
  <c r="H215" i="2"/>
  <c r="F215" i="2"/>
  <c r="H534" i="15" s="1"/>
  <c r="AM534" i="15" s="1"/>
  <c r="DE214" i="2"/>
  <c r="DD214" i="2"/>
  <c r="DC214" i="2"/>
  <c r="DB214" i="2"/>
  <c r="BE214" i="2"/>
  <c r="BD214" i="2"/>
  <c r="BC214" i="2"/>
  <c r="BB214" i="2"/>
  <c r="BA214" i="2"/>
  <c r="AZ214" i="2"/>
  <c r="AY214" i="2"/>
  <c r="AX214" i="2"/>
  <c r="AW214" i="2"/>
  <c r="AS214" i="2"/>
  <c r="AR214" i="2"/>
  <c r="AQ214" i="2"/>
  <c r="AP214" i="2"/>
  <c r="AO214" i="2"/>
  <c r="AN214" i="2"/>
  <c r="AM214" i="2"/>
  <c r="AL214" i="2"/>
  <c r="AK214" i="2"/>
  <c r="AG214" i="2"/>
  <c r="AF214" i="2"/>
  <c r="AE214" i="2"/>
  <c r="AD214" i="2"/>
  <c r="AC214" i="2"/>
  <c r="AB214" i="2"/>
  <c r="AA214" i="2"/>
  <c r="Z214" i="2"/>
  <c r="Y214" i="2"/>
  <c r="X214" i="2"/>
  <c r="W214" i="2"/>
  <c r="E211" i="2"/>
  <c r="D211" i="2"/>
  <c r="DC201" i="2"/>
  <c r="K201" i="2"/>
  <c r="H201" i="2"/>
  <c r="F201" i="2"/>
  <c r="H533" i="15" s="1"/>
  <c r="AM533" i="15" s="1"/>
  <c r="DE200" i="2"/>
  <c r="DD200" i="2"/>
  <c r="DC200" i="2"/>
  <c r="DB200" i="2"/>
  <c r="BE200" i="2"/>
  <c r="BD200" i="2"/>
  <c r="BC200" i="2"/>
  <c r="BB200" i="2"/>
  <c r="BA200" i="2"/>
  <c r="AZ200" i="2"/>
  <c r="AY200" i="2"/>
  <c r="AX200" i="2"/>
  <c r="AW200" i="2"/>
  <c r="AS200" i="2"/>
  <c r="AR200" i="2"/>
  <c r="AQ200" i="2"/>
  <c r="AP200" i="2"/>
  <c r="AO200" i="2"/>
  <c r="AN200" i="2"/>
  <c r="AM200" i="2"/>
  <c r="AL200" i="2"/>
  <c r="AK200" i="2"/>
  <c r="AG200" i="2"/>
  <c r="AF200" i="2"/>
  <c r="AE200" i="2"/>
  <c r="AD200" i="2"/>
  <c r="AC200" i="2"/>
  <c r="AB200" i="2"/>
  <c r="AA200" i="2"/>
  <c r="Z200" i="2"/>
  <c r="Y200" i="2"/>
  <c r="X200" i="2"/>
  <c r="W200" i="2"/>
  <c r="V198" i="2"/>
  <c r="F195" i="2"/>
  <c r="F184" i="2" s="1"/>
  <c r="H532" i="15" s="1"/>
  <c r="AM532" i="15" s="1"/>
  <c r="E195" i="2"/>
  <c r="D195" i="2"/>
  <c r="F194" i="2"/>
  <c r="F183" i="2" s="1"/>
  <c r="H531" i="15" s="1"/>
  <c r="AM531" i="15" s="1"/>
  <c r="E194" i="2"/>
  <c r="D194" i="2"/>
  <c r="DE184" i="2"/>
  <c r="DC184" i="2"/>
  <c r="H184" i="2"/>
  <c r="DE183" i="2"/>
  <c r="DC183" i="2"/>
  <c r="AU183" i="2"/>
  <c r="AU184" i="2" s="1"/>
  <c r="H183" i="2"/>
  <c r="DE182" i="2"/>
  <c r="DD182" i="2"/>
  <c r="DC182" i="2"/>
  <c r="DB182" i="2"/>
  <c r="BE182" i="2"/>
  <c r="BD182" i="2"/>
  <c r="BC182" i="2"/>
  <c r="BB182" i="2"/>
  <c r="BA182" i="2"/>
  <c r="AZ182" i="2"/>
  <c r="AY182" i="2"/>
  <c r="AX182" i="2"/>
  <c r="AW182" i="2"/>
  <c r="AS182" i="2"/>
  <c r="AR182" i="2"/>
  <c r="AQ182" i="2"/>
  <c r="AP182" i="2"/>
  <c r="AO182" i="2"/>
  <c r="AN182" i="2"/>
  <c r="AM182" i="2"/>
  <c r="AL182" i="2"/>
  <c r="AK182" i="2"/>
  <c r="AG182" i="2"/>
  <c r="AF182" i="2"/>
  <c r="AE182" i="2"/>
  <c r="AD182" i="2"/>
  <c r="AC182" i="2"/>
  <c r="AB182" i="2"/>
  <c r="AA182" i="2"/>
  <c r="Z182" i="2"/>
  <c r="Y182" i="2"/>
  <c r="X182" i="2"/>
  <c r="W182" i="2"/>
  <c r="V180" i="2"/>
  <c r="H177" i="2"/>
  <c r="N177" i="2" s="1"/>
  <c r="E177" i="2"/>
  <c r="D177" i="2"/>
  <c r="H176" i="2"/>
  <c r="N176" i="2" s="1"/>
  <c r="E176" i="2"/>
  <c r="D176" i="2"/>
  <c r="H175" i="2"/>
  <c r="N175" i="2" s="1"/>
  <c r="E175" i="2"/>
  <c r="D175" i="2"/>
  <c r="H174" i="2"/>
  <c r="M174" i="2" s="1"/>
  <c r="E174" i="2"/>
  <c r="D174" i="2"/>
  <c r="H173" i="2"/>
  <c r="N173" i="2" s="1"/>
  <c r="F173" i="2"/>
  <c r="E173" i="2"/>
  <c r="D173" i="2"/>
  <c r="DE163" i="2"/>
  <c r="DC163" i="2"/>
  <c r="H163" i="2"/>
  <c r="DE162" i="2"/>
  <c r="DC162" i="2"/>
  <c r="H162" i="2"/>
  <c r="DE161" i="2"/>
  <c r="DC161" i="2"/>
  <c r="H161" i="2"/>
  <c r="DE160" i="2"/>
  <c r="DC160" i="2"/>
  <c r="H160" i="2"/>
  <c r="DE159" i="2"/>
  <c r="DC159" i="2"/>
  <c r="H159" i="2"/>
  <c r="DE158" i="2"/>
  <c r="DD158" i="2"/>
  <c r="DC158" i="2"/>
  <c r="DB158" i="2"/>
  <c r="BE158" i="2"/>
  <c r="BD158" i="2"/>
  <c r="BC158" i="2"/>
  <c r="BB158" i="2"/>
  <c r="BA158" i="2"/>
  <c r="AZ158" i="2"/>
  <c r="AY158" i="2"/>
  <c r="AX158" i="2"/>
  <c r="AW158" i="2"/>
  <c r="AS158" i="2"/>
  <c r="AR158" i="2"/>
  <c r="AQ158" i="2"/>
  <c r="AP158" i="2"/>
  <c r="AO158" i="2"/>
  <c r="AN158" i="2"/>
  <c r="AM158" i="2"/>
  <c r="AL158" i="2"/>
  <c r="AK158" i="2"/>
  <c r="AG158" i="2"/>
  <c r="AF158" i="2"/>
  <c r="AE158" i="2"/>
  <c r="AD158" i="2"/>
  <c r="AC158" i="2"/>
  <c r="AB158" i="2"/>
  <c r="AA158" i="2"/>
  <c r="Z158" i="2"/>
  <c r="Y158" i="2"/>
  <c r="X158" i="2"/>
  <c r="W158" i="2"/>
  <c r="V156" i="2"/>
  <c r="E153" i="2"/>
  <c r="E152" i="2"/>
  <c r="DE140" i="2"/>
  <c r="DC140" i="2"/>
  <c r="H140" i="2"/>
  <c r="F140" i="2"/>
  <c r="H525" i="15" s="1"/>
  <c r="AM525" i="15" s="1"/>
  <c r="DE139" i="2"/>
  <c r="DC139" i="2"/>
  <c r="AU139" i="2"/>
  <c r="AU140" i="2" s="1"/>
  <c r="V139" i="2"/>
  <c r="V140" i="2" s="1"/>
  <c r="H139" i="2"/>
  <c r="F139" i="2"/>
  <c r="DE138" i="2"/>
  <c r="DD138" i="2"/>
  <c r="DC138" i="2"/>
  <c r="DB138" i="2"/>
  <c r="BE138" i="2"/>
  <c r="BD138" i="2"/>
  <c r="BC138" i="2"/>
  <c r="BB138" i="2"/>
  <c r="BA138" i="2"/>
  <c r="AZ138" i="2"/>
  <c r="AY138" i="2"/>
  <c r="AX138" i="2"/>
  <c r="AW138" i="2"/>
  <c r="AS138" i="2"/>
  <c r="AR138" i="2"/>
  <c r="AQ138" i="2"/>
  <c r="AP138" i="2"/>
  <c r="AO138" i="2"/>
  <c r="AN138" i="2"/>
  <c r="AM138" i="2"/>
  <c r="AL138" i="2"/>
  <c r="AK138" i="2"/>
  <c r="AG138" i="2"/>
  <c r="AF138" i="2"/>
  <c r="AE138" i="2"/>
  <c r="AD138" i="2"/>
  <c r="AC138" i="2"/>
  <c r="AB138" i="2"/>
  <c r="AA138" i="2"/>
  <c r="Z138" i="2"/>
  <c r="Y138" i="2"/>
  <c r="X138" i="2"/>
  <c r="W138" i="2"/>
  <c r="V136" i="2"/>
  <c r="DE110" i="2"/>
  <c r="DC110" i="2"/>
  <c r="H110" i="2"/>
  <c r="F110" i="2"/>
  <c r="H523" i="15" s="1"/>
  <c r="AM523" i="15" s="1"/>
  <c r="DE108" i="2"/>
  <c r="DC108" i="2"/>
  <c r="H108" i="2"/>
  <c r="F108" i="2"/>
  <c r="H522" i="15" s="1"/>
  <c r="AM522" i="15" s="1"/>
  <c r="DE107" i="2"/>
  <c r="DC107" i="2"/>
  <c r="H107" i="2"/>
  <c r="F107" i="2"/>
  <c r="H521" i="15" s="1"/>
  <c r="AM521" i="15" s="1"/>
  <c r="DE106" i="2"/>
  <c r="DC106" i="2"/>
  <c r="H106" i="2"/>
  <c r="F106" i="2"/>
  <c r="H520" i="15" s="1"/>
  <c r="AM520" i="15" s="1"/>
  <c r="DE105" i="2"/>
  <c r="DC105" i="2"/>
  <c r="H105" i="2"/>
  <c r="F105" i="2"/>
  <c r="H519" i="15" s="1"/>
  <c r="AM519" i="15" s="1"/>
  <c r="DE103" i="2"/>
  <c r="DC103" i="2"/>
  <c r="H103" i="2"/>
  <c r="F103" i="2"/>
  <c r="H518" i="15" s="1"/>
  <c r="AM518" i="15" s="1"/>
  <c r="DE102" i="2"/>
  <c r="DC102" i="2"/>
  <c r="H102" i="2"/>
  <c r="I102" i="2" s="1"/>
  <c r="N517" i="15" s="1"/>
  <c r="U517" i="15" s="1"/>
  <c r="T517" i="15" s="1"/>
  <c r="F102" i="2"/>
  <c r="H517" i="15" s="1"/>
  <c r="AM517" i="15" s="1"/>
  <c r="DE101" i="2"/>
  <c r="DC101" i="2"/>
  <c r="H101" i="2"/>
  <c r="F101" i="2"/>
  <c r="H516" i="15" s="1"/>
  <c r="AM516" i="15" s="1"/>
  <c r="DE100" i="2"/>
  <c r="DC100" i="2"/>
  <c r="H100" i="2"/>
  <c r="F100" i="2"/>
  <c r="H515" i="15" s="1"/>
  <c r="AM515" i="15" s="1"/>
  <c r="DE97" i="2"/>
  <c r="DC97" i="2"/>
  <c r="H97" i="2"/>
  <c r="F97" i="2"/>
  <c r="H514" i="15" s="1"/>
  <c r="AM514" i="15" s="1"/>
  <c r="DE95" i="2"/>
  <c r="J95" i="2"/>
  <c r="H95" i="2"/>
  <c r="F95" i="2"/>
  <c r="H513" i="15" s="1"/>
  <c r="AM513" i="15" s="1"/>
  <c r="DE94" i="2"/>
  <c r="J94" i="2"/>
  <c r="H94" i="2"/>
  <c r="F94" i="2"/>
  <c r="H512" i="15" s="1"/>
  <c r="AM512" i="15" s="1"/>
  <c r="DE93" i="2"/>
  <c r="J93" i="2"/>
  <c r="H93" i="2"/>
  <c r="F93" i="2"/>
  <c r="H511" i="15" s="1"/>
  <c r="AM511" i="15" s="1"/>
  <c r="DE92" i="2"/>
  <c r="J92" i="2"/>
  <c r="H92" i="2"/>
  <c r="F92" i="2"/>
  <c r="H510" i="15" s="1"/>
  <c r="AM510" i="15" s="1"/>
  <c r="DE90" i="2"/>
  <c r="J90" i="2"/>
  <c r="H90" i="2"/>
  <c r="F90" i="2"/>
  <c r="H509" i="15" s="1"/>
  <c r="AM509" i="15" s="1"/>
  <c r="DE89" i="2"/>
  <c r="J89" i="2"/>
  <c r="H89" i="2"/>
  <c r="F89" i="2"/>
  <c r="H508" i="15" s="1"/>
  <c r="AM508" i="15" s="1"/>
  <c r="DE88" i="2"/>
  <c r="J88" i="2"/>
  <c r="H88" i="2"/>
  <c r="F88" i="2"/>
  <c r="H507" i="15" s="1"/>
  <c r="AM507" i="15" s="1"/>
  <c r="DE87" i="2"/>
  <c r="DC87" i="2"/>
  <c r="H87" i="2"/>
  <c r="F87" i="2"/>
  <c r="H506" i="15" s="1"/>
  <c r="AM506" i="15" s="1"/>
  <c r="DE86" i="2"/>
  <c r="DD86" i="2"/>
  <c r="DC86" i="2"/>
  <c r="DB86" i="2"/>
  <c r="BE86" i="2"/>
  <c r="BD86" i="2"/>
  <c r="BC86" i="2"/>
  <c r="BB86" i="2"/>
  <c r="BA86" i="2"/>
  <c r="AZ86" i="2"/>
  <c r="AY86" i="2"/>
  <c r="AX86" i="2"/>
  <c r="AW86" i="2"/>
  <c r="AS86" i="2"/>
  <c r="AR86" i="2"/>
  <c r="AQ86" i="2"/>
  <c r="AP86" i="2"/>
  <c r="AO86" i="2"/>
  <c r="AN86" i="2"/>
  <c r="AM86" i="2"/>
  <c r="AL86" i="2"/>
  <c r="AK86" i="2"/>
  <c r="AG86" i="2"/>
  <c r="AF86" i="2"/>
  <c r="AE86" i="2"/>
  <c r="AD86" i="2"/>
  <c r="AC86" i="2"/>
  <c r="AB86" i="2"/>
  <c r="AA86" i="2"/>
  <c r="Z86" i="2"/>
  <c r="Y86" i="2"/>
  <c r="X86" i="2"/>
  <c r="W86" i="2"/>
  <c r="V84" i="2"/>
  <c r="E81" i="2"/>
  <c r="V81" i="2" s="1"/>
  <c r="E80" i="2"/>
  <c r="V80" i="2" s="1"/>
  <c r="E79" i="2"/>
  <c r="V79" i="2" s="1"/>
  <c r="E78" i="2"/>
  <c r="V78" i="2" s="1"/>
  <c r="E77" i="2"/>
  <c r="V77" i="2" s="1"/>
  <c r="BQ76" i="2"/>
  <c r="BP76" i="2"/>
  <c r="BO76" i="2"/>
  <c r="BN76" i="2"/>
  <c r="BM76" i="2"/>
  <c r="BL76" i="2"/>
  <c r="BK76" i="2"/>
  <c r="BJ76" i="2"/>
  <c r="BI76" i="2"/>
  <c r="BH76" i="2"/>
  <c r="BG76" i="2"/>
  <c r="BE76" i="2"/>
  <c r="BD76" i="2"/>
  <c r="BC76" i="2"/>
  <c r="BB76" i="2"/>
  <c r="BA76" i="2"/>
  <c r="AZ76" i="2"/>
  <c r="AY76" i="2"/>
  <c r="AX76" i="2"/>
  <c r="AW76" i="2"/>
  <c r="AV76" i="2"/>
  <c r="AU76" i="2"/>
  <c r="AS76" i="2"/>
  <c r="AR76" i="2"/>
  <c r="AQ76" i="2"/>
  <c r="AP76" i="2"/>
  <c r="AO76" i="2"/>
  <c r="AN76" i="2"/>
  <c r="AM76" i="2"/>
  <c r="AL76" i="2"/>
  <c r="AK76" i="2"/>
  <c r="AJ76" i="2"/>
  <c r="AI76" i="2"/>
  <c r="AG76" i="2"/>
  <c r="AF76" i="2"/>
  <c r="AE76" i="2"/>
  <c r="AD76" i="2"/>
  <c r="AC76" i="2"/>
  <c r="AB76" i="2"/>
  <c r="AA76" i="2"/>
  <c r="Z76" i="2"/>
  <c r="Y76" i="2"/>
  <c r="X76" i="2"/>
  <c r="W76" i="2"/>
  <c r="BQ75" i="2"/>
  <c r="BP75" i="2"/>
  <c r="BO75" i="2"/>
  <c r="BN75" i="2"/>
  <c r="BM75" i="2"/>
  <c r="BL75" i="2"/>
  <c r="BK75" i="2"/>
  <c r="BJ75" i="2"/>
  <c r="BI75" i="2"/>
  <c r="BH75" i="2"/>
  <c r="BG75" i="2"/>
  <c r="BE75" i="2"/>
  <c r="BD75" i="2"/>
  <c r="BC75" i="2"/>
  <c r="BB75" i="2"/>
  <c r="BA75" i="2"/>
  <c r="AZ75" i="2"/>
  <c r="AY75" i="2"/>
  <c r="AX75" i="2"/>
  <c r="AW75" i="2"/>
  <c r="AV75" i="2"/>
  <c r="AU75" i="2"/>
  <c r="AS75" i="2"/>
  <c r="AR75" i="2"/>
  <c r="AQ75" i="2"/>
  <c r="AP75" i="2"/>
  <c r="AO75" i="2"/>
  <c r="AN75" i="2"/>
  <c r="AM75" i="2"/>
  <c r="AL75" i="2"/>
  <c r="AK75" i="2"/>
  <c r="AJ75" i="2"/>
  <c r="AI75" i="2"/>
  <c r="AG75" i="2"/>
  <c r="AF75" i="2"/>
  <c r="AE75" i="2"/>
  <c r="AD75" i="2"/>
  <c r="AC75" i="2"/>
  <c r="AB75" i="2"/>
  <c r="AA75" i="2"/>
  <c r="Z75" i="2"/>
  <c r="Y75" i="2"/>
  <c r="X75" i="2"/>
  <c r="W75" i="2"/>
  <c r="DE65" i="2"/>
  <c r="DC65" i="2"/>
  <c r="H65" i="2"/>
  <c r="F65" i="2"/>
  <c r="H505" i="15" s="1"/>
  <c r="AM505" i="15" s="1"/>
  <c r="DE64" i="2"/>
  <c r="DC64" i="2"/>
  <c r="H64" i="2"/>
  <c r="F64" i="2"/>
  <c r="H504" i="15" s="1"/>
  <c r="AM504" i="15" s="1"/>
  <c r="DE63" i="2"/>
  <c r="DC63" i="2"/>
  <c r="H63" i="2"/>
  <c r="F63" i="2"/>
  <c r="H503" i="15" s="1"/>
  <c r="AM503" i="15" s="1"/>
  <c r="DE62" i="2"/>
  <c r="DC62" i="2"/>
  <c r="H62" i="2"/>
  <c r="F62" i="2"/>
  <c r="H502" i="15" s="1"/>
  <c r="AM502" i="15" s="1"/>
  <c r="DE61" i="2"/>
  <c r="DC61" i="2"/>
  <c r="H61" i="2"/>
  <c r="F61" i="2"/>
  <c r="H501" i="15" s="1"/>
  <c r="AM501" i="15" s="1"/>
  <c r="DE60" i="2"/>
  <c r="DD60" i="2"/>
  <c r="DC60" i="2"/>
  <c r="DB60" i="2"/>
  <c r="AG60" i="2"/>
  <c r="AF60" i="2"/>
  <c r="AE60" i="2"/>
  <c r="AD60" i="2"/>
  <c r="AC60" i="2"/>
  <c r="AB60" i="2"/>
  <c r="AA60" i="2"/>
  <c r="Z60" i="2"/>
  <c r="Y60" i="2"/>
  <c r="X60" i="2"/>
  <c r="W60" i="2"/>
  <c r="E57" i="2"/>
  <c r="V57" i="2" s="1"/>
  <c r="D57" i="2"/>
  <c r="E56" i="2"/>
  <c r="V56" i="2" s="1"/>
  <c r="D56" i="2"/>
  <c r="E55" i="2"/>
  <c r="V55" i="2" s="1"/>
  <c r="D55" i="2"/>
  <c r="E54" i="2"/>
  <c r="V54" i="2" s="1"/>
  <c r="D54" i="2"/>
  <c r="E53" i="2"/>
  <c r="V53" i="2" s="1"/>
  <c r="D53" i="2"/>
  <c r="E52" i="2"/>
  <c r="V52" i="2" s="1"/>
  <c r="D52" i="2"/>
  <c r="E51" i="2"/>
  <c r="V51" i="2" s="1"/>
  <c r="D51" i="2"/>
  <c r="E50" i="2"/>
  <c r="V50" i="2" s="1"/>
  <c r="D50" i="2"/>
  <c r="E49" i="2"/>
  <c r="V49" i="2" s="1"/>
  <c r="D49" i="2"/>
  <c r="E48" i="2"/>
  <c r="V48" i="2" s="1"/>
  <c r="D48" i="2"/>
  <c r="E47" i="2"/>
  <c r="V47" i="2" s="1"/>
  <c r="D47" i="2"/>
  <c r="E46" i="2"/>
  <c r="V46" i="2" s="1"/>
  <c r="D46" i="2"/>
  <c r="E45" i="2"/>
  <c r="V45" i="2" s="1"/>
  <c r="D45" i="2"/>
  <c r="E44" i="2"/>
  <c r="V44" i="2" s="1"/>
  <c r="D44" i="2"/>
  <c r="E43" i="2"/>
  <c r="V43" i="2" s="1"/>
  <c r="D43" i="2"/>
  <c r="E42" i="2"/>
  <c r="V42" i="2" s="1"/>
  <c r="D42" i="2"/>
  <c r="E41" i="2"/>
  <c r="V41" i="2" s="1"/>
  <c r="D41" i="2"/>
  <c r="V40" i="2"/>
  <c r="E40" i="2"/>
  <c r="D40" i="2"/>
  <c r="E39" i="2"/>
  <c r="V39" i="2" s="1"/>
  <c r="D39" i="2"/>
  <c r="CO38" i="2"/>
  <c r="CN38" i="2"/>
  <c r="CM38" i="2"/>
  <c r="CL38" i="2"/>
  <c r="CK38" i="2"/>
  <c r="CJ38" i="2"/>
  <c r="CI38" i="2"/>
  <c r="CH38" i="2"/>
  <c r="CG38" i="2"/>
  <c r="CF38" i="2"/>
  <c r="CE38" i="2"/>
  <c r="CC38" i="2"/>
  <c r="CB38" i="2"/>
  <c r="CA38" i="2"/>
  <c r="BZ38" i="2"/>
  <c r="BY38" i="2"/>
  <c r="BX38" i="2"/>
  <c r="BW38" i="2"/>
  <c r="BV38" i="2"/>
  <c r="BU38" i="2"/>
  <c r="BT38" i="2"/>
  <c r="BS38" i="2"/>
  <c r="BQ38" i="2"/>
  <c r="BP38" i="2"/>
  <c r="BO38" i="2"/>
  <c r="BN38" i="2"/>
  <c r="BM38" i="2"/>
  <c r="BL38" i="2"/>
  <c r="BK38" i="2"/>
  <c r="BJ38" i="2"/>
  <c r="BI38" i="2"/>
  <c r="BH38" i="2"/>
  <c r="BG38" i="2"/>
  <c r="BE38" i="2"/>
  <c r="BD38" i="2"/>
  <c r="BC38" i="2"/>
  <c r="BB38" i="2"/>
  <c r="BA38" i="2"/>
  <c r="AZ38" i="2"/>
  <c r="AY38" i="2"/>
  <c r="AX38" i="2"/>
  <c r="AW38" i="2"/>
  <c r="AV38" i="2"/>
  <c r="AU38" i="2"/>
  <c r="AS38" i="2"/>
  <c r="AR38" i="2"/>
  <c r="AQ38" i="2"/>
  <c r="AP38" i="2"/>
  <c r="AO38" i="2"/>
  <c r="AN38" i="2"/>
  <c r="AM38" i="2"/>
  <c r="AL38" i="2"/>
  <c r="AK38" i="2"/>
  <c r="AJ38" i="2"/>
  <c r="AI38" i="2"/>
  <c r="AG38" i="2"/>
  <c r="AF38" i="2"/>
  <c r="AE38" i="2"/>
  <c r="AD38" i="2"/>
  <c r="AC38" i="2"/>
  <c r="AB38" i="2"/>
  <c r="AA38" i="2"/>
  <c r="Z38" i="2"/>
  <c r="Y38" i="2"/>
  <c r="X38" i="2"/>
  <c r="W38" i="2"/>
  <c r="CO37" i="2"/>
  <c r="CN37" i="2"/>
  <c r="CM37" i="2"/>
  <c r="CL37" i="2"/>
  <c r="CK37" i="2"/>
  <c r="CJ37" i="2"/>
  <c r="CI37" i="2"/>
  <c r="CH37" i="2"/>
  <c r="CG37" i="2"/>
  <c r="CF37" i="2"/>
  <c r="CE37" i="2"/>
  <c r="CC37" i="2"/>
  <c r="CB37" i="2"/>
  <c r="CA37" i="2"/>
  <c r="BZ37" i="2"/>
  <c r="BY37" i="2"/>
  <c r="BX37" i="2"/>
  <c r="BW37" i="2"/>
  <c r="BV37" i="2"/>
  <c r="BU37" i="2"/>
  <c r="BT37" i="2"/>
  <c r="BS37" i="2"/>
  <c r="BQ37" i="2"/>
  <c r="BP37" i="2"/>
  <c r="BO37" i="2"/>
  <c r="BN37" i="2"/>
  <c r="BM37" i="2"/>
  <c r="BL37" i="2"/>
  <c r="BK37" i="2"/>
  <c r="BJ37" i="2"/>
  <c r="BI37" i="2"/>
  <c r="BH37" i="2"/>
  <c r="BG37" i="2"/>
  <c r="BE37" i="2"/>
  <c r="BD37" i="2"/>
  <c r="BC37" i="2"/>
  <c r="BB37" i="2"/>
  <c r="BA37" i="2"/>
  <c r="AZ37" i="2"/>
  <c r="AY37" i="2"/>
  <c r="AX37" i="2"/>
  <c r="AW37" i="2"/>
  <c r="AV37" i="2"/>
  <c r="AU37" i="2"/>
  <c r="AS37" i="2"/>
  <c r="AR37" i="2"/>
  <c r="AQ37" i="2"/>
  <c r="AP37" i="2"/>
  <c r="AO37" i="2"/>
  <c r="AN37" i="2"/>
  <c r="AM37" i="2"/>
  <c r="AL37" i="2"/>
  <c r="AK37" i="2"/>
  <c r="AJ37" i="2"/>
  <c r="AI37" i="2"/>
  <c r="AG37" i="2"/>
  <c r="AF37" i="2"/>
  <c r="AE37" i="2"/>
  <c r="AD37" i="2"/>
  <c r="AC37" i="2"/>
  <c r="AB37" i="2"/>
  <c r="AA37" i="2"/>
  <c r="Z37" i="2"/>
  <c r="Y37" i="2"/>
  <c r="X37" i="2"/>
  <c r="W37" i="2"/>
  <c r="DE27" i="2"/>
  <c r="J27" i="2"/>
  <c r="H27" i="2"/>
  <c r="I27" i="2" s="1"/>
  <c r="N500" i="15" s="1"/>
  <c r="F27" i="2"/>
  <c r="H500" i="15" s="1"/>
  <c r="AM500" i="15" s="1"/>
  <c r="DE26" i="2"/>
  <c r="J26" i="2"/>
  <c r="H26" i="2"/>
  <c r="F26" i="2"/>
  <c r="H499" i="15" s="1"/>
  <c r="AM499" i="15" s="1"/>
  <c r="DE25" i="2"/>
  <c r="J25" i="2"/>
  <c r="H25" i="2"/>
  <c r="I25" i="2" s="1"/>
  <c r="N498" i="15" s="1"/>
  <c r="F25" i="2"/>
  <c r="H498" i="15" s="1"/>
  <c r="AM498" i="15" s="1"/>
  <c r="DE24" i="2"/>
  <c r="J24" i="2"/>
  <c r="H24" i="2"/>
  <c r="I24" i="2" s="1"/>
  <c r="N497" i="15" s="1"/>
  <c r="F24" i="2"/>
  <c r="H497" i="15" s="1"/>
  <c r="AM497" i="15" s="1"/>
  <c r="DE23" i="2"/>
  <c r="DC23" i="2"/>
  <c r="DD23" i="2" s="1"/>
  <c r="AD496" i="15" s="1"/>
  <c r="AB496" i="15" s="1"/>
  <c r="H23" i="2"/>
  <c r="I23" i="2" s="1"/>
  <c r="N496" i="15" s="1"/>
  <c r="V496" i="15" s="1"/>
  <c r="U496" i="15" s="1"/>
  <c r="T496" i="15" s="1"/>
  <c r="F23" i="2"/>
  <c r="H496" i="15" s="1"/>
  <c r="AM496" i="15" s="1"/>
  <c r="DE22" i="2"/>
  <c r="J22" i="2"/>
  <c r="H22" i="2"/>
  <c r="F22" i="2"/>
  <c r="H495" i="15" s="1"/>
  <c r="AM495" i="15" s="1"/>
  <c r="DE21" i="2"/>
  <c r="DC21" i="2"/>
  <c r="J21" i="2"/>
  <c r="W494" i="15" s="1"/>
  <c r="Y494" i="15" s="1"/>
  <c r="V494" i="15" s="1"/>
  <c r="U494" i="15" s="1"/>
  <c r="H21" i="2"/>
  <c r="F21" i="2"/>
  <c r="H494" i="15" s="1"/>
  <c r="AM494" i="15" s="1"/>
  <c r="DE20" i="2"/>
  <c r="J20" i="2"/>
  <c r="H20" i="2"/>
  <c r="F20" i="2"/>
  <c r="H493" i="15" s="1"/>
  <c r="AM493" i="15" s="1"/>
  <c r="DE19" i="2"/>
  <c r="J19" i="2"/>
  <c r="H19" i="2"/>
  <c r="F19" i="2"/>
  <c r="H492" i="15" s="1"/>
  <c r="AM492" i="15" s="1"/>
  <c r="DE18" i="2"/>
  <c r="DC18" i="2"/>
  <c r="J18" i="2"/>
  <c r="W491" i="15" s="1"/>
  <c r="Y491" i="15" s="1"/>
  <c r="V491" i="15" s="1"/>
  <c r="H18" i="2"/>
  <c r="F18" i="2"/>
  <c r="H491" i="15" s="1"/>
  <c r="AM491" i="15" s="1"/>
  <c r="DE17" i="2"/>
  <c r="J17" i="2"/>
  <c r="H17" i="2"/>
  <c r="F17" i="2"/>
  <c r="H490" i="15" s="1"/>
  <c r="AM490" i="15" s="1"/>
  <c r="DE16" i="2"/>
  <c r="J16" i="2"/>
  <c r="H16" i="2"/>
  <c r="F16" i="2"/>
  <c r="H489" i="15" s="1"/>
  <c r="AM489" i="15" s="1"/>
  <c r="DE15" i="2"/>
  <c r="J15" i="2"/>
  <c r="H15" i="2"/>
  <c r="F15" i="2"/>
  <c r="H488" i="15" s="1"/>
  <c r="AM488" i="15" s="1"/>
  <c r="DE14" i="2"/>
  <c r="J14" i="2"/>
  <c r="H14" i="2"/>
  <c r="F14" i="2"/>
  <c r="H487" i="15" s="1"/>
  <c r="AM487" i="15" s="1"/>
  <c r="DE13" i="2"/>
  <c r="J13" i="2"/>
  <c r="H13" i="2"/>
  <c r="F13" i="2"/>
  <c r="H486" i="15" s="1"/>
  <c r="AM486" i="15" s="1"/>
  <c r="DE12" i="2"/>
  <c r="J12" i="2"/>
  <c r="H12" i="2"/>
  <c r="F12" i="2"/>
  <c r="H485" i="15" s="1"/>
  <c r="AM485" i="15" s="1"/>
  <c r="DE11" i="2"/>
  <c r="J11" i="2"/>
  <c r="H11" i="2"/>
  <c r="F11" i="2"/>
  <c r="H484" i="15" s="1"/>
  <c r="AM484" i="15" s="1"/>
  <c r="DE10" i="2"/>
  <c r="DC10" i="2"/>
  <c r="J10" i="2"/>
  <c r="W483" i="15" s="1"/>
  <c r="Y483" i="15" s="1"/>
  <c r="H10" i="2"/>
  <c r="F10" i="2"/>
  <c r="H483" i="15" s="1"/>
  <c r="AM483" i="15" s="1"/>
  <c r="DE9" i="2"/>
  <c r="J9" i="2"/>
  <c r="H9" i="2"/>
  <c r="F9" i="2"/>
  <c r="H482" i="15" s="1"/>
  <c r="AM482" i="15" s="1"/>
  <c r="BE8" i="2"/>
  <c r="BD8" i="2"/>
  <c r="BC8" i="2"/>
  <c r="BB8" i="2"/>
  <c r="BA8" i="2"/>
  <c r="AZ8" i="2"/>
  <c r="AY8" i="2"/>
  <c r="AX8" i="2"/>
  <c r="AW8" i="2"/>
  <c r="AV8" i="2"/>
  <c r="AS8" i="2"/>
  <c r="AR8" i="2"/>
  <c r="AQ8" i="2"/>
  <c r="AP8" i="2"/>
  <c r="AO8" i="2"/>
  <c r="AN8" i="2"/>
  <c r="AM8" i="2"/>
  <c r="AL8" i="2"/>
  <c r="AK8" i="2"/>
  <c r="AJ8" i="2"/>
  <c r="V6" i="2"/>
  <c r="N23" i="3" l="1"/>
  <c r="N26" i="3"/>
  <c r="N27" i="3"/>
  <c r="F28" i="3"/>
  <c r="H30" i="15" s="1"/>
  <c r="AM30" i="15" s="1"/>
  <c r="O21" i="3"/>
  <c r="BE21" i="3" s="1"/>
  <c r="O22" i="3"/>
  <c r="BE22" i="3" s="1"/>
  <c r="O25" i="3"/>
  <c r="BE25" i="3" s="1"/>
  <c r="DD10" i="2"/>
  <c r="DC11" i="2"/>
  <c r="W484" i="15"/>
  <c r="Y484" i="15" s="1"/>
  <c r="V484" i="15" s="1"/>
  <c r="DC12" i="2"/>
  <c r="W485" i="15"/>
  <c r="Y485" i="15" s="1"/>
  <c r="V485" i="15" s="1"/>
  <c r="DC13" i="2"/>
  <c r="W486" i="15"/>
  <c r="Y486" i="15" s="1"/>
  <c r="V486" i="15" s="1"/>
  <c r="DC15" i="2"/>
  <c r="W488" i="15"/>
  <c r="Y488" i="15" s="1"/>
  <c r="V488" i="15" s="1"/>
  <c r="DC16" i="2"/>
  <c r="W489" i="15"/>
  <c r="Y489" i="15" s="1"/>
  <c r="V489" i="15" s="1"/>
  <c r="DC17" i="2"/>
  <c r="W490" i="15"/>
  <c r="Y490" i="15" s="1"/>
  <c r="V490" i="15" s="1"/>
  <c r="AN496" i="15"/>
  <c r="AN497" i="15"/>
  <c r="AN498" i="15"/>
  <c r="AN500" i="15"/>
  <c r="DD62" i="2"/>
  <c r="DD63" i="2"/>
  <c r="DD64" i="2"/>
  <c r="DD65" i="2"/>
  <c r="DD139" i="2"/>
  <c r="AD524" i="15" s="1"/>
  <c r="AB524" i="15" s="1"/>
  <c r="H524" i="15"/>
  <c r="AM524" i="15" s="1"/>
  <c r="DD184" i="2"/>
  <c r="DE201" i="2"/>
  <c r="AA533" i="15"/>
  <c r="L273" i="2"/>
  <c r="P542" i="15" s="1"/>
  <c r="N542" i="15" s="1"/>
  <c r="U542" i="15" s="1"/>
  <c r="T542" i="15" s="1"/>
  <c r="J542" i="15"/>
  <c r="DD442" i="2"/>
  <c r="DD444" i="2"/>
  <c r="AD572" i="15" s="1"/>
  <c r="AB572" i="15" s="1"/>
  <c r="V592" i="15"/>
  <c r="U592" i="15" s="1"/>
  <c r="T592" i="15" s="1"/>
  <c r="AN592" i="15"/>
  <c r="DC19" i="2"/>
  <c r="W492" i="15"/>
  <c r="Y492" i="15" s="1"/>
  <c r="V492" i="15" s="1"/>
  <c r="DC20" i="2"/>
  <c r="W493" i="15"/>
  <c r="Y493" i="15" s="1"/>
  <c r="V493" i="15" s="1"/>
  <c r="U493" i="15" s="1"/>
  <c r="AN517" i="15"/>
  <c r="AM551" i="15"/>
  <c r="H551" i="15"/>
  <c r="AM552" i="15"/>
  <c r="H552" i="15"/>
  <c r="AM553" i="15"/>
  <c r="H553" i="15"/>
  <c r="H554" i="15"/>
  <c r="AM554" i="15"/>
  <c r="L359" i="2"/>
  <c r="P555" i="15" s="1"/>
  <c r="N555" i="15" s="1"/>
  <c r="V555" i="15" s="1"/>
  <c r="U555" i="15" s="1"/>
  <c r="T555" i="15" s="1"/>
  <c r="J555" i="15"/>
  <c r="L360" i="2"/>
  <c r="P556" i="15" s="1"/>
  <c r="N556" i="15" s="1"/>
  <c r="V556" i="15" s="1"/>
  <c r="U556" i="15" s="1"/>
  <c r="T556" i="15" s="1"/>
  <c r="J556" i="15"/>
  <c r="I465" i="2"/>
  <c r="N574" i="15" s="1"/>
  <c r="V574" i="15" s="1"/>
  <c r="U574" i="15" s="1"/>
  <c r="T574" i="15" s="1"/>
  <c r="H574" i="15"/>
  <c r="AM574" i="15" s="1"/>
  <c r="I469" i="2"/>
  <c r="N578" i="15" s="1"/>
  <c r="V578" i="15" s="1"/>
  <c r="U578" i="15" s="1"/>
  <c r="T578" i="15" s="1"/>
  <c r="H578" i="15"/>
  <c r="AM578" i="15" s="1"/>
  <c r="AN578" i="15" s="1"/>
  <c r="DD663" i="2"/>
  <c r="H595" i="15"/>
  <c r="AM595" i="15" s="1"/>
  <c r="AN595" i="15" s="1"/>
  <c r="DC22" i="2"/>
  <c r="DD22" i="2" s="1"/>
  <c r="W495" i="15"/>
  <c r="Y495" i="15" s="1"/>
  <c r="V495" i="15" s="1"/>
  <c r="U495" i="15" s="1"/>
  <c r="DC24" i="2"/>
  <c r="DD24" i="2" s="1"/>
  <c r="AD497" i="15" s="1"/>
  <c r="AB497" i="15" s="1"/>
  <c r="W497" i="15"/>
  <c r="Y497" i="15" s="1"/>
  <c r="V497" i="15" s="1"/>
  <c r="U497" i="15" s="1"/>
  <c r="T497" i="15" s="1"/>
  <c r="DC26" i="2"/>
  <c r="W499" i="15"/>
  <c r="Y499" i="15" s="1"/>
  <c r="V499" i="15" s="1"/>
  <c r="DC27" i="2"/>
  <c r="DD27" i="2" s="1"/>
  <c r="W500" i="15"/>
  <c r="Y500" i="15" s="1"/>
  <c r="V500" i="15" s="1"/>
  <c r="U500" i="15" s="1"/>
  <c r="T500" i="15" s="1"/>
  <c r="I87" i="2"/>
  <c r="N506" i="15" s="1"/>
  <c r="U506" i="15" s="1"/>
  <c r="T506" i="15" s="1"/>
  <c r="AN518" i="15"/>
  <c r="I395" i="2"/>
  <c r="N558" i="15" s="1"/>
  <c r="U558" i="15" s="1"/>
  <c r="T558" i="15" s="1"/>
  <c r="AN572" i="15"/>
  <c r="AN573" i="15"/>
  <c r="I530" i="2"/>
  <c r="N584" i="15" s="1"/>
  <c r="U584" i="15" s="1"/>
  <c r="T584" i="15" s="1"/>
  <c r="AN597" i="15"/>
  <c r="DC25" i="2"/>
  <c r="W498" i="15"/>
  <c r="Y498" i="15" s="1"/>
  <c r="V498" i="15" s="1"/>
  <c r="U498" i="15" s="1"/>
  <c r="T498" i="15" s="1"/>
  <c r="DC9" i="2"/>
  <c r="W482" i="15"/>
  <c r="Y482" i="15" s="1"/>
  <c r="I15" i="2"/>
  <c r="N488" i="15" s="1"/>
  <c r="AN488" i="15" s="1"/>
  <c r="I16" i="2"/>
  <c r="N489" i="15" s="1"/>
  <c r="AN489" i="15" s="1"/>
  <c r="I62" i="2"/>
  <c r="N502" i="15" s="1"/>
  <c r="U502" i="15" s="1"/>
  <c r="T502" i="15" s="1"/>
  <c r="DC88" i="2"/>
  <c r="W507" i="15"/>
  <c r="Y507" i="15" s="1"/>
  <c r="V507" i="15" s="1"/>
  <c r="DC89" i="2"/>
  <c r="W508" i="15"/>
  <c r="Y508" i="15" s="1"/>
  <c r="V508" i="15" s="1"/>
  <c r="DC90" i="2"/>
  <c r="W509" i="15"/>
  <c r="Y509" i="15" s="1"/>
  <c r="V509" i="15" s="1"/>
  <c r="DC92" i="2"/>
  <c r="W510" i="15"/>
  <c r="Y510" i="15" s="1"/>
  <c r="V510" i="15" s="1"/>
  <c r="DC93" i="2"/>
  <c r="W511" i="15"/>
  <c r="Y511" i="15" s="1"/>
  <c r="V511" i="15" s="1"/>
  <c r="DC94" i="2"/>
  <c r="W512" i="15"/>
  <c r="Y512" i="15" s="1"/>
  <c r="V512" i="15" s="1"/>
  <c r="DC95" i="2"/>
  <c r="W513" i="15"/>
  <c r="Y513" i="15" s="1"/>
  <c r="V513" i="15" s="1"/>
  <c r="I103" i="2"/>
  <c r="N518" i="15" s="1"/>
  <c r="U518" i="15" s="1"/>
  <c r="T518" i="15" s="1"/>
  <c r="I105" i="2"/>
  <c r="N519" i="15" s="1"/>
  <c r="U519" i="15" s="1"/>
  <c r="T519" i="15" s="1"/>
  <c r="I107" i="2"/>
  <c r="N521" i="15" s="1"/>
  <c r="U521" i="15" s="1"/>
  <c r="T521" i="15" s="1"/>
  <c r="DD231" i="2"/>
  <c r="H535" i="15"/>
  <c r="AM535" i="15" s="1"/>
  <c r="DE288" i="2"/>
  <c r="AA544" i="15"/>
  <c r="I471" i="2"/>
  <c r="N580" i="15" s="1"/>
  <c r="V580" i="15" s="1"/>
  <c r="U580" i="15" s="1"/>
  <c r="T580" i="15" s="1"/>
  <c r="F507" i="2"/>
  <c r="BC8" i="9"/>
  <c r="W422" i="15"/>
  <c r="Y422" i="15" s="1"/>
  <c r="BC11" i="9"/>
  <c r="W425" i="15"/>
  <c r="Y425" i="15" s="1"/>
  <c r="BC12" i="9"/>
  <c r="W426" i="15"/>
  <c r="Y426" i="15" s="1"/>
  <c r="BE41" i="9"/>
  <c r="AA430" i="15"/>
  <c r="BC42" i="9"/>
  <c r="W431" i="15"/>
  <c r="Y431" i="15" s="1"/>
  <c r="BC44" i="9"/>
  <c r="W433" i="15"/>
  <c r="Y433" i="15" s="1"/>
  <c r="BE45" i="9"/>
  <c r="AA434" i="15"/>
  <c r="BE160" i="9"/>
  <c r="AA439" i="15"/>
  <c r="BC301" i="9"/>
  <c r="W455" i="15"/>
  <c r="Y455" i="15" s="1"/>
  <c r="BE405" i="9"/>
  <c r="AA458" i="15"/>
  <c r="BC406" i="9"/>
  <c r="W459" i="15"/>
  <c r="Y459" i="15" s="1"/>
  <c r="BC407" i="9"/>
  <c r="W460" i="15"/>
  <c r="Y460" i="15" s="1"/>
  <c r="BC408" i="9"/>
  <c r="W461" i="15"/>
  <c r="Y461" i="15" s="1"/>
  <c r="BE409" i="9"/>
  <c r="AA462" i="15"/>
  <c r="BE434" i="9"/>
  <c r="AA467" i="15"/>
  <c r="BE438" i="9"/>
  <c r="AA471" i="15"/>
  <c r="BC499" i="9"/>
  <c r="W474" i="15"/>
  <c r="BC500" i="9"/>
  <c r="X474" i="15"/>
  <c r="BE42" i="9"/>
  <c r="AA431" i="15"/>
  <c r="BC43" i="9"/>
  <c r="W432" i="15"/>
  <c r="Y432" i="15" s="1"/>
  <c r="BE44" i="9"/>
  <c r="AA433" i="15"/>
  <c r="BC188" i="9"/>
  <c r="W441" i="15"/>
  <c r="BE188" i="9"/>
  <c r="AA441" i="15"/>
  <c r="BE234" i="9"/>
  <c r="AA452" i="15"/>
  <c r="BC336" i="9"/>
  <c r="W456" i="15"/>
  <c r="Y456" i="15" s="1"/>
  <c r="BE406" i="9"/>
  <c r="AA459" i="15"/>
  <c r="BE407" i="9"/>
  <c r="AA460" i="15"/>
  <c r="BE408" i="9"/>
  <c r="AA461" i="15"/>
  <c r="BE433" i="9"/>
  <c r="AA466" i="15"/>
  <c r="BE437" i="9"/>
  <c r="AA470" i="15"/>
  <c r="BC463" i="9"/>
  <c r="W473" i="15"/>
  <c r="Y473" i="15" s="1"/>
  <c r="BE499" i="9"/>
  <c r="AA474" i="15"/>
  <c r="BC9" i="9"/>
  <c r="W423" i="15"/>
  <c r="Y423" i="15" s="1"/>
  <c r="BC10" i="9"/>
  <c r="W424" i="15"/>
  <c r="Y424" i="15" s="1"/>
  <c r="BC13" i="9"/>
  <c r="W427" i="15"/>
  <c r="Y427" i="15" s="1"/>
  <c r="BC40" i="9"/>
  <c r="W429" i="15"/>
  <c r="Y429" i="15" s="1"/>
  <c r="BE43" i="9"/>
  <c r="AA432" i="15"/>
  <c r="BC46" i="9"/>
  <c r="W435" i="15"/>
  <c r="Y435" i="15" s="1"/>
  <c r="BC47" i="9"/>
  <c r="W436" i="15"/>
  <c r="Y436" i="15" s="1"/>
  <c r="BC48" i="9"/>
  <c r="W437" i="15"/>
  <c r="Y437" i="15" s="1"/>
  <c r="BC49" i="9"/>
  <c r="W438" i="15"/>
  <c r="Y438" i="15" s="1"/>
  <c r="BE336" i="9"/>
  <c r="AA456" i="15"/>
  <c r="BC370" i="9"/>
  <c r="W457" i="15"/>
  <c r="Y457" i="15" s="1"/>
  <c r="BC410" i="9"/>
  <c r="W463" i="15"/>
  <c r="Y463" i="15" s="1"/>
  <c r="BE432" i="9"/>
  <c r="AA465" i="15"/>
  <c r="BE436" i="9"/>
  <c r="AA469" i="15"/>
  <c r="BE463" i="9"/>
  <c r="AA473" i="15"/>
  <c r="BC7" i="9"/>
  <c r="W421" i="15"/>
  <c r="Y421" i="15" s="1"/>
  <c r="K10" i="9"/>
  <c r="AA423" i="15"/>
  <c r="BE13" i="9"/>
  <c r="AA427" i="15"/>
  <c r="BC14" i="9"/>
  <c r="W428" i="15"/>
  <c r="Y428" i="15" s="1"/>
  <c r="BE40" i="9"/>
  <c r="AA429" i="15"/>
  <c r="BC41" i="9"/>
  <c r="W430" i="15"/>
  <c r="Y430" i="15" s="1"/>
  <c r="BC45" i="9"/>
  <c r="W434" i="15"/>
  <c r="Y434" i="15" s="1"/>
  <c r="BE46" i="9"/>
  <c r="AA435" i="15"/>
  <c r="BE47" i="9"/>
  <c r="AA436" i="15"/>
  <c r="BE48" i="9"/>
  <c r="AA437" i="15"/>
  <c r="BE49" i="9"/>
  <c r="AA438" i="15"/>
  <c r="BC160" i="9"/>
  <c r="W439" i="15"/>
  <c r="Y439" i="15" s="1"/>
  <c r="BC189" i="9"/>
  <c r="X441" i="15"/>
  <c r="Y441" i="15" s="1"/>
  <c r="BE370" i="9"/>
  <c r="AA457" i="15"/>
  <c r="BC405" i="9"/>
  <c r="W458" i="15"/>
  <c r="Y458" i="15" s="1"/>
  <c r="BC409" i="9"/>
  <c r="BD409" i="9" s="1"/>
  <c r="AD462" i="15" s="1"/>
  <c r="AB462" i="15" s="1"/>
  <c r="W462" i="15"/>
  <c r="Y462" i="15" s="1"/>
  <c r="BE410" i="9"/>
  <c r="AA463" i="15"/>
  <c r="BE431" i="9"/>
  <c r="AA464" i="15"/>
  <c r="BE435" i="9"/>
  <c r="AA468" i="15"/>
  <c r="BE439" i="9"/>
  <c r="AA472" i="15"/>
  <c r="T420" i="15"/>
  <c r="AN420" i="15"/>
  <c r="AD420" i="15"/>
  <c r="AB420" i="15" s="1"/>
  <c r="BB7" i="8"/>
  <c r="Z420" i="15" s="1"/>
  <c r="I214" i="15"/>
  <c r="BE148" i="6"/>
  <c r="BB148" i="6" s="1"/>
  <c r="Z115" i="15" s="1"/>
  <c r="AA115" i="15"/>
  <c r="F1406" i="6"/>
  <c r="L174" i="15" s="1"/>
  <c r="I174" i="15" s="1"/>
  <c r="F9" i="7"/>
  <c r="J257" i="15" s="1"/>
  <c r="H257" i="15" s="1"/>
  <c r="AM257" i="15" s="1"/>
  <c r="F10" i="7"/>
  <c r="J258" i="15" s="1"/>
  <c r="H258" i="15" s="1"/>
  <c r="AM258" i="15" s="1"/>
  <c r="F12" i="7"/>
  <c r="J260" i="15" s="1"/>
  <c r="H260" i="15" s="1"/>
  <c r="AM260" i="15" s="1"/>
  <c r="H309" i="15"/>
  <c r="K441" i="7"/>
  <c r="N309" i="15" s="1"/>
  <c r="V309" i="15" s="1"/>
  <c r="BD441" i="7"/>
  <c r="I179" i="15"/>
  <c r="E1370" i="6"/>
  <c r="E2986" i="6" s="1"/>
  <c r="E1358" i="6"/>
  <c r="E2816" i="6" s="1"/>
  <c r="L1188" i="6"/>
  <c r="F1393" i="6"/>
  <c r="K170" i="15" s="1"/>
  <c r="J222" i="15"/>
  <c r="AM222" i="15" s="1"/>
  <c r="I1540" i="6"/>
  <c r="J232" i="15"/>
  <c r="J238" i="15"/>
  <c r="AM238" i="15" s="1"/>
  <c r="I1602" i="6"/>
  <c r="J248" i="15"/>
  <c r="AM248" i="15" s="1"/>
  <c r="I1630" i="6"/>
  <c r="J178" i="15"/>
  <c r="AM178" i="15" s="1"/>
  <c r="I1416" i="6"/>
  <c r="J182" i="15"/>
  <c r="AM182" i="15" s="1"/>
  <c r="I1430" i="6"/>
  <c r="K188" i="15"/>
  <c r="H188" i="15" s="1"/>
  <c r="I1447" i="6"/>
  <c r="L178" i="15"/>
  <c r="I1418" i="6"/>
  <c r="J250" i="15"/>
  <c r="AM250" i="15" s="1"/>
  <c r="I1634" i="6"/>
  <c r="J195" i="15"/>
  <c r="AM195" i="15" s="1"/>
  <c r="J208" i="15"/>
  <c r="I1496" i="6"/>
  <c r="J227" i="15"/>
  <c r="AM227" i="15" s="1"/>
  <c r="I1560" i="6"/>
  <c r="L244" i="15"/>
  <c r="I1622" i="6"/>
  <c r="J189" i="15"/>
  <c r="AM189" i="15" s="1"/>
  <c r="I1448" i="6"/>
  <c r="F1425" i="6"/>
  <c r="F1552" i="6"/>
  <c r="F1614" i="6"/>
  <c r="F1391" i="6"/>
  <c r="M169" i="15" s="1"/>
  <c r="L1666" i="6"/>
  <c r="L1392" i="6" s="1"/>
  <c r="R199" i="6"/>
  <c r="J746" i="6" s="1"/>
  <c r="K158" i="6" s="1"/>
  <c r="J742" i="6"/>
  <c r="K154" i="6" s="1"/>
  <c r="J741" i="6"/>
  <c r="K153" i="6" s="1"/>
  <c r="F1389" i="6"/>
  <c r="K169" i="15" s="1"/>
  <c r="J739" i="6"/>
  <c r="K151" i="6" s="1"/>
  <c r="J734" i="6"/>
  <c r="K146" i="6" s="1"/>
  <c r="J737" i="6"/>
  <c r="K149" i="6" s="1"/>
  <c r="I177" i="15"/>
  <c r="I229" i="15"/>
  <c r="I207" i="15"/>
  <c r="I233" i="15"/>
  <c r="I221" i="15"/>
  <c r="F1399" i="6"/>
  <c r="K172" i="15" s="1"/>
  <c r="F1476" i="6"/>
  <c r="F1426" i="6"/>
  <c r="F1554" i="6"/>
  <c r="F130" i="6"/>
  <c r="J103" i="15" s="1"/>
  <c r="H103" i="15" s="1"/>
  <c r="AM103" i="15" s="1"/>
  <c r="F1397" i="6"/>
  <c r="K171" i="15" s="1"/>
  <c r="F110" i="6"/>
  <c r="J90" i="15" s="1"/>
  <c r="H90" i="15" s="1"/>
  <c r="AM90" i="15" s="1"/>
  <c r="F111" i="6"/>
  <c r="L90" i="15" s="1"/>
  <c r="I90" i="15" s="1"/>
  <c r="F1394" i="6"/>
  <c r="L170" i="15" s="1"/>
  <c r="F1395" i="6"/>
  <c r="M170" i="15" s="1"/>
  <c r="F1396" i="6"/>
  <c r="J171" i="15" s="1"/>
  <c r="F1581" i="6"/>
  <c r="K285" i="6"/>
  <c r="K717" i="6" s="1"/>
  <c r="F1403" i="6"/>
  <c r="M173" i="15" s="1"/>
  <c r="F1497" i="6"/>
  <c r="L1671" i="6"/>
  <c r="F1401" i="6"/>
  <c r="K173" i="15" s="1"/>
  <c r="F129" i="6"/>
  <c r="L102" i="15" s="1"/>
  <c r="I102" i="15" s="1"/>
  <c r="K284" i="6"/>
  <c r="L128" i="6" s="1"/>
  <c r="F119" i="6"/>
  <c r="J96" i="15" s="1"/>
  <c r="H96" i="15" s="1"/>
  <c r="AM96" i="15" s="1"/>
  <c r="F128" i="6"/>
  <c r="J102" i="15" s="1"/>
  <c r="H102" i="15" s="1"/>
  <c r="AM102" i="15" s="1"/>
  <c r="L1674" i="6"/>
  <c r="L1408" i="6" s="1"/>
  <c r="K276" i="6"/>
  <c r="L120" i="6" s="1"/>
  <c r="L1396" i="6" s="1"/>
  <c r="F120" i="6"/>
  <c r="L96" i="15" s="1"/>
  <c r="I96" i="15" s="1"/>
  <c r="K286" i="6"/>
  <c r="L130" i="6" s="1"/>
  <c r="F1409" i="6"/>
  <c r="K175" i="15" s="1"/>
  <c r="L1670" i="6"/>
  <c r="L1400" i="6" s="1"/>
  <c r="L1675" i="6"/>
  <c r="L1410" i="6" s="1"/>
  <c r="L1668" i="6"/>
  <c r="L1673" i="6"/>
  <c r="H16" i="6"/>
  <c r="H18" i="6"/>
  <c r="H10" i="6"/>
  <c r="H12" i="6"/>
  <c r="BE10" i="7"/>
  <c r="AA258" i="15"/>
  <c r="E494" i="7"/>
  <c r="F312" i="15"/>
  <c r="BC476" i="7"/>
  <c r="W312" i="15"/>
  <c r="Y312" i="15" s="1"/>
  <c r="BC504" i="7"/>
  <c r="W315" i="15"/>
  <c r="Y315" i="15" s="1"/>
  <c r="BC543" i="7"/>
  <c r="W316" i="15"/>
  <c r="Y316" i="15" s="1"/>
  <c r="BC580" i="7"/>
  <c r="W320" i="15"/>
  <c r="Y320" i="15" s="1"/>
  <c r="BC587" i="7"/>
  <c r="W325" i="15"/>
  <c r="BE590" i="7"/>
  <c r="AA327" i="15"/>
  <c r="BC646" i="7"/>
  <c r="W328" i="15"/>
  <c r="Y328" i="15" s="1"/>
  <c r="H329" i="15"/>
  <c r="AM329" i="15"/>
  <c r="BC650" i="7"/>
  <c r="W330" i="15"/>
  <c r="Y330" i="15" s="1"/>
  <c r="AM331" i="15"/>
  <c r="H331" i="15"/>
  <c r="BE656" i="7"/>
  <c r="AA333" i="15"/>
  <c r="BC660" i="7"/>
  <c r="W335" i="15"/>
  <c r="Y335" i="15" s="1"/>
  <c r="AM336" i="15"/>
  <c r="H336" i="15"/>
  <c r="BC664" i="7"/>
  <c r="W337" i="15"/>
  <c r="Y337" i="15" s="1"/>
  <c r="BE666" i="7"/>
  <c r="AA338" i="15"/>
  <c r="BC793" i="7"/>
  <c r="W349" i="15"/>
  <c r="Y349" i="15" s="1"/>
  <c r="BC821" i="7"/>
  <c r="W350" i="15"/>
  <c r="Y350" i="15" s="1"/>
  <c r="AM351" i="15"/>
  <c r="H351" i="15"/>
  <c r="BE825" i="7"/>
  <c r="AA352" i="15"/>
  <c r="BE827" i="7"/>
  <c r="AA353" i="15"/>
  <c r="BE829" i="7"/>
  <c r="AA354" i="15"/>
  <c r="BE831" i="7"/>
  <c r="AA355" i="15"/>
  <c r="BE907" i="7"/>
  <c r="AA363" i="15"/>
  <c r="BE998" i="7"/>
  <c r="AA366" i="15"/>
  <c r="BE1032" i="7"/>
  <c r="AA367" i="15"/>
  <c r="BE1042" i="7"/>
  <c r="AA377" i="15"/>
  <c r="BE1043" i="7"/>
  <c r="AA378" i="15"/>
  <c r="BE1044" i="7"/>
  <c r="AA379" i="15"/>
  <c r="BE1046" i="7"/>
  <c r="AA381" i="15"/>
  <c r="BE1050" i="7"/>
  <c r="AA385" i="15"/>
  <c r="BC1172" i="7"/>
  <c r="W394" i="15"/>
  <c r="BC1173" i="7"/>
  <c r="X394" i="15"/>
  <c r="BE1174" i="7"/>
  <c r="AA395" i="15"/>
  <c r="I1229" i="7"/>
  <c r="P417" i="15" s="1"/>
  <c r="N417" i="15" s="1"/>
  <c r="T417" i="15" s="1"/>
  <c r="I16" i="7"/>
  <c r="P264" i="15" s="1"/>
  <c r="N264" i="15" s="1"/>
  <c r="J264" i="15"/>
  <c r="H264" i="15" s="1"/>
  <c r="AM264" i="15" s="1"/>
  <c r="BE116" i="7"/>
  <c r="AA275" i="15"/>
  <c r="BC475" i="7"/>
  <c r="W311" i="15"/>
  <c r="Y311" i="15" s="1"/>
  <c r="BC503" i="7"/>
  <c r="W314" i="15"/>
  <c r="Y314" i="15" s="1"/>
  <c r="BC546" i="7"/>
  <c r="W319" i="15"/>
  <c r="Y319" i="15" s="1"/>
  <c r="BC584" i="7"/>
  <c r="W323" i="15"/>
  <c r="Y323" i="15" s="1"/>
  <c r="BC589" i="7"/>
  <c r="W326" i="15"/>
  <c r="Y326" i="15" s="1"/>
  <c r="BE646" i="7"/>
  <c r="AA328" i="15"/>
  <c r="BE650" i="7"/>
  <c r="AA330" i="15"/>
  <c r="BC654" i="7"/>
  <c r="BD654" i="7" s="1"/>
  <c r="AD332" i="15" s="1"/>
  <c r="W332" i="15"/>
  <c r="Y332" i="15" s="1"/>
  <c r="AM333" i="15"/>
  <c r="H333" i="15"/>
  <c r="BC658" i="7"/>
  <c r="W334" i="15"/>
  <c r="Y334" i="15" s="1"/>
  <c r="BE660" i="7"/>
  <c r="AA335" i="15"/>
  <c r="BE664" i="7"/>
  <c r="AA337" i="15"/>
  <c r="H338" i="15"/>
  <c r="AM338" i="15"/>
  <c r="BC709" i="7"/>
  <c r="W339" i="15"/>
  <c r="Y339" i="15" s="1"/>
  <c r="BC747" i="7"/>
  <c r="W342" i="15"/>
  <c r="Y342" i="15" s="1"/>
  <c r="BC791" i="7"/>
  <c r="W347" i="15"/>
  <c r="Y347" i="15" s="1"/>
  <c r="BC792" i="7"/>
  <c r="W348" i="15"/>
  <c r="Y348" i="15" s="1"/>
  <c r="BE793" i="7"/>
  <c r="AA349" i="15"/>
  <c r="BE821" i="7"/>
  <c r="AA350" i="15"/>
  <c r="H352" i="15"/>
  <c r="AM352" i="15"/>
  <c r="AM353" i="15"/>
  <c r="H354" i="15"/>
  <c r="AM354" i="15"/>
  <c r="H355" i="15"/>
  <c r="AM355" i="15"/>
  <c r="BC839" i="7"/>
  <c r="W359" i="15"/>
  <c r="Y359" i="15" s="1"/>
  <c r="BC841" i="7"/>
  <c r="W360" i="15"/>
  <c r="Y360" i="15" s="1"/>
  <c r="BC843" i="7"/>
  <c r="W361" i="15"/>
  <c r="Y361" i="15" s="1"/>
  <c r="BE1033" i="7"/>
  <c r="AA368" i="15"/>
  <c r="BE1034" i="7"/>
  <c r="AA369" i="15"/>
  <c r="BE1035" i="7"/>
  <c r="AA370" i="15"/>
  <c r="BE1036" i="7"/>
  <c r="AA371" i="15"/>
  <c r="BE1037" i="7"/>
  <c r="AA372" i="15"/>
  <c r="BE1038" i="7"/>
  <c r="AA373" i="15"/>
  <c r="BE1039" i="7"/>
  <c r="AA374" i="15"/>
  <c r="BE1040" i="7"/>
  <c r="AA375" i="15"/>
  <c r="BE1041" i="7"/>
  <c r="AA376" i="15"/>
  <c r="BE1172" i="7"/>
  <c r="AA394" i="15"/>
  <c r="BC1208" i="7"/>
  <c r="W396" i="15"/>
  <c r="Y396" i="15" s="1"/>
  <c r="BC1209" i="7"/>
  <c r="BD1209" i="7" s="1"/>
  <c r="AD397" i="15" s="1"/>
  <c r="AB397" i="15" s="1"/>
  <c r="W397" i="15"/>
  <c r="Y397" i="15" s="1"/>
  <c r="BC1210" i="7"/>
  <c r="W398" i="15"/>
  <c r="Y398" i="15" s="1"/>
  <c r="BC1211" i="7"/>
  <c r="W399" i="15"/>
  <c r="Y399" i="15" s="1"/>
  <c r="BC1212" i="7"/>
  <c r="W400" i="15"/>
  <c r="Y400" i="15" s="1"/>
  <c r="BC1213" i="7"/>
  <c r="W401" i="15"/>
  <c r="Y401" i="15" s="1"/>
  <c r="BC1214" i="7"/>
  <c r="W402" i="15"/>
  <c r="Y402" i="15" s="1"/>
  <c r="BC1215" i="7"/>
  <c r="W403" i="15"/>
  <c r="Y403" i="15" s="1"/>
  <c r="BC1216" i="7"/>
  <c r="W404" i="15"/>
  <c r="Y404" i="15" s="1"/>
  <c r="BC1217" i="7"/>
  <c r="W405" i="15"/>
  <c r="Y405" i="15" s="1"/>
  <c r="BC1218" i="7"/>
  <c r="W406" i="15"/>
  <c r="Y406" i="15" s="1"/>
  <c r="BC1219" i="7"/>
  <c r="W407" i="15"/>
  <c r="Y407" i="15" s="1"/>
  <c r="BC1220" i="7"/>
  <c r="W408" i="15"/>
  <c r="Y408" i="15" s="1"/>
  <c r="BC1221" i="7"/>
  <c r="W409" i="15"/>
  <c r="Y409" i="15" s="1"/>
  <c r="BC1222" i="7"/>
  <c r="W410" i="15"/>
  <c r="Y410" i="15" s="1"/>
  <c r="BC1223" i="7"/>
  <c r="W411" i="15"/>
  <c r="Y411" i="15" s="1"/>
  <c r="BC1224" i="7"/>
  <c r="W412" i="15"/>
  <c r="Y412" i="15" s="1"/>
  <c r="BC1225" i="7"/>
  <c r="BD1225" i="7" s="1"/>
  <c r="AD413" i="15" s="1"/>
  <c r="AB413" i="15" s="1"/>
  <c r="W413" i="15"/>
  <c r="Y413" i="15" s="1"/>
  <c r="BC1226" i="7"/>
  <c r="W414" i="15"/>
  <c r="Y414" i="15" s="1"/>
  <c r="BC1227" i="7"/>
  <c r="W415" i="15"/>
  <c r="Y415" i="15" s="1"/>
  <c r="BC1228" i="7"/>
  <c r="W416" i="15"/>
  <c r="Y416" i="15" s="1"/>
  <c r="BC1229" i="7"/>
  <c r="BD1229" i="7" s="1"/>
  <c r="AD417" i="15" s="1"/>
  <c r="AB417" i="15" s="1"/>
  <c r="W417" i="15"/>
  <c r="Y417" i="15" s="1"/>
  <c r="BC1230" i="7"/>
  <c r="W418" i="15"/>
  <c r="Y418" i="15" s="1"/>
  <c r="BC1231" i="7"/>
  <c r="BD1231" i="7" s="1"/>
  <c r="AD419" i="15" s="1"/>
  <c r="AB419" i="15" s="1"/>
  <c r="W419" i="15"/>
  <c r="Y419" i="15" s="1"/>
  <c r="BE14" i="7"/>
  <c r="AA262" i="15"/>
  <c r="BC116" i="7"/>
  <c r="W275" i="15"/>
  <c r="Y275" i="15" s="1"/>
  <c r="M476" i="7"/>
  <c r="AA311" i="15"/>
  <c r="BC502" i="7"/>
  <c r="W313" i="15"/>
  <c r="Y313" i="15" s="1"/>
  <c r="BC544" i="7"/>
  <c r="W317" i="15"/>
  <c r="Y317" i="15" s="1"/>
  <c r="BC581" i="7"/>
  <c r="W321" i="15"/>
  <c r="Y321" i="15" s="1"/>
  <c r="BC586" i="7"/>
  <c r="W324" i="15"/>
  <c r="Y324" i="15" s="1"/>
  <c r="Y325" i="15"/>
  <c r="BE581" i="7"/>
  <c r="AA321" i="15"/>
  <c r="AM328" i="15"/>
  <c r="H328" i="15"/>
  <c r="BC648" i="7"/>
  <c r="W329" i="15"/>
  <c r="Y329" i="15" s="1"/>
  <c r="AM330" i="15"/>
  <c r="H330" i="15"/>
  <c r="BC652" i="7"/>
  <c r="W331" i="15"/>
  <c r="Y331" i="15" s="1"/>
  <c r="BE654" i="7"/>
  <c r="AA332" i="15"/>
  <c r="BE658" i="7"/>
  <c r="AA334" i="15"/>
  <c r="AM335" i="15"/>
  <c r="H335" i="15"/>
  <c r="BC662" i="7"/>
  <c r="W336" i="15"/>
  <c r="Y336" i="15" s="1"/>
  <c r="AM337" i="15"/>
  <c r="H337" i="15"/>
  <c r="BE709" i="7"/>
  <c r="AA339" i="15"/>
  <c r="BC710" i="7"/>
  <c r="W340" i="15"/>
  <c r="Y340" i="15" s="1"/>
  <c r="BC711" i="7"/>
  <c r="W341" i="15"/>
  <c r="Y341" i="15" s="1"/>
  <c r="BC748" i="7"/>
  <c r="W343" i="15"/>
  <c r="Y343" i="15" s="1"/>
  <c r="BC749" i="7"/>
  <c r="W344" i="15"/>
  <c r="Y344" i="15" s="1"/>
  <c r="BC750" i="7"/>
  <c r="W345" i="15"/>
  <c r="Y345" i="15" s="1"/>
  <c r="BC751" i="7"/>
  <c r="W346" i="15"/>
  <c r="Y346" i="15" s="1"/>
  <c r="BE791" i="7"/>
  <c r="AA347" i="15"/>
  <c r="BE792" i="7"/>
  <c r="AA348" i="15"/>
  <c r="H350" i="15"/>
  <c r="AM350" i="15"/>
  <c r="BC823" i="7"/>
  <c r="W351" i="15"/>
  <c r="Y351" i="15" s="1"/>
  <c r="BC833" i="7"/>
  <c r="W356" i="15"/>
  <c r="Y356" i="15" s="1"/>
  <c r="BC835" i="7"/>
  <c r="W357" i="15"/>
  <c r="Y357" i="15" s="1"/>
  <c r="BC837" i="7"/>
  <c r="W358" i="15"/>
  <c r="Y358" i="15" s="1"/>
  <c r="BE839" i="7"/>
  <c r="AA359" i="15"/>
  <c r="BE841" i="7"/>
  <c r="AA360" i="15"/>
  <c r="BE843" i="7"/>
  <c r="AA361" i="15"/>
  <c r="BC906" i="7"/>
  <c r="W362" i="15"/>
  <c r="Y362" i="15" s="1"/>
  <c r="BC941" i="7"/>
  <c r="W364" i="15"/>
  <c r="Y364" i="15" s="1"/>
  <c r="BC967" i="7"/>
  <c r="W365" i="15"/>
  <c r="Y365" i="15" s="1"/>
  <c r="BE1045" i="7"/>
  <c r="AA380" i="15"/>
  <c r="BE1047" i="7"/>
  <c r="AA382" i="15"/>
  <c r="BE1048" i="7"/>
  <c r="AA383" i="15"/>
  <c r="BE1049" i="7"/>
  <c r="AA384" i="15"/>
  <c r="BE1051" i="7"/>
  <c r="AA386" i="15"/>
  <c r="BC1175" i="7"/>
  <c r="X395" i="15"/>
  <c r="BE1208" i="7"/>
  <c r="AA396" i="15"/>
  <c r="BE1209" i="7"/>
  <c r="AA397" i="15"/>
  <c r="BE1210" i="7"/>
  <c r="AA398" i="15"/>
  <c r="BE1211" i="7"/>
  <c r="AA399" i="15"/>
  <c r="BE1212" i="7"/>
  <c r="AA400" i="15"/>
  <c r="BE1213" i="7"/>
  <c r="AA401" i="15"/>
  <c r="BE1214" i="7"/>
  <c r="AA402" i="15"/>
  <c r="BE1215" i="7"/>
  <c r="AA403" i="15"/>
  <c r="BE1216" i="7"/>
  <c r="AA404" i="15"/>
  <c r="BE1217" i="7"/>
  <c r="AA405" i="15"/>
  <c r="BE1218" i="7"/>
  <c r="AA406" i="15"/>
  <c r="BE1219" i="7"/>
  <c r="AA407" i="15"/>
  <c r="BE1220" i="7"/>
  <c r="AA408" i="15"/>
  <c r="BE1221" i="7"/>
  <c r="AA409" i="15"/>
  <c r="BE1222" i="7"/>
  <c r="AA410" i="15"/>
  <c r="BE1223" i="7"/>
  <c r="AA411" i="15"/>
  <c r="BE1224" i="7"/>
  <c r="AA412" i="15"/>
  <c r="BE1225" i="7"/>
  <c r="AA413" i="15"/>
  <c r="BE1226" i="7"/>
  <c r="AA414" i="15"/>
  <c r="BE1227" i="7"/>
  <c r="AA415" i="15"/>
  <c r="BE1228" i="7"/>
  <c r="AA416" i="15"/>
  <c r="BE1229" i="7"/>
  <c r="AA417" i="15"/>
  <c r="BE1230" i="7"/>
  <c r="AA418" i="15"/>
  <c r="BE1231" i="7"/>
  <c r="AA419" i="15"/>
  <c r="BE7" i="7"/>
  <c r="AA255" i="15"/>
  <c r="BE8" i="7"/>
  <c r="AA256" i="15"/>
  <c r="BE11" i="7"/>
  <c r="AA259" i="15"/>
  <c r="BE13" i="7"/>
  <c r="AA261" i="15"/>
  <c r="BE504" i="7"/>
  <c r="AA315" i="15"/>
  <c r="BC545" i="7"/>
  <c r="W318" i="15"/>
  <c r="Y318" i="15" s="1"/>
  <c r="BE545" i="7"/>
  <c r="AA318" i="15"/>
  <c r="BC583" i="7"/>
  <c r="W322" i="15"/>
  <c r="Y322" i="15" s="1"/>
  <c r="BC590" i="7"/>
  <c r="W327" i="15"/>
  <c r="Y327" i="15" s="1"/>
  <c r="BE648" i="7"/>
  <c r="AA329" i="15"/>
  <c r="BE652" i="7"/>
  <c r="AA331" i="15"/>
  <c r="H332" i="15"/>
  <c r="AM332" i="15"/>
  <c r="BC656" i="7"/>
  <c r="W333" i="15"/>
  <c r="Y333" i="15" s="1"/>
  <c r="H334" i="15"/>
  <c r="AM334" i="15"/>
  <c r="BE662" i="7"/>
  <c r="AA336" i="15"/>
  <c r="BC666" i="7"/>
  <c r="BD666" i="7" s="1"/>
  <c r="W338" i="15"/>
  <c r="Y338" i="15" s="1"/>
  <c r="BE710" i="7"/>
  <c r="AA340" i="15"/>
  <c r="BE711" i="7"/>
  <c r="AA341" i="15"/>
  <c r="BE823" i="7"/>
  <c r="AA351" i="15"/>
  <c r="BC825" i="7"/>
  <c r="W352" i="15"/>
  <c r="Y352" i="15" s="1"/>
  <c r="BC827" i="7"/>
  <c r="W353" i="15"/>
  <c r="Y353" i="15" s="1"/>
  <c r="BC829" i="7"/>
  <c r="W354" i="15"/>
  <c r="Y354" i="15" s="1"/>
  <c r="BC831" i="7"/>
  <c r="W355" i="15"/>
  <c r="Y355" i="15" s="1"/>
  <c r="BE833" i="7"/>
  <c r="AA356" i="15"/>
  <c r="BE835" i="7"/>
  <c r="AA357" i="15"/>
  <c r="BE837" i="7"/>
  <c r="AA358" i="15"/>
  <c r="AM359" i="15"/>
  <c r="AM360" i="15"/>
  <c r="AM361" i="15"/>
  <c r="H361" i="15"/>
  <c r="BE906" i="7"/>
  <c r="AA362" i="15"/>
  <c r="BC907" i="7"/>
  <c r="W363" i="15"/>
  <c r="Y363" i="15" s="1"/>
  <c r="BE941" i="7"/>
  <c r="AA364" i="15"/>
  <c r="BE967" i="7"/>
  <c r="AA365" i="15"/>
  <c r="BC998" i="7"/>
  <c r="W366" i="15"/>
  <c r="Y366" i="15" s="1"/>
  <c r="BC1174" i="7"/>
  <c r="W395" i="15"/>
  <c r="BC54" i="7"/>
  <c r="W269" i="15"/>
  <c r="Y269" i="15" s="1"/>
  <c r="BC53" i="7"/>
  <c r="W268" i="15"/>
  <c r="Y268" i="15" s="1"/>
  <c r="BE54" i="7"/>
  <c r="AA269" i="15"/>
  <c r="BC52" i="7"/>
  <c r="W267" i="15"/>
  <c r="Y267" i="15" s="1"/>
  <c r="BE53" i="7"/>
  <c r="AA268" i="15"/>
  <c r="BE52" i="7"/>
  <c r="AA267" i="15"/>
  <c r="BC16" i="7"/>
  <c r="W264" i="15"/>
  <c r="Y264" i="15" s="1"/>
  <c r="BE17" i="7"/>
  <c r="AA265" i="15"/>
  <c r="BC56" i="7"/>
  <c r="W271" i="15"/>
  <c r="Y271" i="15" s="1"/>
  <c r="BE57" i="7"/>
  <c r="AA272" i="15"/>
  <c r="BC118" i="7"/>
  <c r="W277" i="15"/>
  <c r="Y277" i="15" s="1"/>
  <c r="BC120" i="7"/>
  <c r="W279" i="15"/>
  <c r="Y279" i="15" s="1"/>
  <c r="BC123" i="7"/>
  <c r="W282" i="15"/>
  <c r="Y282" i="15" s="1"/>
  <c r="BC126" i="7"/>
  <c r="W285" i="15"/>
  <c r="Y285" i="15" s="1"/>
  <c r="BC130" i="7"/>
  <c r="W289" i="15"/>
  <c r="Y289" i="15" s="1"/>
  <c r="BC133" i="7"/>
  <c r="W292" i="15"/>
  <c r="Y292" i="15" s="1"/>
  <c r="BC136" i="7"/>
  <c r="W295" i="15"/>
  <c r="Y295" i="15" s="1"/>
  <c r="BC138" i="7"/>
  <c r="W297" i="15"/>
  <c r="Y297" i="15" s="1"/>
  <c r="BC142" i="7"/>
  <c r="W301" i="15"/>
  <c r="Y301" i="15" s="1"/>
  <c r="BC145" i="7"/>
  <c r="W304" i="15"/>
  <c r="Y304" i="15" s="1"/>
  <c r="BE120" i="7"/>
  <c r="AA279" i="15"/>
  <c r="BE123" i="7"/>
  <c r="AA282" i="15"/>
  <c r="BE125" i="7"/>
  <c r="AA284" i="15"/>
  <c r="BE134" i="7"/>
  <c r="AA293" i="15"/>
  <c r="BE139" i="7"/>
  <c r="AA298" i="15"/>
  <c r="BE144" i="7"/>
  <c r="AA303" i="15"/>
  <c r="AN417" i="15"/>
  <c r="BC14" i="7"/>
  <c r="W262" i="15"/>
  <c r="Y262" i="15" s="1"/>
  <c r="BC15" i="7"/>
  <c r="W263" i="15"/>
  <c r="Y263" i="15" s="1"/>
  <c r="BE16" i="7"/>
  <c r="AA264" i="15"/>
  <c r="BE56" i="7"/>
  <c r="AA271" i="15"/>
  <c r="BC119" i="7"/>
  <c r="W278" i="15"/>
  <c r="Y278" i="15" s="1"/>
  <c r="BC121" i="7"/>
  <c r="W280" i="15"/>
  <c r="Y280" i="15" s="1"/>
  <c r="BC124" i="7"/>
  <c r="W283" i="15"/>
  <c r="Y283" i="15" s="1"/>
  <c r="BC127" i="7"/>
  <c r="W286" i="15"/>
  <c r="Y286" i="15" s="1"/>
  <c r="BE133" i="7"/>
  <c r="AA292" i="15"/>
  <c r="BE136" i="7"/>
  <c r="AA295" i="15"/>
  <c r="BC139" i="7"/>
  <c r="W298" i="15"/>
  <c r="Y298" i="15" s="1"/>
  <c r="BC143" i="7"/>
  <c r="W302" i="15"/>
  <c r="Y302" i="15" s="1"/>
  <c r="BE118" i="7"/>
  <c r="AA277" i="15"/>
  <c r="BE121" i="7"/>
  <c r="AA280" i="15"/>
  <c r="BE126" i="7"/>
  <c r="AA285" i="15"/>
  <c r="BE129" i="7"/>
  <c r="AA288" i="15"/>
  <c r="BE131" i="7"/>
  <c r="AA290" i="15"/>
  <c r="BE140" i="7"/>
  <c r="AA299" i="15"/>
  <c r="BE142" i="7"/>
  <c r="AA301" i="15"/>
  <c r="BE145" i="7"/>
  <c r="AA304" i="15"/>
  <c r="H591" i="7"/>
  <c r="C327" i="15"/>
  <c r="BC7" i="7"/>
  <c r="W255" i="15"/>
  <c r="Y255" i="15" s="1"/>
  <c r="BC8" i="7"/>
  <c r="W256" i="15"/>
  <c r="Y256" i="15" s="1"/>
  <c r="BC11" i="7"/>
  <c r="BD11" i="7" s="1"/>
  <c r="W259" i="15"/>
  <c r="Y259" i="15" s="1"/>
  <c r="BC13" i="7"/>
  <c r="W261" i="15"/>
  <c r="Y261" i="15" s="1"/>
  <c r="BC55" i="7"/>
  <c r="W270" i="15"/>
  <c r="Y270" i="15" s="1"/>
  <c r="BE119" i="7"/>
  <c r="AA278" i="15"/>
  <c r="BC122" i="7"/>
  <c r="W281" i="15"/>
  <c r="Y281" i="15" s="1"/>
  <c r="BE124" i="7"/>
  <c r="AA283" i="15"/>
  <c r="BC128" i="7"/>
  <c r="W287" i="15"/>
  <c r="Y287" i="15" s="1"/>
  <c r="BC131" i="7"/>
  <c r="W290" i="15"/>
  <c r="Y290" i="15" s="1"/>
  <c r="BC134" i="7"/>
  <c r="W293" i="15"/>
  <c r="Y293" i="15" s="1"/>
  <c r="BC137" i="7"/>
  <c r="W296" i="15"/>
  <c r="Y296" i="15" s="1"/>
  <c r="BC140" i="7"/>
  <c r="W299" i="15"/>
  <c r="Y299" i="15" s="1"/>
  <c r="BE143" i="7"/>
  <c r="AA302" i="15"/>
  <c r="BE127" i="7"/>
  <c r="AA286" i="15"/>
  <c r="BE132" i="7"/>
  <c r="AA291" i="15"/>
  <c r="BE135" i="7"/>
  <c r="AA294" i="15"/>
  <c r="H588" i="7"/>
  <c r="C325" i="15"/>
  <c r="BC9" i="7"/>
  <c r="BD9" i="7" s="1"/>
  <c r="W257" i="15"/>
  <c r="Y257" i="15" s="1"/>
  <c r="BC10" i="7"/>
  <c r="BD10" i="7" s="1"/>
  <c r="W258" i="15"/>
  <c r="Y258" i="15" s="1"/>
  <c r="BC12" i="7"/>
  <c r="W260" i="15"/>
  <c r="Y260" i="15" s="1"/>
  <c r="BC17" i="7"/>
  <c r="W265" i="15"/>
  <c r="Y265" i="15" s="1"/>
  <c r="BC18" i="7"/>
  <c r="W266" i="15"/>
  <c r="Y266" i="15" s="1"/>
  <c r="BE55" i="7"/>
  <c r="AA270" i="15"/>
  <c r="BC57" i="7"/>
  <c r="W272" i="15"/>
  <c r="Y272" i="15" s="1"/>
  <c r="BC117" i="7"/>
  <c r="W276" i="15"/>
  <c r="Y276" i="15" s="1"/>
  <c r="BE122" i="7"/>
  <c r="AA281" i="15"/>
  <c r="BC125" i="7"/>
  <c r="W284" i="15"/>
  <c r="Y284" i="15" s="1"/>
  <c r="BC129" i="7"/>
  <c r="W288" i="15"/>
  <c r="Y288" i="15" s="1"/>
  <c r="BC132" i="7"/>
  <c r="W291" i="15"/>
  <c r="Y291" i="15" s="1"/>
  <c r="BC135" i="7"/>
  <c r="W294" i="15"/>
  <c r="Y294" i="15" s="1"/>
  <c r="BE137" i="7"/>
  <c r="AA296" i="15"/>
  <c r="BC141" i="7"/>
  <c r="W300" i="15"/>
  <c r="Y300" i="15" s="1"/>
  <c r="BC144" i="7"/>
  <c r="W303" i="15"/>
  <c r="Y303" i="15" s="1"/>
  <c r="BE117" i="7"/>
  <c r="AA276" i="15"/>
  <c r="BE128" i="7"/>
  <c r="AA287" i="15"/>
  <c r="BE130" i="7"/>
  <c r="AA289" i="15"/>
  <c r="BE138" i="7"/>
  <c r="AA297" i="15"/>
  <c r="BE141" i="7"/>
  <c r="AA300" i="15"/>
  <c r="BC585" i="7"/>
  <c r="C323" i="15"/>
  <c r="BC439" i="7"/>
  <c r="W307" i="15"/>
  <c r="Y307" i="15" s="1"/>
  <c r="BC437" i="7"/>
  <c r="W305" i="15"/>
  <c r="Y305" i="15" s="1"/>
  <c r="AA307" i="15"/>
  <c r="BE439" i="7"/>
  <c r="BE437" i="7"/>
  <c r="AA305" i="15"/>
  <c r="BC438" i="7"/>
  <c r="W306" i="15"/>
  <c r="Y306" i="15" s="1"/>
  <c r="BE127" i="6"/>
  <c r="F1442" i="6"/>
  <c r="F1534" i="6"/>
  <c r="F1596" i="6"/>
  <c r="F1453" i="6"/>
  <c r="F1424" i="6"/>
  <c r="F1438" i="6"/>
  <c r="F1562" i="6"/>
  <c r="BE8" i="5"/>
  <c r="AA60" i="15"/>
  <c r="I41" i="5"/>
  <c r="N63" i="15" s="1"/>
  <c r="V63" i="15" s="1"/>
  <c r="H63" i="15"/>
  <c r="AM63" i="15" s="1"/>
  <c r="BE79" i="5"/>
  <c r="AA69" i="15"/>
  <c r="BE114" i="5"/>
  <c r="AA71" i="15"/>
  <c r="J149" i="5"/>
  <c r="N73" i="15" s="1"/>
  <c r="U73" i="15" s="1"/>
  <c r="H73" i="15"/>
  <c r="AM73" i="15" s="1"/>
  <c r="BC184" i="5"/>
  <c r="W75" i="15"/>
  <c r="Y75" i="15" s="1"/>
  <c r="BC212" i="5"/>
  <c r="W76" i="15"/>
  <c r="Y76" i="15" s="1"/>
  <c r="BC7" i="5"/>
  <c r="W59" i="15"/>
  <c r="Y59" i="15" s="1"/>
  <c r="BC9" i="5"/>
  <c r="W61" i="15"/>
  <c r="Y61" i="15" s="1"/>
  <c r="BC40" i="5"/>
  <c r="W62" i="15"/>
  <c r="Y62" i="15" s="1"/>
  <c r="BC113" i="5"/>
  <c r="W70" i="15"/>
  <c r="Y70" i="15" s="1"/>
  <c r="BC148" i="5"/>
  <c r="W72" i="15"/>
  <c r="Y72" i="15" s="1"/>
  <c r="BE184" i="5"/>
  <c r="AA75" i="15"/>
  <c r="BE212" i="5"/>
  <c r="AA76" i="15"/>
  <c r="BC213" i="5"/>
  <c r="W77" i="15"/>
  <c r="Y77" i="15" s="1"/>
  <c r="BC214" i="5"/>
  <c r="W78" i="15"/>
  <c r="Y78" i="15" s="1"/>
  <c r="BC215" i="5"/>
  <c r="BD215" i="5" s="1"/>
  <c r="AD79" i="15" s="1"/>
  <c r="AB79" i="15" s="1"/>
  <c r="W79" i="15"/>
  <c r="Y79" i="15" s="1"/>
  <c r="BC216" i="5"/>
  <c r="BD216" i="5" s="1"/>
  <c r="AD80" i="15" s="1"/>
  <c r="AB80" i="15" s="1"/>
  <c r="W80" i="15"/>
  <c r="Y80" i="15" s="1"/>
  <c r="BC217" i="5"/>
  <c r="BD217" i="5" s="1"/>
  <c r="W81" i="15"/>
  <c r="Y81" i="15" s="1"/>
  <c r="BE7" i="5"/>
  <c r="AA59" i="15"/>
  <c r="BE9" i="5"/>
  <c r="AA61" i="15"/>
  <c r="BE40" i="5"/>
  <c r="AA62" i="15"/>
  <c r="BC41" i="5"/>
  <c r="W63" i="15"/>
  <c r="Y63" i="15" s="1"/>
  <c r="BC42" i="5"/>
  <c r="BD42" i="5" s="1"/>
  <c r="W64" i="15"/>
  <c r="Y64" i="15" s="1"/>
  <c r="BC43" i="5"/>
  <c r="W65" i="15"/>
  <c r="Y65" i="15" s="1"/>
  <c r="BC44" i="5"/>
  <c r="BD44" i="5" s="1"/>
  <c r="W66" i="15"/>
  <c r="Y66" i="15" s="1"/>
  <c r="BC45" i="5"/>
  <c r="W67" i="15"/>
  <c r="Y67" i="15" s="1"/>
  <c r="BC78" i="5"/>
  <c r="BD78" i="5" s="1"/>
  <c r="W68" i="15"/>
  <c r="Y68" i="15" s="1"/>
  <c r="BE113" i="5"/>
  <c r="AA70" i="15"/>
  <c r="BE148" i="5"/>
  <c r="AA72" i="15"/>
  <c r="BC149" i="5"/>
  <c r="BD149" i="5" s="1"/>
  <c r="W73" i="15"/>
  <c r="Y73" i="15" s="1"/>
  <c r="BE183" i="5"/>
  <c r="BE213" i="5"/>
  <c r="AA77" i="15"/>
  <c r="BE214" i="5"/>
  <c r="AA78" i="15"/>
  <c r="BE215" i="5"/>
  <c r="AA79" i="15"/>
  <c r="BE216" i="5"/>
  <c r="AA80" i="15"/>
  <c r="BE217" i="5"/>
  <c r="AA81" i="15"/>
  <c r="F7" i="5"/>
  <c r="H59" i="15" s="1"/>
  <c r="AM59" i="15" s="1"/>
  <c r="BC8" i="5"/>
  <c r="W60" i="15"/>
  <c r="Y60" i="15" s="1"/>
  <c r="BE41" i="5"/>
  <c r="AA63" i="15"/>
  <c r="BE42" i="5"/>
  <c r="AA64" i="15"/>
  <c r="BE43" i="5"/>
  <c r="AA65" i="15"/>
  <c r="BE44" i="5"/>
  <c r="AA66" i="15"/>
  <c r="BE45" i="5"/>
  <c r="AA67" i="15"/>
  <c r="BE78" i="5"/>
  <c r="AA68" i="15"/>
  <c r="BC79" i="5"/>
  <c r="BD79" i="5" s="1"/>
  <c r="W69" i="15"/>
  <c r="Y69" i="15" s="1"/>
  <c r="BC114" i="5"/>
  <c r="BD114" i="5" s="1"/>
  <c r="W71" i="15"/>
  <c r="Y71" i="15" s="1"/>
  <c r="BE149" i="5"/>
  <c r="AA73" i="15"/>
  <c r="BC183" i="5"/>
  <c r="BD183" i="5" s="1"/>
  <c r="AD74" i="15" s="1"/>
  <c r="AB74" i="15" s="1"/>
  <c r="W74" i="15"/>
  <c r="Y74" i="15" s="1"/>
  <c r="BE1150" i="7"/>
  <c r="AA393" i="15"/>
  <c r="BC431" i="9"/>
  <c r="B464" i="15"/>
  <c r="AL464" i="15" s="1"/>
  <c r="BC435" i="9"/>
  <c r="B468" i="15"/>
  <c r="AL468" i="15" s="1"/>
  <c r="BC439" i="9"/>
  <c r="B472" i="15"/>
  <c r="AL472" i="15" s="1"/>
  <c r="F19" i="3"/>
  <c r="H21" i="15" s="1"/>
  <c r="AM21" i="15" s="1"/>
  <c r="F23" i="3"/>
  <c r="H25" i="15" s="1"/>
  <c r="AM25" i="15" s="1"/>
  <c r="F20" i="3"/>
  <c r="H22" i="15" s="1"/>
  <c r="AM22" i="15" s="1"/>
  <c r="O26" i="3"/>
  <c r="BE26" i="3" s="1"/>
  <c r="J698" i="2"/>
  <c r="N598" i="15" s="1"/>
  <c r="H598" i="15"/>
  <c r="AM598" i="15" s="1"/>
  <c r="K698" i="2"/>
  <c r="O598" i="15" s="1"/>
  <c r="V598" i="15" s="1"/>
  <c r="U598" i="15" s="1"/>
  <c r="T598" i="15" s="1"/>
  <c r="I598" i="15"/>
  <c r="DD699" i="2"/>
  <c r="H599" i="15"/>
  <c r="AM599" i="15" s="1"/>
  <c r="K699" i="2"/>
  <c r="O599" i="15" s="1"/>
  <c r="V599" i="15" s="1"/>
  <c r="U599" i="15" s="1"/>
  <c r="T599" i="15" s="1"/>
  <c r="I599" i="15"/>
  <c r="BC27" i="3"/>
  <c r="W29" i="15"/>
  <c r="Y29" i="15" s="1"/>
  <c r="F58" i="5"/>
  <c r="BC8" i="3"/>
  <c r="W10" i="15"/>
  <c r="Y10" i="15" s="1"/>
  <c r="BC10" i="3"/>
  <c r="W12" i="15"/>
  <c r="Y12" i="15" s="1"/>
  <c r="BC12" i="3"/>
  <c r="W14" i="15"/>
  <c r="Y14" i="15" s="1"/>
  <c r="BC14" i="3"/>
  <c r="W16" i="15"/>
  <c r="Y16" i="15" s="1"/>
  <c r="BC16" i="3"/>
  <c r="W18" i="15"/>
  <c r="Y18" i="15" s="1"/>
  <c r="BC18" i="3"/>
  <c r="W20" i="15"/>
  <c r="Y20" i="15" s="1"/>
  <c r="BC20" i="3"/>
  <c r="W22" i="15"/>
  <c r="Y22" i="15" s="1"/>
  <c r="BC22" i="3"/>
  <c r="W24" i="15"/>
  <c r="Y24" i="15" s="1"/>
  <c r="BC24" i="3"/>
  <c r="W26" i="15"/>
  <c r="Y26" i="15" s="1"/>
  <c r="BC26" i="3"/>
  <c r="W28" i="15"/>
  <c r="Y28" i="15" s="1"/>
  <c r="F59" i="5"/>
  <c r="E42" i="5" s="1"/>
  <c r="F64" i="15" s="1"/>
  <c r="BC7" i="3"/>
  <c r="W9" i="15"/>
  <c r="Y9" i="15" s="1"/>
  <c r="BC9" i="3"/>
  <c r="W11" i="15"/>
  <c r="Y11" i="15" s="1"/>
  <c r="BC11" i="3"/>
  <c r="W13" i="15"/>
  <c r="Y13" i="15" s="1"/>
  <c r="BC13" i="3"/>
  <c r="W15" i="15"/>
  <c r="Y15" i="15" s="1"/>
  <c r="BC15" i="3"/>
  <c r="W17" i="15"/>
  <c r="Y17" i="15" s="1"/>
  <c r="BC17" i="3"/>
  <c r="W19" i="15"/>
  <c r="Y19" i="15" s="1"/>
  <c r="BC19" i="3"/>
  <c r="W21" i="15"/>
  <c r="Y21" i="15" s="1"/>
  <c r="BC21" i="3"/>
  <c r="W23" i="15"/>
  <c r="Y23" i="15" s="1"/>
  <c r="BC23" i="3"/>
  <c r="BD23" i="3" s="1"/>
  <c r="AD25" i="15" s="1"/>
  <c r="AB25" i="15" s="1"/>
  <c r="W25" i="15"/>
  <c r="Y25" i="15" s="1"/>
  <c r="BC25" i="3"/>
  <c r="W27" i="15"/>
  <c r="Y27" i="15" s="1"/>
  <c r="BC28" i="3"/>
  <c r="BD28" i="3" s="1"/>
  <c r="AD30" i="15" s="1"/>
  <c r="AB30" i="15" s="1"/>
  <c r="W30" i="15"/>
  <c r="Y30" i="15" s="1"/>
  <c r="Y219" i="15"/>
  <c r="DC14" i="2"/>
  <c r="DD14" i="2" s="1"/>
  <c r="W487" i="15"/>
  <c r="H140" i="15"/>
  <c r="H144" i="15"/>
  <c r="H142" i="15"/>
  <c r="BC14" i="6"/>
  <c r="W87" i="15"/>
  <c r="Y87" i="15" s="1"/>
  <c r="BC114" i="6"/>
  <c r="BD114" i="6" s="1"/>
  <c r="AF92" i="15" s="1"/>
  <c r="AC92" i="15" s="1"/>
  <c r="X92" i="15"/>
  <c r="BC116" i="6"/>
  <c r="BD116" i="6" s="1"/>
  <c r="AF93" i="15" s="1"/>
  <c r="AC93" i="15" s="1"/>
  <c r="X93" i="15"/>
  <c r="BE117" i="6"/>
  <c r="AA94" i="15"/>
  <c r="BC121" i="6"/>
  <c r="W97" i="15"/>
  <c r="Y97" i="15" s="1"/>
  <c r="F208" i="6"/>
  <c r="F280" i="6" s="1"/>
  <c r="F352" i="6" s="1"/>
  <c r="F424" i="6" s="1"/>
  <c r="F496" i="6" s="1"/>
  <c r="F568" i="6" s="1"/>
  <c r="F640" i="6" s="1"/>
  <c r="F712" i="6" s="1"/>
  <c r="F99" i="15"/>
  <c r="BC128" i="6"/>
  <c r="W102" i="15"/>
  <c r="BC134" i="6"/>
  <c r="BD134" i="6" s="1"/>
  <c r="AF105" i="15" s="1"/>
  <c r="AC105" i="15" s="1"/>
  <c r="X105" i="15"/>
  <c r="BC135" i="6"/>
  <c r="W106" i="15"/>
  <c r="Y106" i="15" s="1"/>
  <c r="BC138" i="6"/>
  <c r="X108" i="15"/>
  <c r="BC143" i="6"/>
  <c r="BD143" i="6" s="1"/>
  <c r="AF111" i="15" s="1"/>
  <c r="AC111" i="15" s="1"/>
  <c r="X111" i="15"/>
  <c r="BC144" i="6"/>
  <c r="BD144" i="6" s="1"/>
  <c r="W112" i="15"/>
  <c r="Y112" i="15" s="1"/>
  <c r="BC776" i="6"/>
  <c r="X138" i="15"/>
  <c r="BC777" i="6"/>
  <c r="BD777" i="6" s="1"/>
  <c r="W139" i="15"/>
  <c r="Y139" i="15" s="1"/>
  <c r="H141" i="15"/>
  <c r="BC784" i="6"/>
  <c r="BD784" i="6" s="1"/>
  <c r="AF142" i="15" s="1"/>
  <c r="X142" i="15"/>
  <c r="BC786" i="6"/>
  <c r="BD786" i="6" s="1"/>
  <c r="AD143" i="15" s="1"/>
  <c r="W143" i="15"/>
  <c r="Y143" i="15" s="1"/>
  <c r="J810" i="6"/>
  <c r="W153" i="15"/>
  <c r="Y153" i="15" s="1"/>
  <c r="J822" i="6"/>
  <c r="W157" i="15"/>
  <c r="Y157" i="15" s="1"/>
  <c r="BE777" i="6"/>
  <c r="AA139" i="15"/>
  <c r="BE780" i="6"/>
  <c r="AA141" i="15"/>
  <c r="BE786" i="6"/>
  <c r="AA143" i="15"/>
  <c r="J1181" i="6"/>
  <c r="BC1181" i="6" s="1"/>
  <c r="BD1181" i="6" s="1"/>
  <c r="AE159" i="15" s="1"/>
  <c r="W159" i="15"/>
  <c r="Y159" i="15" s="1"/>
  <c r="J1183" i="6"/>
  <c r="BC1183" i="6" s="1"/>
  <c r="BD1183" i="6" s="1"/>
  <c r="AE160" i="15" s="1"/>
  <c r="W160" i="15"/>
  <c r="Y160" i="15" s="1"/>
  <c r="J1185" i="6"/>
  <c r="BC1185" i="6" s="1"/>
  <c r="BD1185" i="6" s="1"/>
  <c r="AE161" i="15" s="1"/>
  <c r="W161" i="15"/>
  <c r="Y161" i="15" s="1"/>
  <c r="BC1186" i="6"/>
  <c r="W162" i="15"/>
  <c r="Y162" i="15" s="1"/>
  <c r="J1189" i="6"/>
  <c r="BC1189" i="6" s="1"/>
  <c r="BD1189" i="6" s="1"/>
  <c r="AE163" i="15" s="1"/>
  <c r="W163" i="15"/>
  <c r="Y163" i="15" s="1"/>
  <c r="F1783" i="6"/>
  <c r="F246" i="15"/>
  <c r="BC9" i="6"/>
  <c r="W84" i="15"/>
  <c r="BC10" i="6"/>
  <c r="X84" i="15"/>
  <c r="BC11" i="6"/>
  <c r="W85" i="15"/>
  <c r="BC12" i="6"/>
  <c r="X85" i="15"/>
  <c r="BC13" i="6"/>
  <c r="W86" i="15"/>
  <c r="Y86" i="15" s="1"/>
  <c r="BE7" i="6"/>
  <c r="AA82" i="15"/>
  <c r="BE13" i="6"/>
  <c r="AA86" i="15"/>
  <c r="BC112" i="6"/>
  <c r="W91" i="15"/>
  <c r="Y91" i="15" s="1"/>
  <c r="BC113" i="6"/>
  <c r="BD113" i="6" s="1"/>
  <c r="AD92" i="15" s="1"/>
  <c r="AB92" i="15" s="1"/>
  <c r="W92" i="15"/>
  <c r="BC115" i="6"/>
  <c r="BD115" i="6" s="1"/>
  <c r="AD93" i="15" s="1"/>
  <c r="AB93" i="15" s="1"/>
  <c r="W93" i="15"/>
  <c r="BC125" i="6"/>
  <c r="BD125" i="6" s="1"/>
  <c r="AF99" i="15" s="1"/>
  <c r="AC99" i="15" s="1"/>
  <c r="X99" i="15"/>
  <c r="BC126" i="6"/>
  <c r="BD126" i="6" s="1"/>
  <c r="W100" i="15"/>
  <c r="Y100" i="15" s="1"/>
  <c r="BC132" i="6"/>
  <c r="BD132" i="6" s="1"/>
  <c r="AF104" i="15" s="1"/>
  <c r="AC104" i="15" s="1"/>
  <c r="X104" i="15"/>
  <c r="BC133" i="6"/>
  <c r="W105" i="15"/>
  <c r="F220" i="6"/>
  <c r="F292" i="6" s="1"/>
  <c r="F364" i="6" s="1"/>
  <c r="F436" i="6" s="1"/>
  <c r="F508" i="6" s="1"/>
  <c r="F580" i="6" s="1"/>
  <c r="F652" i="6" s="1"/>
  <c r="F724" i="6" s="1"/>
  <c r="F107" i="15"/>
  <c r="BC141" i="6"/>
  <c r="BD141" i="6" s="1"/>
  <c r="AF110" i="15" s="1"/>
  <c r="AC110" i="15" s="1"/>
  <c r="X110" i="15"/>
  <c r="BC142" i="6"/>
  <c r="BD142" i="6" s="1"/>
  <c r="AD111" i="15" s="1"/>
  <c r="AB111" i="15" s="1"/>
  <c r="W111" i="15"/>
  <c r="F229" i="6"/>
  <c r="F301" i="6" s="1"/>
  <c r="F373" i="6" s="1"/>
  <c r="F445" i="6" s="1"/>
  <c r="F517" i="6" s="1"/>
  <c r="F589" i="6" s="1"/>
  <c r="F661" i="6" s="1"/>
  <c r="F733" i="6" s="1"/>
  <c r="F113" i="15"/>
  <c r="BE118" i="6"/>
  <c r="AA95" i="15"/>
  <c r="BE130" i="6"/>
  <c r="AA103" i="15"/>
  <c r="BE139" i="6"/>
  <c r="AA109" i="15"/>
  <c r="BC775" i="6"/>
  <c r="BD775" i="6" s="1"/>
  <c r="AD138" i="15" s="1"/>
  <c r="AB138" i="15" s="1"/>
  <c r="W138" i="15"/>
  <c r="BC782" i="6"/>
  <c r="BD782" i="6" s="1"/>
  <c r="AD142" i="15" s="1"/>
  <c r="W142" i="15"/>
  <c r="BC792" i="6"/>
  <c r="W145" i="15"/>
  <c r="BE1180" i="6"/>
  <c r="AA159" i="15"/>
  <c r="F1214" i="6"/>
  <c r="F1274" i="6" s="1"/>
  <c r="F160" i="15"/>
  <c r="BE1182" i="6"/>
  <c r="AA160" i="15"/>
  <c r="BE1184" i="6"/>
  <c r="AA161" i="15"/>
  <c r="F1216" i="6"/>
  <c r="F1264" i="6" s="1"/>
  <c r="F162" i="15"/>
  <c r="BE1186" i="6"/>
  <c r="AA162" i="15"/>
  <c r="BE1188" i="6"/>
  <c r="AA163" i="15"/>
  <c r="BC1190" i="6"/>
  <c r="BD1190" i="6" s="1"/>
  <c r="AD164" i="15" s="1"/>
  <c r="W164" i="15"/>
  <c r="Y164" i="15" s="1"/>
  <c r="F2171" i="6"/>
  <c r="F250" i="15"/>
  <c r="F1791" i="6"/>
  <c r="F254" i="15"/>
  <c r="BC8" i="6"/>
  <c r="W83" i="15"/>
  <c r="Y83" i="15" s="1"/>
  <c r="BE14" i="6"/>
  <c r="AA87" i="15"/>
  <c r="BC111" i="6"/>
  <c r="X90" i="15"/>
  <c r="BE112" i="6"/>
  <c r="AA91" i="15"/>
  <c r="F199" i="6"/>
  <c r="F271" i="6" s="1"/>
  <c r="F343" i="6" s="1"/>
  <c r="F415" i="6" s="1"/>
  <c r="F487" i="6" s="1"/>
  <c r="F559" i="6" s="1"/>
  <c r="F631" i="6" s="1"/>
  <c r="F703" i="6" s="1"/>
  <c r="F93" i="15"/>
  <c r="F202" i="6"/>
  <c r="F274" i="6" s="1"/>
  <c r="F346" i="6" s="1"/>
  <c r="F418" i="6" s="1"/>
  <c r="F490" i="6" s="1"/>
  <c r="F562" i="6" s="1"/>
  <c r="F634" i="6" s="1"/>
  <c r="F706" i="6" s="1"/>
  <c r="F95" i="15"/>
  <c r="BC123" i="6"/>
  <c r="BD123" i="6" s="1"/>
  <c r="AF98" i="15" s="1"/>
  <c r="AC98" i="15" s="1"/>
  <c r="X98" i="15"/>
  <c r="BC124" i="6"/>
  <c r="BD124" i="6" s="1"/>
  <c r="AD99" i="15" s="1"/>
  <c r="AB99" i="15" s="1"/>
  <c r="W99" i="15"/>
  <c r="F211" i="6"/>
  <c r="F283" i="6" s="1"/>
  <c r="F355" i="6" s="1"/>
  <c r="F427" i="6" s="1"/>
  <c r="F499" i="6" s="1"/>
  <c r="F571" i="6" s="1"/>
  <c r="F643" i="6" s="1"/>
  <c r="F715" i="6" s="1"/>
  <c r="F101" i="15"/>
  <c r="BC131" i="6"/>
  <c r="BD131" i="6" s="1"/>
  <c r="AD104" i="15" s="1"/>
  <c r="AB104" i="15" s="1"/>
  <c r="W104" i="15"/>
  <c r="BC137" i="6"/>
  <c r="W108" i="15"/>
  <c r="BC140" i="6"/>
  <c r="BD140" i="6" s="1"/>
  <c r="AD110" i="15" s="1"/>
  <c r="AB110" i="15" s="1"/>
  <c r="W110" i="15"/>
  <c r="BE121" i="6"/>
  <c r="AA97" i="15"/>
  <c r="BE135" i="6"/>
  <c r="AA106" i="15"/>
  <c r="BE144" i="6"/>
  <c r="AA112" i="15"/>
  <c r="BC780" i="6"/>
  <c r="BD780" i="6" s="1"/>
  <c r="AD141" i="15" s="1"/>
  <c r="W141" i="15"/>
  <c r="Y141" i="15" s="1"/>
  <c r="H143" i="15"/>
  <c r="BC790" i="6"/>
  <c r="X144" i="15"/>
  <c r="J797" i="6"/>
  <c r="W147" i="15"/>
  <c r="Y147" i="15" s="1"/>
  <c r="J800" i="6"/>
  <c r="W149" i="15"/>
  <c r="Y149" i="15" s="1"/>
  <c r="F1092" i="6"/>
  <c r="F150" i="15"/>
  <c r="F1096" i="6"/>
  <c r="F154" i="15"/>
  <c r="F1102" i="6"/>
  <c r="F158" i="15"/>
  <c r="BE775" i="6"/>
  <c r="AA138" i="15"/>
  <c r="BE778" i="6"/>
  <c r="AA140" i="15"/>
  <c r="BE782" i="6"/>
  <c r="AA142" i="15"/>
  <c r="BE788" i="6"/>
  <c r="AA144" i="15"/>
  <c r="H159" i="15"/>
  <c r="AM159" i="15"/>
  <c r="H160" i="15"/>
  <c r="AM160" i="15"/>
  <c r="I1184" i="6"/>
  <c r="P161" i="15" s="1"/>
  <c r="J161" i="15"/>
  <c r="I1185" i="6"/>
  <c r="Q161" i="15" s="1"/>
  <c r="K161" i="15"/>
  <c r="AM162" i="15"/>
  <c r="H162" i="15"/>
  <c r="AM163" i="15"/>
  <c r="H163" i="15"/>
  <c r="F1218" i="6"/>
  <c r="F164" i="15"/>
  <c r="BE1190" i="6"/>
  <c r="AA164" i="15"/>
  <c r="F2161" i="6"/>
  <c r="F242" i="15"/>
  <c r="BC7" i="6"/>
  <c r="W82" i="15"/>
  <c r="Y82" i="15" s="1"/>
  <c r="BC15" i="6"/>
  <c r="W88" i="15"/>
  <c r="BC16" i="6"/>
  <c r="X88" i="15"/>
  <c r="BC17" i="6"/>
  <c r="W89" i="15"/>
  <c r="BC18" i="6"/>
  <c r="X89" i="15"/>
  <c r="BE8" i="6"/>
  <c r="AA83" i="15"/>
  <c r="BC110" i="6"/>
  <c r="BD110" i="6" s="1"/>
  <c r="AD90" i="15" s="1"/>
  <c r="AB90" i="15" s="1"/>
  <c r="W90" i="15"/>
  <c r="BC119" i="6"/>
  <c r="W96" i="15"/>
  <c r="Y96" i="15" s="1"/>
  <c r="BC122" i="6"/>
  <c r="BD122" i="6" s="1"/>
  <c r="AD98" i="15" s="1"/>
  <c r="AB98" i="15" s="1"/>
  <c r="W98" i="15"/>
  <c r="BC129" i="6"/>
  <c r="X102" i="15"/>
  <c r="BC130" i="6"/>
  <c r="BD130" i="6" s="1"/>
  <c r="W103" i="15"/>
  <c r="Y103" i="15" s="1"/>
  <c r="F217" i="6"/>
  <c r="F289" i="6" s="1"/>
  <c r="F361" i="6" s="1"/>
  <c r="F433" i="6" s="1"/>
  <c r="F505" i="6" s="1"/>
  <c r="F577" i="6" s="1"/>
  <c r="F649" i="6" s="1"/>
  <c r="F721" i="6" s="1"/>
  <c r="F105" i="15"/>
  <c r="BE136" i="6"/>
  <c r="AA107" i="15"/>
  <c r="BC139" i="6"/>
  <c r="W109" i="15"/>
  <c r="Y109" i="15" s="1"/>
  <c r="F226" i="6"/>
  <c r="F298" i="6" s="1"/>
  <c r="F370" i="6" s="1"/>
  <c r="F442" i="6" s="1"/>
  <c r="F514" i="6" s="1"/>
  <c r="F586" i="6" s="1"/>
  <c r="F658" i="6" s="1"/>
  <c r="F730" i="6" s="1"/>
  <c r="F111" i="15"/>
  <c r="BC145" i="6"/>
  <c r="W113" i="15"/>
  <c r="Y113" i="15" s="1"/>
  <c r="BE126" i="6"/>
  <c r="AA100" i="15"/>
  <c r="BE145" i="6"/>
  <c r="AA113" i="15"/>
  <c r="BC778" i="6"/>
  <c r="BD778" i="6" s="1"/>
  <c r="AD140" i="15" s="1"/>
  <c r="W140" i="15"/>
  <c r="Y140" i="15" s="1"/>
  <c r="BC788" i="6"/>
  <c r="W144" i="15"/>
  <c r="J795" i="6"/>
  <c r="X145" i="15"/>
  <c r="F1091" i="6"/>
  <c r="F148" i="15"/>
  <c r="J804" i="6"/>
  <c r="W151" i="15"/>
  <c r="Y151" i="15" s="1"/>
  <c r="F1094" i="6"/>
  <c r="F152" i="15"/>
  <c r="F1100" i="6"/>
  <c r="F156" i="15"/>
  <c r="AM164" i="15"/>
  <c r="H164" i="15"/>
  <c r="H165" i="15"/>
  <c r="AM165" i="15"/>
  <c r="AM166" i="15"/>
  <c r="H166" i="15"/>
  <c r="H167" i="15"/>
  <c r="AM167" i="15"/>
  <c r="AM168" i="15"/>
  <c r="H168" i="15"/>
  <c r="F2036" i="6"/>
  <c r="F244" i="15"/>
  <c r="BC1388" i="6"/>
  <c r="W169" i="15"/>
  <c r="BE1398" i="6"/>
  <c r="AA172" i="15"/>
  <c r="BC1402" i="6"/>
  <c r="X173" i="15"/>
  <c r="BC1404" i="6"/>
  <c r="W174" i="15"/>
  <c r="BC1414" i="6"/>
  <c r="X177" i="15"/>
  <c r="AM179" i="15"/>
  <c r="H179" i="15"/>
  <c r="J1430" i="6"/>
  <c r="W182" i="15" s="1"/>
  <c r="Y182" i="15" s="1"/>
  <c r="W181" i="15"/>
  <c r="Y181" i="15" s="1"/>
  <c r="AM185" i="15"/>
  <c r="H185" i="15"/>
  <c r="J1446" i="6"/>
  <c r="W188" i="15" s="1"/>
  <c r="Y188" i="15" s="1"/>
  <c r="W187" i="15"/>
  <c r="Y187" i="15" s="1"/>
  <c r="J1458" i="6"/>
  <c r="W192" i="15" s="1"/>
  <c r="Y192" i="15" s="1"/>
  <c r="W191" i="15"/>
  <c r="Y191" i="15" s="1"/>
  <c r="J1464" i="6"/>
  <c r="W195" i="15" s="1"/>
  <c r="Y195" i="15" s="1"/>
  <c r="W194" i="15"/>
  <c r="Y194" i="15" s="1"/>
  <c r="AM196" i="15"/>
  <c r="H196" i="15"/>
  <c r="AM199" i="15"/>
  <c r="H199" i="15"/>
  <c r="AM202" i="15"/>
  <c r="H202" i="15"/>
  <c r="J1486" i="6"/>
  <c r="W205" i="15" s="1"/>
  <c r="Y205" i="15" s="1"/>
  <c r="W204" i="15"/>
  <c r="Y204" i="15" s="1"/>
  <c r="BC1488" i="6"/>
  <c r="BD1488" i="6" s="1"/>
  <c r="AD206" i="15" s="1"/>
  <c r="W206" i="15"/>
  <c r="AM212" i="15"/>
  <c r="H212" i="15"/>
  <c r="BC1512" i="6"/>
  <c r="W214" i="15"/>
  <c r="AM216" i="15"/>
  <c r="H216" i="15"/>
  <c r="BC1524" i="6"/>
  <c r="BD1524" i="6" s="1"/>
  <c r="AD218" i="15" s="1"/>
  <c r="W218" i="15"/>
  <c r="AM224" i="15"/>
  <c r="H224" i="15"/>
  <c r="J1560" i="6"/>
  <c r="W227" i="15" s="1"/>
  <c r="W226" i="15"/>
  <c r="Y226" i="15" s="1"/>
  <c r="BC1564" i="6"/>
  <c r="W228" i="15"/>
  <c r="BC1586" i="6"/>
  <c r="X233" i="15"/>
  <c r="BC1588" i="6"/>
  <c r="W234" i="15"/>
  <c r="Y234" i="15" s="1"/>
  <c r="AM240" i="15"/>
  <c r="H240" i="15"/>
  <c r="AM243" i="15"/>
  <c r="H243" i="15"/>
  <c r="AM245" i="15"/>
  <c r="H245" i="15"/>
  <c r="J1638" i="6"/>
  <c r="W252" i="15" s="1"/>
  <c r="Y252" i="15" s="1"/>
  <c r="W251" i="15"/>
  <c r="Y251" i="15" s="1"/>
  <c r="J1642" i="6"/>
  <c r="W254" i="15" s="1"/>
  <c r="Y254" i="15" s="1"/>
  <c r="W253" i="15"/>
  <c r="Y253" i="15" s="1"/>
  <c r="BC1392" i="6"/>
  <c r="W170" i="15"/>
  <c r="BC1394" i="6"/>
  <c r="X170" i="15"/>
  <c r="BC1396" i="6"/>
  <c r="W171" i="15"/>
  <c r="Y171" i="15" s="1"/>
  <c r="BC1410" i="6"/>
  <c r="W176" i="15"/>
  <c r="Y176" i="15" s="1"/>
  <c r="J1416" i="6"/>
  <c r="W178" i="15" s="1"/>
  <c r="W177" i="15"/>
  <c r="J1436" i="6"/>
  <c r="W184" i="15" s="1"/>
  <c r="W183" i="15"/>
  <c r="Y183" i="15" s="1"/>
  <c r="BC1460" i="6"/>
  <c r="W193" i="15"/>
  <c r="Y193" i="15" s="1"/>
  <c r="J1476" i="6"/>
  <c r="W201" i="15" s="1"/>
  <c r="Y201" i="15" s="1"/>
  <c r="W200" i="15"/>
  <c r="Y200" i="15" s="1"/>
  <c r="BC1480" i="6"/>
  <c r="BD1480" i="6" s="1"/>
  <c r="AF202" i="15" s="1"/>
  <c r="X202" i="15"/>
  <c r="BC1482" i="6"/>
  <c r="W203" i="15"/>
  <c r="Y203" i="15" s="1"/>
  <c r="AM207" i="15"/>
  <c r="H207" i="15"/>
  <c r="AM208" i="15"/>
  <c r="BC1500" i="6"/>
  <c r="W209" i="15"/>
  <c r="Y209" i="15" s="1"/>
  <c r="BC1508" i="6"/>
  <c r="X212" i="15"/>
  <c r="BC1510" i="6"/>
  <c r="BD1510" i="6" s="1"/>
  <c r="W213" i="15"/>
  <c r="Y213" i="15" s="1"/>
  <c r="AM215" i="15"/>
  <c r="H215" i="15"/>
  <c r="BC1520" i="6"/>
  <c r="X216" i="15"/>
  <c r="BC1522" i="6"/>
  <c r="BD1522" i="6" s="1"/>
  <c r="AD217" i="15" s="1"/>
  <c r="W217" i="15"/>
  <c r="Y217" i="15" s="1"/>
  <c r="AM219" i="15"/>
  <c r="H219" i="15"/>
  <c r="AM221" i="15"/>
  <c r="H221" i="15"/>
  <c r="AM223" i="15"/>
  <c r="H223" i="15"/>
  <c r="J1554" i="6"/>
  <c r="X225" i="15" s="1"/>
  <c r="X224" i="15"/>
  <c r="AM229" i="15"/>
  <c r="H229" i="15"/>
  <c r="AM231" i="15"/>
  <c r="H231" i="15"/>
  <c r="AM232" i="15"/>
  <c r="BC1584" i="6"/>
  <c r="W233" i="15"/>
  <c r="AM235" i="15"/>
  <c r="H235" i="15"/>
  <c r="AM237" i="15"/>
  <c r="H237" i="15"/>
  <c r="AM239" i="15"/>
  <c r="H239" i="15"/>
  <c r="J1614" i="6"/>
  <c r="W242" i="15" s="1"/>
  <c r="Y242" i="15" s="1"/>
  <c r="W241" i="15"/>
  <c r="Y241" i="15" s="1"/>
  <c r="J1622" i="6"/>
  <c r="X244" i="15" s="1"/>
  <c r="X243" i="15"/>
  <c r="AM247" i="15"/>
  <c r="H247" i="15"/>
  <c r="AM249" i="15"/>
  <c r="H249" i="15"/>
  <c r="BC1390" i="6"/>
  <c r="X169" i="15"/>
  <c r="BC1400" i="6"/>
  <c r="W173" i="15"/>
  <c r="AM174" i="15"/>
  <c r="H174" i="15"/>
  <c r="BC1408" i="6"/>
  <c r="W175" i="15"/>
  <c r="Y175" i="15" s="1"/>
  <c r="BE1410" i="6"/>
  <c r="AA176" i="15"/>
  <c r="J1424" i="6"/>
  <c r="W180" i="15" s="1"/>
  <c r="W179" i="15"/>
  <c r="Y179" i="15" s="1"/>
  <c r="AM181" i="15"/>
  <c r="H181" i="15"/>
  <c r="J1442" i="6"/>
  <c r="W186" i="15" s="1"/>
  <c r="Y186" i="15" s="1"/>
  <c r="W185" i="15"/>
  <c r="Y185" i="15" s="1"/>
  <c r="AM187" i="15"/>
  <c r="H187" i="15"/>
  <c r="J1454" i="6"/>
  <c r="X190" i="15" s="1"/>
  <c r="X189" i="15"/>
  <c r="AM191" i="15"/>
  <c r="H191" i="15"/>
  <c r="AM194" i="15"/>
  <c r="H194" i="15"/>
  <c r="BC1466" i="6"/>
  <c r="BD1466" i="6" s="1"/>
  <c r="AD196" i="15" s="1"/>
  <c r="W196" i="15"/>
  <c r="Y196" i="15" s="1"/>
  <c r="BC1472" i="6"/>
  <c r="BD1472" i="6" s="1"/>
  <c r="AD199" i="15" s="1"/>
  <c r="W199" i="15"/>
  <c r="Y199" i="15" s="1"/>
  <c r="BC1478" i="6"/>
  <c r="W202" i="15"/>
  <c r="AM204" i="15"/>
  <c r="H204" i="15"/>
  <c r="AM206" i="15"/>
  <c r="H206" i="15"/>
  <c r="BC1494" i="6"/>
  <c r="BD1494" i="6" s="1"/>
  <c r="AF207" i="15" s="1"/>
  <c r="X207" i="15"/>
  <c r="AM210" i="15"/>
  <c r="H210" i="15"/>
  <c r="AM211" i="15"/>
  <c r="H211" i="15"/>
  <c r="BC1506" i="6"/>
  <c r="BD1506" i="6" s="1"/>
  <c r="AD212" i="15" s="1"/>
  <c r="W212" i="15"/>
  <c r="AM214" i="15"/>
  <c r="H214" i="15"/>
  <c r="BC1518" i="6"/>
  <c r="BD1518" i="6" s="1"/>
  <c r="AD216" i="15" s="1"/>
  <c r="W216" i="15"/>
  <c r="AM218" i="15"/>
  <c r="H218" i="15"/>
  <c r="BC1538" i="6"/>
  <c r="BD1538" i="6" s="1"/>
  <c r="AF221" i="15" s="1"/>
  <c r="X221" i="15"/>
  <c r="BC1546" i="6"/>
  <c r="X223" i="15"/>
  <c r="J1552" i="6"/>
  <c r="W225" i="15" s="1"/>
  <c r="W224" i="15"/>
  <c r="AM226" i="15"/>
  <c r="H226" i="15"/>
  <c r="AM228" i="15"/>
  <c r="H228" i="15"/>
  <c r="J1574" i="6"/>
  <c r="X230" i="15" s="1"/>
  <c r="X229" i="15"/>
  <c r="AM234" i="15"/>
  <c r="H234" i="15"/>
  <c r="J1596" i="6"/>
  <c r="X236" i="15" s="1"/>
  <c r="X235" i="15"/>
  <c r="BC1608" i="6"/>
  <c r="X239" i="15"/>
  <c r="BC1610" i="6"/>
  <c r="W240" i="15"/>
  <c r="Y240" i="15" s="1"/>
  <c r="J1620" i="6"/>
  <c r="W244" i="15" s="1"/>
  <c r="W243" i="15"/>
  <c r="J1626" i="6"/>
  <c r="W246" i="15" s="1"/>
  <c r="Y246" i="15" s="1"/>
  <c r="W245" i="15"/>
  <c r="Y245" i="15" s="1"/>
  <c r="AM251" i="15"/>
  <c r="H251" i="15"/>
  <c r="AM253" i="15"/>
  <c r="H253" i="15"/>
  <c r="BE1396" i="6"/>
  <c r="AA171" i="15"/>
  <c r="K1458" i="6"/>
  <c r="AA191" i="15"/>
  <c r="BE1460" i="6"/>
  <c r="AA193" i="15"/>
  <c r="BE1510" i="6"/>
  <c r="AA213" i="15"/>
  <c r="AM171" i="15"/>
  <c r="BC1398" i="6"/>
  <c r="W172" i="15"/>
  <c r="Y172" i="15" s="1"/>
  <c r="BC1406" i="6"/>
  <c r="X174" i="15"/>
  <c r="BE1408" i="6"/>
  <c r="AA175" i="15"/>
  <c r="AM177" i="15"/>
  <c r="H177" i="15"/>
  <c r="AM183" i="15"/>
  <c r="H183" i="15"/>
  <c r="K1442" i="6"/>
  <c r="AA185" i="15"/>
  <c r="AM188" i="15"/>
  <c r="J1452" i="6"/>
  <c r="W190" i="15" s="1"/>
  <c r="W189" i="15"/>
  <c r="AM193" i="15"/>
  <c r="H193" i="15"/>
  <c r="AM197" i="15"/>
  <c r="H197" i="15"/>
  <c r="AM200" i="15"/>
  <c r="H200" i="15"/>
  <c r="AM203" i="15"/>
  <c r="H203" i="15"/>
  <c r="BC1490" i="6"/>
  <c r="BD1490" i="6" s="1"/>
  <c r="AF206" i="15" s="1"/>
  <c r="X206" i="15"/>
  <c r="J1496" i="6"/>
  <c r="W208" i="15" s="1"/>
  <c r="W207" i="15"/>
  <c r="AM209" i="15"/>
  <c r="H209" i="15"/>
  <c r="AM213" i="15"/>
  <c r="H213" i="15"/>
  <c r="BC1514" i="6"/>
  <c r="BD1514" i="6" s="1"/>
  <c r="AF214" i="15" s="1"/>
  <c r="X214" i="15"/>
  <c r="BC1516" i="6"/>
  <c r="W215" i="15"/>
  <c r="Y215" i="15" s="1"/>
  <c r="AM217" i="15"/>
  <c r="H217" i="15"/>
  <c r="BC1526" i="6"/>
  <c r="X218" i="15"/>
  <c r="J1540" i="6"/>
  <c r="W222" i="15" s="1"/>
  <c r="W221" i="15"/>
  <c r="BC1544" i="6"/>
  <c r="W223" i="15"/>
  <c r="BC1566" i="6"/>
  <c r="BD1566" i="6" s="1"/>
  <c r="AF228" i="15" s="1"/>
  <c r="X228" i="15"/>
  <c r="J1572" i="6"/>
  <c r="W230" i="15" s="1"/>
  <c r="W229" i="15"/>
  <c r="J1580" i="6"/>
  <c r="W232" i="15" s="1"/>
  <c r="W231" i="15"/>
  <c r="Y231" i="15" s="1"/>
  <c r="AM233" i="15"/>
  <c r="H233" i="15"/>
  <c r="J1594" i="6"/>
  <c r="W236" i="15" s="1"/>
  <c r="W235" i="15"/>
  <c r="J1602" i="6"/>
  <c r="W238" i="15" s="1"/>
  <c r="W237" i="15"/>
  <c r="Y237" i="15" s="1"/>
  <c r="BC1606" i="6"/>
  <c r="W239" i="15"/>
  <c r="AM241" i="15"/>
  <c r="H241" i="15"/>
  <c r="K1626" i="6"/>
  <c r="AA245" i="15"/>
  <c r="J1630" i="6"/>
  <c r="W248" i="15" s="1"/>
  <c r="Y248" i="15" s="1"/>
  <c r="W247" i="15"/>
  <c r="Y247" i="15" s="1"/>
  <c r="J1634" i="6"/>
  <c r="W250" i="15" s="1"/>
  <c r="Y250" i="15" s="1"/>
  <c r="W249" i="15"/>
  <c r="Y249" i="15" s="1"/>
  <c r="I1460" i="6"/>
  <c r="P193" i="15" s="1"/>
  <c r="J113" i="5"/>
  <c r="N70" i="15" s="1"/>
  <c r="U70" i="15" s="1"/>
  <c r="J78" i="5"/>
  <c r="N68" i="15" s="1"/>
  <c r="U68" i="15" s="1"/>
  <c r="BD8" i="9"/>
  <c r="AD422" i="15" s="1"/>
  <c r="AB422" i="15" s="1"/>
  <c r="F7" i="9"/>
  <c r="J421" i="15" s="1"/>
  <c r="H421" i="15" s="1"/>
  <c r="AM421" i="15" s="1"/>
  <c r="F9" i="9"/>
  <c r="J423" i="15" s="1"/>
  <c r="H423" i="15" s="1"/>
  <c r="AM423" i="15" s="1"/>
  <c r="J336" i="9"/>
  <c r="N456" i="15" s="1"/>
  <c r="U456" i="15" s="1"/>
  <c r="K14" i="9"/>
  <c r="I12" i="9"/>
  <c r="P426" i="15" s="1"/>
  <c r="N426" i="15" s="1"/>
  <c r="T426" i="15" s="1"/>
  <c r="BD660" i="7"/>
  <c r="AD335" i="15" s="1"/>
  <c r="BD661" i="7"/>
  <c r="AE335" i="15" s="1"/>
  <c r="F8" i="7"/>
  <c r="J256" i="15" s="1"/>
  <c r="H256" i="15" s="1"/>
  <c r="AM256" i="15" s="1"/>
  <c r="BD655" i="7"/>
  <c r="F1390" i="6"/>
  <c r="L169" i="15" s="1"/>
  <c r="I169" i="15" s="1"/>
  <c r="F1392" i="6"/>
  <c r="J170" i="15" s="1"/>
  <c r="F1388" i="6"/>
  <c r="J169" i="15" s="1"/>
  <c r="F1402" i="6"/>
  <c r="L173" i="15" s="1"/>
  <c r="F1499" i="6"/>
  <c r="I1527" i="6"/>
  <c r="S218" i="15" s="1"/>
  <c r="BD43" i="5"/>
  <c r="AD65" i="15" s="1"/>
  <c r="AB65" i="15" s="1"/>
  <c r="I216" i="5"/>
  <c r="N80" i="15" s="1"/>
  <c r="U80" i="15" s="1"/>
  <c r="F10" i="3"/>
  <c r="H12" i="15" s="1"/>
  <c r="AM12" i="15" s="1"/>
  <c r="N11" i="3"/>
  <c r="F14" i="3"/>
  <c r="N18" i="3"/>
  <c r="F11" i="3"/>
  <c r="H13" i="15" s="1"/>
  <c r="AM13" i="15" s="1"/>
  <c r="F7" i="3"/>
  <c r="H9" i="15" s="1"/>
  <c r="AM9" i="15" s="1"/>
  <c r="F9" i="3"/>
  <c r="H11" i="15" s="1"/>
  <c r="AM11" i="15" s="1"/>
  <c r="N22" i="3"/>
  <c r="BD20" i="3"/>
  <c r="AD22" i="15" s="1"/>
  <c r="AB22" i="15" s="1"/>
  <c r="O9" i="3"/>
  <c r="BE9" i="3" s="1"/>
  <c r="O10" i="3"/>
  <c r="BE10" i="3" s="1"/>
  <c r="O13" i="3"/>
  <c r="BE13" i="3" s="1"/>
  <c r="O17" i="3"/>
  <c r="BE17" i="3" s="1"/>
  <c r="O18" i="3"/>
  <c r="BE18" i="3" s="1"/>
  <c r="N19" i="3"/>
  <c r="BE1433" i="6"/>
  <c r="F1563" i="6"/>
  <c r="F1452" i="6"/>
  <c r="F1498" i="6"/>
  <c r="F1543" i="6"/>
  <c r="I1296" i="6"/>
  <c r="Q168" i="15" s="1"/>
  <c r="I1440" i="6"/>
  <c r="BD117" i="6"/>
  <c r="AD94" i="15" s="1"/>
  <c r="AB94" i="15" s="1"/>
  <c r="BE1422" i="6"/>
  <c r="L1180" i="6"/>
  <c r="I1502" i="6"/>
  <c r="P210" i="15" s="1"/>
  <c r="BC1543" i="6"/>
  <c r="K1563" i="6"/>
  <c r="BE1563" i="6" s="1"/>
  <c r="I125" i="6"/>
  <c r="R99" i="15" s="1"/>
  <c r="O99" i="15" s="1"/>
  <c r="V99" i="15" s="1"/>
  <c r="I1180" i="6"/>
  <c r="P159" i="15" s="1"/>
  <c r="BD1549" i="6"/>
  <c r="AE224" i="15" s="1"/>
  <c r="K1425" i="6"/>
  <c r="BE1425" i="6" s="1"/>
  <c r="J8" i="6"/>
  <c r="L110" i="6"/>
  <c r="L134" i="6"/>
  <c r="L135" i="6"/>
  <c r="I124" i="6"/>
  <c r="P99" i="15" s="1"/>
  <c r="N99" i="15" s="1"/>
  <c r="AN99" i="15" s="1"/>
  <c r="BE1440" i="6"/>
  <c r="I1515" i="6"/>
  <c r="S214" i="15" s="1"/>
  <c r="I1625" i="6"/>
  <c r="BE1625" i="6"/>
  <c r="F1437" i="6"/>
  <c r="M3008" i="6"/>
  <c r="L814" i="6"/>
  <c r="F1408" i="6"/>
  <c r="J175" i="15" s="1"/>
  <c r="BE1413" i="6"/>
  <c r="F1431" i="6"/>
  <c r="I1468" i="6"/>
  <c r="I1495" i="6"/>
  <c r="BC1595" i="6"/>
  <c r="I1610" i="6"/>
  <c r="P240" i="15" s="1"/>
  <c r="F1615" i="6"/>
  <c r="I1401" i="6"/>
  <c r="Q173" i="15" s="1"/>
  <c r="I1403" i="6"/>
  <c r="S173" i="15" s="1"/>
  <c r="I1518" i="6"/>
  <c r="P216" i="15" s="1"/>
  <c r="L113" i="6"/>
  <c r="L122" i="6"/>
  <c r="L133" i="6"/>
  <c r="I114" i="6"/>
  <c r="R92" i="15" s="1"/>
  <c r="O92" i="15" s="1"/>
  <c r="V92" i="15" s="1"/>
  <c r="L127" i="6"/>
  <c r="K713" i="6"/>
  <c r="BC819" i="6"/>
  <c r="BC793" i="6"/>
  <c r="I233" i="2"/>
  <c r="N537" i="15" s="1"/>
  <c r="U537" i="15" s="1"/>
  <c r="T537" i="15" s="1"/>
  <c r="M175" i="2"/>
  <c r="F161" i="2" s="1"/>
  <c r="H528" i="15" s="1"/>
  <c r="AM528" i="15" s="1"/>
  <c r="I288" i="2"/>
  <c r="N544" i="15" s="1"/>
  <c r="V544" i="15" s="1"/>
  <c r="U544" i="15" s="1"/>
  <c r="T544" i="15" s="1"/>
  <c r="H359" i="2"/>
  <c r="N174" i="2"/>
  <c r="I10" i="2"/>
  <c r="N483" i="15" s="1"/>
  <c r="AN483" i="15" s="1"/>
  <c r="I101" i="2"/>
  <c r="N516" i="15" s="1"/>
  <c r="U516" i="15" s="1"/>
  <c r="T516" i="15" s="1"/>
  <c r="DD201" i="2"/>
  <c r="AD533" i="15" s="1"/>
  <c r="AB533" i="15" s="1"/>
  <c r="H273" i="2"/>
  <c r="DD355" i="2"/>
  <c r="AD551" i="15" s="1"/>
  <c r="AB551" i="15" s="1"/>
  <c r="DD356" i="2"/>
  <c r="AD552" i="15" s="1"/>
  <c r="AB552" i="15" s="1"/>
  <c r="DD357" i="2"/>
  <c r="AD553" i="15" s="1"/>
  <c r="AB553" i="15" s="1"/>
  <c r="DD358" i="2"/>
  <c r="AD554" i="15" s="1"/>
  <c r="AB554" i="15" s="1"/>
  <c r="DD396" i="2"/>
  <c r="AD559" i="15" s="1"/>
  <c r="AB559" i="15" s="1"/>
  <c r="I548" i="2"/>
  <c r="N586" i="15" s="1"/>
  <c r="U586" i="15" s="1"/>
  <c r="T586" i="15" s="1"/>
  <c r="DD662" i="2"/>
  <c r="DD734" i="2"/>
  <c r="I18" i="2"/>
  <c r="N491" i="15" s="1"/>
  <c r="U491" i="15" s="1"/>
  <c r="T491" i="15" s="1"/>
  <c r="DD18" i="2"/>
  <c r="DD19" i="2"/>
  <c r="DD105" i="2"/>
  <c r="AD519" i="15" s="1"/>
  <c r="AB519" i="15" s="1"/>
  <c r="DD110" i="2"/>
  <c r="I140" i="2"/>
  <c r="N525" i="15" s="1"/>
  <c r="U525" i="15" s="1"/>
  <c r="T525" i="15" s="1"/>
  <c r="I287" i="2"/>
  <c r="N543" i="15" s="1"/>
  <c r="V543" i="15" s="1"/>
  <c r="U543" i="15" s="1"/>
  <c r="T543" i="15" s="1"/>
  <c r="I379" i="2"/>
  <c r="P557" i="15" s="1"/>
  <c r="N557" i="15" s="1"/>
  <c r="V557" i="15" s="1"/>
  <c r="U557" i="15" s="1"/>
  <c r="T557" i="15" s="1"/>
  <c r="I396" i="2"/>
  <c r="N559" i="15" s="1"/>
  <c r="U559" i="15" s="1"/>
  <c r="T559" i="15" s="1"/>
  <c r="I397" i="2"/>
  <c r="N560" i="15" s="1"/>
  <c r="U560" i="15" s="1"/>
  <c r="T560" i="15" s="1"/>
  <c r="DD417" i="2"/>
  <c r="I418" i="2"/>
  <c r="N565" i="15" s="1"/>
  <c r="U565" i="15" s="1"/>
  <c r="T565" i="15" s="1"/>
  <c r="DD441" i="2"/>
  <c r="I466" i="2"/>
  <c r="N575" i="15" s="1"/>
  <c r="V575" i="15" s="1"/>
  <c r="U575" i="15" s="1"/>
  <c r="T575" i="15" s="1"/>
  <c r="I467" i="2"/>
  <c r="N576" i="15" s="1"/>
  <c r="V576" i="15" s="1"/>
  <c r="U576" i="15" s="1"/>
  <c r="T576" i="15" s="1"/>
  <c r="DD582" i="2"/>
  <c r="AD589" i="15" s="1"/>
  <c r="AB589" i="15" s="1"/>
  <c r="DB630" i="2"/>
  <c r="Z592" i="15" s="1"/>
  <c r="DD646" i="2"/>
  <c r="F717" i="2"/>
  <c r="F1241" i="6"/>
  <c r="BE807" i="6"/>
  <c r="I1191" i="6"/>
  <c r="Q164" i="15" s="1"/>
  <c r="F1436" i="6"/>
  <c r="K1499" i="6"/>
  <c r="BE1499" i="6" s="1"/>
  <c r="BE1557" i="6"/>
  <c r="I1567" i="6"/>
  <c r="S228" i="15" s="1"/>
  <c r="L115" i="6"/>
  <c r="L132" i="6"/>
  <c r="L798" i="6"/>
  <c r="V1370" i="6"/>
  <c r="I1628" i="6"/>
  <c r="I1391" i="6"/>
  <c r="S169" i="15" s="1"/>
  <c r="I1433" i="6"/>
  <c r="F1439" i="6"/>
  <c r="I1472" i="6"/>
  <c r="P199" i="15" s="1"/>
  <c r="I1483" i="6"/>
  <c r="Q203" i="15" s="1"/>
  <c r="BE1493" i="6"/>
  <c r="I1519" i="6"/>
  <c r="Q216" i="15" s="1"/>
  <c r="I1520" i="6"/>
  <c r="R216" i="15" s="1"/>
  <c r="I1522" i="6"/>
  <c r="P217" i="15" s="1"/>
  <c r="I1571" i="6"/>
  <c r="I1578" i="6"/>
  <c r="F228" i="9"/>
  <c r="F506" i="9"/>
  <c r="F499" i="9" s="1"/>
  <c r="H474" i="15" s="1"/>
  <c r="AM474" i="15" s="1"/>
  <c r="F236" i="9"/>
  <c r="F1038" i="7"/>
  <c r="F42" i="9"/>
  <c r="H431" i="15" s="1"/>
  <c r="AM431" i="15" s="1"/>
  <c r="BD39" i="10"/>
  <c r="BB39" i="10" s="1"/>
  <c r="I7" i="9"/>
  <c r="P421" i="15" s="1"/>
  <c r="N421" i="15" s="1"/>
  <c r="T421" i="15" s="1"/>
  <c r="I9" i="9"/>
  <c r="P423" i="15" s="1"/>
  <c r="N423" i="15" s="1"/>
  <c r="T423" i="15" s="1"/>
  <c r="BE9" i="9"/>
  <c r="F11" i="9"/>
  <c r="I14" i="9"/>
  <c r="P428" i="15" s="1"/>
  <c r="N428" i="15" s="1"/>
  <c r="T428" i="15" s="1"/>
  <c r="BD406" i="9"/>
  <c r="BD14" i="9"/>
  <c r="AD428" i="15" s="1"/>
  <c r="AB428" i="15" s="1"/>
  <c r="F232" i="9"/>
  <c r="J710" i="7"/>
  <c r="N340" i="15" s="1"/>
  <c r="F1044" i="7"/>
  <c r="H379" i="15" s="1"/>
  <c r="AM379" i="15" s="1"/>
  <c r="F1050" i="7"/>
  <c r="BD1148" i="7"/>
  <c r="AD391" i="15" s="1"/>
  <c r="AB391" i="15" s="1"/>
  <c r="F545" i="7"/>
  <c r="H318" i="15" s="1"/>
  <c r="AM318" i="15" s="1"/>
  <c r="O587" i="7"/>
  <c r="I651" i="7"/>
  <c r="Q330" i="15" s="1"/>
  <c r="L117" i="6"/>
  <c r="L140" i="6"/>
  <c r="I143" i="6"/>
  <c r="R111" i="15" s="1"/>
  <c r="O111" i="15" s="1"/>
  <c r="V111" i="15" s="1"/>
  <c r="F796" i="6"/>
  <c r="J801" i="6"/>
  <c r="BC801" i="6" s="1"/>
  <c r="BC802" i="6"/>
  <c r="BC803" i="6"/>
  <c r="L144" i="6"/>
  <c r="I116" i="6"/>
  <c r="R93" i="15" s="1"/>
  <c r="O93" i="15" s="1"/>
  <c r="V93" i="15" s="1"/>
  <c r="I118" i="6"/>
  <c r="P95" i="15" s="1"/>
  <c r="I134" i="6"/>
  <c r="R105" i="15" s="1"/>
  <c r="O105" i="15" s="1"/>
  <c r="V105" i="15" s="1"/>
  <c r="I145" i="6"/>
  <c r="P113" i="15" s="1"/>
  <c r="I777" i="6"/>
  <c r="P139" i="15" s="1"/>
  <c r="I1182" i="6"/>
  <c r="P160" i="15" s="1"/>
  <c r="I1287" i="6"/>
  <c r="P166" i="15" s="1"/>
  <c r="I1289" i="6"/>
  <c r="R166" i="15" s="1"/>
  <c r="I1290" i="6"/>
  <c r="S166" i="15" s="1"/>
  <c r="I1293" i="6"/>
  <c r="R167" i="15" s="1"/>
  <c r="F1400" i="6"/>
  <c r="BD1403" i="6"/>
  <c r="AG173" i="15" s="1"/>
  <c r="F1410" i="6"/>
  <c r="J1418" i="6"/>
  <c r="X178" i="15" s="1"/>
  <c r="I1421" i="6"/>
  <c r="I1422" i="6"/>
  <c r="I1584" i="6"/>
  <c r="P233" i="15" s="1"/>
  <c r="I1585" i="6"/>
  <c r="Q233" i="15" s="1"/>
  <c r="I1586" i="6"/>
  <c r="R233" i="15" s="1"/>
  <c r="I1587" i="6"/>
  <c r="S233" i="15" s="1"/>
  <c r="I1588" i="6"/>
  <c r="P234" i="15" s="1"/>
  <c r="I1600" i="6"/>
  <c r="BC1635" i="6"/>
  <c r="K1498" i="6"/>
  <c r="BE1498" i="6" s="1"/>
  <c r="F138" i="6"/>
  <c r="Q194" i="6"/>
  <c r="BD790" i="6"/>
  <c r="AF144" i="15" s="1"/>
  <c r="BC796" i="6"/>
  <c r="K812" i="6"/>
  <c r="BE812" i="6" s="1"/>
  <c r="F792" i="6"/>
  <c r="I1183" i="6"/>
  <c r="Q160" i="15" s="1"/>
  <c r="I1188" i="6"/>
  <c r="P163" i="15" s="1"/>
  <c r="BD1286" i="6"/>
  <c r="AE165" i="15" s="1"/>
  <c r="BD1292" i="6"/>
  <c r="AE167" i="15" s="1"/>
  <c r="BD1294" i="6"/>
  <c r="AG167" i="15" s="1"/>
  <c r="I1405" i="6"/>
  <c r="Q174" i="15" s="1"/>
  <c r="BE1415" i="6"/>
  <c r="I1434" i="6"/>
  <c r="BC1442" i="6"/>
  <c r="I1449" i="6"/>
  <c r="BC1450" i="6"/>
  <c r="BD1450" i="6" s="1"/>
  <c r="AF189" i="15" s="1"/>
  <c r="K1453" i="6"/>
  <c r="BE1453" i="6" s="1"/>
  <c r="BC1455" i="6"/>
  <c r="I1467" i="6"/>
  <c r="Q196" i="15" s="1"/>
  <c r="BC1475" i="6"/>
  <c r="BD1475" i="6" s="1"/>
  <c r="AE200" i="15" s="1"/>
  <c r="BD1479" i="6"/>
  <c r="AE202" i="15" s="1"/>
  <c r="I1494" i="6"/>
  <c r="BD1507" i="6"/>
  <c r="AE212" i="15" s="1"/>
  <c r="I1509" i="6"/>
  <c r="S212" i="15" s="1"/>
  <c r="BD1515" i="6"/>
  <c r="AG214" i="15" s="1"/>
  <c r="I1539" i="6"/>
  <c r="I1547" i="6"/>
  <c r="S223" i="15" s="1"/>
  <c r="I1548" i="6"/>
  <c r="K1555" i="6"/>
  <c r="BE1555" i="6" s="1"/>
  <c r="I1568" i="6"/>
  <c r="I1606" i="6"/>
  <c r="P239" i="15" s="1"/>
  <c r="I1607" i="6"/>
  <c r="Q239" i="15" s="1"/>
  <c r="I1608" i="6"/>
  <c r="R239" i="15" s="1"/>
  <c r="I1613" i="6"/>
  <c r="BE1613" i="6"/>
  <c r="I1619" i="6"/>
  <c r="BC1619" i="6"/>
  <c r="I1629" i="6"/>
  <c r="I1187" i="6"/>
  <c r="Q162" i="15" s="1"/>
  <c r="I1189" i="6"/>
  <c r="Q163" i="15" s="1"/>
  <c r="BD1401" i="6"/>
  <c r="AE173" i="15" s="1"/>
  <c r="I1404" i="6"/>
  <c r="P174" i="15" s="1"/>
  <c r="I1428" i="6"/>
  <c r="I1451" i="6"/>
  <c r="BC1451" i="6"/>
  <c r="BD1451" i="6" s="1"/>
  <c r="AG189" i="15" s="1"/>
  <c r="I1457" i="6"/>
  <c r="F1465" i="6"/>
  <c r="BD1483" i="6"/>
  <c r="AE203" i="15" s="1"/>
  <c r="BD1505" i="6"/>
  <c r="AE211" i="15" s="1"/>
  <c r="BD1509" i="6"/>
  <c r="AG212" i="15" s="1"/>
  <c r="BD1523" i="6"/>
  <c r="AE217" i="15" s="1"/>
  <c r="I1536" i="6"/>
  <c r="F1553" i="6"/>
  <c r="I1557" i="6"/>
  <c r="F1419" i="6"/>
  <c r="F1455" i="6"/>
  <c r="F1533" i="6"/>
  <c r="F1572" i="6"/>
  <c r="F1583" i="6"/>
  <c r="F1595" i="6"/>
  <c r="F1635" i="6"/>
  <c r="F1643" i="6"/>
  <c r="F9" i="5"/>
  <c r="H61" i="15" s="1"/>
  <c r="AM61" i="15" s="1"/>
  <c r="I40" i="5"/>
  <c r="N62" i="15" s="1"/>
  <c r="V62" i="15" s="1"/>
  <c r="J79" i="5"/>
  <c r="N69" i="15" s="1"/>
  <c r="U69" i="15" s="1"/>
  <c r="BD212" i="5"/>
  <c r="F8" i="5"/>
  <c r="I43" i="5"/>
  <c r="N65" i="15" s="1"/>
  <c r="V65" i="15" s="1"/>
  <c r="I44" i="5"/>
  <c r="N66" i="15" s="1"/>
  <c r="V66" i="15" s="1"/>
  <c r="I184" i="5"/>
  <c r="N75" i="15" s="1"/>
  <c r="U75" i="15" s="1"/>
  <c r="I212" i="5"/>
  <c r="N76" i="15" s="1"/>
  <c r="U76" i="15" s="1"/>
  <c r="J967" i="7"/>
  <c r="N365" i="15" s="1"/>
  <c r="E1100" i="7"/>
  <c r="V1100" i="7" s="1"/>
  <c r="I1208" i="7"/>
  <c r="P396" i="15" s="1"/>
  <c r="N396" i="15" s="1"/>
  <c r="I657" i="7"/>
  <c r="Q333" i="15" s="1"/>
  <c r="F1051" i="7"/>
  <c r="H386" i="15" s="1"/>
  <c r="AM386" i="15" s="1"/>
  <c r="I40" i="10"/>
  <c r="BB8" i="10"/>
  <c r="F224" i="9"/>
  <c r="F225" i="9"/>
  <c r="J370" i="9"/>
  <c r="N457" i="15" s="1"/>
  <c r="U457" i="15" s="1"/>
  <c r="I405" i="9"/>
  <c r="N458" i="15" s="1"/>
  <c r="U458" i="15" s="1"/>
  <c r="BC436" i="9"/>
  <c r="BD500" i="9"/>
  <c r="AF474" i="15" s="1"/>
  <c r="AC474" i="15" s="1"/>
  <c r="BD7" i="9"/>
  <c r="AD421" i="15" s="1"/>
  <c r="AB421" i="15" s="1"/>
  <c r="F233" i="9"/>
  <c r="J301" i="9"/>
  <c r="N455" i="15" s="1"/>
  <c r="U455" i="15" s="1"/>
  <c r="I10" i="9"/>
  <c r="P424" i="15" s="1"/>
  <c r="N424" i="15" s="1"/>
  <c r="T424" i="15" s="1"/>
  <c r="F230" i="9"/>
  <c r="H448" i="15" s="1"/>
  <c r="AM448" i="15" s="1"/>
  <c r="BD405" i="9"/>
  <c r="I406" i="9"/>
  <c r="N459" i="15" s="1"/>
  <c r="U459" i="15" s="1"/>
  <c r="I407" i="9"/>
  <c r="N460" i="15" s="1"/>
  <c r="U460" i="15" s="1"/>
  <c r="BD410" i="9"/>
  <c r="AD463" i="15" s="1"/>
  <c r="AB463" i="15" s="1"/>
  <c r="BC438" i="9"/>
  <c r="F463" i="9"/>
  <c r="H473" i="15" s="1"/>
  <c r="AM473" i="15" s="1"/>
  <c r="F117" i="7"/>
  <c r="H276" i="15" s="1"/>
  <c r="AM276" i="15" s="1"/>
  <c r="F124" i="7"/>
  <c r="H283" i="15" s="1"/>
  <c r="AM283" i="15" s="1"/>
  <c r="I438" i="7"/>
  <c r="F438" i="7" s="1"/>
  <c r="F586" i="7"/>
  <c r="F590" i="7"/>
  <c r="H327" i="15" s="1"/>
  <c r="AM327" i="15" s="1"/>
  <c r="V1080" i="7"/>
  <c r="I1211" i="7"/>
  <c r="P399" i="15" s="1"/>
  <c r="N399" i="15" s="1"/>
  <c r="I1212" i="7"/>
  <c r="P400" i="15" s="1"/>
  <c r="N400" i="15" s="1"/>
  <c r="F476" i="7"/>
  <c r="BD663" i="7"/>
  <c r="AE336" i="15" s="1"/>
  <c r="F1039" i="7"/>
  <c r="H374" i="15" s="1"/>
  <c r="AM374" i="15" s="1"/>
  <c r="F1049" i="7"/>
  <c r="H384" i="15" s="1"/>
  <c r="AM384" i="15" s="1"/>
  <c r="F52" i="7"/>
  <c r="I844" i="7"/>
  <c r="Q361" i="15" s="1"/>
  <c r="F1032" i="7"/>
  <c r="J9" i="6"/>
  <c r="I51" i="6"/>
  <c r="J10" i="6" s="1"/>
  <c r="I102" i="6"/>
  <c r="O17" i="6" s="1"/>
  <c r="X100" i="6"/>
  <c r="X102" i="6"/>
  <c r="L126" i="6"/>
  <c r="L782" i="6"/>
  <c r="L818" i="6"/>
  <c r="F1253" i="6"/>
  <c r="I1288" i="6"/>
  <c r="Q166" i="15" s="1"/>
  <c r="BD1391" i="6"/>
  <c r="AG169" i="15" s="1"/>
  <c r="J1555" i="6"/>
  <c r="BC1555" i="6" s="1"/>
  <c r="BC1551" i="6"/>
  <c r="BD1551" i="6" s="1"/>
  <c r="AG224" i="15" s="1"/>
  <c r="L1683" i="6"/>
  <c r="F1427" i="6"/>
  <c r="F1459" i="6"/>
  <c r="F1458" i="6"/>
  <c r="F1471" i="6"/>
  <c r="F1470" i="6"/>
  <c r="F1487" i="6"/>
  <c r="F1486" i="6"/>
  <c r="F1621" i="6"/>
  <c r="F1620" i="6"/>
  <c r="K1464" i="6"/>
  <c r="BE1462" i="6"/>
  <c r="BC1613" i="6"/>
  <c r="BD1613" i="6" s="1"/>
  <c r="AE241" i="15" s="1"/>
  <c r="J1615" i="6"/>
  <c r="BC1615" i="6" s="1"/>
  <c r="K295" i="6"/>
  <c r="K719" i="6"/>
  <c r="J719" i="6" s="1"/>
  <c r="K131" i="6" s="1"/>
  <c r="I113" i="6"/>
  <c r="P92" i="15" s="1"/>
  <c r="N92" i="15" s="1"/>
  <c r="AN92" i="15" s="1"/>
  <c r="L123" i="6"/>
  <c r="I126" i="6"/>
  <c r="P100" i="15" s="1"/>
  <c r="L136" i="6"/>
  <c r="L141" i="6"/>
  <c r="I144" i="6"/>
  <c r="P112" i="15" s="1"/>
  <c r="J701" i="6"/>
  <c r="K113" i="6" s="1"/>
  <c r="J710" i="6"/>
  <c r="K122" i="6" s="1"/>
  <c r="J712" i="6"/>
  <c r="K124" i="6" s="1"/>
  <c r="I779" i="6"/>
  <c r="Q140" i="15" s="1"/>
  <c r="I783" i="6"/>
  <c r="Q142" i="15" s="1"/>
  <c r="I784" i="6"/>
  <c r="R142" i="15" s="1"/>
  <c r="I786" i="6"/>
  <c r="P143" i="15" s="1"/>
  <c r="I788" i="6"/>
  <c r="P144" i="15" s="1"/>
  <c r="I790" i="6"/>
  <c r="R144" i="15" s="1"/>
  <c r="I791" i="6"/>
  <c r="S144" i="15" s="1"/>
  <c r="BE809" i="6"/>
  <c r="BE815" i="6"/>
  <c r="K824" i="6"/>
  <c r="BE824" i="6" s="1"/>
  <c r="F864" i="6"/>
  <c r="F885" i="6" s="1"/>
  <c r="F906" i="6" s="1"/>
  <c r="F927" i="6" s="1"/>
  <c r="F948" i="6" s="1"/>
  <c r="F969" i="6" s="1"/>
  <c r="F990" i="6" s="1"/>
  <c r="F1011" i="6" s="1"/>
  <c r="F1032" i="6" s="1"/>
  <c r="F1053" i="6" s="1"/>
  <c r="F1229" i="6"/>
  <c r="X1241" i="6"/>
  <c r="BD1287" i="6"/>
  <c r="AD166" i="15" s="1"/>
  <c r="BD1288" i="6"/>
  <c r="AE166" i="15" s="1"/>
  <c r="BE1434" i="6"/>
  <c r="BC1449" i="6"/>
  <c r="BD1449" i="6" s="1"/>
  <c r="AE189" i="15" s="1"/>
  <c r="F1454" i="6"/>
  <c r="BD1460" i="6"/>
  <c r="AD193" i="15" s="1"/>
  <c r="F1532" i="6"/>
  <c r="K1581" i="6"/>
  <c r="BE1581" i="6" s="1"/>
  <c r="BE1577" i="6"/>
  <c r="I1589" i="6"/>
  <c r="Q234" i="15" s="1"/>
  <c r="BD1589" i="6"/>
  <c r="AE234" i="15" s="1"/>
  <c r="F1594" i="6"/>
  <c r="F1642" i="6"/>
  <c r="L2181" i="6"/>
  <c r="F1398" i="6"/>
  <c r="L1772" i="6"/>
  <c r="F1605" i="6"/>
  <c r="L1781" i="6"/>
  <c r="F1623" i="6"/>
  <c r="L1789" i="6"/>
  <c r="F1639" i="6"/>
  <c r="BD1390" i="6"/>
  <c r="AF169" i="15" s="1"/>
  <c r="BD1461" i="6"/>
  <c r="AE193" i="15" s="1"/>
  <c r="K1562" i="6"/>
  <c r="BE1562" i="6" s="1"/>
  <c r="BE1558" i="6"/>
  <c r="BC1569" i="6"/>
  <c r="BD1569" i="6" s="1"/>
  <c r="AE229" i="15" s="1"/>
  <c r="J1573" i="6"/>
  <c r="J1575" i="6"/>
  <c r="BC1575" i="6" s="1"/>
  <c r="BC1571" i="6"/>
  <c r="L1740" i="6"/>
  <c r="F1541" i="6"/>
  <c r="K731" i="6"/>
  <c r="F793" i="6"/>
  <c r="L145" i="15" s="1"/>
  <c r="I145" i="15" s="1"/>
  <c r="I131" i="6"/>
  <c r="P104" i="15" s="1"/>
  <c r="N104" i="15" s="1"/>
  <c r="AN104" i="15" s="1"/>
  <c r="I132" i="6"/>
  <c r="R104" i="15" s="1"/>
  <c r="O104" i="15" s="1"/>
  <c r="V104" i="15" s="1"/>
  <c r="I135" i="6"/>
  <c r="P106" i="15" s="1"/>
  <c r="BD136" i="6"/>
  <c r="BD139" i="6"/>
  <c r="K795" i="6"/>
  <c r="BE795" i="6" s="1"/>
  <c r="F862" i="6"/>
  <c r="F883" i="6" s="1"/>
  <c r="F904" i="6" s="1"/>
  <c r="F925" i="6" s="1"/>
  <c r="F946" i="6" s="1"/>
  <c r="F967" i="6" s="1"/>
  <c r="F988" i="6" s="1"/>
  <c r="F1009" i="6" s="1"/>
  <c r="F1030" i="6" s="1"/>
  <c r="F1051" i="6" s="1"/>
  <c r="BD1186" i="6"/>
  <c r="AD162" i="15" s="1"/>
  <c r="F1269" i="6"/>
  <c r="I1295" i="6"/>
  <c r="P168" i="15" s="1"/>
  <c r="I1396" i="6"/>
  <c r="P171" i="15" s="1"/>
  <c r="F1417" i="6"/>
  <c r="BE1423" i="6"/>
  <c r="I1507" i="6"/>
  <c r="Q212" i="15" s="1"/>
  <c r="BC1530" i="6"/>
  <c r="BD1530" i="6" s="1"/>
  <c r="AF219" i="15" s="1"/>
  <c r="J1534" i="6"/>
  <c r="X220" i="15" s="1"/>
  <c r="I1538" i="6"/>
  <c r="I1546" i="6"/>
  <c r="R223" i="15" s="1"/>
  <c r="H1594" i="6"/>
  <c r="I1590" i="6"/>
  <c r="BD1396" i="6"/>
  <c r="AD171" i="15" s="1"/>
  <c r="BD1405" i="6"/>
  <c r="AE174" i="15" s="1"/>
  <c r="I1461" i="6"/>
  <c r="Q193" i="15" s="1"/>
  <c r="BC1476" i="6"/>
  <c r="I1478" i="6"/>
  <c r="P202" i="15" s="1"/>
  <c r="I1480" i="6"/>
  <c r="R202" i="15" s="1"/>
  <c r="BD1482" i="6"/>
  <c r="AD203" i="15" s="1"/>
  <c r="I1484" i="6"/>
  <c r="BC1484" i="6"/>
  <c r="BD1484" i="6" s="1"/>
  <c r="AD204" i="15" s="1"/>
  <c r="I1488" i="6"/>
  <c r="P206" i="15" s="1"/>
  <c r="I1500" i="6"/>
  <c r="P209" i="15" s="1"/>
  <c r="BC1503" i="6"/>
  <c r="BD1503" i="6" s="1"/>
  <c r="AE210" i="15" s="1"/>
  <c r="I1508" i="6"/>
  <c r="R212" i="15" s="1"/>
  <c r="I1513" i="6"/>
  <c r="Q214" i="15" s="1"/>
  <c r="I1514" i="6"/>
  <c r="R214" i="15" s="1"/>
  <c r="I1521" i="6"/>
  <c r="S216" i="15" s="1"/>
  <c r="BD1526" i="6"/>
  <c r="AF218" i="15" s="1"/>
  <c r="I1528" i="6"/>
  <c r="I1529" i="6"/>
  <c r="BC1529" i="6"/>
  <c r="BD1529" i="6" s="1"/>
  <c r="AE219" i="15" s="1"/>
  <c r="BD1531" i="6"/>
  <c r="AG219" i="15" s="1"/>
  <c r="I1550" i="6"/>
  <c r="BC1550" i="6"/>
  <c r="I1558" i="6"/>
  <c r="I1565" i="6"/>
  <c r="Q228" i="15" s="1"/>
  <c r="I1566" i="6"/>
  <c r="R228" i="15" s="1"/>
  <c r="BC1596" i="6"/>
  <c r="I1609" i="6"/>
  <c r="S239" i="15" s="1"/>
  <c r="F1542" i="6"/>
  <c r="F1582" i="6"/>
  <c r="F1604" i="6"/>
  <c r="F1638" i="6"/>
  <c r="F1561" i="6"/>
  <c r="F1597" i="6"/>
  <c r="BD1511" i="6"/>
  <c r="AE213" i="15" s="1"/>
  <c r="BD1512" i="6"/>
  <c r="AD214" i="15" s="1"/>
  <c r="BD1513" i="6"/>
  <c r="AE214" i="15" s="1"/>
  <c r="BD1517" i="6"/>
  <c r="AE215" i="15" s="1"/>
  <c r="J1542" i="6"/>
  <c r="X222" i="15" s="1"/>
  <c r="I1559" i="6"/>
  <c r="BD1564" i="6"/>
  <c r="AD228" i="15" s="1"/>
  <c r="BD1565" i="6"/>
  <c r="AE228" i="15" s="1"/>
  <c r="BE1578" i="6"/>
  <c r="BD1607" i="6"/>
  <c r="AE239" i="15" s="1"/>
  <c r="BC1623" i="6"/>
  <c r="BC1630" i="6"/>
  <c r="BD1630" i="6" s="1"/>
  <c r="AD248" i="15" s="1"/>
  <c r="BC1638" i="6"/>
  <c r="BC1639" i="6"/>
  <c r="BD1639" i="6" s="1"/>
  <c r="AE252" i="15" s="1"/>
  <c r="M2986" i="6"/>
  <c r="E215" i="9"/>
  <c r="I1441" i="6"/>
  <c r="K1455" i="6"/>
  <c r="BE1455" i="6" s="1"/>
  <c r="I1493" i="6"/>
  <c r="J1498" i="6"/>
  <c r="I1510" i="6"/>
  <c r="P213" i="15" s="1"/>
  <c r="I1516" i="6"/>
  <c r="P215" i="15" s="1"/>
  <c r="I1525" i="6"/>
  <c r="Q218" i="15" s="1"/>
  <c r="I1526" i="6"/>
  <c r="R218" i="15" s="1"/>
  <c r="I1531" i="6"/>
  <c r="I1537" i="6"/>
  <c r="I1544" i="6"/>
  <c r="P223" i="15" s="1"/>
  <c r="I1545" i="6"/>
  <c r="Q223" i="15" s="1"/>
  <c r="I1576" i="6"/>
  <c r="I1579" i="6"/>
  <c r="I1598" i="6"/>
  <c r="BC1599" i="6"/>
  <c r="BD1599" i="6" s="1"/>
  <c r="AE237" i="15" s="1"/>
  <c r="K1605" i="6"/>
  <c r="BE1605" i="6" s="1"/>
  <c r="I1617" i="6"/>
  <c r="BC1618" i="6"/>
  <c r="BD1618" i="6" s="1"/>
  <c r="AF243" i="15" s="1"/>
  <c r="BD213" i="5"/>
  <c r="BD40" i="5"/>
  <c r="AD62" i="15" s="1"/>
  <c r="AB62" i="15" s="1"/>
  <c r="I45" i="5"/>
  <c r="N67" i="15" s="1"/>
  <c r="V67" i="15" s="1"/>
  <c r="J114" i="5"/>
  <c r="N71" i="15" s="1"/>
  <c r="U71" i="15" s="1"/>
  <c r="I214" i="5"/>
  <c r="N78" i="15" s="1"/>
  <c r="U78" i="15" s="1"/>
  <c r="I215" i="5"/>
  <c r="N79" i="15" s="1"/>
  <c r="U79" i="15" s="1"/>
  <c r="BD41" i="5"/>
  <c r="I42" i="5"/>
  <c r="N64" i="15" s="1"/>
  <c r="V64" i="15" s="1"/>
  <c r="BD45" i="5"/>
  <c r="F148" i="5"/>
  <c r="BD184" i="5"/>
  <c r="AD75" i="15" s="1"/>
  <c r="AB75" i="15" s="1"/>
  <c r="I183" i="5"/>
  <c r="N74" i="15" s="1"/>
  <c r="U74" i="15" s="1"/>
  <c r="BD214" i="5"/>
  <c r="F432" i="9"/>
  <c r="H465" i="15" s="1"/>
  <c r="AM465" i="15" s="1"/>
  <c r="F434" i="9"/>
  <c r="F438" i="9"/>
  <c r="H471" i="15" s="1"/>
  <c r="AM471" i="15" s="1"/>
  <c r="BD11" i="3"/>
  <c r="AD13" i="15" s="1"/>
  <c r="AB13" i="15" s="1"/>
  <c r="F15" i="3"/>
  <c r="BD15" i="3" s="1"/>
  <c r="AD17" i="15" s="1"/>
  <c r="AB17" i="15" s="1"/>
  <c r="F18" i="3"/>
  <c r="H20" i="15" s="1"/>
  <c r="AM20" i="15" s="1"/>
  <c r="BD19" i="3"/>
  <c r="AD21" i="15" s="1"/>
  <c r="AB21" i="15" s="1"/>
  <c r="F22" i="3"/>
  <c r="H24" i="15" s="1"/>
  <c r="AM24" i="15" s="1"/>
  <c r="F26" i="3"/>
  <c r="H28" i="15" s="1"/>
  <c r="AM28" i="15" s="1"/>
  <c r="BD27" i="3"/>
  <c r="AD29" i="15" s="1"/>
  <c r="AB29" i="15" s="1"/>
  <c r="N7" i="3"/>
  <c r="F8" i="3"/>
  <c r="H10" i="15" s="1"/>
  <c r="AM10" i="15" s="1"/>
  <c r="O11" i="3"/>
  <c r="BE11" i="3" s="1"/>
  <c r="F13" i="3"/>
  <c r="O14" i="3"/>
  <c r="BE14" i="3" s="1"/>
  <c r="N15" i="3"/>
  <c r="F16" i="3"/>
  <c r="H18" i="15" s="1"/>
  <c r="AM18" i="15" s="1"/>
  <c r="F17" i="3"/>
  <c r="BD18" i="3"/>
  <c r="AD20" i="15" s="1"/>
  <c r="AB20" i="15" s="1"/>
  <c r="O19" i="3"/>
  <c r="BE19" i="3" s="1"/>
  <c r="N20" i="3"/>
  <c r="F21" i="3"/>
  <c r="O23" i="3"/>
  <c r="BE23" i="3" s="1"/>
  <c r="N24" i="3"/>
  <c r="F25" i="3"/>
  <c r="BD25" i="3" s="1"/>
  <c r="O27" i="3"/>
  <c r="BE27" i="3" s="1"/>
  <c r="N28" i="3"/>
  <c r="O7" i="3"/>
  <c r="BE7" i="3" s="1"/>
  <c r="O8" i="3"/>
  <c r="BE8" i="3" s="1"/>
  <c r="N9" i="3"/>
  <c r="O12" i="3"/>
  <c r="BE12" i="3" s="1"/>
  <c r="N13" i="3"/>
  <c r="BD13" i="3"/>
  <c r="O15" i="3"/>
  <c r="BE15" i="3" s="1"/>
  <c r="O16" i="3"/>
  <c r="BE16" i="3" s="1"/>
  <c r="N17" i="3"/>
  <c r="G19" i="3"/>
  <c r="N21" i="15" s="1"/>
  <c r="V21" i="15" s="1"/>
  <c r="O20" i="3"/>
  <c r="BE20" i="3" s="1"/>
  <c r="N21" i="3"/>
  <c r="G23" i="3"/>
  <c r="N25" i="15" s="1"/>
  <c r="V25" i="15" s="1"/>
  <c r="F24" i="3"/>
  <c r="O24" i="3"/>
  <c r="BE24" i="3" s="1"/>
  <c r="N25" i="3"/>
  <c r="G27" i="3"/>
  <c r="N29" i="15" s="1"/>
  <c r="V29" i="15" s="1"/>
  <c r="O28" i="3"/>
  <c r="BE28" i="3" s="1"/>
  <c r="BB28" i="3" s="1"/>
  <c r="Z30" i="15" s="1"/>
  <c r="I11" i="2"/>
  <c r="N484" i="15" s="1"/>
  <c r="AN484" i="15" s="1"/>
  <c r="I12" i="2"/>
  <c r="N485" i="15" s="1"/>
  <c r="AN485" i="15" s="1"/>
  <c r="DD15" i="2"/>
  <c r="I22" i="2"/>
  <c r="N495" i="15" s="1"/>
  <c r="AN495" i="15" s="1"/>
  <c r="DD61" i="2"/>
  <c r="I108" i="2"/>
  <c r="N522" i="15" s="1"/>
  <c r="U522" i="15" s="1"/>
  <c r="T522" i="15" s="1"/>
  <c r="I110" i="2"/>
  <c r="N523" i="15" s="1"/>
  <c r="U523" i="15" s="1"/>
  <c r="T523" i="15" s="1"/>
  <c r="I184" i="2"/>
  <c r="N532" i="15" s="1"/>
  <c r="V532" i="15" s="1"/>
  <c r="U532" i="15" s="1"/>
  <c r="T532" i="15" s="1"/>
  <c r="I201" i="2"/>
  <c r="N533" i="15" s="1"/>
  <c r="V533" i="15" s="1"/>
  <c r="U533" i="15" s="1"/>
  <c r="T533" i="15" s="1"/>
  <c r="DD288" i="2"/>
  <c r="I303" i="2"/>
  <c r="N545" i="15" s="1"/>
  <c r="V545" i="15" s="1"/>
  <c r="U545" i="15" s="1"/>
  <c r="T545" i="15" s="1"/>
  <c r="I334" i="2"/>
  <c r="P547" i="15" s="1"/>
  <c r="N547" i="15" s="1"/>
  <c r="V547" i="15" s="1"/>
  <c r="U547" i="15" s="1"/>
  <c r="T547" i="15" s="1"/>
  <c r="I335" i="2"/>
  <c r="P548" i="15" s="1"/>
  <c r="N548" i="15" s="1"/>
  <c r="V548" i="15" s="1"/>
  <c r="U548" i="15" s="1"/>
  <c r="T548" i="15" s="1"/>
  <c r="I336" i="2"/>
  <c r="P549" i="15" s="1"/>
  <c r="N549" i="15" s="1"/>
  <c r="V549" i="15" s="1"/>
  <c r="U549" i="15" s="1"/>
  <c r="T549" i="15" s="1"/>
  <c r="I337" i="2"/>
  <c r="P550" i="15" s="1"/>
  <c r="N550" i="15" s="1"/>
  <c r="V550" i="15" s="1"/>
  <c r="U550" i="15" s="1"/>
  <c r="T550" i="15" s="1"/>
  <c r="DD359" i="2"/>
  <c r="AD555" i="15" s="1"/>
  <c r="AB555" i="15" s="1"/>
  <c r="I415" i="2"/>
  <c r="N562" i="15" s="1"/>
  <c r="U562" i="15" s="1"/>
  <c r="T562" i="15" s="1"/>
  <c r="I416" i="2"/>
  <c r="N563" i="15" s="1"/>
  <c r="U563" i="15" s="1"/>
  <c r="T563" i="15" s="1"/>
  <c r="I419" i="2"/>
  <c r="N566" i="15" s="1"/>
  <c r="U566" i="15" s="1"/>
  <c r="T566" i="15" s="1"/>
  <c r="I441" i="2"/>
  <c r="N569" i="15" s="1"/>
  <c r="U569" i="15" s="1"/>
  <c r="T569" i="15" s="1"/>
  <c r="I442" i="2"/>
  <c r="N570" i="15" s="1"/>
  <c r="U570" i="15" s="1"/>
  <c r="T570" i="15" s="1"/>
  <c r="DD471" i="2"/>
  <c r="DD530" i="2"/>
  <c r="I566" i="2"/>
  <c r="N588" i="15" s="1"/>
  <c r="U588" i="15" s="1"/>
  <c r="T588" i="15" s="1"/>
  <c r="I662" i="2"/>
  <c r="N594" i="15" s="1"/>
  <c r="U594" i="15" s="1"/>
  <c r="T594" i="15" s="1"/>
  <c r="DD140" i="2"/>
  <c r="DD334" i="2"/>
  <c r="DD335" i="2"/>
  <c r="AD548" i="15" s="1"/>
  <c r="AB548" i="15" s="1"/>
  <c r="DD336" i="2"/>
  <c r="AD549" i="15" s="1"/>
  <c r="AB549" i="15" s="1"/>
  <c r="DD337" i="2"/>
  <c r="AD550" i="15" s="1"/>
  <c r="AB550" i="15" s="1"/>
  <c r="DD415" i="2"/>
  <c r="DD419" i="2"/>
  <c r="DD468" i="2"/>
  <c r="DD566" i="2"/>
  <c r="AD588" i="15" s="1"/>
  <c r="AB588" i="15" s="1"/>
  <c r="DD11" i="2"/>
  <c r="DD100" i="2"/>
  <c r="I14" i="2"/>
  <c r="N487" i="15" s="1"/>
  <c r="AN487" i="15" s="1"/>
  <c r="I19" i="2"/>
  <c r="N492" i="15" s="1"/>
  <c r="AN492" i="15" s="1"/>
  <c r="I20" i="2"/>
  <c r="N493" i="15" s="1"/>
  <c r="AN493" i="15" s="1"/>
  <c r="DB23" i="2"/>
  <c r="Z496" i="15" s="1"/>
  <c r="DB24" i="2"/>
  <c r="Z497" i="15" s="1"/>
  <c r="I63" i="2"/>
  <c r="N503" i="15" s="1"/>
  <c r="U503" i="15" s="1"/>
  <c r="T503" i="15" s="1"/>
  <c r="I64" i="2"/>
  <c r="N504" i="15" s="1"/>
  <c r="U504" i="15" s="1"/>
  <c r="T504" i="15" s="1"/>
  <c r="I65" i="2"/>
  <c r="N505" i="15" s="1"/>
  <c r="T505" i="15" s="1"/>
  <c r="I88" i="2"/>
  <c r="N507" i="15" s="1"/>
  <c r="AN507" i="15" s="1"/>
  <c r="I89" i="2"/>
  <c r="N508" i="15" s="1"/>
  <c r="AN508" i="15" s="1"/>
  <c r="I90" i="2"/>
  <c r="N509" i="15" s="1"/>
  <c r="AN509" i="15" s="1"/>
  <c r="I92" i="2"/>
  <c r="N510" i="15" s="1"/>
  <c r="AN510" i="15" s="1"/>
  <c r="I93" i="2"/>
  <c r="N511" i="15" s="1"/>
  <c r="AN511" i="15" s="1"/>
  <c r="I94" i="2"/>
  <c r="N512" i="15" s="1"/>
  <c r="AN512" i="15" s="1"/>
  <c r="I95" i="2"/>
  <c r="N513" i="15" s="1"/>
  <c r="AN513" i="15" s="1"/>
  <c r="I97" i="2"/>
  <c r="N514" i="15" s="1"/>
  <c r="U514" i="15" s="1"/>
  <c r="T514" i="15" s="1"/>
  <c r="I100" i="2"/>
  <c r="N515" i="15" s="1"/>
  <c r="U515" i="15" s="1"/>
  <c r="T515" i="15" s="1"/>
  <c r="DB105" i="2"/>
  <c r="Z519" i="15" s="1"/>
  <c r="I106" i="2"/>
  <c r="N520" i="15" s="1"/>
  <c r="U520" i="15" s="1"/>
  <c r="T520" i="15" s="1"/>
  <c r="I139" i="2"/>
  <c r="N524" i="15" s="1"/>
  <c r="U524" i="15" s="1"/>
  <c r="T524" i="15" s="1"/>
  <c r="M176" i="2"/>
  <c r="F162" i="2" s="1"/>
  <c r="F254" i="2"/>
  <c r="H540" i="15" s="1"/>
  <c r="AM540" i="15" s="1"/>
  <c r="DD287" i="2"/>
  <c r="DB355" i="2"/>
  <c r="Z551" i="15" s="1"/>
  <c r="DB356" i="2"/>
  <c r="Z552" i="15" s="1"/>
  <c r="DB357" i="2"/>
  <c r="Z553" i="15" s="1"/>
  <c r="DB358" i="2"/>
  <c r="Z554" i="15" s="1"/>
  <c r="DB396" i="2"/>
  <c r="Z559" i="15" s="1"/>
  <c r="DD398" i="2"/>
  <c r="DB444" i="2"/>
  <c r="Z572" i="15" s="1"/>
  <c r="I468" i="2"/>
  <c r="N577" i="15" s="1"/>
  <c r="V577" i="15" s="1"/>
  <c r="U577" i="15" s="1"/>
  <c r="T577" i="15" s="1"/>
  <c r="I491" i="2"/>
  <c r="N581" i="15" s="1"/>
  <c r="U581" i="15" s="1"/>
  <c r="T581" i="15" s="1"/>
  <c r="I549" i="2"/>
  <c r="N587" i="15" s="1"/>
  <c r="U587" i="15" s="1"/>
  <c r="T587" i="15" s="1"/>
  <c r="DD614" i="2"/>
  <c r="I646" i="2"/>
  <c r="N593" i="15" s="1"/>
  <c r="T593" i="15" s="1"/>
  <c r="I664" i="2"/>
  <c r="N596" i="15" s="1"/>
  <c r="U596" i="15" s="1"/>
  <c r="T596" i="15" s="1"/>
  <c r="DD682" i="2"/>
  <c r="F716" i="2"/>
  <c r="I734" i="2"/>
  <c r="N602" i="15" s="1"/>
  <c r="V602" i="15" s="1"/>
  <c r="U602" i="15" s="1"/>
  <c r="T602" i="15" s="1"/>
  <c r="I7" i="10"/>
  <c r="I63" i="10"/>
  <c r="BB7" i="10"/>
  <c r="I24" i="10"/>
  <c r="BD40" i="10"/>
  <c r="BB40" i="10" s="1"/>
  <c r="BD230" i="9"/>
  <c r="AD448" i="15" s="1"/>
  <c r="AB448" i="15" s="1"/>
  <c r="BD233" i="9"/>
  <c r="AD451" i="15" s="1"/>
  <c r="AB451" i="15" s="1"/>
  <c r="BD42" i="9"/>
  <c r="L161" i="9"/>
  <c r="BD336" i="9"/>
  <c r="M161" i="9"/>
  <c r="M228" i="9"/>
  <c r="N446" i="15" s="1"/>
  <c r="V446" i="15" s="1"/>
  <c r="BB410" i="9"/>
  <c r="Z463" i="15" s="1"/>
  <c r="BD9" i="9"/>
  <c r="BD10" i="9"/>
  <c r="I13" i="9"/>
  <c r="P427" i="15" s="1"/>
  <c r="N427" i="15" s="1"/>
  <c r="T427" i="15" s="1"/>
  <c r="F160" i="9"/>
  <c r="H439" i="15" s="1"/>
  <c r="AM439" i="15" s="1"/>
  <c r="F161" i="9"/>
  <c r="F188" i="9"/>
  <c r="BD228" i="9"/>
  <c r="AD446" i="15" s="1"/>
  <c r="AB446" i="15" s="1"/>
  <c r="BD370" i="9"/>
  <c r="I408" i="9"/>
  <c r="N461" i="15" s="1"/>
  <c r="U461" i="15" s="1"/>
  <c r="I409" i="9"/>
  <c r="N462" i="15" s="1"/>
  <c r="U462" i="15" s="1"/>
  <c r="BC434" i="9"/>
  <c r="BD160" i="9"/>
  <c r="BD12" i="9"/>
  <c r="AD426" i="15" s="1"/>
  <c r="AB426" i="15" s="1"/>
  <c r="I48" i="9"/>
  <c r="F227" i="9"/>
  <c r="M233" i="9"/>
  <c r="N451" i="15" s="1"/>
  <c r="V451" i="15" s="1"/>
  <c r="F235" i="9"/>
  <c r="BD407" i="9"/>
  <c r="BD408" i="9"/>
  <c r="AD461" i="15" s="1"/>
  <c r="AB461" i="15" s="1"/>
  <c r="BC433" i="9"/>
  <c r="BC437" i="9"/>
  <c r="F133" i="7"/>
  <c r="H292" i="15" s="1"/>
  <c r="AM292" i="15" s="1"/>
  <c r="I660" i="7"/>
  <c r="P335" i="15" s="1"/>
  <c r="V1079" i="7"/>
  <c r="F57" i="7"/>
  <c r="F120" i="7"/>
  <c r="H279" i="15" s="1"/>
  <c r="AM279" i="15" s="1"/>
  <c r="F134" i="7"/>
  <c r="F130" i="7"/>
  <c r="F475" i="7"/>
  <c r="I658" i="7"/>
  <c r="P334" i="15" s="1"/>
  <c r="I659" i="7"/>
  <c r="Q334" i="15" s="1"/>
  <c r="I661" i="7"/>
  <c r="Q335" i="15" s="1"/>
  <c r="I1213" i="7"/>
  <c r="P401" i="15" s="1"/>
  <c r="N401" i="15" s="1"/>
  <c r="I1222" i="7"/>
  <c r="P410" i="15" s="1"/>
  <c r="N410" i="15" s="1"/>
  <c r="I1223" i="7"/>
  <c r="P411" i="15" s="1"/>
  <c r="N411" i="15" s="1"/>
  <c r="I1224" i="7"/>
  <c r="P412" i="15" s="1"/>
  <c r="N412" i="15" s="1"/>
  <c r="F143" i="7"/>
  <c r="F591" i="7"/>
  <c r="I327" i="15" s="1"/>
  <c r="I655" i="7"/>
  <c r="Q332" i="15" s="1"/>
  <c r="I656" i="7"/>
  <c r="P333" i="15" s="1"/>
  <c r="F1041" i="7"/>
  <c r="H376" i="15" s="1"/>
  <c r="AM376" i="15" s="1"/>
  <c r="BD1213" i="7"/>
  <c r="BD1215" i="7"/>
  <c r="BD1222" i="7"/>
  <c r="F116" i="7"/>
  <c r="H275" i="15" s="1"/>
  <c r="AM275" i="15" s="1"/>
  <c r="F53" i="7"/>
  <c r="H268" i="15" s="1"/>
  <c r="AM268" i="15" s="1"/>
  <c r="K142" i="7"/>
  <c r="N301" i="15" s="1"/>
  <c r="V301" i="15" s="1"/>
  <c r="M438" i="7"/>
  <c r="H585" i="7"/>
  <c r="BD651" i="7"/>
  <c r="AE330" i="15" s="1"/>
  <c r="BD657" i="7"/>
  <c r="AE333" i="15" s="1"/>
  <c r="J709" i="7"/>
  <c r="N339" i="15" s="1"/>
  <c r="BD8" i="7"/>
  <c r="I7" i="7"/>
  <c r="P255" i="15" s="1"/>
  <c r="N255" i="15" s="1"/>
  <c r="AN255" i="15" s="1"/>
  <c r="F55" i="7"/>
  <c r="F59" i="7"/>
  <c r="W309" i="7"/>
  <c r="W333" i="7"/>
  <c r="K545" i="7"/>
  <c r="N318" i="15" s="1"/>
  <c r="F582" i="7"/>
  <c r="I321" i="15" s="1"/>
  <c r="F583" i="7"/>
  <c r="BD646" i="7"/>
  <c r="AD328" i="15" s="1"/>
  <c r="BD653" i="7"/>
  <c r="AE331" i="15" s="1"/>
  <c r="BD658" i="7"/>
  <c r="AD334" i="15" s="1"/>
  <c r="J747" i="7"/>
  <c r="N342" i="15" s="1"/>
  <c r="I826" i="7"/>
  <c r="Q352" i="15" s="1"/>
  <c r="I827" i="7"/>
  <c r="P353" i="15" s="1"/>
  <c r="F828" i="7"/>
  <c r="F1033" i="7"/>
  <c r="F1035" i="7"/>
  <c r="F1037" i="7"/>
  <c r="M1037" i="7" s="1"/>
  <c r="N372" i="15" s="1"/>
  <c r="V1066" i="7"/>
  <c r="I1227" i="7"/>
  <c r="P415" i="15" s="1"/>
  <c r="N415" i="15" s="1"/>
  <c r="I1228" i="7"/>
  <c r="P416" i="15" s="1"/>
  <c r="N416" i="15" s="1"/>
  <c r="F137" i="7"/>
  <c r="BD137" i="7" s="1"/>
  <c r="F121" i="7"/>
  <c r="W327" i="7"/>
  <c r="F118" i="7"/>
  <c r="F128" i="7"/>
  <c r="F136" i="7"/>
  <c r="H295" i="15" s="1"/>
  <c r="AM295" i="15" s="1"/>
  <c r="F437" i="7"/>
  <c r="E488" i="7"/>
  <c r="BC591" i="7"/>
  <c r="I649" i="7"/>
  <c r="Q329" i="15" s="1"/>
  <c r="I652" i="7"/>
  <c r="P331" i="15" s="1"/>
  <c r="BD835" i="7"/>
  <c r="I837" i="7"/>
  <c r="P358" i="15" s="1"/>
  <c r="N358" i="15" s="1"/>
  <c r="F1043" i="7"/>
  <c r="H378" i="15" s="1"/>
  <c r="AM378" i="15" s="1"/>
  <c r="F1045" i="7"/>
  <c r="I1220" i="7"/>
  <c r="P408" i="15" s="1"/>
  <c r="N408" i="15" s="1"/>
  <c r="K136" i="7"/>
  <c r="N295" i="15" s="1"/>
  <c r="V295" i="15" s="1"/>
  <c r="I123" i="7"/>
  <c r="F123" i="7" s="1"/>
  <c r="F141" i="7"/>
  <c r="M544" i="7"/>
  <c r="BD665" i="7"/>
  <c r="AE337" i="15" s="1"/>
  <c r="BD824" i="7"/>
  <c r="AE351" i="15" s="1"/>
  <c r="BD825" i="7"/>
  <c r="AD352" i="15" s="1"/>
  <c r="BD839" i="7"/>
  <c r="AD359" i="15" s="1"/>
  <c r="I843" i="7"/>
  <c r="P361" i="15" s="1"/>
  <c r="V1074" i="7"/>
  <c r="E1099" i="7"/>
  <c r="V1099" i="7" s="1"/>
  <c r="I1147" i="7"/>
  <c r="N390" i="15" s="1"/>
  <c r="I12" i="7"/>
  <c r="P260" i="15" s="1"/>
  <c r="N260" i="15" s="1"/>
  <c r="AN260" i="15" s="1"/>
  <c r="BD124" i="7"/>
  <c r="I135" i="7"/>
  <c r="F135" i="7" s="1"/>
  <c r="F321" i="7"/>
  <c r="I129" i="7" s="1"/>
  <c r="F129" i="7" s="1"/>
  <c r="H288" i="15" s="1"/>
  <c r="AM288" i="15" s="1"/>
  <c r="F439" i="7"/>
  <c r="M543" i="7"/>
  <c r="M546" i="7"/>
  <c r="F580" i="7"/>
  <c r="F585" i="7"/>
  <c r="I323" i="15" s="1"/>
  <c r="BC588" i="7"/>
  <c r="F589" i="7"/>
  <c r="I647" i="7"/>
  <c r="Q328" i="15" s="1"/>
  <c r="I650" i="7"/>
  <c r="P330" i="15" s="1"/>
  <c r="N330" i="15" s="1"/>
  <c r="BD822" i="7"/>
  <c r="AE350" i="15" s="1"/>
  <c r="BD826" i="7"/>
  <c r="AE352" i="15" s="1"/>
  <c r="BD827" i="7"/>
  <c r="AD353" i="15" s="1"/>
  <c r="I831" i="7"/>
  <c r="P355" i="15" s="1"/>
  <c r="BD832" i="7"/>
  <c r="AE355" i="15" s="1"/>
  <c r="BD837" i="7"/>
  <c r="BD843" i="7"/>
  <c r="AD361" i="15" s="1"/>
  <c r="F941" i="7"/>
  <c r="H364" i="15" s="1"/>
  <c r="AM364" i="15" s="1"/>
  <c r="F1036" i="7"/>
  <c r="V1069" i="7"/>
  <c r="I1144" i="7"/>
  <c r="N387" i="15" s="1"/>
  <c r="BD1146" i="7"/>
  <c r="I1149" i="7"/>
  <c r="N392" i="15" s="1"/>
  <c r="I1209" i="7"/>
  <c r="P397" i="15" s="1"/>
  <c r="N397" i="15" s="1"/>
  <c r="I1214" i="7"/>
  <c r="P402" i="15" s="1"/>
  <c r="N402" i="15" s="1"/>
  <c r="BD1219" i="7"/>
  <c r="BD1221" i="7"/>
  <c r="I1225" i="7"/>
  <c r="P413" i="15" s="1"/>
  <c r="N413" i="15" s="1"/>
  <c r="I1230" i="7"/>
  <c r="P418" i="15" s="1"/>
  <c r="N418" i="15" s="1"/>
  <c r="F131" i="7"/>
  <c r="BD136" i="7"/>
  <c r="F139" i="7"/>
  <c r="F125" i="7"/>
  <c r="F140" i="7"/>
  <c r="F145" i="7"/>
  <c r="F543" i="7"/>
  <c r="H316" i="15" s="1"/>
  <c r="AM316" i="15" s="1"/>
  <c r="F587" i="7"/>
  <c r="M590" i="7"/>
  <c r="N327" i="15" s="1"/>
  <c r="BD590" i="7"/>
  <c r="AD327" i="15" s="1"/>
  <c r="AB327" i="15" s="1"/>
  <c r="I654" i="7"/>
  <c r="P332" i="15" s="1"/>
  <c r="N332" i="15" s="1"/>
  <c r="AN332" i="15" s="1"/>
  <c r="I821" i="7"/>
  <c r="P350" i="15" s="1"/>
  <c r="I830" i="7"/>
  <c r="Q354" i="15" s="1"/>
  <c r="I833" i="7"/>
  <c r="P356" i="15" s="1"/>
  <c r="N356" i="15" s="1"/>
  <c r="F1047" i="7"/>
  <c r="BD1147" i="7"/>
  <c r="BB1148" i="7"/>
  <c r="Z391" i="15" s="1"/>
  <c r="F1183" i="7"/>
  <c r="F1184" i="7"/>
  <c r="BB1209" i="7"/>
  <c r="Z397" i="15" s="1"/>
  <c r="BD1210" i="7"/>
  <c r="BD1217" i="7"/>
  <c r="I1218" i="7"/>
  <c r="P406" i="15" s="1"/>
  <c r="N406" i="15" s="1"/>
  <c r="BB1225" i="7"/>
  <c r="Z413" i="15" s="1"/>
  <c r="BD1226" i="7"/>
  <c r="V38" i="7"/>
  <c r="J58" i="7"/>
  <c r="F58" i="7" s="1"/>
  <c r="K121" i="7"/>
  <c r="N280" i="15" s="1"/>
  <c r="V280" i="15" s="1"/>
  <c r="K143" i="7"/>
  <c r="N302" i="15" s="1"/>
  <c r="V302" i="15" s="1"/>
  <c r="I502" i="7"/>
  <c r="BD647" i="7"/>
  <c r="BD747" i="7"/>
  <c r="F791" i="7"/>
  <c r="F793" i="7"/>
  <c r="BD1044" i="7"/>
  <c r="K117" i="7"/>
  <c r="N276" i="15" s="1"/>
  <c r="V276" i="15" s="1"/>
  <c r="F122" i="7"/>
  <c r="F906" i="7"/>
  <c r="F907" i="7"/>
  <c r="E1128" i="7"/>
  <c r="V1073" i="7"/>
  <c r="I9" i="7"/>
  <c r="P257" i="15" s="1"/>
  <c r="N257" i="15" s="1"/>
  <c r="AN257" i="15" s="1"/>
  <c r="I10" i="7"/>
  <c r="P258" i="15" s="1"/>
  <c r="N258" i="15" s="1"/>
  <c r="AN258" i="15" s="1"/>
  <c r="F17" i="7"/>
  <c r="BD17" i="7" s="1"/>
  <c r="I11" i="7"/>
  <c r="P259" i="15" s="1"/>
  <c r="N259" i="15" s="1"/>
  <c r="AN259" i="15" s="1"/>
  <c r="F56" i="7"/>
  <c r="K57" i="7"/>
  <c r="N272" i="15" s="1"/>
  <c r="V272" i="15" s="1"/>
  <c r="F127" i="7"/>
  <c r="BD133" i="7"/>
  <c r="K141" i="7"/>
  <c r="N300" i="15" s="1"/>
  <c r="V300" i="15" s="1"/>
  <c r="J502" i="7"/>
  <c r="J503" i="7"/>
  <c r="F503" i="7" s="1"/>
  <c r="I504" i="7"/>
  <c r="F504" i="7" s="1"/>
  <c r="H315" i="15" s="1"/>
  <c r="AM315" i="15" s="1"/>
  <c r="O584" i="7"/>
  <c r="BD656" i="7"/>
  <c r="AD333" i="15" s="1"/>
  <c r="BD710" i="7"/>
  <c r="F792" i="7"/>
  <c r="F1034" i="7"/>
  <c r="F1046" i="7"/>
  <c r="E1120" i="7"/>
  <c r="V1065" i="7"/>
  <c r="BD12" i="7"/>
  <c r="F18" i="7"/>
  <c r="I18" i="7" s="1"/>
  <c r="P266" i="15" s="1"/>
  <c r="N266" i="15" s="1"/>
  <c r="F54" i="7"/>
  <c r="K55" i="7"/>
  <c r="N270" i="15" s="1"/>
  <c r="V270" i="15" s="1"/>
  <c r="K116" i="7"/>
  <c r="N275" i="15" s="1"/>
  <c r="V275" i="15" s="1"/>
  <c r="BD117" i="7"/>
  <c r="K124" i="7"/>
  <c r="N283" i="15" s="1"/>
  <c r="V283" i="15" s="1"/>
  <c r="F132" i="7"/>
  <c r="K133" i="7"/>
  <c r="N292" i="15" s="1"/>
  <c r="V292" i="15" s="1"/>
  <c r="F144" i="7"/>
  <c r="H303" i="15" s="1"/>
  <c r="AM303" i="15" s="1"/>
  <c r="BD543" i="7"/>
  <c r="AD316" i="15" s="1"/>
  <c r="AB316" i="15" s="1"/>
  <c r="F581" i="7"/>
  <c r="G635" i="7"/>
  <c r="I648" i="7"/>
  <c r="P329" i="15" s="1"/>
  <c r="N329" i="15" s="1"/>
  <c r="BD650" i="7"/>
  <c r="AD330" i="15" s="1"/>
  <c r="AB330" i="15" s="1"/>
  <c r="I841" i="7"/>
  <c r="P360" i="15" s="1"/>
  <c r="BD841" i="7"/>
  <c r="AD360" i="15" s="1"/>
  <c r="F1042" i="7"/>
  <c r="M1043" i="7"/>
  <c r="N378" i="15" s="1"/>
  <c r="E1131" i="7"/>
  <c r="V1076" i="7"/>
  <c r="I823" i="7"/>
  <c r="P351" i="15" s="1"/>
  <c r="BD941" i="7"/>
  <c r="BD967" i="7"/>
  <c r="I1145" i="7"/>
  <c r="N388" i="15" s="1"/>
  <c r="BD1214" i="7"/>
  <c r="I1217" i="7"/>
  <c r="P405" i="15" s="1"/>
  <c r="N405" i="15" s="1"/>
  <c r="BD1218" i="7"/>
  <c r="AD406" i="15" s="1"/>
  <c r="AB406" i="15" s="1"/>
  <c r="BD1230" i="7"/>
  <c r="F544" i="7"/>
  <c r="F546" i="7"/>
  <c r="F588" i="7"/>
  <c r="I325" i="15" s="1"/>
  <c r="I646" i="7"/>
  <c r="P328" i="15" s="1"/>
  <c r="BD649" i="7"/>
  <c r="AE329" i="15" s="1"/>
  <c r="BD652" i="7"/>
  <c r="I662" i="7"/>
  <c r="P336" i="15" s="1"/>
  <c r="I666" i="7"/>
  <c r="P338" i="15" s="1"/>
  <c r="BD709" i="7"/>
  <c r="J711" i="7"/>
  <c r="N341" i="15" s="1"/>
  <c r="I822" i="7"/>
  <c r="Q350" i="15" s="1"/>
  <c r="BD823" i="7"/>
  <c r="AD351" i="15" s="1"/>
  <c r="I824" i="7"/>
  <c r="Q351" i="15" s="1"/>
  <c r="I825" i="7"/>
  <c r="P352" i="15" s="1"/>
  <c r="N352" i="15" s="1"/>
  <c r="BD828" i="7"/>
  <c r="I829" i="7"/>
  <c r="P354" i="15" s="1"/>
  <c r="BD830" i="7"/>
  <c r="AE354" i="15" s="1"/>
  <c r="BD831" i="7"/>
  <c r="AD355" i="15" s="1"/>
  <c r="M1038" i="7"/>
  <c r="N373" i="15" s="1"/>
  <c r="F1040" i="7"/>
  <c r="F1048" i="7"/>
  <c r="M1050" i="7"/>
  <c r="N385" i="15" s="1"/>
  <c r="BD1144" i="7"/>
  <c r="I1146" i="7"/>
  <c r="N389" i="15" s="1"/>
  <c r="BD1211" i="7"/>
  <c r="I1219" i="7"/>
  <c r="P407" i="15" s="1"/>
  <c r="N407" i="15" s="1"/>
  <c r="I1221" i="7"/>
  <c r="P409" i="15" s="1"/>
  <c r="N409" i="15" s="1"/>
  <c r="BD1227" i="7"/>
  <c r="BB1229" i="7"/>
  <c r="Z417" i="15" s="1"/>
  <c r="BD648" i="7"/>
  <c r="AD329" i="15" s="1"/>
  <c r="I653" i="7"/>
  <c r="Q331" i="15" s="1"/>
  <c r="BD659" i="7"/>
  <c r="BD662" i="7"/>
  <c r="I663" i="7"/>
  <c r="Q336" i="15" s="1"/>
  <c r="BD664" i="7"/>
  <c r="AD337" i="15" s="1"/>
  <c r="AB337" i="15" s="1"/>
  <c r="I665" i="7"/>
  <c r="Q337" i="15" s="1"/>
  <c r="BD821" i="7"/>
  <c r="AD350" i="15" s="1"/>
  <c r="BD829" i="7"/>
  <c r="AD354" i="15" s="1"/>
  <c r="BD833" i="7"/>
  <c r="I839" i="7"/>
  <c r="P359" i="15" s="1"/>
  <c r="BD844" i="7"/>
  <c r="M1032" i="7"/>
  <c r="N367" i="15" s="1"/>
  <c r="M1041" i="7"/>
  <c r="N376" i="15" s="1"/>
  <c r="M1044" i="7"/>
  <c r="N379" i="15" s="1"/>
  <c r="M1049" i="7"/>
  <c r="N384" i="15" s="1"/>
  <c r="V1070" i="7"/>
  <c r="BD1145" i="7"/>
  <c r="I1148" i="7"/>
  <c r="N391" i="15" s="1"/>
  <c r="I1210" i="7"/>
  <c r="P398" i="15" s="1"/>
  <c r="N398" i="15" s="1"/>
  <c r="I1215" i="7"/>
  <c r="P403" i="15" s="1"/>
  <c r="N403" i="15" s="1"/>
  <c r="I1216" i="7"/>
  <c r="P404" i="15" s="1"/>
  <c r="N404" i="15" s="1"/>
  <c r="BD1223" i="7"/>
  <c r="I1226" i="7"/>
  <c r="P414" i="15" s="1"/>
  <c r="N414" i="15" s="1"/>
  <c r="I1231" i="7"/>
  <c r="P419" i="15" s="1"/>
  <c r="N419" i="15" s="1"/>
  <c r="K805" i="6"/>
  <c r="BE805" i="6" s="1"/>
  <c r="BE803" i="6"/>
  <c r="J824" i="6"/>
  <c r="BC820" i="6"/>
  <c r="L796" i="6"/>
  <c r="L775" i="6"/>
  <c r="L777" i="6"/>
  <c r="K1430" i="6"/>
  <c r="BE1428" i="6"/>
  <c r="BD145" i="6"/>
  <c r="K293" i="6"/>
  <c r="L137" i="6" s="1"/>
  <c r="F137" i="6"/>
  <c r="D1106" i="6"/>
  <c r="K823" i="6"/>
  <c r="BE823" i="6" s="1"/>
  <c r="BE819" i="6"/>
  <c r="F1252" i="6"/>
  <c r="I1402" i="6"/>
  <c r="R173" i="15" s="1"/>
  <c r="BE1414" i="6"/>
  <c r="K1418" i="6"/>
  <c r="BE1418" i="6" s="1"/>
  <c r="J1419" i="6"/>
  <c r="BC1419" i="6" s="1"/>
  <c r="BC1415" i="6"/>
  <c r="BD1415" i="6" s="1"/>
  <c r="AG177" i="15" s="1"/>
  <c r="H1427" i="6"/>
  <c r="I1423" i="6"/>
  <c r="K1439" i="6"/>
  <c r="BE1439" i="6" s="1"/>
  <c r="BE1435" i="6"/>
  <c r="I127" i="6"/>
  <c r="P101" i="15" s="1"/>
  <c r="K730" i="6"/>
  <c r="J730" i="6" s="1"/>
  <c r="K142" i="6" s="1"/>
  <c r="L142" i="6"/>
  <c r="I780" i="6"/>
  <c r="P141" i="15" s="1"/>
  <c r="BC807" i="6"/>
  <c r="J811" i="6"/>
  <c r="BC811" i="6" s="1"/>
  <c r="J812" i="6"/>
  <c r="BC808" i="6"/>
  <c r="J816" i="6"/>
  <c r="BC814" i="6"/>
  <c r="I1389" i="6"/>
  <c r="Q169" i="15" s="1"/>
  <c r="K704" i="6"/>
  <c r="L116" i="6"/>
  <c r="BD1295" i="6"/>
  <c r="AD168" i="15" s="1"/>
  <c r="D2816" i="6"/>
  <c r="V1358" i="6"/>
  <c r="K1454" i="6"/>
  <c r="BE1454" i="6" s="1"/>
  <c r="BE1450" i="6"/>
  <c r="H1464" i="6"/>
  <c r="I1464" i="6" s="1"/>
  <c r="I1462" i="6"/>
  <c r="BC1493" i="6"/>
  <c r="BD1493" i="6" s="1"/>
  <c r="AE207" i="15" s="1"/>
  <c r="J1497" i="6"/>
  <c r="BC1497" i="6" s="1"/>
  <c r="BD1497" i="6" s="1"/>
  <c r="AE208" i="15" s="1"/>
  <c r="K1541" i="6"/>
  <c r="BE1541" i="6" s="1"/>
  <c r="BE1537" i="6"/>
  <c r="I140" i="6"/>
  <c r="P110" i="15" s="1"/>
  <c r="N110" i="15" s="1"/>
  <c r="AN110" i="15" s="1"/>
  <c r="I133" i="6"/>
  <c r="P105" i="15" s="1"/>
  <c r="N105" i="15" s="1"/>
  <c r="AN105" i="15" s="1"/>
  <c r="K699" i="6"/>
  <c r="BD776" i="6"/>
  <c r="AF138" i="15" s="1"/>
  <c r="AC138" i="15" s="1"/>
  <c r="I785" i="6"/>
  <c r="S142" i="15" s="1"/>
  <c r="I789" i="6"/>
  <c r="Q144" i="15" s="1"/>
  <c r="K825" i="6"/>
  <c r="BE825" i="6" s="1"/>
  <c r="F860" i="6"/>
  <c r="F881" i="6" s="1"/>
  <c r="F902" i="6" s="1"/>
  <c r="F923" i="6" s="1"/>
  <c r="F944" i="6" s="1"/>
  <c r="F965" i="6" s="1"/>
  <c r="F986" i="6" s="1"/>
  <c r="F1007" i="6" s="1"/>
  <c r="F1028" i="6" s="1"/>
  <c r="F1049" i="6" s="1"/>
  <c r="I1181" i="6"/>
  <c r="Q159" i="15" s="1"/>
  <c r="J1187" i="6"/>
  <c r="BC1187" i="6" s="1"/>
  <c r="BD1187" i="6" s="1"/>
  <c r="J1191" i="6"/>
  <c r="BC1191" i="6" s="1"/>
  <c r="BD1191" i="6" s="1"/>
  <c r="F1265" i="6"/>
  <c r="I1291" i="6"/>
  <c r="P167" i="15" s="1"/>
  <c r="BD1293" i="6"/>
  <c r="AF167" i="15" s="1"/>
  <c r="BD1296" i="6"/>
  <c r="AE168" i="15" s="1"/>
  <c r="BD1404" i="6"/>
  <c r="AD174" i="15" s="1"/>
  <c r="BC1416" i="6"/>
  <c r="BD1416" i="6" s="1"/>
  <c r="AD178" i="15" s="1"/>
  <c r="BD1414" i="6"/>
  <c r="AF177" i="15" s="1"/>
  <c r="I1435" i="6"/>
  <c r="K1446" i="6"/>
  <c r="BE1444" i="6"/>
  <c r="I1450" i="6"/>
  <c r="BE1456" i="6"/>
  <c r="J1470" i="6"/>
  <c r="BC1468" i="6"/>
  <c r="BD1468" i="6" s="1"/>
  <c r="AD197" i="15" s="1"/>
  <c r="J1471" i="6"/>
  <c r="BC1471" i="6" s="1"/>
  <c r="BC1469" i="6"/>
  <c r="BD1469" i="6" s="1"/>
  <c r="AE197" i="15" s="1"/>
  <c r="F1477" i="6"/>
  <c r="BD1481" i="6"/>
  <c r="AG202" i="15" s="1"/>
  <c r="J1535" i="6"/>
  <c r="BC1535" i="6" s="1"/>
  <c r="BD1537" i="6"/>
  <c r="AE221" i="15" s="1"/>
  <c r="BD1609" i="6"/>
  <c r="AG239" i="15" s="1"/>
  <c r="J1621" i="6"/>
  <c r="BC1621" i="6" s="1"/>
  <c r="BC1617" i="6"/>
  <c r="BD1617" i="6" s="1"/>
  <c r="AE243" i="15" s="1"/>
  <c r="L1691" i="6"/>
  <c r="F1443" i="6"/>
  <c r="I96" i="6"/>
  <c r="O11" i="6" s="1"/>
  <c r="I110" i="6"/>
  <c r="P90" i="15" s="1"/>
  <c r="N90" i="15" s="1"/>
  <c r="Q198" i="6"/>
  <c r="J698" i="6"/>
  <c r="K110" i="6" s="1"/>
  <c r="I776" i="6"/>
  <c r="R138" i="15" s="1"/>
  <c r="O138" i="15" s="1"/>
  <c r="V138" i="15" s="1"/>
  <c r="BD781" i="6"/>
  <c r="AE141" i="15" s="1"/>
  <c r="BD788" i="6"/>
  <c r="AD144" i="15" s="1"/>
  <c r="K1459" i="6"/>
  <c r="BE1459" i="6" s="1"/>
  <c r="BD1478" i="6"/>
  <c r="AD202" i="15" s="1"/>
  <c r="J1499" i="6"/>
  <c r="BC1499" i="6" s="1"/>
  <c r="BC1495" i="6"/>
  <c r="BD1495" i="6" s="1"/>
  <c r="AG207" i="15" s="1"/>
  <c r="BD1516" i="6"/>
  <c r="AD215" i="15" s="1"/>
  <c r="K1543" i="6"/>
  <c r="BE1543" i="6" s="1"/>
  <c r="BE1539" i="6"/>
  <c r="BC1557" i="6"/>
  <c r="BD1557" i="6" s="1"/>
  <c r="AE226" i="15" s="1"/>
  <c r="J1561" i="6"/>
  <c r="BC1561" i="6" s="1"/>
  <c r="BD1571" i="6"/>
  <c r="AG229" i="15" s="1"/>
  <c r="K1583" i="6"/>
  <c r="BE1583" i="6" s="1"/>
  <c r="BE1579" i="6"/>
  <c r="J1604" i="6"/>
  <c r="X238" i="15" s="1"/>
  <c r="BC1600" i="6"/>
  <c r="BD1600" i="6" s="1"/>
  <c r="AF237" i="15" s="1"/>
  <c r="L1737" i="6"/>
  <c r="F1535" i="6"/>
  <c r="F7" i="6"/>
  <c r="I9" i="6"/>
  <c r="W94" i="6"/>
  <c r="Y96" i="6"/>
  <c r="L114" i="6"/>
  <c r="I117" i="6"/>
  <c r="P94" i="15" s="1"/>
  <c r="I123" i="6"/>
  <c r="R98" i="15" s="1"/>
  <c r="O98" i="15" s="1"/>
  <c r="V98" i="15" s="1"/>
  <c r="BD133" i="6"/>
  <c r="AD105" i="15" s="1"/>
  <c r="AB105" i="15" s="1"/>
  <c r="BD135" i="6"/>
  <c r="I136" i="6"/>
  <c r="P107" i="15" s="1"/>
  <c r="J703" i="6"/>
  <c r="K115" i="6" s="1"/>
  <c r="I775" i="6"/>
  <c r="P138" i="15" s="1"/>
  <c r="N138" i="15" s="1"/>
  <c r="AN138" i="15" s="1"/>
  <c r="I778" i="6"/>
  <c r="P140" i="15" s="1"/>
  <c r="I782" i="6"/>
  <c r="P142" i="15" s="1"/>
  <c r="BD787" i="6"/>
  <c r="J794" i="6"/>
  <c r="BE799" i="6"/>
  <c r="BC809" i="6"/>
  <c r="I1186" i="6"/>
  <c r="P162" i="15" s="1"/>
  <c r="I1190" i="6"/>
  <c r="P164" i="15" s="1"/>
  <c r="X1237" i="6"/>
  <c r="I1285" i="6"/>
  <c r="P165" i="15" s="1"/>
  <c r="I1399" i="6"/>
  <c r="Q172" i="15" s="1"/>
  <c r="I1411" i="6"/>
  <c r="Q176" i="15" s="1"/>
  <c r="I1412" i="6"/>
  <c r="BC1413" i="6"/>
  <c r="BD1413" i="6" s="1"/>
  <c r="AE177" i="15" s="1"/>
  <c r="I1429" i="6"/>
  <c r="I1445" i="6"/>
  <c r="BE1445" i="6"/>
  <c r="I1475" i="6"/>
  <c r="J1487" i="6"/>
  <c r="BC1487" i="6" s="1"/>
  <c r="BC1485" i="6"/>
  <c r="BD1485" i="6" s="1"/>
  <c r="AE204" i="15" s="1"/>
  <c r="I1501" i="6"/>
  <c r="Q209" i="15" s="1"/>
  <c r="J1504" i="6"/>
  <c r="BC1502" i="6"/>
  <c r="BD1502" i="6" s="1"/>
  <c r="AD210" i="15" s="1"/>
  <c r="J1562" i="6"/>
  <c r="X227" i="15" s="1"/>
  <c r="BC1558" i="6"/>
  <c r="BD1558" i="6" s="1"/>
  <c r="AF226" i="15" s="1"/>
  <c r="L1756" i="6"/>
  <c r="F1573" i="6"/>
  <c r="F1574" i="6"/>
  <c r="F1575" i="6"/>
  <c r="I1575" i="6" s="1"/>
  <c r="F1627" i="6"/>
  <c r="F1626" i="6"/>
  <c r="BD1290" i="6"/>
  <c r="AG166" i="15" s="1"/>
  <c r="BD1388" i="6"/>
  <c r="AD169" i="15" s="1"/>
  <c r="BD1392" i="6"/>
  <c r="AD170" i="15" s="1"/>
  <c r="I1407" i="6"/>
  <c r="S174" i="15" s="1"/>
  <c r="BC1418" i="6"/>
  <c r="BD1418" i="6" s="1"/>
  <c r="AF178" i="15" s="1"/>
  <c r="I1420" i="6"/>
  <c r="BD1429" i="6"/>
  <c r="AE181" i="15" s="1"/>
  <c r="I1444" i="6"/>
  <c r="BC1452" i="6"/>
  <c r="BD1452" i="6" s="1"/>
  <c r="AD190" i="15" s="1"/>
  <c r="BC1453" i="6"/>
  <c r="BD1453" i="6" s="1"/>
  <c r="AE190" i="15" s="1"/>
  <c r="BC1464" i="6"/>
  <c r="BD1464" i="6" s="1"/>
  <c r="AD195" i="15" s="1"/>
  <c r="I1463" i="6"/>
  <c r="BD1467" i="6"/>
  <c r="AE196" i="15" s="1"/>
  <c r="BE1475" i="6"/>
  <c r="I1482" i="6"/>
  <c r="P203" i="15" s="1"/>
  <c r="I1489" i="6"/>
  <c r="Q206" i="15" s="1"/>
  <c r="I1490" i="6"/>
  <c r="R206" i="15" s="1"/>
  <c r="I1491" i="6"/>
  <c r="S206" i="15" s="1"/>
  <c r="I1492" i="6"/>
  <c r="BD1500" i="6"/>
  <c r="AD209" i="15" s="1"/>
  <c r="I1504" i="6"/>
  <c r="P211" i="15" s="1"/>
  <c r="BD1520" i="6"/>
  <c r="AF216" i="15" s="1"/>
  <c r="I1530" i="6"/>
  <c r="BC1533" i="6"/>
  <c r="K1542" i="6"/>
  <c r="BE1542" i="6" s="1"/>
  <c r="BE1538" i="6"/>
  <c r="J1563" i="6"/>
  <c r="BC1563" i="6" s="1"/>
  <c r="BD1563" i="6" s="1"/>
  <c r="AG227" i="15" s="1"/>
  <c r="BC1559" i="6"/>
  <c r="BD1559" i="6" s="1"/>
  <c r="AG226" i="15" s="1"/>
  <c r="K1631" i="6"/>
  <c r="BE1631" i="6" s="1"/>
  <c r="BE1629" i="6"/>
  <c r="Q1666" i="6"/>
  <c r="X2990" i="6" s="1"/>
  <c r="Q1668" i="6"/>
  <c r="X3092" i="6" s="1"/>
  <c r="L1747" i="6"/>
  <c r="F1555" i="6"/>
  <c r="L1785" i="6"/>
  <c r="F1631" i="6"/>
  <c r="I1466" i="6"/>
  <c r="P196" i="15" s="1"/>
  <c r="I1473" i="6"/>
  <c r="Q199" i="15" s="1"/>
  <c r="I1474" i="6"/>
  <c r="BC1486" i="6"/>
  <c r="BD1486" i="6" s="1"/>
  <c r="AD205" i="15" s="1"/>
  <c r="BD1501" i="6"/>
  <c r="AE209" i="15" s="1"/>
  <c r="BD1508" i="6"/>
  <c r="AF212" i="15" s="1"/>
  <c r="I1524" i="6"/>
  <c r="P218" i="15" s="1"/>
  <c r="J1532" i="6"/>
  <c r="BC1528" i="6"/>
  <c r="BD1528" i="6" s="1"/>
  <c r="AD219" i="15" s="1"/>
  <c r="BD1550" i="6"/>
  <c r="AF224" i="15" s="1"/>
  <c r="BD1608" i="6"/>
  <c r="AF239" i="15" s="1"/>
  <c r="BD1619" i="6"/>
  <c r="AG243" i="15" s="1"/>
  <c r="Q1667" i="6"/>
  <c r="X3002" i="6" s="1"/>
  <c r="L1771" i="6"/>
  <c r="F1603" i="6"/>
  <c r="K1535" i="6"/>
  <c r="BE1535" i="6" s="1"/>
  <c r="J1541" i="6"/>
  <c r="BC1541" i="6" s="1"/>
  <c r="BD1546" i="6"/>
  <c r="AF223" i="15" s="1"/>
  <c r="BC1552" i="6"/>
  <c r="I1551" i="6"/>
  <c r="J1553" i="6"/>
  <c r="BC1553" i="6" s="1"/>
  <c r="I1556" i="6"/>
  <c r="BD1588" i="6"/>
  <c r="AD234" i="15" s="1"/>
  <c r="I1611" i="6"/>
  <c r="Q240" i="15" s="1"/>
  <c r="I1612" i="6"/>
  <c r="I1632" i="6"/>
  <c r="BC1633" i="6"/>
  <c r="BD1633" i="6" s="1"/>
  <c r="AE249" i="15" s="1"/>
  <c r="I1636" i="6"/>
  <c r="BC1637" i="6"/>
  <c r="BD1637" i="6" s="1"/>
  <c r="AE251" i="15" s="1"/>
  <c r="I1640" i="6"/>
  <c r="I1641" i="6"/>
  <c r="BC1641" i="6"/>
  <c r="BD1641" i="6" s="1"/>
  <c r="AE253" i="15" s="1"/>
  <c r="M2990" i="6"/>
  <c r="BD1544" i="6"/>
  <c r="AD223" i="15" s="1"/>
  <c r="BD1567" i="6"/>
  <c r="AG228" i="15" s="1"/>
  <c r="I1569" i="6"/>
  <c r="BC1605" i="6"/>
  <c r="BD1605" i="6" s="1"/>
  <c r="AG238" i="15" s="1"/>
  <c r="I1624" i="6"/>
  <c r="M2996" i="6"/>
  <c r="I1512" i="6"/>
  <c r="P214" i="15" s="1"/>
  <c r="BD1519" i="6"/>
  <c r="AE216" i="15" s="1"/>
  <c r="BD1521" i="6"/>
  <c r="AG216" i="15" s="1"/>
  <c r="BD1525" i="6"/>
  <c r="AE218" i="15" s="1"/>
  <c r="BD1527" i="6"/>
  <c r="AG218" i="15" s="1"/>
  <c r="BC1534" i="6"/>
  <c r="BD1534" i="6" s="1"/>
  <c r="AF220" i="15" s="1"/>
  <c r="BC1539" i="6"/>
  <c r="BD1539" i="6" s="1"/>
  <c r="AG221" i="15" s="1"/>
  <c r="BC1542" i="6"/>
  <c r="BD1545" i="6"/>
  <c r="AE223" i="15" s="1"/>
  <c r="BD1547" i="6"/>
  <c r="AG223" i="15" s="1"/>
  <c r="I1549" i="6"/>
  <c r="I1564" i="6"/>
  <c r="P228" i="15" s="1"/>
  <c r="I1570" i="6"/>
  <c r="BC1570" i="6"/>
  <c r="BD1570" i="6" s="1"/>
  <c r="AF229" i="15" s="1"/>
  <c r="BC1574" i="6"/>
  <c r="I1577" i="6"/>
  <c r="BD1584" i="6"/>
  <c r="AD233" i="15" s="1"/>
  <c r="I1591" i="6"/>
  <c r="I1592" i="6"/>
  <c r="I1593" i="6"/>
  <c r="J1597" i="6"/>
  <c r="BC1597" i="6" s="1"/>
  <c r="BC1602" i="6"/>
  <c r="BD1602" i="6" s="1"/>
  <c r="AD238" i="15" s="1"/>
  <c r="BC1603" i="6"/>
  <c r="I1601" i="6"/>
  <c r="BC1601" i="6"/>
  <c r="BD1601" i="6" s="1"/>
  <c r="AG237" i="15" s="1"/>
  <c r="BD1610" i="6"/>
  <c r="AD240" i="15" s="1"/>
  <c r="BD1611" i="6"/>
  <c r="AE240" i="15" s="1"/>
  <c r="I1616" i="6"/>
  <c r="I1618" i="6"/>
  <c r="BE1624" i="6"/>
  <c r="BC1627" i="6"/>
  <c r="BD1629" i="6"/>
  <c r="AE247" i="15" s="1"/>
  <c r="M3002" i="6"/>
  <c r="F436" i="9"/>
  <c r="F431" i="9"/>
  <c r="F433" i="9"/>
  <c r="H466" i="15" s="1"/>
  <c r="AM466" i="15" s="1"/>
  <c r="F435" i="9"/>
  <c r="I435" i="9" s="1"/>
  <c r="N468" i="15" s="1"/>
  <c r="U468" i="15" s="1"/>
  <c r="F437" i="9"/>
  <c r="F1150" i="7"/>
  <c r="DD101" i="2"/>
  <c r="DD254" i="2"/>
  <c r="DD360" i="2"/>
  <c r="DD664" i="2"/>
  <c r="I9" i="2"/>
  <c r="N482" i="15" s="1"/>
  <c r="AN482" i="15" s="1"/>
  <c r="I13" i="2"/>
  <c r="N486" i="15" s="1"/>
  <c r="AN486" i="15" s="1"/>
  <c r="I17" i="2"/>
  <c r="N490" i="15" s="1"/>
  <c r="AN490" i="15" s="1"/>
  <c r="I21" i="2"/>
  <c r="N494" i="15" s="1"/>
  <c r="AN494" i="15" s="1"/>
  <c r="I26" i="2"/>
  <c r="N499" i="15" s="1"/>
  <c r="AN499" i="15" s="1"/>
  <c r="I61" i="2"/>
  <c r="N501" i="15" s="1"/>
  <c r="U501" i="15" s="1"/>
  <c r="T501" i="15" s="1"/>
  <c r="DD87" i="2"/>
  <c r="DD88" i="2"/>
  <c r="DD89" i="2"/>
  <c r="DD90" i="2"/>
  <c r="DD92" i="2"/>
  <c r="DD93" i="2"/>
  <c r="DD94" i="2"/>
  <c r="DD95" i="2"/>
  <c r="DD97" i="2"/>
  <c r="DD102" i="2"/>
  <c r="DD103" i="2"/>
  <c r="DD107" i="2"/>
  <c r="DD108" i="2"/>
  <c r="F160" i="2"/>
  <c r="I215" i="2"/>
  <c r="N534" i="15" s="1"/>
  <c r="U534" i="15" s="1"/>
  <c r="T534" i="15" s="1"/>
  <c r="I231" i="2"/>
  <c r="N535" i="15" s="1"/>
  <c r="U535" i="15" s="1"/>
  <c r="T535" i="15" s="1"/>
  <c r="I333" i="2"/>
  <c r="P546" i="15" s="1"/>
  <c r="N546" i="15" s="1"/>
  <c r="V546" i="15" s="1"/>
  <c r="U546" i="15" s="1"/>
  <c r="T546" i="15" s="1"/>
  <c r="I398" i="2"/>
  <c r="N561" i="15" s="1"/>
  <c r="U561" i="15" s="1"/>
  <c r="T561" i="15" s="1"/>
  <c r="DD440" i="2"/>
  <c r="DD467" i="2"/>
  <c r="DD470" i="2"/>
  <c r="DD491" i="2"/>
  <c r="I531" i="2"/>
  <c r="N585" i="15" s="1"/>
  <c r="U585" i="15" s="1"/>
  <c r="T585" i="15" s="1"/>
  <c r="DD548" i="2"/>
  <c r="AD586" i="15" s="1"/>
  <c r="AB586" i="15" s="1"/>
  <c r="DD549" i="2"/>
  <c r="DD106" i="2"/>
  <c r="DD716" i="2"/>
  <c r="DD12" i="2"/>
  <c r="DD16" i="2"/>
  <c r="DD20" i="2"/>
  <c r="DD25" i="2"/>
  <c r="DB139" i="2"/>
  <c r="Z524" i="15" s="1"/>
  <c r="I161" i="2"/>
  <c r="N528" i="15" s="1"/>
  <c r="V528" i="15" s="1"/>
  <c r="U528" i="15" s="1"/>
  <c r="T528" i="15" s="1"/>
  <c r="DD215" i="2"/>
  <c r="I234" i="2"/>
  <c r="N538" i="15" s="1"/>
  <c r="U538" i="15" s="1"/>
  <c r="T538" i="15" s="1"/>
  <c r="DB273" i="2"/>
  <c r="Z542" i="15" s="1"/>
  <c r="H355" i="2"/>
  <c r="H356" i="2"/>
  <c r="H357" i="2"/>
  <c r="H358" i="2"/>
  <c r="H360" i="2"/>
  <c r="DD397" i="2"/>
  <c r="I443" i="2"/>
  <c r="N571" i="15" s="1"/>
  <c r="U571" i="15" s="1"/>
  <c r="T571" i="15" s="1"/>
  <c r="DD445" i="2"/>
  <c r="DD466" i="2"/>
  <c r="DD531" i="2"/>
  <c r="I614" i="2"/>
  <c r="N591" i="15" s="1"/>
  <c r="T591" i="15" s="1"/>
  <c r="N599" i="15"/>
  <c r="DD9" i="2"/>
  <c r="DD13" i="2"/>
  <c r="DD17" i="2"/>
  <c r="DD21" i="2"/>
  <c r="DD26" i="2"/>
  <c r="DD160" i="2"/>
  <c r="DD161" i="2"/>
  <c r="DD233" i="2"/>
  <c r="DD234" i="2"/>
  <c r="F232" i="2"/>
  <c r="I254" i="2"/>
  <c r="N540" i="15" s="1"/>
  <c r="U540" i="15" s="1"/>
  <c r="T540" i="15" s="1"/>
  <c r="F253" i="2"/>
  <c r="F255" i="2"/>
  <c r="DD333" i="2"/>
  <c r="DB335" i="2"/>
  <c r="Z548" i="15" s="1"/>
  <c r="DB336" i="2"/>
  <c r="Z549" i="15" s="1"/>
  <c r="DB337" i="2"/>
  <c r="Z550" i="15" s="1"/>
  <c r="DD418" i="2"/>
  <c r="I439" i="2"/>
  <c r="N567" i="15" s="1"/>
  <c r="U567" i="15" s="1"/>
  <c r="T567" i="15" s="1"/>
  <c r="F508" i="2"/>
  <c r="I582" i="2"/>
  <c r="N589" i="15" s="1"/>
  <c r="V589" i="15" s="1"/>
  <c r="U589" i="15" s="1"/>
  <c r="T589" i="15" s="1"/>
  <c r="F598" i="2"/>
  <c r="I717" i="2"/>
  <c r="N601" i="15" s="1"/>
  <c r="U601" i="15" s="1"/>
  <c r="T601" i="15" s="1"/>
  <c r="DB201" i="2"/>
  <c r="Z533" i="15" s="1"/>
  <c r="BD16" i="3"/>
  <c r="AD18" i="15" s="1"/>
  <c r="AB18" i="15" s="1"/>
  <c r="I162" i="2"/>
  <c r="N529" i="15" s="1"/>
  <c r="V529" i="15" s="1"/>
  <c r="U529" i="15" s="1"/>
  <c r="T529" i="15" s="1"/>
  <c r="DD183" i="2"/>
  <c r="I183" i="2"/>
  <c r="N531" i="15" s="1"/>
  <c r="V531" i="15" s="1"/>
  <c r="U531" i="15" s="1"/>
  <c r="T531" i="15" s="1"/>
  <c r="L355" i="2"/>
  <c r="P551" i="15" s="1"/>
  <c r="N551" i="15" s="1"/>
  <c r="V551" i="15" s="1"/>
  <c r="U551" i="15" s="1"/>
  <c r="T551" i="15" s="1"/>
  <c r="L356" i="2"/>
  <c r="P552" i="15" s="1"/>
  <c r="N552" i="15" s="1"/>
  <c r="V552" i="15" s="1"/>
  <c r="U552" i="15" s="1"/>
  <c r="T552" i="15" s="1"/>
  <c r="L357" i="2"/>
  <c r="P553" i="15" s="1"/>
  <c r="N553" i="15" s="1"/>
  <c r="V553" i="15" s="1"/>
  <c r="U553" i="15" s="1"/>
  <c r="T553" i="15" s="1"/>
  <c r="L358" i="2"/>
  <c r="P554" i="15" s="1"/>
  <c r="N554" i="15" s="1"/>
  <c r="V554" i="15" s="1"/>
  <c r="U554" i="15" s="1"/>
  <c r="T554" i="15" s="1"/>
  <c r="DB359" i="2"/>
  <c r="Z555" i="15" s="1"/>
  <c r="DD439" i="2"/>
  <c r="DB548" i="2"/>
  <c r="DB566" i="2"/>
  <c r="N10" i="3"/>
  <c r="G10" i="3"/>
  <c r="N12" i="15" s="1"/>
  <c r="V12" i="15" s="1"/>
  <c r="G11" i="3"/>
  <c r="N13" i="15" s="1"/>
  <c r="V13" i="15" s="1"/>
  <c r="DD443" i="2"/>
  <c r="N12" i="3"/>
  <c r="I10" i="6"/>
  <c r="I37" i="6"/>
  <c r="M173" i="2"/>
  <c r="F159" i="2" s="1"/>
  <c r="H526" i="15" s="1"/>
  <c r="AM526" i="15" s="1"/>
  <c r="M177" i="2"/>
  <c r="F163" i="2" s="1"/>
  <c r="H530" i="15" s="1"/>
  <c r="AM530" i="15" s="1"/>
  <c r="DD395" i="2"/>
  <c r="I417" i="2"/>
  <c r="N564" i="15" s="1"/>
  <c r="U564" i="15" s="1"/>
  <c r="T564" i="15" s="1"/>
  <c r="DD465" i="2"/>
  <c r="I470" i="2"/>
  <c r="N579" i="15" s="1"/>
  <c r="V579" i="15" s="1"/>
  <c r="U579" i="15" s="1"/>
  <c r="T579" i="15" s="1"/>
  <c r="F12" i="3"/>
  <c r="N14" i="3"/>
  <c r="G14" i="3"/>
  <c r="N16" i="15" s="1"/>
  <c r="V16" i="15" s="1"/>
  <c r="BB40" i="5"/>
  <c r="Z62" i="15" s="1"/>
  <c r="BD113" i="5"/>
  <c r="DD379" i="2"/>
  <c r="DD416" i="2"/>
  <c r="I440" i="2"/>
  <c r="N568" i="15" s="1"/>
  <c r="U568" i="15" s="1"/>
  <c r="T568" i="15" s="1"/>
  <c r="DD469" i="2"/>
  <c r="DD507" i="2"/>
  <c r="DB582" i="2"/>
  <c r="Z589" i="15" s="1"/>
  <c r="DD698" i="2"/>
  <c r="N8" i="3"/>
  <c r="G9" i="3"/>
  <c r="N11" i="15" s="1"/>
  <c r="V11" i="15" s="1"/>
  <c r="N16" i="3"/>
  <c r="E40" i="5"/>
  <c r="F62" i="15" s="1"/>
  <c r="E41" i="5"/>
  <c r="F63" i="15" s="1"/>
  <c r="K706" i="6"/>
  <c r="L118" i="6"/>
  <c r="K733" i="6"/>
  <c r="L145" i="6"/>
  <c r="D1140" i="6"/>
  <c r="F1089" i="6"/>
  <c r="F859" i="6"/>
  <c r="F880" i="6" s="1"/>
  <c r="F901" i="6" s="1"/>
  <c r="F922" i="6" s="1"/>
  <c r="F943" i="6" s="1"/>
  <c r="F964" i="6" s="1"/>
  <c r="F985" i="6" s="1"/>
  <c r="F1006" i="6" s="1"/>
  <c r="F1027" i="6" s="1"/>
  <c r="F1048" i="6" s="1"/>
  <c r="J825" i="6"/>
  <c r="BC825" i="6" s="1"/>
  <c r="K855" i="6"/>
  <c r="X1143" i="6"/>
  <c r="X1160" i="6"/>
  <c r="G18" i="3"/>
  <c r="N20" i="15" s="1"/>
  <c r="V20" i="15" s="1"/>
  <c r="G20" i="3"/>
  <c r="N22" i="15" s="1"/>
  <c r="V22" i="15" s="1"/>
  <c r="G26" i="3"/>
  <c r="N28" i="15" s="1"/>
  <c r="V28" i="15" s="1"/>
  <c r="G28" i="3"/>
  <c r="N30" i="15" s="1"/>
  <c r="V30" i="15" s="1"/>
  <c r="I213" i="5"/>
  <c r="N77" i="15" s="1"/>
  <c r="U77" i="15" s="1"/>
  <c r="Y638" i="7"/>
  <c r="Y635" i="7"/>
  <c r="Y102" i="6"/>
  <c r="W100" i="6"/>
  <c r="W96" i="6"/>
  <c r="Y94" i="6"/>
  <c r="X94" i="6"/>
  <c r="X96" i="6"/>
  <c r="Y100" i="6"/>
  <c r="W102" i="6"/>
  <c r="I115" i="6"/>
  <c r="P93" i="15" s="1"/>
  <c r="N93" i="15" s="1"/>
  <c r="AN93" i="15" s="1"/>
  <c r="BD127" i="6"/>
  <c r="K268" i="6"/>
  <c r="F112" i="6"/>
  <c r="K277" i="6"/>
  <c r="F121" i="6"/>
  <c r="K707" i="6"/>
  <c r="J707" i="6" s="1"/>
  <c r="K119" i="6" s="1"/>
  <c r="BD779" i="6"/>
  <c r="BD783" i="6"/>
  <c r="AE142" i="15" s="1"/>
  <c r="BD785" i="6"/>
  <c r="AG142" i="15" s="1"/>
  <c r="BD789" i="6"/>
  <c r="AE144" i="15" s="1"/>
  <c r="BD791" i="6"/>
  <c r="AG144" i="15" s="1"/>
  <c r="J817" i="6"/>
  <c r="BC817" i="6" s="1"/>
  <c r="K861" i="6"/>
  <c r="K863" i="6"/>
  <c r="K865" i="6"/>
  <c r="X1147" i="6"/>
  <c r="E43" i="5"/>
  <c r="F65" i="15" s="1"/>
  <c r="I8" i="6"/>
  <c r="I142" i="6"/>
  <c r="P111" i="15" s="1"/>
  <c r="N111" i="15" s="1"/>
  <c r="AN111" i="15" s="1"/>
  <c r="L138" i="6"/>
  <c r="K726" i="6"/>
  <c r="J721" i="6"/>
  <c r="K133" i="6" s="1"/>
  <c r="K794" i="6"/>
  <c r="BE792" i="6"/>
  <c r="BC798" i="6"/>
  <c r="BC806" i="6"/>
  <c r="X1153" i="6"/>
  <c r="I217" i="5"/>
  <c r="N81" i="15" s="1"/>
  <c r="U81" i="15" s="1"/>
  <c r="I94" i="6"/>
  <c r="O9" i="6" s="1"/>
  <c r="I100" i="6"/>
  <c r="O15" i="6" s="1"/>
  <c r="BD118" i="6"/>
  <c r="I122" i="6"/>
  <c r="P98" i="15" s="1"/>
  <c r="N98" i="15" s="1"/>
  <c r="AN98" i="15" s="1"/>
  <c r="L124" i="6"/>
  <c r="I128" i="6"/>
  <c r="P102" i="15" s="1"/>
  <c r="N102" i="15" s="1"/>
  <c r="I141" i="6"/>
  <c r="R110" i="15" s="1"/>
  <c r="O110" i="15" s="1"/>
  <c r="V110" i="15" s="1"/>
  <c r="Q199" i="6"/>
  <c r="Q197" i="6"/>
  <c r="Q196" i="6"/>
  <c r="Q195" i="6"/>
  <c r="K708" i="6"/>
  <c r="I139" i="6"/>
  <c r="P109" i="15" s="1"/>
  <c r="J728" i="6"/>
  <c r="K140" i="6" s="1"/>
  <c r="I781" i="6"/>
  <c r="Q141" i="15" s="1"/>
  <c r="I787" i="6"/>
  <c r="Q143" i="15" s="1"/>
  <c r="I793" i="6"/>
  <c r="R145" i="15" s="1"/>
  <c r="O145" i="15" s="1"/>
  <c r="V145" i="15" s="1"/>
  <c r="BC818" i="6"/>
  <c r="X1157" i="6"/>
  <c r="X1145" i="6"/>
  <c r="X1140" i="6"/>
  <c r="K959" i="6"/>
  <c r="K961" i="6"/>
  <c r="K963" i="6"/>
  <c r="J1159" i="6"/>
  <c r="K796" i="6" s="1"/>
  <c r="AA147" i="15" s="1"/>
  <c r="J1075" i="6"/>
  <c r="V1106" i="6"/>
  <c r="L780" i="6"/>
  <c r="F861" i="6"/>
  <c r="F882" i="6" s="1"/>
  <c r="F903" i="6" s="1"/>
  <c r="F924" i="6" s="1"/>
  <c r="F945" i="6" s="1"/>
  <c r="F966" i="6" s="1"/>
  <c r="F987" i="6" s="1"/>
  <c r="F1008" i="6" s="1"/>
  <c r="F1029" i="6" s="1"/>
  <c r="F1050" i="6" s="1"/>
  <c r="F865" i="6"/>
  <c r="F886" i="6" s="1"/>
  <c r="F907" i="6" s="1"/>
  <c r="F928" i="6" s="1"/>
  <c r="F949" i="6" s="1"/>
  <c r="F970" i="6" s="1"/>
  <c r="F991" i="6" s="1"/>
  <c r="F1012" i="6" s="1"/>
  <c r="F1033" i="6" s="1"/>
  <c r="F1054" i="6" s="1"/>
  <c r="Y1075" i="6"/>
  <c r="X1159" i="6"/>
  <c r="F1226" i="6"/>
  <c r="BC1184" i="6"/>
  <c r="BD1184" i="6" s="1"/>
  <c r="BC1188" i="6"/>
  <c r="BD1188" i="6" s="1"/>
  <c r="F1246" i="6"/>
  <c r="F1234" i="6"/>
  <c r="F1221" i="6"/>
  <c r="F1237" i="6"/>
  <c r="F1249" i="6"/>
  <c r="F1257" i="6"/>
  <c r="F1270" i="6"/>
  <c r="BD1285" i="6"/>
  <c r="AD165" i="15" s="1"/>
  <c r="BD1291" i="6"/>
  <c r="I1294" i="6"/>
  <c r="S167" i="15" s="1"/>
  <c r="BD1395" i="6"/>
  <c r="AG170" i="15" s="1"/>
  <c r="BD1407" i="6"/>
  <c r="AG174" i="15" s="1"/>
  <c r="BD1411" i="6"/>
  <c r="AE176" i="15" s="1"/>
  <c r="BC1412" i="6"/>
  <c r="BD1412" i="6" s="1"/>
  <c r="AD177" i="15" s="1"/>
  <c r="I1413" i="6"/>
  <c r="I1414" i="6"/>
  <c r="I1415" i="6"/>
  <c r="BC1417" i="6"/>
  <c r="BC1424" i="6"/>
  <c r="J1438" i="6"/>
  <c r="BC1434" i="6"/>
  <c r="BD1434" i="6" s="1"/>
  <c r="AF183" i="15" s="1"/>
  <c r="BD1441" i="6"/>
  <c r="AE185" i="15" s="1"/>
  <c r="I1456" i="6"/>
  <c r="BD1463" i="6"/>
  <c r="AE194" i="15" s="1"/>
  <c r="BD1473" i="6"/>
  <c r="AE199" i="15" s="1"/>
  <c r="BC1477" i="6"/>
  <c r="I1481" i="6"/>
  <c r="S202" i="15" s="1"/>
  <c r="BD1489" i="6"/>
  <c r="AE206" i="15" s="1"/>
  <c r="BD1491" i="6"/>
  <c r="AG206" i="15" s="1"/>
  <c r="I1511" i="6"/>
  <c r="Q213" i="15" s="1"/>
  <c r="I1523" i="6"/>
  <c r="Q217" i="15" s="1"/>
  <c r="J2633" i="6"/>
  <c r="J2505" i="6"/>
  <c r="J2249" i="6"/>
  <c r="J2761" i="6"/>
  <c r="J2377" i="6"/>
  <c r="J2121" i="6"/>
  <c r="J1993" i="6"/>
  <c r="J1865" i="6"/>
  <c r="J1737" i="6"/>
  <c r="C1535" i="6"/>
  <c r="F1266" i="6"/>
  <c r="F1254" i="6"/>
  <c r="F1230" i="6"/>
  <c r="F1272" i="6"/>
  <c r="F1224" i="6"/>
  <c r="X1239" i="6"/>
  <c r="L1184" i="6"/>
  <c r="F1260" i="6"/>
  <c r="F1278" i="6"/>
  <c r="J1426" i="6"/>
  <c r="BC1422" i="6"/>
  <c r="BD1422" i="6" s="1"/>
  <c r="AF179" i="15" s="1"/>
  <c r="J2713" i="6"/>
  <c r="J2585" i="6"/>
  <c r="J2457" i="6"/>
  <c r="J2329" i="6"/>
  <c r="J2201" i="6"/>
  <c r="J2073" i="6"/>
  <c r="J1945" i="6"/>
  <c r="J1817" i="6"/>
  <c r="J1689" i="6"/>
  <c r="C1439" i="6"/>
  <c r="K1443" i="6"/>
  <c r="BE1443" i="6" s="1"/>
  <c r="BE1441" i="6"/>
  <c r="J1459" i="6"/>
  <c r="BC1459" i="6" s="1"/>
  <c r="BC1457" i="6"/>
  <c r="BD1457" i="6" s="1"/>
  <c r="AE191" i="15" s="1"/>
  <c r="K1465" i="6"/>
  <c r="BE1465" i="6" s="1"/>
  <c r="BE1463" i="6"/>
  <c r="BC1560" i="6"/>
  <c r="BD1560" i="6" s="1"/>
  <c r="AD227" i="15" s="1"/>
  <c r="F863" i="6"/>
  <c r="F884" i="6" s="1"/>
  <c r="F905" i="6" s="1"/>
  <c r="F926" i="6" s="1"/>
  <c r="F947" i="6" s="1"/>
  <c r="F968" i="6" s="1"/>
  <c r="F989" i="6" s="1"/>
  <c r="F1010" i="6" s="1"/>
  <c r="F1031" i="6" s="1"/>
  <c r="F1052" i="6" s="1"/>
  <c r="BC1180" i="6"/>
  <c r="BD1180" i="6" s="1"/>
  <c r="F1263" i="6"/>
  <c r="F1251" i="6"/>
  <c r="F1239" i="6"/>
  <c r="F1227" i="6"/>
  <c r="F1225" i="6"/>
  <c r="F1233" i="6"/>
  <c r="W1239" i="6"/>
  <c r="F1245" i="6"/>
  <c r="F1261" i="6"/>
  <c r="I1286" i="6"/>
  <c r="Q165" i="15" s="1"/>
  <c r="BD1289" i="6"/>
  <c r="I1292" i="6"/>
  <c r="Q167" i="15" s="1"/>
  <c r="J2579" i="6"/>
  <c r="J2451" i="6"/>
  <c r="J2707" i="6"/>
  <c r="J2323" i="6"/>
  <c r="J2067" i="6"/>
  <c r="J1939" i="6"/>
  <c r="J1811" i="6"/>
  <c r="J1683" i="6"/>
  <c r="J2195" i="6"/>
  <c r="C1427" i="6"/>
  <c r="K1431" i="6"/>
  <c r="BE1431" i="6" s="1"/>
  <c r="BE1429" i="6"/>
  <c r="I1432" i="6"/>
  <c r="J1437" i="6"/>
  <c r="BC1433" i="6"/>
  <c r="BD1433" i="6" s="1"/>
  <c r="AE183" i="15" s="1"/>
  <c r="J1439" i="6"/>
  <c r="BC1439" i="6" s="1"/>
  <c r="BD1439" i="6" s="1"/>
  <c r="AG184" i="15" s="1"/>
  <c r="BC1435" i="6"/>
  <c r="BD1435" i="6" s="1"/>
  <c r="AG183" i="15" s="1"/>
  <c r="BC1437" i="6"/>
  <c r="BD1437" i="6" s="1"/>
  <c r="AE184" i="15" s="1"/>
  <c r="F2715" i="6"/>
  <c r="F2203" i="6"/>
  <c r="F2587" i="6"/>
  <c r="F2459" i="6"/>
  <c r="F2075" i="6"/>
  <c r="F1947" i="6"/>
  <c r="F1819" i="6"/>
  <c r="F1691" i="6"/>
  <c r="F2331" i="6"/>
  <c r="J1447" i="6"/>
  <c r="BC1447" i="6" s="1"/>
  <c r="BD1447" i="6" s="1"/>
  <c r="AE188" i="15" s="1"/>
  <c r="BC1445" i="6"/>
  <c r="BD1445" i="6" s="1"/>
  <c r="AE187" i="15" s="1"/>
  <c r="BC1458" i="6"/>
  <c r="BD1458" i="6" s="1"/>
  <c r="AD192" i="15" s="1"/>
  <c r="F2598" i="6"/>
  <c r="F2470" i="6"/>
  <c r="F2726" i="6"/>
  <c r="F2342" i="6"/>
  <c r="F2214" i="6"/>
  <c r="F2086" i="6"/>
  <c r="F1958" i="6"/>
  <c r="F1830" i="6"/>
  <c r="F1702" i="6"/>
  <c r="I1469" i="6"/>
  <c r="I1479" i="6"/>
  <c r="Q202" i="15" s="1"/>
  <c r="I1485" i="6"/>
  <c r="BC1496" i="6"/>
  <c r="BD1496" i="6" s="1"/>
  <c r="AD208" i="15" s="1"/>
  <c r="I1503" i="6"/>
  <c r="Q210" i="15" s="1"/>
  <c r="I1505" i="6"/>
  <c r="Q211" i="15" s="1"/>
  <c r="I1506" i="6"/>
  <c r="P212" i="15" s="1"/>
  <c r="I1517" i="6"/>
  <c r="Q215" i="15" s="1"/>
  <c r="J2653" i="6"/>
  <c r="J2525" i="6"/>
  <c r="J2269" i="6"/>
  <c r="J2781" i="6"/>
  <c r="J2397" i="6"/>
  <c r="J2141" i="6"/>
  <c r="J2013" i="6"/>
  <c r="J1885" i="6"/>
  <c r="J1757" i="6"/>
  <c r="C1575" i="6"/>
  <c r="F1273" i="6"/>
  <c r="F1255" i="6"/>
  <c r="F1243" i="6"/>
  <c r="F1231" i="6"/>
  <c r="F1219" i="6"/>
  <c r="F1236" i="6"/>
  <c r="F1242" i="6"/>
  <c r="F1248" i="6"/>
  <c r="BD1394" i="6"/>
  <c r="AF170" i="15" s="1"/>
  <c r="J1425" i="6"/>
  <c r="BC1425" i="6" s="1"/>
  <c r="BD1425" i="6" s="1"/>
  <c r="AE180" i="15" s="1"/>
  <c r="BC1421" i="6"/>
  <c r="BD1421" i="6" s="1"/>
  <c r="AE179" i="15" s="1"/>
  <c r="J1427" i="6"/>
  <c r="BC1427" i="6" s="1"/>
  <c r="BC1423" i="6"/>
  <c r="BD1423" i="6" s="1"/>
  <c r="AG179" i="15" s="1"/>
  <c r="F2709" i="6"/>
  <c r="F2581" i="6"/>
  <c r="F2453" i="6"/>
  <c r="F2325" i="6"/>
  <c r="F2197" i="6"/>
  <c r="F1813" i="6"/>
  <c r="F1685" i="6"/>
  <c r="F2069" i="6"/>
  <c r="F1941" i="6"/>
  <c r="BC1446" i="6"/>
  <c r="BD1446" i="6" s="1"/>
  <c r="AD188" i="15" s="1"/>
  <c r="J2643" i="6"/>
  <c r="J2515" i="6"/>
  <c r="J2771" i="6"/>
  <c r="J2387" i="6"/>
  <c r="J2131" i="6"/>
  <c r="J2003" i="6"/>
  <c r="J1875" i="6"/>
  <c r="J1747" i="6"/>
  <c r="J2259" i="6"/>
  <c r="C1555" i="6"/>
  <c r="BC1182" i="6"/>
  <c r="BD1182" i="6" s="1"/>
  <c r="F1223" i="6"/>
  <c r="F1235" i="6"/>
  <c r="F1247" i="6"/>
  <c r="F1259" i="6"/>
  <c r="F1277" i="6"/>
  <c r="F2702" i="6"/>
  <c r="F2574" i="6"/>
  <c r="F2446" i="6"/>
  <c r="F2318" i="6"/>
  <c r="F1678" i="6"/>
  <c r="F2190" i="6"/>
  <c r="F2062" i="6"/>
  <c r="F1934" i="6"/>
  <c r="F1806" i="6"/>
  <c r="F2703" i="6"/>
  <c r="F2191" i="6"/>
  <c r="F2575" i="6"/>
  <c r="F2447" i="6"/>
  <c r="F1679" i="6"/>
  <c r="F2319" i="6"/>
  <c r="F2063" i="6"/>
  <c r="F1935" i="6"/>
  <c r="F1807" i="6"/>
  <c r="BC1420" i="6"/>
  <c r="BD1420" i="6" s="1"/>
  <c r="AD179" i="15" s="1"/>
  <c r="J1431" i="6"/>
  <c r="BC1431" i="6" s="1"/>
  <c r="BD1431" i="6" s="1"/>
  <c r="AE182" i="15" s="1"/>
  <c r="BC1432" i="6"/>
  <c r="BD1432" i="6" s="1"/>
  <c r="AD183" i="15" s="1"/>
  <c r="J1443" i="6"/>
  <c r="BC1443" i="6" s="1"/>
  <c r="BD1443" i="6" s="1"/>
  <c r="AE186" i="15" s="1"/>
  <c r="BC1444" i="6"/>
  <c r="BD1444" i="6" s="1"/>
  <c r="AD187" i="15" s="1"/>
  <c r="F2720" i="6"/>
  <c r="F2592" i="6"/>
  <c r="F2464" i="6"/>
  <c r="F2336" i="6"/>
  <c r="F2208" i="6"/>
  <c r="F1696" i="6"/>
  <c r="F2080" i="6"/>
  <c r="F1952" i="6"/>
  <c r="F1824" i="6"/>
  <c r="F2721" i="6"/>
  <c r="F2593" i="6"/>
  <c r="F2465" i="6"/>
  <c r="F2337" i="6"/>
  <c r="F2209" i="6"/>
  <c r="F2081" i="6"/>
  <c r="F1953" i="6"/>
  <c r="F1697" i="6"/>
  <c r="F1825" i="6"/>
  <c r="BC1456" i="6"/>
  <c r="BD1456" i="6" s="1"/>
  <c r="J1465" i="6"/>
  <c r="BC1465" i="6" s="1"/>
  <c r="BE1469" i="6"/>
  <c r="F2604" i="6"/>
  <c r="F2476" i="6"/>
  <c r="F2220" i="6"/>
  <c r="F2732" i="6"/>
  <c r="F2348" i="6"/>
  <c r="F2092" i="6"/>
  <c r="F1964" i="6"/>
  <c r="F1836" i="6"/>
  <c r="F1708" i="6"/>
  <c r="BE1485" i="6"/>
  <c r="F2614" i="6"/>
  <c r="F2486" i="6"/>
  <c r="F2742" i="6"/>
  <c r="F2230" i="6"/>
  <c r="F2358" i="6"/>
  <c r="F2102" i="6"/>
  <c r="F1974" i="6"/>
  <c r="F1846" i="6"/>
  <c r="F1718" i="6"/>
  <c r="F2231" i="6"/>
  <c r="F2743" i="6"/>
  <c r="F2615" i="6"/>
  <c r="F2487" i="6"/>
  <c r="F2103" i="6"/>
  <c r="F1975" i="6"/>
  <c r="F1847" i="6"/>
  <c r="F2359" i="6"/>
  <c r="F1719" i="6"/>
  <c r="BE1529" i="6"/>
  <c r="BE1530" i="6"/>
  <c r="F2636" i="6"/>
  <c r="F2508" i="6"/>
  <c r="F2380" i="6"/>
  <c r="F2764" i="6"/>
  <c r="F2252" i="6"/>
  <c r="F2124" i="6"/>
  <c r="F1996" i="6"/>
  <c r="F1740" i="6"/>
  <c r="F1868" i="6"/>
  <c r="F2381" i="6"/>
  <c r="F2765" i="6"/>
  <c r="F2637" i="6"/>
  <c r="F2509" i="6"/>
  <c r="F2253" i="6"/>
  <c r="F1869" i="6"/>
  <c r="F1741" i="6"/>
  <c r="F2125" i="6"/>
  <c r="F1997" i="6"/>
  <c r="BE1549" i="6"/>
  <c r="BE1550" i="6"/>
  <c r="F2646" i="6"/>
  <c r="F2518" i="6"/>
  <c r="F2390" i="6"/>
  <c r="F2774" i="6"/>
  <c r="F2262" i="6"/>
  <c r="F2134" i="6"/>
  <c r="F2006" i="6"/>
  <c r="F1878" i="6"/>
  <c r="F1750" i="6"/>
  <c r="F2391" i="6"/>
  <c r="F2263" i="6"/>
  <c r="F2775" i="6"/>
  <c r="F2647" i="6"/>
  <c r="F2519" i="6"/>
  <c r="F2135" i="6"/>
  <c r="F2007" i="6"/>
  <c r="F1879" i="6"/>
  <c r="F1751" i="6"/>
  <c r="BE1569" i="6"/>
  <c r="BE1570" i="6"/>
  <c r="BE1571" i="6"/>
  <c r="BC1573" i="6"/>
  <c r="J1581" i="6"/>
  <c r="BC1581" i="6" s="1"/>
  <c r="BD1581" i="6" s="1"/>
  <c r="AE232" i="15" s="1"/>
  <c r="BC1577" i="6"/>
  <c r="BD1577" i="6" s="1"/>
  <c r="AE231" i="15" s="1"/>
  <c r="H1580" i="6"/>
  <c r="I1580" i="6" s="1"/>
  <c r="J2785" i="6"/>
  <c r="J2657" i="6"/>
  <c r="J2529" i="6"/>
  <c r="J2273" i="6"/>
  <c r="J2401" i="6"/>
  <c r="J2145" i="6"/>
  <c r="J2017" i="6"/>
  <c r="J1889" i="6"/>
  <c r="J1761" i="6"/>
  <c r="C1583" i="6"/>
  <c r="K1595" i="6"/>
  <c r="BE1595" i="6" s="1"/>
  <c r="BE1591" i="6"/>
  <c r="BE1592" i="6"/>
  <c r="K1596" i="6"/>
  <c r="BE1596" i="6" s="1"/>
  <c r="BE1593" i="6"/>
  <c r="K1597" i="6"/>
  <c r="BE1597" i="6" s="1"/>
  <c r="F2664" i="6"/>
  <c r="F2536" i="6"/>
  <c r="F2792" i="6"/>
  <c r="F2408" i="6"/>
  <c r="F2280" i="6"/>
  <c r="F2152" i="6"/>
  <c r="F2024" i="6"/>
  <c r="F1768" i="6"/>
  <c r="F1896" i="6"/>
  <c r="BC1598" i="6"/>
  <c r="BD1598" i="6" s="1"/>
  <c r="AD237" i="15" s="1"/>
  <c r="BC1622" i="6"/>
  <c r="BD1622" i="6" s="1"/>
  <c r="AF244" i="15" s="1"/>
  <c r="BC1448" i="6"/>
  <c r="BD1448" i="6" s="1"/>
  <c r="AD189" i="15" s="1"/>
  <c r="F2729" i="6"/>
  <c r="F2601" i="6"/>
  <c r="F2473" i="6"/>
  <c r="F2217" i="6"/>
  <c r="F2089" i="6"/>
  <c r="F1961" i="6"/>
  <c r="F1833" i="6"/>
  <c r="F1705" i="6"/>
  <c r="F2345" i="6"/>
  <c r="BC1474" i="6"/>
  <c r="BD1474" i="6" s="1"/>
  <c r="AD200" i="15" s="1"/>
  <c r="F2737" i="6"/>
  <c r="F2609" i="6"/>
  <c r="F2481" i="6"/>
  <c r="F2225" i="6"/>
  <c r="F2097" i="6"/>
  <c r="F1969" i="6"/>
  <c r="F1841" i="6"/>
  <c r="F2353" i="6"/>
  <c r="F1713" i="6"/>
  <c r="BC1492" i="6"/>
  <c r="BD1492" i="6" s="1"/>
  <c r="AD207" i="15" s="1"/>
  <c r="F2618" i="6"/>
  <c r="F2490" i="6"/>
  <c r="F2362" i="6"/>
  <c r="F2746" i="6"/>
  <c r="F2106" i="6"/>
  <c r="F1978" i="6"/>
  <c r="F1722" i="6"/>
  <c r="F2234" i="6"/>
  <c r="F1850" i="6"/>
  <c r="F2632" i="6"/>
  <c r="F2504" i="6"/>
  <c r="F2376" i="6"/>
  <c r="F2248" i="6"/>
  <c r="F2760" i="6"/>
  <c r="F2120" i="6"/>
  <c r="F1992" i="6"/>
  <c r="F1864" i="6"/>
  <c r="F1736" i="6"/>
  <c r="F2761" i="6"/>
  <c r="F2377" i="6"/>
  <c r="F2633" i="6"/>
  <c r="F2505" i="6"/>
  <c r="F2249" i="6"/>
  <c r="F1865" i="6"/>
  <c r="F2121" i="6"/>
  <c r="F1993" i="6"/>
  <c r="F1737" i="6"/>
  <c r="BC1536" i="6"/>
  <c r="BD1536" i="6" s="1"/>
  <c r="AD221" i="15" s="1"/>
  <c r="F2642" i="6"/>
  <c r="F2514" i="6"/>
  <c r="F2386" i="6"/>
  <c r="F2770" i="6"/>
  <c r="F2258" i="6"/>
  <c r="F1746" i="6"/>
  <c r="F2130" i="6"/>
  <c r="F2002" i="6"/>
  <c r="F1874" i="6"/>
  <c r="F2771" i="6"/>
  <c r="F2387" i="6"/>
  <c r="F2259" i="6"/>
  <c r="F2643" i="6"/>
  <c r="F2515" i="6"/>
  <c r="F2131" i="6"/>
  <c r="F2003" i="6"/>
  <c r="F1875" i="6"/>
  <c r="F1747" i="6"/>
  <c r="BC1556" i="6"/>
  <c r="BD1556" i="6" s="1"/>
  <c r="AD226" i="15" s="1"/>
  <c r="F2652" i="6"/>
  <c r="F2524" i="6"/>
  <c r="F2396" i="6"/>
  <c r="F2268" i="6"/>
  <c r="F2780" i="6"/>
  <c r="F2140" i="6"/>
  <c r="F2012" i="6"/>
  <c r="F1884" i="6"/>
  <c r="F1756" i="6"/>
  <c r="J1582" i="6"/>
  <c r="BC1578" i="6"/>
  <c r="BD1578" i="6" s="1"/>
  <c r="AF231" i="15" s="1"/>
  <c r="F2791" i="6"/>
  <c r="F2279" i="6"/>
  <c r="F2663" i="6"/>
  <c r="F2535" i="6"/>
  <c r="F2407" i="6"/>
  <c r="F2151" i="6"/>
  <c r="F2023" i="6"/>
  <c r="F1895" i="6"/>
  <c r="F1767" i="6"/>
  <c r="I1599" i="6"/>
  <c r="J2412" i="6"/>
  <c r="J2284" i="6"/>
  <c r="J2156" i="6"/>
  <c r="J2796" i="6"/>
  <c r="J2668" i="6"/>
  <c r="J2540" i="6"/>
  <c r="J2028" i="6"/>
  <c r="J1900" i="6"/>
  <c r="J1772" i="6"/>
  <c r="C1605" i="6"/>
  <c r="BC1614" i="6"/>
  <c r="BD1614" i="6" s="1"/>
  <c r="AD242" i="15" s="1"/>
  <c r="BC1620" i="6"/>
  <c r="BC1626" i="6"/>
  <c r="K3150" i="6"/>
  <c r="K1632" i="6" s="1"/>
  <c r="AA249" i="15" s="1"/>
  <c r="K3082" i="6"/>
  <c r="K1522" i="6" s="1"/>
  <c r="K3042" i="6"/>
  <c r="K1472" i="6" s="1"/>
  <c r="X3150" i="6"/>
  <c r="X3082" i="6"/>
  <c r="X3044" i="6"/>
  <c r="X3042" i="6"/>
  <c r="K3044" i="6"/>
  <c r="K1474" i="6" s="1"/>
  <c r="AA200" i="15" s="1"/>
  <c r="R1671" i="6"/>
  <c r="Q1670" i="6"/>
  <c r="BC1548" i="6"/>
  <c r="BD1548" i="6" s="1"/>
  <c r="AD224" i="15" s="1"/>
  <c r="BC1568" i="6"/>
  <c r="BD1568" i="6" s="1"/>
  <c r="AD229" i="15" s="1"/>
  <c r="BC1579" i="6"/>
  <c r="BD1579" i="6" s="1"/>
  <c r="AG231" i="15" s="1"/>
  <c r="J1583" i="6"/>
  <c r="BC1583" i="6" s="1"/>
  <c r="J2792" i="6"/>
  <c r="J2408" i="6"/>
  <c r="J2280" i="6"/>
  <c r="J2152" i="6"/>
  <c r="J2664" i="6"/>
  <c r="J2536" i="6"/>
  <c r="J2024" i="6"/>
  <c r="J1768" i="6"/>
  <c r="J1896" i="6"/>
  <c r="C1597" i="6"/>
  <c r="BD1606" i="6"/>
  <c r="AD239" i="15" s="1"/>
  <c r="J2677" i="6"/>
  <c r="J2549" i="6"/>
  <c r="J2421" i="6"/>
  <c r="J2805" i="6"/>
  <c r="J2293" i="6"/>
  <c r="J2165" i="6"/>
  <c r="J2037" i="6"/>
  <c r="J1909" i="6"/>
  <c r="J1781" i="6"/>
  <c r="C1623" i="6"/>
  <c r="BC1643" i="6"/>
  <c r="J2703" i="6"/>
  <c r="M3014" i="6" s="1"/>
  <c r="J2575" i="6"/>
  <c r="J2447" i="6"/>
  <c r="J2319" i="6"/>
  <c r="J2063" i="6"/>
  <c r="J1935" i="6"/>
  <c r="J2191" i="6"/>
  <c r="J1807" i="6"/>
  <c r="J1679" i="6"/>
  <c r="F2578" i="6"/>
  <c r="F2450" i="6"/>
  <c r="F2706" i="6"/>
  <c r="F2194" i="6"/>
  <c r="F2066" i="6"/>
  <c r="F1938" i="6"/>
  <c r="F1682" i="6"/>
  <c r="F2322" i="6"/>
  <c r="F1810" i="6"/>
  <c r="F2195" i="6"/>
  <c r="F2579" i="6"/>
  <c r="F2451" i="6"/>
  <c r="F2707" i="6"/>
  <c r="F1811" i="6"/>
  <c r="F1683" i="6"/>
  <c r="F2323" i="6"/>
  <c r="F2067" i="6"/>
  <c r="F1939" i="6"/>
  <c r="BC1428" i="6"/>
  <c r="BD1428" i="6" s="1"/>
  <c r="AD181" i="15" s="1"/>
  <c r="AB181" i="15" s="1"/>
  <c r="F2712" i="6"/>
  <c r="F2584" i="6"/>
  <c r="F2456" i="6"/>
  <c r="F2328" i="6"/>
  <c r="F2200" i="6"/>
  <c r="F1688" i="6"/>
  <c r="F2072" i="6"/>
  <c r="F1944" i="6"/>
  <c r="F1816" i="6"/>
  <c r="F2713" i="6"/>
  <c r="F2585" i="6"/>
  <c r="F2457" i="6"/>
  <c r="F2329" i="6"/>
  <c r="F2201" i="6"/>
  <c r="F1689" i="6"/>
  <c r="F1817" i="6"/>
  <c r="F2073" i="6"/>
  <c r="F1945" i="6"/>
  <c r="BC1440" i="6"/>
  <c r="BD1440" i="6" s="1"/>
  <c r="F2589" i="6"/>
  <c r="F2461" i="6"/>
  <c r="F2333" i="6"/>
  <c r="F2717" i="6"/>
  <c r="F2205" i="6"/>
  <c r="F2077" i="6"/>
  <c r="F1949" i="6"/>
  <c r="F1821" i="6"/>
  <c r="F1693" i="6"/>
  <c r="J2721" i="6"/>
  <c r="J2593" i="6"/>
  <c r="J2465" i="6"/>
  <c r="J2337" i="6"/>
  <c r="J2209" i="6"/>
  <c r="J2081" i="6"/>
  <c r="J1953" i="6"/>
  <c r="J1825" i="6"/>
  <c r="J1697" i="6"/>
  <c r="F2723" i="6"/>
  <c r="F2211" i="6"/>
  <c r="F2595" i="6"/>
  <c r="F2467" i="6"/>
  <c r="F2083" i="6"/>
  <c r="F1955" i="6"/>
  <c r="F1827" i="6"/>
  <c r="F1699" i="6"/>
  <c r="F2339" i="6"/>
  <c r="BC1462" i="6"/>
  <c r="BD1462" i="6" s="1"/>
  <c r="J2743" i="6"/>
  <c r="J2615" i="6"/>
  <c r="J2487" i="6"/>
  <c r="J2359" i="6"/>
  <c r="J2103" i="6"/>
  <c r="J1975" i="6"/>
  <c r="J1847" i="6"/>
  <c r="J1719" i="6"/>
  <c r="J2231" i="6"/>
  <c r="J2765" i="6"/>
  <c r="J2637" i="6"/>
  <c r="J2509" i="6"/>
  <c r="J2253" i="6"/>
  <c r="J2381" i="6"/>
  <c r="J2125" i="6"/>
  <c r="J1997" i="6"/>
  <c r="J1869" i="6"/>
  <c r="J1741" i="6"/>
  <c r="J2775" i="6"/>
  <c r="J2647" i="6"/>
  <c r="J2519" i="6"/>
  <c r="J2391" i="6"/>
  <c r="J2135" i="6"/>
  <c r="J2007" i="6"/>
  <c r="J1879" i="6"/>
  <c r="J1751" i="6"/>
  <c r="J2263" i="6"/>
  <c r="BD1585" i="6"/>
  <c r="AE233" i="15" s="1"/>
  <c r="BD1586" i="6"/>
  <c r="AF233" i="15" s="1"/>
  <c r="BD1587" i="6"/>
  <c r="AG233" i="15" s="1"/>
  <c r="BD1593" i="6"/>
  <c r="AG235" i="15" s="1"/>
  <c r="F2656" i="6"/>
  <c r="F2528" i="6"/>
  <c r="F2400" i="6"/>
  <c r="F2784" i="6"/>
  <c r="F2272" i="6"/>
  <c r="F2401" i="6"/>
  <c r="F2785" i="6"/>
  <c r="F2657" i="6"/>
  <c r="F2529" i="6"/>
  <c r="F2273" i="6"/>
  <c r="BC1590" i="6"/>
  <c r="BD1590" i="6" s="1"/>
  <c r="AD235" i="15" s="1"/>
  <c r="BC1591" i="6"/>
  <c r="BD1591" i="6" s="1"/>
  <c r="AE235" i="15" s="1"/>
  <c r="BC1592" i="6"/>
  <c r="BD1592" i="6" s="1"/>
  <c r="AF235" i="15" s="1"/>
  <c r="K1604" i="6"/>
  <c r="BE1604" i="6" s="1"/>
  <c r="K1622" i="6"/>
  <c r="BE1622" i="6" s="1"/>
  <c r="J1631" i="6"/>
  <c r="BC1631" i="6" s="1"/>
  <c r="BD1631" i="6" s="1"/>
  <c r="AE248" i="15" s="1"/>
  <c r="BC1632" i="6"/>
  <c r="BD1632" i="6" s="1"/>
  <c r="AD249" i="15" s="1"/>
  <c r="F2813" i="6"/>
  <c r="F2685" i="6"/>
  <c r="F2557" i="6"/>
  <c r="F2429" i="6"/>
  <c r="F2301" i="6"/>
  <c r="BE1641" i="6"/>
  <c r="F1888" i="6"/>
  <c r="F1900" i="6"/>
  <c r="F1908" i="6"/>
  <c r="F2017" i="6"/>
  <c r="F2145" i="6"/>
  <c r="F2781" i="6"/>
  <c r="F2397" i="6"/>
  <c r="F2653" i="6"/>
  <c r="F2525" i="6"/>
  <c r="F2269" i="6"/>
  <c r="BC1576" i="6"/>
  <c r="BD1576" i="6" s="1"/>
  <c r="AD231" i="15" s="1"/>
  <c r="BE1599" i="6"/>
  <c r="F2801" i="6"/>
  <c r="F2673" i="6"/>
  <c r="F2545" i="6"/>
  <c r="F2417" i="6"/>
  <c r="F2289" i="6"/>
  <c r="BE1617" i="6"/>
  <c r="BE1619" i="6"/>
  <c r="F2423" i="6"/>
  <c r="F2295" i="6"/>
  <c r="F2807" i="6"/>
  <c r="F2679" i="6"/>
  <c r="F2551" i="6"/>
  <c r="I1633" i="6"/>
  <c r="BC1636" i="6"/>
  <c r="BD1636" i="6" s="1"/>
  <c r="AD251" i="15" s="1"/>
  <c r="F2431" i="6"/>
  <c r="F2303" i="6"/>
  <c r="F2687" i="6"/>
  <c r="F2559" i="6"/>
  <c r="F2815" i="6"/>
  <c r="L1664" i="6"/>
  <c r="L1388" i="6" s="1"/>
  <c r="L1667" i="6"/>
  <c r="L1669" i="6"/>
  <c r="L1398" i="6" s="1"/>
  <c r="F1780" i="6"/>
  <c r="F1789" i="6"/>
  <c r="F2013" i="6"/>
  <c r="F2141" i="6"/>
  <c r="F2283" i="6"/>
  <c r="F2667" i="6"/>
  <c r="F2539" i="6"/>
  <c r="F2411" i="6"/>
  <c r="F2795" i="6"/>
  <c r="F2796" i="6"/>
  <c r="F2668" i="6"/>
  <c r="F2540" i="6"/>
  <c r="F2412" i="6"/>
  <c r="F2284" i="6"/>
  <c r="F2156" i="6"/>
  <c r="BC1612" i="6"/>
  <c r="BD1612" i="6" s="1"/>
  <c r="AD241" i="15" s="1"/>
  <c r="F2676" i="6"/>
  <c r="F2548" i="6"/>
  <c r="F2804" i="6"/>
  <c r="F2420" i="6"/>
  <c r="F2292" i="6"/>
  <c r="F2164" i="6"/>
  <c r="F2677" i="6"/>
  <c r="F2549" i="6"/>
  <c r="F2421" i="6"/>
  <c r="F2805" i="6"/>
  <c r="F2293" i="6"/>
  <c r="BC1624" i="6"/>
  <c r="BD1624" i="6" s="1"/>
  <c r="AD245" i="15" s="1"/>
  <c r="BC1625" i="6"/>
  <c r="BD1625" i="6" s="1"/>
  <c r="AE245" i="15" s="1"/>
  <c r="F2809" i="6"/>
  <c r="F2681" i="6"/>
  <c r="F2553" i="6"/>
  <c r="F2425" i="6"/>
  <c r="F2297" i="6"/>
  <c r="BE1633" i="6"/>
  <c r="I1637" i="6"/>
  <c r="BC1640" i="6"/>
  <c r="BD1640" i="6" s="1"/>
  <c r="AD253" i="15" s="1"/>
  <c r="L1665" i="6"/>
  <c r="X2998" i="6"/>
  <c r="Q1669" i="6"/>
  <c r="L1672" i="6"/>
  <c r="L1404" i="6" s="1"/>
  <c r="F1760" i="6"/>
  <c r="F1761" i="6"/>
  <c r="F1787" i="6"/>
  <c r="F1885" i="6"/>
  <c r="F1889" i="6"/>
  <c r="F1899" i="6"/>
  <c r="F1905" i="6"/>
  <c r="F1909" i="6"/>
  <c r="F1911" i="6"/>
  <c r="F1913" i="6"/>
  <c r="F1915" i="6"/>
  <c r="F1917" i="6"/>
  <c r="F1919" i="6"/>
  <c r="F2016" i="6"/>
  <c r="F2039" i="6"/>
  <c r="F2041" i="6"/>
  <c r="F2043" i="6"/>
  <c r="F2045" i="6"/>
  <c r="F2047" i="6"/>
  <c r="F2144" i="6"/>
  <c r="F2155" i="6"/>
  <c r="F2167" i="6"/>
  <c r="F2169" i="6"/>
  <c r="F2173" i="6"/>
  <c r="F2175" i="6"/>
  <c r="E95" i="7"/>
  <c r="E106" i="7"/>
  <c r="BC1616" i="6"/>
  <c r="BD1616" i="6" s="1"/>
  <c r="AD243" i="15" s="1"/>
  <c r="BC1628" i="6"/>
  <c r="BD1628" i="6" s="1"/>
  <c r="AD247" i="15" s="1"/>
  <c r="F2427" i="6"/>
  <c r="F2811" i="6"/>
  <c r="F2299" i="6"/>
  <c r="F2683" i="6"/>
  <c r="F2555" i="6"/>
  <c r="BE1637" i="6"/>
  <c r="K3076" i="6"/>
  <c r="K1516" i="6" s="1"/>
  <c r="K3038" i="6"/>
  <c r="K1466" i="6" s="1"/>
  <c r="X3076" i="6"/>
  <c r="K3148" i="6"/>
  <c r="K1628" i="6" s="1"/>
  <c r="AA247" i="15" s="1"/>
  <c r="X3038" i="6"/>
  <c r="K3040" i="6"/>
  <c r="K1468" i="6" s="1"/>
  <c r="AA197" i="15" s="1"/>
  <c r="X3148" i="6"/>
  <c r="X3040" i="6"/>
  <c r="F1771" i="6"/>
  <c r="F1772" i="6"/>
  <c r="F1777" i="6"/>
  <c r="F1785" i="6"/>
  <c r="F2027" i="6"/>
  <c r="F2033" i="6"/>
  <c r="F2037" i="6"/>
  <c r="F2165" i="6"/>
  <c r="E103" i="7"/>
  <c r="E92" i="7"/>
  <c r="M2994" i="6"/>
  <c r="L2994" i="6" s="1"/>
  <c r="M2998" i="6"/>
  <c r="L2998" i="6" s="1"/>
  <c r="K2998" i="6" s="1"/>
  <c r="K1400" i="6" s="1"/>
  <c r="M3006" i="6"/>
  <c r="L3006" i="6" s="1"/>
  <c r="M3010" i="6"/>
  <c r="L3010" i="6" s="1"/>
  <c r="K3010" i="6" s="1"/>
  <c r="K1412" i="6" s="1"/>
  <c r="AA177" i="15" s="1"/>
  <c r="E109" i="7"/>
  <c r="E98" i="7"/>
  <c r="E96" i="7"/>
  <c r="E110" i="7"/>
  <c r="BD120" i="7"/>
  <c r="L2990" i="6"/>
  <c r="K2990" i="6" s="1"/>
  <c r="K1392" i="6" s="1"/>
  <c r="BD53" i="7"/>
  <c r="V103" i="7"/>
  <c r="D402" i="7"/>
  <c r="V402" i="7" s="1"/>
  <c r="E108" i="7"/>
  <c r="BD116" i="7"/>
  <c r="F119" i="7"/>
  <c r="H278" i="15" s="1"/>
  <c r="AM278" i="15" s="1"/>
  <c r="K120" i="7"/>
  <c r="N279" i="15" s="1"/>
  <c r="V279" i="15" s="1"/>
  <c r="BD142" i="7"/>
  <c r="BD7" i="7"/>
  <c r="BD16" i="7"/>
  <c r="F14" i="7"/>
  <c r="F15" i="7"/>
  <c r="J263" i="15" s="1"/>
  <c r="H263" i="15" s="1"/>
  <c r="AM263" i="15" s="1"/>
  <c r="F13" i="7"/>
  <c r="E104" i="7"/>
  <c r="N503" i="7"/>
  <c r="N502" i="7"/>
  <c r="BC582" i="7"/>
  <c r="BD582" i="7" s="1"/>
  <c r="AF321" i="15" s="1"/>
  <c r="AC321" i="15" s="1"/>
  <c r="H582" i="7"/>
  <c r="M582" i="7" s="1"/>
  <c r="O321" i="15" s="1"/>
  <c r="O586" i="7"/>
  <c r="O589" i="7"/>
  <c r="V469" i="7"/>
  <c r="D497" i="7"/>
  <c r="BD545" i="7"/>
  <c r="E94" i="7"/>
  <c r="I126" i="7"/>
  <c r="F126" i="7" s="1"/>
  <c r="I138" i="7"/>
  <c r="F138" i="7" s="1"/>
  <c r="M591" i="7"/>
  <c r="O327" i="15" s="1"/>
  <c r="D496" i="7"/>
  <c r="V468" i="7"/>
  <c r="B185" i="9"/>
  <c r="V185" i="9" s="1"/>
  <c r="V577" i="7"/>
  <c r="F584" i="7"/>
  <c r="J998" i="7"/>
  <c r="N366" i="15" s="1"/>
  <c r="BD998" i="7"/>
  <c r="I664" i="7"/>
  <c r="P337" i="15" s="1"/>
  <c r="F750" i="7"/>
  <c r="F748" i="7"/>
  <c r="F751" i="7"/>
  <c r="F749" i="7"/>
  <c r="I832" i="7"/>
  <c r="Q355" i="15" s="1"/>
  <c r="I835" i="7"/>
  <c r="P357" i="15" s="1"/>
  <c r="N357" i="15" s="1"/>
  <c r="E1163" i="7"/>
  <c r="E1165" i="7"/>
  <c r="BE475" i="7"/>
  <c r="I667" i="7"/>
  <c r="Q338" i="15" s="1"/>
  <c r="F842" i="7"/>
  <c r="F840" i="7"/>
  <c r="E1166" i="7"/>
  <c r="E1164" i="7"/>
  <c r="BD711" i="7"/>
  <c r="BD1149" i="7"/>
  <c r="BD1033" i="7"/>
  <c r="P232" i="9"/>
  <c r="AA450" i="15" s="1"/>
  <c r="F291" i="9"/>
  <c r="W291" i="9"/>
  <c r="BD1039" i="7"/>
  <c r="BD1041" i="7"/>
  <c r="BD1043" i="7"/>
  <c r="BD1047" i="7"/>
  <c r="BD1049" i="7"/>
  <c r="BD1051" i="7"/>
  <c r="E1133" i="7"/>
  <c r="E1137" i="7"/>
  <c r="K42" i="9"/>
  <c r="N431" i="15" s="1"/>
  <c r="V431" i="15" s="1"/>
  <c r="F47" i="9"/>
  <c r="V1075" i="7"/>
  <c r="E1103" i="7"/>
  <c r="V1103" i="7" s="1"/>
  <c r="E1119" i="7"/>
  <c r="E1122" i="7"/>
  <c r="E1126" i="7"/>
  <c r="E1132" i="7"/>
  <c r="E1136" i="7"/>
  <c r="BD1208" i="7"/>
  <c r="BD1216" i="7"/>
  <c r="BD1224" i="7"/>
  <c r="BE7" i="9"/>
  <c r="BB7" i="9" s="1"/>
  <c r="Z421" i="15" s="1"/>
  <c r="K8" i="9"/>
  <c r="BD13" i="9"/>
  <c r="I8" i="9"/>
  <c r="P422" i="15" s="1"/>
  <c r="N422" i="15" s="1"/>
  <c r="T422" i="15" s="1"/>
  <c r="D399" i="9"/>
  <c r="V399" i="9" s="1"/>
  <c r="D330" i="9"/>
  <c r="V330" i="9" s="1"/>
  <c r="D493" i="9"/>
  <c r="V493" i="9" s="1"/>
  <c r="D364" i="9"/>
  <c r="V364" i="9" s="1"/>
  <c r="D398" i="9"/>
  <c r="V398" i="9" s="1"/>
  <c r="D523" i="9"/>
  <c r="D217" i="9"/>
  <c r="D145" i="9"/>
  <c r="V145" i="9" s="1"/>
  <c r="V31" i="9"/>
  <c r="P228" i="9"/>
  <c r="AA446" i="15" s="1"/>
  <c r="F287" i="9"/>
  <c r="W287" i="9"/>
  <c r="F289" i="9"/>
  <c r="W289" i="9"/>
  <c r="P230" i="9"/>
  <c r="AA448" i="15" s="1"/>
  <c r="V1068" i="7"/>
  <c r="V1072" i="7"/>
  <c r="V1083" i="7"/>
  <c r="X1185" i="7"/>
  <c r="X1183" i="7"/>
  <c r="BB1218" i="7"/>
  <c r="Z406" i="15" s="1"/>
  <c r="K12" i="9"/>
  <c r="BE11" i="9"/>
  <c r="F1185" i="7"/>
  <c r="BD1212" i="7"/>
  <c r="BD1220" i="7"/>
  <c r="BD1228" i="7"/>
  <c r="F229" i="9"/>
  <c r="H447" i="15" s="1"/>
  <c r="AM447" i="15" s="1"/>
  <c r="BD232" i="9"/>
  <c r="AD450" i="15" s="1"/>
  <c r="AB450" i="15" s="1"/>
  <c r="F234" i="9"/>
  <c r="D492" i="9"/>
  <c r="V492" i="9" s="1"/>
  <c r="D397" i="9"/>
  <c r="V397" i="9" s="1"/>
  <c r="D521" i="9"/>
  <c r="D329" i="9"/>
  <c r="V329" i="9" s="1"/>
  <c r="D215" i="9"/>
  <c r="D363" i="9"/>
  <c r="V363" i="9" s="1"/>
  <c r="D144" i="9"/>
  <c r="V144" i="9" s="1"/>
  <c r="E493" i="9"/>
  <c r="E217" i="9"/>
  <c r="E523" i="9"/>
  <c r="I43" i="9"/>
  <c r="F43" i="9" s="1"/>
  <c r="N43" i="9"/>
  <c r="J45" i="9"/>
  <c r="J46" i="9"/>
  <c r="F46" i="9" s="1"/>
  <c r="H435" i="15" s="1"/>
  <c r="AM435" i="15" s="1"/>
  <c r="K160" i="9"/>
  <c r="N439" i="15" s="1"/>
  <c r="U439" i="15" s="1"/>
  <c r="F226" i="9"/>
  <c r="M232" i="9"/>
  <c r="N450" i="15" s="1"/>
  <c r="V450" i="15" s="1"/>
  <c r="N40" i="9"/>
  <c r="J40" i="9"/>
  <c r="F231" i="9"/>
  <c r="V521" i="9"/>
  <c r="V215" i="9"/>
  <c r="N44" i="9"/>
  <c r="J44" i="9"/>
  <c r="F44" i="9" s="1"/>
  <c r="H433" i="15" s="1"/>
  <c r="AM433" i="15" s="1"/>
  <c r="N48" i="9"/>
  <c r="J48" i="9"/>
  <c r="F111" i="9"/>
  <c r="I40" i="9" s="1"/>
  <c r="F112" i="9"/>
  <c r="I41" i="9" s="1"/>
  <c r="F41" i="9" s="1"/>
  <c r="H430" i="15" s="1"/>
  <c r="AM430" i="15" s="1"/>
  <c r="F116" i="9"/>
  <c r="I45" i="9" s="1"/>
  <c r="F120" i="9"/>
  <c r="I49" i="9" s="1"/>
  <c r="F49" i="9" s="1"/>
  <c r="H438" i="15" s="1"/>
  <c r="AM438" i="15" s="1"/>
  <c r="M225" i="9"/>
  <c r="N443" i="15" s="1"/>
  <c r="V443" i="15" s="1"/>
  <c r="V225" i="9"/>
  <c r="M230" i="9"/>
  <c r="N448" i="15" s="1"/>
  <c r="V448" i="15" s="1"/>
  <c r="BD236" i="9"/>
  <c r="BD301" i="9"/>
  <c r="BB408" i="9"/>
  <c r="Z461" i="15" s="1"/>
  <c r="I432" i="9"/>
  <c r="N465" i="15" s="1"/>
  <c r="U465" i="15" s="1"/>
  <c r="BD24" i="10"/>
  <c r="BB24" i="10" s="1"/>
  <c r="F189" i="9"/>
  <c r="BD224" i="9"/>
  <c r="I410" i="9"/>
  <c r="N463" i="15" s="1"/>
  <c r="U463" i="15" s="1"/>
  <c r="BC432" i="9"/>
  <c r="BD432" i="9" s="1"/>
  <c r="I500" i="9"/>
  <c r="O474" i="15" s="1"/>
  <c r="V474" i="15" s="1"/>
  <c r="E492" i="9"/>
  <c r="BB409" i="9"/>
  <c r="Z462" i="15" s="1"/>
  <c r="BD463" i="9"/>
  <c r="M1051" i="7" l="1"/>
  <c r="N386" i="15" s="1"/>
  <c r="X707" i="6"/>
  <c r="X710" i="6"/>
  <c r="X719" i="6"/>
  <c r="X716" i="6"/>
  <c r="X725" i="6"/>
  <c r="X728" i="6"/>
  <c r="X701" i="6"/>
  <c r="X698" i="6"/>
  <c r="G22" i="3"/>
  <c r="N24" i="15" s="1"/>
  <c r="V24" i="15" s="1"/>
  <c r="BD10" i="3"/>
  <c r="BB18" i="3"/>
  <c r="Z20" i="15" s="1"/>
  <c r="BD8" i="3"/>
  <c r="AD10" i="15" s="1"/>
  <c r="AB10" i="15" s="1"/>
  <c r="AB355" i="15"/>
  <c r="AN330" i="15"/>
  <c r="AN558" i="15"/>
  <c r="Y474" i="15"/>
  <c r="AN329" i="15"/>
  <c r="AB333" i="15"/>
  <c r="AB165" i="15"/>
  <c r="N354" i="15"/>
  <c r="U354" i="15" s="1"/>
  <c r="AB351" i="15"/>
  <c r="N328" i="15"/>
  <c r="AN328" i="15" s="1"/>
  <c r="AN506" i="15"/>
  <c r="DB469" i="2"/>
  <c r="Z578" i="15" s="1"/>
  <c r="AD578" i="15"/>
  <c r="AB578" i="15" s="1"/>
  <c r="I598" i="2"/>
  <c r="N590" i="15" s="1"/>
  <c r="T590" i="15" s="1"/>
  <c r="H590" i="15"/>
  <c r="AM590" i="15" s="1"/>
  <c r="DB418" i="2"/>
  <c r="Z565" i="15" s="1"/>
  <c r="AD565" i="15"/>
  <c r="AB565" i="15" s="1"/>
  <c r="DB333" i="2"/>
  <c r="Z546" i="15" s="1"/>
  <c r="AD546" i="15"/>
  <c r="AB546" i="15" s="1"/>
  <c r="DD232" i="2"/>
  <c r="H536" i="15"/>
  <c r="AM536" i="15" s="1"/>
  <c r="DB160" i="2"/>
  <c r="Z527" i="15" s="1"/>
  <c r="AD527" i="15"/>
  <c r="AB527" i="15" s="1"/>
  <c r="DB13" i="2"/>
  <c r="Z486" i="15" s="1"/>
  <c r="AD486" i="15"/>
  <c r="AB486" i="15" s="1"/>
  <c r="DB531" i="2"/>
  <c r="AD585" i="15"/>
  <c r="AB585" i="15" s="1"/>
  <c r="DB397" i="2"/>
  <c r="Z560" i="15" s="1"/>
  <c r="AD560" i="15"/>
  <c r="AB560" i="15" s="1"/>
  <c r="DB215" i="2"/>
  <c r="Z534" i="15" s="1"/>
  <c r="AD534" i="15"/>
  <c r="AB534" i="15" s="1"/>
  <c r="DB20" i="2"/>
  <c r="Z493" i="15" s="1"/>
  <c r="AD493" i="15"/>
  <c r="AB493" i="15" s="1"/>
  <c r="DB106" i="2"/>
  <c r="Z520" i="15" s="1"/>
  <c r="AD520" i="15"/>
  <c r="AB520" i="15" s="1"/>
  <c r="DB491" i="2"/>
  <c r="Z581" i="15" s="1"/>
  <c r="AD581" i="15"/>
  <c r="AB581" i="15" s="1"/>
  <c r="I160" i="2"/>
  <c r="N527" i="15" s="1"/>
  <c r="V527" i="15" s="1"/>
  <c r="U527" i="15" s="1"/>
  <c r="T527" i="15" s="1"/>
  <c r="H527" i="15"/>
  <c r="AM527" i="15" s="1"/>
  <c r="DB102" i="2"/>
  <c r="Z517" i="15" s="1"/>
  <c r="AD517" i="15"/>
  <c r="AB517" i="15" s="1"/>
  <c r="DB93" i="2"/>
  <c r="Z511" i="15" s="1"/>
  <c r="AD511" i="15"/>
  <c r="AB511" i="15" s="1"/>
  <c r="DB88" i="2"/>
  <c r="Z507" i="15" s="1"/>
  <c r="AD507" i="15"/>
  <c r="AB507" i="15" s="1"/>
  <c r="DB664" i="2"/>
  <c r="AD596" i="15"/>
  <c r="AB596" i="15" s="1"/>
  <c r="I716" i="2"/>
  <c r="N600" i="15" s="1"/>
  <c r="U600" i="15" s="1"/>
  <c r="T600" i="15" s="1"/>
  <c r="H600" i="15"/>
  <c r="AM600" i="15" s="1"/>
  <c r="DB614" i="2"/>
  <c r="Z591" i="15" s="1"/>
  <c r="AD591" i="15"/>
  <c r="AB591" i="15" s="1"/>
  <c r="AN540" i="15"/>
  <c r="DB140" i="2"/>
  <c r="Z525" i="15" s="1"/>
  <c r="AD525" i="15"/>
  <c r="AB525" i="15" s="1"/>
  <c r="DB471" i="2"/>
  <c r="Z580" i="15" s="1"/>
  <c r="AD580" i="15"/>
  <c r="AB580" i="15" s="1"/>
  <c r="DB288" i="2"/>
  <c r="Z544" i="15" s="1"/>
  <c r="AD544" i="15"/>
  <c r="AB544" i="15" s="1"/>
  <c r="DB441" i="2"/>
  <c r="Z569" i="15" s="1"/>
  <c r="AD569" i="15"/>
  <c r="AB569" i="15" s="1"/>
  <c r="DB110" i="2"/>
  <c r="Z523" i="15" s="1"/>
  <c r="AD523" i="15"/>
  <c r="AB523" i="15" s="1"/>
  <c r="AN528" i="15"/>
  <c r="DB699" i="2"/>
  <c r="Z599" i="15" s="1"/>
  <c r="AD599" i="15"/>
  <c r="AB599" i="15" s="1"/>
  <c r="AN587" i="15"/>
  <c r="AN546" i="15"/>
  <c r="AN538" i="15"/>
  <c r="AN532" i="15"/>
  <c r="U513" i="15"/>
  <c r="T513" i="15" s="1"/>
  <c r="U511" i="15"/>
  <c r="T511" i="15" s="1"/>
  <c r="U509" i="15"/>
  <c r="T509" i="15" s="1"/>
  <c r="U507" i="15"/>
  <c r="T507" i="15" s="1"/>
  <c r="V483" i="15"/>
  <c r="U483" i="15" s="1"/>
  <c r="T483" i="15" s="1"/>
  <c r="AN569" i="15"/>
  <c r="AN565" i="15"/>
  <c r="AN523" i="15"/>
  <c r="AN519" i="15"/>
  <c r="AN504" i="15"/>
  <c r="AN491" i="15"/>
  <c r="AN589" i="15"/>
  <c r="AN581" i="15"/>
  <c r="AN574" i="15"/>
  <c r="AN559" i="15"/>
  <c r="AM555" i="15"/>
  <c r="AN555" i="15" s="1"/>
  <c r="H555" i="15"/>
  <c r="T494" i="15"/>
  <c r="DB442" i="2"/>
  <c r="Z570" i="15" s="1"/>
  <c r="AD570" i="15"/>
  <c r="AB570" i="15" s="1"/>
  <c r="AN547" i="15"/>
  <c r="AN524" i="15"/>
  <c r="DB63" i="2"/>
  <c r="Z503" i="15" s="1"/>
  <c r="AD503" i="15"/>
  <c r="AB503" i="15" s="1"/>
  <c r="DB698" i="2"/>
  <c r="Z598" i="15" s="1"/>
  <c r="AD598" i="15"/>
  <c r="AB598" i="15" s="1"/>
  <c r="DB395" i="2"/>
  <c r="Z558" i="15" s="1"/>
  <c r="AD558" i="15"/>
  <c r="AB558" i="15" s="1"/>
  <c r="DB234" i="2"/>
  <c r="Z538" i="15" s="1"/>
  <c r="AD538" i="15"/>
  <c r="AB538" i="15" s="1"/>
  <c r="DB9" i="2"/>
  <c r="Z482" i="15" s="1"/>
  <c r="AD482" i="15"/>
  <c r="AB482" i="15" s="1"/>
  <c r="DB466" i="2"/>
  <c r="Z575" i="15" s="1"/>
  <c r="AD575" i="15"/>
  <c r="AB575" i="15" s="1"/>
  <c r="DB16" i="2"/>
  <c r="Z489" i="15" s="1"/>
  <c r="AD489" i="15"/>
  <c r="AB489" i="15" s="1"/>
  <c r="DB549" i="2"/>
  <c r="AD587" i="15"/>
  <c r="AB587" i="15" s="1"/>
  <c r="DB470" i="2"/>
  <c r="Z579" i="15" s="1"/>
  <c r="AD579" i="15"/>
  <c r="AB579" i="15" s="1"/>
  <c r="DB108" i="2"/>
  <c r="Z522" i="15" s="1"/>
  <c r="AD522" i="15"/>
  <c r="AB522" i="15" s="1"/>
  <c r="DB97" i="2"/>
  <c r="Z514" i="15" s="1"/>
  <c r="AD514" i="15"/>
  <c r="AB514" i="15" s="1"/>
  <c r="DB92" i="2"/>
  <c r="Z510" i="15" s="1"/>
  <c r="AD510" i="15"/>
  <c r="AB510" i="15" s="1"/>
  <c r="DB87" i="2"/>
  <c r="Z506" i="15" s="1"/>
  <c r="AD506" i="15"/>
  <c r="AB506" i="15" s="1"/>
  <c r="DB360" i="2"/>
  <c r="Z556" i="15" s="1"/>
  <c r="AD556" i="15"/>
  <c r="AB556" i="15" s="1"/>
  <c r="DB682" i="2"/>
  <c r="Z597" i="15" s="1"/>
  <c r="AD597" i="15"/>
  <c r="AB597" i="15" s="1"/>
  <c r="DB398" i="2"/>
  <c r="Z561" i="15" s="1"/>
  <c r="AD561" i="15"/>
  <c r="AB561" i="15" s="1"/>
  <c r="DB468" i="2"/>
  <c r="Z577" i="15" s="1"/>
  <c r="AD577" i="15"/>
  <c r="AB577" i="15" s="1"/>
  <c r="DB61" i="2"/>
  <c r="Z501" i="15" s="1"/>
  <c r="AD501" i="15"/>
  <c r="AB501" i="15" s="1"/>
  <c r="DB734" i="2"/>
  <c r="Z602" i="15" s="1"/>
  <c r="AD602" i="15"/>
  <c r="AB602" i="15" s="1"/>
  <c r="DB14" i="2"/>
  <c r="Z487" i="15" s="1"/>
  <c r="AD487" i="15"/>
  <c r="AB487" i="15" s="1"/>
  <c r="AN586" i="15"/>
  <c r="AN537" i="15"/>
  <c r="V482" i="15"/>
  <c r="U482" i="15" s="1"/>
  <c r="T482" i="15" s="1"/>
  <c r="AN568" i="15"/>
  <c r="AN564" i="15"/>
  <c r="AN557" i="15"/>
  <c r="AN522" i="15"/>
  <c r="AN503" i="15"/>
  <c r="DB27" i="2"/>
  <c r="Z500" i="15" s="1"/>
  <c r="AD500" i="15"/>
  <c r="AB500" i="15" s="1"/>
  <c r="AN602" i="15"/>
  <c r="AN588" i="15"/>
  <c r="AN580" i="15"/>
  <c r="AN577" i="15"/>
  <c r="AN553" i="15"/>
  <c r="AN551" i="15"/>
  <c r="AN516" i="15"/>
  <c r="T493" i="15"/>
  <c r="AN550" i="15"/>
  <c r="AN545" i="15"/>
  <c r="DB62" i="2"/>
  <c r="Z502" i="15" s="1"/>
  <c r="AD502" i="15"/>
  <c r="AB502" i="15" s="1"/>
  <c r="U490" i="15"/>
  <c r="T490" i="15" s="1"/>
  <c r="U488" i="15"/>
  <c r="T488" i="15" s="1"/>
  <c r="U485" i="15"/>
  <c r="T485" i="15" s="1"/>
  <c r="DB10" i="2"/>
  <c r="Z483" i="15" s="1"/>
  <c r="AD483" i="15"/>
  <c r="AB483" i="15" s="1"/>
  <c r="DB183" i="2"/>
  <c r="Z531" i="15" s="1"/>
  <c r="AD531" i="15"/>
  <c r="AB531" i="15" s="1"/>
  <c r="DD255" i="2"/>
  <c r="H541" i="15"/>
  <c r="AM541" i="15" s="1"/>
  <c r="DB26" i="2"/>
  <c r="Z499" i="15" s="1"/>
  <c r="AD499" i="15"/>
  <c r="AB499" i="15" s="1"/>
  <c r="DB416" i="2"/>
  <c r="Z563" i="15" s="1"/>
  <c r="AD563" i="15"/>
  <c r="AB563" i="15" s="1"/>
  <c r="DB439" i="2"/>
  <c r="Z567" i="15" s="1"/>
  <c r="AD567" i="15"/>
  <c r="AB567" i="15" s="1"/>
  <c r="I232" i="2"/>
  <c r="N536" i="15" s="1"/>
  <c r="U536" i="15" s="1"/>
  <c r="T536" i="15" s="1"/>
  <c r="DD508" i="2"/>
  <c r="H583" i="15"/>
  <c r="AM583" i="15" s="1"/>
  <c r="I253" i="2"/>
  <c r="N539" i="15" s="1"/>
  <c r="U539" i="15" s="1"/>
  <c r="T539" i="15" s="1"/>
  <c r="H539" i="15"/>
  <c r="AM539" i="15" s="1"/>
  <c r="DB233" i="2"/>
  <c r="Z537" i="15" s="1"/>
  <c r="AD537" i="15"/>
  <c r="AB537" i="15" s="1"/>
  <c r="DB21" i="2"/>
  <c r="Z494" i="15" s="1"/>
  <c r="AD494" i="15"/>
  <c r="AB494" i="15" s="1"/>
  <c r="DB445" i="2"/>
  <c r="Z573" i="15" s="1"/>
  <c r="AD573" i="15"/>
  <c r="AB573" i="15" s="1"/>
  <c r="DB12" i="2"/>
  <c r="Z485" i="15" s="1"/>
  <c r="AD485" i="15"/>
  <c r="AB485" i="15" s="1"/>
  <c r="DB467" i="2"/>
  <c r="Z576" i="15" s="1"/>
  <c r="AD576" i="15"/>
  <c r="AB576" i="15" s="1"/>
  <c r="DB107" i="2"/>
  <c r="Z521" i="15" s="1"/>
  <c r="AD521" i="15"/>
  <c r="AB521" i="15" s="1"/>
  <c r="DB95" i="2"/>
  <c r="Z513" i="15" s="1"/>
  <c r="AD513" i="15"/>
  <c r="AB513" i="15" s="1"/>
  <c r="DB90" i="2"/>
  <c r="Z509" i="15" s="1"/>
  <c r="AD509" i="15"/>
  <c r="AB509" i="15" s="1"/>
  <c r="DB254" i="2"/>
  <c r="Z540" i="15" s="1"/>
  <c r="AD540" i="15"/>
  <c r="AB540" i="15" s="1"/>
  <c r="DB100" i="2"/>
  <c r="Z515" i="15" s="1"/>
  <c r="AD515" i="15"/>
  <c r="AB515" i="15" s="1"/>
  <c r="DB419" i="2"/>
  <c r="Z566" i="15" s="1"/>
  <c r="AD566" i="15"/>
  <c r="AB566" i="15" s="1"/>
  <c r="DD717" i="2"/>
  <c r="H601" i="15"/>
  <c r="AM601" i="15" s="1"/>
  <c r="AN601" i="15" s="1"/>
  <c r="DB417" i="2"/>
  <c r="Z564" i="15" s="1"/>
  <c r="AD564" i="15"/>
  <c r="AB564" i="15" s="1"/>
  <c r="DB19" i="2"/>
  <c r="Z492" i="15" s="1"/>
  <c r="AD492" i="15"/>
  <c r="AB492" i="15" s="1"/>
  <c r="DB662" i="2"/>
  <c r="AD594" i="15"/>
  <c r="AB594" i="15" s="1"/>
  <c r="I507" i="2"/>
  <c r="N582" i="15" s="1"/>
  <c r="U582" i="15" s="1"/>
  <c r="T582" i="15" s="1"/>
  <c r="H582" i="15"/>
  <c r="AM582" i="15" s="1"/>
  <c r="AN535" i="15"/>
  <c r="U512" i="15"/>
  <c r="T512" i="15" s="1"/>
  <c r="U510" i="15"/>
  <c r="T510" i="15" s="1"/>
  <c r="U508" i="15"/>
  <c r="T508" i="15" s="1"/>
  <c r="AN596" i="15"/>
  <c r="AN571" i="15"/>
  <c r="AN567" i="15"/>
  <c r="AN563" i="15"/>
  <c r="AN533" i="15"/>
  <c r="AN521" i="15"/>
  <c r="AN502" i="15"/>
  <c r="U499" i="15"/>
  <c r="T499" i="15" s="1"/>
  <c r="T495" i="15"/>
  <c r="AN585" i="15"/>
  <c r="AN579" i="15"/>
  <c r="AN576" i="15"/>
  <c r="AN561" i="15"/>
  <c r="AM556" i="15"/>
  <c r="AN556" i="15" s="1"/>
  <c r="H556" i="15"/>
  <c r="AN554" i="15"/>
  <c r="AN544" i="15"/>
  <c r="AN515" i="15"/>
  <c r="AN591" i="15"/>
  <c r="AN549" i="15"/>
  <c r="H542" i="15"/>
  <c r="AM542" i="15"/>
  <c r="AN542" i="15" s="1"/>
  <c r="AN531" i="15"/>
  <c r="DB65" i="2"/>
  <c r="Z505" i="15" s="1"/>
  <c r="AD505" i="15"/>
  <c r="AB505" i="15" s="1"/>
  <c r="DB507" i="2"/>
  <c r="Z582" i="15" s="1"/>
  <c r="AD582" i="15"/>
  <c r="AB582" i="15" s="1"/>
  <c r="DB379" i="2"/>
  <c r="Z557" i="15" s="1"/>
  <c r="AD557" i="15"/>
  <c r="AB557" i="15" s="1"/>
  <c r="DB465" i="2"/>
  <c r="Z574" i="15" s="1"/>
  <c r="AD574" i="15"/>
  <c r="AB574" i="15" s="1"/>
  <c r="DB443" i="2"/>
  <c r="Z571" i="15" s="1"/>
  <c r="AD571" i="15"/>
  <c r="AB571" i="15" s="1"/>
  <c r="DB161" i="2"/>
  <c r="Z528" i="15" s="1"/>
  <c r="AD528" i="15"/>
  <c r="AB528" i="15" s="1"/>
  <c r="DB17" i="2"/>
  <c r="Z490" i="15" s="1"/>
  <c r="AD490" i="15"/>
  <c r="AB490" i="15" s="1"/>
  <c r="DB25" i="2"/>
  <c r="Z498" i="15" s="1"/>
  <c r="AD498" i="15"/>
  <c r="AB498" i="15" s="1"/>
  <c r="DB716" i="2"/>
  <c r="Z600" i="15" s="1"/>
  <c r="AD600" i="15"/>
  <c r="AB600" i="15" s="1"/>
  <c r="DB440" i="2"/>
  <c r="Z568" i="15" s="1"/>
  <c r="AD568" i="15"/>
  <c r="AB568" i="15" s="1"/>
  <c r="DB103" i="2"/>
  <c r="Z518" i="15" s="1"/>
  <c r="AD518" i="15"/>
  <c r="AB518" i="15" s="1"/>
  <c r="DB94" i="2"/>
  <c r="Z512" i="15" s="1"/>
  <c r="AD512" i="15"/>
  <c r="AB512" i="15" s="1"/>
  <c r="DB89" i="2"/>
  <c r="Z508" i="15" s="1"/>
  <c r="AD508" i="15"/>
  <c r="AB508" i="15" s="1"/>
  <c r="DB101" i="2"/>
  <c r="Z516" i="15" s="1"/>
  <c r="AD516" i="15"/>
  <c r="AB516" i="15" s="1"/>
  <c r="DB287" i="2"/>
  <c r="Z543" i="15" s="1"/>
  <c r="AD543" i="15"/>
  <c r="AB543" i="15" s="1"/>
  <c r="DB11" i="2"/>
  <c r="Z484" i="15" s="1"/>
  <c r="AD484" i="15"/>
  <c r="AB484" i="15" s="1"/>
  <c r="DB415" i="2"/>
  <c r="Z562" i="15" s="1"/>
  <c r="AD562" i="15"/>
  <c r="AB562" i="15" s="1"/>
  <c r="DB334" i="2"/>
  <c r="Z547" i="15" s="1"/>
  <c r="AD547" i="15"/>
  <c r="AB547" i="15" s="1"/>
  <c r="DB530" i="2"/>
  <c r="Z584" i="15" s="1"/>
  <c r="AD584" i="15"/>
  <c r="AB584" i="15" s="1"/>
  <c r="DB15" i="2"/>
  <c r="Z488" i="15" s="1"/>
  <c r="AD488" i="15"/>
  <c r="AB488" i="15" s="1"/>
  <c r="DB646" i="2"/>
  <c r="Z593" i="15" s="1"/>
  <c r="AD593" i="15"/>
  <c r="AB593" i="15" s="1"/>
  <c r="DB18" i="2"/>
  <c r="Z491" i="15" s="1"/>
  <c r="AD491" i="15"/>
  <c r="AB491" i="15" s="1"/>
  <c r="AN593" i="15"/>
  <c r="AN543" i="15"/>
  <c r="DB231" i="2"/>
  <c r="Z535" i="15" s="1"/>
  <c r="AD535" i="15"/>
  <c r="AB535" i="15" s="1"/>
  <c r="AN570" i="15"/>
  <c r="AN566" i="15"/>
  <c r="AN562" i="15"/>
  <c r="AN525" i="15"/>
  <c r="AN520" i="15"/>
  <c r="AN505" i="15"/>
  <c r="AN501" i="15"/>
  <c r="DB22" i="2"/>
  <c r="Z495" i="15" s="1"/>
  <c r="AD495" i="15"/>
  <c r="AB495" i="15" s="1"/>
  <c r="DB663" i="2"/>
  <c r="AD595" i="15"/>
  <c r="AB595" i="15" s="1"/>
  <c r="AN584" i="15"/>
  <c r="AN575" i="15"/>
  <c r="AN560" i="15"/>
  <c r="AN552" i="15"/>
  <c r="AN534" i="15"/>
  <c r="AN514" i="15"/>
  <c r="U492" i="15"/>
  <c r="T492" i="15" s="1"/>
  <c r="AN594" i="15"/>
  <c r="AN548" i="15"/>
  <c r="DB184" i="2"/>
  <c r="Z532" i="15" s="1"/>
  <c r="AD532" i="15"/>
  <c r="AB532" i="15" s="1"/>
  <c r="DB64" i="2"/>
  <c r="Z504" i="15" s="1"/>
  <c r="AD504" i="15"/>
  <c r="AB504" i="15" s="1"/>
  <c r="U489" i="15"/>
  <c r="T489" i="15" s="1"/>
  <c r="U486" i="15"/>
  <c r="T486" i="15" s="1"/>
  <c r="U484" i="15"/>
  <c r="T484" i="15" s="1"/>
  <c r="G8" i="3"/>
  <c r="N10" i="15" s="1"/>
  <c r="V10" i="15" s="1"/>
  <c r="BB20" i="3"/>
  <c r="Z22" i="15" s="1"/>
  <c r="BD9" i="5"/>
  <c r="BD8" i="5"/>
  <c r="V235" i="9"/>
  <c r="H452" i="15"/>
  <c r="AM452" i="15" s="1"/>
  <c r="BE8" i="9"/>
  <c r="BB8" i="9" s="1"/>
  <c r="Z422" i="15" s="1"/>
  <c r="AA422" i="15"/>
  <c r="BB407" i="9"/>
  <c r="Z460" i="15" s="1"/>
  <c r="AD460" i="15"/>
  <c r="AB460" i="15" s="1"/>
  <c r="BD188" i="9"/>
  <c r="AD441" i="15" s="1"/>
  <c r="AB441" i="15" s="1"/>
  <c r="H441" i="15"/>
  <c r="AM441" i="15" s="1"/>
  <c r="BB10" i="9"/>
  <c r="Z424" i="15" s="1"/>
  <c r="AD424" i="15"/>
  <c r="AB424" i="15" s="1"/>
  <c r="BB42" i="9"/>
  <c r="Z431" i="15" s="1"/>
  <c r="AD431" i="15"/>
  <c r="AB431" i="15" s="1"/>
  <c r="V226" i="9"/>
  <c r="H443" i="15"/>
  <c r="AM443" i="15" s="1"/>
  <c r="AN443" i="15" s="1"/>
  <c r="V233" i="9"/>
  <c r="H450" i="15"/>
  <c r="AM450" i="15" s="1"/>
  <c r="AN450" i="15" s="1"/>
  <c r="I11" i="9"/>
  <c r="P425" i="15" s="1"/>
  <c r="N425" i="15" s="1"/>
  <c r="T425" i="15" s="1"/>
  <c r="J425" i="15"/>
  <c r="H425" i="15" s="1"/>
  <c r="AM425" i="15" s="1"/>
  <c r="AN421" i="15"/>
  <c r="BE10" i="9"/>
  <c r="AA424" i="15"/>
  <c r="AN460" i="15"/>
  <c r="AN457" i="15"/>
  <c r="AN428" i="15"/>
  <c r="AN456" i="15"/>
  <c r="BB224" i="9"/>
  <c r="Z442" i="15" s="1"/>
  <c r="AD442" i="15"/>
  <c r="AB442" i="15" s="1"/>
  <c r="BB13" i="9"/>
  <c r="Z427" i="15" s="1"/>
  <c r="AD427" i="15"/>
  <c r="AB427" i="15" s="1"/>
  <c r="V236" i="9"/>
  <c r="H453" i="15"/>
  <c r="AM453" i="15" s="1"/>
  <c r="K161" i="9"/>
  <c r="N440" i="15" s="1"/>
  <c r="U440" i="15" s="1"/>
  <c r="H440" i="15"/>
  <c r="AM440" i="15" s="1"/>
  <c r="BB9" i="9"/>
  <c r="Z423" i="15" s="1"/>
  <c r="AD423" i="15"/>
  <c r="AB423" i="15" s="1"/>
  <c r="BE161" i="9"/>
  <c r="AA440" i="15"/>
  <c r="BB405" i="9"/>
  <c r="Z458" i="15" s="1"/>
  <c r="AD458" i="15"/>
  <c r="AB458" i="15" s="1"/>
  <c r="M224" i="9"/>
  <c r="N442" i="15" s="1"/>
  <c r="V442" i="15" s="1"/>
  <c r="H442" i="15"/>
  <c r="AM442" i="15" s="1"/>
  <c r="AN431" i="15"/>
  <c r="V229" i="9"/>
  <c r="H446" i="15"/>
  <c r="AM446" i="15" s="1"/>
  <c r="AN446" i="15" s="1"/>
  <c r="BE14" i="9"/>
  <c r="BB14" i="9" s="1"/>
  <c r="Z428" i="15" s="1"/>
  <c r="AA428" i="15"/>
  <c r="AN459" i="15"/>
  <c r="AN463" i="15"/>
  <c r="AN427" i="15"/>
  <c r="BD189" i="9"/>
  <c r="AF441" i="15" s="1"/>
  <c r="AC441" i="15" s="1"/>
  <c r="I441" i="15"/>
  <c r="M226" i="9"/>
  <c r="N444" i="15" s="1"/>
  <c r="V444" i="15" s="1"/>
  <c r="H444" i="15"/>
  <c r="AM444" i="15" s="1"/>
  <c r="BB160" i="9"/>
  <c r="Z439" i="15" s="1"/>
  <c r="AD439" i="15"/>
  <c r="AB439" i="15" s="1"/>
  <c r="BB370" i="9"/>
  <c r="Z457" i="15" s="1"/>
  <c r="AD457" i="15"/>
  <c r="AB457" i="15" s="1"/>
  <c r="AN439" i="15"/>
  <c r="BB336" i="9"/>
  <c r="Z456" i="15" s="1"/>
  <c r="AD456" i="15"/>
  <c r="AB456" i="15" s="1"/>
  <c r="AN448" i="15"/>
  <c r="V234" i="9"/>
  <c r="H451" i="15"/>
  <c r="AM451" i="15" s="1"/>
  <c r="AN451" i="15" s="1"/>
  <c r="BB406" i="9"/>
  <c r="Z459" i="15" s="1"/>
  <c r="AD459" i="15"/>
  <c r="AB459" i="15" s="1"/>
  <c r="AN462" i="15"/>
  <c r="AN426" i="15"/>
  <c r="AN424" i="15"/>
  <c r="BB301" i="9"/>
  <c r="Z455" i="15" s="1"/>
  <c r="AD455" i="15"/>
  <c r="AB455" i="15" s="1"/>
  <c r="M231" i="9"/>
  <c r="N449" i="15" s="1"/>
  <c r="V449" i="15" s="1"/>
  <c r="H449" i="15"/>
  <c r="AM449" i="15" s="1"/>
  <c r="BE12" i="9"/>
  <c r="BB12" i="9" s="1"/>
  <c r="Z426" i="15" s="1"/>
  <c r="AA426" i="15"/>
  <c r="K47" i="9"/>
  <c r="N436" i="15" s="1"/>
  <c r="V436" i="15" s="1"/>
  <c r="H436" i="15"/>
  <c r="AM436" i="15" s="1"/>
  <c r="BB463" i="9"/>
  <c r="Z473" i="15" s="1"/>
  <c r="AD473" i="15"/>
  <c r="AB473" i="15" s="1"/>
  <c r="BB236" i="9"/>
  <c r="Z454" i="15" s="1"/>
  <c r="AD454" i="15"/>
  <c r="AB454" i="15" s="1"/>
  <c r="BD43" i="9"/>
  <c r="H432" i="15"/>
  <c r="AM432" i="15" s="1"/>
  <c r="V228" i="9"/>
  <c r="H445" i="15"/>
  <c r="AM445" i="15" s="1"/>
  <c r="L463" i="9"/>
  <c r="N473" i="15" s="1"/>
  <c r="U473" i="15" s="1"/>
  <c r="BC161" i="9"/>
  <c r="W440" i="15"/>
  <c r="Y440" i="15" s="1"/>
  <c r="V231" i="9"/>
  <c r="M236" i="9"/>
  <c r="N454" i="15" s="1"/>
  <c r="V454" i="15" s="1"/>
  <c r="H454" i="15"/>
  <c r="AM454" i="15" s="1"/>
  <c r="AN423" i="15"/>
  <c r="AN455" i="15"/>
  <c r="AN461" i="15"/>
  <c r="AN458" i="15"/>
  <c r="AN422" i="15"/>
  <c r="BE151" i="6"/>
  <c r="BB151" i="6" s="1"/>
  <c r="Z117" i="15" s="1"/>
  <c r="AA117" i="15"/>
  <c r="BE154" i="6"/>
  <c r="BB154" i="6" s="1"/>
  <c r="Z119" i="15" s="1"/>
  <c r="AA119" i="15"/>
  <c r="BE158" i="6"/>
  <c r="BB158" i="6" s="1"/>
  <c r="Z122" i="15" s="1"/>
  <c r="AA122" i="15"/>
  <c r="BD1406" i="6"/>
  <c r="AF174" i="15" s="1"/>
  <c r="BE149" i="6"/>
  <c r="BB149" i="6" s="1"/>
  <c r="Z116" i="15" s="1"/>
  <c r="AA116" i="15"/>
  <c r="I1388" i="6"/>
  <c r="P169" i="15" s="1"/>
  <c r="N169" i="15" s="1"/>
  <c r="O228" i="15"/>
  <c r="V228" i="15" s="1"/>
  <c r="I1395" i="6"/>
  <c r="S170" i="15" s="1"/>
  <c r="I1406" i="6"/>
  <c r="R174" i="15" s="1"/>
  <c r="BE146" i="6"/>
  <c r="BB146" i="6" s="1"/>
  <c r="Z114" i="15" s="1"/>
  <c r="AA114" i="15"/>
  <c r="BE153" i="6"/>
  <c r="BB153" i="6" s="1"/>
  <c r="Z118" i="15" s="1"/>
  <c r="AA118" i="15"/>
  <c r="AD71" i="15"/>
  <c r="AB71" i="15" s="1"/>
  <c r="BB114" i="5"/>
  <c r="Z71" i="15" s="1"/>
  <c r="BB184" i="5"/>
  <c r="Z75" i="15" s="1"/>
  <c r="BB183" i="5"/>
  <c r="Z74" i="15" s="1"/>
  <c r="BB216" i="5"/>
  <c r="Z80" i="15" s="1"/>
  <c r="AN63" i="15"/>
  <c r="BB43" i="5"/>
  <c r="Z65" i="15" s="1"/>
  <c r="BD26" i="3"/>
  <c r="BD9" i="3"/>
  <c r="BD585" i="7"/>
  <c r="AF323" i="15" s="1"/>
  <c r="AC323" i="15" s="1"/>
  <c r="M585" i="7"/>
  <c r="O323" i="15" s="1"/>
  <c r="BB1231" i="7"/>
  <c r="Z419" i="15" s="1"/>
  <c r="M1039" i="7"/>
  <c r="N374" i="15" s="1"/>
  <c r="AN374" i="15" s="1"/>
  <c r="BD591" i="7"/>
  <c r="AF327" i="15" s="1"/>
  <c r="AC327" i="15" s="1"/>
  <c r="I8" i="7"/>
  <c r="P256" i="15" s="1"/>
  <c r="N256" i="15" s="1"/>
  <c r="K543" i="7"/>
  <c r="N316" i="15" s="1"/>
  <c r="BB660" i="7"/>
  <c r="Z335" i="15" s="1"/>
  <c r="BB441" i="7"/>
  <c r="Z309" i="15" s="1"/>
  <c r="AD309" i="15"/>
  <c r="AB309" i="15" s="1"/>
  <c r="K144" i="7"/>
  <c r="N303" i="15" s="1"/>
  <c r="V303" i="15" s="1"/>
  <c r="BD144" i="7"/>
  <c r="AB350" i="15"/>
  <c r="AB329" i="15"/>
  <c r="N361" i="15"/>
  <c r="Y395" i="15"/>
  <c r="AB352" i="15"/>
  <c r="AN256" i="15"/>
  <c r="BD1615" i="6"/>
  <c r="AE242" i="15" s="1"/>
  <c r="L3008" i="6"/>
  <c r="F1250" i="6"/>
  <c r="BD1597" i="6"/>
  <c r="AG236" i="15" s="1"/>
  <c r="F1256" i="6"/>
  <c r="BD1389" i="6"/>
  <c r="AE169" i="15" s="1"/>
  <c r="F1244" i="6"/>
  <c r="BD1620" i="6"/>
  <c r="AD244" i="15" s="1"/>
  <c r="BD1465" i="6"/>
  <c r="AE195" i="15" s="1"/>
  <c r="AB195" i="15" s="1"/>
  <c r="BD1424" i="6"/>
  <c r="AD180" i="15" s="1"/>
  <c r="AB180" i="15" s="1"/>
  <c r="F1262" i="6"/>
  <c r="I119" i="6"/>
  <c r="P96" i="15" s="1"/>
  <c r="N96" i="15" s="1"/>
  <c r="AN96" i="15" s="1"/>
  <c r="F1232" i="6"/>
  <c r="BD1442" i="6"/>
  <c r="AD186" i="15" s="1"/>
  <c r="AB186" i="15" s="1"/>
  <c r="BD1583" i="6"/>
  <c r="AG232" i="15" s="1"/>
  <c r="BD1477" i="6"/>
  <c r="AE201" i="15" s="1"/>
  <c r="F1268" i="6"/>
  <c r="BC1554" i="6"/>
  <c r="BD1554" i="6" s="1"/>
  <c r="AF225" i="15" s="1"/>
  <c r="BD1552" i="6"/>
  <c r="AD225" i="15" s="1"/>
  <c r="BD1393" i="6"/>
  <c r="AE170" i="15" s="1"/>
  <c r="F1220" i="6"/>
  <c r="I1393" i="6"/>
  <c r="Q170" i="15" s="1"/>
  <c r="J748" i="6"/>
  <c r="K160" i="6" s="1"/>
  <c r="V1267" i="6"/>
  <c r="BD1419" i="6"/>
  <c r="AG178" i="15" s="1"/>
  <c r="AC178" i="15" s="1"/>
  <c r="BD1543" i="6"/>
  <c r="AG222" i="15" s="1"/>
  <c r="F1240" i="6"/>
  <c r="F1258" i="6"/>
  <c r="BD1627" i="6"/>
  <c r="AE246" i="15" s="1"/>
  <c r="I1408" i="6"/>
  <c r="P175" i="15" s="1"/>
  <c r="BD1409" i="6"/>
  <c r="AE175" i="15" s="1"/>
  <c r="F1228" i="6"/>
  <c r="BC1436" i="6"/>
  <c r="BD1436" i="6" s="1"/>
  <c r="AD184" i="15" s="1"/>
  <c r="AB184" i="15" s="1"/>
  <c r="BD1596" i="6"/>
  <c r="AF236" i="15" s="1"/>
  <c r="I1390" i="6"/>
  <c r="R169" i="15" s="1"/>
  <c r="O169" i="15" s="1"/>
  <c r="V169" i="15" s="1"/>
  <c r="BD1397" i="6"/>
  <c r="AE171" i="15" s="1"/>
  <c r="AB171" i="15" s="1"/>
  <c r="I129" i="6"/>
  <c r="R102" i="15" s="1"/>
  <c r="O102" i="15" s="1"/>
  <c r="V102" i="15" s="1"/>
  <c r="I1397" i="6"/>
  <c r="Q171" i="15" s="1"/>
  <c r="N171" i="15" s="1"/>
  <c r="V171" i="15" s="1"/>
  <c r="H189" i="15"/>
  <c r="BC1604" i="6"/>
  <c r="BD1604" i="6" s="1"/>
  <c r="AF238" i="15" s="1"/>
  <c r="AC238" i="15" s="1"/>
  <c r="BC1580" i="6"/>
  <c r="BD1580" i="6" s="1"/>
  <c r="AD232" i="15" s="1"/>
  <c r="AB232" i="15" s="1"/>
  <c r="BC1642" i="6"/>
  <c r="BD1642" i="6" s="1"/>
  <c r="AD254" i="15" s="1"/>
  <c r="BD1427" i="6"/>
  <c r="AG180" i="15" s="1"/>
  <c r="BD1399" i="6"/>
  <c r="AE172" i="15" s="1"/>
  <c r="BC1540" i="6"/>
  <c r="BD1540" i="6" s="1"/>
  <c r="AD222" i="15" s="1"/>
  <c r="F1222" i="6"/>
  <c r="F1276" i="6"/>
  <c r="BD1499" i="6"/>
  <c r="AG208" i="15" s="1"/>
  <c r="I1409" i="6"/>
  <c r="Q175" i="15" s="1"/>
  <c r="BD1402" i="6"/>
  <c r="AF173" i="15" s="1"/>
  <c r="AC173" i="15" s="1"/>
  <c r="L129" i="6"/>
  <c r="BD1476" i="6"/>
  <c r="AD201" i="15" s="1"/>
  <c r="AB201" i="15" s="1"/>
  <c r="I1394" i="6"/>
  <c r="R170" i="15" s="1"/>
  <c r="O170" i="15" s="1"/>
  <c r="V170" i="15" s="1"/>
  <c r="I130" i="6"/>
  <c r="P103" i="15" s="1"/>
  <c r="V103" i="15" s="1"/>
  <c r="BD129" i="6"/>
  <c r="AF102" i="15" s="1"/>
  <c r="AC102" i="15" s="1"/>
  <c r="AB249" i="15"/>
  <c r="BD128" i="6"/>
  <c r="AD102" i="15" s="1"/>
  <c r="AB102" i="15" s="1"/>
  <c r="L230" i="15"/>
  <c r="I1574" i="6"/>
  <c r="K201" i="15"/>
  <c r="I1477" i="6"/>
  <c r="Q201" i="15" s="1"/>
  <c r="M236" i="15"/>
  <c r="I1597" i="6"/>
  <c r="S236" i="15" s="1"/>
  <c r="L232" i="15"/>
  <c r="I1582" i="6"/>
  <c r="R232" i="15" s="1"/>
  <c r="K178" i="15"/>
  <c r="H178" i="15" s="1"/>
  <c r="I1417" i="6"/>
  <c r="Q178" i="15" s="1"/>
  <c r="J236" i="15"/>
  <c r="AM236" i="15" s="1"/>
  <c r="I1594" i="6"/>
  <c r="P236" i="15" s="1"/>
  <c r="J205" i="15"/>
  <c r="AM205" i="15" s="1"/>
  <c r="I1486" i="6"/>
  <c r="P205" i="15" s="1"/>
  <c r="J192" i="15"/>
  <c r="AM192" i="15" s="1"/>
  <c r="I1458" i="6"/>
  <c r="P192" i="15" s="1"/>
  <c r="K254" i="15"/>
  <c r="I1643" i="6"/>
  <c r="Q254" i="15" s="1"/>
  <c r="J230" i="15"/>
  <c r="AM230" i="15" s="1"/>
  <c r="I1572" i="6"/>
  <c r="P230" i="15" s="1"/>
  <c r="K195" i="15"/>
  <c r="H195" i="15" s="1"/>
  <c r="I1465" i="6"/>
  <c r="M184" i="15"/>
  <c r="I1439" i="6"/>
  <c r="S184" i="15" s="1"/>
  <c r="K182" i="15"/>
  <c r="H182" i="15" s="1"/>
  <c r="I1431" i="6"/>
  <c r="M222" i="15"/>
  <c r="I1543" i="6"/>
  <c r="S222" i="15" s="1"/>
  <c r="L227" i="15"/>
  <c r="I1562" i="6"/>
  <c r="L236" i="15"/>
  <c r="I1596" i="6"/>
  <c r="R236" i="15" s="1"/>
  <c r="J201" i="15"/>
  <c r="AM201" i="15" s="1"/>
  <c r="I1476" i="6"/>
  <c r="M225" i="15"/>
  <c r="I1555" i="6"/>
  <c r="S225" i="15" s="1"/>
  <c r="J246" i="15"/>
  <c r="AM246" i="15" s="1"/>
  <c r="I1626" i="6"/>
  <c r="K230" i="15"/>
  <c r="I1573" i="6"/>
  <c r="Q230" i="15" s="1"/>
  <c r="K227" i="15"/>
  <c r="H227" i="15" s="1"/>
  <c r="I1561" i="6"/>
  <c r="L222" i="15"/>
  <c r="I222" i="15" s="1"/>
  <c r="I1542" i="6"/>
  <c r="R222" i="15" s="1"/>
  <c r="K222" i="15"/>
  <c r="H222" i="15" s="1"/>
  <c r="I1541" i="6"/>
  <c r="Q222" i="15" s="1"/>
  <c r="M244" i="15"/>
  <c r="I244" i="15" s="1"/>
  <c r="I1623" i="6"/>
  <c r="S244" i="15" s="1"/>
  <c r="J220" i="15"/>
  <c r="AM220" i="15" s="1"/>
  <c r="I1532" i="6"/>
  <c r="K205" i="15"/>
  <c r="I1487" i="6"/>
  <c r="Q205" i="15" s="1"/>
  <c r="K192" i="15"/>
  <c r="I1459" i="6"/>
  <c r="Q192" i="15" s="1"/>
  <c r="K250" i="15"/>
  <c r="H250" i="15" s="1"/>
  <c r="I1635" i="6"/>
  <c r="Q250" i="15" s="1"/>
  <c r="K220" i="15"/>
  <c r="I1533" i="6"/>
  <c r="Q220" i="15" s="1"/>
  <c r="K225" i="15"/>
  <c r="I1553" i="6"/>
  <c r="Q225" i="15" s="1"/>
  <c r="L208" i="15"/>
  <c r="I1498" i="6"/>
  <c r="R208" i="15" s="1"/>
  <c r="M208" i="15"/>
  <c r="I1499" i="6"/>
  <c r="S208" i="15" s="1"/>
  <c r="L184" i="15"/>
  <c r="I1438" i="6"/>
  <c r="L220" i="15"/>
  <c r="I1534" i="6"/>
  <c r="R220" i="15" s="1"/>
  <c r="J242" i="15"/>
  <c r="AM242" i="15" s="1"/>
  <c r="I1614" i="6"/>
  <c r="P242" i="15" s="1"/>
  <c r="K238" i="15"/>
  <c r="H238" i="15" s="1"/>
  <c r="I1603" i="6"/>
  <c r="Q238" i="15" s="1"/>
  <c r="K246" i="15"/>
  <c r="I1627" i="6"/>
  <c r="J252" i="15"/>
  <c r="AM252" i="15" s="1"/>
  <c r="I1638" i="6"/>
  <c r="P252" i="15" s="1"/>
  <c r="J244" i="15"/>
  <c r="AM244" i="15" s="1"/>
  <c r="I1620" i="6"/>
  <c r="P244" i="15" s="1"/>
  <c r="J198" i="15"/>
  <c r="I1470" i="6"/>
  <c r="P198" i="15" s="1"/>
  <c r="M180" i="15"/>
  <c r="I1427" i="6"/>
  <c r="S180" i="15" s="1"/>
  <c r="K236" i="15"/>
  <c r="I1595" i="6"/>
  <c r="Q236" i="15" s="1"/>
  <c r="M190" i="15"/>
  <c r="I1455" i="6"/>
  <c r="S190" i="15" s="1"/>
  <c r="K184" i="15"/>
  <c r="I1437" i="6"/>
  <c r="Q184" i="15" s="1"/>
  <c r="J190" i="15"/>
  <c r="AM190" i="15" s="1"/>
  <c r="I1452" i="6"/>
  <c r="P190" i="15" s="1"/>
  <c r="J180" i="15"/>
  <c r="AM180" i="15" s="1"/>
  <c r="I1424" i="6"/>
  <c r="P180" i="15" s="1"/>
  <c r="J186" i="15"/>
  <c r="AM186" i="15" s="1"/>
  <c r="I1442" i="6"/>
  <c r="P186" i="15" s="1"/>
  <c r="K232" i="15"/>
  <c r="H232" i="15" s="1"/>
  <c r="I1581" i="6"/>
  <c r="Q232" i="15" s="1"/>
  <c r="L225" i="15"/>
  <c r="I1554" i="6"/>
  <c r="R225" i="15" s="1"/>
  <c r="J225" i="15"/>
  <c r="AM225" i="15" s="1"/>
  <c r="I1552" i="6"/>
  <c r="P225" i="15" s="1"/>
  <c r="K248" i="15"/>
  <c r="H248" i="15" s="1"/>
  <c r="I1631" i="6"/>
  <c r="M220" i="15"/>
  <c r="I1535" i="6"/>
  <c r="S220" i="15" s="1"/>
  <c r="K186" i="15"/>
  <c r="H186" i="15" s="1"/>
  <c r="I1443" i="6"/>
  <c r="L238" i="15"/>
  <c r="I1604" i="6"/>
  <c r="R238" i="15" s="1"/>
  <c r="K252" i="15"/>
  <c r="I1639" i="6"/>
  <c r="Q252" i="15" s="1"/>
  <c r="M238" i="15"/>
  <c r="I1605" i="6"/>
  <c r="S238" i="15" s="1"/>
  <c r="J254" i="15"/>
  <c r="AM254" i="15" s="1"/>
  <c r="I1642" i="6"/>
  <c r="L190" i="15"/>
  <c r="I1454" i="6"/>
  <c r="R190" i="15" s="1"/>
  <c r="K244" i="15"/>
  <c r="I1621" i="6"/>
  <c r="Q244" i="15" s="1"/>
  <c r="K198" i="15"/>
  <c r="I1471" i="6"/>
  <c r="Q198" i="15" s="1"/>
  <c r="M232" i="15"/>
  <c r="I1583" i="6"/>
  <c r="M178" i="15"/>
  <c r="I178" i="15" s="1"/>
  <c r="I1419" i="6"/>
  <c r="S178" i="15" s="1"/>
  <c r="J184" i="15"/>
  <c r="AM184" i="15" s="1"/>
  <c r="I1436" i="6"/>
  <c r="P184" i="15" s="1"/>
  <c r="K242" i="15"/>
  <c r="I1615" i="6"/>
  <c r="Q242" i="15" s="1"/>
  <c r="M227" i="15"/>
  <c r="I1563" i="6"/>
  <c r="S227" i="15" s="1"/>
  <c r="K190" i="15"/>
  <c r="I1453" i="6"/>
  <c r="Q190" i="15" s="1"/>
  <c r="K208" i="15"/>
  <c r="H208" i="15" s="1"/>
  <c r="I1497" i="6"/>
  <c r="L180" i="15"/>
  <c r="I1426" i="6"/>
  <c r="R180" i="15" s="1"/>
  <c r="K180" i="15"/>
  <c r="I1425" i="6"/>
  <c r="Q180" i="15" s="1"/>
  <c r="J743" i="6"/>
  <c r="K155" i="6" s="1"/>
  <c r="R200" i="6"/>
  <c r="J745" i="6"/>
  <c r="K157" i="6" s="1"/>
  <c r="J751" i="6"/>
  <c r="K163" i="6" s="1"/>
  <c r="J750" i="6"/>
  <c r="K162" i="6" s="1"/>
  <c r="I111" i="6"/>
  <c r="R90" i="15" s="1"/>
  <c r="O90" i="15" s="1"/>
  <c r="V90" i="15" s="1"/>
  <c r="BD120" i="6"/>
  <c r="AF96" i="15" s="1"/>
  <c r="AC96" i="15" s="1"/>
  <c r="I120" i="6"/>
  <c r="R96" i="15" s="1"/>
  <c r="O96" i="15" s="1"/>
  <c r="V96" i="15" s="1"/>
  <c r="BD111" i="6"/>
  <c r="AF90" i="15" s="1"/>
  <c r="AC90" i="15" s="1"/>
  <c r="AB237" i="15"/>
  <c r="K718" i="6"/>
  <c r="AB243" i="15"/>
  <c r="AN102" i="15"/>
  <c r="AC224" i="15"/>
  <c r="Y104" i="15"/>
  <c r="Y99" i="15"/>
  <c r="K716" i="6"/>
  <c r="J716" i="6" s="1"/>
  <c r="K128" i="6" s="1"/>
  <c r="BE128" i="6" s="1"/>
  <c r="Y227" i="15"/>
  <c r="AN90" i="15"/>
  <c r="AB239" i="15"/>
  <c r="F8" i="6"/>
  <c r="M8" i="6" s="1"/>
  <c r="N83" i="15" s="1"/>
  <c r="V83" i="15" s="1"/>
  <c r="BC1572" i="6"/>
  <c r="BD1572" i="6" s="1"/>
  <c r="AD230" i="15" s="1"/>
  <c r="X3088" i="6"/>
  <c r="X3014" i="6"/>
  <c r="AB253" i="15"/>
  <c r="I220" i="15"/>
  <c r="AB224" i="15"/>
  <c r="N212" i="15"/>
  <c r="AN212" i="15" s="1"/>
  <c r="AB229" i="15"/>
  <c r="BB1295" i="6"/>
  <c r="Z168" i="15" s="1"/>
  <c r="O173" i="15"/>
  <c r="V173" i="15" s="1"/>
  <c r="AB251" i="15"/>
  <c r="O218" i="15"/>
  <c r="V218" i="15" s="1"/>
  <c r="Y222" i="15"/>
  <c r="AC169" i="15"/>
  <c r="H171" i="15"/>
  <c r="BD1400" i="6"/>
  <c r="AD173" i="15" s="1"/>
  <c r="AB173" i="15" s="1"/>
  <c r="F1238" i="6"/>
  <c r="AC229" i="15"/>
  <c r="AB169" i="15"/>
  <c r="AB241" i="15"/>
  <c r="AB189" i="15"/>
  <c r="AB179" i="15"/>
  <c r="AC214" i="15"/>
  <c r="N203" i="15"/>
  <c r="V203" i="15" s="1"/>
  <c r="AB202" i="15"/>
  <c r="AB203" i="15"/>
  <c r="I173" i="15"/>
  <c r="Y214" i="15"/>
  <c r="Y206" i="15"/>
  <c r="Y174" i="15"/>
  <c r="I52" i="6"/>
  <c r="I53" i="6" s="1"/>
  <c r="F10" i="6"/>
  <c r="BD10" i="6" s="1"/>
  <c r="AF84" i="15" s="1"/>
  <c r="AC84" i="15" s="1"/>
  <c r="AC212" i="15"/>
  <c r="N142" i="15"/>
  <c r="AN142" i="15" s="1"/>
  <c r="Y238" i="15"/>
  <c r="AC167" i="15"/>
  <c r="AB177" i="15"/>
  <c r="N164" i="15"/>
  <c r="V164" i="15" s="1"/>
  <c r="AB188" i="15"/>
  <c r="BD1535" i="6"/>
  <c r="AG220" i="15" s="1"/>
  <c r="AC220" i="15" s="1"/>
  <c r="AB219" i="15"/>
  <c r="F9" i="6"/>
  <c r="BD9" i="6" s="1"/>
  <c r="AD84" i="15" s="1"/>
  <c r="AB84" i="15" s="1"/>
  <c r="AB242" i="15"/>
  <c r="AB207" i="15"/>
  <c r="BD119" i="6"/>
  <c r="AD96" i="15" s="1"/>
  <c r="AB96" i="15" s="1"/>
  <c r="Y110" i="15"/>
  <c r="Y111" i="15"/>
  <c r="BC1634" i="6"/>
  <c r="BD1634" i="6" s="1"/>
  <c r="AD250" i="15" s="1"/>
  <c r="BD1621" i="6"/>
  <c r="AE244" i="15" s="1"/>
  <c r="BD1471" i="6"/>
  <c r="AE198" i="15" s="1"/>
  <c r="N168" i="15"/>
  <c r="V168" i="15" s="1"/>
  <c r="AB174" i="15"/>
  <c r="BC1454" i="6"/>
  <c r="BD1454" i="6" s="1"/>
  <c r="AF190" i="15" s="1"/>
  <c r="I170" i="15"/>
  <c r="AB247" i="15"/>
  <c r="BD1408" i="6"/>
  <c r="AD175" i="15" s="1"/>
  <c r="AB175" i="15" s="1"/>
  <c r="BC1594" i="6"/>
  <c r="BD1594" i="6" s="1"/>
  <c r="AD236" i="15" s="1"/>
  <c r="Y228" i="15"/>
  <c r="AB210" i="15"/>
  <c r="K725" i="6"/>
  <c r="J725" i="6" s="1"/>
  <c r="K137" i="6" s="1"/>
  <c r="BE137" i="6" s="1"/>
  <c r="N228" i="15"/>
  <c r="AN228" i="15" s="1"/>
  <c r="N214" i="15"/>
  <c r="AN214" i="15" s="1"/>
  <c r="AC239" i="15"/>
  <c r="AB221" i="15"/>
  <c r="AB234" i="15"/>
  <c r="AB226" i="15"/>
  <c r="AB200" i="15"/>
  <c r="N196" i="15"/>
  <c r="V196" i="15" s="1"/>
  <c r="AB215" i="15"/>
  <c r="AB228" i="15"/>
  <c r="AC174" i="15"/>
  <c r="AC177" i="15"/>
  <c r="AD259" i="15"/>
  <c r="AB259" i="15" s="1"/>
  <c r="BB11" i="7"/>
  <c r="Z259" i="15" s="1"/>
  <c r="M1047" i="7"/>
  <c r="N382" i="15" s="1"/>
  <c r="V382" i="15" s="1"/>
  <c r="H382" i="15"/>
  <c r="AM382" i="15" s="1"/>
  <c r="BD1035" i="7"/>
  <c r="H370" i="15"/>
  <c r="AM370" i="15" s="1"/>
  <c r="BE587" i="7"/>
  <c r="AA325" i="15"/>
  <c r="BD1038" i="7"/>
  <c r="H373" i="15"/>
  <c r="AM373" i="15" s="1"/>
  <c r="AN373" i="15" s="1"/>
  <c r="BD580" i="7"/>
  <c r="AD320" i="15" s="1"/>
  <c r="AB320" i="15" s="1"/>
  <c r="H320" i="15"/>
  <c r="AM320" i="15" s="1"/>
  <c r="M1035" i="7"/>
  <c r="N370" i="15" s="1"/>
  <c r="BD1045" i="7"/>
  <c r="H380" i="15"/>
  <c r="AM380" i="15" s="1"/>
  <c r="M1033" i="7"/>
  <c r="N368" i="15" s="1"/>
  <c r="V368" i="15" s="1"/>
  <c r="H368" i="15"/>
  <c r="AM368" i="15" s="1"/>
  <c r="BD583" i="7"/>
  <c r="AD322" i="15" s="1"/>
  <c r="AB322" i="15" s="1"/>
  <c r="H322" i="15"/>
  <c r="AM322" i="15" s="1"/>
  <c r="K476" i="7"/>
  <c r="N312" i="15" s="1"/>
  <c r="V312" i="15" s="1"/>
  <c r="H312" i="15"/>
  <c r="AM312" i="15" s="1"/>
  <c r="M586" i="7"/>
  <c r="N324" i="15" s="1"/>
  <c r="V324" i="15" s="1"/>
  <c r="H324" i="15"/>
  <c r="AM324" i="15" s="1"/>
  <c r="J748" i="7"/>
  <c r="N343" i="15" s="1"/>
  <c r="H343" i="15"/>
  <c r="AM343" i="15" s="1"/>
  <c r="M581" i="7"/>
  <c r="N321" i="15" s="1"/>
  <c r="V321" i="15" s="1"/>
  <c r="H321" i="15"/>
  <c r="AM321" i="15" s="1"/>
  <c r="BD1034" i="7"/>
  <c r="H369" i="15"/>
  <c r="AM369" i="15" s="1"/>
  <c r="BE584" i="7"/>
  <c r="AA323" i="15"/>
  <c r="J906" i="7"/>
  <c r="N362" i="15" s="1"/>
  <c r="U362" i="15" s="1"/>
  <c r="H362" i="15"/>
  <c r="AM362" i="15" s="1"/>
  <c r="I791" i="7"/>
  <c r="N347" i="15" s="1"/>
  <c r="U347" i="15" s="1"/>
  <c r="H347" i="15"/>
  <c r="AM347" i="15" s="1"/>
  <c r="I840" i="7"/>
  <c r="Q359" i="15" s="1"/>
  <c r="N359" i="15" s="1"/>
  <c r="K359" i="15"/>
  <c r="H359" i="15" s="1"/>
  <c r="J750" i="7"/>
  <c r="N345" i="15" s="1"/>
  <c r="U345" i="15" s="1"/>
  <c r="H345" i="15"/>
  <c r="AM345" i="15" s="1"/>
  <c r="BD584" i="7"/>
  <c r="AD323" i="15" s="1"/>
  <c r="AB323" i="15" s="1"/>
  <c r="H323" i="15"/>
  <c r="AM323" i="15" s="1"/>
  <c r="BE589" i="7"/>
  <c r="AA326" i="15"/>
  <c r="BE502" i="7"/>
  <c r="AA313" i="15"/>
  <c r="I13" i="7"/>
  <c r="P261" i="15" s="1"/>
  <c r="N261" i="15" s="1"/>
  <c r="J261" i="15"/>
  <c r="H261" i="15" s="1"/>
  <c r="AM261" i="15" s="1"/>
  <c r="BD546" i="7"/>
  <c r="AD319" i="15" s="1"/>
  <c r="AB319" i="15" s="1"/>
  <c r="H319" i="15"/>
  <c r="AM319" i="15" s="1"/>
  <c r="I792" i="7"/>
  <c r="N348" i="15" s="1"/>
  <c r="U348" i="15" s="1"/>
  <c r="H348" i="15"/>
  <c r="AM348" i="15" s="1"/>
  <c r="M589" i="7"/>
  <c r="N326" i="15" s="1"/>
  <c r="V326" i="15" s="1"/>
  <c r="H326" i="15"/>
  <c r="AM326" i="15" s="1"/>
  <c r="BE546" i="7"/>
  <c r="AA319" i="15"/>
  <c r="I828" i="7"/>
  <c r="Q353" i="15" s="1"/>
  <c r="K353" i="15"/>
  <c r="H353" i="15" s="1"/>
  <c r="BD475" i="7"/>
  <c r="AD311" i="15" s="1"/>
  <c r="AB311" i="15" s="1"/>
  <c r="H311" i="15"/>
  <c r="AM311" i="15" s="1"/>
  <c r="BE476" i="7"/>
  <c r="AA312" i="15"/>
  <c r="J751" i="7"/>
  <c r="N346" i="15" s="1"/>
  <c r="U346" i="15" s="1"/>
  <c r="H346" i="15"/>
  <c r="AM346" i="15" s="1"/>
  <c r="I14" i="7"/>
  <c r="P262" i="15" s="1"/>
  <c r="N262" i="15" s="1"/>
  <c r="J262" i="15"/>
  <c r="H262" i="15" s="1"/>
  <c r="AM262" i="15" s="1"/>
  <c r="BD1040" i="7"/>
  <c r="AD375" i="15" s="1"/>
  <c r="AB375" i="15" s="1"/>
  <c r="H375" i="15"/>
  <c r="AM375" i="15" s="1"/>
  <c r="BD1046" i="7"/>
  <c r="BB1046" i="7" s="1"/>
  <c r="Z381" i="15" s="1"/>
  <c r="H381" i="15"/>
  <c r="AM381" i="15" s="1"/>
  <c r="J907" i="7"/>
  <c r="N363" i="15" s="1"/>
  <c r="AN363" i="15" s="1"/>
  <c r="H363" i="15"/>
  <c r="AM363" i="15" s="1"/>
  <c r="I793" i="7"/>
  <c r="N349" i="15" s="1"/>
  <c r="U349" i="15" s="1"/>
  <c r="H349" i="15"/>
  <c r="AM349" i="15" s="1"/>
  <c r="I842" i="7"/>
  <c r="Q360" i="15" s="1"/>
  <c r="N360" i="15" s="1"/>
  <c r="K360" i="15"/>
  <c r="H360" i="15" s="1"/>
  <c r="J749" i="7"/>
  <c r="N344" i="15" s="1"/>
  <c r="U344" i="15" s="1"/>
  <c r="H344" i="15"/>
  <c r="AM344" i="15" s="1"/>
  <c r="N337" i="15"/>
  <c r="AN337" i="15" s="1"/>
  <c r="BE586" i="7"/>
  <c r="AA324" i="15"/>
  <c r="BE503" i="7"/>
  <c r="AA314" i="15"/>
  <c r="BD793" i="7"/>
  <c r="BD1048" i="7"/>
  <c r="AD383" i="15" s="1"/>
  <c r="AB383" i="15" s="1"/>
  <c r="H383" i="15"/>
  <c r="AM383" i="15" s="1"/>
  <c r="K544" i="7"/>
  <c r="N317" i="15" s="1"/>
  <c r="AN317" i="15" s="1"/>
  <c r="H317" i="15"/>
  <c r="AM317" i="15" s="1"/>
  <c r="BD1042" i="7"/>
  <c r="BB1042" i="7" s="1"/>
  <c r="Z377" i="15" s="1"/>
  <c r="H377" i="15"/>
  <c r="AM377" i="15" s="1"/>
  <c r="BD18" i="7"/>
  <c r="J266" i="15"/>
  <c r="H266" i="15" s="1"/>
  <c r="AM266" i="15" s="1"/>
  <c r="AN266" i="15" s="1"/>
  <c r="I17" i="7"/>
  <c r="P265" i="15" s="1"/>
  <c r="N265" i="15" s="1"/>
  <c r="J265" i="15"/>
  <c r="H265" i="15" s="1"/>
  <c r="AM265" i="15" s="1"/>
  <c r="I941" i="7"/>
  <c r="N364" i="15" s="1"/>
  <c r="AN364" i="15" s="1"/>
  <c r="M587" i="7"/>
  <c r="N325" i="15" s="1"/>
  <c r="H325" i="15"/>
  <c r="AM325" i="15" s="1"/>
  <c r="BD1036" i="7"/>
  <c r="H371" i="15"/>
  <c r="AM371" i="15" s="1"/>
  <c r="BE543" i="7"/>
  <c r="AA316" i="15"/>
  <c r="BE544" i="7"/>
  <c r="AA317" i="15"/>
  <c r="BD1037" i="7"/>
  <c r="H372" i="15"/>
  <c r="AM372" i="15" s="1"/>
  <c r="N333" i="15"/>
  <c r="AN333" i="15" s="1"/>
  <c r="BD1032" i="7"/>
  <c r="H367" i="15"/>
  <c r="AM367" i="15" s="1"/>
  <c r="AN367" i="15" s="1"/>
  <c r="BD1050" i="7"/>
  <c r="H385" i="15"/>
  <c r="AM385" i="15" s="1"/>
  <c r="AN385" i="15" s="1"/>
  <c r="AN264" i="15"/>
  <c r="Y394" i="15"/>
  <c r="L503" i="7"/>
  <c r="N314" i="15" s="1"/>
  <c r="V314" i="15" s="1"/>
  <c r="H314" i="15"/>
  <c r="AM314" i="15" s="1"/>
  <c r="K53" i="7"/>
  <c r="N268" i="15" s="1"/>
  <c r="V268" i="15" s="1"/>
  <c r="AB335" i="15"/>
  <c r="BB1228" i="7"/>
  <c r="Z416" i="15" s="1"/>
  <c r="AD416" i="15"/>
  <c r="AB416" i="15" s="1"/>
  <c r="BB1051" i="7"/>
  <c r="Z386" i="15" s="1"/>
  <c r="AD386" i="15"/>
  <c r="AB386" i="15" s="1"/>
  <c r="BB1212" i="7"/>
  <c r="Z400" i="15" s="1"/>
  <c r="AD400" i="15"/>
  <c r="AB400" i="15" s="1"/>
  <c r="BB1049" i="7"/>
  <c r="Z384" i="15" s="1"/>
  <c r="AD384" i="15"/>
  <c r="AB384" i="15" s="1"/>
  <c r="BB1039" i="7"/>
  <c r="Z374" i="15" s="1"/>
  <c r="AD374" i="15"/>
  <c r="AB374" i="15" s="1"/>
  <c r="BB1033" i="7"/>
  <c r="Z368" i="15" s="1"/>
  <c r="AD368" i="15"/>
  <c r="AB368" i="15" s="1"/>
  <c r="BB998" i="7"/>
  <c r="Z366" i="15" s="1"/>
  <c r="AD366" i="15"/>
  <c r="AB366" i="15" s="1"/>
  <c r="K138" i="7"/>
  <c r="N297" i="15" s="1"/>
  <c r="V297" i="15" s="1"/>
  <c r="H297" i="15"/>
  <c r="AM297" i="15" s="1"/>
  <c r="BB144" i="7"/>
  <c r="Z303" i="15" s="1"/>
  <c r="AD303" i="15"/>
  <c r="AB303" i="15" s="1"/>
  <c r="BB116" i="7"/>
  <c r="Z275" i="15" s="1"/>
  <c r="AD275" i="15"/>
  <c r="AB275" i="15" s="1"/>
  <c r="BB53" i="7"/>
  <c r="Z268" i="15" s="1"/>
  <c r="AD268" i="15"/>
  <c r="AB268" i="15" s="1"/>
  <c r="BB120" i="7"/>
  <c r="Z279" i="15" s="1"/>
  <c r="AD279" i="15"/>
  <c r="AB279" i="15" s="1"/>
  <c r="T419" i="15"/>
  <c r="AN419" i="15"/>
  <c r="T403" i="15"/>
  <c r="AN403" i="15"/>
  <c r="V376" i="15"/>
  <c r="AN376" i="15"/>
  <c r="BB833" i="7"/>
  <c r="Z356" i="15" s="1"/>
  <c r="AD356" i="15"/>
  <c r="AB356" i="15" s="1"/>
  <c r="BB658" i="7"/>
  <c r="Z334" i="15" s="1"/>
  <c r="AE334" i="15"/>
  <c r="BB1227" i="7"/>
  <c r="Z415" i="15" s="1"/>
  <c r="AD415" i="15"/>
  <c r="AB415" i="15" s="1"/>
  <c r="U389" i="15"/>
  <c r="AN389" i="15"/>
  <c r="BB1040" i="7"/>
  <c r="Z375" i="15" s="1"/>
  <c r="AN354" i="15"/>
  <c r="N338" i="15"/>
  <c r="AN338" i="15" s="1"/>
  <c r="BB1230" i="7"/>
  <c r="Z418" i="15" s="1"/>
  <c r="AD418" i="15"/>
  <c r="AB418" i="15" s="1"/>
  <c r="U388" i="15"/>
  <c r="AN388" i="15"/>
  <c r="BB12" i="7"/>
  <c r="Z260" i="15" s="1"/>
  <c r="AD260" i="15"/>
  <c r="AB260" i="15" s="1"/>
  <c r="AD381" i="15"/>
  <c r="AB381" i="15" s="1"/>
  <c r="K58" i="7"/>
  <c r="N273" i="15" s="1"/>
  <c r="V273" i="15" s="1"/>
  <c r="H273" i="15"/>
  <c r="AM273" i="15" s="1"/>
  <c r="T406" i="15"/>
  <c r="AN406" i="15"/>
  <c r="AN382" i="15"/>
  <c r="K125" i="7"/>
  <c r="N284" i="15" s="1"/>
  <c r="V284" i="15" s="1"/>
  <c r="H284" i="15"/>
  <c r="AM284" i="15" s="1"/>
  <c r="K131" i="7"/>
  <c r="N290" i="15" s="1"/>
  <c r="V290" i="15" s="1"/>
  <c r="H290" i="15"/>
  <c r="AM290" i="15" s="1"/>
  <c r="BB1219" i="7"/>
  <c r="Z407" i="15" s="1"/>
  <c r="AD407" i="15"/>
  <c r="AB407" i="15" s="1"/>
  <c r="BB1146" i="7"/>
  <c r="Z389" i="15" s="1"/>
  <c r="AD389" i="15"/>
  <c r="AB389" i="15" s="1"/>
  <c r="N355" i="15"/>
  <c r="T408" i="15"/>
  <c r="AN408" i="15"/>
  <c r="U358" i="15"/>
  <c r="AN358" i="15"/>
  <c r="BD128" i="7"/>
  <c r="H287" i="15"/>
  <c r="AM287" i="15" s="1"/>
  <c r="K137" i="7"/>
  <c r="N296" i="15" s="1"/>
  <c r="V296" i="15" s="1"/>
  <c r="H296" i="15"/>
  <c r="AM296" i="15" s="1"/>
  <c r="BB1037" i="7"/>
  <c r="Z372" i="15" s="1"/>
  <c r="AD372" i="15"/>
  <c r="AB372" i="15" s="1"/>
  <c r="N353" i="15"/>
  <c r="V318" i="15"/>
  <c r="AN318" i="15"/>
  <c r="BD55" i="7"/>
  <c r="H270" i="15"/>
  <c r="AM270" i="15" s="1"/>
  <c r="AN270" i="15" s="1"/>
  <c r="BB1215" i="7"/>
  <c r="Z403" i="15" s="1"/>
  <c r="AD403" i="15"/>
  <c r="AB403" i="15" s="1"/>
  <c r="T412" i="15"/>
  <c r="AN412" i="15"/>
  <c r="K130" i="7"/>
  <c r="N289" i="15" s="1"/>
  <c r="V289" i="15" s="1"/>
  <c r="H289" i="15"/>
  <c r="AM289" i="15" s="1"/>
  <c r="BB9" i="7"/>
  <c r="Z257" i="15" s="1"/>
  <c r="AD257" i="15"/>
  <c r="AB257" i="15" s="1"/>
  <c r="AN283" i="15"/>
  <c r="T396" i="15"/>
  <c r="AN396" i="15"/>
  <c r="AN301" i="15"/>
  <c r="BB1220" i="7"/>
  <c r="Z408" i="15" s="1"/>
  <c r="AD408" i="15"/>
  <c r="AB408" i="15" s="1"/>
  <c r="BB1041" i="7"/>
  <c r="Z376" i="15" s="1"/>
  <c r="AD376" i="15"/>
  <c r="AB376" i="15" s="1"/>
  <c r="BB7" i="7"/>
  <c r="Z255" i="15" s="1"/>
  <c r="AD255" i="15"/>
  <c r="AB255" i="15" s="1"/>
  <c r="BB1224" i="7"/>
  <c r="Z412" i="15" s="1"/>
  <c r="AD412" i="15"/>
  <c r="AB412" i="15" s="1"/>
  <c r="BB1047" i="7"/>
  <c r="Z382" i="15" s="1"/>
  <c r="AD382" i="15"/>
  <c r="AB382" i="15" s="1"/>
  <c r="BB1149" i="7"/>
  <c r="Z392" i="15" s="1"/>
  <c r="AD392" i="15"/>
  <c r="AB392" i="15" s="1"/>
  <c r="U357" i="15"/>
  <c r="AN357" i="15"/>
  <c r="U343" i="15"/>
  <c r="U366" i="15"/>
  <c r="AN366" i="15"/>
  <c r="K126" i="7"/>
  <c r="N285" i="15" s="1"/>
  <c r="V285" i="15" s="1"/>
  <c r="H285" i="15"/>
  <c r="AM285" i="15" s="1"/>
  <c r="BB17" i="7"/>
  <c r="Z265" i="15" s="1"/>
  <c r="AD265" i="15"/>
  <c r="AB265" i="15" s="1"/>
  <c r="BB142" i="7"/>
  <c r="Z301" i="15" s="1"/>
  <c r="AD301" i="15"/>
  <c r="AB301" i="15" s="1"/>
  <c r="T414" i="15"/>
  <c r="AN414" i="15"/>
  <c r="T398" i="15"/>
  <c r="AN398" i="15"/>
  <c r="V367" i="15"/>
  <c r="AB354" i="15"/>
  <c r="T409" i="15"/>
  <c r="AN409" i="15"/>
  <c r="BB1144" i="7"/>
  <c r="Z387" i="15" s="1"/>
  <c r="AD387" i="15"/>
  <c r="AB387" i="15" s="1"/>
  <c r="V373" i="15"/>
  <c r="BB827" i="7"/>
  <c r="Z353" i="15" s="1"/>
  <c r="AE353" i="15"/>
  <c r="AB353" i="15" s="1"/>
  <c r="N336" i="15"/>
  <c r="AN336" i="15" s="1"/>
  <c r="BB967" i="7"/>
  <c r="Z365" i="15" s="1"/>
  <c r="AD365" i="15"/>
  <c r="AB365" i="15" s="1"/>
  <c r="K132" i="7"/>
  <c r="N291" i="15" s="1"/>
  <c r="V291" i="15" s="1"/>
  <c r="H291" i="15"/>
  <c r="AM291" i="15" s="1"/>
  <c r="V316" i="15"/>
  <c r="AN316" i="15"/>
  <c r="BB1034" i="7"/>
  <c r="Z369" i="15" s="1"/>
  <c r="AD369" i="15"/>
  <c r="AB369" i="15" s="1"/>
  <c r="K56" i="7"/>
  <c r="N271" i="15" s="1"/>
  <c r="V271" i="15" s="1"/>
  <c r="H271" i="15"/>
  <c r="AM271" i="15" s="1"/>
  <c r="AN362" i="15"/>
  <c r="BB1217" i="7"/>
  <c r="Z405" i="15" s="1"/>
  <c r="AD405" i="15"/>
  <c r="AB405" i="15" s="1"/>
  <c r="U356" i="15"/>
  <c r="AN356" i="15"/>
  <c r="BD139" i="7"/>
  <c r="H298" i="15"/>
  <c r="AM298" i="15" s="1"/>
  <c r="T418" i="15"/>
  <c r="AN418" i="15"/>
  <c r="T402" i="15"/>
  <c r="AN402" i="15"/>
  <c r="U387" i="15"/>
  <c r="AN387" i="15"/>
  <c r="V372" i="15"/>
  <c r="AN372" i="15"/>
  <c r="BD141" i="7"/>
  <c r="H300" i="15"/>
  <c r="AM300" i="15" s="1"/>
  <c r="AN300" i="15" s="1"/>
  <c r="V386" i="15"/>
  <c r="AN386" i="15"/>
  <c r="BB835" i="7"/>
  <c r="Z357" i="15" s="1"/>
  <c r="AD357" i="15"/>
  <c r="AB357" i="15" s="1"/>
  <c r="K118" i="7"/>
  <c r="N277" i="15" s="1"/>
  <c r="V277" i="15" s="1"/>
  <c r="H277" i="15"/>
  <c r="AM277" i="15" s="1"/>
  <c r="T416" i="15"/>
  <c r="AN416" i="15"/>
  <c r="BB1035" i="7"/>
  <c r="Z370" i="15" s="1"/>
  <c r="AD370" i="15"/>
  <c r="AB370" i="15" s="1"/>
  <c r="BB1213" i="7"/>
  <c r="Z401" i="15" s="1"/>
  <c r="AD401" i="15"/>
  <c r="AB401" i="15" s="1"/>
  <c r="T411" i="15"/>
  <c r="AN411" i="15"/>
  <c r="K134" i="7"/>
  <c r="N293" i="15" s="1"/>
  <c r="V293" i="15" s="1"/>
  <c r="H293" i="15"/>
  <c r="AM293" i="15" s="1"/>
  <c r="N335" i="15"/>
  <c r="AN335" i="15" s="1"/>
  <c r="AN276" i="15"/>
  <c r="BB1216" i="7"/>
  <c r="Z404" i="15" s="1"/>
  <c r="AD404" i="15"/>
  <c r="AB404" i="15" s="1"/>
  <c r="BB1043" i="7"/>
  <c r="Z378" i="15" s="1"/>
  <c r="AD378" i="15"/>
  <c r="AB378" i="15" s="1"/>
  <c r="BB711" i="7"/>
  <c r="Z341" i="15" s="1"/>
  <c r="AD341" i="15"/>
  <c r="AB341" i="15" s="1"/>
  <c r="AN345" i="15"/>
  <c r="BB16" i="7"/>
  <c r="Z264" i="15" s="1"/>
  <c r="AD264" i="15"/>
  <c r="AB264" i="15" s="1"/>
  <c r="BB1223" i="7"/>
  <c r="Z411" i="15" s="1"/>
  <c r="AD411" i="15"/>
  <c r="AB411" i="15" s="1"/>
  <c r="U391" i="15"/>
  <c r="AN391" i="15"/>
  <c r="V384" i="15"/>
  <c r="AN384" i="15"/>
  <c r="BB843" i="7"/>
  <c r="Z361" i="15" s="1"/>
  <c r="AE361" i="15"/>
  <c r="AB361" i="15" s="1"/>
  <c r="T407" i="15"/>
  <c r="AN407" i="15"/>
  <c r="V385" i="15"/>
  <c r="U352" i="15"/>
  <c r="AN352" i="15"/>
  <c r="U341" i="15"/>
  <c r="AN341" i="15"/>
  <c r="BB652" i="7"/>
  <c r="Z331" i="15" s="1"/>
  <c r="AD331" i="15"/>
  <c r="AB331" i="15" s="1"/>
  <c r="T405" i="15"/>
  <c r="AN405" i="15"/>
  <c r="BB941" i="7"/>
  <c r="Z364" i="15" s="1"/>
  <c r="AD364" i="15"/>
  <c r="AB364" i="15" s="1"/>
  <c r="V378" i="15"/>
  <c r="AN378" i="15"/>
  <c r="K54" i="7"/>
  <c r="N269" i="15" s="1"/>
  <c r="V269" i="15" s="1"/>
  <c r="H269" i="15"/>
  <c r="AM269" i="15" s="1"/>
  <c r="BB133" i="7"/>
  <c r="Z292" i="15" s="1"/>
  <c r="AD292" i="15"/>
  <c r="AB292" i="15" s="1"/>
  <c r="BB1044" i="7"/>
  <c r="Z379" i="15" s="1"/>
  <c r="AD379" i="15"/>
  <c r="AB379" i="15" s="1"/>
  <c r="BB747" i="7"/>
  <c r="Z342" i="15" s="1"/>
  <c r="AD342" i="15"/>
  <c r="AB342" i="15" s="1"/>
  <c r="BB1226" i="7"/>
  <c r="Z414" i="15" s="1"/>
  <c r="AD414" i="15"/>
  <c r="AB414" i="15" s="1"/>
  <c r="BB1210" i="7"/>
  <c r="Z398" i="15" s="1"/>
  <c r="AD398" i="15"/>
  <c r="AB398" i="15" s="1"/>
  <c r="V327" i="15"/>
  <c r="AN327" i="15"/>
  <c r="K145" i="7"/>
  <c r="N304" i="15" s="1"/>
  <c r="V304" i="15" s="1"/>
  <c r="H304" i="15"/>
  <c r="AM304" i="15" s="1"/>
  <c r="BB137" i="7"/>
  <c r="Z296" i="15" s="1"/>
  <c r="AD296" i="15"/>
  <c r="AB296" i="15" s="1"/>
  <c r="T413" i="15"/>
  <c r="AN413" i="15"/>
  <c r="T397" i="15"/>
  <c r="AN397" i="15"/>
  <c r="BB837" i="7"/>
  <c r="Z358" i="15" s="1"/>
  <c r="AD358" i="15"/>
  <c r="AB358" i="15" s="1"/>
  <c r="K135" i="7"/>
  <c r="N294" i="15" s="1"/>
  <c r="V294" i="15" s="1"/>
  <c r="H294" i="15"/>
  <c r="AM294" i="15" s="1"/>
  <c r="U390" i="15"/>
  <c r="AN390" i="15"/>
  <c r="V370" i="15"/>
  <c r="K123" i="7"/>
  <c r="N282" i="15" s="1"/>
  <c r="V282" i="15" s="1"/>
  <c r="H282" i="15"/>
  <c r="AM282" i="15" s="1"/>
  <c r="BB1045" i="7"/>
  <c r="Z380" i="15" s="1"/>
  <c r="AD380" i="15"/>
  <c r="AB380" i="15" s="1"/>
  <c r="N331" i="15"/>
  <c r="AN331" i="15" s="1"/>
  <c r="T415" i="15"/>
  <c r="AN415" i="15"/>
  <c r="U342" i="15"/>
  <c r="AN342" i="15"/>
  <c r="BB8" i="7"/>
  <c r="Z256" i="15" s="1"/>
  <c r="AD256" i="15"/>
  <c r="AB256" i="15" s="1"/>
  <c r="AN275" i="15"/>
  <c r="T410" i="15"/>
  <c r="AN410" i="15"/>
  <c r="N334" i="15"/>
  <c r="AN334" i="15" s="1"/>
  <c r="AN279" i="15"/>
  <c r="AN292" i="15"/>
  <c r="BD52" i="7"/>
  <c r="H267" i="15"/>
  <c r="AM267" i="15" s="1"/>
  <c r="T400" i="15"/>
  <c r="AN400" i="15"/>
  <c r="U365" i="15"/>
  <c r="AN365" i="15"/>
  <c r="U340" i="15"/>
  <c r="AN340" i="15"/>
  <c r="BB666" i="7"/>
  <c r="Z338" i="15" s="1"/>
  <c r="AD338" i="15"/>
  <c r="AB338" i="15" s="1"/>
  <c r="BB1208" i="7"/>
  <c r="Z396" i="15" s="1"/>
  <c r="AD396" i="15"/>
  <c r="AB396" i="15" s="1"/>
  <c r="BB545" i="7"/>
  <c r="Z318" i="15" s="1"/>
  <c r="AD318" i="15"/>
  <c r="AB318" i="15" s="1"/>
  <c r="T404" i="15"/>
  <c r="AN404" i="15"/>
  <c r="BB1145" i="7"/>
  <c r="Z388" i="15" s="1"/>
  <c r="AD388" i="15"/>
  <c r="AB388" i="15" s="1"/>
  <c r="V379" i="15"/>
  <c r="AN379" i="15"/>
  <c r="BB793" i="7"/>
  <c r="Z349" i="15" s="1"/>
  <c r="AD349" i="15"/>
  <c r="AB349" i="15" s="1"/>
  <c r="BB662" i="7"/>
  <c r="Z336" i="15" s="1"/>
  <c r="AD336" i="15"/>
  <c r="AB336" i="15" s="1"/>
  <c r="BB1211" i="7"/>
  <c r="Z399" i="15" s="1"/>
  <c r="AD399" i="15"/>
  <c r="AB399" i="15" s="1"/>
  <c r="BB1048" i="7"/>
  <c r="Z383" i="15" s="1"/>
  <c r="BB709" i="7"/>
  <c r="Z339" i="15" s="1"/>
  <c r="AD339" i="15"/>
  <c r="AB339" i="15" s="1"/>
  <c r="V317" i="15"/>
  <c r="BB1214" i="7"/>
  <c r="Z402" i="15" s="1"/>
  <c r="AD402" i="15"/>
  <c r="AB402" i="15" s="1"/>
  <c r="N351" i="15"/>
  <c r="AN303" i="15"/>
  <c r="BB117" i="7"/>
  <c r="Z276" i="15" s="1"/>
  <c r="AD276" i="15"/>
  <c r="AB276" i="15" s="1"/>
  <c r="BB18" i="7"/>
  <c r="Z266" i="15" s="1"/>
  <c r="AD266" i="15"/>
  <c r="AB266" i="15" s="1"/>
  <c r="BB710" i="7"/>
  <c r="Z340" i="15" s="1"/>
  <c r="AD340" i="15"/>
  <c r="AB340" i="15" s="1"/>
  <c r="K127" i="7"/>
  <c r="N286" i="15" s="1"/>
  <c r="V286" i="15" s="1"/>
  <c r="H286" i="15"/>
  <c r="AM286" i="15" s="1"/>
  <c r="K122" i="7"/>
  <c r="N281" i="15" s="1"/>
  <c r="V281" i="15" s="1"/>
  <c r="H281" i="15"/>
  <c r="AM281" i="15" s="1"/>
  <c r="U364" i="15"/>
  <c r="BB646" i="7"/>
  <c r="Z328" i="15" s="1"/>
  <c r="AE328" i="15"/>
  <c r="AB328" i="15" s="1"/>
  <c r="BB1147" i="7"/>
  <c r="Z390" i="15" s="1"/>
  <c r="AD390" i="15"/>
  <c r="AB390" i="15" s="1"/>
  <c r="N350" i="15"/>
  <c r="V325" i="15"/>
  <c r="BD140" i="7"/>
  <c r="H299" i="15"/>
  <c r="AM299" i="15" s="1"/>
  <c r="BB136" i="7"/>
  <c r="Z295" i="15" s="1"/>
  <c r="AD295" i="15"/>
  <c r="AB295" i="15" s="1"/>
  <c r="BB1221" i="7"/>
  <c r="Z409" i="15" s="1"/>
  <c r="AD409" i="15"/>
  <c r="AB409" i="15" s="1"/>
  <c r="U392" i="15"/>
  <c r="AN392" i="15"/>
  <c r="BB1036" i="7"/>
  <c r="Z371" i="15" s="1"/>
  <c r="AD371" i="15"/>
  <c r="AB371" i="15" s="1"/>
  <c r="BB124" i="7"/>
  <c r="Z283" i="15" s="1"/>
  <c r="AD283" i="15"/>
  <c r="AB283" i="15" s="1"/>
  <c r="U361" i="15"/>
  <c r="AN361" i="15"/>
  <c r="AN295" i="15"/>
  <c r="BD121" i="7"/>
  <c r="H280" i="15"/>
  <c r="AM280" i="15" s="1"/>
  <c r="AN280" i="15" s="1"/>
  <c r="AB334" i="15"/>
  <c r="K59" i="7"/>
  <c r="N274" i="15" s="1"/>
  <c r="V274" i="15" s="1"/>
  <c r="H274" i="15"/>
  <c r="AM274" i="15" s="1"/>
  <c r="U339" i="15"/>
  <c r="AN339" i="15"/>
  <c r="BB1222" i="7"/>
  <c r="Z410" i="15" s="1"/>
  <c r="AD410" i="15"/>
  <c r="AB410" i="15" s="1"/>
  <c r="V374" i="15"/>
  <c r="BD143" i="7"/>
  <c r="H302" i="15"/>
  <c r="AM302" i="15" s="1"/>
  <c r="AN302" i="15" s="1"/>
  <c r="T401" i="15"/>
  <c r="AN401" i="15"/>
  <c r="BD57" i="7"/>
  <c r="H272" i="15"/>
  <c r="AM272" i="15" s="1"/>
  <c r="AN272" i="15" s="1"/>
  <c r="BB10" i="7"/>
  <c r="Z258" i="15" s="1"/>
  <c r="AD258" i="15"/>
  <c r="AB258" i="15" s="1"/>
  <c r="T399" i="15"/>
  <c r="AN399" i="15"/>
  <c r="BB654" i="7"/>
  <c r="Z332" i="15" s="1"/>
  <c r="AE332" i="15"/>
  <c r="AB332" i="15" s="1"/>
  <c r="BD437" i="7"/>
  <c r="H305" i="15"/>
  <c r="AM305" i="15" s="1"/>
  <c r="AA306" i="15"/>
  <c r="BE438" i="7"/>
  <c r="K439" i="7"/>
  <c r="N307" i="15" s="1"/>
  <c r="V307" i="15" s="1"/>
  <c r="H307" i="15"/>
  <c r="AM307" i="15" s="1"/>
  <c r="K438" i="7"/>
  <c r="N306" i="15" s="1"/>
  <c r="V306" i="15" s="1"/>
  <c r="H306" i="15"/>
  <c r="AM306" i="15" s="1"/>
  <c r="BD438" i="7"/>
  <c r="BD439" i="7"/>
  <c r="AB217" i="15"/>
  <c r="O223" i="15"/>
  <c r="V223" i="15" s="1"/>
  <c r="AB212" i="15"/>
  <c r="BB117" i="6"/>
  <c r="Z94" i="15" s="1"/>
  <c r="AB183" i="15"/>
  <c r="AC223" i="15"/>
  <c r="AB197" i="15"/>
  <c r="AB231" i="15"/>
  <c r="AC231" i="15"/>
  <c r="AC216" i="15"/>
  <c r="AC189" i="15"/>
  <c r="Y92" i="15"/>
  <c r="AB168" i="15"/>
  <c r="AN465" i="15"/>
  <c r="AC221" i="15"/>
  <c r="AN69" i="15"/>
  <c r="AB245" i="15"/>
  <c r="AB235" i="15"/>
  <c r="AC179" i="15"/>
  <c r="BB778" i="6"/>
  <c r="Z140" i="15" s="1"/>
  <c r="AE140" i="15"/>
  <c r="AB140" i="15" s="1"/>
  <c r="BB127" i="6"/>
  <c r="Z101" i="15" s="1"/>
  <c r="AD101" i="15"/>
  <c r="AB101" i="15" s="1"/>
  <c r="AB223" i="15"/>
  <c r="AB190" i="15"/>
  <c r="AB170" i="15"/>
  <c r="BB126" i="6"/>
  <c r="Z100" i="15" s="1"/>
  <c r="AD100" i="15"/>
  <c r="AB100" i="15" s="1"/>
  <c r="BB1186" i="6"/>
  <c r="Z162" i="15" s="1"/>
  <c r="AE162" i="15"/>
  <c r="AB162" i="15" s="1"/>
  <c r="AB204" i="15"/>
  <c r="AC218" i="15"/>
  <c r="AC219" i="15"/>
  <c r="BB139" i="6"/>
  <c r="Z109" i="15" s="1"/>
  <c r="AD109" i="15"/>
  <c r="AB109" i="15" s="1"/>
  <c r="AB193" i="15"/>
  <c r="AB196" i="15"/>
  <c r="AC207" i="15"/>
  <c r="AC228" i="15"/>
  <c r="BB1440" i="6"/>
  <c r="Z185" i="15" s="1"/>
  <c r="AD185" i="15"/>
  <c r="AB185" i="15" s="1"/>
  <c r="AC233" i="15"/>
  <c r="AB187" i="15"/>
  <c r="BB1182" i="6"/>
  <c r="Z160" i="15" s="1"/>
  <c r="AD160" i="15"/>
  <c r="AB160" i="15" s="1"/>
  <c r="AC170" i="15"/>
  <c r="AB208" i="15"/>
  <c r="BB1180" i="6"/>
  <c r="Z159" i="15" s="1"/>
  <c r="AD159" i="15"/>
  <c r="AB159" i="15" s="1"/>
  <c r="AC206" i="15"/>
  <c r="AC183" i="15"/>
  <c r="BB1291" i="6"/>
  <c r="Z167" i="15" s="1"/>
  <c r="AD167" i="15"/>
  <c r="AB167" i="15" s="1"/>
  <c r="BB118" i="6"/>
  <c r="Z95" i="15" s="1"/>
  <c r="AD95" i="15"/>
  <c r="AB95" i="15" s="1"/>
  <c r="AB216" i="15"/>
  <c r="AB209" i="15"/>
  <c r="AC226" i="15"/>
  <c r="BB786" i="6"/>
  <c r="Z143" i="15" s="1"/>
  <c r="AE143" i="15"/>
  <c r="AB143" i="15" s="1"/>
  <c r="BB135" i="6"/>
  <c r="Z106" i="15" s="1"/>
  <c r="AD106" i="15"/>
  <c r="AB106" i="15" s="1"/>
  <c r="BB1510" i="6"/>
  <c r="Z213" i="15" s="1"/>
  <c r="AD213" i="15"/>
  <c r="AB213" i="15" s="1"/>
  <c r="AC202" i="15"/>
  <c r="AB214" i="15"/>
  <c r="BB136" i="6"/>
  <c r="Z107" i="15" s="1"/>
  <c r="AD107" i="15"/>
  <c r="AB107" i="15" s="1"/>
  <c r="AB166" i="15"/>
  <c r="AC144" i="15"/>
  <c r="Y218" i="15"/>
  <c r="AC235" i="15"/>
  <c r="M3070" i="6"/>
  <c r="L3070" i="6" s="1"/>
  <c r="BB1456" i="6"/>
  <c r="Z191" i="15" s="1"/>
  <c r="AD191" i="15"/>
  <c r="AB191" i="15" s="1"/>
  <c r="BB1287" i="6"/>
  <c r="Z166" i="15" s="1"/>
  <c r="AF166" i="15"/>
  <c r="AC166" i="15" s="1"/>
  <c r="BB1188" i="6"/>
  <c r="Z163" i="15" s="1"/>
  <c r="AD163" i="15"/>
  <c r="AB163" i="15" s="1"/>
  <c r="AB240" i="15"/>
  <c r="AB206" i="15"/>
  <c r="AC142" i="15"/>
  <c r="AB141" i="15"/>
  <c r="BB777" i="6"/>
  <c r="Z139" i="15" s="1"/>
  <c r="AD139" i="15"/>
  <c r="AB139" i="15" s="1"/>
  <c r="BB1462" i="6"/>
  <c r="Z194" i="15" s="1"/>
  <c r="AD194" i="15"/>
  <c r="AB194" i="15" s="1"/>
  <c r="BB1184" i="6"/>
  <c r="Z161" i="15" s="1"/>
  <c r="AD161" i="15"/>
  <c r="AB161" i="15" s="1"/>
  <c r="AB233" i="15"/>
  <c r="AC237" i="15"/>
  <c r="AB144" i="15"/>
  <c r="BB1190" i="6"/>
  <c r="Z164" i="15" s="1"/>
  <c r="AE164" i="15"/>
  <c r="AB164" i="15" s="1"/>
  <c r="BB145" i="6"/>
  <c r="Z113" i="15" s="1"/>
  <c r="AD113" i="15"/>
  <c r="AB113" i="15" s="1"/>
  <c r="AC243" i="15"/>
  <c r="AB248" i="15"/>
  <c r="BB144" i="6"/>
  <c r="Z112" i="15" s="1"/>
  <c r="AD112" i="15"/>
  <c r="AB112" i="15" s="1"/>
  <c r="BB130" i="6"/>
  <c r="Z103" i="15" s="1"/>
  <c r="AD103" i="15"/>
  <c r="AB103" i="15" s="1"/>
  <c r="AB218" i="15"/>
  <c r="AB142" i="15"/>
  <c r="AB199" i="15"/>
  <c r="BB42" i="5"/>
  <c r="Z64" i="15" s="1"/>
  <c r="AD64" i="15"/>
  <c r="AB64" i="15" s="1"/>
  <c r="BB149" i="5"/>
  <c r="Z73" i="15" s="1"/>
  <c r="AD73" i="15"/>
  <c r="AB73" i="15" s="1"/>
  <c r="BB79" i="5"/>
  <c r="Z69" i="15" s="1"/>
  <c r="AD69" i="15"/>
  <c r="AB69" i="15" s="1"/>
  <c r="J148" i="5"/>
  <c r="N72" i="15" s="1"/>
  <c r="U72" i="15" s="1"/>
  <c r="H72" i="15"/>
  <c r="AM72" i="15" s="1"/>
  <c r="BB9" i="5"/>
  <c r="Z61" i="15" s="1"/>
  <c r="AD61" i="15"/>
  <c r="AB61" i="15" s="1"/>
  <c r="BB214" i="5"/>
  <c r="Z78" i="15" s="1"/>
  <c r="AD78" i="15"/>
  <c r="AB78" i="15" s="1"/>
  <c r="BD7" i="5"/>
  <c r="BB213" i="5"/>
  <c r="Z77" i="15" s="1"/>
  <c r="AD77" i="15"/>
  <c r="AB77" i="15" s="1"/>
  <c r="BB215" i="5"/>
  <c r="Z79" i="15" s="1"/>
  <c r="K9" i="5"/>
  <c r="N61" i="15" s="1"/>
  <c r="U61" i="15" s="1"/>
  <c r="K8" i="5"/>
  <c r="N60" i="15" s="1"/>
  <c r="U60" i="15" s="1"/>
  <c r="H60" i="15"/>
  <c r="AM60" i="15" s="1"/>
  <c r="AN80" i="15"/>
  <c r="AN62" i="15"/>
  <c r="AN71" i="15"/>
  <c r="AN67" i="15"/>
  <c r="BB45" i="5"/>
  <c r="Z67" i="15" s="1"/>
  <c r="AD67" i="15"/>
  <c r="AB67" i="15" s="1"/>
  <c r="BB44" i="5"/>
  <c r="Z66" i="15" s="1"/>
  <c r="AD66" i="15"/>
  <c r="AB66" i="15" s="1"/>
  <c r="BB212" i="5"/>
  <c r="Z76" i="15" s="1"/>
  <c r="AD76" i="15"/>
  <c r="AB76" i="15" s="1"/>
  <c r="AN79" i="15"/>
  <c r="AN68" i="15"/>
  <c r="AN73" i="15"/>
  <c r="AN70" i="15"/>
  <c r="AN66" i="15"/>
  <c r="BB41" i="5"/>
  <c r="Z63" i="15" s="1"/>
  <c r="AD63" i="15"/>
  <c r="AB63" i="15" s="1"/>
  <c r="BB113" i="5"/>
  <c r="Z70" i="15" s="1"/>
  <c r="AD70" i="15"/>
  <c r="AB70" i="15" s="1"/>
  <c r="K7" i="5"/>
  <c r="N59" i="15" s="1"/>
  <c r="U59" i="15" s="1"/>
  <c r="AN78" i="15"/>
  <c r="AN76" i="15"/>
  <c r="AN75" i="15"/>
  <c r="AN74" i="15"/>
  <c r="AN65" i="15"/>
  <c r="BB8" i="5"/>
  <c r="Z60" i="15" s="1"/>
  <c r="AD60" i="15"/>
  <c r="AB60" i="15" s="1"/>
  <c r="BB78" i="5"/>
  <c r="Z68" i="15" s="1"/>
  <c r="AD68" i="15"/>
  <c r="AB68" i="15" s="1"/>
  <c r="AN81" i="15"/>
  <c r="AN77" i="15"/>
  <c r="AN59" i="15"/>
  <c r="BB217" i="5"/>
  <c r="Z81" i="15" s="1"/>
  <c r="AD81" i="15"/>
  <c r="AB81" i="15" s="1"/>
  <c r="AN64" i="15"/>
  <c r="BD1150" i="7"/>
  <c r="H393" i="15"/>
  <c r="AM393" i="15" s="1"/>
  <c r="BD431" i="9"/>
  <c r="H464" i="15"/>
  <c r="AM464" i="15" s="1"/>
  <c r="I434" i="9"/>
  <c r="N467" i="15" s="1"/>
  <c r="U467" i="15" s="1"/>
  <c r="H467" i="15"/>
  <c r="AM467" i="15" s="1"/>
  <c r="BB432" i="9"/>
  <c r="Z465" i="15" s="1"/>
  <c r="AD465" i="15"/>
  <c r="AB465" i="15" s="1"/>
  <c r="I437" i="9"/>
  <c r="N470" i="15" s="1"/>
  <c r="U470" i="15" s="1"/>
  <c r="H470" i="15"/>
  <c r="AM470" i="15" s="1"/>
  <c r="I436" i="9"/>
  <c r="N469" i="15" s="1"/>
  <c r="U469" i="15" s="1"/>
  <c r="H469" i="15"/>
  <c r="AM469" i="15" s="1"/>
  <c r="BD435" i="9"/>
  <c r="H468" i="15"/>
  <c r="AM468" i="15" s="1"/>
  <c r="AN468" i="15" s="1"/>
  <c r="BB26" i="3"/>
  <c r="Z28" i="15" s="1"/>
  <c r="AD28" i="15"/>
  <c r="AB28" i="15" s="1"/>
  <c r="G16" i="3"/>
  <c r="N18" i="15" s="1"/>
  <c r="V18" i="15" s="1"/>
  <c r="BB9" i="3"/>
  <c r="Z11" i="15" s="1"/>
  <c r="AD11" i="15"/>
  <c r="AB11" i="15" s="1"/>
  <c r="G7" i="3"/>
  <c r="N9" i="15" s="1"/>
  <c r="V9" i="15" s="1"/>
  <c r="BB13" i="3"/>
  <c r="Z15" i="15" s="1"/>
  <c r="AD15" i="15"/>
  <c r="AB15" i="15" s="1"/>
  <c r="BD7" i="3"/>
  <c r="AD9" i="15" s="1"/>
  <c r="AB9" i="15" s="1"/>
  <c r="BB25" i="3"/>
  <c r="Z27" i="15" s="1"/>
  <c r="AD27" i="15"/>
  <c r="AB27" i="15" s="1"/>
  <c r="BD22" i="3"/>
  <c r="BB10" i="3"/>
  <c r="Z12" i="15" s="1"/>
  <c r="AD12" i="15"/>
  <c r="AB12" i="15" s="1"/>
  <c r="N218" i="15"/>
  <c r="AN218" i="15" s="1"/>
  <c r="N140" i="15"/>
  <c r="V140" i="15" s="1"/>
  <c r="Y169" i="15"/>
  <c r="N162" i="15"/>
  <c r="V162" i="15" s="1"/>
  <c r="O212" i="15"/>
  <c r="V212" i="15" s="1"/>
  <c r="O214" i="15"/>
  <c r="V214" i="15" s="1"/>
  <c r="Y178" i="15"/>
  <c r="Y108" i="15"/>
  <c r="Y138" i="15"/>
  <c r="Y93" i="15"/>
  <c r="AN599" i="15"/>
  <c r="Y170" i="15"/>
  <c r="Y105" i="15"/>
  <c r="AN598" i="15"/>
  <c r="AN22" i="15"/>
  <c r="G25" i="3"/>
  <c r="N27" i="15" s="1"/>
  <c r="V27" i="15" s="1"/>
  <c r="H27" i="15"/>
  <c r="AM27" i="15" s="1"/>
  <c r="G21" i="3"/>
  <c r="N23" i="15" s="1"/>
  <c r="V23" i="15" s="1"/>
  <c r="H23" i="15"/>
  <c r="AM23" i="15" s="1"/>
  <c r="G17" i="3"/>
  <c r="N19" i="15" s="1"/>
  <c r="V19" i="15" s="1"/>
  <c r="H19" i="15"/>
  <c r="AM19" i="15" s="1"/>
  <c r="AN10" i="15"/>
  <c r="AN28" i="15"/>
  <c r="AN20" i="15"/>
  <c r="AN13" i="15"/>
  <c r="AN12" i="15"/>
  <c r="AN29" i="15"/>
  <c r="AN25" i="15"/>
  <c r="BD24" i="3"/>
  <c r="H26" i="15"/>
  <c r="AM26" i="15" s="1"/>
  <c r="G13" i="3"/>
  <c r="N15" i="15" s="1"/>
  <c r="V15" i="15" s="1"/>
  <c r="H15" i="15"/>
  <c r="AM15" i="15" s="1"/>
  <c r="G15" i="3"/>
  <c r="N17" i="15" s="1"/>
  <c r="V17" i="15" s="1"/>
  <c r="H17" i="15"/>
  <c r="AM17" i="15" s="1"/>
  <c r="AN21" i="15"/>
  <c r="BD12" i="3"/>
  <c r="H14" i="15"/>
  <c r="AM14" i="15" s="1"/>
  <c r="AN24" i="15"/>
  <c r="AN11" i="15"/>
  <c r="BD14" i="3"/>
  <c r="H16" i="15"/>
  <c r="AM16" i="15" s="1"/>
  <c r="AN16" i="15" s="1"/>
  <c r="AN30" i="15"/>
  <c r="N160" i="15"/>
  <c r="V160" i="15" s="1"/>
  <c r="DD162" i="2"/>
  <c r="H529" i="15"/>
  <c r="AM529" i="15" s="1"/>
  <c r="AN529" i="15" s="1"/>
  <c r="Y487" i="15"/>
  <c r="V487" i="15" s="1"/>
  <c r="U487" i="15" s="1"/>
  <c r="T487" i="15" s="1"/>
  <c r="N163" i="15"/>
  <c r="V163" i="15" s="1"/>
  <c r="N216" i="15"/>
  <c r="AN216" i="15" s="1"/>
  <c r="Y98" i="15"/>
  <c r="BE140" i="6"/>
  <c r="BB140" i="6" s="1"/>
  <c r="Z110" i="15" s="1"/>
  <c r="AA110" i="15"/>
  <c r="BE9" i="6"/>
  <c r="AA84" i="15"/>
  <c r="BE119" i="6"/>
  <c r="AA96" i="15"/>
  <c r="BE115" i="6"/>
  <c r="BB115" i="6" s="1"/>
  <c r="Z93" i="15" s="1"/>
  <c r="AA93" i="15"/>
  <c r="BE11" i="6"/>
  <c r="AA85" i="15"/>
  <c r="V101" i="15"/>
  <c r="N101" i="15"/>
  <c r="AN101" i="15" s="1"/>
  <c r="O144" i="15"/>
  <c r="V144" i="15" s="1"/>
  <c r="BE122" i="6"/>
  <c r="BB122" i="6" s="1"/>
  <c r="Z98" i="15" s="1"/>
  <c r="AA98" i="15"/>
  <c r="O233" i="15"/>
  <c r="V233" i="15" s="1"/>
  <c r="O166" i="15"/>
  <c r="V166" i="15" s="1"/>
  <c r="V139" i="15"/>
  <c r="N139" i="15"/>
  <c r="AN139" i="15" s="1"/>
  <c r="N159" i="15"/>
  <c r="V159" i="15" s="1"/>
  <c r="Y229" i="15"/>
  <c r="Y223" i="15"/>
  <c r="Y207" i="15"/>
  <c r="Y145" i="15"/>
  <c r="Y89" i="15"/>
  <c r="Y88" i="15"/>
  <c r="AM161" i="15"/>
  <c r="H161" i="15"/>
  <c r="Y144" i="15"/>
  <c r="Y85" i="15"/>
  <c r="Y84" i="15"/>
  <c r="BE131" i="6"/>
  <c r="BB131" i="6" s="1"/>
  <c r="Z104" i="15" s="1"/>
  <c r="AA104" i="15"/>
  <c r="I121" i="6"/>
  <c r="P97" i="15" s="1"/>
  <c r="J97" i="15"/>
  <c r="H97" i="15" s="1"/>
  <c r="AM97" i="15" s="1"/>
  <c r="O206" i="15"/>
  <c r="V206" i="15" s="1"/>
  <c r="BC794" i="6"/>
  <c r="W146" i="15"/>
  <c r="N107" i="15"/>
  <c r="AN107" i="15" s="1"/>
  <c r="V107" i="15"/>
  <c r="BD7" i="6"/>
  <c r="H82" i="15"/>
  <c r="AM82" i="15" s="1"/>
  <c r="N167" i="15"/>
  <c r="AN167" i="15" s="1"/>
  <c r="BC812" i="6"/>
  <c r="X154" i="15"/>
  <c r="N141" i="15"/>
  <c r="V141" i="15" s="1"/>
  <c r="BC824" i="6"/>
  <c r="X158" i="15"/>
  <c r="V106" i="15"/>
  <c r="N106" i="15"/>
  <c r="AN106" i="15" s="1"/>
  <c r="N144" i="15"/>
  <c r="AN144" i="15" s="1"/>
  <c r="BE113" i="6"/>
  <c r="BB113" i="6" s="1"/>
  <c r="Z92" i="15" s="1"/>
  <c r="AA92" i="15"/>
  <c r="BE17" i="6"/>
  <c r="AA89" i="15"/>
  <c r="I792" i="6"/>
  <c r="P145" i="15" s="1"/>
  <c r="N145" i="15" s="1"/>
  <c r="J145" i="15"/>
  <c r="H145" i="15" s="1"/>
  <c r="AM145" i="15" s="1"/>
  <c r="N166" i="15"/>
  <c r="AN166" i="15" s="1"/>
  <c r="V113" i="15"/>
  <c r="N113" i="15"/>
  <c r="AN113" i="15" s="1"/>
  <c r="Y230" i="15"/>
  <c r="Y225" i="15"/>
  <c r="BC804" i="6"/>
  <c r="W152" i="15"/>
  <c r="Y152" i="15" s="1"/>
  <c r="BC795" i="6"/>
  <c r="X146" i="15"/>
  <c r="Y146" i="15" s="1"/>
  <c r="N161" i="15"/>
  <c r="V161" i="15" s="1"/>
  <c r="BC800" i="6"/>
  <c r="W150" i="15"/>
  <c r="Y150" i="15" s="1"/>
  <c r="BC822" i="6"/>
  <c r="W158" i="15"/>
  <c r="M3032" i="6"/>
  <c r="L3032" i="6" s="1"/>
  <c r="BE794" i="6"/>
  <c r="AA146" i="15"/>
  <c r="BC1562" i="6"/>
  <c r="BD1562" i="6" s="1"/>
  <c r="AF227" i="15" s="1"/>
  <c r="AC227" i="15" s="1"/>
  <c r="N165" i="15"/>
  <c r="V165" i="15" s="1"/>
  <c r="N143" i="15"/>
  <c r="V143" i="15" s="1"/>
  <c r="N112" i="15"/>
  <c r="AN112" i="15" s="1"/>
  <c r="V112" i="15"/>
  <c r="N174" i="15"/>
  <c r="AN174" i="15" s="1"/>
  <c r="I138" i="6"/>
  <c r="R108" i="15" s="1"/>
  <c r="O108" i="15" s="1"/>
  <c r="V108" i="15" s="1"/>
  <c r="L108" i="15"/>
  <c r="I108" i="15" s="1"/>
  <c r="N233" i="15"/>
  <c r="AN233" i="15" s="1"/>
  <c r="O167" i="15"/>
  <c r="V167" i="15" s="1"/>
  <c r="I796" i="6"/>
  <c r="P147" i="15" s="1"/>
  <c r="N147" i="15" s="1"/>
  <c r="V147" i="15" s="1"/>
  <c r="J147" i="15"/>
  <c r="H147" i="15" s="1"/>
  <c r="AM147" i="15" s="1"/>
  <c r="BC1430" i="6"/>
  <c r="BD1430" i="6" s="1"/>
  <c r="AD182" i="15" s="1"/>
  <c r="AB182" i="15" s="1"/>
  <c r="Y90" i="15"/>
  <c r="Y142" i="15"/>
  <c r="Y102" i="15"/>
  <c r="V109" i="15"/>
  <c r="N109" i="15"/>
  <c r="AN109" i="15" s="1"/>
  <c r="BE15" i="6"/>
  <c r="AA88" i="15"/>
  <c r="BE133" i="6"/>
  <c r="BB133" i="6" s="1"/>
  <c r="Z105" i="15" s="1"/>
  <c r="AA105" i="15"/>
  <c r="I112" i="6"/>
  <c r="P91" i="15" s="1"/>
  <c r="J91" i="15"/>
  <c r="H91" i="15" s="1"/>
  <c r="AM91" i="15" s="1"/>
  <c r="V94" i="15"/>
  <c r="N94" i="15"/>
  <c r="AN94" i="15" s="1"/>
  <c r="BE110" i="6"/>
  <c r="AA90" i="15"/>
  <c r="BC816" i="6"/>
  <c r="W156" i="15"/>
  <c r="Y156" i="15" s="1"/>
  <c r="BE142" i="6"/>
  <c r="BB142" i="6" s="1"/>
  <c r="Z111" i="15" s="1"/>
  <c r="AA111" i="15"/>
  <c r="I137" i="6"/>
  <c r="P108" i="15" s="1"/>
  <c r="N108" i="15" s="1"/>
  <c r="J108" i="15"/>
  <c r="H108" i="15" s="1"/>
  <c r="AM108" i="15" s="1"/>
  <c r="O142" i="15"/>
  <c r="V142" i="15" s="1"/>
  <c r="BE124" i="6"/>
  <c r="BB124" i="6" s="1"/>
  <c r="Z99" i="15" s="1"/>
  <c r="AA99" i="15"/>
  <c r="V100" i="15"/>
  <c r="N100" i="15"/>
  <c r="AN100" i="15" s="1"/>
  <c r="V95" i="15"/>
  <c r="N95" i="15"/>
  <c r="AN95" i="15" s="1"/>
  <c r="BC797" i="6"/>
  <c r="W148" i="15"/>
  <c r="Y148" i="15" s="1"/>
  <c r="BC810" i="6"/>
  <c r="W154" i="15"/>
  <c r="P183" i="15"/>
  <c r="P191" i="15"/>
  <c r="Q177" i="15"/>
  <c r="S237" i="15"/>
  <c r="S235" i="15"/>
  <c r="Q231" i="15"/>
  <c r="Q229" i="15"/>
  <c r="Q253" i="15"/>
  <c r="BC1532" i="6"/>
  <c r="BD1532" i="6" s="1"/>
  <c r="AD220" i="15" s="1"/>
  <c r="W220" i="15"/>
  <c r="Y220" i="15" s="1"/>
  <c r="P179" i="15"/>
  <c r="Q188" i="15"/>
  <c r="Q187" i="15"/>
  <c r="S183" i="15"/>
  <c r="P232" i="15"/>
  <c r="P231" i="15"/>
  <c r="S219" i="15"/>
  <c r="N213" i="15"/>
  <c r="V213" i="15" s="1"/>
  <c r="Q186" i="15"/>
  <c r="Q185" i="15"/>
  <c r="S226" i="15"/>
  <c r="R227" i="15"/>
  <c r="R226" i="15"/>
  <c r="N206" i="15"/>
  <c r="AN206" i="15" s="1"/>
  <c r="O202" i="15"/>
  <c r="V202" i="15" s="1"/>
  <c r="H254" i="15"/>
  <c r="P189" i="15"/>
  <c r="O239" i="15"/>
  <c r="V239" i="15" s="1"/>
  <c r="P229" i="15"/>
  <c r="S221" i="15"/>
  <c r="R207" i="15"/>
  <c r="I1392" i="6"/>
  <c r="P170" i="15" s="1"/>
  <c r="I1410" i="6"/>
  <c r="P176" i="15" s="1"/>
  <c r="N176" i="15" s="1"/>
  <c r="V176" i="15" s="1"/>
  <c r="J176" i="15"/>
  <c r="S230" i="15"/>
  <c r="S229" i="15"/>
  <c r="Q183" i="15"/>
  <c r="S207" i="15"/>
  <c r="AM175" i="15"/>
  <c r="H175" i="15"/>
  <c r="N193" i="15"/>
  <c r="V193" i="15" s="1"/>
  <c r="BE1442" i="6"/>
  <c r="BB1442" i="6" s="1"/>
  <c r="Z186" i="15" s="1"/>
  <c r="AA186" i="15"/>
  <c r="BE1458" i="6"/>
  <c r="AA192" i="15"/>
  <c r="Y190" i="15"/>
  <c r="Y243" i="15"/>
  <c r="Y216" i="15"/>
  <c r="Y202" i="15"/>
  <c r="BE1516" i="6"/>
  <c r="BB1516" i="6" s="1"/>
  <c r="Z215" i="15" s="1"/>
  <c r="AA215" i="15"/>
  <c r="BE1392" i="6"/>
  <c r="AA170" i="15"/>
  <c r="BE1400" i="6"/>
  <c r="AA173" i="15"/>
  <c r="Q251" i="15"/>
  <c r="BE1472" i="6"/>
  <c r="BB1472" i="6" s="1"/>
  <c r="Z199" i="15" s="1"/>
  <c r="AA199" i="15"/>
  <c r="BC1582" i="6"/>
  <c r="BD1582" i="6" s="1"/>
  <c r="AF232" i="15" s="1"/>
  <c r="X232" i="15"/>
  <c r="Y232" i="15" s="1"/>
  <c r="Q197" i="15"/>
  <c r="R235" i="15"/>
  <c r="Q224" i="15"/>
  <c r="P254" i="15"/>
  <c r="P253" i="15"/>
  <c r="P250" i="15"/>
  <c r="P249" i="15"/>
  <c r="P227" i="15"/>
  <c r="P226" i="15"/>
  <c r="N211" i="15"/>
  <c r="V211" i="15" s="1"/>
  <c r="BC1504" i="6"/>
  <c r="BD1504" i="6" s="1"/>
  <c r="AD211" i="15" s="1"/>
  <c r="AB211" i="15" s="1"/>
  <c r="W211" i="15"/>
  <c r="Y211" i="15" s="1"/>
  <c r="Q182" i="15"/>
  <c r="Q181" i="15"/>
  <c r="R189" i="15"/>
  <c r="BC1498" i="6"/>
  <c r="BD1498" i="6" s="1"/>
  <c r="AF208" i="15" s="1"/>
  <c r="X208" i="15"/>
  <c r="Y208" i="15" s="1"/>
  <c r="Q219" i="15"/>
  <c r="N202" i="15"/>
  <c r="AN202" i="15" s="1"/>
  <c r="R221" i="15"/>
  <c r="BE1464" i="6"/>
  <c r="BB1464" i="6" s="1"/>
  <c r="Z195" i="15" s="1"/>
  <c r="AA195" i="15"/>
  <c r="P222" i="15"/>
  <c r="P221" i="15"/>
  <c r="Q191" i="15"/>
  <c r="P182" i="15"/>
  <c r="P181" i="15"/>
  <c r="S243" i="15"/>
  <c r="R184" i="15"/>
  <c r="R183" i="15"/>
  <c r="R179" i="15"/>
  <c r="N217" i="15"/>
  <c r="V217" i="15" s="1"/>
  <c r="N240" i="15"/>
  <c r="V240" i="15" s="1"/>
  <c r="P197" i="15"/>
  <c r="BE1626" i="6"/>
  <c r="AA246" i="15"/>
  <c r="Y235" i="15"/>
  <c r="Y221" i="15"/>
  <c r="Y244" i="15"/>
  <c r="Q249" i="15"/>
  <c r="BE1522" i="6"/>
  <c r="BB1522" i="6" s="1"/>
  <c r="Z217" i="15" s="1"/>
  <c r="AA217" i="15"/>
  <c r="Q237" i="15"/>
  <c r="BC1426" i="6"/>
  <c r="BD1426" i="6" s="1"/>
  <c r="AF180" i="15" s="1"/>
  <c r="X180" i="15"/>
  <c r="Y180" i="15" s="1"/>
  <c r="S177" i="15"/>
  <c r="R244" i="15"/>
  <c r="R243" i="15"/>
  <c r="Q235" i="15"/>
  <c r="P246" i="15"/>
  <c r="P245" i="15"/>
  <c r="P241" i="15"/>
  <c r="Q195" i="15"/>
  <c r="Q194" i="15"/>
  <c r="I1446" i="6"/>
  <c r="P188" i="15" s="1"/>
  <c r="P187" i="15"/>
  <c r="BD1575" i="6"/>
  <c r="AG230" i="15" s="1"/>
  <c r="M230" i="15"/>
  <c r="Q200" i="15"/>
  <c r="BC1470" i="6"/>
  <c r="BD1470" i="6" s="1"/>
  <c r="AD198" i="15" s="1"/>
  <c r="W198" i="15"/>
  <c r="Y198" i="15" s="1"/>
  <c r="P238" i="15"/>
  <c r="P237" i="15"/>
  <c r="N223" i="15"/>
  <c r="AN223" i="15" s="1"/>
  <c r="Q208" i="15"/>
  <c r="Q207" i="15"/>
  <c r="R224" i="15"/>
  <c r="P220" i="15"/>
  <c r="P219" i="15"/>
  <c r="P204" i="15"/>
  <c r="P235" i="15"/>
  <c r="I1398" i="6"/>
  <c r="P172" i="15" s="1"/>
  <c r="N172" i="15" s="1"/>
  <c r="V172" i="15" s="1"/>
  <c r="J172" i="15"/>
  <c r="H244" i="15"/>
  <c r="AM198" i="15"/>
  <c r="N239" i="15"/>
  <c r="AN239" i="15" s="1"/>
  <c r="P224" i="15"/>
  <c r="R237" i="15"/>
  <c r="Q179" i="15"/>
  <c r="I1400" i="6"/>
  <c r="P173" i="15" s="1"/>
  <c r="N173" i="15" s="1"/>
  <c r="J173" i="15"/>
  <c r="O216" i="15"/>
  <c r="V216" i="15" s="1"/>
  <c r="N199" i="15"/>
  <c r="V199" i="15" s="1"/>
  <c r="P248" i="15"/>
  <c r="P247" i="15"/>
  <c r="N210" i="15"/>
  <c r="V210" i="15" s="1"/>
  <c r="P185" i="15"/>
  <c r="AM169" i="15"/>
  <c r="H169" i="15"/>
  <c r="Y239" i="15"/>
  <c r="Y236" i="15"/>
  <c r="Y224" i="15"/>
  <c r="Y212" i="15"/>
  <c r="Y233" i="15"/>
  <c r="Y177" i="15"/>
  <c r="Y173" i="15"/>
  <c r="BE1466" i="6"/>
  <c r="BB1466" i="6" s="1"/>
  <c r="Z196" i="15" s="1"/>
  <c r="AA196" i="15"/>
  <c r="Q204" i="15"/>
  <c r="BC1438" i="6"/>
  <c r="BD1438" i="6" s="1"/>
  <c r="AF184" i="15" s="1"/>
  <c r="AC184" i="15" s="1"/>
  <c r="X184" i="15"/>
  <c r="Y184" i="15" s="1"/>
  <c r="R178" i="15"/>
  <c r="R177" i="15"/>
  <c r="P243" i="15"/>
  <c r="R230" i="15"/>
  <c r="R229" i="15"/>
  <c r="P251" i="15"/>
  <c r="S224" i="15"/>
  <c r="P201" i="15"/>
  <c r="P200" i="15"/>
  <c r="R219" i="15"/>
  <c r="P208" i="15"/>
  <c r="P207" i="15"/>
  <c r="P178" i="15"/>
  <c r="P177" i="15"/>
  <c r="BE1446" i="6"/>
  <c r="AA188" i="15"/>
  <c r="P195" i="15"/>
  <c r="P194" i="15"/>
  <c r="S179" i="15"/>
  <c r="BE1430" i="6"/>
  <c r="AA182" i="15"/>
  <c r="Q243" i="15"/>
  <c r="S232" i="15"/>
  <c r="S231" i="15"/>
  <c r="Q221" i="15"/>
  <c r="N215" i="15"/>
  <c r="V215" i="15" s="1"/>
  <c r="N209" i="15"/>
  <c r="V209" i="15" s="1"/>
  <c r="Q227" i="15"/>
  <c r="Q226" i="15"/>
  <c r="S189" i="15"/>
  <c r="Q248" i="15"/>
  <c r="Q247" i="15"/>
  <c r="Q241" i="15"/>
  <c r="Q189" i="15"/>
  <c r="O174" i="15"/>
  <c r="V174" i="15" s="1"/>
  <c r="N234" i="15"/>
  <c r="V234" i="15" s="1"/>
  <c r="R231" i="15"/>
  <c r="Q246" i="15"/>
  <c r="Q245" i="15"/>
  <c r="AM170" i="15"/>
  <c r="H170" i="15"/>
  <c r="Y189" i="15"/>
  <c r="I499" i="9"/>
  <c r="N474" i="15" s="1"/>
  <c r="AN474" i="15" s="1"/>
  <c r="BD499" i="9"/>
  <c r="BB1460" i="6"/>
  <c r="Z193" i="15" s="1"/>
  <c r="M3020" i="6"/>
  <c r="L3020" i="6" s="1"/>
  <c r="K3020" i="6" s="1"/>
  <c r="K1432" i="6" s="1"/>
  <c r="K1436" i="6" s="1"/>
  <c r="BD433" i="9"/>
  <c r="BB188" i="9"/>
  <c r="Z441" i="15" s="1"/>
  <c r="BD792" i="7"/>
  <c r="M3082" i="6"/>
  <c r="L3082" i="6" s="1"/>
  <c r="M3028" i="6"/>
  <c r="L3028" i="6" s="1"/>
  <c r="K3028" i="6" s="1"/>
  <c r="K1448" i="6" s="1"/>
  <c r="AA189" i="15" s="1"/>
  <c r="BD1595" i="6"/>
  <c r="AE236" i="15" s="1"/>
  <c r="BB19" i="3"/>
  <c r="Z21" i="15" s="1"/>
  <c r="G24" i="3"/>
  <c r="N26" i="15" s="1"/>
  <c r="V26" i="15" s="1"/>
  <c r="BD21" i="3"/>
  <c r="BD17" i="3"/>
  <c r="BB16" i="3"/>
  <c r="Z18" i="15" s="1"/>
  <c r="BB15" i="3"/>
  <c r="Z17" i="15" s="1"/>
  <c r="BD1410" i="6"/>
  <c r="AD176" i="15" s="1"/>
  <c r="AB176" i="15" s="1"/>
  <c r="M3058" i="6"/>
  <c r="L3058" i="6" s="1"/>
  <c r="M3042" i="6"/>
  <c r="L3042" i="6" s="1"/>
  <c r="M3044" i="6"/>
  <c r="L3044" i="6" s="1"/>
  <c r="M3046" i="6"/>
  <c r="L3046" i="6" s="1"/>
  <c r="K3046" i="6" s="1"/>
  <c r="K1478" i="6" s="1"/>
  <c r="M3040" i="6"/>
  <c r="L3040" i="6" s="1"/>
  <c r="M3078" i="6"/>
  <c r="L3078" i="6" s="1"/>
  <c r="K3078" i="6" s="1"/>
  <c r="K1518" i="6" s="1"/>
  <c r="M3024" i="6"/>
  <c r="L3024" i="6" s="1"/>
  <c r="X3010" i="6"/>
  <c r="BD1542" i="6"/>
  <c r="AF222" i="15" s="1"/>
  <c r="BD1553" i="6"/>
  <c r="AE225" i="15" s="1"/>
  <c r="AB225" i="15" s="1"/>
  <c r="BD1541" i="6"/>
  <c r="AE222" i="15" s="1"/>
  <c r="BD793" i="6"/>
  <c r="AF145" i="15" s="1"/>
  <c r="AC145" i="15" s="1"/>
  <c r="M3050" i="6"/>
  <c r="L3050" i="6" s="1"/>
  <c r="X2986" i="6"/>
  <c r="M3036" i="6"/>
  <c r="L3036" i="6" s="1"/>
  <c r="M3148" i="6"/>
  <c r="L3148" i="6" s="1"/>
  <c r="M3038" i="6"/>
  <c r="L3038" i="6" s="1"/>
  <c r="M3034" i="6"/>
  <c r="L3034" i="6" s="1"/>
  <c r="BD1417" i="6"/>
  <c r="AE178" i="15" s="1"/>
  <c r="AB178" i="15" s="1"/>
  <c r="BD1603" i="6"/>
  <c r="AE238" i="15" s="1"/>
  <c r="AB238" i="15" s="1"/>
  <c r="BD1574" i="6"/>
  <c r="AF230" i="15" s="1"/>
  <c r="BD1533" i="6"/>
  <c r="AE220" i="15" s="1"/>
  <c r="BD1561" i="6"/>
  <c r="AE227" i="15" s="1"/>
  <c r="AB227" i="15" s="1"/>
  <c r="BB775" i="6"/>
  <c r="Z138" i="15" s="1"/>
  <c r="L3014" i="6"/>
  <c r="K3014" i="6" s="1"/>
  <c r="K1420" i="6" s="1"/>
  <c r="L3002" i="6"/>
  <c r="K3002" i="6" s="1"/>
  <c r="K1404" i="6" s="1"/>
  <c r="BB780" i="6"/>
  <c r="Z141" i="15" s="1"/>
  <c r="BD137" i="6"/>
  <c r="AD108" i="15" s="1"/>
  <c r="AB108" i="15" s="1"/>
  <c r="I255" i="2"/>
  <c r="N541" i="15" s="1"/>
  <c r="U541" i="15" s="1"/>
  <c r="T541" i="15" s="1"/>
  <c r="M3150" i="6"/>
  <c r="L3150" i="6" s="1"/>
  <c r="BD1623" i="6"/>
  <c r="AG244" i="15" s="1"/>
  <c r="AC244" i="15" s="1"/>
  <c r="M3054" i="6"/>
  <c r="L3054" i="6" s="1"/>
  <c r="M3076" i="6"/>
  <c r="L3076" i="6" s="1"/>
  <c r="M3026" i="6"/>
  <c r="L3026" i="6" s="1"/>
  <c r="M3092" i="6"/>
  <c r="L3092" i="6" s="1"/>
  <c r="K3092" i="6" s="1"/>
  <c r="K1536" i="6" s="1"/>
  <c r="AA221" i="15" s="1"/>
  <c r="M3018" i="6"/>
  <c r="L3018" i="6" s="1"/>
  <c r="M3072" i="6"/>
  <c r="L3072" i="6" s="1"/>
  <c r="K3072" i="6" s="1"/>
  <c r="K1512" i="6" s="1"/>
  <c r="I433" i="9"/>
  <c r="N466" i="15" s="1"/>
  <c r="U466" i="15" s="1"/>
  <c r="BD225" i="9"/>
  <c r="BD227" i="9"/>
  <c r="BD134" i="7"/>
  <c r="BD118" i="7"/>
  <c r="BD47" i="9"/>
  <c r="BD11" i="9"/>
  <c r="K128" i="7"/>
  <c r="N287" i="15" s="1"/>
  <c r="V287" i="15" s="1"/>
  <c r="BB590" i="7"/>
  <c r="Z327" i="15" s="1"/>
  <c r="K475" i="7"/>
  <c r="N311" i="15" s="1"/>
  <c r="M3134" i="6"/>
  <c r="L3134" i="6" s="1"/>
  <c r="X3020" i="6"/>
  <c r="X3066" i="6"/>
  <c r="BD1626" i="6"/>
  <c r="BD796" i="6"/>
  <c r="AD147" i="15" s="1"/>
  <c r="AB147" i="15" s="1"/>
  <c r="BD1487" i="6"/>
  <c r="AE205" i="15" s="1"/>
  <c r="AB205" i="15" s="1"/>
  <c r="BD1455" i="6"/>
  <c r="AG190" i="15" s="1"/>
  <c r="M3152" i="6"/>
  <c r="L3152" i="6" s="1"/>
  <c r="M3126" i="6"/>
  <c r="L3126" i="6" s="1"/>
  <c r="K3126" i="6" s="1"/>
  <c r="K1590" i="6" s="1"/>
  <c r="BE1590" i="6" s="1"/>
  <c r="BB1590" i="6" s="1"/>
  <c r="Z235" i="15" s="1"/>
  <c r="M3154" i="6"/>
  <c r="L3154" i="6" s="1"/>
  <c r="X3028" i="6"/>
  <c r="X3084" i="6"/>
  <c r="M3052" i="6"/>
  <c r="L3052" i="6" s="1"/>
  <c r="BB1285" i="6"/>
  <c r="Z165" i="15" s="1"/>
  <c r="BD138" i="6"/>
  <c r="BD1635" i="6"/>
  <c r="AE250" i="15" s="1"/>
  <c r="M3104" i="6"/>
  <c r="L3104" i="6" s="1"/>
  <c r="K3104" i="6" s="1"/>
  <c r="K1556" i="6" s="1"/>
  <c r="AA226" i="15" s="1"/>
  <c r="BB1428" i="6"/>
  <c r="Z181" i="15" s="1"/>
  <c r="BD1643" i="6"/>
  <c r="AE254" i="15" s="1"/>
  <c r="BD1573" i="6"/>
  <c r="AE230" i="15" s="1"/>
  <c r="BD1459" i="6"/>
  <c r="BB788" i="6"/>
  <c r="Z144" i="15" s="1"/>
  <c r="BD1398" i="6"/>
  <c r="BD792" i="6"/>
  <c r="BD235" i="9"/>
  <c r="BD438" i="9"/>
  <c r="F48" i="9"/>
  <c r="I431" i="9"/>
  <c r="N464" i="15" s="1"/>
  <c r="U464" i="15" s="1"/>
  <c r="M235" i="9"/>
  <c r="N453" i="15" s="1"/>
  <c r="V453" i="15" s="1"/>
  <c r="BD125" i="7"/>
  <c r="K52" i="7"/>
  <c r="N267" i="15" s="1"/>
  <c r="V267" i="15" s="1"/>
  <c r="M1045" i="7"/>
  <c r="N380" i="15" s="1"/>
  <c r="K437" i="7"/>
  <c r="N305" i="15" s="1"/>
  <c r="V305" i="15" s="1"/>
  <c r="BD791" i="7"/>
  <c r="BD589" i="7"/>
  <c r="AD326" i="15" s="1"/>
  <c r="AB326" i="15" s="1"/>
  <c r="BD586" i="7"/>
  <c r="BD476" i="7"/>
  <c r="BD130" i="7"/>
  <c r="BB823" i="7"/>
  <c r="Z351" i="15" s="1"/>
  <c r="BB650" i="7"/>
  <c r="Z330" i="15" s="1"/>
  <c r="BD1638" i="6"/>
  <c r="AD252" i="15" s="1"/>
  <c r="AB252" i="15" s="1"/>
  <c r="M3140" i="6"/>
  <c r="L3140" i="6" s="1"/>
  <c r="M3096" i="6"/>
  <c r="L3096" i="6" s="1"/>
  <c r="K3096" i="6" s="1"/>
  <c r="K1544" i="6" s="1"/>
  <c r="M3062" i="6"/>
  <c r="L3062" i="6" s="1"/>
  <c r="M3124" i="6"/>
  <c r="L3124" i="6" s="1"/>
  <c r="M3064" i="6"/>
  <c r="L3064" i="6" s="1"/>
  <c r="BB1624" i="6"/>
  <c r="Z245" i="15" s="1"/>
  <c r="M3146" i="6"/>
  <c r="L3146" i="6" s="1"/>
  <c r="BD1555" i="6"/>
  <c r="AG225" i="15" s="1"/>
  <c r="K727" i="6"/>
  <c r="L139" i="6"/>
  <c r="BD148" i="5"/>
  <c r="BD434" i="9"/>
  <c r="I1150" i="7"/>
  <c r="N393" i="15" s="1"/>
  <c r="U393" i="15" s="1"/>
  <c r="I438" i="9"/>
  <c r="N471" i="15" s="1"/>
  <c r="U471" i="15" s="1"/>
  <c r="BB23" i="3"/>
  <c r="Z25" i="15" s="1"/>
  <c r="BB11" i="3"/>
  <c r="Z13" i="15" s="1"/>
  <c r="BB8" i="3"/>
  <c r="Z10" i="15" s="1"/>
  <c r="BB27" i="3"/>
  <c r="Z29" i="15" s="1"/>
  <c r="BB7" i="3"/>
  <c r="Z9" i="15" s="1"/>
  <c r="F45" i="9"/>
  <c r="M234" i="9"/>
  <c r="N452" i="15" s="1"/>
  <c r="V452" i="15" s="1"/>
  <c r="BD436" i="9"/>
  <c r="F439" i="9"/>
  <c r="M188" i="9"/>
  <c r="N441" i="15" s="1"/>
  <c r="BD234" i="9"/>
  <c r="M227" i="9"/>
  <c r="N445" i="15" s="1"/>
  <c r="V445" i="15" s="1"/>
  <c r="BD161" i="9"/>
  <c r="M1036" i="7"/>
  <c r="N371" i="15" s="1"/>
  <c r="BD145" i="7"/>
  <c r="BD842" i="7"/>
  <c r="K546" i="7"/>
  <c r="N319" i="15" s="1"/>
  <c r="BB829" i="7"/>
  <c r="Z354" i="15" s="1"/>
  <c r="BD907" i="7"/>
  <c r="K140" i="7"/>
  <c r="N299" i="15" s="1"/>
  <c r="V299" i="15" s="1"/>
  <c r="BD135" i="7"/>
  <c r="BB543" i="7"/>
  <c r="Z316" i="15" s="1"/>
  <c r="K139" i="7"/>
  <c r="N298" i="15" s="1"/>
  <c r="V298" i="15" s="1"/>
  <c r="BB546" i="7"/>
  <c r="Z319" i="15" s="1"/>
  <c r="BB664" i="7"/>
  <c r="Z337" i="15" s="1"/>
  <c r="BB821" i="7"/>
  <c r="Z350" i="15" s="1"/>
  <c r="M583" i="7"/>
  <c r="N322" i="15" s="1"/>
  <c r="BB656" i="7"/>
  <c r="Z333" i="15" s="1"/>
  <c r="BD129" i="7"/>
  <c r="K129" i="7"/>
  <c r="N288" i="15" s="1"/>
  <c r="V288" i="15" s="1"/>
  <c r="BD587" i="7"/>
  <c r="AD325" i="15" s="1"/>
  <c r="AB325" i="15" s="1"/>
  <c r="BD132" i="7"/>
  <c r="BB831" i="7"/>
  <c r="Z355" i="15" s="1"/>
  <c r="BD588" i="7"/>
  <c r="AF325" i="15" s="1"/>
  <c r="AC325" i="15" s="1"/>
  <c r="F502" i="7"/>
  <c r="H313" i="15" s="1"/>
  <c r="AM313" i="15" s="1"/>
  <c r="M580" i="7"/>
  <c r="N320" i="15" s="1"/>
  <c r="BD544" i="7"/>
  <c r="BD122" i="7"/>
  <c r="BD131" i="7"/>
  <c r="M1034" i="7"/>
  <c r="N369" i="15" s="1"/>
  <c r="BB825" i="7"/>
  <c r="Z352" i="15" s="1"/>
  <c r="BD504" i="7"/>
  <c r="L504" i="7"/>
  <c r="N315" i="15" s="1"/>
  <c r="BB475" i="7"/>
  <c r="Z311" i="15" s="1"/>
  <c r="BD503" i="7"/>
  <c r="BD56" i="7"/>
  <c r="BB648" i="7"/>
  <c r="Z329" i="15" s="1"/>
  <c r="BD906" i="7"/>
  <c r="M1042" i="7"/>
  <c r="N377" i="15" s="1"/>
  <c r="BD581" i="7"/>
  <c r="M588" i="7"/>
  <c r="O325" i="15" s="1"/>
  <c r="BD123" i="7"/>
  <c r="BD127" i="7"/>
  <c r="BB584" i="7"/>
  <c r="Z323" i="15" s="1"/>
  <c r="BD126" i="7"/>
  <c r="M1048" i="7"/>
  <c r="N383" i="15" s="1"/>
  <c r="M1046" i="7"/>
  <c r="N381" i="15" s="1"/>
  <c r="BD54" i="7"/>
  <c r="BD750" i="7"/>
  <c r="M1040" i="7"/>
  <c r="N375" i="15" s="1"/>
  <c r="O583" i="7"/>
  <c r="O580" i="7"/>
  <c r="BB1446" i="6"/>
  <c r="Z188" i="15" s="1"/>
  <c r="M7" i="6"/>
  <c r="N82" i="15" s="1"/>
  <c r="V82" i="15" s="1"/>
  <c r="M3112" i="6"/>
  <c r="L3112" i="6" s="1"/>
  <c r="K3112" i="6" s="1"/>
  <c r="K1568" i="6" s="1"/>
  <c r="M3138" i="6"/>
  <c r="L3138" i="6" s="1"/>
  <c r="M3108" i="6"/>
  <c r="L3108" i="6" s="1"/>
  <c r="K3108" i="6" s="1"/>
  <c r="K1564" i="6" s="1"/>
  <c r="BB782" i="6"/>
  <c r="Z142" i="15" s="1"/>
  <c r="BD437" i="9"/>
  <c r="DD253" i="2"/>
  <c r="DD598" i="2"/>
  <c r="I508" i="2"/>
  <c r="N583" i="15" s="1"/>
  <c r="U583" i="15" s="1"/>
  <c r="T583" i="15" s="1"/>
  <c r="BD49" i="9"/>
  <c r="K49" i="9"/>
  <c r="N438" i="15" s="1"/>
  <c r="V438" i="15" s="1"/>
  <c r="I159" i="2"/>
  <c r="N526" i="15" s="1"/>
  <c r="V526" i="15" s="1"/>
  <c r="U526" i="15" s="1"/>
  <c r="T526" i="15" s="1"/>
  <c r="DD159" i="2"/>
  <c r="K46" i="9"/>
  <c r="N435" i="15" s="1"/>
  <c r="V435" i="15" s="1"/>
  <c r="BD46" i="9"/>
  <c r="BD41" i="9"/>
  <c r="K41" i="9"/>
  <c r="N430" i="15" s="1"/>
  <c r="V430" i="15" s="1"/>
  <c r="K44" i="9"/>
  <c r="N433" i="15" s="1"/>
  <c r="V433" i="15" s="1"/>
  <c r="BD44" i="9"/>
  <c r="F1175" i="7"/>
  <c r="I395" i="15" s="1"/>
  <c r="F1174" i="7"/>
  <c r="H395" i="15" s="1"/>
  <c r="AM395" i="15" s="1"/>
  <c r="F1173" i="7"/>
  <c r="I394" i="15" s="1"/>
  <c r="W292" i="9"/>
  <c r="F292" i="9"/>
  <c r="P233" i="9"/>
  <c r="BE232" i="9"/>
  <c r="BB232" i="9" s="1"/>
  <c r="Z450" i="15" s="1"/>
  <c r="F1172" i="7"/>
  <c r="H394" i="15" s="1"/>
  <c r="AM394" i="15" s="1"/>
  <c r="BD840" i="7"/>
  <c r="M584" i="7"/>
  <c r="N323" i="15" s="1"/>
  <c r="D537" i="7"/>
  <c r="V497" i="7"/>
  <c r="BD138" i="7"/>
  <c r="K119" i="7"/>
  <c r="N278" i="15" s="1"/>
  <c r="V278" i="15" s="1"/>
  <c r="BD119" i="7"/>
  <c r="J1160" i="6"/>
  <c r="K798" i="6" s="1"/>
  <c r="AA149" i="15" s="1"/>
  <c r="J1076" i="6"/>
  <c r="F798" i="6"/>
  <c r="V1140" i="6"/>
  <c r="V1273" i="6"/>
  <c r="V496" i="7"/>
  <c r="D536" i="7"/>
  <c r="BE1412" i="6"/>
  <c r="BB1412" i="6" s="1"/>
  <c r="Z177" i="15" s="1"/>
  <c r="K1416" i="6"/>
  <c r="BE1628" i="6"/>
  <c r="BB1628" i="6" s="1"/>
  <c r="Z247" i="15" s="1"/>
  <c r="K1630" i="6"/>
  <c r="X3112" i="6"/>
  <c r="X3116" i="6"/>
  <c r="X3108" i="6"/>
  <c r="X3078" i="6"/>
  <c r="Y1160" i="6"/>
  <c r="Y1076" i="6"/>
  <c r="Y1077" i="6" s="1"/>
  <c r="BE796" i="6"/>
  <c r="K797" i="6"/>
  <c r="K700" i="6"/>
  <c r="L112" i="6"/>
  <c r="G12" i="3"/>
  <c r="N14" i="15" s="1"/>
  <c r="V14" i="15" s="1"/>
  <c r="M189" i="9"/>
  <c r="O441" i="15" s="1"/>
  <c r="V441" i="15" s="1"/>
  <c r="W290" i="9"/>
  <c r="F290" i="9"/>
  <c r="BE230" i="9"/>
  <c r="BB230" i="9" s="1"/>
  <c r="Z448" i="15" s="1"/>
  <c r="P231" i="9"/>
  <c r="BD748" i="7"/>
  <c r="BD13" i="7"/>
  <c r="K3052" i="6"/>
  <c r="K1484" i="6" s="1"/>
  <c r="AA204" i="15" s="1"/>
  <c r="K3152" i="6"/>
  <c r="K1636" i="6" s="1"/>
  <c r="AA251" i="15" s="1"/>
  <c r="X3124" i="6"/>
  <c r="K3050" i="6"/>
  <c r="K1482" i="6" s="1"/>
  <c r="K3124" i="6"/>
  <c r="K1588" i="6" s="1"/>
  <c r="X3052" i="6"/>
  <c r="X3152" i="6"/>
  <c r="X3050" i="6"/>
  <c r="R1672" i="6"/>
  <c r="Q1671" i="6"/>
  <c r="BE1632" i="6"/>
  <c r="BB1632" i="6" s="1"/>
  <c r="Z249" i="15" s="1"/>
  <c r="K1634" i="6"/>
  <c r="BD121" i="6"/>
  <c r="I163" i="2"/>
  <c r="N530" i="15" s="1"/>
  <c r="V530" i="15" s="1"/>
  <c r="U530" i="15" s="1"/>
  <c r="T530" i="15" s="1"/>
  <c r="DD163" i="2"/>
  <c r="I38" i="6"/>
  <c r="I11" i="6"/>
  <c r="V230" i="9"/>
  <c r="BD229" i="9"/>
  <c r="AD447" i="15" s="1"/>
  <c r="AB447" i="15" s="1"/>
  <c r="F40" i="9"/>
  <c r="H429" i="15" s="1"/>
  <c r="AM429" i="15" s="1"/>
  <c r="BD749" i="7"/>
  <c r="V232" i="9"/>
  <c r="BD231" i="9"/>
  <c r="AD449" i="15" s="1"/>
  <c r="AB449" i="15" s="1"/>
  <c r="V227" i="9"/>
  <c r="BD226" i="9"/>
  <c r="M229" i="9"/>
  <c r="N447" i="15" s="1"/>
  <c r="V447" i="15" s="1"/>
  <c r="K43" i="9"/>
  <c r="N432" i="15" s="1"/>
  <c r="V432" i="15" s="1"/>
  <c r="W288" i="9"/>
  <c r="F288" i="9"/>
  <c r="P229" i="9"/>
  <c r="BE228" i="9"/>
  <c r="BB228" i="9" s="1"/>
  <c r="Z446" i="15" s="1"/>
  <c r="V523" i="9"/>
  <c r="V217" i="9"/>
  <c r="BD751" i="7"/>
  <c r="BD15" i="7"/>
  <c r="I15" i="7"/>
  <c r="P263" i="15" s="1"/>
  <c r="N263" i="15" s="1"/>
  <c r="AN263" i="15" s="1"/>
  <c r="BD14" i="7"/>
  <c r="M3120" i="6"/>
  <c r="L3120" i="6" s="1"/>
  <c r="K3120" i="6" s="1"/>
  <c r="K1584" i="6" s="1"/>
  <c r="M3088" i="6"/>
  <c r="L3088" i="6" s="1"/>
  <c r="K3088" i="6" s="1"/>
  <c r="K1528" i="6" s="1"/>
  <c r="AA219" i="15" s="1"/>
  <c r="M3066" i="6"/>
  <c r="L3066" i="6" s="1"/>
  <c r="K3066" i="6" s="1"/>
  <c r="K1506" i="6" s="1"/>
  <c r="L2996" i="6"/>
  <c r="M3142" i="6"/>
  <c r="L3142" i="6" s="1"/>
  <c r="M3130" i="6"/>
  <c r="L3130" i="6" s="1"/>
  <c r="K3130" i="6" s="1"/>
  <c r="K1598" i="6" s="1"/>
  <c r="AA237" i="15" s="1"/>
  <c r="M3116" i="6"/>
  <c r="L3116" i="6" s="1"/>
  <c r="K3116" i="6" s="1"/>
  <c r="K1576" i="6" s="1"/>
  <c r="AA231" i="15" s="1"/>
  <c r="M3100" i="6"/>
  <c r="L3100" i="6" s="1"/>
  <c r="K3100" i="6" s="1"/>
  <c r="K1548" i="6" s="1"/>
  <c r="AA224" i="15" s="1"/>
  <c r="M3084" i="6"/>
  <c r="L3084" i="6" s="1"/>
  <c r="K3084" i="6" s="1"/>
  <c r="K1524" i="6" s="1"/>
  <c r="K1470" i="6"/>
  <c r="BE1468" i="6"/>
  <c r="BB1468" i="6" s="1"/>
  <c r="Z197" i="15" s="1"/>
  <c r="X3104" i="6"/>
  <c r="X3096" i="6"/>
  <c r="X3100" i="6"/>
  <c r="X3072" i="6"/>
  <c r="L2986" i="6"/>
  <c r="K2986" i="6" s="1"/>
  <c r="K1388" i="6" s="1"/>
  <c r="BE1474" i="6"/>
  <c r="BB1474" i="6" s="1"/>
  <c r="Z200" i="15" s="1"/>
  <c r="K1476" i="6"/>
  <c r="BB1444" i="6"/>
  <c r="Z187" i="15" s="1"/>
  <c r="K709" i="6"/>
  <c r="L121" i="6"/>
  <c r="BD112" i="6"/>
  <c r="BB112" i="6" s="1"/>
  <c r="BB589" i="7" l="1"/>
  <c r="Z326" i="15" s="1"/>
  <c r="AN312" i="15"/>
  <c r="AN18" i="15"/>
  <c r="AN348" i="15"/>
  <c r="AN347" i="15"/>
  <c r="AN324" i="15"/>
  <c r="AN370" i="15"/>
  <c r="AN321" i="15"/>
  <c r="AN346" i="15"/>
  <c r="AN325" i="15"/>
  <c r="H246" i="15"/>
  <c r="N103" i="15"/>
  <c r="AN103" i="15" s="1"/>
  <c r="U363" i="15"/>
  <c r="AN454" i="15"/>
  <c r="AN425" i="15"/>
  <c r="DB253" i="2"/>
  <c r="Z539" i="15" s="1"/>
  <c r="AD539" i="15"/>
  <c r="AB539" i="15" s="1"/>
  <c r="AN526" i="15"/>
  <c r="AN582" i="15"/>
  <c r="AN539" i="15"/>
  <c r="AN541" i="15"/>
  <c r="AN527" i="15"/>
  <c r="AN590" i="15"/>
  <c r="DB162" i="2"/>
  <c r="Z529" i="15" s="1"/>
  <c r="AD529" i="15"/>
  <c r="AB529" i="15" s="1"/>
  <c r="DB717" i="2"/>
  <c r="Z601" i="15" s="1"/>
  <c r="AD601" i="15"/>
  <c r="AB601" i="15" s="1"/>
  <c r="DB255" i="2"/>
  <c r="Z541" i="15" s="1"/>
  <c r="AD541" i="15"/>
  <c r="AB541" i="15" s="1"/>
  <c r="DB159" i="2"/>
  <c r="Z526" i="15" s="1"/>
  <c r="AD526" i="15"/>
  <c r="AB526" i="15" s="1"/>
  <c r="AN583" i="15"/>
  <c r="DD3" i="2"/>
  <c r="AN600" i="15"/>
  <c r="AN536" i="15"/>
  <c r="DB163" i="2"/>
  <c r="Z530" i="15" s="1"/>
  <c r="AD530" i="15"/>
  <c r="AB530" i="15" s="1"/>
  <c r="DB598" i="2"/>
  <c r="Z590" i="15" s="1"/>
  <c r="AD590" i="15"/>
  <c r="AB590" i="15" s="1"/>
  <c r="DB508" i="2"/>
  <c r="Z583" i="15" s="1"/>
  <c r="AD583" i="15"/>
  <c r="AB583" i="15" s="1"/>
  <c r="AN530" i="15"/>
  <c r="DB232" i="2"/>
  <c r="Z536" i="15" s="1"/>
  <c r="AD536" i="15"/>
  <c r="AB536" i="15" s="1"/>
  <c r="BB161" i="9"/>
  <c r="Z440" i="15" s="1"/>
  <c r="AD440" i="15"/>
  <c r="AB440" i="15" s="1"/>
  <c r="BB11" i="9"/>
  <c r="Z425" i="15" s="1"/>
  <c r="AD425" i="15"/>
  <c r="AB425" i="15" s="1"/>
  <c r="BB227" i="9"/>
  <c r="Z445" i="15" s="1"/>
  <c r="AD445" i="15"/>
  <c r="AB445" i="15" s="1"/>
  <c r="BB499" i="9"/>
  <c r="Z474" i="15" s="1"/>
  <c r="AD474" i="15"/>
  <c r="AB474" i="15" s="1"/>
  <c r="BB43" i="9"/>
  <c r="Z432" i="15" s="1"/>
  <c r="AD432" i="15"/>
  <c r="AB432" i="15" s="1"/>
  <c r="AN444" i="15"/>
  <c r="AN442" i="15"/>
  <c r="AN440" i="15"/>
  <c r="AN473" i="15"/>
  <c r="BB41" i="9"/>
  <c r="Z430" i="15" s="1"/>
  <c r="AD430" i="15"/>
  <c r="AB430" i="15" s="1"/>
  <c r="K48" i="9"/>
  <c r="N437" i="15" s="1"/>
  <c r="V437" i="15" s="1"/>
  <c r="H437" i="15"/>
  <c r="AM437" i="15" s="1"/>
  <c r="BB47" i="9"/>
  <c r="Z436" i="15" s="1"/>
  <c r="AD436" i="15"/>
  <c r="AB436" i="15" s="1"/>
  <c r="BB225" i="9"/>
  <c r="Z443" i="15" s="1"/>
  <c r="AD443" i="15"/>
  <c r="AB443" i="15" s="1"/>
  <c r="AN445" i="15"/>
  <c r="AN436" i="15"/>
  <c r="AN449" i="15"/>
  <c r="AN441" i="15"/>
  <c r="AN447" i="15"/>
  <c r="BB226" i="9"/>
  <c r="Z444" i="15" s="1"/>
  <c r="AD444" i="15"/>
  <c r="AB444" i="15" s="1"/>
  <c r="BB44" i="9"/>
  <c r="Z433" i="15" s="1"/>
  <c r="AD433" i="15"/>
  <c r="AB433" i="15" s="1"/>
  <c r="BB46" i="9"/>
  <c r="Z435" i="15" s="1"/>
  <c r="AD435" i="15"/>
  <c r="AB435" i="15" s="1"/>
  <c r="BB234" i="9"/>
  <c r="Z452" i="15" s="1"/>
  <c r="AD452" i="15"/>
  <c r="AB452" i="15" s="1"/>
  <c r="AN453" i="15"/>
  <c r="AN433" i="15"/>
  <c r="AN435" i="15"/>
  <c r="AN452" i="15"/>
  <c r="BB49" i="9"/>
  <c r="Z438" i="15" s="1"/>
  <c r="AD438" i="15"/>
  <c r="AB438" i="15" s="1"/>
  <c r="BD45" i="9"/>
  <c r="H434" i="15"/>
  <c r="AM434" i="15" s="1"/>
  <c r="BB235" i="9"/>
  <c r="Z453" i="15" s="1"/>
  <c r="AD453" i="15"/>
  <c r="AB453" i="15" s="1"/>
  <c r="AN432" i="15"/>
  <c r="AN430" i="15"/>
  <c r="AN438" i="15"/>
  <c r="BE162" i="6"/>
  <c r="BB162" i="6" s="1"/>
  <c r="Z124" i="15" s="1"/>
  <c r="AA124" i="15"/>
  <c r="BE155" i="6"/>
  <c r="BB155" i="6" s="1"/>
  <c r="Z120" i="15" s="1"/>
  <c r="AA120" i="15"/>
  <c r="BE163" i="6"/>
  <c r="BB163" i="6" s="1"/>
  <c r="Z125" i="15" s="1"/>
  <c r="AA125" i="15"/>
  <c r="BE160" i="6"/>
  <c r="BB160" i="6" s="1"/>
  <c r="Z123" i="15" s="1"/>
  <c r="AA123" i="15"/>
  <c r="BE157" i="6"/>
  <c r="BB157" i="6" s="1"/>
  <c r="Z121" i="15" s="1"/>
  <c r="AA121" i="15"/>
  <c r="I208" i="15"/>
  <c r="H192" i="15"/>
  <c r="AN268" i="15"/>
  <c r="AN343" i="15"/>
  <c r="AC225" i="15"/>
  <c r="H220" i="15"/>
  <c r="N170" i="15"/>
  <c r="AN326" i="15"/>
  <c r="N175" i="15"/>
  <c r="V175" i="15" s="1"/>
  <c r="I230" i="15"/>
  <c r="AN368" i="15"/>
  <c r="AN349" i="15"/>
  <c r="H190" i="15"/>
  <c r="I190" i="15"/>
  <c r="H205" i="15"/>
  <c r="AB254" i="15"/>
  <c r="AC222" i="15"/>
  <c r="AN344" i="15"/>
  <c r="AN9" i="15"/>
  <c r="AN285" i="15"/>
  <c r="N229" i="15"/>
  <c r="AN229" i="15" s="1"/>
  <c r="AN261" i="15"/>
  <c r="AN289" i="15"/>
  <c r="AN284" i="15"/>
  <c r="H184" i="15"/>
  <c r="I184" i="15"/>
  <c r="H201" i="15"/>
  <c r="AN469" i="15"/>
  <c r="AN467" i="15"/>
  <c r="AN72" i="15"/>
  <c r="AN265" i="15"/>
  <c r="AN262" i="15"/>
  <c r="H198" i="15"/>
  <c r="AC236" i="15"/>
  <c r="H230" i="15"/>
  <c r="AC208" i="15"/>
  <c r="AC180" i="15"/>
  <c r="H236" i="15"/>
  <c r="AC232" i="15"/>
  <c r="BB1392" i="6"/>
  <c r="Z170" i="15" s="1"/>
  <c r="AN168" i="15"/>
  <c r="BB1396" i="6"/>
  <c r="Z171" i="15" s="1"/>
  <c r="AB244" i="15"/>
  <c r="I238" i="15"/>
  <c r="H180" i="15"/>
  <c r="O232" i="15"/>
  <c r="V232" i="15" s="1"/>
  <c r="O231" i="15"/>
  <c r="V231" i="15" s="1"/>
  <c r="AB222" i="15"/>
  <c r="M9" i="6"/>
  <c r="N84" i="15" s="1"/>
  <c r="V84" i="15" s="1"/>
  <c r="N198" i="15"/>
  <c r="V198" i="15" s="1"/>
  <c r="I232" i="15"/>
  <c r="H252" i="15"/>
  <c r="I180" i="15"/>
  <c r="I227" i="15"/>
  <c r="I236" i="15"/>
  <c r="N197" i="15"/>
  <c r="V197" i="15" s="1"/>
  <c r="O226" i="15"/>
  <c r="V226" i="15" s="1"/>
  <c r="N231" i="15"/>
  <c r="AN231" i="15" s="1"/>
  <c r="BB128" i="6"/>
  <c r="Z102" i="15" s="1"/>
  <c r="H242" i="15"/>
  <c r="H225" i="15"/>
  <c r="I225" i="15"/>
  <c r="K1452" i="6"/>
  <c r="BE1452" i="6" s="1"/>
  <c r="BB1452" i="6" s="1"/>
  <c r="Z190" i="15" s="1"/>
  <c r="J759" i="6"/>
  <c r="K171" i="6" s="1"/>
  <c r="J754" i="6"/>
  <c r="K166" i="6" s="1"/>
  <c r="J760" i="6"/>
  <c r="K172" i="6" s="1"/>
  <c r="J752" i="6"/>
  <c r="K164" i="6" s="1"/>
  <c r="J755" i="6"/>
  <c r="K167" i="6" s="1"/>
  <c r="J757" i="6"/>
  <c r="K169" i="6" s="1"/>
  <c r="Q200" i="6"/>
  <c r="R201" i="6"/>
  <c r="BB110" i="6"/>
  <c r="Z90" i="15" s="1"/>
  <c r="AA108" i="15"/>
  <c r="H83" i="15"/>
  <c r="AM83" i="15" s="1"/>
  <c r="AN83" i="15" s="1"/>
  <c r="BD8" i="6"/>
  <c r="AA102" i="15"/>
  <c r="J11" i="6"/>
  <c r="F11" i="6" s="1"/>
  <c r="BB1430" i="6"/>
  <c r="Z182" i="15" s="1"/>
  <c r="K1540" i="6"/>
  <c r="BE1540" i="6" s="1"/>
  <c r="BB1540" i="6" s="1"/>
  <c r="Z222" i="15" s="1"/>
  <c r="BE1448" i="6"/>
  <c r="BB1448" i="6" s="1"/>
  <c r="Z189" i="15" s="1"/>
  <c r="BE1536" i="6"/>
  <c r="BB1536" i="6" s="1"/>
  <c r="Z221" i="15" s="1"/>
  <c r="BB1408" i="6"/>
  <c r="Z175" i="15" s="1"/>
  <c r="I84" i="15"/>
  <c r="M10" i="6"/>
  <c r="O84" i="15" s="1"/>
  <c r="AB250" i="15"/>
  <c r="AN171" i="15"/>
  <c r="BB1400" i="6"/>
  <c r="Z173" i="15" s="1"/>
  <c r="BB119" i="6"/>
  <c r="Z96" i="15" s="1"/>
  <c r="N232" i="15"/>
  <c r="AN232" i="15" s="1"/>
  <c r="AO232" i="15" s="1"/>
  <c r="AN140" i="15"/>
  <c r="AN164" i="15"/>
  <c r="N230" i="15"/>
  <c r="AN230" i="15" s="1"/>
  <c r="AO230" i="15" s="1"/>
  <c r="AN203" i="15"/>
  <c r="H84" i="15"/>
  <c r="AM84" i="15" s="1"/>
  <c r="AB236" i="15"/>
  <c r="AB198" i="15"/>
  <c r="O183" i="15"/>
  <c r="V183" i="15" s="1"/>
  <c r="O221" i="15"/>
  <c r="V221" i="15" s="1"/>
  <c r="AN163" i="15"/>
  <c r="AC230" i="15"/>
  <c r="BB1410" i="6"/>
  <c r="Z176" i="15" s="1"/>
  <c r="AN196" i="15"/>
  <c r="O229" i="15"/>
  <c r="V229" i="15" s="1"/>
  <c r="BB9" i="6"/>
  <c r="Z84" i="15" s="1"/>
  <c r="AB220" i="15"/>
  <c r="AN199" i="15"/>
  <c r="BE580" i="7"/>
  <c r="BB580" i="7" s="1"/>
  <c r="Z320" i="15" s="1"/>
  <c r="AA320" i="15"/>
  <c r="AN314" i="15"/>
  <c r="BE583" i="7"/>
  <c r="BB583" i="7" s="1"/>
  <c r="Z322" i="15" s="1"/>
  <c r="AA322" i="15"/>
  <c r="AD377" i="15"/>
  <c r="AB377" i="15" s="1"/>
  <c r="AD367" i="15"/>
  <c r="AB367" i="15" s="1"/>
  <c r="BB1032" i="7"/>
  <c r="Z367" i="15" s="1"/>
  <c r="AN297" i="15"/>
  <c r="AD385" i="15"/>
  <c r="AB385" i="15" s="1"/>
  <c r="BB1050" i="7"/>
  <c r="Z385" i="15" s="1"/>
  <c r="AD373" i="15"/>
  <c r="AB373" i="15" s="1"/>
  <c r="BB1038" i="7"/>
  <c r="Z373" i="15" s="1"/>
  <c r="AN274" i="15"/>
  <c r="AN281" i="15"/>
  <c r="AN291" i="15"/>
  <c r="AN296" i="15"/>
  <c r="BB14" i="7"/>
  <c r="Z262" i="15" s="1"/>
  <c r="AD262" i="15"/>
  <c r="AB262" i="15" s="1"/>
  <c r="BB13" i="7"/>
  <c r="Z261" i="15" s="1"/>
  <c r="AD261" i="15"/>
  <c r="AB261" i="15" s="1"/>
  <c r="BB138" i="7"/>
  <c r="Z297" i="15" s="1"/>
  <c r="AD297" i="15"/>
  <c r="AB297" i="15" s="1"/>
  <c r="BB839" i="7"/>
  <c r="Z359" i="15" s="1"/>
  <c r="AE359" i="15"/>
  <c r="AB359" i="15" s="1"/>
  <c r="V375" i="15"/>
  <c r="AN375" i="15"/>
  <c r="V383" i="15"/>
  <c r="AN383" i="15"/>
  <c r="BB123" i="7"/>
  <c r="Z282" i="15" s="1"/>
  <c r="AD282" i="15"/>
  <c r="AB282" i="15" s="1"/>
  <c r="BB906" i="7"/>
  <c r="Z362" i="15" s="1"/>
  <c r="AD362" i="15"/>
  <c r="AB362" i="15" s="1"/>
  <c r="BB503" i="7"/>
  <c r="Z314" i="15" s="1"/>
  <c r="AD314" i="15"/>
  <c r="AB314" i="15" s="1"/>
  <c r="BB544" i="7"/>
  <c r="Z317" i="15" s="1"/>
  <c r="AD317" i="15"/>
  <c r="AB317" i="15" s="1"/>
  <c r="BB129" i="7"/>
  <c r="Z288" i="15" s="1"/>
  <c r="AD288" i="15"/>
  <c r="AB288" i="15" s="1"/>
  <c r="BB135" i="7"/>
  <c r="Z294" i="15" s="1"/>
  <c r="AD294" i="15"/>
  <c r="AB294" i="15" s="1"/>
  <c r="V319" i="15"/>
  <c r="AN319" i="15"/>
  <c r="V311" i="15"/>
  <c r="AN311" i="15"/>
  <c r="BB140" i="7"/>
  <c r="Z299" i="15" s="1"/>
  <c r="AD299" i="15"/>
  <c r="AB299" i="15" s="1"/>
  <c r="AN286" i="15"/>
  <c r="U359" i="15"/>
  <c r="AN359" i="15"/>
  <c r="AN267" i="15"/>
  <c r="AN271" i="15"/>
  <c r="BB55" i="7"/>
  <c r="Z270" i="15" s="1"/>
  <c r="AD270" i="15"/>
  <c r="AB270" i="15" s="1"/>
  <c r="AN287" i="15"/>
  <c r="AN290" i="15"/>
  <c r="AN273" i="15"/>
  <c r="BB749" i="7"/>
  <c r="Z344" i="15" s="1"/>
  <c r="AD344" i="15"/>
  <c r="AB344" i="15" s="1"/>
  <c r="BB750" i="7"/>
  <c r="Z345" i="15" s="1"/>
  <c r="AD345" i="15"/>
  <c r="AB345" i="15" s="1"/>
  <c r="BB126" i="7"/>
  <c r="Z285" i="15" s="1"/>
  <c r="AD285" i="15"/>
  <c r="AB285" i="15" s="1"/>
  <c r="V369" i="15"/>
  <c r="AN369" i="15"/>
  <c r="V320" i="15"/>
  <c r="AN320" i="15"/>
  <c r="BB132" i="7"/>
  <c r="Z291" i="15" s="1"/>
  <c r="AD291" i="15"/>
  <c r="AB291" i="15" s="1"/>
  <c r="BB841" i="7"/>
  <c r="Z360" i="15" s="1"/>
  <c r="AE360" i="15"/>
  <c r="AB360" i="15" s="1"/>
  <c r="BB130" i="7"/>
  <c r="Z289" i="15" s="1"/>
  <c r="AD289" i="15"/>
  <c r="AB289" i="15" s="1"/>
  <c r="BB791" i="7"/>
  <c r="Z347" i="15" s="1"/>
  <c r="AD347" i="15"/>
  <c r="AB347" i="15" s="1"/>
  <c r="BB125" i="7"/>
  <c r="Z284" i="15" s="1"/>
  <c r="AD284" i="15"/>
  <c r="AB284" i="15" s="1"/>
  <c r="BB118" i="7"/>
  <c r="Z277" i="15" s="1"/>
  <c r="AD277" i="15"/>
  <c r="AB277" i="15" s="1"/>
  <c r="BB792" i="7"/>
  <c r="Z348" i="15" s="1"/>
  <c r="AD348" i="15"/>
  <c r="AB348" i="15" s="1"/>
  <c r="BB121" i="7"/>
  <c r="Z280" i="15" s="1"/>
  <c r="AD280" i="15"/>
  <c r="AB280" i="15" s="1"/>
  <c r="U351" i="15"/>
  <c r="AN351" i="15"/>
  <c r="BB52" i="7"/>
  <c r="Z267" i="15" s="1"/>
  <c r="AD267" i="15"/>
  <c r="AB267" i="15" s="1"/>
  <c r="AN294" i="15"/>
  <c r="AN304" i="15"/>
  <c r="AN269" i="15"/>
  <c r="AN288" i="15"/>
  <c r="BB128" i="7"/>
  <c r="Z287" i="15" s="1"/>
  <c r="AD287" i="15"/>
  <c r="AB287" i="15" s="1"/>
  <c r="BB15" i="7"/>
  <c r="Z263" i="15" s="1"/>
  <c r="AD263" i="15"/>
  <c r="AB263" i="15" s="1"/>
  <c r="BB119" i="7"/>
  <c r="Z278" i="15" s="1"/>
  <c r="AD278" i="15"/>
  <c r="AB278" i="15" s="1"/>
  <c r="BB581" i="7"/>
  <c r="Z321" i="15" s="1"/>
  <c r="AD321" i="15"/>
  <c r="AB321" i="15" s="1"/>
  <c r="BB56" i="7"/>
  <c r="Z271" i="15" s="1"/>
  <c r="AD271" i="15"/>
  <c r="AB271" i="15" s="1"/>
  <c r="V315" i="15"/>
  <c r="AN315" i="15"/>
  <c r="BB131" i="7"/>
  <c r="Z290" i="15" s="1"/>
  <c r="AD290" i="15"/>
  <c r="AB290" i="15" s="1"/>
  <c r="V322" i="15"/>
  <c r="AN322" i="15"/>
  <c r="BB907" i="7"/>
  <c r="Z363" i="15" s="1"/>
  <c r="AD363" i="15"/>
  <c r="AB363" i="15" s="1"/>
  <c r="BB145" i="7"/>
  <c r="Z304" i="15" s="1"/>
  <c r="AD304" i="15"/>
  <c r="AB304" i="15" s="1"/>
  <c r="BB476" i="7"/>
  <c r="Z312" i="15" s="1"/>
  <c r="AD312" i="15"/>
  <c r="AB312" i="15" s="1"/>
  <c r="BB134" i="7"/>
  <c r="Z293" i="15" s="1"/>
  <c r="AD293" i="15"/>
  <c r="AB293" i="15" s="1"/>
  <c r="BB57" i="7"/>
  <c r="Z272" i="15" s="1"/>
  <c r="AD272" i="15"/>
  <c r="AB272" i="15" s="1"/>
  <c r="BB143" i="7"/>
  <c r="Z302" i="15" s="1"/>
  <c r="AD302" i="15"/>
  <c r="AB302" i="15" s="1"/>
  <c r="BB141" i="7"/>
  <c r="Z300" i="15" s="1"/>
  <c r="AD300" i="15"/>
  <c r="AB300" i="15" s="1"/>
  <c r="AN298" i="15"/>
  <c r="U360" i="15"/>
  <c r="AN360" i="15"/>
  <c r="BB748" i="7"/>
  <c r="Z343" i="15" s="1"/>
  <c r="AD343" i="15"/>
  <c r="AB343" i="15" s="1"/>
  <c r="BB54" i="7"/>
  <c r="Z269" i="15" s="1"/>
  <c r="AD269" i="15"/>
  <c r="AB269" i="15" s="1"/>
  <c r="BB751" i="7"/>
  <c r="Z346" i="15" s="1"/>
  <c r="AD346" i="15"/>
  <c r="AB346" i="15" s="1"/>
  <c r="BE229" i="9"/>
  <c r="AA447" i="15"/>
  <c r="BE231" i="9"/>
  <c r="AA449" i="15"/>
  <c r="V323" i="15"/>
  <c r="AN323" i="15"/>
  <c r="BE233" i="9"/>
  <c r="BB233" i="9" s="1"/>
  <c r="Z451" i="15" s="1"/>
  <c r="AA451" i="15"/>
  <c r="V381" i="15"/>
  <c r="AN381" i="15"/>
  <c r="BB127" i="7"/>
  <c r="Z286" i="15" s="1"/>
  <c r="AD286" i="15"/>
  <c r="AB286" i="15" s="1"/>
  <c r="V377" i="15"/>
  <c r="AN377" i="15"/>
  <c r="BB504" i="7"/>
  <c r="Z315" i="15" s="1"/>
  <c r="AD315" i="15"/>
  <c r="AB315" i="15" s="1"/>
  <c r="BB122" i="7"/>
  <c r="Z281" i="15" s="1"/>
  <c r="AD281" i="15"/>
  <c r="AB281" i="15" s="1"/>
  <c r="V371" i="15"/>
  <c r="AN371" i="15"/>
  <c r="BB586" i="7"/>
  <c r="Z324" i="15" s="1"/>
  <c r="AD324" i="15"/>
  <c r="AB324" i="15" s="1"/>
  <c r="V380" i="15"/>
  <c r="AN380" i="15"/>
  <c r="AN299" i="15"/>
  <c r="U350" i="15"/>
  <c r="AN350" i="15"/>
  <c r="AN278" i="15"/>
  <c r="AN282" i="15"/>
  <c r="AN293" i="15"/>
  <c r="AN277" i="15"/>
  <c r="BB139" i="7"/>
  <c r="Z298" i="15" s="1"/>
  <c r="AD298" i="15"/>
  <c r="AB298" i="15" s="1"/>
  <c r="U353" i="15"/>
  <c r="AN353" i="15"/>
  <c r="U355" i="15"/>
  <c r="AN355" i="15"/>
  <c r="AN306" i="15"/>
  <c r="BB439" i="7"/>
  <c r="Z307" i="15" s="1"/>
  <c r="AD307" i="15"/>
  <c r="AB307" i="15" s="1"/>
  <c r="AN307" i="15"/>
  <c r="AN305" i="15"/>
  <c r="BB438" i="7"/>
  <c r="Z306" i="15" s="1"/>
  <c r="AD306" i="15"/>
  <c r="AB306" i="15" s="1"/>
  <c r="BB437" i="7"/>
  <c r="Z305" i="15" s="1"/>
  <c r="AD305" i="15"/>
  <c r="AB305" i="15" s="1"/>
  <c r="AN210" i="15"/>
  <c r="K1560" i="6"/>
  <c r="BE1560" i="6" s="1"/>
  <c r="BB1560" i="6" s="1"/>
  <c r="Z227" i="15" s="1"/>
  <c r="O177" i="15"/>
  <c r="V177" i="15" s="1"/>
  <c r="N251" i="15"/>
  <c r="V251" i="15" s="1"/>
  <c r="O184" i="15"/>
  <c r="V184" i="15" s="1"/>
  <c r="O236" i="15"/>
  <c r="V236" i="15" s="1"/>
  <c r="BE1556" i="6"/>
  <c r="BB1556" i="6" s="1"/>
  <c r="Z226" i="15" s="1"/>
  <c r="AN213" i="15"/>
  <c r="O238" i="15"/>
  <c r="V238" i="15" s="1"/>
  <c r="N187" i="15"/>
  <c r="V187" i="15" s="1"/>
  <c r="O222" i="15"/>
  <c r="V222" i="15" s="1"/>
  <c r="AN160" i="15"/>
  <c r="AN170" i="15"/>
  <c r="N186" i="15"/>
  <c r="V186" i="15" s="1"/>
  <c r="N188" i="15"/>
  <c r="V188" i="15" s="1"/>
  <c r="O235" i="15"/>
  <c r="V235" i="15" s="1"/>
  <c r="AN393" i="15"/>
  <c r="AN60" i="15"/>
  <c r="AB230" i="15"/>
  <c r="N201" i="15"/>
  <c r="V201" i="15" s="1"/>
  <c r="BB7" i="6"/>
  <c r="Z82" i="15" s="1"/>
  <c r="AD82" i="15"/>
  <c r="AB82" i="15" s="1"/>
  <c r="BB137" i="6"/>
  <c r="Z108" i="15" s="1"/>
  <c r="AF108" i="15"/>
  <c r="AC108" i="15" s="1"/>
  <c r="AC190" i="15"/>
  <c r="Z91" i="15"/>
  <c r="AD91" i="15"/>
  <c r="AB91" i="15" s="1"/>
  <c r="BB792" i="6"/>
  <c r="Z145" i="15" s="1"/>
  <c r="AD145" i="15"/>
  <c r="AB145" i="15" s="1"/>
  <c r="BB1458" i="6"/>
  <c r="Z192" i="15" s="1"/>
  <c r="AE192" i="15"/>
  <c r="AB192" i="15" s="1"/>
  <c r="BB1626" i="6"/>
  <c r="Z246" i="15" s="1"/>
  <c r="AD246" i="15"/>
  <c r="AB246" i="15" s="1"/>
  <c r="O178" i="15"/>
  <c r="V178" i="15" s="1"/>
  <c r="AN162" i="15"/>
  <c r="BB121" i="6"/>
  <c r="Z97" i="15" s="1"/>
  <c r="AD97" i="15"/>
  <c r="AB97" i="15" s="1"/>
  <c r="BB1398" i="6"/>
  <c r="Z172" i="15" s="1"/>
  <c r="AD172" i="15"/>
  <c r="AB172" i="15" s="1"/>
  <c r="BB148" i="5"/>
  <c r="Z72" i="15" s="1"/>
  <c r="AD72" i="15"/>
  <c r="AB72" i="15" s="1"/>
  <c r="AN61" i="15"/>
  <c r="BB7" i="5"/>
  <c r="Z59" i="15" s="1"/>
  <c r="AD59" i="15"/>
  <c r="AB59" i="15" s="1"/>
  <c r="BB437" i="9"/>
  <c r="Z470" i="15" s="1"/>
  <c r="AD470" i="15"/>
  <c r="AB470" i="15" s="1"/>
  <c r="I439" i="9"/>
  <c r="N472" i="15" s="1"/>
  <c r="U472" i="15" s="1"/>
  <c r="H472" i="15"/>
  <c r="AM472" i="15" s="1"/>
  <c r="BB436" i="9"/>
  <c r="Z469" i="15" s="1"/>
  <c r="AD469" i="15"/>
  <c r="AB469" i="15" s="1"/>
  <c r="BB1150" i="7"/>
  <c r="Z393" i="15" s="1"/>
  <c r="AD393" i="15"/>
  <c r="AB393" i="15" s="1"/>
  <c r="BB435" i="9"/>
  <c r="Z468" i="15" s="1"/>
  <c r="AD468" i="15"/>
  <c r="AB468" i="15" s="1"/>
  <c r="BB438" i="9"/>
  <c r="Z471" i="15" s="1"/>
  <c r="AD471" i="15"/>
  <c r="AB471" i="15" s="1"/>
  <c r="AN464" i="15"/>
  <c r="AN471" i="15"/>
  <c r="BB434" i="9"/>
  <c r="Z467" i="15" s="1"/>
  <c r="AD467" i="15"/>
  <c r="AB467" i="15" s="1"/>
  <c r="BB433" i="9"/>
  <c r="Z466" i="15" s="1"/>
  <c r="AD466" i="15"/>
  <c r="AB466" i="15" s="1"/>
  <c r="AN470" i="15"/>
  <c r="BB431" i="9"/>
  <c r="Z464" i="15" s="1"/>
  <c r="AD464" i="15"/>
  <c r="AB464" i="15" s="1"/>
  <c r="AN466" i="15"/>
  <c r="BB12" i="3"/>
  <c r="Z14" i="15" s="1"/>
  <c r="AD14" i="15"/>
  <c r="AB14" i="15" s="1"/>
  <c r="BB22" i="3"/>
  <c r="Z24" i="15" s="1"/>
  <c r="AD24" i="15"/>
  <c r="AB24" i="15" s="1"/>
  <c r="BB14" i="3"/>
  <c r="Z16" i="15" s="1"/>
  <c r="AD16" i="15"/>
  <c r="AB16" i="15" s="1"/>
  <c r="BB21" i="3"/>
  <c r="Z23" i="15" s="1"/>
  <c r="AD23" i="15"/>
  <c r="AB23" i="15" s="1"/>
  <c r="BB17" i="3"/>
  <c r="Z19" i="15" s="1"/>
  <c r="AD19" i="15"/>
  <c r="AB19" i="15" s="1"/>
  <c r="BB24" i="3"/>
  <c r="Z26" i="15" s="1"/>
  <c r="AD26" i="15"/>
  <c r="AB26" i="15" s="1"/>
  <c r="N252" i="15"/>
  <c r="V252" i="15" s="1"/>
  <c r="N185" i="15"/>
  <c r="V185" i="15" s="1"/>
  <c r="N237" i="15"/>
  <c r="AN237" i="15" s="1"/>
  <c r="N178" i="15"/>
  <c r="AN178" i="15" s="1"/>
  <c r="AO178" i="15" s="1"/>
  <c r="AN169" i="15"/>
  <c r="N207" i="15"/>
  <c r="AN207" i="15" s="1"/>
  <c r="O227" i="15"/>
  <c r="V227" i="15" s="1"/>
  <c r="N208" i="15"/>
  <c r="AN208" i="15" s="1"/>
  <c r="AO208" i="15" s="1"/>
  <c r="AN240" i="15"/>
  <c r="N194" i="15"/>
  <c r="V194" i="15" s="1"/>
  <c r="N177" i="15"/>
  <c r="AN177" i="15" s="1"/>
  <c r="O219" i="15"/>
  <c r="V219" i="15" s="1"/>
  <c r="O244" i="15"/>
  <c r="V244" i="15" s="1"/>
  <c r="AN159" i="15"/>
  <c r="AN17" i="15"/>
  <c r="AN15" i="15"/>
  <c r="AN19" i="15"/>
  <c r="AN27" i="15"/>
  <c r="AN14" i="15"/>
  <c r="AN26" i="15"/>
  <c r="AN23" i="15"/>
  <c r="N225" i="15"/>
  <c r="AN225" i="15" s="1"/>
  <c r="AO225" i="15" s="1"/>
  <c r="N181" i="15"/>
  <c r="V181" i="15" s="1"/>
  <c r="N195" i="15"/>
  <c r="V195" i="15" s="1"/>
  <c r="AN198" i="15"/>
  <c r="AO198" i="15" s="1"/>
  <c r="N254" i="15"/>
  <c r="V254" i="15" s="1"/>
  <c r="N244" i="15"/>
  <c r="AN244" i="15" s="1"/>
  <c r="AO244" i="15" s="1"/>
  <c r="N246" i="15"/>
  <c r="V246" i="15" s="1"/>
  <c r="AN165" i="15"/>
  <c r="N182" i="15"/>
  <c r="V182" i="15" s="1"/>
  <c r="N236" i="15"/>
  <c r="AN236" i="15" s="1"/>
  <c r="AO236" i="15" s="1"/>
  <c r="BE797" i="6"/>
  <c r="AA148" i="15"/>
  <c r="O220" i="15"/>
  <c r="V220" i="15" s="1"/>
  <c r="O230" i="15"/>
  <c r="V230" i="15" s="1"/>
  <c r="AN193" i="15"/>
  <c r="N224" i="15"/>
  <c r="AN224" i="15" s="1"/>
  <c r="AN141" i="15"/>
  <c r="I798" i="6"/>
  <c r="P149" i="15" s="1"/>
  <c r="J149" i="15"/>
  <c r="BB796" i="6"/>
  <c r="Z147" i="15" s="1"/>
  <c r="O237" i="15"/>
  <c r="V237" i="15" s="1"/>
  <c r="N220" i="15"/>
  <c r="AN220" i="15" s="1"/>
  <c r="AO220" i="15" s="1"/>
  <c r="O243" i="15"/>
  <c r="V243" i="15" s="1"/>
  <c r="N253" i="15"/>
  <c r="AN82" i="15"/>
  <c r="V97" i="15"/>
  <c r="N97" i="15"/>
  <c r="AN97" i="15" s="1"/>
  <c r="AN108" i="15"/>
  <c r="AN143" i="15"/>
  <c r="AN147" i="15"/>
  <c r="AN145" i="15"/>
  <c r="Y154" i="15"/>
  <c r="N91" i="15"/>
  <c r="AN91" i="15" s="1"/>
  <c r="V91" i="15"/>
  <c r="Y158" i="15"/>
  <c r="AN161" i="15"/>
  <c r="BE1476" i="6"/>
  <c r="BB1476" i="6" s="1"/>
  <c r="Z201" i="15" s="1"/>
  <c r="AA201" i="15"/>
  <c r="BE1470" i="6"/>
  <c r="BB1470" i="6" s="1"/>
  <c r="Z198" i="15" s="1"/>
  <c r="AA198" i="15"/>
  <c r="BE1436" i="6"/>
  <c r="BB1436" i="6" s="1"/>
  <c r="Z184" i="15" s="1"/>
  <c r="AA184" i="15"/>
  <c r="BE1512" i="6"/>
  <c r="BB1512" i="6" s="1"/>
  <c r="Z214" i="15" s="1"/>
  <c r="AA214" i="15"/>
  <c r="K1572" i="6"/>
  <c r="AA229" i="15"/>
  <c r="K1594" i="6"/>
  <c r="AA235" i="15"/>
  <c r="N200" i="15"/>
  <c r="N243" i="15"/>
  <c r="AN243" i="15" s="1"/>
  <c r="N235" i="15"/>
  <c r="AN235" i="15" s="1"/>
  <c r="N219" i="15"/>
  <c r="AN219" i="15" s="1"/>
  <c r="N238" i="15"/>
  <c r="AN238" i="15" s="1"/>
  <c r="AO238" i="15" s="1"/>
  <c r="N242" i="15"/>
  <c r="O180" i="15"/>
  <c r="V180" i="15" s="1"/>
  <c r="N250" i="15"/>
  <c r="AN234" i="15"/>
  <c r="N179" i="15"/>
  <c r="AN179" i="15" s="1"/>
  <c r="N191" i="15"/>
  <c r="BE1524" i="6"/>
  <c r="BB1524" i="6" s="1"/>
  <c r="Z218" i="15" s="1"/>
  <c r="AA218" i="15"/>
  <c r="BE1588" i="6"/>
  <c r="BB1588" i="6" s="1"/>
  <c r="Z234" i="15" s="1"/>
  <c r="AA234" i="15"/>
  <c r="BE1544" i="6"/>
  <c r="BB1544" i="6" s="1"/>
  <c r="Z223" i="15" s="1"/>
  <c r="AA223" i="15"/>
  <c r="BE1478" i="6"/>
  <c r="BB1478" i="6" s="1"/>
  <c r="Z202" i="15" s="1"/>
  <c r="AA202" i="15"/>
  <c r="N247" i="15"/>
  <c r="AM173" i="15"/>
  <c r="AN173" i="15" s="1"/>
  <c r="H173" i="15"/>
  <c r="AM172" i="15"/>
  <c r="AN172" i="15" s="1"/>
  <c r="H172" i="15"/>
  <c r="N245" i="15"/>
  <c r="N221" i="15"/>
  <c r="AN221" i="15" s="1"/>
  <c r="N226" i="15"/>
  <c r="AN226" i="15" s="1"/>
  <c r="AN211" i="15"/>
  <c r="N189" i="15"/>
  <c r="AN189" i="15" s="1"/>
  <c r="N180" i="15"/>
  <c r="AN180" i="15" s="1"/>
  <c r="AO180" i="15" s="1"/>
  <c r="N192" i="15"/>
  <c r="V192" i="15" s="1"/>
  <c r="BE1584" i="6"/>
  <c r="BB1584" i="6" s="1"/>
  <c r="Z233" i="15" s="1"/>
  <c r="AA233" i="15"/>
  <c r="BE1416" i="6"/>
  <c r="BB1416" i="6" s="1"/>
  <c r="Z178" i="15" s="1"/>
  <c r="AA178" i="15"/>
  <c r="AA190" i="15"/>
  <c r="BE1634" i="6"/>
  <c r="BB1634" i="6" s="1"/>
  <c r="Z250" i="15" s="1"/>
  <c r="AA250" i="15"/>
  <c r="BE1482" i="6"/>
  <c r="BB1482" i="6" s="1"/>
  <c r="Z203" i="15" s="1"/>
  <c r="AA203" i="15"/>
  <c r="BE1432" i="6"/>
  <c r="BB1432" i="6" s="1"/>
  <c r="Z183" i="15" s="1"/>
  <c r="AA183" i="15"/>
  <c r="BE1404" i="6"/>
  <c r="BB1404" i="6" s="1"/>
  <c r="Z174" i="15" s="1"/>
  <c r="AA174" i="15"/>
  <c r="N248" i="15"/>
  <c r="N204" i="15"/>
  <c r="O224" i="15"/>
  <c r="V224" i="15" s="1"/>
  <c r="N222" i="15"/>
  <c r="AN222" i="15" s="1"/>
  <c r="AO222" i="15" s="1"/>
  <c r="O189" i="15"/>
  <c r="V189" i="15" s="1"/>
  <c r="N227" i="15"/>
  <c r="AN227" i="15" s="1"/>
  <c r="AO227" i="15" s="1"/>
  <c r="AN209" i="15"/>
  <c r="O207" i="15"/>
  <c r="V207" i="15" s="1"/>
  <c r="N190" i="15"/>
  <c r="AN190" i="15" s="1"/>
  <c r="AO190" i="15" s="1"/>
  <c r="N183" i="15"/>
  <c r="AN183" i="15" s="1"/>
  <c r="BE1564" i="6"/>
  <c r="BB1564" i="6" s="1"/>
  <c r="Z228" i="15" s="1"/>
  <c r="AA228" i="15"/>
  <c r="BE1388" i="6"/>
  <c r="BB1388" i="6" s="1"/>
  <c r="Z169" i="15" s="1"/>
  <c r="AA169" i="15"/>
  <c r="BE1506" i="6"/>
  <c r="BB1506" i="6" s="1"/>
  <c r="Z212" i="15" s="1"/>
  <c r="AA212" i="15"/>
  <c r="BE1630" i="6"/>
  <c r="BB1630" i="6" s="1"/>
  <c r="Z248" i="15" s="1"/>
  <c r="AA248" i="15"/>
  <c r="K1424" i="6"/>
  <c r="AA179" i="15"/>
  <c r="BE1518" i="6"/>
  <c r="BB1518" i="6" s="1"/>
  <c r="Z216" i="15" s="1"/>
  <c r="AA216" i="15"/>
  <c r="AN215" i="15"/>
  <c r="N205" i="15"/>
  <c r="V205" i="15" s="1"/>
  <c r="O225" i="15"/>
  <c r="V225" i="15" s="1"/>
  <c r="N241" i="15"/>
  <c r="O179" i="15"/>
  <c r="V179" i="15" s="1"/>
  <c r="O190" i="15"/>
  <c r="V190" i="15" s="1"/>
  <c r="N249" i="15"/>
  <c r="AN217" i="15"/>
  <c r="AM176" i="15"/>
  <c r="AN176" i="15" s="1"/>
  <c r="H176" i="15"/>
  <c r="O208" i="15"/>
  <c r="V208" i="15" s="1"/>
  <c r="N184" i="15"/>
  <c r="AN184" i="15" s="1"/>
  <c r="AO184" i="15" s="1"/>
  <c r="BD439" i="9"/>
  <c r="K3058" i="6"/>
  <c r="K1492" i="6" s="1"/>
  <c r="BE1492" i="6" s="1"/>
  <c r="BB1492" i="6" s="1"/>
  <c r="Z207" i="15" s="1"/>
  <c r="K45" i="9"/>
  <c r="N434" i="15" s="1"/>
  <c r="V434" i="15" s="1"/>
  <c r="BE1420" i="6"/>
  <c r="BB1420" i="6" s="1"/>
  <c r="Z179" i="15" s="1"/>
  <c r="K3142" i="6"/>
  <c r="K1616" i="6" s="1"/>
  <c r="BD48" i="9"/>
  <c r="BE1568" i="6"/>
  <c r="BB1568" i="6" s="1"/>
  <c r="Z229" i="15" s="1"/>
  <c r="L502" i="7"/>
  <c r="N313" i="15" s="1"/>
  <c r="BD502" i="7"/>
  <c r="BB587" i="7"/>
  <c r="Z325" i="15" s="1"/>
  <c r="BB231" i="9"/>
  <c r="Z449" i="15" s="1"/>
  <c r="K3134" i="6"/>
  <c r="K1606" i="6" s="1"/>
  <c r="BE798" i="6"/>
  <c r="K800" i="6"/>
  <c r="K1580" i="6"/>
  <c r="BE1576" i="6"/>
  <c r="BB1576" i="6" s="1"/>
  <c r="Z231" i="15" s="1"/>
  <c r="BD798" i="6"/>
  <c r="AD149" i="15" s="1"/>
  <c r="Y1162" i="6"/>
  <c r="Y1078" i="6"/>
  <c r="Y1079" i="6" s="1"/>
  <c r="Y1080" i="6" s="1"/>
  <c r="Y1081" i="6" s="1"/>
  <c r="Y1082" i="6" s="1"/>
  <c r="Y1083" i="6" s="1"/>
  <c r="Y1084" i="6" s="1"/>
  <c r="Y1085" i="6" s="1"/>
  <c r="Y1086" i="6" s="1"/>
  <c r="Y1087" i="6" s="1"/>
  <c r="Y1088" i="6" s="1"/>
  <c r="Y1089" i="6" s="1"/>
  <c r="Y1090" i="6" s="1"/>
  <c r="Y1091" i="6" s="1"/>
  <c r="Y1092" i="6" s="1"/>
  <c r="Y1093" i="6" s="1"/>
  <c r="Y1094" i="6" s="1"/>
  <c r="Y1095" i="6" s="1"/>
  <c r="Y1096" i="6" s="1"/>
  <c r="Y1097" i="6" s="1"/>
  <c r="Y1098" i="6" s="1"/>
  <c r="Y1099" i="6" s="1"/>
  <c r="Y1100" i="6" s="1"/>
  <c r="Y1101" i="6" s="1"/>
  <c r="Y1102" i="6" s="1"/>
  <c r="Y1103" i="6" s="1"/>
  <c r="Y1104" i="6" s="1"/>
  <c r="Y1105" i="6" s="1"/>
  <c r="D573" i="7"/>
  <c r="V536" i="7"/>
  <c r="I1172" i="7"/>
  <c r="N394" i="15" s="1"/>
  <c r="AN394" i="15" s="1"/>
  <c r="BD1172" i="7"/>
  <c r="AD394" i="15" s="1"/>
  <c r="AB394" i="15" s="1"/>
  <c r="K3054" i="6"/>
  <c r="K1488" i="6" s="1"/>
  <c r="I1175" i="7"/>
  <c r="O395" i="15" s="1"/>
  <c r="U395" i="15" s="1"/>
  <c r="BD1175" i="7"/>
  <c r="AF395" i="15" s="1"/>
  <c r="AC395" i="15" s="1"/>
  <c r="BE1598" i="6"/>
  <c r="BB1598" i="6" s="1"/>
  <c r="Z237" i="15" s="1"/>
  <c r="K1602" i="6"/>
  <c r="K1532" i="6"/>
  <c r="BE1528" i="6"/>
  <c r="BB1528" i="6" s="1"/>
  <c r="Z219" i="15" s="1"/>
  <c r="K40" i="9"/>
  <c r="N429" i="15" s="1"/>
  <c r="V429" i="15" s="1"/>
  <c r="BD40" i="9"/>
  <c r="X3126" i="6"/>
  <c r="X3120" i="6"/>
  <c r="X3046" i="6"/>
  <c r="X3130" i="6"/>
  <c r="BE1636" i="6"/>
  <c r="BB1636" i="6" s="1"/>
  <c r="Z251" i="15" s="1"/>
  <c r="K1638" i="6"/>
  <c r="V537" i="7"/>
  <c r="D574" i="7"/>
  <c r="BD1173" i="7"/>
  <c r="AF394" i="15" s="1"/>
  <c r="AC394" i="15" s="1"/>
  <c r="I1173" i="7"/>
  <c r="O394" i="15" s="1"/>
  <c r="U394" i="15" s="1"/>
  <c r="K1552" i="6"/>
  <c r="BE1548" i="6"/>
  <c r="BB1548" i="6" s="1"/>
  <c r="Z224" i="15" s="1"/>
  <c r="I39" i="6"/>
  <c r="I12" i="6"/>
  <c r="J12" i="6"/>
  <c r="I54" i="6"/>
  <c r="BB229" i="9"/>
  <c r="Z447" i="15" s="1"/>
  <c r="K3154" i="6"/>
  <c r="K1640" i="6" s="1"/>
  <c r="AA253" i="15" s="1"/>
  <c r="K3140" i="6"/>
  <c r="K1612" i="6" s="1"/>
  <c r="AA241" i="15" s="1"/>
  <c r="K3064" i="6"/>
  <c r="X3154" i="6"/>
  <c r="X3140" i="6"/>
  <c r="X3064" i="6"/>
  <c r="X3138" i="6"/>
  <c r="K3062" i="6"/>
  <c r="K1500" i="6" s="1"/>
  <c r="K3138" i="6"/>
  <c r="K1610" i="6" s="1"/>
  <c r="X3062" i="6"/>
  <c r="Q1672" i="6"/>
  <c r="R1673" i="6"/>
  <c r="K1486" i="6"/>
  <c r="BE1484" i="6"/>
  <c r="BB1484" i="6" s="1"/>
  <c r="Z204" i="15" s="1"/>
  <c r="F799" i="6"/>
  <c r="K149" i="15" s="1"/>
  <c r="J1077" i="6"/>
  <c r="I1174" i="7"/>
  <c r="N395" i="15" s="1"/>
  <c r="AN395" i="15" s="1"/>
  <c r="BD1174" i="7"/>
  <c r="AD395" i="15" s="1"/>
  <c r="AB395" i="15" s="1"/>
  <c r="AN437" i="15" l="1"/>
  <c r="AN175" i="15"/>
  <c r="AN434" i="15"/>
  <c r="AN429" i="15"/>
  <c r="BB45" i="9"/>
  <c r="Z434" i="15" s="1"/>
  <c r="AD434" i="15"/>
  <c r="AB434" i="15" s="1"/>
  <c r="BB40" i="9"/>
  <c r="Z429" i="15" s="1"/>
  <c r="AD429" i="15"/>
  <c r="AB429" i="15" s="1"/>
  <c r="BB48" i="9"/>
  <c r="Z437" i="15" s="1"/>
  <c r="AD437" i="15"/>
  <c r="AB437" i="15" s="1"/>
  <c r="BE172" i="6"/>
  <c r="BB172" i="6" s="1"/>
  <c r="Z131" i="15" s="1"/>
  <c r="AA131" i="15"/>
  <c r="BE169" i="6"/>
  <c r="BB169" i="6" s="1"/>
  <c r="Z129" i="15" s="1"/>
  <c r="AA129" i="15"/>
  <c r="BE166" i="6"/>
  <c r="BB166" i="6" s="1"/>
  <c r="Z127" i="15" s="1"/>
  <c r="AA127" i="15"/>
  <c r="BE167" i="6"/>
  <c r="BB167" i="6" s="1"/>
  <c r="Z128" i="15" s="1"/>
  <c r="AA128" i="15"/>
  <c r="BE171" i="6"/>
  <c r="BB171" i="6" s="1"/>
  <c r="Z130" i="15" s="1"/>
  <c r="AA130" i="15"/>
  <c r="BE164" i="6"/>
  <c r="BB164" i="6" s="1"/>
  <c r="Z126" i="15" s="1"/>
  <c r="AA126" i="15"/>
  <c r="AN472" i="15"/>
  <c r="AN197" i="15"/>
  <c r="AN84" i="15"/>
  <c r="AA222" i="15"/>
  <c r="AN188" i="15"/>
  <c r="AO188" i="15" s="1"/>
  <c r="Q201" i="6"/>
  <c r="Q202" i="6" s="1"/>
  <c r="J769" i="6"/>
  <c r="K181" i="6" s="1"/>
  <c r="J768" i="6"/>
  <c r="K180" i="6" s="1"/>
  <c r="J763" i="6"/>
  <c r="K175" i="6" s="1"/>
  <c r="J761" i="6"/>
  <c r="K173" i="6" s="1"/>
  <c r="J764" i="6"/>
  <c r="K176" i="6" s="1"/>
  <c r="J766" i="6"/>
  <c r="K178" i="6" s="1"/>
  <c r="R202" i="6"/>
  <c r="AD83" i="15"/>
  <c r="AB83" i="15" s="1"/>
  <c r="BB8" i="6"/>
  <c r="Z83" i="15" s="1"/>
  <c r="H85" i="15"/>
  <c r="AM85" i="15" s="1"/>
  <c r="M11" i="6"/>
  <c r="N85" i="15" s="1"/>
  <c r="V85" i="15" s="1"/>
  <c r="BD11" i="6"/>
  <c r="AD85" i="15" s="1"/>
  <c r="AB85" i="15" s="1"/>
  <c r="AN186" i="15"/>
  <c r="AN246" i="15"/>
  <c r="AO246" i="15" s="1"/>
  <c r="AN252" i="15"/>
  <c r="AO252" i="15" s="1"/>
  <c r="AN195" i="15"/>
  <c r="AO195" i="15" s="1"/>
  <c r="AA227" i="15"/>
  <c r="AN187" i="15"/>
  <c r="AN205" i="15"/>
  <c r="AO205" i="15" s="1"/>
  <c r="AN194" i="15"/>
  <c r="AN185" i="15"/>
  <c r="BB502" i="7"/>
  <c r="Z313" i="15" s="1"/>
  <c r="AD313" i="15"/>
  <c r="AB313" i="15" s="1"/>
  <c r="V313" i="15"/>
  <c r="AN313" i="15"/>
  <c r="AN251" i="15"/>
  <c r="AN201" i="15"/>
  <c r="AO201" i="15" s="1"/>
  <c r="AN181" i="15"/>
  <c r="BB439" i="9"/>
  <c r="Z472" i="15" s="1"/>
  <c r="AD472" i="15"/>
  <c r="AB472" i="15" s="1"/>
  <c r="AN254" i="15"/>
  <c r="AO254" i="15" s="1"/>
  <c r="AN182" i="15"/>
  <c r="AO182" i="15" s="1"/>
  <c r="BE800" i="6"/>
  <c r="AA150" i="15"/>
  <c r="H149" i="15"/>
  <c r="AM149" i="15"/>
  <c r="V253" i="15"/>
  <c r="AN253" i="15"/>
  <c r="BE1532" i="6"/>
  <c r="BB1532" i="6" s="1"/>
  <c r="Z220" i="15" s="1"/>
  <c r="AA220" i="15"/>
  <c r="V248" i="15"/>
  <c r="AN248" i="15"/>
  <c r="AO248" i="15" s="1"/>
  <c r="V191" i="15"/>
  <c r="AN191" i="15"/>
  <c r="BE1610" i="6"/>
  <c r="BB1610" i="6" s="1"/>
  <c r="Z240" i="15" s="1"/>
  <c r="AA240" i="15"/>
  <c r="BE1602" i="6"/>
  <c r="BB1602" i="6" s="1"/>
  <c r="Z238" i="15" s="1"/>
  <c r="AA238" i="15"/>
  <c r="BE1488" i="6"/>
  <c r="BB1488" i="6" s="1"/>
  <c r="Z206" i="15" s="1"/>
  <c r="AA206" i="15"/>
  <c r="BE1616" i="6"/>
  <c r="BB1616" i="6" s="1"/>
  <c r="Z243" i="15" s="1"/>
  <c r="AA243" i="15"/>
  <c r="BE1424" i="6"/>
  <c r="BB1424" i="6" s="1"/>
  <c r="Z180" i="15" s="1"/>
  <c r="AA180" i="15"/>
  <c r="V250" i="15"/>
  <c r="AN250" i="15"/>
  <c r="AO250" i="15" s="1"/>
  <c r="BE1594" i="6"/>
  <c r="BB1594" i="6" s="1"/>
  <c r="Z236" i="15" s="1"/>
  <c r="AA236" i="15"/>
  <c r="BE1486" i="6"/>
  <c r="BB1486" i="6" s="1"/>
  <c r="Z205" i="15" s="1"/>
  <c r="AA205" i="15"/>
  <c r="BE1500" i="6"/>
  <c r="BB1500" i="6" s="1"/>
  <c r="Z209" i="15" s="1"/>
  <c r="AA209" i="15"/>
  <c r="BE1552" i="6"/>
  <c r="BB1552" i="6" s="1"/>
  <c r="Z225" i="15" s="1"/>
  <c r="AA225" i="15"/>
  <c r="BE1580" i="6"/>
  <c r="BB1580" i="6" s="1"/>
  <c r="Z232" i="15" s="1"/>
  <c r="AA232" i="15"/>
  <c r="BE1606" i="6"/>
  <c r="BB1606" i="6" s="1"/>
  <c r="Z239" i="15" s="1"/>
  <c r="AA239" i="15"/>
  <c r="V249" i="15"/>
  <c r="AN249" i="15"/>
  <c r="V241" i="15"/>
  <c r="AN241" i="15"/>
  <c r="V245" i="15"/>
  <c r="AN245" i="15"/>
  <c r="BE1638" i="6"/>
  <c r="BB1638" i="6" s="1"/>
  <c r="Z252" i="15" s="1"/>
  <c r="AA252" i="15"/>
  <c r="K1496" i="6"/>
  <c r="AA207" i="15"/>
  <c r="V204" i="15"/>
  <c r="AN204" i="15"/>
  <c r="AN192" i="15"/>
  <c r="AO192" i="15" s="1"/>
  <c r="V247" i="15"/>
  <c r="AN247" i="15"/>
  <c r="V242" i="15"/>
  <c r="AN242" i="15"/>
  <c r="AO242" i="15" s="1"/>
  <c r="V200" i="15"/>
  <c r="AN200" i="15"/>
  <c r="BE1572" i="6"/>
  <c r="BB1572" i="6" s="1"/>
  <c r="Z230" i="15" s="1"/>
  <c r="AA230" i="15"/>
  <c r="K1620" i="6"/>
  <c r="F12" i="6"/>
  <c r="I85" i="15" s="1"/>
  <c r="J1162" i="6"/>
  <c r="K802" i="6" s="1"/>
  <c r="AA151" i="15" s="1"/>
  <c r="J1078" i="6"/>
  <c r="F802" i="6"/>
  <c r="J151" i="15" s="1"/>
  <c r="I799" i="6"/>
  <c r="Q149" i="15" s="1"/>
  <c r="N149" i="15" s="1"/>
  <c r="V149" i="15" s="1"/>
  <c r="BD799" i="6"/>
  <c r="X3134" i="6"/>
  <c r="X3058" i="6"/>
  <c r="X3142" i="6"/>
  <c r="X3054" i="6"/>
  <c r="K1502" i="6"/>
  <c r="K1504" i="6"/>
  <c r="I55" i="6"/>
  <c r="J13" i="6"/>
  <c r="D700" i="7"/>
  <c r="D635" i="7"/>
  <c r="V574" i="7"/>
  <c r="V635" i="7" s="1"/>
  <c r="Q1673" i="6"/>
  <c r="BB1174" i="7"/>
  <c r="Z395" i="15" s="1"/>
  <c r="K1614" i="6"/>
  <c r="BE1612" i="6"/>
  <c r="BB1612" i="6" s="1"/>
  <c r="Z241" i="15" s="1"/>
  <c r="V573" i="7"/>
  <c r="V629" i="7" s="1"/>
  <c r="D629" i="7"/>
  <c r="D699" i="7" s="1"/>
  <c r="I40" i="6"/>
  <c r="I13" i="6"/>
  <c r="K1642" i="6"/>
  <c r="BE1640" i="6"/>
  <c r="BB1640" i="6" s="1"/>
  <c r="Z253" i="15" s="1"/>
  <c r="BB1172" i="7"/>
  <c r="Z394" i="15" s="1"/>
  <c r="BE178" i="6" l="1"/>
  <c r="BB178" i="6" s="1"/>
  <c r="Z135" i="15" s="1"/>
  <c r="AA135" i="15"/>
  <c r="BE180" i="6"/>
  <c r="BB180" i="6" s="1"/>
  <c r="Z136" i="15" s="1"/>
  <c r="AA136" i="15"/>
  <c r="BE176" i="6"/>
  <c r="BB176" i="6" s="1"/>
  <c r="Z134" i="15" s="1"/>
  <c r="AA134" i="15"/>
  <c r="BE181" i="6"/>
  <c r="BB181" i="6" s="1"/>
  <c r="Z137" i="15" s="1"/>
  <c r="AA137" i="15"/>
  <c r="BE173" i="6"/>
  <c r="BB173" i="6" s="1"/>
  <c r="Z132" i="15" s="1"/>
  <c r="AA132" i="15"/>
  <c r="BE175" i="6"/>
  <c r="BB175" i="6" s="1"/>
  <c r="Z133" i="15" s="1"/>
  <c r="AA133" i="15"/>
  <c r="AN85" i="15"/>
  <c r="BD12" i="6"/>
  <c r="BB11" i="6" s="1"/>
  <c r="Z85" i="15" s="1"/>
  <c r="M12" i="6"/>
  <c r="O85" i="15" s="1"/>
  <c r="BB798" i="6"/>
  <c r="Z149" i="15" s="1"/>
  <c r="AE149" i="15"/>
  <c r="AB149" i="15" s="1"/>
  <c r="AM151" i="15"/>
  <c r="AN149" i="15"/>
  <c r="BE1496" i="6"/>
  <c r="BB1496" i="6" s="1"/>
  <c r="Z208" i="15" s="1"/>
  <c r="AA208" i="15"/>
  <c r="BE1614" i="6"/>
  <c r="BB1614" i="6" s="1"/>
  <c r="Z242" i="15" s="1"/>
  <c r="AA242" i="15"/>
  <c r="BE1504" i="6"/>
  <c r="BB1504" i="6" s="1"/>
  <c r="Z211" i="15" s="1"/>
  <c r="AA211" i="15"/>
  <c r="BE1620" i="6"/>
  <c r="BB1620" i="6" s="1"/>
  <c r="Z244" i="15" s="1"/>
  <c r="AA244" i="15"/>
  <c r="BE1502" i="6"/>
  <c r="BB1502" i="6" s="1"/>
  <c r="Z210" i="15" s="1"/>
  <c r="AA210" i="15"/>
  <c r="BE1642" i="6"/>
  <c r="BB1642" i="6" s="1"/>
  <c r="Z254" i="15" s="1"/>
  <c r="AA254" i="15"/>
  <c r="I41" i="6"/>
  <c r="I14" i="6"/>
  <c r="J14" i="6"/>
  <c r="I56" i="6"/>
  <c r="V699" i="7"/>
  <c r="D739" i="7"/>
  <c r="I802" i="6"/>
  <c r="P151" i="15" s="1"/>
  <c r="BD802" i="6"/>
  <c r="AD151" i="15" s="1"/>
  <c r="F13" i="6"/>
  <c r="H86" i="15" s="1"/>
  <c r="AM86" i="15" s="1"/>
  <c r="D740" i="7"/>
  <c r="V700" i="7"/>
  <c r="J1079" i="6"/>
  <c r="F803" i="6"/>
  <c r="K151" i="15" s="1"/>
  <c r="H151" i="15" s="1"/>
  <c r="K804" i="6"/>
  <c r="BE802" i="6"/>
  <c r="AF85" i="15" l="1"/>
  <c r="AC85" i="15" s="1"/>
  <c r="BE804" i="6"/>
  <c r="AA152" i="15"/>
  <c r="F14" i="6"/>
  <c r="H87" i="15" s="1"/>
  <c r="AM87" i="15" s="1"/>
  <c r="Y1164" i="6"/>
  <c r="J1164" i="6"/>
  <c r="K806" i="6" s="1"/>
  <c r="AA153" i="15" s="1"/>
  <c r="J1080" i="6"/>
  <c r="X1164" i="6"/>
  <c r="F806" i="6"/>
  <c r="J153" i="15" s="1"/>
  <c r="I57" i="6"/>
  <c r="J15" i="6"/>
  <c r="D782" i="7"/>
  <c r="V740" i="7"/>
  <c r="V739" i="7"/>
  <c r="D781" i="7"/>
  <c r="I803" i="6"/>
  <c r="Q151" i="15" s="1"/>
  <c r="N151" i="15" s="1"/>
  <c r="V151" i="15" s="1"/>
  <c r="BD803" i="6"/>
  <c r="M13" i="6"/>
  <c r="N86" i="15" s="1"/>
  <c r="V86" i="15" s="1"/>
  <c r="BD13" i="6"/>
  <c r="I42" i="6"/>
  <c r="I15" i="6"/>
  <c r="M14" i="6" l="1"/>
  <c r="N87" i="15" s="1"/>
  <c r="V87" i="15" s="1"/>
  <c r="F15" i="6"/>
  <c r="H88" i="15" s="1"/>
  <c r="AM88" i="15" s="1"/>
  <c r="BB802" i="6"/>
  <c r="Z151" i="15" s="1"/>
  <c r="AE151" i="15"/>
  <c r="AB151" i="15" s="1"/>
  <c r="BB13" i="6"/>
  <c r="Z86" i="15" s="1"/>
  <c r="AD86" i="15"/>
  <c r="AB86" i="15" s="1"/>
  <c r="BD14" i="6"/>
  <c r="AM153" i="15"/>
  <c r="AN151" i="15"/>
  <c r="AN86" i="15"/>
  <c r="M15" i="6"/>
  <c r="N88" i="15" s="1"/>
  <c r="V88" i="15" s="1"/>
  <c r="BD15" i="6"/>
  <c r="AD88" i="15" s="1"/>
  <c r="AB88" i="15" s="1"/>
  <c r="D813" i="7"/>
  <c r="V781" i="7"/>
  <c r="I43" i="6"/>
  <c r="I16" i="6"/>
  <c r="J16" i="6"/>
  <c r="I58" i="6"/>
  <c r="J1081" i="6"/>
  <c r="F807" i="6"/>
  <c r="K153" i="15" s="1"/>
  <c r="H153" i="15" s="1"/>
  <c r="K810" i="6"/>
  <c r="BE806" i="6"/>
  <c r="V782" i="7"/>
  <c r="D814" i="7"/>
  <c r="I806" i="6"/>
  <c r="P153" i="15" s="1"/>
  <c r="BD806" i="6"/>
  <c r="AD153" i="15" s="1"/>
  <c r="AN87" i="15" l="1"/>
  <c r="BB14" i="6"/>
  <c r="Z87" i="15" s="1"/>
  <c r="AD87" i="15"/>
  <c r="AB87" i="15" s="1"/>
  <c r="BE810" i="6"/>
  <c r="AA154" i="15"/>
  <c r="AN88" i="15"/>
  <c r="F16" i="6"/>
  <c r="I88" i="15" s="1"/>
  <c r="J17" i="6"/>
  <c r="I59" i="6"/>
  <c r="J18" i="6" s="1"/>
  <c r="D933" i="7"/>
  <c r="V813" i="7"/>
  <c r="D898" i="7"/>
  <c r="V898" i="7" s="1"/>
  <c r="V814" i="7"/>
  <c r="D899" i="7"/>
  <c r="I807" i="6"/>
  <c r="Q153" i="15" s="1"/>
  <c r="N153" i="15" s="1"/>
  <c r="AN153" i="15" s="1"/>
  <c r="BD807" i="6"/>
  <c r="AE153" i="15" s="1"/>
  <c r="AB153" i="15" s="1"/>
  <c r="J1082" i="6"/>
  <c r="F808" i="6"/>
  <c r="L153" i="15" s="1"/>
  <c r="I44" i="6"/>
  <c r="I18" i="6" s="1"/>
  <c r="I17" i="6"/>
  <c r="M16" i="6" l="1"/>
  <c r="O88" i="15" s="1"/>
  <c r="F18" i="6"/>
  <c r="I89" i="15" s="1"/>
  <c r="F17" i="6"/>
  <c r="H89" i="15" s="1"/>
  <c r="AM89" i="15" s="1"/>
  <c r="BD16" i="6"/>
  <c r="D959" i="7"/>
  <c r="V933" i="7"/>
  <c r="I808" i="6"/>
  <c r="R153" i="15" s="1"/>
  <c r="BD808" i="6"/>
  <c r="AF153" i="15" s="1"/>
  <c r="J1083" i="6"/>
  <c r="F809" i="6"/>
  <c r="M153" i="15" s="1"/>
  <c r="I153" i="15" s="1"/>
  <c r="V899" i="7"/>
  <c r="D934" i="7"/>
  <c r="BD18" i="6" l="1"/>
  <c r="AF89" i="15" s="1"/>
  <c r="AC89" i="15" s="1"/>
  <c r="M17" i="6"/>
  <c r="N89" i="15" s="1"/>
  <c r="V89" i="15" s="1"/>
  <c r="BD17" i="6"/>
  <c r="AD89" i="15" s="1"/>
  <c r="AB89" i="15" s="1"/>
  <c r="M18" i="6"/>
  <c r="O89" i="15" s="1"/>
  <c r="BB15" i="6"/>
  <c r="Z88" i="15" s="1"/>
  <c r="AF88" i="15"/>
  <c r="AC88" i="15" s="1"/>
  <c r="AN89" i="15"/>
  <c r="D990" i="7"/>
  <c r="V959" i="7"/>
  <c r="I809" i="6"/>
  <c r="S153" i="15" s="1"/>
  <c r="O153" i="15" s="1"/>
  <c r="V153" i="15" s="1"/>
  <c r="BD809" i="6"/>
  <c r="Y1168" i="6"/>
  <c r="X1168" i="6"/>
  <c r="J1168" i="6"/>
  <c r="K814" i="6" s="1"/>
  <c r="AA155" i="15" s="1"/>
  <c r="J1084" i="6"/>
  <c r="F814" i="6"/>
  <c r="J155" i="15" s="1"/>
  <c r="D960" i="7"/>
  <c r="V934" i="7"/>
  <c r="BB17" i="6" l="1"/>
  <c r="Z89" i="15" s="1"/>
  <c r="BB806" i="6"/>
  <c r="Z153" i="15" s="1"/>
  <c r="AG153" i="15"/>
  <c r="AC153" i="15" s="1"/>
  <c r="AM155" i="15"/>
  <c r="F815" i="6"/>
  <c r="K155" i="15" s="1"/>
  <c r="H155" i="15" s="1"/>
  <c r="J1085" i="6"/>
  <c r="BE814" i="6"/>
  <c r="K816" i="6"/>
  <c r="D991" i="7"/>
  <c r="V960" i="7"/>
  <c r="I814" i="6"/>
  <c r="P155" i="15" s="1"/>
  <c r="BD814" i="6"/>
  <c r="AD155" i="15" s="1"/>
  <c r="V990" i="7"/>
  <c r="D1023" i="7"/>
  <c r="BE816" i="6" l="1"/>
  <c r="AA156" i="15"/>
  <c r="D1115" i="7"/>
  <c r="V1115" i="7" s="1"/>
  <c r="V1023" i="7"/>
  <c r="D1162" i="7"/>
  <c r="Y1170" i="6"/>
  <c r="J1170" i="6"/>
  <c r="K818" i="6" s="1"/>
  <c r="AA157" i="15" s="1"/>
  <c r="J1086" i="6"/>
  <c r="F818" i="6"/>
  <c r="J157" i="15" s="1"/>
  <c r="X1170" i="6"/>
  <c r="D1024" i="7"/>
  <c r="V991" i="7"/>
  <c r="I815" i="6"/>
  <c r="Q155" i="15" s="1"/>
  <c r="N155" i="15" s="1"/>
  <c r="BD815" i="6"/>
  <c r="BB814" i="6" l="1"/>
  <c r="Z155" i="15" s="1"/>
  <c r="AE155" i="15"/>
  <c r="AB155" i="15" s="1"/>
  <c r="V155" i="15"/>
  <c r="AN155" i="15"/>
  <c r="AM157" i="15"/>
  <c r="I818" i="6"/>
  <c r="P157" i="15" s="1"/>
  <c r="BD818" i="6"/>
  <c r="AD157" i="15" s="1"/>
  <c r="D1199" i="7"/>
  <c r="V1162" i="7"/>
  <c r="V1024" i="7"/>
  <c r="D1119" i="7"/>
  <c r="J1087" i="6"/>
  <c r="F819" i="6"/>
  <c r="K157" i="15" s="1"/>
  <c r="H157" i="15" s="1"/>
  <c r="K822" i="6"/>
  <c r="BE818" i="6"/>
  <c r="BE822" i="6" l="1"/>
  <c r="AA158" i="15"/>
  <c r="V1199" i="7"/>
  <c r="D1254" i="7"/>
  <c r="V1254" i="7" s="1"/>
  <c r="I819" i="6"/>
  <c r="Q157" i="15" s="1"/>
  <c r="N157" i="15" s="1"/>
  <c r="AN157" i="15" s="1"/>
  <c r="BD819" i="6"/>
  <c r="AE157" i="15" s="1"/>
  <c r="AB157" i="15" s="1"/>
  <c r="J1088" i="6"/>
  <c r="F820" i="6"/>
  <c r="L157" i="15" s="1"/>
  <c r="D1201" i="7"/>
  <c r="V1119" i="7"/>
  <c r="D1255" i="7" l="1"/>
  <c r="V1255" i="7" s="1"/>
  <c r="V1201" i="7"/>
  <c r="I820" i="6"/>
  <c r="R157" i="15" s="1"/>
  <c r="BD820" i="6"/>
  <c r="AF157" i="15" s="1"/>
  <c r="J1089" i="6"/>
  <c r="F821" i="6"/>
  <c r="M157" i="15" s="1"/>
  <c r="I157" i="15" s="1"/>
  <c r="I821" i="6" l="1"/>
  <c r="S157" i="15" s="1"/>
  <c r="O157" i="15" s="1"/>
  <c r="V157" i="15" s="1"/>
  <c r="BD821" i="6"/>
  <c r="J1090" i="6"/>
  <c r="F794" i="6"/>
  <c r="J146" i="15" s="1"/>
  <c r="H146" i="15" s="1"/>
  <c r="AM146" i="15" s="1"/>
  <c r="BB818" i="6" l="1"/>
  <c r="Z157" i="15" s="1"/>
  <c r="AG157" i="15"/>
  <c r="AC157" i="15" s="1"/>
  <c r="J1091" i="6"/>
  <c r="F795" i="6"/>
  <c r="L146" i="15" s="1"/>
  <c r="I146" i="15" s="1"/>
  <c r="I794" i="6"/>
  <c r="P146" i="15" s="1"/>
  <c r="N146" i="15" s="1"/>
  <c r="AN146" i="15" s="1"/>
  <c r="BD794" i="6"/>
  <c r="AD146" i="15" s="1"/>
  <c r="AB146" i="15" s="1"/>
  <c r="I795" i="6" l="1"/>
  <c r="R146" i="15" s="1"/>
  <c r="O146" i="15" s="1"/>
  <c r="V146" i="15" s="1"/>
  <c r="BD795" i="6"/>
  <c r="J1092" i="6"/>
  <c r="F797" i="6"/>
  <c r="J148" i="15" s="1"/>
  <c r="H148" i="15" s="1"/>
  <c r="AM148" i="15" s="1"/>
  <c r="BB794" i="6" l="1"/>
  <c r="Z146" i="15" s="1"/>
  <c r="AF146" i="15"/>
  <c r="AC146" i="15" s="1"/>
  <c r="J1093" i="6"/>
  <c r="F800" i="6"/>
  <c r="J150" i="15" s="1"/>
  <c r="I797" i="6"/>
  <c r="P148" i="15" s="1"/>
  <c r="N148" i="15" s="1"/>
  <c r="V148" i="15" s="1"/>
  <c r="BD797" i="6"/>
  <c r="BB797" i="6" l="1"/>
  <c r="Z148" i="15" s="1"/>
  <c r="AD148" i="15"/>
  <c r="AB148" i="15" s="1"/>
  <c r="AM150" i="15"/>
  <c r="AN148" i="15"/>
  <c r="I800" i="6"/>
  <c r="P150" i="15" s="1"/>
  <c r="BD800" i="6"/>
  <c r="AD150" i="15" s="1"/>
  <c r="J1094" i="6"/>
  <c r="F801" i="6"/>
  <c r="K150" i="15" s="1"/>
  <c r="H150" i="15" s="1"/>
  <c r="I801" i="6" l="1"/>
  <c r="Q150" i="15" s="1"/>
  <c r="N150" i="15" s="1"/>
  <c r="BD801" i="6"/>
  <c r="J1095" i="6"/>
  <c r="F804" i="6"/>
  <c r="J152" i="15" s="1"/>
  <c r="BB800" i="6" l="1"/>
  <c r="Z150" i="15" s="1"/>
  <c r="AE150" i="15"/>
  <c r="AB150" i="15" s="1"/>
  <c r="V150" i="15"/>
  <c r="AN150" i="15"/>
  <c r="AM152" i="15"/>
  <c r="J1096" i="6"/>
  <c r="F805" i="6"/>
  <c r="K152" i="15" s="1"/>
  <c r="H152" i="15" s="1"/>
  <c r="I804" i="6"/>
  <c r="P152" i="15" s="1"/>
  <c r="BD804" i="6"/>
  <c r="AD152" i="15" s="1"/>
  <c r="I805" i="6" l="1"/>
  <c r="Q152" i="15" s="1"/>
  <c r="N152" i="15" s="1"/>
  <c r="BD805" i="6"/>
  <c r="J1097" i="6"/>
  <c r="F810" i="6"/>
  <c r="J154" i="15" s="1"/>
  <c r="BB804" i="6" l="1"/>
  <c r="Z152" i="15" s="1"/>
  <c r="AE152" i="15"/>
  <c r="AB152" i="15" s="1"/>
  <c r="V152" i="15"/>
  <c r="AN152" i="15"/>
  <c r="AM154" i="15"/>
  <c r="J1098" i="6"/>
  <c r="F811" i="6"/>
  <c r="K154" i="15" s="1"/>
  <c r="H154" i="15" s="1"/>
  <c r="I810" i="6"/>
  <c r="P154" i="15" s="1"/>
  <c r="BD810" i="6"/>
  <c r="AD154" i="15" s="1"/>
  <c r="I811" i="6" l="1"/>
  <c r="Q154" i="15" s="1"/>
  <c r="N154" i="15" s="1"/>
  <c r="AN154" i="15" s="1"/>
  <c r="BD811" i="6"/>
  <c r="AE154" i="15" s="1"/>
  <c r="AB154" i="15" s="1"/>
  <c r="J1099" i="6"/>
  <c r="F812" i="6"/>
  <c r="L154" i="15" s="1"/>
  <c r="J1100" i="6" l="1"/>
  <c r="J1101" i="6" s="1"/>
  <c r="F813" i="6"/>
  <c r="M154" i="15" s="1"/>
  <c r="I154" i="15" s="1"/>
  <c r="I812" i="6"/>
  <c r="R154" i="15" s="1"/>
  <c r="BD812" i="6"/>
  <c r="AF154" i="15" s="1"/>
  <c r="I813" i="6" l="1"/>
  <c r="S154" i="15" s="1"/>
  <c r="O154" i="15" s="1"/>
  <c r="V154" i="15" s="1"/>
  <c r="BD813" i="6"/>
  <c r="J1102" i="6"/>
  <c r="J1103" i="6" s="1"/>
  <c r="F817" i="6"/>
  <c r="K156" i="15" s="1"/>
  <c r="BB810" i="6" l="1"/>
  <c r="Z154" i="15" s="1"/>
  <c r="AG154" i="15"/>
  <c r="AC154" i="15" s="1"/>
  <c r="J1104" i="6"/>
  <c r="F823" i="6"/>
  <c r="K158" i="15" s="1"/>
  <c r="I817" i="6"/>
  <c r="Q156" i="15" s="1"/>
  <c r="BD817" i="6"/>
  <c r="AE156" i="15" s="1"/>
  <c r="I823" i="6" l="1"/>
  <c r="Q158" i="15" s="1"/>
  <c r="BD823" i="6"/>
  <c r="AE158" i="15" s="1"/>
  <c r="J1105" i="6"/>
  <c r="F824" i="6"/>
  <c r="L158" i="15" s="1"/>
  <c r="F816" i="6"/>
  <c r="J156" i="15" s="1"/>
  <c r="H156" i="15" l="1"/>
  <c r="AM156" i="15"/>
  <c r="I824" i="6"/>
  <c r="R158" i="15" s="1"/>
  <c r="BD824" i="6"/>
  <c r="AF158" i="15" s="1"/>
  <c r="F822" i="6"/>
  <c r="J158" i="15" s="1"/>
  <c r="F825" i="6"/>
  <c r="M158" i="15" s="1"/>
  <c r="I158" i="15" s="1"/>
  <c r="I816" i="6"/>
  <c r="P156" i="15" s="1"/>
  <c r="N156" i="15" s="1"/>
  <c r="V156" i="15" s="1"/>
  <c r="BD816" i="6"/>
  <c r="BB816" i="6" l="1"/>
  <c r="Z156" i="15" s="1"/>
  <c r="AD156" i="15"/>
  <c r="AB156" i="15" s="1"/>
  <c r="AN156" i="15"/>
  <c r="AM158" i="15"/>
  <c r="H158" i="15"/>
  <c r="I825" i="6"/>
  <c r="S158" i="15" s="1"/>
  <c r="O158" i="15" s="1"/>
  <c r="V158" i="15" s="1"/>
  <c r="BD825" i="6"/>
  <c r="AG158" i="15" s="1"/>
  <c r="AC158" i="15" s="1"/>
  <c r="I822" i="6"/>
  <c r="P158" i="15" s="1"/>
  <c r="N158" i="15" s="1"/>
  <c r="BD822" i="6"/>
  <c r="BB822" i="6" l="1"/>
  <c r="Z158" i="15" s="1"/>
  <c r="AD158" i="15"/>
  <c r="AB158" i="15" s="1"/>
  <c r="AN158" i="15"/>
  <c r="U32" i="15"/>
</calcChain>
</file>

<file path=xl/comments1.xml><?xml version="1.0" encoding="utf-8"?>
<comments xmlns="http://schemas.openxmlformats.org/spreadsheetml/2006/main">
  <authors>
    <author>Author</author>
  </authors>
  <commentList>
    <comment ref="F38" authorId="0" shapeId="0">
      <text>
        <r>
          <rPr>
            <sz val="9"/>
            <color indexed="81"/>
            <rFont val="Tahoma"/>
            <family val="2"/>
          </rPr>
          <t>LED New and Baseline Assumptions</t>
        </r>
      </text>
    </comment>
    <comment ref="G38" authorId="0" shapeId="0">
      <text>
        <r>
          <rPr>
            <sz val="9"/>
            <color indexed="81"/>
            <rFont val="Tahoma"/>
            <family val="2"/>
          </rPr>
          <t>LED New and Baseline Assumptions</t>
        </r>
      </text>
    </comment>
    <comment ref="H38" authorId="0" shapeId="0">
      <text>
        <r>
          <rPr>
            <sz val="9"/>
            <color indexed="81"/>
            <rFont val="Tahoma"/>
            <family val="2"/>
          </rPr>
          <t>Lighting Reference Table</t>
        </r>
      </text>
    </comment>
    <comment ref="I38" authorId="0" shapeId="0">
      <text>
        <r>
          <rPr>
            <sz val="9"/>
            <color indexed="81"/>
            <rFont val="Tahoma"/>
            <family val="2"/>
          </rPr>
          <t>Lighting Reference Table</t>
        </r>
      </text>
    </comment>
    <comment ref="F55" authorId="0" shapeId="0">
      <text>
        <r>
          <rPr>
            <b/>
            <sz val="9"/>
            <color indexed="81"/>
            <rFont val="Tahoma"/>
            <family val="2"/>
          </rPr>
          <t>Average of measures 3023,3024,3025 from ADM</t>
        </r>
      </text>
    </comment>
    <comment ref="X55" authorId="0" shapeId="0">
      <text>
        <r>
          <rPr>
            <b/>
            <sz val="9"/>
            <color indexed="81"/>
            <rFont val="Tahoma"/>
            <family val="2"/>
          </rPr>
          <t>Average of measures 3023,3024,3025 from ADM</t>
        </r>
      </text>
    </comment>
    <comment ref="Y55" authorId="0" shapeId="0">
      <text>
        <r>
          <rPr>
            <b/>
            <sz val="9"/>
            <color indexed="81"/>
            <rFont val="Tahoma"/>
            <family val="2"/>
          </rPr>
          <t>Average of measures 3023,3024,3025 from ADM</t>
        </r>
      </text>
    </comment>
    <comment ref="F76" authorId="0" shapeId="0">
      <text>
        <r>
          <rPr>
            <sz val="9"/>
            <color indexed="81"/>
            <rFont val="Tahoma"/>
            <family val="2"/>
          </rPr>
          <t>Lighting_Controls Tables</t>
        </r>
      </text>
    </comment>
    <comment ref="G76" authorId="0" shapeId="0">
      <text>
        <r>
          <rPr>
            <sz val="9"/>
            <color indexed="81"/>
            <rFont val="Tahoma"/>
            <family val="2"/>
          </rPr>
          <t>Lighting Reference Table</t>
        </r>
      </text>
    </comment>
    <comment ref="H76" authorId="0" shapeId="0">
      <text>
        <r>
          <rPr>
            <sz val="9"/>
            <color indexed="81"/>
            <rFont val="Tahoma"/>
            <family val="2"/>
          </rPr>
          <t>Lighting_Controls Tables</t>
        </r>
      </text>
    </comment>
    <comment ref="I76" authorId="0" shapeId="0">
      <text>
        <r>
          <rPr>
            <sz val="9"/>
            <color indexed="81"/>
            <rFont val="Tahoma"/>
            <family val="2"/>
          </rPr>
          <t>Lighting Reference Table</t>
        </r>
      </text>
    </comment>
    <comment ref="D82" authorId="0" shapeId="0">
      <text>
        <r>
          <rPr>
            <b/>
            <sz val="9"/>
            <color indexed="81"/>
            <rFont val="Tahoma"/>
            <family val="2"/>
          </rPr>
          <t>Lawrence Berkeley National Laboratory. A Meta-Analysis of Energy Savings from Lighting Controls in Commercial Buildings. Page &amp; Associates Inc. 2011.</t>
        </r>
      </text>
    </comment>
    <comment ref="H119" authorId="0" shapeId="0">
      <text>
        <r>
          <rPr>
            <sz val="9"/>
            <color indexed="81"/>
            <rFont val="Tahoma"/>
            <family val="2"/>
          </rPr>
          <t>Refrigerator &amp; Freezer Tables</t>
        </r>
      </text>
    </comment>
    <comment ref="J119" authorId="0" shapeId="0">
      <text>
        <r>
          <rPr>
            <sz val="9"/>
            <color indexed="81"/>
            <rFont val="Tahoma"/>
            <family val="2"/>
          </rPr>
          <t>Refrigerator &amp; Freezer Tables</t>
        </r>
      </text>
    </comment>
    <comment ref="F172" authorId="0" shapeId="0">
      <text>
        <r>
          <rPr>
            <sz val="9"/>
            <color indexed="81"/>
            <rFont val="Tahoma"/>
            <family val="2"/>
          </rPr>
          <t>Heat Pump Water Heater Tables</t>
        </r>
      </text>
    </comment>
    <comment ref="H172" authorId="0" shapeId="0">
      <text>
        <r>
          <rPr>
            <sz val="9"/>
            <color indexed="81"/>
            <rFont val="Tahoma"/>
            <family val="2"/>
          </rPr>
          <t>Heat Pump Water Heater Tables</t>
        </r>
      </text>
    </comment>
    <comment ref="Q172" authorId="0" shapeId="0">
      <text>
        <r>
          <rPr>
            <sz val="9"/>
            <color indexed="81"/>
            <rFont val="Tahoma"/>
            <family val="2"/>
          </rPr>
          <t>Heat Pump Water Heater Tables</t>
        </r>
      </text>
    </comment>
    <comment ref="R172" authorId="0" shapeId="0">
      <text>
        <r>
          <rPr>
            <sz val="9"/>
            <color indexed="81"/>
            <rFont val="Tahoma"/>
            <family val="2"/>
          </rPr>
          <t>Heat Pump Water Heater Tables</t>
        </r>
      </text>
    </comment>
    <comment ref="S172" authorId="0" shapeId="0">
      <text>
        <r>
          <rPr>
            <sz val="9"/>
            <color indexed="81"/>
            <rFont val="Tahoma"/>
            <family val="2"/>
          </rPr>
          <t>Heat Pump Water Heater Tables</t>
        </r>
      </text>
    </comment>
    <comment ref="I194" authorId="0" shapeId="0">
      <text>
        <r>
          <rPr>
            <sz val="9"/>
            <color indexed="81"/>
            <rFont val="Tahoma"/>
            <family val="2"/>
          </rPr>
          <t>Average eff from energy.gov</t>
        </r>
      </text>
    </comment>
    <comment ref="K243" authorId="0" shapeId="0">
      <text>
        <r>
          <rPr>
            <sz val="9"/>
            <color indexed="81"/>
            <rFont val="Tahoma"/>
            <family val="2"/>
          </rPr>
          <t>Stm Cooker &amp; Holding Cab Tables</t>
        </r>
      </text>
    </comment>
    <comment ref="I264" authorId="0" shapeId="0">
      <text>
        <r>
          <rPr>
            <sz val="9"/>
            <color indexed="81"/>
            <rFont val="Tahoma"/>
            <family val="2"/>
          </rPr>
          <t>Stm Cooker &amp; Holding Cab Tables</t>
        </r>
      </text>
    </comment>
    <comment ref="H297" authorId="0" shapeId="0">
      <text>
        <r>
          <rPr>
            <sz val="9"/>
            <color indexed="81"/>
            <rFont val="Tahoma"/>
            <family val="2"/>
          </rPr>
          <t>Chilled_Hot Water Pump Tables</t>
        </r>
      </text>
    </comment>
    <comment ref="I297" authorId="0" shapeId="0">
      <text>
        <r>
          <rPr>
            <sz val="9"/>
            <color indexed="81"/>
            <rFont val="Tahoma"/>
            <family val="2"/>
          </rPr>
          <t>Chilled_Hot Water Pump Tables</t>
        </r>
      </text>
    </comment>
    <comment ref="H328" authorId="0" shapeId="0">
      <text>
        <r>
          <rPr>
            <sz val="9"/>
            <color indexed="81"/>
            <rFont val="Tahoma"/>
            <family val="2"/>
          </rPr>
          <t>VFD Supply_Return Fan Tables</t>
        </r>
      </text>
    </comment>
    <comment ref="I328" authorId="0" shapeId="0">
      <text>
        <r>
          <rPr>
            <sz val="9"/>
            <color indexed="81"/>
            <rFont val="Tahoma"/>
            <family val="2"/>
          </rPr>
          <t>VFD Supply_Return Fan Tables</t>
        </r>
      </text>
    </comment>
    <comment ref="J328" authorId="0" shapeId="0">
      <text>
        <r>
          <rPr>
            <sz val="9"/>
            <color indexed="81"/>
            <rFont val="Tahoma"/>
            <family val="2"/>
          </rPr>
          <t>VFD Supply_Return Fan Tables</t>
        </r>
      </text>
    </comment>
    <comment ref="K328" authorId="0" shapeId="0">
      <text>
        <r>
          <rPr>
            <sz val="9"/>
            <color indexed="81"/>
            <rFont val="Tahoma"/>
            <family val="2"/>
          </rPr>
          <t>VFD Supply_Return Fan Tables</t>
        </r>
      </text>
    </comment>
    <comment ref="H329" authorId="0" shapeId="0">
      <text>
        <r>
          <rPr>
            <sz val="9"/>
            <color indexed="81"/>
            <rFont val="Tahoma"/>
            <family val="2"/>
          </rPr>
          <t>Assumed 20HP ODP 4-pole 1800RPM</t>
        </r>
      </text>
    </comment>
    <comment ref="E333" authorId="0" shapeId="0">
      <text>
        <r>
          <rPr>
            <sz val="9"/>
            <color indexed="81"/>
            <rFont val="Tahoma"/>
            <family val="2"/>
          </rPr>
          <t>changed name to include packaged and split sytems - aligns with Vol2 description</t>
        </r>
      </text>
    </comment>
    <comment ref="G346" authorId="0" shapeId="0">
      <text>
        <r>
          <rPr>
            <sz val="9"/>
            <color indexed="81"/>
            <rFont val="Tahoma"/>
            <family val="2"/>
          </rPr>
          <t>2009 IECC</t>
        </r>
      </text>
    </comment>
    <comment ref="I346" authorId="0" shapeId="0">
      <text>
        <r>
          <rPr>
            <sz val="9"/>
            <color indexed="81"/>
            <rFont val="Tahoma"/>
            <family val="2"/>
          </rPr>
          <t>2009 IECC</t>
        </r>
      </text>
    </comment>
    <comment ref="G369" authorId="0" shapeId="0">
      <text>
        <r>
          <rPr>
            <sz val="9"/>
            <color indexed="81"/>
            <rFont val="Tahoma"/>
            <family val="2"/>
          </rPr>
          <t>2009 IECC</t>
        </r>
      </text>
    </comment>
    <comment ref="I369" authorId="0" shapeId="0">
      <text>
        <r>
          <rPr>
            <sz val="9"/>
            <color indexed="81"/>
            <rFont val="Tahoma"/>
            <family val="2"/>
          </rPr>
          <t>2009 IECC</t>
        </r>
      </text>
    </comment>
    <comment ref="N369" authorId="0" shapeId="0">
      <text>
        <r>
          <rPr>
            <sz val="9"/>
            <color indexed="81"/>
            <rFont val="Tahoma"/>
            <family val="2"/>
          </rPr>
          <t>2009 IECC</t>
        </r>
      </text>
    </comment>
    <comment ref="G370" authorId="0" shapeId="0">
      <text>
        <r>
          <rPr>
            <sz val="9"/>
            <color indexed="81"/>
            <rFont val="Tahoma"/>
            <family val="2"/>
          </rPr>
          <t>2009 IECC</t>
        </r>
      </text>
    </comment>
    <comment ref="H370" authorId="0" shapeId="0">
      <text>
        <r>
          <rPr>
            <sz val="9"/>
            <color indexed="81"/>
            <rFont val="Tahoma"/>
            <family val="2"/>
          </rPr>
          <t>2015 IECC (First 2)</t>
        </r>
      </text>
    </comment>
    <comment ref="G388" authorId="0" shapeId="0">
      <text>
        <r>
          <rPr>
            <sz val="9"/>
            <color indexed="81"/>
            <rFont val="Tahoma"/>
            <family val="2"/>
          </rPr>
          <t>2009 IECC</t>
        </r>
      </text>
    </comment>
    <comment ref="N523" authorId="0" shapeId="0">
      <text>
        <r>
          <rPr>
            <b/>
            <sz val="9"/>
            <color indexed="81"/>
            <rFont val="Tahoma"/>
            <family val="2"/>
          </rPr>
          <t xml:space="preserve">Cut and pasted this entire section of inputs below the inputs above to allow room room for revision updates to the right of column "U" </t>
        </r>
      </text>
    </comment>
    <comment ref="G674" authorId="0" shapeId="0">
      <text>
        <r>
          <rPr>
            <sz val="9"/>
            <color indexed="81"/>
            <rFont val="Tahoma"/>
            <family val="2"/>
          </rPr>
          <t>Average of Table</t>
        </r>
      </text>
    </comment>
    <comment ref="H674" authorId="0" shapeId="0">
      <text>
        <r>
          <rPr>
            <sz val="9"/>
            <color indexed="81"/>
            <rFont val="Tahoma"/>
            <family val="2"/>
          </rPr>
          <t>Average of Table</t>
        </r>
      </text>
    </comment>
  </commentList>
</comments>
</file>

<file path=xl/comments10.xml><?xml version="1.0" encoding="utf-8"?>
<comments xmlns="http://schemas.openxmlformats.org/spreadsheetml/2006/main">
  <authors>
    <author>Author</author>
  </authors>
  <commentList>
    <comment ref="Z6" authorId="0" shapeId="0">
      <text>
        <r>
          <rPr>
            <b/>
            <sz val="9"/>
            <color indexed="81"/>
            <rFont val="Tahoma"/>
            <family val="2"/>
          </rPr>
          <t>11 Step updates</t>
        </r>
      </text>
    </comment>
  </commentList>
</comments>
</file>

<file path=xl/comments11.xml><?xml version="1.0" encoding="utf-8"?>
<comments xmlns="http://schemas.openxmlformats.org/spreadsheetml/2006/main">
  <authors>
    <author>Author</author>
  </authors>
  <commentList>
    <comment ref="H6" authorId="0" shapeId="0">
      <text>
        <r>
          <rPr>
            <b/>
            <sz val="9"/>
            <color indexed="81"/>
            <rFont val="Tahoma"/>
            <family val="2"/>
          </rPr>
          <t xml:space="preserve">EO bucket for 1st year savings
</t>
        </r>
      </text>
    </comment>
    <comment ref="I6" authorId="0" shapeId="0">
      <text>
        <r>
          <rPr>
            <b/>
            <sz val="9"/>
            <color indexed="81"/>
            <rFont val="Tahoma"/>
            <family val="2"/>
          </rPr>
          <t xml:space="preserve">Author:
</t>
        </r>
      </text>
    </comment>
    <comment ref="J6" authorId="0" shapeId="0">
      <text>
        <r>
          <rPr>
            <b/>
            <sz val="9"/>
            <color indexed="81"/>
            <rFont val="Tahoma"/>
            <family val="2"/>
          </rPr>
          <t xml:space="preserve">Author:
</t>
        </r>
      </text>
    </comment>
    <comment ref="N6" authorId="0" shapeId="0">
      <text>
        <r>
          <rPr>
            <b/>
            <sz val="9"/>
            <color indexed="81"/>
            <rFont val="Tahoma"/>
            <family val="2"/>
          </rPr>
          <t xml:space="preserve">Author:
</t>
        </r>
      </text>
    </comment>
    <comment ref="O6" authorId="0" shapeId="0">
      <text>
        <r>
          <rPr>
            <b/>
            <sz val="9"/>
            <color indexed="81"/>
            <rFont val="Tahoma"/>
            <family val="2"/>
          </rPr>
          <t xml:space="preserve">Author:
</t>
        </r>
      </text>
    </comment>
    <comment ref="P6" authorId="0" shapeId="0">
      <text>
        <r>
          <rPr>
            <b/>
            <sz val="9"/>
            <color indexed="81"/>
            <rFont val="Tahoma"/>
            <family val="2"/>
          </rPr>
          <t xml:space="preserve">Author:
</t>
        </r>
      </text>
    </comment>
    <comment ref="AB6" authorId="0" shapeId="0">
      <text>
        <r>
          <rPr>
            <b/>
            <sz val="9"/>
            <color indexed="81"/>
            <rFont val="Tahoma"/>
            <family val="2"/>
          </rPr>
          <t>These are the benefits that would be derived from measures installed in 2020 to adjust the program year, the benefits in the deemed tables (~column BD) would need to lookup from a different column in the avoided cost benefit tab</t>
        </r>
      </text>
    </comment>
    <comment ref="AN9" authorId="0" shapeId="0">
      <text>
        <r>
          <rPr>
            <b/>
            <sz val="9"/>
            <color indexed="81"/>
            <rFont val="Tahoma"/>
            <family val="2"/>
          </rPr>
          <t>Author:</t>
        </r>
        <r>
          <rPr>
            <sz val="9"/>
            <color indexed="81"/>
            <rFont val="Tahoma"/>
            <family val="2"/>
          </rPr>
          <t xml:space="preserve">
mix of res &amp; Bus lighting end use causes some variance</t>
        </r>
      </text>
    </comment>
  </commentList>
</comments>
</file>

<file path=xl/comments2.xml><?xml version="1.0" encoding="utf-8"?>
<comments xmlns="http://schemas.openxmlformats.org/spreadsheetml/2006/main">
  <authors>
    <author>Author</author>
  </authors>
  <commentList>
    <comment ref="X6" authorId="0" shapeId="0">
      <text>
        <r>
          <rPr>
            <b/>
            <sz val="9"/>
            <color indexed="81"/>
            <rFont val="Tahoma"/>
            <family val="2"/>
          </rPr>
          <t>Author:</t>
        </r>
        <r>
          <rPr>
            <sz val="9"/>
            <color indexed="81"/>
            <rFont val="Tahoma"/>
            <family val="2"/>
          </rPr>
          <t xml:space="preserve">
PY17 Results</t>
        </r>
      </text>
    </commen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X45" authorId="0" shapeId="0">
      <text>
        <r>
          <rPr>
            <b/>
            <sz val="9"/>
            <color indexed="81"/>
            <rFont val="Tahoma"/>
            <family val="2"/>
          </rPr>
          <t xml:space="preserve">One measures "12W_LED_Dimmable" showed a base watts last year of 76.3 watts and this year it showed a base watts of 60.0 watts (dropped savings from 70.5 down to 47.3) - only 3k measues in this bucket in 2017  -------------
From Evaluation:
We made a methodology change.  Instead of using the maximum wattage to evaluate 3-ways, we used the middle wattage to be more consistent with other evaluations.  Three-way bulbs are consistently a tiny fraction of the market, so it had a limited impact on savings.  </t>
        </r>
      </text>
    </comment>
  </commentList>
</comments>
</file>

<file path=xl/comments3.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W29" authorId="0" shapeId="0">
      <text>
        <r>
          <rPr>
            <b/>
            <sz val="9"/>
            <color indexed="81"/>
            <rFont val="Tahoma"/>
            <family val="2"/>
          </rPr>
          <t>Cadmus EM&amp;V 2016 value for gallons per day, 64, divided by people per household.  
Cadmus source for gallons per a day is 'DOE Federal Energy Management Program Energy Cost Calculator'</t>
        </r>
        <r>
          <rPr>
            <sz val="9"/>
            <color indexed="81"/>
            <rFont val="Tahoma"/>
            <family val="2"/>
          </rPr>
          <t xml:space="preserve">
</t>
        </r>
      </text>
    </comment>
    <comment ref="W33" authorId="0" shapeId="0">
      <text>
        <r>
          <rPr>
            <b/>
            <sz val="9"/>
            <color indexed="81"/>
            <rFont val="Tahoma"/>
            <family val="2"/>
          </rPr>
          <t>Ameren TRM</t>
        </r>
      </text>
    </comment>
    <comment ref="D38" authorId="0" shapeId="0">
      <text>
        <r>
          <rPr>
            <sz val="9"/>
            <color indexed="81"/>
            <rFont val="Tahoma"/>
            <family val="2"/>
          </rPr>
          <t xml:space="preserve">Changed these from descriptions to actual factors in the equation - just formating change no update to the values or how they were used
</t>
        </r>
      </text>
    </comment>
    <comment ref="W45" authorId="0" shapeId="0">
      <text>
        <r>
          <rPr>
            <b/>
            <sz val="9"/>
            <color indexed="81"/>
            <rFont val="Tahoma"/>
            <family val="2"/>
          </rPr>
          <t>Infiltration Factor Calculation Methodology by Bruce Harley, Senior Manager, Applied Building Science, CLEAResult 11/18/2015</t>
        </r>
      </text>
    </comment>
    <comment ref="X47" authorId="0" shapeId="0">
      <text>
        <r>
          <rPr>
            <b/>
            <sz val="9"/>
            <color indexed="81"/>
            <rFont val="Tahoma"/>
            <family val="2"/>
          </rPr>
          <t>PY16 Efficient Products Survey Results (customers with HPWH)</t>
        </r>
        <r>
          <rPr>
            <sz val="9"/>
            <color indexed="81"/>
            <rFont val="Tahoma"/>
            <family val="2"/>
          </rPr>
          <t xml:space="preserve">
</t>
        </r>
      </text>
    </comment>
    <comment ref="X48" authorId="0" shapeId="0">
      <text>
        <r>
          <rPr>
            <b/>
            <sz val="9"/>
            <color indexed="81"/>
            <rFont val="Tahoma"/>
            <family val="2"/>
          </rPr>
          <t>PY16 Efficient Products Survey Results (customers with HPWH)</t>
        </r>
        <r>
          <rPr>
            <sz val="9"/>
            <color indexed="81"/>
            <rFont val="Tahoma"/>
            <family val="2"/>
          </rPr>
          <t xml:space="preserve">
</t>
        </r>
      </text>
    </comment>
    <comment ref="W105" authorId="0" shapeId="0">
      <text>
        <r>
          <rPr>
            <b/>
            <sz val="9"/>
            <color indexed="81"/>
            <rFont val="Tahoma"/>
            <family val="2"/>
          </rPr>
          <t>St Louis - Heat Pump- MO TRM</t>
        </r>
        <r>
          <rPr>
            <sz val="9"/>
            <color indexed="81"/>
            <rFont val="Tahoma"/>
            <family val="2"/>
          </rPr>
          <t xml:space="preserve">
</t>
        </r>
      </text>
    </comment>
    <comment ref="X105" authorId="0" shapeId="0">
      <text>
        <r>
          <rPr>
            <sz val="9"/>
            <color indexed="81"/>
            <rFont val="Tahoma"/>
            <family val="2"/>
          </rPr>
          <t xml:space="preserve">Filterd data on "Cooling"  for Heat Pump measures - took average
</t>
        </r>
      </text>
    </comment>
    <comment ref="Y105" authorId="0" shapeId="0">
      <text>
        <r>
          <rPr>
            <sz val="9"/>
            <color indexed="81"/>
            <rFont val="Tahoma"/>
            <family val="2"/>
          </rPr>
          <t xml:space="preserve"> updated values by filtering thermostat data by heating/cooling type.</t>
        </r>
      </text>
    </comment>
    <comment ref="W108" authorId="0" shapeId="0">
      <text>
        <r>
          <rPr>
            <b/>
            <sz val="9"/>
            <color indexed="81"/>
            <rFont val="Tahoma"/>
            <family val="2"/>
          </rPr>
          <t>St Louis - Resistance - MO TRM</t>
        </r>
        <r>
          <rPr>
            <sz val="9"/>
            <color indexed="81"/>
            <rFont val="Tahoma"/>
            <family val="2"/>
          </rPr>
          <t xml:space="preserve">
</t>
        </r>
      </text>
    </comment>
    <comment ref="W110" authorId="0" shapeId="0">
      <text>
        <r>
          <rPr>
            <b/>
            <sz val="9"/>
            <color indexed="81"/>
            <rFont val="Tahoma"/>
            <family val="2"/>
          </rPr>
          <t xml:space="preserve">St Louis - Resistance - MO TRM
</t>
        </r>
        <r>
          <rPr>
            <sz val="9"/>
            <color indexed="81"/>
            <rFont val="Tahoma"/>
            <family val="2"/>
          </rPr>
          <t xml:space="preserve">
</t>
        </r>
      </text>
    </comment>
    <comment ref="X114" authorId="0" shapeId="0">
      <text>
        <r>
          <rPr>
            <sz val="9"/>
            <color indexed="81"/>
            <rFont val="Tahoma"/>
            <family val="2"/>
          </rPr>
          <t xml:space="preserve">If you exclude gas systems from Gas data, this average value is 12,382.71  Used this value as gas measures have own line item (set as "0")
</t>
        </r>
      </text>
    </comment>
    <comment ref="W125" authorId="0" shapeId="0">
      <text>
        <r>
          <rPr>
            <b/>
            <sz val="9"/>
            <color indexed="81"/>
            <rFont val="Tahoma"/>
            <family val="2"/>
          </rPr>
          <t>MO - TRM</t>
        </r>
      </text>
    </comment>
    <comment ref="X125" authorId="0" shapeId="0">
      <text>
        <r>
          <rPr>
            <sz val="9"/>
            <color indexed="81"/>
            <rFont val="Tahoma"/>
            <family val="2"/>
          </rPr>
          <t>This is a weighted average of the types shown in the Word TRM document
Frequency was 41,55,4</t>
        </r>
      </text>
    </comment>
    <comment ref="X147" authorId="0" shapeId="0">
      <text>
        <r>
          <rPr>
            <sz val="9"/>
            <color indexed="81"/>
            <rFont val="Tahoma"/>
            <family val="2"/>
          </rPr>
          <t>Used default value for MF (SF x 65%)</t>
        </r>
      </text>
    </comment>
    <comment ref="Y147" authorId="0" shapeId="0">
      <text>
        <r>
          <rPr>
            <sz val="9"/>
            <color indexed="81"/>
            <rFont val="Tahoma"/>
            <family val="2"/>
          </rPr>
          <t xml:space="preserve">Corrected  to match SF value - The 65% factor is being applied to adjust SF capacities &amp;  heating consumption downward for MF to calculate savings
</t>
        </r>
      </text>
    </comment>
    <comment ref="W156" authorId="0" shapeId="0">
      <text>
        <r>
          <rPr>
            <b/>
            <sz val="9"/>
            <color indexed="81"/>
            <rFont val="Tahoma"/>
            <family val="2"/>
          </rPr>
          <t>MO - TRM</t>
        </r>
      </text>
    </comment>
    <comment ref="G234" authorId="0" shapeId="0">
      <text>
        <r>
          <rPr>
            <sz val="9"/>
            <color indexed="81"/>
            <rFont val="Tahoma"/>
            <family val="2"/>
          </rPr>
          <t>PY2018 Evaluation updated to HVAC RES end use in calculations. Previously: Miscellaneous RES</t>
        </r>
      </text>
    </comment>
    <comment ref="W243" authorId="0" shapeId="0">
      <text>
        <r>
          <rPr>
            <b/>
            <sz val="9"/>
            <color indexed="81"/>
            <rFont val="Tahoma"/>
            <family val="2"/>
          </rPr>
          <t>PY16 EfficientProducts Database - Average CADR/Watt, updated Mar 2017</t>
        </r>
        <r>
          <rPr>
            <sz val="9"/>
            <color indexed="81"/>
            <rFont val="Tahoma"/>
            <family val="2"/>
          </rPr>
          <t xml:space="preserve">
</t>
        </r>
      </text>
    </comment>
    <comment ref="X243" authorId="0" shapeId="0">
      <text>
        <r>
          <rPr>
            <b/>
            <sz val="9"/>
            <color indexed="81"/>
            <rFont val="Tahoma"/>
            <family val="2"/>
          </rPr>
          <t>PY17 EfficientProducts Database</t>
        </r>
      </text>
    </comment>
    <comment ref="W245" authorId="0" shapeId="0">
      <text>
        <r>
          <rPr>
            <b/>
            <sz val="9"/>
            <color indexed="81"/>
            <rFont val="Tahoma"/>
            <family val="2"/>
          </rPr>
          <t xml:space="preserve">PY16 EfficientProducts Database - Average standby power, updated Mar 2017
</t>
        </r>
        <r>
          <rPr>
            <sz val="9"/>
            <color indexed="81"/>
            <rFont val="Tahoma"/>
            <family val="2"/>
          </rPr>
          <t xml:space="preserve">
</t>
        </r>
      </text>
    </comment>
    <comment ref="X245" authorId="0" shapeId="0">
      <text>
        <r>
          <rPr>
            <b/>
            <sz val="9"/>
            <color indexed="81"/>
            <rFont val="Tahoma"/>
            <family val="2"/>
          </rPr>
          <t>PY17 EfficientProducts Database</t>
        </r>
        <r>
          <rPr>
            <sz val="9"/>
            <color indexed="81"/>
            <rFont val="Tahoma"/>
            <family val="2"/>
          </rPr>
          <t xml:space="preserve">
</t>
        </r>
      </text>
    </comment>
    <comment ref="W247" authorId="0" shapeId="0">
      <text>
        <r>
          <rPr>
            <b/>
            <sz val="9"/>
            <color indexed="81"/>
            <rFont val="Tahoma"/>
            <family val="2"/>
          </rPr>
          <t xml:space="preserve">PY16 EfficientProducts Database - Average dust-free delivery rate, updated Mar 2017
</t>
        </r>
        <r>
          <rPr>
            <sz val="9"/>
            <color indexed="81"/>
            <rFont val="Tahoma"/>
            <family val="2"/>
          </rPr>
          <t xml:space="preserve">
</t>
        </r>
      </text>
    </comment>
    <comment ref="X247" authorId="0" shapeId="0">
      <text>
        <r>
          <rPr>
            <b/>
            <sz val="9"/>
            <color indexed="81"/>
            <rFont val="Tahoma"/>
            <family val="2"/>
          </rPr>
          <t>PY17 EfficientProducts Database</t>
        </r>
        <r>
          <rPr>
            <sz val="9"/>
            <color indexed="81"/>
            <rFont val="Tahoma"/>
            <family val="2"/>
          </rPr>
          <t xml:space="preserve">
</t>
        </r>
      </text>
    </comment>
    <comment ref="E265" authorId="0" shapeId="0">
      <text>
        <r>
          <rPr>
            <b/>
            <sz val="9"/>
            <color indexed="81"/>
            <rFont val="Tahoma"/>
            <family val="2"/>
          </rPr>
          <t>THESE CATEGORIES WERE TITLED WRONG - SIMPLY FLIPPED THE NAMES TOP TO BOTTOM</t>
        </r>
      </text>
    </comment>
    <comment ref="W296" authorId="0" shapeId="0">
      <text>
        <r>
          <rPr>
            <b/>
            <sz val="9"/>
            <color indexed="81"/>
            <rFont val="Tahoma"/>
            <family val="2"/>
          </rPr>
          <t>PY13 RebateSavers Database (average BTU)</t>
        </r>
        <r>
          <rPr>
            <sz val="9"/>
            <color indexed="81"/>
            <rFont val="Tahoma"/>
            <family val="2"/>
          </rPr>
          <t xml:space="preserve">
</t>
        </r>
      </text>
    </comment>
    <comment ref="W297" authorId="0" shapeId="0">
      <text>
        <r>
          <rPr>
            <b/>
            <sz val="9"/>
            <color indexed="81"/>
            <rFont val="Tahoma"/>
            <family val="2"/>
          </rPr>
          <t>Federal minimum efficiency standard (updated from EER to CEER in March 2017)</t>
        </r>
        <r>
          <rPr>
            <sz val="9"/>
            <color indexed="81"/>
            <rFont val="Tahoma"/>
            <family val="2"/>
          </rPr>
          <t xml:space="preserve">
</t>
        </r>
      </text>
    </comment>
    <comment ref="X297" authorId="0" shapeId="0">
      <text>
        <r>
          <rPr>
            <b/>
            <sz val="9"/>
            <color indexed="81"/>
            <rFont val="Tahoma"/>
            <family val="2"/>
          </rPr>
          <t>https://www.energystar.gov/products/heating_cooling/air_conditioning_room/key_product_criteria
Federal minimum efficiency standard (updated from EER to CEER in March 2017) based on size of rebated unit</t>
        </r>
      </text>
    </comment>
    <comment ref="X300"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300" authorId="0" shapeId="0">
      <text>
        <r>
          <rPr>
            <b/>
            <sz val="9"/>
            <color indexed="81"/>
            <rFont val="Tahoma"/>
            <family val="2"/>
          </rPr>
          <t>EM&amp;V did not identify secondary vs primary unit, therefore did not update these values</t>
        </r>
        <r>
          <rPr>
            <sz val="9"/>
            <color indexed="81"/>
            <rFont val="Tahoma"/>
            <family val="2"/>
          </rPr>
          <t xml:space="preserve">
PY18 EM&amp;V specified a different input based upon location (weighted average ended up 537)
</t>
        </r>
      </text>
    </comment>
  </commentList>
</comments>
</file>

<file path=xl/comments4.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X35"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C45" authorId="0" shapeId="0">
      <text>
        <r>
          <rPr>
            <b/>
            <sz val="9"/>
            <color indexed="81"/>
            <rFont val="Tahoma"/>
            <family val="2"/>
          </rPr>
          <t>Author:</t>
        </r>
        <r>
          <rPr>
            <sz val="9"/>
            <color indexed="81"/>
            <rFont val="Tahoma"/>
            <family val="2"/>
          </rPr>
          <t xml:space="preserve">
in NOV 2019 TRM update this value was 2018_12 and should have been changed to 2019_12</t>
        </r>
      </text>
    </comment>
    <comment ref="W67" authorId="0" shapeId="0">
      <text>
        <r>
          <rPr>
            <b/>
            <sz val="9"/>
            <color indexed="81"/>
            <rFont val="Tahoma"/>
            <family val="2"/>
          </rPr>
          <t>PY16 Engineering Simulation Modeling adjusted for heating and cooling saturations</t>
        </r>
      </text>
    </comment>
    <comment ref="AI67" authorId="0" shapeId="0">
      <text>
        <r>
          <rPr>
            <b/>
            <sz val="9"/>
            <color indexed="81"/>
            <rFont val="Tahoma"/>
            <family val="2"/>
          </rPr>
          <t xml:space="preserve">PY16 Engineering Simulation Modeling adjusted for heating and cooling saturations </t>
        </r>
        <r>
          <rPr>
            <sz val="9"/>
            <color indexed="81"/>
            <rFont val="Tahoma"/>
            <family val="2"/>
          </rPr>
          <t xml:space="preserve">
</t>
        </r>
      </text>
    </comment>
    <comment ref="W69" authorId="0" shapeId="0">
      <text>
        <r>
          <rPr>
            <b/>
            <sz val="9"/>
            <color indexed="81"/>
            <rFont val="Tahoma"/>
            <family val="2"/>
          </rPr>
          <t xml:space="preserve">PY16 Energy Efficiency Kits School Survey Results </t>
        </r>
        <r>
          <rPr>
            <sz val="9"/>
            <color indexed="81"/>
            <rFont val="Tahoma"/>
            <family val="2"/>
          </rPr>
          <t xml:space="preserve">
</t>
        </r>
      </text>
    </comment>
    <comment ref="W70" authorId="0" shapeId="0">
      <text>
        <r>
          <rPr>
            <b/>
            <sz val="9"/>
            <color indexed="81"/>
            <rFont val="Tahoma"/>
            <family val="2"/>
          </rPr>
          <t xml:space="preserve">PY16 Energy Efficiency Kits School Survey Results </t>
        </r>
        <r>
          <rPr>
            <sz val="9"/>
            <color indexed="81"/>
            <rFont val="Tahoma"/>
            <family val="2"/>
          </rPr>
          <t xml:space="preserve">
</t>
        </r>
      </text>
    </comment>
    <comment ref="AI70" authorId="0" shapeId="0">
      <text>
        <r>
          <rPr>
            <b/>
            <sz val="9"/>
            <color indexed="81"/>
            <rFont val="Tahoma"/>
            <family val="2"/>
          </rPr>
          <t xml:space="preserve">PY15 Evaluation </t>
        </r>
        <r>
          <rPr>
            <sz val="9"/>
            <color indexed="81"/>
            <rFont val="Tahoma"/>
            <family val="2"/>
          </rPr>
          <t xml:space="preserve">
</t>
        </r>
      </text>
    </comment>
    <comment ref="W89" authorId="0" shapeId="0">
      <text>
        <r>
          <rPr>
            <b/>
            <sz val="9"/>
            <color indexed="81"/>
            <rFont val="Tahoma"/>
            <family val="2"/>
          </rPr>
          <t>PY16 Energy Efficiency Kits School Survey Results</t>
        </r>
        <r>
          <rPr>
            <sz val="9"/>
            <color indexed="81"/>
            <rFont val="Tahoma"/>
            <family val="2"/>
          </rPr>
          <t xml:space="preserve">
</t>
        </r>
      </text>
    </comment>
    <comment ref="AI89" authorId="0" shapeId="0">
      <text>
        <r>
          <rPr>
            <b/>
            <sz val="9"/>
            <color indexed="81"/>
            <rFont val="Tahoma"/>
            <family val="2"/>
          </rPr>
          <t>Assumption based on program design</t>
        </r>
      </text>
    </comment>
    <comment ref="W94" authorId="0" shapeId="0">
      <text>
        <r>
          <rPr>
            <b/>
            <sz val="9"/>
            <color indexed="81"/>
            <rFont val="Tahoma"/>
            <family val="2"/>
          </rPr>
          <t>PY16 Energy Efficiency Kits School Survey Results</t>
        </r>
        <r>
          <rPr>
            <sz val="9"/>
            <color indexed="81"/>
            <rFont val="Tahoma"/>
            <family val="2"/>
          </rPr>
          <t xml:space="preserve">
</t>
        </r>
      </text>
    </comment>
    <comment ref="AI94" authorId="0" shapeId="0">
      <text>
        <r>
          <rPr>
            <b/>
            <sz val="9"/>
            <color indexed="81"/>
            <rFont val="Tahoma"/>
            <family val="2"/>
          </rPr>
          <t xml:space="preserve">PY14 Community Savers Program Data </t>
        </r>
        <r>
          <rPr>
            <sz val="9"/>
            <color indexed="81"/>
            <rFont val="Tahoma"/>
            <family val="2"/>
          </rPr>
          <t xml:space="preserve">
</t>
        </r>
      </text>
    </comment>
    <comment ref="AI97" authorId="0" shapeId="0">
      <text>
        <r>
          <rPr>
            <b/>
            <sz val="9"/>
            <color indexed="81"/>
            <rFont val="Tahoma"/>
            <family val="2"/>
          </rPr>
          <t>PY13 Program Data</t>
        </r>
        <r>
          <rPr>
            <sz val="9"/>
            <color indexed="81"/>
            <rFont val="Tahoma"/>
            <family val="2"/>
          </rPr>
          <t xml:space="preserve">
</t>
        </r>
      </text>
    </comment>
    <comment ref="W104" authorId="0" shapeId="0">
      <text>
        <r>
          <rPr>
            <b/>
            <sz val="9"/>
            <color indexed="81"/>
            <rFont val="Tahoma"/>
            <family val="2"/>
          </rPr>
          <t>PY16 Energy Efficiency Kits School Survey Results</t>
        </r>
        <r>
          <rPr>
            <sz val="9"/>
            <color indexed="81"/>
            <rFont val="Tahoma"/>
            <family val="2"/>
          </rPr>
          <t xml:space="preserve">
</t>
        </r>
      </text>
    </comment>
    <comment ref="AI104" authorId="0" shapeId="0">
      <text>
        <r>
          <rPr>
            <b/>
            <sz val="9"/>
            <color indexed="81"/>
            <rFont val="Tahoma"/>
            <family val="2"/>
          </rPr>
          <t>Assumption based on program design</t>
        </r>
        <r>
          <rPr>
            <sz val="9"/>
            <color indexed="81"/>
            <rFont val="Tahoma"/>
            <family val="2"/>
          </rPr>
          <t xml:space="preserve">
</t>
        </r>
      </text>
    </comment>
    <comment ref="W105" authorId="0" shapeId="0">
      <text>
        <r>
          <rPr>
            <b/>
            <sz val="9"/>
            <color indexed="81"/>
            <rFont val="Tahoma"/>
            <family val="2"/>
          </rPr>
          <t>PY16 Energy Efficiency Kits School Survey Results</t>
        </r>
        <r>
          <rPr>
            <sz val="9"/>
            <color indexed="81"/>
            <rFont val="Tahoma"/>
            <family val="2"/>
          </rPr>
          <t xml:space="preserve">
</t>
        </r>
      </text>
    </comment>
    <comment ref="AI105" authorId="0" shapeId="0">
      <text>
        <r>
          <rPr>
            <b/>
            <sz val="9"/>
            <color indexed="81"/>
            <rFont val="Tahoma"/>
            <family val="2"/>
          </rPr>
          <t xml:space="preserve">PY15 Evaluation </t>
        </r>
      </text>
    </comment>
    <comment ref="W124" authorId="0" shapeId="0">
      <text>
        <r>
          <rPr>
            <b/>
            <sz val="9"/>
            <color indexed="81"/>
            <rFont val="Tahoma"/>
            <family val="2"/>
          </rPr>
          <t xml:space="preserve">PY16 Energy Efficiency Kits School Survey Results </t>
        </r>
        <r>
          <rPr>
            <sz val="9"/>
            <color indexed="81"/>
            <rFont val="Tahoma"/>
            <family val="2"/>
          </rPr>
          <t xml:space="preserve">
</t>
        </r>
      </text>
    </comment>
    <comment ref="AI124" authorId="0" shapeId="0">
      <text>
        <r>
          <rPr>
            <b/>
            <sz val="9"/>
            <color indexed="81"/>
            <rFont val="Tahoma"/>
            <family val="2"/>
          </rPr>
          <t>Assumption based on program design</t>
        </r>
        <r>
          <rPr>
            <sz val="9"/>
            <color indexed="81"/>
            <rFont val="Tahoma"/>
            <family val="2"/>
          </rPr>
          <t xml:space="preserve">
</t>
        </r>
      </text>
    </comment>
    <comment ref="W129" authorId="0" shapeId="0">
      <text>
        <r>
          <rPr>
            <b/>
            <sz val="9"/>
            <color indexed="81"/>
            <rFont val="Tahoma"/>
            <family val="2"/>
          </rPr>
          <t xml:space="preserve">PY16 Energy Efficiency Kits School Survey Results </t>
        </r>
        <r>
          <rPr>
            <sz val="9"/>
            <color indexed="81"/>
            <rFont val="Tahoma"/>
            <family val="2"/>
          </rPr>
          <t xml:space="preserve">
</t>
        </r>
      </text>
    </comment>
    <comment ref="AI129" authorId="0" shapeId="0">
      <text>
        <r>
          <rPr>
            <b/>
            <sz val="9"/>
            <color indexed="81"/>
            <rFont val="Tahoma"/>
            <family val="2"/>
          </rPr>
          <t xml:space="preserve">PY14 Community Savers Program Data </t>
        </r>
        <r>
          <rPr>
            <sz val="9"/>
            <color indexed="81"/>
            <rFont val="Tahoma"/>
            <family val="2"/>
          </rPr>
          <t xml:space="preserve">
</t>
        </r>
      </text>
    </comment>
    <comment ref="W132" authorId="0" shapeId="0">
      <text>
        <r>
          <rPr>
            <b/>
            <sz val="9"/>
            <color indexed="81"/>
            <rFont val="Tahoma"/>
            <family val="2"/>
          </rPr>
          <t xml:space="preserve">PY16 Energy Efficiency Kits School Survey Results </t>
        </r>
        <r>
          <rPr>
            <sz val="9"/>
            <color indexed="81"/>
            <rFont val="Tahoma"/>
            <family val="2"/>
          </rPr>
          <t xml:space="preserve">
</t>
        </r>
      </text>
    </comment>
    <comment ref="AI132" authorId="0" shapeId="0">
      <text>
        <r>
          <rPr>
            <b/>
            <sz val="9"/>
            <color indexed="81"/>
            <rFont val="Tahoma"/>
            <family val="2"/>
          </rPr>
          <t>PY13 Program Data</t>
        </r>
        <r>
          <rPr>
            <sz val="9"/>
            <color indexed="81"/>
            <rFont val="Tahoma"/>
            <family val="2"/>
          </rPr>
          <t xml:space="preserve">
</t>
        </r>
      </text>
    </comment>
    <comment ref="W139" authorId="0" shapeId="0">
      <text>
        <r>
          <rPr>
            <b/>
            <sz val="9"/>
            <color indexed="81"/>
            <rFont val="Tahoma"/>
            <family val="2"/>
          </rPr>
          <t xml:space="preserve">PY16 Energy Efficiency Kits School Survey Results </t>
        </r>
      </text>
    </comment>
    <comment ref="AI139" authorId="0" shapeId="0">
      <text>
        <r>
          <rPr>
            <b/>
            <sz val="9"/>
            <color indexed="81"/>
            <rFont val="Tahoma"/>
            <family val="2"/>
          </rPr>
          <t>Assumption based on program design</t>
        </r>
      </text>
    </comment>
    <comment ref="W140" authorId="0" shapeId="0">
      <text>
        <r>
          <rPr>
            <b/>
            <sz val="9"/>
            <color indexed="81"/>
            <rFont val="Tahoma"/>
            <family val="2"/>
          </rPr>
          <t xml:space="preserve">PY16 Energy Efficiency Kits School Survey Results </t>
        </r>
        <r>
          <rPr>
            <sz val="9"/>
            <color indexed="81"/>
            <rFont val="Tahoma"/>
            <family val="2"/>
          </rPr>
          <t xml:space="preserve">
</t>
        </r>
      </text>
    </comment>
    <comment ref="AI140" authorId="0" shapeId="0">
      <text>
        <r>
          <rPr>
            <b/>
            <sz val="9"/>
            <color indexed="81"/>
            <rFont val="Tahoma"/>
            <family val="2"/>
          </rPr>
          <t xml:space="preserve">PY15 Evaluation </t>
        </r>
      </text>
    </comment>
    <comment ref="K148" authorId="0" shapeId="0">
      <text>
        <r>
          <rPr>
            <b/>
            <sz val="9"/>
            <color indexed="81"/>
            <rFont val="Tahoma"/>
            <family val="2"/>
          </rPr>
          <t>no update to value just correcting cell references here.</t>
        </r>
        <r>
          <rPr>
            <sz val="9"/>
            <color indexed="81"/>
            <rFont val="Tahoma"/>
            <family val="2"/>
          </rPr>
          <t xml:space="preserve">
</t>
        </r>
      </text>
    </comment>
    <comment ref="W159" authorId="0" shapeId="0">
      <text>
        <r>
          <rPr>
            <b/>
            <sz val="9"/>
            <color indexed="81"/>
            <rFont val="Tahoma"/>
            <family val="2"/>
          </rPr>
          <t>PY16 Energy Efficiency Kits School Survey Results</t>
        </r>
        <r>
          <rPr>
            <sz val="9"/>
            <color indexed="81"/>
            <rFont val="Tahoma"/>
            <family val="2"/>
          </rPr>
          <t xml:space="preserve">
</t>
        </r>
      </text>
    </comment>
    <comment ref="AI159" authorId="0" shapeId="0">
      <text>
        <r>
          <rPr>
            <b/>
            <sz val="9"/>
            <color indexed="81"/>
            <rFont val="Tahoma"/>
            <family val="2"/>
          </rPr>
          <t>Assumption based on program design</t>
        </r>
        <r>
          <rPr>
            <sz val="9"/>
            <color indexed="81"/>
            <rFont val="Tahoma"/>
            <family val="2"/>
          </rPr>
          <t xml:space="preserve">
</t>
        </r>
      </text>
    </comment>
    <comment ref="W164" authorId="0" shapeId="0">
      <text>
        <r>
          <rPr>
            <b/>
            <sz val="9"/>
            <color indexed="81"/>
            <rFont val="Tahoma"/>
            <family val="2"/>
          </rPr>
          <t>PY16 Energy Efficiency Kits School Survey Results </t>
        </r>
        <r>
          <rPr>
            <sz val="9"/>
            <color indexed="81"/>
            <rFont val="Tahoma"/>
            <family val="2"/>
          </rPr>
          <t xml:space="preserve">
</t>
        </r>
      </text>
    </comment>
    <comment ref="AI164" authorId="0" shapeId="0">
      <text>
        <r>
          <rPr>
            <b/>
            <sz val="9"/>
            <color indexed="81"/>
            <rFont val="Tahoma"/>
            <family val="2"/>
          </rPr>
          <t xml:space="preserve">PY14 Community Savers Program Data </t>
        </r>
        <r>
          <rPr>
            <sz val="9"/>
            <color indexed="81"/>
            <rFont val="Tahoma"/>
            <family val="2"/>
          </rPr>
          <t xml:space="preserve">
</t>
        </r>
      </text>
    </comment>
    <comment ref="W167" authorId="0" shapeId="0">
      <text>
        <r>
          <rPr>
            <b/>
            <sz val="9"/>
            <color indexed="81"/>
            <rFont val="Tahoma"/>
            <family val="2"/>
          </rPr>
          <t>PY16 Energy Efficiency Kits School Survey Results </t>
        </r>
      </text>
    </comment>
    <comment ref="AI167" authorId="0" shapeId="0">
      <text>
        <r>
          <rPr>
            <b/>
            <sz val="9"/>
            <color indexed="81"/>
            <rFont val="Tahoma"/>
            <family val="2"/>
          </rPr>
          <t>PY13 Program Data</t>
        </r>
        <r>
          <rPr>
            <sz val="9"/>
            <color indexed="81"/>
            <rFont val="Tahoma"/>
            <family val="2"/>
          </rPr>
          <t xml:space="preserve">
</t>
        </r>
      </text>
    </comment>
    <comment ref="W174" authorId="0" shapeId="0">
      <text>
        <r>
          <rPr>
            <b/>
            <sz val="9"/>
            <color indexed="81"/>
            <rFont val="Tahoma"/>
            <family val="2"/>
          </rPr>
          <t>PY16 Energy Efficiency Kits School Survey Results </t>
        </r>
        <r>
          <rPr>
            <sz val="9"/>
            <color indexed="81"/>
            <rFont val="Tahoma"/>
            <family val="2"/>
          </rPr>
          <t xml:space="preserve">
</t>
        </r>
      </text>
    </comment>
    <comment ref="AI174" authorId="0" shapeId="0">
      <text>
        <r>
          <rPr>
            <b/>
            <sz val="9"/>
            <color indexed="81"/>
            <rFont val="Tahoma"/>
            <family val="2"/>
          </rPr>
          <t>Assumption based on program design</t>
        </r>
      </text>
    </comment>
    <comment ref="W175" authorId="0" shapeId="0">
      <text>
        <r>
          <rPr>
            <b/>
            <sz val="9"/>
            <color indexed="81"/>
            <rFont val="Tahoma"/>
            <family val="2"/>
          </rPr>
          <t>PY16 Energy Efficiency Kits School Survey Results </t>
        </r>
        <r>
          <rPr>
            <sz val="9"/>
            <color indexed="81"/>
            <rFont val="Tahoma"/>
            <family val="2"/>
          </rPr>
          <t xml:space="preserve">
</t>
        </r>
      </text>
    </comment>
    <comment ref="AI175" authorId="0" shapeId="0">
      <text>
        <r>
          <rPr>
            <b/>
            <sz val="9"/>
            <color indexed="81"/>
            <rFont val="Tahoma"/>
            <family val="2"/>
          </rPr>
          <t xml:space="preserve">PY15 Evaluation </t>
        </r>
      </text>
    </comment>
    <comment ref="W200" authorId="0" shapeId="0">
      <text>
        <r>
          <rPr>
            <b/>
            <sz val="9"/>
            <color indexed="81"/>
            <rFont val="Tahoma"/>
            <family val="2"/>
          </rPr>
          <t xml:space="preserve">PY16 Energy Efficiency Kits School Survey Results </t>
        </r>
        <r>
          <rPr>
            <sz val="9"/>
            <color indexed="81"/>
            <rFont val="Tahoma"/>
            <family val="2"/>
          </rPr>
          <t xml:space="preserve">
</t>
        </r>
      </text>
    </comment>
    <comment ref="W201" authorId="0" shapeId="0">
      <text>
        <r>
          <rPr>
            <b/>
            <sz val="9"/>
            <color indexed="81"/>
            <rFont val="Tahoma"/>
            <family val="2"/>
          </rPr>
          <t xml:space="preserve">PY16 Energy Efficiency Kits School Survey Results </t>
        </r>
        <r>
          <rPr>
            <sz val="9"/>
            <color indexed="81"/>
            <rFont val="Tahoma"/>
            <family val="2"/>
          </rPr>
          <t xml:space="preserve">
</t>
        </r>
      </text>
    </comment>
    <comment ref="AI201" authorId="0" shapeId="0">
      <text>
        <r>
          <rPr>
            <b/>
            <sz val="9"/>
            <color indexed="81"/>
            <rFont val="Tahoma"/>
            <family val="2"/>
          </rPr>
          <t>Assumption based on program design</t>
        </r>
        <r>
          <rPr>
            <sz val="9"/>
            <color indexed="81"/>
            <rFont val="Tahoma"/>
            <family val="2"/>
          </rPr>
          <t xml:space="preserve">
</t>
        </r>
      </text>
    </comment>
    <comment ref="AI202" authorId="0" shapeId="0">
      <text>
        <r>
          <rPr>
            <b/>
            <sz val="9"/>
            <color indexed="81"/>
            <rFont val="Tahoma"/>
            <family val="2"/>
          </rPr>
          <t xml:space="preserve">PY15 Evaluation </t>
        </r>
        <r>
          <rPr>
            <sz val="9"/>
            <color indexed="81"/>
            <rFont val="Tahoma"/>
            <family val="2"/>
          </rPr>
          <t xml:space="preserve">
</t>
        </r>
      </text>
    </comment>
    <comment ref="D212" authorId="0" shapeId="0">
      <text>
        <r>
          <rPr>
            <b/>
            <sz val="9"/>
            <color indexed="81"/>
            <rFont val="Tahoma"/>
            <family val="2"/>
          </rPr>
          <t>Not specific to MF/SF, etc.</t>
        </r>
        <r>
          <rPr>
            <sz val="9"/>
            <color indexed="81"/>
            <rFont val="Tahoma"/>
            <family val="2"/>
          </rPr>
          <t xml:space="preserve">
</t>
        </r>
      </text>
    </comment>
  </commentList>
</comments>
</file>

<file path=xl/comments5.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D7" authorId="0" shapeId="0">
      <text>
        <r>
          <rPr>
            <b/>
            <sz val="9"/>
            <color indexed="81"/>
            <rFont val="Tahoma"/>
            <family val="2"/>
          </rPr>
          <t>Previously listed as SF/SFLI
MF/MLI</t>
        </r>
        <r>
          <rPr>
            <sz val="9"/>
            <color indexed="81"/>
            <rFont val="Tahoma"/>
            <family val="2"/>
          </rPr>
          <t xml:space="preserve">
</t>
        </r>
      </text>
    </comment>
    <comment ref="K7" authorId="0" shapeId="0">
      <text>
        <r>
          <rPr>
            <b/>
            <sz val="9"/>
            <color indexed="81"/>
            <rFont val="Tahoma"/>
            <family val="2"/>
          </rPr>
          <t>This 10 % circulation value was adjusted to 0% by EM&amp;V in PY2017.  In settlment of the 2017 EM&amp;V it was approved to remain and will be further reviewed in  PY18EM&amp;.  Based upon results from PY18 EM&amp;V the 10% factor was used as an adjustment factor to scale savings to align with that of Evaluation and assume the same adjustments for both 'Auto" and "Continuos" mode.</t>
        </r>
        <r>
          <rPr>
            <sz val="9"/>
            <color indexed="81"/>
            <rFont val="Tahoma"/>
            <family val="2"/>
          </rPr>
          <t xml:space="preserve">
</t>
        </r>
      </text>
    </comment>
    <comment ref="E45" authorId="0" shapeId="0">
      <text>
        <r>
          <rPr>
            <b/>
            <sz val="9"/>
            <color indexed="81"/>
            <rFont val="Tahoma"/>
            <family val="2"/>
          </rPr>
          <t>Added this row as this was not shown in inputs table previously but was just a number in the equation - just formating change no update to the values or how they were used and allows showing source for this value</t>
        </r>
        <r>
          <rPr>
            <sz val="9"/>
            <color indexed="81"/>
            <rFont val="Tahoma"/>
            <family val="2"/>
          </rPr>
          <t xml:space="preserve">
</t>
        </r>
      </text>
    </comment>
    <comment ref="Y45" authorId="0" shapeId="0">
      <text>
        <r>
          <rPr>
            <b/>
            <sz val="9"/>
            <color indexed="81"/>
            <rFont val="Tahoma"/>
            <family val="2"/>
          </rPr>
          <t>This value is not new just including it in the input table (previously only shown in the equation)</t>
        </r>
      </text>
    </comment>
    <comment ref="Y46" authorId="0" shapeId="0">
      <text>
        <r>
          <rPr>
            <b/>
            <sz val="9"/>
            <color indexed="81"/>
            <rFont val="Tahoma"/>
            <family val="2"/>
          </rPr>
          <t xml:space="preserve">This values should remain 2009 
The formula compares a ratio of the Wisconsin vs St. Louis values </t>
        </r>
        <r>
          <rPr>
            <sz val="9"/>
            <color indexed="81"/>
            <rFont val="Tahoma"/>
            <family val="2"/>
          </rPr>
          <t xml:space="preserve">
</t>
        </r>
      </text>
    </comment>
    <comment ref="Y60" authorId="0" shapeId="0">
      <text>
        <r>
          <rPr>
            <b/>
            <sz val="9"/>
            <color indexed="81"/>
            <rFont val="Tahoma"/>
            <family val="2"/>
          </rPr>
          <t>This value is not new just including it in the input table (previously only shown in the equation)</t>
        </r>
      </text>
    </comment>
    <comment ref="I61" authorId="0" shapeId="0">
      <text>
        <r>
          <rPr>
            <sz val="12"/>
            <color indexed="81"/>
            <rFont val="Tahoma"/>
            <family val="2"/>
          </rPr>
          <t xml:space="preserve">THIS VALUE SHOULD REMAIN 1215 
The formula compares uses a ratio of the Wisconsin vs St. Louis values </t>
        </r>
      </text>
    </comment>
    <comment ref="X61" authorId="0" shapeId="0">
      <text>
        <r>
          <rPr>
            <sz val="12"/>
            <color indexed="81"/>
            <rFont val="Tahoma"/>
            <family val="2"/>
          </rPr>
          <t xml:space="preserve">THIS VALUE SHOULD REMAIN 1215 
The formula compares uses a ratio of the Wisconsin vs St. Louis values </t>
        </r>
      </text>
    </comment>
    <comment ref="Y61" authorId="0" shapeId="0">
      <text>
        <r>
          <rPr>
            <sz val="12"/>
            <color indexed="81"/>
            <rFont val="Tahoma"/>
            <family val="2"/>
          </rPr>
          <t xml:space="preserve">This values should remain 1215 
The formula compares a ratio of the Wisconsin vs St. Louis values </t>
        </r>
      </text>
    </comment>
    <comment ref="I68" authorId="0" shapeId="0">
      <text>
        <r>
          <rPr>
            <sz val="12"/>
            <color indexed="81"/>
            <rFont val="Tahoma"/>
            <family val="2"/>
          </rPr>
          <t>SEE NOTE IN CELL "E62"</t>
        </r>
      </text>
    </comment>
    <comment ref="X68" authorId="0" shapeId="0">
      <text>
        <r>
          <rPr>
            <sz val="12"/>
            <color indexed="81"/>
            <rFont val="Tahoma"/>
            <family val="2"/>
          </rPr>
          <t>SEE NOTE IN CELL "E62"</t>
        </r>
      </text>
    </comment>
    <comment ref="Y68" authorId="0" shapeId="0">
      <text>
        <r>
          <rPr>
            <sz val="12"/>
            <color indexed="81"/>
            <rFont val="Tahoma"/>
            <family val="2"/>
          </rPr>
          <t>SEE NOTE IN CELL "E62"</t>
        </r>
      </text>
    </comment>
    <comment ref="Q88" authorId="0" shapeId="0">
      <text>
        <r>
          <rPr>
            <b/>
            <sz val="9"/>
            <color indexed="81"/>
            <rFont val="Tahoma"/>
            <family val="2"/>
          </rPr>
          <t>From Evaluation - Opinion Dynamics review PY19
discount factor =  (1+discount rate)^(1/3 EUL-1).    year 1 is considered to be when the measure is installed and therefore do not discount “period 1”.</t>
        </r>
      </text>
    </comment>
    <comment ref="Q194" authorId="0" shapeId="0">
      <text>
        <r>
          <rPr>
            <b/>
            <sz val="9"/>
            <color indexed="81"/>
            <rFont val="Tahoma"/>
            <family val="2"/>
          </rPr>
          <t>discount factor =  (1+discount rate)^(1/3 EUL-1).    year 1 is considered to be when the measure is installed and therefore do not discount “period 1”.</t>
        </r>
      </text>
    </comment>
    <comment ref="X197" authorId="0" shapeId="0">
      <text>
        <r>
          <rPr>
            <b/>
            <sz val="9"/>
            <color indexed="81"/>
            <rFont val="Tahoma"/>
            <family val="2"/>
          </rPr>
          <t>update from Community Savers - ADM</t>
        </r>
        <r>
          <rPr>
            <sz val="9"/>
            <color indexed="81"/>
            <rFont val="Tahoma"/>
            <family val="2"/>
          </rPr>
          <t xml:space="preserve">
</t>
        </r>
      </text>
    </comment>
    <comment ref="X198" authorId="0" shapeId="0">
      <text>
        <r>
          <rPr>
            <b/>
            <sz val="9"/>
            <color indexed="81"/>
            <rFont val="Tahoma"/>
            <family val="2"/>
          </rPr>
          <t>update from Community Savers - ADM</t>
        </r>
        <r>
          <rPr>
            <sz val="9"/>
            <color indexed="81"/>
            <rFont val="Tahoma"/>
            <family val="2"/>
          </rPr>
          <t xml:space="preserve">
</t>
        </r>
      </text>
    </comment>
    <comment ref="X201" authorId="0" shapeId="0">
      <text>
        <r>
          <rPr>
            <b/>
            <sz val="9"/>
            <color indexed="81"/>
            <rFont val="Tahoma"/>
            <family val="2"/>
          </rPr>
          <t>update from Community Savers - ADM</t>
        </r>
        <r>
          <rPr>
            <sz val="9"/>
            <color indexed="81"/>
            <rFont val="Tahoma"/>
            <family val="2"/>
          </rPr>
          <t xml:space="preserve">
</t>
        </r>
      </text>
    </comment>
    <comment ref="X206" authorId="0" shapeId="0">
      <text>
        <r>
          <rPr>
            <b/>
            <sz val="9"/>
            <color indexed="81"/>
            <rFont val="Tahoma"/>
            <family val="2"/>
          </rPr>
          <t>update from Community Savers - ADM</t>
        </r>
        <r>
          <rPr>
            <sz val="9"/>
            <color indexed="81"/>
            <rFont val="Tahoma"/>
            <family val="2"/>
          </rPr>
          <t xml:space="preserve">
</t>
        </r>
      </text>
    </comment>
    <comment ref="X207" authorId="0" shapeId="0">
      <text>
        <r>
          <rPr>
            <b/>
            <sz val="9"/>
            <color indexed="81"/>
            <rFont val="Tahoma"/>
            <family val="2"/>
          </rPr>
          <t>update from Community Savers - ADM</t>
        </r>
        <r>
          <rPr>
            <sz val="9"/>
            <color indexed="81"/>
            <rFont val="Tahoma"/>
            <family val="2"/>
          </rPr>
          <t xml:space="preserve">
</t>
        </r>
      </text>
    </comment>
    <comment ref="X210" authorId="0" shapeId="0">
      <text>
        <r>
          <rPr>
            <b/>
            <sz val="9"/>
            <color indexed="81"/>
            <rFont val="Tahoma"/>
            <family val="2"/>
          </rPr>
          <t>update from Community Savers - ADM</t>
        </r>
        <r>
          <rPr>
            <sz val="9"/>
            <color indexed="81"/>
            <rFont val="Tahoma"/>
            <family val="2"/>
          </rPr>
          <t xml:space="preserve">
</t>
        </r>
      </text>
    </comment>
    <comment ref="X215" authorId="0" shapeId="0">
      <text>
        <r>
          <rPr>
            <b/>
            <sz val="9"/>
            <color indexed="81"/>
            <rFont val="Tahoma"/>
            <family val="2"/>
          </rPr>
          <t>update from Community Savers - ADM</t>
        </r>
        <r>
          <rPr>
            <sz val="9"/>
            <color indexed="81"/>
            <rFont val="Tahoma"/>
            <family val="2"/>
          </rPr>
          <t xml:space="preserve">
</t>
        </r>
      </text>
    </comment>
    <comment ref="X216" authorId="0" shapeId="0">
      <text>
        <r>
          <rPr>
            <b/>
            <sz val="9"/>
            <color indexed="81"/>
            <rFont val="Tahoma"/>
            <family val="2"/>
          </rPr>
          <t>update from Community Savers - ADM</t>
        </r>
        <r>
          <rPr>
            <sz val="9"/>
            <color indexed="81"/>
            <rFont val="Tahoma"/>
            <family val="2"/>
          </rPr>
          <t xml:space="preserve">
</t>
        </r>
      </text>
    </comment>
    <comment ref="X219" authorId="0" shapeId="0">
      <text>
        <r>
          <rPr>
            <b/>
            <sz val="9"/>
            <color indexed="81"/>
            <rFont val="Tahoma"/>
            <family val="2"/>
          </rPr>
          <t>update from Community Savers - ADM</t>
        </r>
        <r>
          <rPr>
            <sz val="9"/>
            <color indexed="81"/>
            <rFont val="Tahoma"/>
            <family val="2"/>
          </rPr>
          <t xml:space="preserve">
</t>
        </r>
      </text>
    </comment>
    <comment ref="X269" authorId="0" shapeId="0">
      <text>
        <r>
          <rPr>
            <b/>
            <sz val="9"/>
            <color indexed="81"/>
            <rFont val="Tahoma"/>
            <family val="2"/>
          </rPr>
          <t>update from Community Savers - ADM</t>
        </r>
        <r>
          <rPr>
            <sz val="9"/>
            <color indexed="81"/>
            <rFont val="Tahoma"/>
            <family val="2"/>
          </rPr>
          <t xml:space="preserve">
</t>
        </r>
      </text>
    </comment>
    <comment ref="X270" authorId="0" shapeId="0">
      <text>
        <r>
          <rPr>
            <b/>
            <sz val="9"/>
            <color indexed="81"/>
            <rFont val="Tahoma"/>
            <family val="2"/>
          </rPr>
          <t>update from Community Savers - ADM</t>
        </r>
        <r>
          <rPr>
            <sz val="9"/>
            <color indexed="81"/>
            <rFont val="Tahoma"/>
            <family val="2"/>
          </rPr>
          <t xml:space="preserve">
</t>
        </r>
      </text>
    </comment>
    <comment ref="X273" authorId="0" shapeId="0">
      <text>
        <r>
          <rPr>
            <b/>
            <sz val="9"/>
            <color indexed="81"/>
            <rFont val="Tahoma"/>
            <family val="2"/>
          </rPr>
          <t>update from Community Savers - ADM</t>
        </r>
        <r>
          <rPr>
            <sz val="9"/>
            <color indexed="81"/>
            <rFont val="Tahoma"/>
            <family val="2"/>
          </rPr>
          <t xml:space="preserve">
</t>
        </r>
      </text>
    </comment>
    <comment ref="X287" authorId="0" shapeId="0">
      <text>
        <r>
          <rPr>
            <b/>
            <sz val="9"/>
            <color indexed="81"/>
            <rFont val="Tahoma"/>
            <family val="2"/>
          </rPr>
          <t>update from Community Savers - ADM</t>
        </r>
        <r>
          <rPr>
            <sz val="9"/>
            <color indexed="81"/>
            <rFont val="Tahoma"/>
            <family val="2"/>
          </rPr>
          <t xml:space="preserve">
</t>
        </r>
      </text>
    </comment>
    <comment ref="X288" authorId="0" shapeId="0">
      <text>
        <r>
          <rPr>
            <b/>
            <sz val="9"/>
            <color indexed="81"/>
            <rFont val="Tahoma"/>
            <family val="2"/>
          </rPr>
          <t>update from Community Savers - ADM</t>
        </r>
        <r>
          <rPr>
            <sz val="9"/>
            <color indexed="81"/>
            <rFont val="Tahoma"/>
            <family val="2"/>
          </rPr>
          <t xml:space="preserve">
</t>
        </r>
      </text>
    </comment>
    <comment ref="X291" authorId="0" shapeId="0">
      <text>
        <r>
          <rPr>
            <b/>
            <sz val="9"/>
            <color indexed="81"/>
            <rFont val="Tahoma"/>
            <family val="2"/>
          </rPr>
          <t>update from Community Savers - ADM</t>
        </r>
        <r>
          <rPr>
            <sz val="9"/>
            <color indexed="81"/>
            <rFont val="Tahoma"/>
            <family val="2"/>
          </rPr>
          <t xml:space="preserve">
</t>
        </r>
      </text>
    </comment>
    <comment ref="X413" authorId="0" shapeId="0">
      <text>
        <r>
          <rPr>
            <b/>
            <sz val="9"/>
            <color indexed="81"/>
            <rFont val="Tahoma"/>
            <family val="2"/>
          </rPr>
          <t>update from Community Savers - ADM</t>
        </r>
        <r>
          <rPr>
            <sz val="9"/>
            <color indexed="81"/>
            <rFont val="Tahoma"/>
            <family val="2"/>
          </rPr>
          <t xml:space="preserve">
</t>
        </r>
      </text>
    </comment>
    <comment ref="X414" authorId="0" shapeId="0">
      <text>
        <r>
          <rPr>
            <b/>
            <sz val="9"/>
            <color indexed="81"/>
            <rFont val="Tahoma"/>
            <family val="2"/>
          </rPr>
          <t>update from Community Savers - ADM</t>
        </r>
        <r>
          <rPr>
            <sz val="9"/>
            <color indexed="81"/>
            <rFont val="Tahoma"/>
            <family val="2"/>
          </rPr>
          <t xml:space="preserve">
</t>
        </r>
      </text>
    </comment>
    <comment ref="X417" authorId="0" shapeId="0">
      <text>
        <r>
          <rPr>
            <b/>
            <sz val="9"/>
            <color indexed="81"/>
            <rFont val="Tahoma"/>
            <family val="2"/>
          </rPr>
          <t>update from Community Savers - ADM</t>
        </r>
        <r>
          <rPr>
            <sz val="9"/>
            <color indexed="81"/>
            <rFont val="Tahoma"/>
            <family val="2"/>
          </rPr>
          <t xml:space="preserve">
</t>
        </r>
      </text>
    </comment>
    <comment ref="X428" authorId="0" shapeId="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431" authorId="0" shapeId="0">
      <text>
        <r>
          <rPr>
            <b/>
            <sz val="9"/>
            <color indexed="81"/>
            <rFont val="Tahoma"/>
            <family val="2"/>
          </rPr>
          <t>update from Community Savers - ADM</t>
        </r>
        <r>
          <rPr>
            <sz val="9"/>
            <color indexed="81"/>
            <rFont val="Tahoma"/>
            <family val="2"/>
          </rPr>
          <t xml:space="preserve">
</t>
        </r>
      </text>
    </comment>
    <comment ref="X432" authorId="0" shapeId="0">
      <text>
        <r>
          <rPr>
            <b/>
            <sz val="9"/>
            <color indexed="81"/>
            <rFont val="Tahoma"/>
            <family val="2"/>
          </rPr>
          <t>update from Community Savers - ADM</t>
        </r>
        <r>
          <rPr>
            <sz val="9"/>
            <color indexed="81"/>
            <rFont val="Tahoma"/>
            <family val="2"/>
          </rPr>
          <t xml:space="preserve">
</t>
        </r>
      </text>
    </comment>
    <comment ref="X435" authorId="0" shapeId="0">
      <text>
        <r>
          <rPr>
            <b/>
            <sz val="9"/>
            <color indexed="81"/>
            <rFont val="Tahoma"/>
            <family val="2"/>
          </rPr>
          <t>update from Community Savers - ADM</t>
        </r>
        <r>
          <rPr>
            <sz val="9"/>
            <color indexed="81"/>
            <rFont val="Tahoma"/>
            <family val="2"/>
          </rPr>
          <t xml:space="preserve">
</t>
        </r>
      </text>
    </comment>
    <comment ref="X55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58"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8"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633" authorId="0" shapeId="0">
      <text>
        <r>
          <rPr>
            <b/>
            <sz val="9"/>
            <color indexed="81"/>
            <rFont val="Tahoma"/>
            <family val="2"/>
          </rPr>
          <t xml:space="preserve">corrected typo error
</t>
        </r>
      </text>
    </comment>
    <comment ref="X698" authorId="0" shapeId="0">
      <text>
        <r>
          <rPr>
            <b/>
            <sz val="9"/>
            <color indexed="81"/>
            <rFont val="Tahoma"/>
            <family val="2"/>
          </rPr>
          <t>capacities updated</t>
        </r>
        <r>
          <rPr>
            <sz val="9"/>
            <color indexed="81"/>
            <rFont val="Tahoma"/>
            <family val="2"/>
          </rPr>
          <t xml:space="preserve">
</t>
        </r>
      </text>
    </comment>
    <comment ref="Y698" authorId="0" shapeId="0">
      <text>
        <r>
          <rPr>
            <b/>
            <sz val="9"/>
            <color indexed="81"/>
            <rFont val="Tahoma"/>
            <family val="2"/>
          </rPr>
          <t>Formula updated in this calculation 
Also Updates if capacities change</t>
        </r>
      </text>
    </comment>
    <comment ref="D775" authorId="0" shapeId="0">
      <text>
        <r>
          <rPr>
            <b/>
            <sz val="9"/>
            <color indexed="81"/>
            <rFont val="Tahoma"/>
            <family val="2"/>
          </rPr>
          <t>Previously listed as SF/SFLI
MF/MLI</t>
        </r>
        <r>
          <rPr>
            <sz val="9"/>
            <color indexed="81"/>
            <rFont val="Tahoma"/>
            <family val="2"/>
          </rPr>
          <t xml:space="preserve">
</t>
        </r>
      </text>
    </comment>
    <comment ref="W889" authorId="0" shapeId="0">
      <text>
        <r>
          <rPr>
            <sz val="11"/>
            <color indexed="81"/>
            <rFont val="Tahoma"/>
            <family val="2"/>
          </rPr>
          <t>MO TRM includes 7.7 for manufacture dates prior to 1/2/2017 and 8.0 for manufacture dates after 1/1/2017</t>
        </r>
      </text>
    </comment>
    <comment ref="X889" authorId="0" shapeId="0">
      <text>
        <r>
          <rPr>
            <sz val="11"/>
            <color indexed="81"/>
            <rFont val="Tahoma"/>
            <family val="2"/>
          </rPr>
          <t>MO TRM includes 7.7 for manufacture dates prior to 1/2/2017 and 8.0 for manufacture dates after 1/1/2017</t>
        </r>
      </text>
    </comment>
    <comment ref="W950" authorId="0" shapeId="0">
      <text>
        <r>
          <rPr>
            <sz val="9"/>
            <color indexed="81"/>
            <rFont val="Tahoma"/>
            <family val="2"/>
          </rPr>
          <t>Assumed same size as similar ASHP</t>
        </r>
      </text>
    </comment>
    <comment ref="X950" authorId="0" shapeId="0">
      <text>
        <r>
          <rPr>
            <sz val="11"/>
            <color indexed="81"/>
            <rFont val="Tahoma"/>
            <family val="2"/>
          </rPr>
          <t>CADMUS PROVIDED A SINGLE "Tonnage" value" used same for heating and cooling</t>
        </r>
        <r>
          <rPr>
            <sz val="9"/>
            <color indexed="81"/>
            <rFont val="Tahoma"/>
            <family val="2"/>
          </rPr>
          <t xml:space="preserve">
</t>
        </r>
      </text>
    </comment>
    <comment ref="W951" authorId="0" shapeId="0">
      <text>
        <r>
          <rPr>
            <sz val="9"/>
            <color indexed="81"/>
            <rFont val="Tahoma"/>
            <family val="2"/>
          </rPr>
          <t xml:space="preserve">Assumed Same Size as similar ASHP
</t>
        </r>
      </text>
    </comment>
    <comment ref="W992" authorId="0" shapeId="0">
      <text>
        <r>
          <rPr>
            <sz val="11"/>
            <color indexed="81"/>
            <rFont val="Tahoma"/>
            <family val="2"/>
          </rPr>
          <t>MO TRM includes 13 for manufacture dates prior to 1/2/2017 and 14 for manufacture dates after 1/1/2017</t>
        </r>
      </text>
    </comment>
    <comment ref="X992" authorId="0" shapeId="0">
      <text>
        <r>
          <rPr>
            <sz val="11"/>
            <color indexed="81"/>
            <rFont val="Tahoma"/>
            <family val="2"/>
          </rPr>
          <t>MO TRM includes 13 for manufacture dates prior to 1/2/2017 and 14 for manufacture dates after 1/1/2017</t>
        </r>
      </text>
    </comment>
    <comment ref="X1072" authorId="0" shapeId="0">
      <text>
        <r>
          <rPr>
            <sz val="11"/>
            <color indexed="81"/>
            <rFont val="Tahoma"/>
            <family val="2"/>
          </rPr>
          <t>Used Cadmus data to update the tonnage of the units  but the updated tonnage was for SF only therfore left the application here to convert for MF</t>
        </r>
      </text>
    </comment>
    <comment ref="X1089" authorId="0" shapeId="0">
      <text>
        <r>
          <rPr>
            <sz val="11"/>
            <color indexed="81"/>
            <rFont val="Tahoma"/>
            <family val="2"/>
          </rPr>
          <t>Used Cadmus data to update the tonnage of the units  but the updated tonnage was for SF only therfore left the application here to convert for MF</t>
        </r>
      </text>
    </comment>
    <comment ref="X1140" authorId="0" shapeId="0">
      <text>
        <r>
          <rPr>
            <b/>
            <sz val="9"/>
            <color indexed="81"/>
            <rFont val="Tahoma"/>
            <family val="2"/>
          </rPr>
          <t>Capacity of units adjusted which impacts cost/ton calculation</t>
        </r>
      </text>
    </comment>
    <comment ref="Y1140"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D1180" authorId="0" shapeId="0">
      <text>
        <r>
          <rPr>
            <b/>
            <sz val="9"/>
            <color indexed="81"/>
            <rFont val="Tahoma"/>
            <family val="2"/>
          </rPr>
          <t>Previously listed as SF/SFLI
MF/MLI</t>
        </r>
        <r>
          <rPr>
            <sz val="9"/>
            <color indexed="81"/>
            <rFont val="Tahoma"/>
            <family val="2"/>
          </rPr>
          <t xml:space="preserve">
</t>
        </r>
      </text>
    </comment>
    <comment ref="X1213" authorId="0" shapeId="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1261" authorId="0" shapeId="0">
      <text>
        <r>
          <rPr>
            <sz val="14"/>
            <color indexed="81"/>
            <rFont val="Tahoma"/>
            <family val="2"/>
          </rPr>
          <t>Left these at 65% because  did not adjust the capacity based upon MF capacities above - If we obtain evaluation data on capacities of MF units this should then be adjusted to 100%</t>
        </r>
      </text>
    </comment>
    <comment ref="D1285" authorId="0" shapeId="0">
      <text>
        <r>
          <rPr>
            <b/>
            <sz val="9"/>
            <color indexed="81"/>
            <rFont val="Tahoma"/>
            <family val="2"/>
          </rPr>
          <t>Previously listed as SF/SFLI
MF/MLI</t>
        </r>
        <r>
          <rPr>
            <sz val="9"/>
            <color indexed="81"/>
            <rFont val="Tahoma"/>
            <family val="2"/>
          </rPr>
          <t xml:space="preserve">
</t>
        </r>
      </text>
    </comment>
    <comment ref="X1330" authorId="0" shapeId="0">
      <text>
        <r>
          <rPr>
            <b/>
            <sz val="9"/>
            <color indexed="81"/>
            <rFont val="Tahoma"/>
            <family val="2"/>
          </rPr>
          <t>Added this line item - needs a separate base for ER1 vs ER2</t>
        </r>
      </text>
    </comment>
    <comment ref="Y1333" authorId="0" shapeId="0">
      <text>
        <r>
          <rPr>
            <b/>
            <sz val="9"/>
            <color indexed="81"/>
            <rFont val="Tahoma"/>
            <family val="2"/>
          </rPr>
          <t>Author:</t>
        </r>
        <r>
          <rPr>
            <sz val="9"/>
            <color indexed="81"/>
            <rFont val="Tahoma"/>
            <family val="2"/>
          </rPr>
          <t xml:space="preserve">
COP of 4.44 from report table 15 *3.41
</t>
        </r>
      </text>
    </comment>
    <comment ref="X1353" authorId="0" shapeId="0">
      <text>
        <r>
          <rPr>
            <b/>
            <sz val="9"/>
            <color indexed="81"/>
            <rFont val="Tahoma"/>
            <family val="2"/>
          </rPr>
          <t xml:space="preserve">Changed to EER rather than SEER in calc </t>
        </r>
        <r>
          <rPr>
            <sz val="9"/>
            <color indexed="81"/>
            <rFont val="Tahoma"/>
            <family val="2"/>
          </rPr>
          <t xml:space="preserve">
</t>
        </r>
      </text>
    </comment>
    <comment ref="D1388" authorId="0" shapeId="0">
      <text>
        <r>
          <rPr>
            <b/>
            <sz val="9"/>
            <color indexed="81"/>
            <rFont val="Tahoma"/>
            <family val="2"/>
          </rPr>
          <t>Previously listed as SF/SFLI
MF/MLI</t>
        </r>
        <r>
          <rPr>
            <sz val="9"/>
            <color indexed="81"/>
            <rFont val="Tahoma"/>
            <family val="2"/>
          </rPr>
          <t xml:space="preserve">
</t>
        </r>
      </text>
    </comment>
    <comment ref="I1416" authorId="0" shapeId="0">
      <text>
        <r>
          <rPr>
            <b/>
            <sz val="9"/>
            <color indexed="81"/>
            <rFont val="Tahoma"/>
            <family val="2"/>
          </rPr>
          <t>Author:</t>
        </r>
        <r>
          <rPr>
            <sz val="9"/>
            <color indexed="81"/>
            <rFont val="Tahoma"/>
            <family val="2"/>
          </rPr>
          <t xml:space="preserve">
COPY AND PASTE ERROR ON THIS FORMULA</t>
        </r>
      </text>
    </comment>
    <comment ref="I1417" authorId="0" shapeId="0">
      <text>
        <r>
          <rPr>
            <b/>
            <sz val="9"/>
            <color indexed="81"/>
            <rFont val="Tahoma"/>
            <family val="2"/>
          </rPr>
          <t>Author:</t>
        </r>
        <r>
          <rPr>
            <sz val="9"/>
            <color indexed="81"/>
            <rFont val="Tahoma"/>
            <family val="2"/>
          </rPr>
          <t xml:space="preserve">
COPY AND PASTE ERROR ON THIS FORMULA</t>
        </r>
      </text>
    </comment>
    <comment ref="I1418" authorId="0" shapeId="0">
      <text>
        <r>
          <rPr>
            <b/>
            <sz val="9"/>
            <color indexed="81"/>
            <rFont val="Tahoma"/>
            <family val="2"/>
          </rPr>
          <t>Author:</t>
        </r>
        <r>
          <rPr>
            <sz val="9"/>
            <color indexed="81"/>
            <rFont val="Tahoma"/>
            <family val="2"/>
          </rPr>
          <t xml:space="preserve">
COPY AND PASTE ERROR ON THIS FORMULA</t>
        </r>
      </text>
    </comment>
    <comment ref="I1419" authorId="0" shapeId="0">
      <text>
        <r>
          <rPr>
            <b/>
            <sz val="9"/>
            <color indexed="81"/>
            <rFont val="Tahoma"/>
            <family val="2"/>
          </rPr>
          <t>Author:</t>
        </r>
        <r>
          <rPr>
            <sz val="9"/>
            <color indexed="81"/>
            <rFont val="Tahoma"/>
            <family val="2"/>
          </rPr>
          <t xml:space="preserve">
COPY AND PASTE ERROR ON THIS FORMULA</t>
        </r>
      </text>
    </comment>
    <comment ref="I1424" authorId="0" shapeId="0">
      <text>
        <r>
          <rPr>
            <b/>
            <sz val="9"/>
            <color indexed="81"/>
            <rFont val="Tahoma"/>
            <family val="2"/>
          </rPr>
          <t>Author:</t>
        </r>
        <r>
          <rPr>
            <sz val="9"/>
            <color indexed="81"/>
            <rFont val="Tahoma"/>
            <family val="2"/>
          </rPr>
          <t xml:space="preserve">
COPY AND PASTE ERROR ON THIS FORMULA</t>
        </r>
      </text>
    </comment>
    <comment ref="I1425" authorId="0" shapeId="0">
      <text>
        <r>
          <rPr>
            <b/>
            <sz val="9"/>
            <color indexed="81"/>
            <rFont val="Tahoma"/>
            <family val="2"/>
          </rPr>
          <t>Author:</t>
        </r>
        <r>
          <rPr>
            <sz val="9"/>
            <color indexed="81"/>
            <rFont val="Tahoma"/>
            <family val="2"/>
          </rPr>
          <t xml:space="preserve">
COPY AND PASTE ERROR ON THIS FORMULA</t>
        </r>
      </text>
    </comment>
    <comment ref="I1426" authorId="0" shapeId="0">
      <text>
        <r>
          <rPr>
            <b/>
            <sz val="9"/>
            <color indexed="81"/>
            <rFont val="Tahoma"/>
            <family val="2"/>
          </rPr>
          <t>Author:</t>
        </r>
        <r>
          <rPr>
            <sz val="9"/>
            <color indexed="81"/>
            <rFont val="Tahoma"/>
            <family val="2"/>
          </rPr>
          <t xml:space="preserve">
COPY AND PASTE ERROR ON THIS FORMULA</t>
        </r>
      </text>
    </comment>
    <comment ref="I1427" authorId="0" shapeId="0">
      <text>
        <r>
          <rPr>
            <b/>
            <sz val="9"/>
            <color indexed="81"/>
            <rFont val="Tahoma"/>
            <family val="2"/>
          </rPr>
          <t>Author:</t>
        </r>
        <r>
          <rPr>
            <sz val="9"/>
            <color indexed="81"/>
            <rFont val="Tahoma"/>
            <family val="2"/>
          </rPr>
          <t xml:space="preserve">
COPY AND PASTE ERROR ON THIS FORMULA</t>
        </r>
      </text>
    </comment>
    <comment ref="I1430" authorId="0" shapeId="0">
      <text>
        <r>
          <rPr>
            <b/>
            <sz val="9"/>
            <color indexed="81"/>
            <rFont val="Tahoma"/>
            <family val="2"/>
          </rPr>
          <t>Author:</t>
        </r>
        <r>
          <rPr>
            <sz val="9"/>
            <color indexed="81"/>
            <rFont val="Tahoma"/>
            <family val="2"/>
          </rPr>
          <t xml:space="preserve">
COPY AND PASTE ERROR ON THIS FORMULA</t>
        </r>
      </text>
    </comment>
    <comment ref="I1431" authorId="0" shapeId="0">
      <text>
        <r>
          <rPr>
            <b/>
            <sz val="9"/>
            <color indexed="81"/>
            <rFont val="Tahoma"/>
            <family val="2"/>
          </rPr>
          <t>Author:</t>
        </r>
        <r>
          <rPr>
            <sz val="9"/>
            <color indexed="81"/>
            <rFont val="Tahoma"/>
            <family val="2"/>
          </rPr>
          <t xml:space="preserve">
COPY AND PASTE ERROR ON THIS FORMULA</t>
        </r>
      </text>
    </comment>
    <comment ref="I1436" authorId="0" shapeId="0">
      <text>
        <r>
          <rPr>
            <b/>
            <sz val="9"/>
            <color indexed="81"/>
            <rFont val="Tahoma"/>
            <family val="2"/>
          </rPr>
          <t>Author:</t>
        </r>
        <r>
          <rPr>
            <sz val="9"/>
            <color indexed="81"/>
            <rFont val="Tahoma"/>
            <family val="2"/>
          </rPr>
          <t xml:space="preserve">
COPY AND PASTE ERROR ON THIS FORMULA</t>
        </r>
      </text>
    </comment>
    <comment ref="I1437" authorId="0" shapeId="0">
      <text>
        <r>
          <rPr>
            <b/>
            <sz val="9"/>
            <color indexed="81"/>
            <rFont val="Tahoma"/>
            <family val="2"/>
          </rPr>
          <t>Author:</t>
        </r>
        <r>
          <rPr>
            <sz val="9"/>
            <color indexed="81"/>
            <rFont val="Tahoma"/>
            <family val="2"/>
          </rPr>
          <t xml:space="preserve">
COPY AND PASTE ERROR ON THIS FORMULA</t>
        </r>
      </text>
    </comment>
    <comment ref="I1438" authorId="0" shapeId="0">
      <text>
        <r>
          <rPr>
            <b/>
            <sz val="9"/>
            <color indexed="81"/>
            <rFont val="Tahoma"/>
            <family val="2"/>
          </rPr>
          <t>Author:</t>
        </r>
        <r>
          <rPr>
            <sz val="9"/>
            <color indexed="81"/>
            <rFont val="Tahoma"/>
            <family val="2"/>
          </rPr>
          <t xml:space="preserve">
COPY AND PASTE ERROR ON THIS FORMULA</t>
        </r>
      </text>
    </comment>
    <comment ref="I1439" authorId="0" shapeId="0">
      <text>
        <r>
          <rPr>
            <b/>
            <sz val="9"/>
            <color indexed="81"/>
            <rFont val="Tahoma"/>
            <family val="2"/>
          </rPr>
          <t>Author:</t>
        </r>
        <r>
          <rPr>
            <sz val="9"/>
            <color indexed="81"/>
            <rFont val="Tahoma"/>
            <family val="2"/>
          </rPr>
          <t xml:space="preserve">
COPY AND PASTE ERROR ON THIS FORMULA</t>
        </r>
      </text>
    </comment>
    <comment ref="I1442" authorId="0" shapeId="0">
      <text>
        <r>
          <rPr>
            <b/>
            <sz val="9"/>
            <color indexed="81"/>
            <rFont val="Tahoma"/>
            <family val="2"/>
          </rPr>
          <t>Author:</t>
        </r>
        <r>
          <rPr>
            <sz val="9"/>
            <color indexed="81"/>
            <rFont val="Tahoma"/>
            <family val="2"/>
          </rPr>
          <t xml:space="preserve">
COPY AND PASTE ERROR ON THIS FORMULA</t>
        </r>
      </text>
    </comment>
    <comment ref="I1443" authorId="0" shapeId="0">
      <text>
        <r>
          <rPr>
            <b/>
            <sz val="9"/>
            <color indexed="81"/>
            <rFont val="Tahoma"/>
            <family val="2"/>
          </rPr>
          <t>Author:</t>
        </r>
        <r>
          <rPr>
            <sz val="9"/>
            <color indexed="81"/>
            <rFont val="Tahoma"/>
            <family val="2"/>
          </rPr>
          <t xml:space="preserve">
COPY AND PASTE ERROR ON THIS FORMULA</t>
        </r>
      </text>
    </comment>
    <comment ref="I1447" authorId="0" shapeId="0">
      <text>
        <r>
          <rPr>
            <b/>
            <sz val="9"/>
            <color indexed="81"/>
            <rFont val="Tahoma"/>
            <family val="2"/>
          </rPr>
          <t>Author:</t>
        </r>
        <r>
          <rPr>
            <sz val="9"/>
            <color indexed="81"/>
            <rFont val="Tahoma"/>
            <family val="2"/>
          </rPr>
          <t xml:space="preserve">
COPY AND PASTE ERROR ON THIS FORMULA</t>
        </r>
      </text>
    </comment>
    <comment ref="I1448" authorId="0" shapeId="0">
      <text>
        <r>
          <rPr>
            <b/>
            <sz val="9"/>
            <color indexed="81"/>
            <rFont val="Tahoma"/>
            <family val="2"/>
          </rPr>
          <t>Author:</t>
        </r>
        <r>
          <rPr>
            <sz val="9"/>
            <color indexed="81"/>
            <rFont val="Tahoma"/>
            <family val="2"/>
          </rPr>
          <t xml:space="preserve">
COPY AND PASTE ERROR ON THIS FORMULA</t>
        </r>
      </text>
    </comment>
    <comment ref="I1452" authorId="0" shapeId="0">
      <text>
        <r>
          <rPr>
            <b/>
            <sz val="9"/>
            <color indexed="81"/>
            <rFont val="Tahoma"/>
            <family val="2"/>
          </rPr>
          <t>Author:</t>
        </r>
        <r>
          <rPr>
            <sz val="9"/>
            <color indexed="81"/>
            <rFont val="Tahoma"/>
            <family val="2"/>
          </rPr>
          <t xml:space="preserve">
COPY AND PASTE ERROR ON THIS FORMULA</t>
        </r>
      </text>
    </comment>
    <comment ref="I1453" authorId="0" shapeId="0">
      <text>
        <r>
          <rPr>
            <b/>
            <sz val="9"/>
            <color indexed="81"/>
            <rFont val="Tahoma"/>
            <family val="2"/>
          </rPr>
          <t>Author:</t>
        </r>
        <r>
          <rPr>
            <sz val="9"/>
            <color indexed="81"/>
            <rFont val="Tahoma"/>
            <family val="2"/>
          </rPr>
          <t xml:space="preserve">
COPY AND PASTE ERROR ON THIS FORMULA</t>
        </r>
      </text>
    </comment>
    <comment ref="I1454" authorId="0" shapeId="0">
      <text>
        <r>
          <rPr>
            <b/>
            <sz val="9"/>
            <color indexed="81"/>
            <rFont val="Tahoma"/>
            <family val="2"/>
          </rPr>
          <t>Author:</t>
        </r>
        <r>
          <rPr>
            <sz val="9"/>
            <color indexed="81"/>
            <rFont val="Tahoma"/>
            <family val="2"/>
          </rPr>
          <t xml:space="preserve">
COPY AND PASTE ERROR ON THIS FORMULA</t>
        </r>
      </text>
    </comment>
    <comment ref="I1455" authorId="0" shapeId="0">
      <text>
        <r>
          <rPr>
            <b/>
            <sz val="9"/>
            <color indexed="81"/>
            <rFont val="Tahoma"/>
            <family val="2"/>
          </rPr>
          <t>Author:</t>
        </r>
        <r>
          <rPr>
            <sz val="9"/>
            <color indexed="81"/>
            <rFont val="Tahoma"/>
            <family val="2"/>
          </rPr>
          <t xml:space="preserve">
COPY AND PASTE ERROR ON THIS FORMULA</t>
        </r>
      </text>
    </comment>
    <comment ref="I1458" authorId="0" shapeId="0">
      <text>
        <r>
          <rPr>
            <b/>
            <sz val="9"/>
            <color indexed="81"/>
            <rFont val="Tahoma"/>
            <family val="2"/>
          </rPr>
          <t>Author:</t>
        </r>
        <r>
          <rPr>
            <sz val="9"/>
            <color indexed="81"/>
            <rFont val="Tahoma"/>
            <family val="2"/>
          </rPr>
          <t xml:space="preserve">
COPY AND PASTE ERROR ON THIS FORMULA</t>
        </r>
      </text>
    </comment>
    <comment ref="I1459" authorId="0" shapeId="0">
      <text>
        <r>
          <rPr>
            <b/>
            <sz val="9"/>
            <color indexed="81"/>
            <rFont val="Tahoma"/>
            <family val="2"/>
          </rPr>
          <t>Author:</t>
        </r>
        <r>
          <rPr>
            <sz val="9"/>
            <color indexed="81"/>
            <rFont val="Tahoma"/>
            <family val="2"/>
          </rPr>
          <t xml:space="preserve">
COPY AND PASTE ERROR ON THIS FORMULA</t>
        </r>
      </text>
    </comment>
    <comment ref="I1464" authorId="0" shapeId="0">
      <text>
        <r>
          <rPr>
            <b/>
            <sz val="9"/>
            <color indexed="81"/>
            <rFont val="Tahoma"/>
            <family val="2"/>
          </rPr>
          <t>Author:</t>
        </r>
        <r>
          <rPr>
            <sz val="9"/>
            <color indexed="81"/>
            <rFont val="Tahoma"/>
            <family val="2"/>
          </rPr>
          <t xml:space="preserve">
COPY AND PASTE ERROR ON THIS FORMULA</t>
        </r>
      </text>
    </comment>
    <comment ref="I1465" authorId="0" shapeId="0">
      <text>
        <r>
          <rPr>
            <b/>
            <sz val="9"/>
            <color indexed="81"/>
            <rFont val="Tahoma"/>
            <family val="2"/>
          </rPr>
          <t>Author:</t>
        </r>
        <r>
          <rPr>
            <sz val="9"/>
            <color indexed="81"/>
            <rFont val="Tahoma"/>
            <family val="2"/>
          </rPr>
          <t xml:space="preserve">
COPY AND PASTE ERROR ON THIS FORMULA</t>
        </r>
      </text>
    </comment>
    <comment ref="I1470" authorId="0" shapeId="0">
      <text>
        <r>
          <rPr>
            <b/>
            <sz val="9"/>
            <color indexed="81"/>
            <rFont val="Tahoma"/>
            <family val="2"/>
          </rPr>
          <t>Author:</t>
        </r>
        <r>
          <rPr>
            <sz val="9"/>
            <color indexed="81"/>
            <rFont val="Tahoma"/>
            <family val="2"/>
          </rPr>
          <t xml:space="preserve">
COPY AND PASTE ERROR ON THIS FORMULA</t>
        </r>
      </text>
    </comment>
    <comment ref="I1471" authorId="0" shapeId="0">
      <text>
        <r>
          <rPr>
            <b/>
            <sz val="9"/>
            <color indexed="81"/>
            <rFont val="Tahoma"/>
            <family val="2"/>
          </rPr>
          <t>Author:</t>
        </r>
        <r>
          <rPr>
            <sz val="9"/>
            <color indexed="81"/>
            <rFont val="Tahoma"/>
            <family val="2"/>
          </rPr>
          <t xml:space="preserve">
COPY AND PASTE ERROR ON THIS FORMULA</t>
        </r>
      </text>
    </comment>
    <comment ref="I1476" authorId="0" shapeId="0">
      <text>
        <r>
          <rPr>
            <b/>
            <sz val="9"/>
            <color indexed="81"/>
            <rFont val="Tahoma"/>
            <family val="2"/>
          </rPr>
          <t>Author:</t>
        </r>
        <r>
          <rPr>
            <sz val="9"/>
            <color indexed="81"/>
            <rFont val="Tahoma"/>
            <family val="2"/>
          </rPr>
          <t xml:space="preserve">
COPY AND PASTE ERROR ON THIS FORMULA</t>
        </r>
      </text>
    </comment>
    <comment ref="I1477" authorId="0" shapeId="0">
      <text>
        <r>
          <rPr>
            <b/>
            <sz val="9"/>
            <color indexed="81"/>
            <rFont val="Tahoma"/>
            <family val="2"/>
          </rPr>
          <t>Author:</t>
        </r>
        <r>
          <rPr>
            <sz val="9"/>
            <color indexed="81"/>
            <rFont val="Tahoma"/>
            <family val="2"/>
          </rPr>
          <t xml:space="preserve">
COPY AND PASTE ERROR ON THIS FORMULA</t>
        </r>
      </text>
    </comment>
    <comment ref="I1486" authorId="0" shapeId="0">
      <text>
        <r>
          <rPr>
            <b/>
            <sz val="9"/>
            <color indexed="81"/>
            <rFont val="Tahoma"/>
            <family val="2"/>
          </rPr>
          <t>Author:</t>
        </r>
        <r>
          <rPr>
            <sz val="9"/>
            <color indexed="81"/>
            <rFont val="Tahoma"/>
            <family val="2"/>
          </rPr>
          <t xml:space="preserve">
COPY AND PASTE ERROR ON THIS FORMULA</t>
        </r>
      </text>
    </comment>
    <comment ref="I1487" authorId="0" shapeId="0">
      <text>
        <r>
          <rPr>
            <b/>
            <sz val="9"/>
            <color indexed="81"/>
            <rFont val="Tahoma"/>
            <family val="2"/>
          </rPr>
          <t>Author:</t>
        </r>
        <r>
          <rPr>
            <sz val="9"/>
            <color indexed="81"/>
            <rFont val="Tahoma"/>
            <family val="2"/>
          </rPr>
          <t xml:space="preserve">
COPY AND PASTE ERROR ON THIS FORMULA</t>
        </r>
      </text>
    </comment>
    <comment ref="I1496" authorId="0" shapeId="0">
      <text>
        <r>
          <rPr>
            <b/>
            <sz val="9"/>
            <color indexed="81"/>
            <rFont val="Tahoma"/>
            <family val="2"/>
          </rPr>
          <t>Author:</t>
        </r>
        <r>
          <rPr>
            <sz val="9"/>
            <color indexed="81"/>
            <rFont val="Tahoma"/>
            <family val="2"/>
          </rPr>
          <t xml:space="preserve">
COPY AND PASTE ERROR ON THIS FORMULA</t>
        </r>
      </text>
    </comment>
    <comment ref="I1497" authorId="0" shapeId="0">
      <text>
        <r>
          <rPr>
            <b/>
            <sz val="9"/>
            <color indexed="81"/>
            <rFont val="Tahoma"/>
            <family val="2"/>
          </rPr>
          <t>Author:</t>
        </r>
        <r>
          <rPr>
            <sz val="9"/>
            <color indexed="81"/>
            <rFont val="Tahoma"/>
            <family val="2"/>
          </rPr>
          <t xml:space="preserve">
COPY AND PASTE ERROR ON THIS FORMULA</t>
        </r>
      </text>
    </comment>
    <comment ref="I1498" authorId="0" shapeId="0">
      <text>
        <r>
          <rPr>
            <b/>
            <sz val="9"/>
            <color indexed="81"/>
            <rFont val="Tahoma"/>
            <family val="2"/>
          </rPr>
          <t>Author:</t>
        </r>
        <r>
          <rPr>
            <sz val="9"/>
            <color indexed="81"/>
            <rFont val="Tahoma"/>
            <family val="2"/>
          </rPr>
          <t xml:space="preserve">
COPY AND PASTE ERROR ON THIS FORMULA</t>
        </r>
      </text>
    </comment>
    <comment ref="I1499" authorId="0" shapeId="0">
      <text>
        <r>
          <rPr>
            <b/>
            <sz val="9"/>
            <color indexed="81"/>
            <rFont val="Tahoma"/>
            <family val="2"/>
          </rPr>
          <t>Author:</t>
        </r>
        <r>
          <rPr>
            <sz val="9"/>
            <color indexed="81"/>
            <rFont val="Tahoma"/>
            <family val="2"/>
          </rPr>
          <t xml:space="preserve">
COPY AND PASTE ERROR ON THIS FORMULA</t>
        </r>
      </text>
    </comment>
    <comment ref="C1516" authorId="0" shapeId="0">
      <text>
        <r>
          <rPr>
            <b/>
            <sz val="9"/>
            <color indexed="81"/>
            <rFont val="Tahoma"/>
            <family val="2"/>
          </rPr>
          <t xml:space="preserve">353900 was a duplicate measure to this and was removed in PY2019 </t>
        </r>
      </text>
    </comment>
    <comment ref="I1532" authorId="0" shapeId="0">
      <text>
        <r>
          <rPr>
            <b/>
            <sz val="9"/>
            <color indexed="81"/>
            <rFont val="Tahoma"/>
            <family val="2"/>
          </rPr>
          <t>Author:</t>
        </r>
        <r>
          <rPr>
            <sz val="9"/>
            <color indexed="81"/>
            <rFont val="Tahoma"/>
            <family val="2"/>
          </rPr>
          <t xml:space="preserve">
COPY AND PASTE ERROR ON THIS FORMULA</t>
        </r>
      </text>
    </comment>
    <comment ref="I1533" authorId="0" shapeId="0">
      <text>
        <r>
          <rPr>
            <b/>
            <sz val="9"/>
            <color indexed="81"/>
            <rFont val="Tahoma"/>
            <family val="2"/>
          </rPr>
          <t>Author:</t>
        </r>
        <r>
          <rPr>
            <sz val="9"/>
            <color indexed="81"/>
            <rFont val="Tahoma"/>
            <family val="2"/>
          </rPr>
          <t xml:space="preserve">
COPY AND PASTE ERROR ON THIS FORMULA</t>
        </r>
      </text>
    </comment>
    <comment ref="I1534" authorId="0" shapeId="0">
      <text>
        <r>
          <rPr>
            <b/>
            <sz val="9"/>
            <color indexed="81"/>
            <rFont val="Tahoma"/>
            <family val="2"/>
          </rPr>
          <t>Author:</t>
        </r>
        <r>
          <rPr>
            <sz val="9"/>
            <color indexed="81"/>
            <rFont val="Tahoma"/>
            <family val="2"/>
          </rPr>
          <t xml:space="preserve">
COPY AND PASTE ERROR ON THIS FORMULA</t>
        </r>
      </text>
    </comment>
    <comment ref="I1535" authorId="0" shapeId="0">
      <text>
        <r>
          <rPr>
            <b/>
            <sz val="9"/>
            <color indexed="81"/>
            <rFont val="Tahoma"/>
            <family val="2"/>
          </rPr>
          <t>Author:</t>
        </r>
        <r>
          <rPr>
            <sz val="9"/>
            <color indexed="81"/>
            <rFont val="Tahoma"/>
            <family val="2"/>
          </rPr>
          <t xml:space="preserve">
COPY AND PASTE ERROR ON THIS FORMULA</t>
        </r>
      </text>
    </comment>
    <comment ref="I1540" authorId="0" shapeId="0">
      <text>
        <r>
          <rPr>
            <b/>
            <sz val="9"/>
            <color indexed="81"/>
            <rFont val="Tahoma"/>
            <family val="2"/>
          </rPr>
          <t>Author:</t>
        </r>
        <r>
          <rPr>
            <sz val="9"/>
            <color indexed="81"/>
            <rFont val="Tahoma"/>
            <family val="2"/>
          </rPr>
          <t xml:space="preserve">
COPY AND PASTE ERROR ON THIS FORMULA</t>
        </r>
      </text>
    </comment>
    <comment ref="I1541" authorId="0" shapeId="0">
      <text>
        <r>
          <rPr>
            <b/>
            <sz val="9"/>
            <color indexed="81"/>
            <rFont val="Tahoma"/>
            <family val="2"/>
          </rPr>
          <t>Author:</t>
        </r>
        <r>
          <rPr>
            <sz val="9"/>
            <color indexed="81"/>
            <rFont val="Tahoma"/>
            <family val="2"/>
          </rPr>
          <t xml:space="preserve">
COPY AND PASTE ERROR ON THIS FORMULA</t>
        </r>
      </text>
    </comment>
    <comment ref="I1542" authorId="0" shapeId="0">
      <text>
        <r>
          <rPr>
            <b/>
            <sz val="9"/>
            <color indexed="81"/>
            <rFont val="Tahoma"/>
            <family val="2"/>
          </rPr>
          <t>Author:</t>
        </r>
        <r>
          <rPr>
            <sz val="9"/>
            <color indexed="81"/>
            <rFont val="Tahoma"/>
            <family val="2"/>
          </rPr>
          <t xml:space="preserve">
COPY AND PASTE ERROR ON THIS FORMULA</t>
        </r>
      </text>
    </comment>
    <comment ref="I1543" authorId="0" shapeId="0">
      <text>
        <r>
          <rPr>
            <b/>
            <sz val="9"/>
            <color indexed="81"/>
            <rFont val="Tahoma"/>
            <family val="2"/>
          </rPr>
          <t>Author:</t>
        </r>
        <r>
          <rPr>
            <sz val="9"/>
            <color indexed="81"/>
            <rFont val="Tahoma"/>
            <family val="2"/>
          </rPr>
          <t xml:space="preserve">
COPY AND PASTE ERROR ON THIS FORMULA</t>
        </r>
      </text>
    </comment>
    <comment ref="I1552" authorId="0" shapeId="0">
      <text>
        <r>
          <rPr>
            <b/>
            <sz val="9"/>
            <color indexed="81"/>
            <rFont val="Tahoma"/>
            <family val="2"/>
          </rPr>
          <t>Author:</t>
        </r>
        <r>
          <rPr>
            <sz val="9"/>
            <color indexed="81"/>
            <rFont val="Tahoma"/>
            <family val="2"/>
          </rPr>
          <t xml:space="preserve">
COPY AND PASTE ERROR ON THIS FORMULA</t>
        </r>
      </text>
    </comment>
    <comment ref="I1553" authorId="0" shapeId="0">
      <text>
        <r>
          <rPr>
            <b/>
            <sz val="9"/>
            <color indexed="81"/>
            <rFont val="Tahoma"/>
            <family val="2"/>
          </rPr>
          <t>Author:</t>
        </r>
        <r>
          <rPr>
            <sz val="9"/>
            <color indexed="81"/>
            <rFont val="Tahoma"/>
            <family val="2"/>
          </rPr>
          <t xml:space="preserve">
COPY AND PASTE ERROR ON THIS FORMULA</t>
        </r>
      </text>
    </comment>
    <comment ref="I1554" authorId="0" shapeId="0">
      <text>
        <r>
          <rPr>
            <b/>
            <sz val="9"/>
            <color indexed="81"/>
            <rFont val="Tahoma"/>
            <family val="2"/>
          </rPr>
          <t>Author:</t>
        </r>
        <r>
          <rPr>
            <sz val="9"/>
            <color indexed="81"/>
            <rFont val="Tahoma"/>
            <family val="2"/>
          </rPr>
          <t xml:space="preserve">
COPY AND PASTE ERROR ON THIS FORMULA</t>
        </r>
      </text>
    </comment>
    <comment ref="I1555" authorId="0" shapeId="0">
      <text>
        <r>
          <rPr>
            <b/>
            <sz val="9"/>
            <color indexed="81"/>
            <rFont val="Tahoma"/>
            <family val="2"/>
          </rPr>
          <t>Author:</t>
        </r>
        <r>
          <rPr>
            <sz val="9"/>
            <color indexed="81"/>
            <rFont val="Tahoma"/>
            <family val="2"/>
          </rPr>
          <t xml:space="preserve">
COPY AND PASTE ERROR ON THIS FORMULA</t>
        </r>
      </text>
    </comment>
    <comment ref="I1560" authorId="0" shapeId="0">
      <text>
        <r>
          <rPr>
            <b/>
            <sz val="9"/>
            <color indexed="81"/>
            <rFont val="Tahoma"/>
            <family val="2"/>
          </rPr>
          <t>Author:</t>
        </r>
        <r>
          <rPr>
            <sz val="9"/>
            <color indexed="81"/>
            <rFont val="Tahoma"/>
            <family val="2"/>
          </rPr>
          <t xml:space="preserve">
COPY AND PASTE ERROR ON THIS FORMULA</t>
        </r>
      </text>
    </comment>
    <comment ref="I1561" authorId="0" shapeId="0">
      <text>
        <r>
          <rPr>
            <b/>
            <sz val="9"/>
            <color indexed="81"/>
            <rFont val="Tahoma"/>
            <family val="2"/>
          </rPr>
          <t>Author:</t>
        </r>
        <r>
          <rPr>
            <sz val="9"/>
            <color indexed="81"/>
            <rFont val="Tahoma"/>
            <family val="2"/>
          </rPr>
          <t xml:space="preserve">
COPY AND PASTE ERROR ON THIS FORMULA</t>
        </r>
      </text>
    </comment>
    <comment ref="I1562" authorId="0" shapeId="0">
      <text>
        <r>
          <rPr>
            <b/>
            <sz val="9"/>
            <color indexed="81"/>
            <rFont val="Tahoma"/>
            <family val="2"/>
          </rPr>
          <t>Author:</t>
        </r>
        <r>
          <rPr>
            <sz val="9"/>
            <color indexed="81"/>
            <rFont val="Tahoma"/>
            <family val="2"/>
          </rPr>
          <t xml:space="preserve">
COPY AND PASTE ERROR ON THIS FORMULA</t>
        </r>
      </text>
    </comment>
    <comment ref="I1563" authorId="0" shapeId="0">
      <text>
        <r>
          <rPr>
            <b/>
            <sz val="9"/>
            <color indexed="81"/>
            <rFont val="Tahoma"/>
            <family val="2"/>
          </rPr>
          <t>Author:</t>
        </r>
        <r>
          <rPr>
            <sz val="9"/>
            <color indexed="81"/>
            <rFont val="Tahoma"/>
            <family val="2"/>
          </rPr>
          <t xml:space="preserve">
COPY AND PASTE ERROR ON THIS FORMULA</t>
        </r>
      </text>
    </comment>
    <comment ref="I1572" authorId="0" shapeId="0">
      <text>
        <r>
          <rPr>
            <b/>
            <sz val="9"/>
            <color indexed="81"/>
            <rFont val="Tahoma"/>
            <family val="2"/>
          </rPr>
          <t>Author:</t>
        </r>
        <r>
          <rPr>
            <sz val="9"/>
            <color indexed="81"/>
            <rFont val="Tahoma"/>
            <family val="2"/>
          </rPr>
          <t xml:space="preserve">
COPY AND PASTE ERROR ON THIS FORMULA</t>
        </r>
      </text>
    </comment>
    <comment ref="I1573" authorId="0" shapeId="0">
      <text>
        <r>
          <rPr>
            <b/>
            <sz val="9"/>
            <color indexed="81"/>
            <rFont val="Tahoma"/>
            <family val="2"/>
          </rPr>
          <t>Author:</t>
        </r>
        <r>
          <rPr>
            <sz val="9"/>
            <color indexed="81"/>
            <rFont val="Tahoma"/>
            <family val="2"/>
          </rPr>
          <t xml:space="preserve">
COPY AND PASTE ERROR ON THIS FORMULA</t>
        </r>
      </text>
    </comment>
    <comment ref="I1574" authorId="0" shapeId="0">
      <text>
        <r>
          <rPr>
            <b/>
            <sz val="9"/>
            <color indexed="81"/>
            <rFont val="Tahoma"/>
            <family val="2"/>
          </rPr>
          <t>Author:</t>
        </r>
        <r>
          <rPr>
            <sz val="9"/>
            <color indexed="81"/>
            <rFont val="Tahoma"/>
            <family val="2"/>
          </rPr>
          <t xml:space="preserve">
COPY AND PASTE ERROR ON THIS FORMULA</t>
        </r>
      </text>
    </comment>
    <comment ref="I1575" authorId="0" shapeId="0">
      <text>
        <r>
          <rPr>
            <b/>
            <sz val="9"/>
            <color indexed="81"/>
            <rFont val="Tahoma"/>
            <family val="2"/>
          </rPr>
          <t>Author:</t>
        </r>
        <r>
          <rPr>
            <sz val="9"/>
            <color indexed="81"/>
            <rFont val="Tahoma"/>
            <family val="2"/>
          </rPr>
          <t xml:space="preserve">
COPY AND PASTE ERROR ON THIS FORMULA</t>
        </r>
      </text>
    </comment>
    <comment ref="I1580" authorId="0" shapeId="0">
      <text>
        <r>
          <rPr>
            <b/>
            <sz val="9"/>
            <color indexed="81"/>
            <rFont val="Tahoma"/>
            <family val="2"/>
          </rPr>
          <t>Author:</t>
        </r>
        <r>
          <rPr>
            <sz val="9"/>
            <color indexed="81"/>
            <rFont val="Tahoma"/>
            <family val="2"/>
          </rPr>
          <t xml:space="preserve">
COPY AND PASTE ERROR ON THIS FORMULA</t>
        </r>
      </text>
    </comment>
    <comment ref="I1581" authorId="0" shapeId="0">
      <text>
        <r>
          <rPr>
            <b/>
            <sz val="9"/>
            <color indexed="81"/>
            <rFont val="Tahoma"/>
            <family val="2"/>
          </rPr>
          <t>Author:</t>
        </r>
        <r>
          <rPr>
            <sz val="9"/>
            <color indexed="81"/>
            <rFont val="Tahoma"/>
            <family val="2"/>
          </rPr>
          <t xml:space="preserve">
COPY AND PASTE ERROR ON THIS FORMULA</t>
        </r>
      </text>
    </comment>
    <comment ref="I1582" authorId="0" shapeId="0">
      <text>
        <r>
          <rPr>
            <b/>
            <sz val="9"/>
            <color indexed="81"/>
            <rFont val="Tahoma"/>
            <family val="2"/>
          </rPr>
          <t>Author:</t>
        </r>
        <r>
          <rPr>
            <sz val="9"/>
            <color indexed="81"/>
            <rFont val="Tahoma"/>
            <family val="2"/>
          </rPr>
          <t xml:space="preserve">
COPY AND PASTE ERROR ON THIS FORMULA</t>
        </r>
      </text>
    </comment>
    <comment ref="I1583" authorId="0" shapeId="0">
      <text>
        <r>
          <rPr>
            <b/>
            <sz val="9"/>
            <color indexed="81"/>
            <rFont val="Tahoma"/>
            <family val="2"/>
          </rPr>
          <t>Author:</t>
        </r>
        <r>
          <rPr>
            <sz val="9"/>
            <color indexed="81"/>
            <rFont val="Tahoma"/>
            <family val="2"/>
          </rPr>
          <t xml:space="preserve">
COPY AND PASTE ERROR ON THIS FORMULA</t>
        </r>
      </text>
    </comment>
    <comment ref="I1594" authorId="0" shapeId="0">
      <text>
        <r>
          <rPr>
            <b/>
            <sz val="9"/>
            <color indexed="81"/>
            <rFont val="Tahoma"/>
            <family val="2"/>
          </rPr>
          <t>Author:</t>
        </r>
        <r>
          <rPr>
            <sz val="9"/>
            <color indexed="81"/>
            <rFont val="Tahoma"/>
            <family val="2"/>
          </rPr>
          <t xml:space="preserve">
COPY AND PASTE ERROR ON THIS FORMULA</t>
        </r>
      </text>
    </comment>
    <comment ref="I1595" authorId="0" shapeId="0">
      <text>
        <r>
          <rPr>
            <b/>
            <sz val="9"/>
            <color indexed="81"/>
            <rFont val="Tahoma"/>
            <family val="2"/>
          </rPr>
          <t>Author:</t>
        </r>
        <r>
          <rPr>
            <sz val="9"/>
            <color indexed="81"/>
            <rFont val="Tahoma"/>
            <family val="2"/>
          </rPr>
          <t xml:space="preserve">
COPY AND PASTE ERROR ON THIS FORMULA</t>
        </r>
      </text>
    </comment>
    <comment ref="I1596" authorId="0" shapeId="0">
      <text>
        <r>
          <rPr>
            <b/>
            <sz val="9"/>
            <color indexed="81"/>
            <rFont val="Tahoma"/>
            <family val="2"/>
          </rPr>
          <t>Author:</t>
        </r>
        <r>
          <rPr>
            <sz val="9"/>
            <color indexed="81"/>
            <rFont val="Tahoma"/>
            <family val="2"/>
          </rPr>
          <t xml:space="preserve">
COPY AND PASTE ERROR ON THIS FORMULA</t>
        </r>
      </text>
    </comment>
    <comment ref="I1597" authorId="0" shapeId="0">
      <text>
        <r>
          <rPr>
            <b/>
            <sz val="9"/>
            <color indexed="81"/>
            <rFont val="Tahoma"/>
            <family val="2"/>
          </rPr>
          <t>Author:</t>
        </r>
        <r>
          <rPr>
            <sz val="9"/>
            <color indexed="81"/>
            <rFont val="Tahoma"/>
            <family val="2"/>
          </rPr>
          <t xml:space="preserve">
COPY AND PASTE ERROR ON THIS FORMULA</t>
        </r>
      </text>
    </comment>
    <comment ref="I1602" authorId="0" shapeId="0">
      <text>
        <r>
          <rPr>
            <b/>
            <sz val="9"/>
            <color indexed="81"/>
            <rFont val="Tahoma"/>
            <family val="2"/>
          </rPr>
          <t>Author:</t>
        </r>
        <r>
          <rPr>
            <sz val="9"/>
            <color indexed="81"/>
            <rFont val="Tahoma"/>
            <family val="2"/>
          </rPr>
          <t xml:space="preserve">
COPY AND PASTE ERROR ON THIS FORMULA</t>
        </r>
      </text>
    </comment>
    <comment ref="I1603" authorId="0" shapeId="0">
      <text>
        <r>
          <rPr>
            <b/>
            <sz val="9"/>
            <color indexed="81"/>
            <rFont val="Tahoma"/>
            <family val="2"/>
          </rPr>
          <t>Author:</t>
        </r>
        <r>
          <rPr>
            <sz val="9"/>
            <color indexed="81"/>
            <rFont val="Tahoma"/>
            <family val="2"/>
          </rPr>
          <t xml:space="preserve">
COPY AND PASTE ERROR ON THIS FORMULA</t>
        </r>
      </text>
    </comment>
    <comment ref="I1604" authorId="0" shapeId="0">
      <text>
        <r>
          <rPr>
            <b/>
            <sz val="9"/>
            <color indexed="81"/>
            <rFont val="Tahoma"/>
            <family val="2"/>
          </rPr>
          <t>Author:</t>
        </r>
        <r>
          <rPr>
            <sz val="9"/>
            <color indexed="81"/>
            <rFont val="Tahoma"/>
            <family val="2"/>
          </rPr>
          <t xml:space="preserve">
COPY AND PASTE ERROR ON THIS FORMULA</t>
        </r>
      </text>
    </comment>
    <comment ref="I1605" authorId="0" shapeId="0">
      <text>
        <r>
          <rPr>
            <b/>
            <sz val="9"/>
            <color indexed="81"/>
            <rFont val="Tahoma"/>
            <family val="2"/>
          </rPr>
          <t>Author:</t>
        </r>
        <r>
          <rPr>
            <sz val="9"/>
            <color indexed="81"/>
            <rFont val="Tahoma"/>
            <family val="2"/>
          </rPr>
          <t xml:space="preserve">
COPY AND PASTE ERROR ON THIS FORMULA</t>
        </r>
      </text>
    </comment>
    <comment ref="I1614" authorId="0" shapeId="0">
      <text>
        <r>
          <rPr>
            <b/>
            <sz val="9"/>
            <color indexed="81"/>
            <rFont val="Tahoma"/>
            <family val="2"/>
          </rPr>
          <t>Author:</t>
        </r>
        <r>
          <rPr>
            <sz val="9"/>
            <color indexed="81"/>
            <rFont val="Tahoma"/>
            <family val="2"/>
          </rPr>
          <t xml:space="preserve">
COPY AND PASTE ERROR ON THIS FORMULA</t>
        </r>
      </text>
    </comment>
    <comment ref="I1615" authorId="0" shapeId="0">
      <text>
        <r>
          <rPr>
            <b/>
            <sz val="9"/>
            <color indexed="81"/>
            <rFont val="Tahoma"/>
            <family val="2"/>
          </rPr>
          <t>Author:</t>
        </r>
        <r>
          <rPr>
            <sz val="9"/>
            <color indexed="81"/>
            <rFont val="Tahoma"/>
            <family val="2"/>
          </rPr>
          <t xml:space="preserve">
COPY AND PASTE ERROR ON THIS FORMULA</t>
        </r>
      </text>
    </comment>
    <comment ref="I1620" authorId="0" shapeId="0">
      <text>
        <r>
          <rPr>
            <b/>
            <sz val="9"/>
            <color indexed="81"/>
            <rFont val="Tahoma"/>
            <family val="2"/>
          </rPr>
          <t>Author:</t>
        </r>
        <r>
          <rPr>
            <sz val="9"/>
            <color indexed="81"/>
            <rFont val="Tahoma"/>
            <family val="2"/>
          </rPr>
          <t xml:space="preserve">
COPY AND PASTE ERROR ON THIS FORMULA</t>
        </r>
      </text>
    </comment>
    <comment ref="I1621" authorId="0" shapeId="0">
      <text>
        <r>
          <rPr>
            <b/>
            <sz val="9"/>
            <color indexed="81"/>
            <rFont val="Tahoma"/>
            <family val="2"/>
          </rPr>
          <t>Author:</t>
        </r>
        <r>
          <rPr>
            <sz val="9"/>
            <color indexed="81"/>
            <rFont val="Tahoma"/>
            <family val="2"/>
          </rPr>
          <t xml:space="preserve">
COPY AND PASTE ERROR ON THIS FORMULA</t>
        </r>
      </text>
    </comment>
    <comment ref="I1622" authorId="0" shapeId="0">
      <text>
        <r>
          <rPr>
            <b/>
            <sz val="9"/>
            <color indexed="81"/>
            <rFont val="Tahoma"/>
            <family val="2"/>
          </rPr>
          <t>Author:</t>
        </r>
        <r>
          <rPr>
            <sz val="9"/>
            <color indexed="81"/>
            <rFont val="Tahoma"/>
            <family val="2"/>
          </rPr>
          <t xml:space="preserve">
COPY AND PASTE ERROR ON THIS FORMULA</t>
        </r>
      </text>
    </comment>
    <comment ref="I1623" authorId="0" shapeId="0">
      <text>
        <r>
          <rPr>
            <b/>
            <sz val="9"/>
            <color indexed="81"/>
            <rFont val="Tahoma"/>
            <family val="2"/>
          </rPr>
          <t>Author:</t>
        </r>
        <r>
          <rPr>
            <sz val="9"/>
            <color indexed="81"/>
            <rFont val="Tahoma"/>
            <family val="2"/>
          </rPr>
          <t xml:space="preserve">
COPY AND PASTE ERROR ON THIS FORMULA</t>
        </r>
      </text>
    </comment>
    <comment ref="I1626" authorId="0" shapeId="0">
      <text>
        <r>
          <rPr>
            <b/>
            <sz val="9"/>
            <color indexed="81"/>
            <rFont val="Tahoma"/>
            <family val="2"/>
          </rPr>
          <t>Author:</t>
        </r>
        <r>
          <rPr>
            <sz val="9"/>
            <color indexed="81"/>
            <rFont val="Tahoma"/>
            <family val="2"/>
          </rPr>
          <t xml:space="preserve">
COPY AND PASTE ERROR ON THIS FORMULA</t>
        </r>
      </text>
    </comment>
    <comment ref="I1627" authorId="0" shapeId="0">
      <text>
        <r>
          <rPr>
            <b/>
            <sz val="9"/>
            <color indexed="81"/>
            <rFont val="Tahoma"/>
            <family val="2"/>
          </rPr>
          <t>Author:</t>
        </r>
        <r>
          <rPr>
            <sz val="9"/>
            <color indexed="81"/>
            <rFont val="Tahoma"/>
            <family val="2"/>
          </rPr>
          <t xml:space="preserve">
COPY AND PASTE ERROR ON THIS FORMULA</t>
        </r>
      </text>
    </comment>
    <comment ref="I1630" authorId="0" shapeId="0">
      <text>
        <r>
          <rPr>
            <b/>
            <sz val="9"/>
            <color indexed="81"/>
            <rFont val="Tahoma"/>
            <family val="2"/>
          </rPr>
          <t>Author:</t>
        </r>
        <r>
          <rPr>
            <sz val="9"/>
            <color indexed="81"/>
            <rFont val="Tahoma"/>
            <family val="2"/>
          </rPr>
          <t xml:space="preserve">
COPY AND PASTE ERROR ON THIS FORMULA</t>
        </r>
      </text>
    </comment>
    <comment ref="I1631" authorId="0" shapeId="0">
      <text>
        <r>
          <rPr>
            <b/>
            <sz val="9"/>
            <color indexed="81"/>
            <rFont val="Tahoma"/>
            <family val="2"/>
          </rPr>
          <t>Author:</t>
        </r>
        <r>
          <rPr>
            <sz val="9"/>
            <color indexed="81"/>
            <rFont val="Tahoma"/>
            <family val="2"/>
          </rPr>
          <t xml:space="preserve">
COPY AND PASTE ERROR ON THIS FORMULA</t>
        </r>
      </text>
    </comment>
    <comment ref="I1634" authorId="0" shapeId="0">
      <text>
        <r>
          <rPr>
            <b/>
            <sz val="9"/>
            <color indexed="81"/>
            <rFont val="Tahoma"/>
            <family val="2"/>
          </rPr>
          <t>Author:</t>
        </r>
        <r>
          <rPr>
            <sz val="9"/>
            <color indexed="81"/>
            <rFont val="Tahoma"/>
            <family val="2"/>
          </rPr>
          <t xml:space="preserve">
COPY AND PASTE ERROR ON THIS FORMULA</t>
        </r>
      </text>
    </comment>
    <comment ref="I1635" authorId="0" shapeId="0">
      <text>
        <r>
          <rPr>
            <b/>
            <sz val="9"/>
            <color indexed="81"/>
            <rFont val="Tahoma"/>
            <family val="2"/>
          </rPr>
          <t>Author:</t>
        </r>
        <r>
          <rPr>
            <sz val="9"/>
            <color indexed="81"/>
            <rFont val="Tahoma"/>
            <family val="2"/>
          </rPr>
          <t xml:space="preserve">
COPY AND PASTE ERROR ON THIS FORMULA</t>
        </r>
      </text>
    </comment>
    <comment ref="I1638" authorId="0" shapeId="0">
      <text>
        <r>
          <rPr>
            <b/>
            <sz val="9"/>
            <color indexed="81"/>
            <rFont val="Tahoma"/>
            <family val="2"/>
          </rPr>
          <t>Author:</t>
        </r>
        <r>
          <rPr>
            <sz val="9"/>
            <color indexed="81"/>
            <rFont val="Tahoma"/>
            <family val="2"/>
          </rPr>
          <t xml:space="preserve">
COPY AND PASTE ERROR ON THIS FORMULA</t>
        </r>
      </text>
    </comment>
    <comment ref="I1639" authorId="0" shapeId="0">
      <text>
        <r>
          <rPr>
            <b/>
            <sz val="9"/>
            <color indexed="81"/>
            <rFont val="Tahoma"/>
            <family val="2"/>
          </rPr>
          <t>Author:</t>
        </r>
        <r>
          <rPr>
            <sz val="9"/>
            <color indexed="81"/>
            <rFont val="Tahoma"/>
            <family val="2"/>
          </rPr>
          <t xml:space="preserve">
COPY AND PASTE ERROR ON THIS FORMULA</t>
        </r>
      </text>
    </comment>
    <comment ref="I1642" authorId="0" shapeId="0">
      <text>
        <r>
          <rPr>
            <b/>
            <sz val="9"/>
            <color indexed="81"/>
            <rFont val="Tahoma"/>
            <family val="2"/>
          </rPr>
          <t>Author:</t>
        </r>
        <r>
          <rPr>
            <sz val="9"/>
            <color indexed="81"/>
            <rFont val="Tahoma"/>
            <family val="2"/>
          </rPr>
          <t xml:space="preserve">
COPY AND PASTE ERROR ON THIS FORMULA</t>
        </r>
      </text>
    </comment>
    <comment ref="I1643" authorId="0" shapeId="0">
      <text>
        <r>
          <rPr>
            <b/>
            <sz val="9"/>
            <color indexed="81"/>
            <rFont val="Tahoma"/>
            <family val="2"/>
          </rPr>
          <t>Author:</t>
        </r>
        <r>
          <rPr>
            <sz val="9"/>
            <color indexed="81"/>
            <rFont val="Tahoma"/>
            <family val="2"/>
          </rPr>
          <t xml:space="preserve">
COPY AND PASTE ERROR ON THIS FORMULA</t>
        </r>
      </text>
    </comment>
    <comment ref="W1792" authorId="0" shapeId="0">
      <text>
        <r>
          <rPr>
            <b/>
            <sz val="9"/>
            <color indexed="81"/>
            <rFont val="Tahoma"/>
            <family val="2"/>
          </rPr>
          <t>MO TRM</t>
        </r>
        <r>
          <rPr>
            <sz val="9"/>
            <color indexed="81"/>
            <rFont val="Tahoma"/>
            <family val="2"/>
          </rPr>
          <t xml:space="preserve">
</t>
        </r>
      </text>
    </comment>
    <comment ref="X1792" authorId="0" shapeId="0">
      <text>
        <r>
          <rPr>
            <b/>
            <sz val="9"/>
            <color indexed="81"/>
            <rFont val="Tahoma"/>
            <family val="2"/>
          </rPr>
          <t>2017 Cadmus EM&amp;V - 2016 -2017 AMR Data &amp; HP</t>
        </r>
        <r>
          <rPr>
            <sz val="9"/>
            <color indexed="81"/>
            <rFont val="Tahoma"/>
            <family val="2"/>
          </rPr>
          <t xml:space="preserve">
</t>
        </r>
      </text>
    </comment>
    <comment ref="X2566" authorId="0" shapeId="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Y2566"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K2986"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2986" authorId="0" shapeId="0">
      <text>
        <r>
          <rPr>
            <b/>
            <sz val="9"/>
            <color indexed="81"/>
            <rFont val="Tahoma"/>
            <family val="2"/>
          </rPr>
          <t>Author:</t>
        </r>
        <r>
          <rPr>
            <sz val="9"/>
            <color indexed="81"/>
            <rFont val="Tahoma"/>
            <family val="2"/>
          </rPr>
          <t xml:space="preserve">
Adjusted Capacity based upon HF Factor</t>
        </r>
      </text>
    </comment>
    <comment ref="Y2986" authorId="0" shapeId="0">
      <text>
        <r>
          <rPr>
            <b/>
            <sz val="14"/>
            <color indexed="81"/>
            <rFont val="Tahoma"/>
            <family val="2"/>
          </rPr>
          <t>Adjusted Formula so that it all calculations were driven off column J and not J&amp;K so that this could be copied over with each new TRM update 8/13/2019</t>
        </r>
      </text>
    </comment>
    <comment ref="L2990" authorId="0" shapeId="0">
      <text>
        <r>
          <rPr>
            <b/>
            <sz val="9"/>
            <color indexed="81"/>
            <rFont val="Tahoma"/>
            <family val="2"/>
          </rPr>
          <t>Author:</t>
        </r>
        <r>
          <rPr>
            <sz val="9"/>
            <color indexed="81"/>
            <rFont val="Tahoma"/>
            <family val="2"/>
          </rPr>
          <t xml:space="preserve">
Adjusted Capacity based upon HF Factor</t>
        </r>
      </text>
    </comment>
    <comment ref="L2994" authorId="0" shapeId="0">
      <text>
        <r>
          <rPr>
            <b/>
            <sz val="9"/>
            <color indexed="81"/>
            <rFont val="Tahoma"/>
            <family val="2"/>
          </rPr>
          <t>Author:</t>
        </r>
        <r>
          <rPr>
            <sz val="9"/>
            <color indexed="81"/>
            <rFont val="Tahoma"/>
            <family val="2"/>
          </rPr>
          <t xml:space="preserve">
Adjusted Capacity based upon HF Factor</t>
        </r>
      </text>
    </comment>
    <comment ref="L2996" authorId="0" shapeId="0">
      <text>
        <r>
          <rPr>
            <b/>
            <sz val="9"/>
            <color indexed="81"/>
            <rFont val="Tahoma"/>
            <family val="2"/>
          </rPr>
          <t>Author:</t>
        </r>
        <r>
          <rPr>
            <sz val="9"/>
            <color indexed="81"/>
            <rFont val="Tahoma"/>
            <family val="2"/>
          </rPr>
          <t xml:space="preserve">
Adjusted Capacity based upon HF Factor</t>
        </r>
      </text>
    </comment>
    <comment ref="L2998" authorId="0" shapeId="0">
      <text>
        <r>
          <rPr>
            <b/>
            <sz val="9"/>
            <color indexed="81"/>
            <rFont val="Tahoma"/>
            <family val="2"/>
          </rPr>
          <t>Author:</t>
        </r>
        <r>
          <rPr>
            <sz val="9"/>
            <color indexed="81"/>
            <rFont val="Tahoma"/>
            <family val="2"/>
          </rPr>
          <t xml:space="preserve">
Adjusted Capacity based upon HF Factor</t>
        </r>
      </text>
    </comment>
    <comment ref="L3002" authorId="0" shapeId="0">
      <text>
        <r>
          <rPr>
            <b/>
            <sz val="9"/>
            <color indexed="81"/>
            <rFont val="Tahoma"/>
            <family val="2"/>
          </rPr>
          <t>Author:</t>
        </r>
        <r>
          <rPr>
            <sz val="9"/>
            <color indexed="81"/>
            <rFont val="Tahoma"/>
            <family val="2"/>
          </rPr>
          <t xml:space="preserve">
Adjusted Capacity based upon HF Factor</t>
        </r>
      </text>
    </comment>
    <comment ref="L3006" authorId="0" shapeId="0">
      <text>
        <r>
          <rPr>
            <b/>
            <sz val="9"/>
            <color indexed="81"/>
            <rFont val="Tahoma"/>
            <family val="2"/>
          </rPr>
          <t>Author:</t>
        </r>
        <r>
          <rPr>
            <sz val="9"/>
            <color indexed="81"/>
            <rFont val="Tahoma"/>
            <family val="2"/>
          </rPr>
          <t xml:space="preserve">
Adjusted Capacity based upon HF Factor</t>
        </r>
      </text>
    </comment>
    <comment ref="L3008" authorId="0" shapeId="0">
      <text>
        <r>
          <rPr>
            <b/>
            <sz val="9"/>
            <color indexed="81"/>
            <rFont val="Tahoma"/>
            <family val="2"/>
          </rPr>
          <t>Author:</t>
        </r>
        <r>
          <rPr>
            <sz val="9"/>
            <color indexed="81"/>
            <rFont val="Tahoma"/>
            <family val="2"/>
          </rPr>
          <t xml:space="preserve">
Adjusted Capacity based upon HF Factor</t>
        </r>
      </text>
    </comment>
    <comment ref="L3010" authorId="0" shapeId="0">
      <text>
        <r>
          <rPr>
            <b/>
            <sz val="9"/>
            <color indexed="81"/>
            <rFont val="Tahoma"/>
            <family val="2"/>
          </rPr>
          <t>Author:</t>
        </r>
        <r>
          <rPr>
            <sz val="9"/>
            <color indexed="81"/>
            <rFont val="Tahoma"/>
            <family val="2"/>
          </rPr>
          <t xml:space="preserve">
Adjusted Capacity based upon HF Factor</t>
        </r>
      </text>
    </comment>
    <comment ref="L3014" authorId="0" shapeId="0">
      <text>
        <r>
          <rPr>
            <b/>
            <sz val="9"/>
            <color indexed="81"/>
            <rFont val="Tahoma"/>
            <family val="2"/>
          </rPr>
          <t>Author:</t>
        </r>
        <r>
          <rPr>
            <sz val="9"/>
            <color indexed="81"/>
            <rFont val="Tahoma"/>
            <family val="2"/>
          </rPr>
          <t xml:space="preserve">
Adjusted Capacity based upon HF Factor</t>
        </r>
      </text>
    </comment>
    <comment ref="L3018" authorId="0" shapeId="0">
      <text>
        <r>
          <rPr>
            <b/>
            <sz val="9"/>
            <color indexed="81"/>
            <rFont val="Tahoma"/>
            <family val="2"/>
          </rPr>
          <t>Author:</t>
        </r>
        <r>
          <rPr>
            <sz val="9"/>
            <color indexed="81"/>
            <rFont val="Tahoma"/>
            <family val="2"/>
          </rPr>
          <t xml:space="preserve">
Adjusted Capacity based upon HF Factor</t>
        </r>
      </text>
    </comment>
    <comment ref="L3020" authorId="0" shapeId="0">
      <text>
        <r>
          <rPr>
            <b/>
            <sz val="9"/>
            <color indexed="81"/>
            <rFont val="Tahoma"/>
            <family val="2"/>
          </rPr>
          <t>Author:</t>
        </r>
        <r>
          <rPr>
            <sz val="9"/>
            <color indexed="81"/>
            <rFont val="Tahoma"/>
            <family val="2"/>
          </rPr>
          <t xml:space="preserve">
Adjusted Capacity based upon HF Factor</t>
        </r>
      </text>
    </comment>
    <comment ref="L3024" authorId="0" shapeId="0">
      <text>
        <r>
          <rPr>
            <b/>
            <sz val="9"/>
            <color indexed="81"/>
            <rFont val="Tahoma"/>
            <family val="2"/>
          </rPr>
          <t>Author:</t>
        </r>
        <r>
          <rPr>
            <sz val="9"/>
            <color indexed="81"/>
            <rFont val="Tahoma"/>
            <family val="2"/>
          </rPr>
          <t xml:space="preserve">
Adjusted Capacity based upon HF Factor</t>
        </r>
      </text>
    </comment>
    <comment ref="L3026" authorId="0" shapeId="0">
      <text>
        <r>
          <rPr>
            <b/>
            <sz val="9"/>
            <color indexed="81"/>
            <rFont val="Tahoma"/>
            <family val="2"/>
          </rPr>
          <t>Author:</t>
        </r>
        <r>
          <rPr>
            <sz val="9"/>
            <color indexed="81"/>
            <rFont val="Tahoma"/>
            <family val="2"/>
          </rPr>
          <t xml:space="preserve">
Adjusted Capacity based upon HF Factor</t>
        </r>
      </text>
    </comment>
    <comment ref="L3028" authorId="0" shapeId="0">
      <text>
        <r>
          <rPr>
            <b/>
            <sz val="9"/>
            <color indexed="81"/>
            <rFont val="Tahoma"/>
            <family val="2"/>
          </rPr>
          <t>Author:</t>
        </r>
        <r>
          <rPr>
            <sz val="9"/>
            <color indexed="81"/>
            <rFont val="Tahoma"/>
            <family val="2"/>
          </rPr>
          <t xml:space="preserve">
Adjusted Capacity based upon HF Factor</t>
        </r>
      </text>
    </comment>
    <comment ref="L3032" authorId="0" shapeId="0">
      <text>
        <r>
          <rPr>
            <b/>
            <sz val="9"/>
            <color indexed="81"/>
            <rFont val="Tahoma"/>
            <family val="2"/>
          </rPr>
          <t>Author:</t>
        </r>
        <r>
          <rPr>
            <sz val="9"/>
            <color indexed="81"/>
            <rFont val="Tahoma"/>
            <family val="2"/>
          </rPr>
          <t xml:space="preserve">
Adjusted Capacity based upon HF Factor</t>
        </r>
      </text>
    </comment>
    <comment ref="L3034" authorId="0" shapeId="0">
      <text>
        <r>
          <rPr>
            <b/>
            <sz val="9"/>
            <color indexed="81"/>
            <rFont val="Tahoma"/>
            <family val="2"/>
          </rPr>
          <t>Author:</t>
        </r>
        <r>
          <rPr>
            <sz val="9"/>
            <color indexed="81"/>
            <rFont val="Tahoma"/>
            <family val="2"/>
          </rPr>
          <t xml:space="preserve">
Adjusted Capacity based upon HF Factor</t>
        </r>
      </text>
    </comment>
    <comment ref="L3036" authorId="0" shapeId="0">
      <text>
        <r>
          <rPr>
            <b/>
            <sz val="9"/>
            <color indexed="81"/>
            <rFont val="Tahoma"/>
            <family val="2"/>
          </rPr>
          <t>Author:</t>
        </r>
        <r>
          <rPr>
            <sz val="9"/>
            <color indexed="81"/>
            <rFont val="Tahoma"/>
            <family val="2"/>
          </rPr>
          <t xml:space="preserve">
Adjusted Capacity based upon HF Factor</t>
        </r>
      </text>
    </comment>
    <comment ref="L3038" authorId="0" shapeId="0">
      <text>
        <r>
          <rPr>
            <b/>
            <sz val="9"/>
            <color indexed="81"/>
            <rFont val="Tahoma"/>
            <family val="2"/>
          </rPr>
          <t>Author:</t>
        </r>
        <r>
          <rPr>
            <sz val="9"/>
            <color indexed="81"/>
            <rFont val="Tahoma"/>
            <family val="2"/>
          </rPr>
          <t xml:space="preserve">
Adjusted Capacity based upon HF Factor</t>
        </r>
      </text>
    </comment>
    <comment ref="L3040" authorId="0" shapeId="0">
      <text>
        <r>
          <rPr>
            <b/>
            <sz val="9"/>
            <color indexed="81"/>
            <rFont val="Tahoma"/>
            <family val="2"/>
          </rPr>
          <t>Author:</t>
        </r>
        <r>
          <rPr>
            <sz val="9"/>
            <color indexed="81"/>
            <rFont val="Tahoma"/>
            <family val="2"/>
          </rPr>
          <t xml:space="preserve">
Adjusted Capacity based upon HF Factor</t>
        </r>
      </text>
    </comment>
    <comment ref="L3042" authorId="0" shapeId="0">
      <text>
        <r>
          <rPr>
            <b/>
            <sz val="9"/>
            <color indexed="81"/>
            <rFont val="Tahoma"/>
            <family val="2"/>
          </rPr>
          <t>Author:</t>
        </r>
        <r>
          <rPr>
            <sz val="9"/>
            <color indexed="81"/>
            <rFont val="Tahoma"/>
            <family val="2"/>
          </rPr>
          <t xml:space="preserve">
Adjusted Capacity based upon HF Factor</t>
        </r>
      </text>
    </comment>
    <comment ref="L3044" authorId="0" shapeId="0">
      <text>
        <r>
          <rPr>
            <b/>
            <sz val="9"/>
            <color indexed="81"/>
            <rFont val="Tahoma"/>
            <family val="2"/>
          </rPr>
          <t>Author:</t>
        </r>
        <r>
          <rPr>
            <sz val="9"/>
            <color indexed="81"/>
            <rFont val="Tahoma"/>
            <family val="2"/>
          </rPr>
          <t xml:space="preserve">
Adjusted Capacity based upon HF Factor</t>
        </r>
      </text>
    </comment>
    <comment ref="L3046" authorId="0" shapeId="0">
      <text>
        <r>
          <rPr>
            <b/>
            <sz val="9"/>
            <color indexed="81"/>
            <rFont val="Tahoma"/>
            <family val="2"/>
          </rPr>
          <t>Author:</t>
        </r>
        <r>
          <rPr>
            <sz val="9"/>
            <color indexed="81"/>
            <rFont val="Tahoma"/>
            <family val="2"/>
          </rPr>
          <t xml:space="preserve">
Adjusted Capacity based upon HF Factor</t>
        </r>
      </text>
    </comment>
    <comment ref="L3050" authorId="0" shapeId="0">
      <text>
        <r>
          <rPr>
            <b/>
            <sz val="9"/>
            <color indexed="81"/>
            <rFont val="Tahoma"/>
            <family val="2"/>
          </rPr>
          <t>Author:</t>
        </r>
        <r>
          <rPr>
            <sz val="9"/>
            <color indexed="81"/>
            <rFont val="Tahoma"/>
            <family val="2"/>
          </rPr>
          <t xml:space="preserve">
Adjusted Capacity based upon HF Factor</t>
        </r>
      </text>
    </comment>
    <comment ref="L3052" authorId="0" shapeId="0">
      <text>
        <r>
          <rPr>
            <b/>
            <sz val="9"/>
            <color indexed="81"/>
            <rFont val="Tahoma"/>
            <family val="2"/>
          </rPr>
          <t>Author:</t>
        </r>
        <r>
          <rPr>
            <sz val="9"/>
            <color indexed="81"/>
            <rFont val="Tahoma"/>
            <family val="2"/>
          </rPr>
          <t xml:space="preserve">
Adjusted Capacity based upon HF Factor</t>
        </r>
      </text>
    </comment>
    <comment ref="L3054" authorId="0" shapeId="0">
      <text>
        <r>
          <rPr>
            <b/>
            <sz val="9"/>
            <color indexed="81"/>
            <rFont val="Tahoma"/>
            <family val="2"/>
          </rPr>
          <t>Author:</t>
        </r>
        <r>
          <rPr>
            <sz val="9"/>
            <color indexed="81"/>
            <rFont val="Tahoma"/>
            <family val="2"/>
          </rPr>
          <t xml:space="preserve">
Adjusted Capacity based upon HF Factor</t>
        </r>
      </text>
    </comment>
    <comment ref="L3058" authorId="0" shapeId="0">
      <text>
        <r>
          <rPr>
            <b/>
            <sz val="9"/>
            <color indexed="81"/>
            <rFont val="Tahoma"/>
            <family val="2"/>
          </rPr>
          <t>Author:</t>
        </r>
        <r>
          <rPr>
            <sz val="9"/>
            <color indexed="81"/>
            <rFont val="Tahoma"/>
            <family val="2"/>
          </rPr>
          <t xml:space="preserve">
Adjusted Capacity based upon HF Factor</t>
        </r>
      </text>
    </comment>
    <comment ref="L3062" authorId="0" shapeId="0">
      <text>
        <r>
          <rPr>
            <b/>
            <sz val="9"/>
            <color indexed="81"/>
            <rFont val="Tahoma"/>
            <family val="2"/>
          </rPr>
          <t>Author:</t>
        </r>
        <r>
          <rPr>
            <sz val="9"/>
            <color indexed="81"/>
            <rFont val="Tahoma"/>
            <family val="2"/>
          </rPr>
          <t xml:space="preserve">
Adjusted Capacity based upon HF Factor</t>
        </r>
      </text>
    </comment>
    <comment ref="L3064" authorId="0" shapeId="0">
      <text>
        <r>
          <rPr>
            <b/>
            <sz val="9"/>
            <color indexed="81"/>
            <rFont val="Tahoma"/>
            <family val="2"/>
          </rPr>
          <t>Author:</t>
        </r>
        <r>
          <rPr>
            <sz val="9"/>
            <color indexed="81"/>
            <rFont val="Tahoma"/>
            <family val="2"/>
          </rPr>
          <t xml:space="preserve">
Adjusted Capacity based upon HF Factor</t>
        </r>
      </text>
    </comment>
    <comment ref="L3066" authorId="0" shapeId="0">
      <text>
        <r>
          <rPr>
            <b/>
            <sz val="9"/>
            <color indexed="81"/>
            <rFont val="Tahoma"/>
            <family val="2"/>
          </rPr>
          <t>Author:</t>
        </r>
        <r>
          <rPr>
            <sz val="9"/>
            <color indexed="81"/>
            <rFont val="Tahoma"/>
            <family val="2"/>
          </rPr>
          <t xml:space="preserve">
Adjusted Capacity based upon HF Factor</t>
        </r>
      </text>
    </comment>
    <comment ref="L3070" authorId="0" shapeId="0">
      <text>
        <r>
          <rPr>
            <b/>
            <sz val="9"/>
            <color indexed="81"/>
            <rFont val="Tahoma"/>
            <family val="2"/>
          </rPr>
          <t>Author:</t>
        </r>
        <r>
          <rPr>
            <sz val="9"/>
            <color indexed="81"/>
            <rFont val="Tahoma"/>
            <family val="2"/>
          </rPr>
          <t xml:space="preserve">
Adjusted Capacity based upon HF Factor</t>
        </r>
      </text>
    </comment>
    <comment ref="L3072" authorId="0" shapeId="0">
      <text>
        <r>
          <rPr>
            <b/>
            <sz val="9"/>
            <color indexed="81"/>
            <rFont val="Tahoma"/>
            <family val="2"/>
          </rPr>
          <t>Author:</t>
        </r>
        <r>
          <rPr>
            <sz val="9"/>
            <color indexed="81"/>
            <rFont val="Tahoma"/>
            <family val="2"/>
          </rPr>
          <t xml:space="preserve">
Adjusted Capacity based upon HF Factor</t>
        </r>
      </text>
    </comment>
    <comment ref="L3076" authorId="0" shapeId="0">
      <text>
        <r>
          <rPr>
            <b/>
            <sz val="9"/>
            <color indexed="81"/>
            <rFont val="Tahoma"/>
            <family val="2"/>
          </rPr>
          <t>Author:</t>
        </r>
        <r>
          <rPr>
            <sz val="9"/>
            <color indexed="81"/>
            <rFont val="Tahoma"/>
            <family val="2"/>
          </rPr>
          <t xml:space="preserve">
Adjusted Capacity based upon HF Factor</t>
        </r>
      </text>
    </comment>
    <comment ref="L3078" authorId="0" shapeId="0">
      <text>
        <r>
          <rPr>
            <b/>
            <sz val="9"/>
            <color indexed="81"/>
            <rFont val="Tahoma"/>
            <family val="2"/>
          </rPr>
          <t>Author:</t>
        </r>
        <r>
          <rPr>
            <sz val="9"/>
            <color indexed="81"/>
            <rFont val="Tahoma"/>
            <family val="2"/>
          </rPr>
          <t xml:space="preserve">
Adjusted Capacity based upon HF Factor</t>
        </r>
      </text>
    </comment>
    <comment ref="L3082" authorId="0" shapeId="0">
      <text>
        <r>
          <rPr>
            <b/>
            <sz val="9"/>
            <color indexed="81"/>
            <rFont val="Tahoma"/>
            <family val="2"/>
          </rPr>
          <t>Author:</t>
        </r>
        <r>
          <rPr>
            <sz val="9"/>
            <color indexed="81"/>
            <rFont val="Tahoma"/>
            <family val="2"/>
          </rPr>
          <t xml:space="preserve">
Adjusted Capacity based upon HF Factor</t>
        </r>
      </text>
    </comment>
    <comment ref="L3084" authorId="0" shapeId="0">
      <text>
        <r>
          <rPr>
            <b/>
            <sz val="9"/>
            <color indexed="81"/>
            <rFont val="Tahoma"/>
            <family val="2"/>
          </rPr>
          <t>Author:</t>
        </r>
        <r>
          <rPr>
            <sz val="9"/>
            <color indexed="81"/>
            <rFont val="Tahoma"/>
            <family val="2"/>
          </rPr>
          <t xml:space="preserve">
Adjusted Capacity based upon HF Factor</t>
        </r>
      </text>
    </comment>
    <comment ref="L3088" authorId="0" shapeId="0">
      <text>
        <r>
          <rPr>
            <b/>
            <sz val="9"/>
            <color indexed="81"/>
            <rFont val="Tahoma"/>
            <family val="2"/>
          </rPr>
          <t>Author:</t>
        </r>
        <r>
          <rPr>
            <sz val="9"/>
            <color indexed="81"/>
            <rFont val="Tahoma"/>
            <family val="2"/>
          </rPr>
          <t xml:space="preserve">
Adjusted Capacity based upon HF Factor</t>
        </r>
      </text>
    </comment>
    <comment ref="L3092" authorId="0" shapeId="0">
      <text>
        <r>
          <rPr>
            <b/>
            <sz val="9"/>
            <color indexed="81"/>
            <rFont val="Tahoma"/>
            <family val="2"/>
          </rPr>
          <t>Author:</t>
        </r>
        <r>
          <rPr>
            <sz val="9"/>
            <color indexed="81"/>
            <rFont val="Tahoma"/>
            <family val="2"/>
          </rPr>
          <t xml:space="preserve">
Adjusted Capacity based upon HF Factor</t>
        </r>
      </text>
    </comment>
    <comment ref="X3092" authorId="0" shapeId="0">
      <text>
        <r>
          <rPr>
            <b/>
            <sz val="14"/>
            <color indexed="81"/>
            <rFont val="Tahoma"/>
            <family val="2"/>
          </rPr>
          <t xml:space="preserve">These highlighted "Green" include a corrections to the forumula. It was previously pointing to an incorrect cell reference
</t>
        </r>
      </text>
    </comment>
    <comment ref="L3096" authorId="0" shapeId="0">
      <text>
        <r>
          <rPr>
            <b/>
            <sz val="9"/>
            <color indexed="81"/>
            <rFont val="Tahoma"/>
            <family val="2"/>
          </rPr>
          <t>Author:</t>
        </r>
        <r>
          <rPr>
            <sz val="9"/>
            <color indexed="81"/>
            <rFont val="Tahoma"/>
            <family val="2"/>
          </rPr>
          <t xml:space="preserve">
Adjusted Capacity based upon HF Factor</t>
        </r>
      </text>
    </comment>
    <comment ref="L3100" authorId="0" shapeId="0">
      <text>
        <r>
          <rPr>
            <b/>
            <sz val="9"/>
            <color indexed="81"/>
            <rFont val="Tahoma"/>
            <family val="2"/>
          </rPr>
          <t>Author:</t>
        </r>
        <r>
          <rPr>
            <sz val="9"/>
            <color indexed="81"/>
            <rFont val="Tahoma"/>
            <family val="2"/>
          </rPr>
          <t xml:space="preserve">
Adjusted Capacity based upon HF Factor</t>
        </r>
      </text>
    </comment>
    <comment ref="L3104" authorId="0" shapeId="0">
      <text>
        <r>
          <rPr>
            <b/>
            <sz val="9"/>
            <color indexed="81"/>
            <rFont val="Tahoma"/>
            <family val="2"/>
          </rPr>
          <t>Author:</t>
        </r>
        <r>
          <rPr>
            <sz val="9"/>
            <color indexed="81"/>
            <rFont val="Tahoma"/>
            <family val="2"/>
          </rPr>
          <t xml:space="preserve">
Adjusted Capacity based upon HF Factor</t>
        </r>
      </text>
    </comment>
    <comment ref="L3108" authorId="0" shapeId="0">
      <text>
        <r>
          <rPr>
            <b/>
            <sz val="9"/>
            <color indexed="81"/>
            <rFont val="Tahoma"/>
            <family val="2"/>
          </rPr>
          <t>Author:</t>
        </r>
        <r>
          <rPr>
            <sz val="9"/>
            <color indexed="81"/>
            <rFont val="Tahoma"/>
            <family val="2"/>
          </rPr>
          <t xml:space="preserve">
Adjusted Capacity based upon HF Factor</t>
        </r>
      </text>
    </comment>
    <comment ref="L3112" authorId="0" shapeId="0">
      <text>
        <r>
          <rPr>
            <b/>
            <sz val="9"/>
            <color indexed="81"/>
            <rFont val="Tahoma"/>
            <family val="2"/>
          </rPr>
          <t>Author:</t>
        </r>
        <r>
          <rPr>
            <sz val="9"/>
            <color indexed="81"/>
            <rFont val="Tahoma"/>
            <family val="2"/>
          </rPr>
          <t xml:space="preserve">
Adjusted Capacity based upon HF Factor</t>
        </r>
      </text>
    </comment>
    <comment ref="L3116" authorId="0" shapeId="0">
      <text>
        <r>
          <rPr>
            <b/>
            <sz val="9"/>
            <color indexed="81"/>
            <rFont val="Tahoma"/>
            <family val="2"/>
          </rPr>
          <t>Author:</t>
        </r>
        <r>
          <rPr>
            <sz val="9"/>
            <color indexed="81"/>
            <rFont val="Tahoma"/>
            <family val="2"/>
          </rPr>
          <t xml:space="preserve">
Adjusted Capacity based upon HF Factor</t>
        </r>
      </text>
    </comment>
    <comment ref="L3120" authorId="0" shapeId="0">
      <text>
        <r>
          <rPr>
            <b/>
            <sz val="9"/>
            <color indexed="81"/>
            <rFont val="Tahoma"/>
            <family val="2"/>
          </rPr>
          <t>Author:</t>
        </r>
        <r>
          <rPr>
            <sz val="9"/>
            <color indexed="81"/>
            <rFont val="Tahoma"/>
            <family val="2"/>
          </rPr>
          <t xml:space="preserve">
Adjusted Capacity based upon HF Factor</t>
        </r>
      </text>
    </comment>
    <comment ref="L3124" authorId="0" shapeId="0">
      <text>
        <r>
          <rPr>
            <b/>
            <sz val="9"/>
            <color indexed="81"/>
            <rFont val="Tahoma"/>
            <family val="2"/>
          </rPr>
          <t>Author:</t>
        </r>
        <r>
          <rPr>
            <sz val="9"/>
            <color indexed="81"/>
            <rFont val="Tahoma"/>
            <family val="2"/>
          </rPr>
          <t xml:space="preserve">
Adjusted Capacity based upon HF Factor</t>
        </r>
      </text>
    </comment>
    <comment ref="L3126" authorId="0" shapeId="0">
      <text>
        <r>
          <rPr>
            <b/>
            <sz val="9"/>
            <color indexed="81"/>
            <rFont val="Tahoma"/>
            <family val="2"/>
          </rPr>
          <t>Author:</t>
        </r>
        <r>
          <rPr>
            <sz val="9"/>
            <color indexed="81"/>
            <rFont val="Tahoma"/>
            <family val="2"/>
          </rPr>
          <t xml:space="preserve">
Adjusted Capacity based upon HF Factor</t>
        </r>
      </text>
    </comment>
    <comment ref="L3130" authorId="0" shapeId="0">
      <text>
        <r>
          <rPr>
            <b/>
            <sz val="9"/>
            <color indexed="81"/>
            <rFont val="Tahoma"/>
            <family val="2"/>
          </rPr>
          <t>Author:</t>
        </r>
        <r>
          <rPr>
            <sz val="9"/>
            <color indexed="81"/>
            <rFont val="Tahoma"/>
            <family val="2"/>
          </rPr>
          <t xml:space="preserve">
Adjusted Capacity based upon HF Factor</t>
        </r>
      </text>
    </comment>
    <comment ref="L3134" authorId="0" shapeId="0">
      <text>
        <r>
          <rPr>
            <b/>
            <sz val="9"/>
            <color indexed="81"/>
            <rFont val="Tahoma"/>
            <family val="2"/>
          </rPr>
          <t>Author:</t>
        </r>
        <r>
          <rPr>
            <sz val="9"/>
            <color indexed="81"/>
            <rFont val="Tahoma"/>
            <family val="2"/>
          </rPr>
          <t xml:space="preserve">
Adjusted Capacity based upon HF Factor</t>
        </r>
      </text>
    </comment>
    <comment ref="L3138" authorId="0" shapeId="0">
      <text>
        <r>
          <rPr>
            <b/>
            <sz val="9"/>
            <color indexed="81"/>
            <rFont val="Tahoma"/>
            <family val="2"/>
          </rPr>
          <t>Author:</t>
        </r>
        <r>
          <rPr>
            <sz val="9"/>
            <color indexed="81"/>
            <rFont val="Tahoma"/>
            <family val="2"/>
          </rPr>
          <t xml:space="preserve">
Adjusted Capacity based upon HF Factor</t>
        </r>
      </text>
    </comment>
    <comment ref="L3140" authorId="0" shapeId="0">
      <text>
        <r>
          <rPr>
            <b/>
            <sz val="9"/>
            <color indexed="81"/>
            <rFont val="Tahoma"/>
            <family val="2"/>
          </rPr>
          <t>Author:</t>
        </r>
        <r>
          <rPr>
            <sz val="9"/>
            <color indexed="81"/>
            <rFont val="Tahoma"/>
            <family val="2"/>
          </rPr>
          <t xml:space="preserve">
Adjusted Capacity based upon HF Factor</t>
        </r>
      </text>
    </comment>
    <comment ref="L3142" authorId="0" shapeId="0">
      <text>
        <r>
          <rPr>
            <b/>
            <sz val="9"/>
            <color indexed="81"/>
            <rFont val="Tahoma"/>
            <family val="2"/>
          </rPr>
          <t>Author:</t>
        </r>
        <r>
          <rPr>
            <sz val="9"/>
            <color indexed="81"/>
            <rFont val="Tahoma"/>
            <family val="2"/>
          </rPr>
          <t xml:space="preserve">
Adjusted Capacity based upon HF Factor</t>
        </r>
      </text>
    </comment>
    <comment ref="L3146" authorId="0" shapeId="0">
      <text>
        <r>
          <rPr>
            <b/>
            <sz val="9"/>
            <color indexed="81"/>
            <rFont val="Tahoma"/>
            <family val="2"/>
          </rPr>
          <t>Author:</t>
        </r>
        <r>
          <rPr>
            <sz val="9"/>
            <color indexed="81"/>
            <rFont val="Tahoma"/>
            <family val="2"/>
          </rPr>
          <t xml:space="preserve">
Adjusted Capacity based upon HF Factor</t>
        </r>
      </text>
    </comment>
    <comment ref="L3148" authorId="0" shapeId="0">
      <text>
        <r>
          <rPr>
            <b/>
            <sz val="9"/>
            <color indexed="81"/>
            <rFont val="Tahoma"/>
            <family val="2"/>
          </rPr>
          <t>Author:</t>
        </r>
        <r>
          <rPr>
            <sz val="9"/>
            <color indexed="81"/>
            <rFont val="Tahoma"/>
            <family val="2"/>
          </rPr>
          <t xml:space="preserve">
Adjusted Capacity based upon HF Factor</t>
        </r>
      </text>
    </comment>
    <comment ref="L3150" authorId="0" shapeId="0">
      <text>
        <r>
          <rPr>
            <b/>
            <sz val="9"/>
            <color indexed="81"/>
            <rFont val="Tahoma"/>
            <family val="2"/>
          </rPr>
          <t>Author:</t>
        </r>
        <r>
          <rPr>
            <sz val="9"/>
            <color indexed="81"/>
            <rFont val="Tahoma"/>
            <family val="2"/>
          </rPr>
          <t xml:space="preserve">
Adjusted Capacity based upon HF Factor</t>
        </r>
      </text>
    </comment>
    <comment ref="L3152" authorId="0" shapeId="0">
      <text>
        <r>
          <rPr>
            <b/>
            <sz val="9"/>
            <color indexed="81"/>
            <rFont val="Tahoma"/>
            <family val="2"/>
          </rPr>
          <t>Author:</t>
        </r>
        <r>
          <rPr>
            <sz val="9"/>
            <color indexed="81"/>
            <rFont val="Tahoma"/>
            <family val="2"/>
          </rPr>
          <t xml:space="preserve">
Adjusted Capacity based upon HF Factor</t>
        </r>
      </text>
    </comment>
    <comment ref="L3154" authorId="0" shapeId="0">
      <text>
        <r>
          <rPr>
            <b/>
            <sz val="9"/>
            <color indexed="81"/>
            <rFont val="Tahoma"/>
            <family val="2"/>
          </rPr>
          <t>Author:</t>
        </r>
        <r>
          <rPr>
            <sz val="9"/>
            <color indexed="81"/>
            <rFont val="Tahoma"/>
            <family val="2"/>
          </rPr>
          <t xml:space="preserve">
Adjusted Capacity based upon HF Factor</t>
        </r>
      </text>
    </comment>
  </commentList>
</comments>
</file>

<file path=xl/comments6.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G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G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G28" authorId="0" shapeId="0">
      <text>
        <r>
          <rPr>
            <b/>
            <sz val="9"/>
            <color indexed="81"/>
            <rFont val="Tahoma"/>
            <family val="2"/>
          </rPr>
          <t xml:space="preserve">SF capacity for same measure *0.65, per Ameren guidance.
</t>
        </r>
      </text>
    </comment>
    <comment ref="W28" authorId="0" shapeId="0">
      <text>
        <r>
          <rPr>
            <b/>
            <sz val="9"/>
            <color indexed="81"/>
            <rFont val="Tahoma"/>
            <family val="2"/>
          </rPr>
          <t xml:space="preserve">SF capacity for same measure *0.65, per Ameren guidance.
</t>
        </r>
      </text>
    </comment>
    <comment ref="X28" authorId="0" shapeId="0">
      <text>
        <r>
          <rPr>
            <b/>
            <sz val="9"/>
            <color indexed="81"/>
            <rFont val="Tahoma"/>
            <family val="2"/>
          </rPr>
          <t xml:space="preserve">SF capacity for same measure *0.65, per Ameren guidance.
</t>
        </r>
      </text>
    </comment>
    <comment ref="G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W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X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G30" authorId="0" shapeId="0">
      <text>
        <r>
          <rPr>
            <b/>
            <sz val="9"/>
            <color indexed="81"/>
            <rFont val="Tahoma"/>
            <family val="2"/>
          </rPr>
          <t>MO TRM</t>
        </r>
        <r>
          <rPr>
            <sz val="9"/>
            <color indexed="81"/>
            <rFont val="Tahoma"/>
            <family val="2"/>
          </rPr>
          <t xml:space="preserve">
</t>
        </r>
      </text>
    </comment>
    <comment ref="W30" authorId="0" shapeId="0">
      <text>
        <r>
          <rPr>
            <b/>
            <sz val="9"/>
            <color indexed="81"/>
            <rFont val="Tahoma"/>
            <family val="2"/>
          </rPr>
          <t>MO TRM</t>
        </r>
        <r>
          <rPr>
            <sz val="9"/>
            <color indexed="81"/>
            <rFont val="Tahoma"/>
            <family val="2"/>
          </rPr>
          <t xml:space="preserve">
</t>
        </r>
      </text>
    </comment>
    <comment ref="X30" authorId="0" shapeId="0">
      <text>
        <r>
          <rPr>
            <b/>
            <sz val="9"/>
            <color indexed="81"/>
            <rFont val="Tahoma"/>
            <family val="2"/>
          </rPr>
          <t>MO TRM</t>
        </r>
        <r>
          <rPr>
            <sz val="9"/>
            <color indexed="81"/>
            <rFont val="Tahoma"/>
            <family val="2"/>
          </rPr>
          <t xml:space="preserve">
</t>
        </r>
      </text>
    </comment>
    <comment ref="G31" authorId="0" shapeId="0">
      <text>
        <r>
          <rPr>
            <b/>
            <sz val="9"/>
            <color indexed="81"/>
            <rFont val="Tahoma"/>
            <family val="2"/>
          </rPr>
          <t>MO TRM
Matches 2015 Heating and Cooling evaluation</t>
        </r>
      </text>
    </comment>
    <comment ref="W31" authorId="0" shapeId="0">
      <text>
        <r>
          <rPr>
            <b/>
            <sz val="9"/>
            <color indexed="81"/>
            <rFont val="Tahoma"/>
            <family val="2"/>
          </rPr>
          <t>MO TRM
Matches 2015 Heating and Cooling evaluation</t>
        </r>
      </text>
    </comment>
    <comment ref="X31" authorId="0" shapeId="0">
      <text>
        <r>
          <rPr>
            <b/>
            <sz val="9"/>
            <color indexed="81"/>
            <rFont val="Tahoma"/>
            <family val="2"/>
          </rPr>
          <t>MO TRM
Matches 2015 Heating and Cooling evaluation</t>
        </r>
      </text>
    </comment>
    <comment ref="G32" authorId="0" shapeId="0">
      <text>
        <r>
          <rPr>
            <b/>
            <sz val="9"/>
            <color indexed="81"/>
            <rFont val="Tahoma"/>
            <family val="2"/>
          </rPr>
          <t>MO TRM</t>
        </r>
        <r>
          <rPr>
            <sz val="9"/>
            <color indexed="81"/>
            <rFont val="Tahoma"/>
            <family val="2"/>
          </rPr>
          <t xml:space="preserve">
</t>
        </r>
      </text>
    </comment>
    <comment ref="W32" authorId="0" shapeId="0">
      <text>
        <r>
          <rPr>
            <b/>
            <sz val="9"/>
            <color indexed="81"/>
            <rFont val="Tahoma"/>
            <family val="2"/>
          </rPr>
          <t>MO TRM</t>
        </r>
        <r>
          <rPr>
            <sz val="9"/>
            <color indexed="81"/>
            <rFont val="Tahoma"/>
            <family val="2"/>
          </rPr>
          <t xml:space="preserve">
</t>
        </r>
      </text>
    </comment>
    <comment ref="X32" authorId="0" shapeId="0">
      <text>
        <r>
          <rPr>
            <b/>
            <sz val="9"/>
            <color indexed="81"/>
            <rFont val="Tahoma"/>
            <family val="2"/>
          </rPr>
          <t>MO TRM</t>
        </r>
        <r>
          <rPr>
            <sz val="9"/>
            <color indexed="81"/>
            <rFont val="Tahoma"/>
            <family val="2"/>
          </rPr>
          <t xml:space="preserve">
</t>
        </r>
      </text>
    </comment>
    <comment ref="G33" authorId="0" shapeId="0">
      <text>
        <r>
          <rPr>
            <b/>
            <sz val="9"/>
            <color indexed="81"/>
            <rFont val="Tahoma"/>
            <family val="2"/>
          </rPr>
          <t>MO TRM</t>
        </r>
        <r>
          <rPr>
            <sz val="9"/>
            <color indexed="81"/>
            <rFont val="Tahoma"/>
            <family val="2"/>
          </rPr>
          <t xml:space="preserve">
</t>
        </r>
      </text>
    </comment>
    <comment ref="W33" authorId="0" shapeId="0">
      <text>
        <r>
          <rPr>
            <b/>
            <sz val="9"/>
            <color indexed="81"/>
            <rFont val="Tahoma"/>
            <family val="2"/>
          </rPr>
          <t>MO TRM</t>
        </r>
        <r>
          <rPr>
            <sz val="9"/>
            <color indexed="81"/>
            <rFont val="Tahoma"/>
            <family val="2"/>
          </rPr>
          <t xml:space="preserve">
</t>
        </r>
      </text>
    </comment>
    <comment ref="X33" authorId="0" shapeId="0">
      <text>
        <r>
          <rPr>
            <b/>
            <sz val="9"/>
            <color indexed="81"/>
            <rFont val="Tahoma"/>
            <family val="2"/>
          </rPr>
          <t>MO TRM</t>
        </r>
        <r>
          <rPr>
            <sz val="9"/>
            <color indexed="81"/>
            <rFont val="Tahoma"/>
            <family val="2"/>
          </rPr>
          <t xml:space="preserve">
</t>
        </r>
      </text>
    </comment>
    <comment ref="G34" authorId="0" shapeId="0">
      <text>
        <r>
          <rPr>
            <b/>
            <sz val="9"/>
            <color indexed="81"/>
            <rFont val="Tahoma"/>
            <family val="2"/>
          </rPr>
          <t>MO TRM</t>
        </r>
        <r>
          <rPr>
            <sz val="9"/>
            <color indexed="81"/>
            <rFont val="Tahoma"/>
            <family val="2"/>
          </rPr>
          <t xml:space="preserve">
Matches 2015 Heating and Cooling evaluation
</t>
        </r>
      </text>
    </comment>
    <comment ref="W34" authorId="0" shapeId="0">
      <text>
        <r>
          <rPr>
            <b/>
            <sz val="9"/>
            <color indexed="81"/>
            <rFont val="Tahoma"/>
            <family val="2"/>
          </rPr>
          <t>MO TRM</t>
        </r>
        <r>
          <rPr>
            <sz val="9"/>
            <color indexed="81"/>
            <rFont val="Tahoma"/>
            <family val="2"/>
          </rPr>
          <t xml:space="preserve">
Matches 2015 Heating and Cooling evaluation
</t>
        </r>
      </text>
    </comment>
    <comment ref="X34" authorId="0" shapeId="0">
      <text>
        <r>
          <rPr>
            <b/>
            <sz val="9"/>
            <color indexed="81"/>
            <rFont val="Tahoma"/>
            <family val="2"/>
          </rPr>
          <t>MO TRM</t>
        </r>
        <r>
          <rPr>
            <sz val="9"/>
            <color indexed="81"/>
            <rFont val="Tahoma"/>
            <family val="2"/>
          </rPr>
          <t xml:space="preserve">
Matches 2015 Heating and Cooling evaluation
</t>
        </r>
      </text>
    </comment>
    <comment ref="G35" authorId="0" shapeId="0">
      <text>
        <r>
          <rPr>
            <b/>
            <sz val="9"/>
            <color indexed="81"/>
            <rFont val="Tahoma"/>
            <family val="2"/>
          </rPr>
          <t>MO TRM
Matches 2015 Heating and Cooling evaluation</t>
        </r>
      </text>
    </comment>
    <comment ref="W35" authorId="0" shapeId="0">
      <text>
        <r>
          <rPr>
            <b/>
            <sz val="9"/>
            <color indexed="81"/>
            <rFont val="Tahoma"/>
            <family val="2"/>
          </rPr>
          <t>MO TRM
Matches 2015 Heating and Cooling evaluation</t>
        </r>
      </text>
    </comment>
    <comment ref="X35" authorId="0" shapeId="0">
      <text>
        <r>
          <rPr>
            <b/>
            <sz val="9"/>
            <color indexed="81"/>
            <rFont val="Tahoma"/>
            <family val="2"/>
          </rPr>
          <t>MO TRM
Matches 2015 Heating and Cooling evaluation</t>
        </r>
      </text>
    </comment>
    <comment ref="G36" authorId="0" shapeId="0">
      <text>
        <r>
          <rPr>
            <b/>
            <sz val="9"/>
            <color indexed="81"/>
            <rFont val="Tahoma"/>
            <family val="2"/>
          </rPr>
          <t>MO TRM</t>
        </r>
        <r>
          <rPr>
            <sz val="9"/>
            <color indexed="81"/>
            <rFont val="Tahoma"/>
            <family val="2"/>
          </rPr>
          <t xml:space="preserve">
Matches 2015 Heating and Cooling evaluation</t>
        </r>
      </text>
    </comment>
    <comment ref="W36" authorId="0" shapeId="0">
      <text>
        <r>
          <rPr>
            <b/>
            <sz val="9"/>
            <color indexed="81"/>
            <rFont val="Tahoma"/>
            <family val="2"/>
          </rPr>
          <t>MO TRM</t>
        </r>
        <r>
          <rPr>
            <sz val="9"/>
            <color indexed="81"/>
            <rFont val="Tahoma"/>
            <family val="2"/>
          </rPr>
          <t xml:space="preserve">
Matches 2015 Heating and Cooling evaluation</t>
        </r>
      </text>
    </comment>
    <comment ref="X36" authorId="0" shapeId="0">
      <text>
        <r>
          <rPr>
            <b/>
            <sz val="9"/>
            <color indexed="81"/>
            <rFont val="Tahoma"/>
            <family val="2"/>
          </rPr>
          <t>MO TRM</t>
        </r>
        <r>
          <rPr>
            <sz val="9"/>
            <color indexed="81"/>
            <rFont val="Tahoma"/>
            <family val="2"/>
          </rPr>
          <t xml:space="preserve">
Matches 2015 Heating and Cooling evaluation</t>
        </r>
      </text>
    </comment>
    <comment ref="Y51" authorId="0" shapeId="0">
      <text>
        <r>
          <rPr>
            <b/>
            <sz val="9"/>
            <color indexed="81"/>
            <rFont val="Tahoma"/>
            <family val="2"/>
          </rPr>
          <t>changed to a per square foot value rather than per average size home</t>
        </r>
      </text>
    </comment>
    <comment ref="Y76" authorId="0" shapeId="0">
      <text>
        <r>
          <rPr>
            <b/>
            <sz val="9"/>
            <color indexed="81"/>
            <rFont val="Tahoma"/>
            <family val="2"/>
          </rPr>
          <t xml:space="preserve">updated to per sq. ft. basis
</t>
        </r>
      </text>
    </comment>
    <comment ref="V92" authorId="0" shapeId="0">
      <text>
        <r>
          <rPr>
            <b/>
            <sz val="9"/>
            <color indexed="81"/>
            <rFont val="Tahoma"/>
            <family val="2"/>
          </rPr>
          <t xml:space="preserve">This table was originallly included in Volume 3 of the Ameren Missouri TRM and was added to the deemed savings tables during implementation. </t>
        </r>
      </text>
    </comment>
    <comment ref="Y103" authorId="0" shapeId="0">
      <text>
        <r>
          <rPr>
            <b/>
            <sz val="9"/>
            <color indexed="81"/>
            <rFont val="Tahoma"/>
            <family val="2"/>
          </rPr>
          <t>updated to per sq. ft. basis</t>
        </r>
        <r>
          <rPr>
            <sz val="9"/>
            <color indexed="81"/>
            <rFont val="Tahoma"/>
            <family val="2"/>
          </rPr>
          <t xml:space="preserve">
</t>
        </r>
      </text>
    </comment>
    <comment ref="Y115" authorId="0" shapeId="0">
      <text>
        <r>
          <rPr>
            <b/>
            <sz val="9"/>
            <color indexed="81"/>
            <rFont val="Tahoma"/>
            <family val="2"/>
          </rPr>
          <t>changed to a per square foot value rather than per average size home</t>
        </r>
      </text>
    </comment>
    <comment ref="Y245" authorId="0" shapeId="0">
      <text>
        <r>
          <rPr>
            <b/>
            <sz val="9"/>
            <color indexed="81"/>
            <rFont val="Tahoma"/>
            <family val="2"/>
          </rPr>
          <t>updated to per sq ft. basis</t>
        </r>
        <r>
          <rPr>
            <sz val="9"/>
            <color indexed="81"/>
            <rFont val="Tahoma"/>
            <family val="2"/>
          </rPr>
          <t xml:space="preserve">
</t>
        </r>
      </text>
    </comment>
    <comment ref="Y402" authorId="0" shapeId="0">
      <text>
        <r>
          <rPr>
            <b/>
            <sz val="9"/>
            <color indexed="81"/>
            <rFont val="Tahoma"/>
            <family val="2"/>
          </rPr>
          <t>based upon a per sq. ft basis</t>
        </r>
        <r>
          <rPr>
            <sz val="9"/>
            <color indexed="81"/>
            <rFont val="Tahoma"/>
            <family val="2"/>
          </rPr>
          <t xml:space="preserve">
</t>
        </r>
      </text>
    </comment>
    <comment ref="Y436" authorId="0" shapeId="0">
      <text>
        <r>
          <rPr>
            <b/>
            <sz val="9"/>
            <color indexed="81"/>
            <rFont val="Tahoma"/>
            <family val="2"/>
          </rPr>
          <t>changed to a per square foot value rather than per average size home</t>
        </r>
      </text>
    </comment>
    <comment ref="Y454" authorId="0" shapeId="0">
      <text>
        <r>
          <rPr>
            <b/>
            <sz val="9"/>
            <color indexed="81"/>
            <rFont val="Tahoma"/>
            <family val="2"/>
          </rPr>
          <t>updated to per square ft. basis</t>
        </r>
        <r>
          <rPr>
            <sz val="9"/>
            <color indexed="81"/>
            <rFont val="Tahoma"/>
            <family val="2"/>
          </rPr>
          <t xml:space="preserve">
</t>
        </r>
      </text>
    </comment>
    <comment ref="Y469" authorId="0" shapeId="0">
      <text>
        <r>
          <rPr>
            <b/>
            <sz val="9"/>
            <color indexed="81"/>
            <rFont val="Tahoma"/>
            <family val="2"/>
          </rPr>
          <t>updated to per square ft. basis</t>
        </r>
        <r>
          <rPr>
            <sz val="9"/>
            <color indexed="81"/>
            <rFont val="Tahoma"/>
            <family val="2"/>
          </rPr>
          <t xml:space="preserve">
</t>
        </r>
      </text>
    </comment>
    <comment ref="X485" authorId="0" shapeId="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495" authorId="0" shapeId="0">
      <text>
        <r>
          <rPr>
            <b/>
            <sz val="9"/>
            <color indexed="81"/>
            <rFont val="Tahoma"/>
            <family val="2"/>
          </rPr>
          <t>In PY2017 this was included in the ISR rate.</t>
        </r>
        <r>
          <rPr>
            <sz val="9"/>
            <color indexed="81"/>
            <rFont val="Tahoma"/>
            <family val="2"/>
          </rPr>
          <t xml:space="preserve">
</t>
        </r>
      </text>
    </comment>
    <comment ref="Y495" authorId="0" shapeId="0">
      <text>
        <r>
          <rPr>
            <b/>
            <sz val="9"/>
            <color indexed="81"/>
            <rFont val="Tahoma"/>
            <family val="2"/>
          </rPr>
          <t xml:space="preserve"> included in the ISR rate.</t>
        </r>
        <r>
          <rPr>
            <sz val="9"/>
            <color indexed="81"/>
            <rFont val="Tahoma"/>
            <family val="2"/>
          </rPr>
          <t xml:space="preserve">
</t>
        </r>
      </text>
    </comment>
    <comment ref="Y537" authorId="0" shapeId="0">
      <text>
        <r>
          <rPr>
            <b/>
            <sz val="9"/>
            <color indexed="81"/>
            <rFont val="Tahoma"/>
            <family val="2"/>
          </rPr>
          <t>updated to per foot basis</t>
        </r>
        <r>
          <rPr>
            <sz val="9"/>
            <color indexed="81"/>
            <rFont val="Tahoma"/>
            <family val="2"/>
          </rPr>
          <t xml:space="preserve">
</t>
        </r>
      </text>
    </comment>
    <comment ref="Y574" authorId="0" shapeId="0">
      <text>
        <r>
          <rPr>
            <b/>
            <sz val="9"/>
            <color indexed="81"/>
            <rFont val="Tahoma"/>
            <family val="2"/>
          </rPr>
          <t>updated to per square foot basis</t>
        </r>
      </text>
    </comment>
    <comment ref="Y606" authorId="0" shapeId="0">
      <text>
        <r>
          <rPr>
            <b/>
            <sz val="9"/>
            <color indexed="81"/>
            <rFont val="Tahoma"/>
            <family val="2"/>
          </rPr>
          <t>This value is not new just including it in the input table (previously only shown in the equation)</t>
        </r>
      </text>
    </comment>
    <comment ref="Y615" authorId="0" shapeId="0">
      <text>
        <r>
          <rPr>
            <b/>
            <sz val="9"/>
            <color indexed="81"/>
            <rFont val="Tahoma"/>
            <family val="2"/>
          </rPr>
          <t>This value is not new just including it in the input table (previously only shown in the equation)</t>
        </r>
      </text>
    </comment>
    <comment ref="Y618" authorId="0" shapeId="0">
      <text>
        <r>
          <rPr>
            <b/>
            <sz val="9"/>
            <color indexed="81"/>
            <rFont val="Tahoma"/>
            <family val="2"/>
          </rPr>
          <t>This value is not new just including it in the input table (previously only shown in the equation)</t>
        </r>
      </text>
    </comment>
    <comment ref="Y622" authorId="0" shapeId="0">
      <text>
        <r>
          <rPr>
            <b/>
            <sz val="9"/>
            <color indexed="81"/>
            <rFont val="Tahoma"/>
            <family val="2"/>
          </rPr>
          <t>This value is not new just including it in the input table (previously only shown in the equation)</t>
        </r>
      </text>
    </comment>
    <comment ref="M625" authorId="0" shapeId="0">
      <text>
        <r>
          <rPr>
            <b/>
            <sz val="9"/>
            <color indexed="81"/>
            <rFont val="Tahoma"/>
            <family val="2"/>
          </rPr>
          <t>Same table is in HVAC and MFMR deemed tables</t>
        </r>
        <r>
          <rPr>
            <sz val="9"/>
            <color indexed="81"/>
            <rFont val="Tahoma"/>
            <family val="2"/>
          </rPr>
          <t xml:space="preserve">
</t>
        </r>
      </text>
    </comment>
    <comment ref="I626"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I627"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O627"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I628"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Y635" authorId="0" shapeId="0">
      <text>
        <r>
          <rPr>
            <b/>
            <sz val="9"/>
            <color indexed="81"/>
            <rFont val="Tahoma"/>
            <family val="2"/>
          </rPr>
          <t>Formula updated</t>
        </r>
        <r>
          <rPr>
            <sz val="9"/>
            <color indexed="81"/>
            <rFont val="Tahoma"/>
            <family val="2"/>
          </rPr>
          <t xml:space="preserve">
</t>
        </r>
      </text>
    </comment>
    <comment ref="C666" authorId="0" shapeId="0">
      <text>
        <r>
          <rPr>
            <b/>
            <sz val="9"/>
            <color indexed="81"/>
            <rFont val="Tahoma"/>
            <family val="2"/>
          </rPr>
          <t>In PY19 TRM update this was 403300 (Same as prior measure)</t>
        </r>
      </text>
    </comment>
    <comment ref="X674" authorId="0" shapeId="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text>
    </comment>
    <comment ref="W727" authorId="0" shapeId="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X727" authorId="0" shapeId="0">
      <text>
        <r>
          <rPr>
            <b/>
            <sz val="9"/>
            <color indexed="81"/>
            <rFont val="Tahoma"/>
            <family val="2"/>
          </rPr>
          <t xml:space="preserve">No Drain factor included in PY2017 EM&amp;V results
</t>
        </r>
      </text>
    </comment>
    <comment ref="W729" authorId="0" shapeId="0">
      <text>
        <r>
          <rPr>
            <b/>
            <sz val="9"/>
            <color indexed="81"/>
            <rFont val="Tahoma"/>
            <family val="2"/>
          </rPr>
          <t xml:space="preserve">PY2016 Program Data, per Community Saves 2016 EM&amp;V report. </t>
        </r>
        <r>
          <rPr>
            <sz val="9"/>
            <color indexed="81"/>
            <rFont val="Tahoma"/>
            <family val="2"/>
          </rPr>
          <t xml:space="preserve">
</t>
        </r>
      </text>
    </comment>
    <comment ref="W737" authorId="0" shapeId="0">
      <text>
        <r>
          <rPr>
            <b/>
            <sz val="9"/>
            <color indexed="81"/>
            <rFont val="Tahoma"/>
            <family val="2"/>
          </rPr>
          <t>These original values appear to be flipped - would assume DI would be 100%</t>
        </r>
      </text>
    </comment>
    <comment ref="W738" authorId="0" shapeId="0">
      <text>
        <r>
          <rPr>
            <b/>
            <sz val="9"/>
            <color indexed="81"/>
            <rFont val="Tahoma"/>
            <family val="2"/>
          </rPr>
          <t>Missouri TRM</t>
        </r>
        <r>
          <rPr>
            <sz val="9"/>
            <color indexed="81"/>
            <rFont val="Tahoma"/>
            <family val="2"/>
          </rPr>
          <t xml:space="preserve">
</t>
        </r>
      </text>
    </comment>
    <comment ref="V762" authorId="0" shapeId="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762" authorId="0" shapeId="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G764" authorId="0" shapeId="0">
      <text>
        <r>
          <rPr>
            <b/>
            <sz val="9"/>
            <color indexed="81"/>
            <rFont val="Tahoma"/>
            <family val="2"/>
          </rPr>
          <t>Author:</t>
        </r>
        <r>
          <rPr>
            <sz val="9"/>
            <color indexed="81"/>
            <rFont val="Tahoma"/>
            <family val="2"/>
          </rPr>
          <t xml:space="preserve">
Showerhead pivot tab cell E428</t>
        </r>
      </text>
    </comment>
    <comment ref="V764" authorId="0" shapeId="0">
      <text>
        <r>
          <rPr>
            <b/>
            <sz val="9"/>
            <color indexed="81"/>
            <rFont val="Tahoma"/>
            <family val="2"/>
          </rPr>
          <t>PY2016 Program Data, per Community Saves 2016 EM&amp;V report. </t>
        </r>
        <r>
          <rPr>
            <sz val="9"/>
            <color indexed="81"/>
            <rFont val="Tahoma"/>
            <family val="2"/>
          </rPr>
          <t xml:space="preserve">
</t>
        </r>
      </text>
    </comment>
    <comment ref="X764" authorId="0" shapeId="0">
      <text>
        <r>
          <rPr>
            <b/>
            <sz val="9"/>
            <color indexed="81"/>
            <rFont val="Tahoma"/>
            <family val="2"/>
          </rPr>
          <t>PY2017  Community Savers Site Visit Data and Ride Along Data (ADM only provided the delta GPM, not the base and efficient values)</t>
        </r>
      </text>
    </comment>
    <comment ref="G766" authorId="0" shapeId="0">
      <text>
        <r>
          <rPr>
            <b/>
            <sz val="9"/>
            <color indexed="81"/>
            <rFont val="Tahoma"/>
            <family val="2"/>
          </rPr>
          <t>Author:</t>
        </r>
        <r>
          <rPr>
            <sz val="9"/>
            <color indexed="81"/>
            <rFont val="Tahoma"/>
            <family val="2"/>
          </rPr>
          <t xml:space="preserve">
Showerhead pivot tab cell E428</t>
        </r>
      </text>
    </comment>
    <comment ref="W767" authorId="0" shapeId="0">
      <text>
        <r>
          <rPr>
            <b/>
            <sz val="9"/>
            <color indexed="81"/>
            <rFont val="Tahoma"/>
            <family val="2"/>
          </rPr>
          <t>Missouri TRM</t>
        </r>
      </text>
    </comment>
    <comment ref="W771" authorId="0" shapeId="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Y783" authorId="0" shapeId="0">
      <text>
        <r>
          <rPr>
            <b/>
            <sz val="9"/>
            <color indexed="81"/>
            <rFont val="Tahoma"/>
            <family val="2"/>
          </rPr>
          <t>PY19 Actual</t>
        </r>
        <r>
          <rPr>
            <sz val="9"/>
            <color indexed="81"/>
            <rFont val="Tahoma"/>
            <family val="2"/>
          </rPr>
          <t xml:space="preserve">
</t>
        </r>
      </text>
    </comment>
    <comment ref="Y784" authorId="0" shapeId="0">
      <text>
        <r>
          <rPr>
            <b/>
            <sz val="9"/>
            <color indexed="81"/>
            <rFont val="Tahoma"/>
            <family val="2"/>
          </rPr>
          <t>added handheld showerhead option</t>
        </r>
      </text>
    </comment>
    <comment ref="Y785" authorId="0" shapeId="0">
      <text>
        <r>
          <rPr>
            <b/>
            <sz val="9"/>
            <color indexed="81"/>
            <rFont val="Tahoma"/>
            <family val="2"/>
          </rPr>
          <t>combination of $7 from IL TRM and difference in actual DI costs</t>
        </r>
        <r>
          <rPr>
            <sz val="9"/>
            <color indexed="81"/>
            <rFont val="Tahoma"/>
            <family val="2"/>
          </rPr>
          <t xml:space="preserve">
</t>
        </r>
      </text>
    </comment>
    <comment ref="W804" authorId="0" shapeId="0">
      <text>
        <r>
          <rPr>
            <b/>
            <sz val="9"/>
            <color indexed="81"/>
            <rFont val="Tahoma"/>
            <family val="2"/>
          </rPr>
          <t>MO TRM - Assumes 125°F water leaving the hot water tank and average basement temperature of 65°F.
Cited in Ameren Missouri Low Income and Process Evaluation: program Year 2015. p.24</t>
        </r>
      </text>
    </comment>
    <comment ref="X895" authorId="0" shapeId="0">
      <text>
        <r>
          <rPr>
            <b/>
            <sz val="9"/>
            <color indexed="81"/>
            <rFont val="Tahoma"/>
            <family val="2"/>
          </rPr>
          <t>MO TRM</t>
        </r>
      </text>
    </comment>
    <comment ref="X897" authorId="0" shapeId="0">
      <text>
        <r>
          <rPr>
            <b/>
            <sz val="9"/>
            <color indexed="81"/>
            <rFont val="Tahoma"/>
            <family val="2"/>
          </rPr>
          <t>no adjustment as these did not align in same manner with ADM formula</t>
        </r>
        <r>
          <rPr>
            <sz val="9"/>
            <color indexed="81"/>
            <rFont val="Tahoma"/>
            <family val="2"/>
          </rPr>
          <t xml:space="preserve">
</t>
        </r>
      </text>
    </comment>
    <comment ref="Y897" authorId="0" shapeId="0">
      <text>
        <r>
          <rPr>
            <b/>
            <sz val="9"/>
            <color indexed="81"/>
            <rFont val="Tahoma"/>
            <family val="2"/>
          </rPr>
          <t>no adjustment as these did not align in same manner with ADM formula</t>
        </r>
        <r>
          <rPr>
            <sz val="9"/>
            <color indexed="81"/>
            <rFont val="Tahoma"/>
            <family val="2"/>
          </rPr>
          <t xml:space="preserve">
</t>
        </r>
      </text>
    </comment>
    <comment ref="W1064" authorId="0" shapeId="0">
      <text>
        <r>
          <rPr>
            <b/>
            <sz val="9"/>
            <color indexed="81"/>
            <rFont val="Tahoma"/>
            <family val="2"/>
          </rPr>
          <t xml:space="preserve">Bulb-type and lumen look-up in Energy Star database
</t>
        </r>
      </text>
    </comment>
    <comment ref="W1066" authorId="0" shapeId="0">
      <text>
        <r>
          <rPr>
            <b/>
            <sz val="9"/>
            <color indexed="81"/>
            <rFont val="Tahoma"/>
            <family val="2"/>
          </rPr>
          <t xml:space="preserve">Matched to nearest EE wattage in TRM wattage table
</t>
        </r>
        <r>
          <rPr>
            <sz val="9"/>
            <color indexed="81"/>
            <rFont val="Tahoma"/>
            <family val="2"/>
          </rPr>
          <t xml:space="preserve">
</t>
        </r>
      </text>
    </comment>
    <comment ref="W1067" authorId="0" shapeId="0">
      <text>
        <r>
          <rPr>
            <b/>
            <sz val="9"/>
            <color indexed="81"/>
            <rFont val="Tahoma"/>
            <family val="2"/>
          </rPr>
          <t>Bulb-type and lumen look-up in Energy Star database</t>
        </r>
      </text>
    </comment>
    <comment ref="W1069" authorId="0" shapeId="0">
      <text>
        <r>
          <rPr>
            <b/>
            <sz val="9"/>
            <color indexed="81"/>
            <rFont val="Tahoma"/>
            <family val="2"/>
          </rPr>
          <t xml:space="preserve">Bulb-type and lumen look-up in Energy Star database
</t>
        </r>
        <r>
          <rPr>
            <sz val="9"/>
            <color indexed="81"/>
            <rFont val="Tahoma"/>
            <family val="2"/>
          </rPr>
          <t xml:space="preserve">
</t>
        </r>
      </text>
    </comment>
    <comment ref="W1070" authorId="0" shapeId="0">
      <text>
        <r>
          <rPr>
            <b/>
            <sz val="9"/>
            <color indexed="81"/>
            <rFont val="Tahoma"/>
            <family val="2"/>
          </rPr>
          <t>Bulb-type and lumen look-up in Energy Star database</t>
        </r>
      </text>
    </comment>
    <comment ref="W1074" authorId="0" shapeId="0">
      <text>
        <r>
          <rPr>
            <b/>
            <sz val="9"/>
            <color indexed="81"/>
            <rFont val="Tahoma"/>
            <family val="2"/>
          </rPr>
          <t xml:space="preserve">Bulb-type and lumen look-up in Energy Star database
</t>
        </r>
        <r>
          <rPr>
            <sz val="9"/>
            <color indexed="81"/>
            <rFont val="Tahoma"/>
            <family val="2"/>
          </rPr>
          <t xml:space="preserve">
</t>
        </r>
      </text>
    </comment>
    <comment ref="W1084" authorId="0" shapeId="0">
      <text>
        <r>
          <rPr>
            <b/>
            <sz val="9"/>
            <color indexed="81"/>
            <rFont val="Tahoma"/>
            <family val="2"/>
          </rPr>
          <t>Program Wattage</t>
        </r>
        <r>
          <rPr>
            <sz val="9"/>
            <color indexed="81"/>
            <rFont val="Tahoma"/>
            <family val="2"/>
          </rPr>
          <t xml:space="preserve">
</t>
        </r>
      </text>
    </comment>
    <comment ref="W1085" authorId="0" shapeId="0">
      <text>
        <r>
          <rPr>
            <b/>
            <sz val="9"/>
            <color indexed="81"/>
            <rFont val="Tahoma"/>
            <family val="2"/>
          </rPr>
          <t>Program Wattage</t>
        </r>
        <r>
          <rPr>
            <sz val="9"/>
            <color indexed="81"/>
            <rFont val="Tahoma"/>
            <family val="2"/>
          </rPr>
          <t xml:space="preserve">
</t>
        </r>
      </text>
    </comment>
    <comment ref="W1086" authorId="0" shapeId="0">
      <text>
        <r>
          <rPr>
            <b/>
            <sz val="9"/>
            <color indexed="81"/>
            <rFont val="Tahoma"/>
            <family val="2"/>
          </rPr>
          <t>Program Wattage</t>
        </r>
        <r>
          <rPr>
            <sz val="9"/>
            <color indexed="81"/>
            <rFont val="Tahoma"/>
            <family val="2"/>
          </rPr>
          <t xml:space="preserve">
</t>
        </r>
      </text>
    </comment>
    <comment ref="W1087" authorId="0" shapeId="0">
      <text>
        <r>
          <rPr>
            <b/>
            <sz val="9"/>
            <color indexed="81"/>
            <rFont val="Tahoma"/>
            <family val="2"/>
          </rPr>
          <t>Program Wattage</t>
        </r>
        <r>
          <rPr>
            <sz val="9"/>
            <color indexed="81"/>
            <rFont val="Tahoma"/>
            <family val="2"/>
          </rPr>
          <t xml:space="preserve">
</t>
        </r>
      </text>
    </comment>
    <comment ref="W1088" authorId="0" shapeId="0">
      <text>
        <r>
          <rPr>
            <b/>
            <sz val="9"/>
            <color indexed="81"/>
            <rFont val="Tahoma"/>
            <family val="2"/>
          </rPr>
          <t>Program Wattage</t>
        </r>
        <r>
          <rPr>
            <sz val="9"/>
            <color indexed="81"/>
            <rFont val="Tahoma"/>
            <family val="2"/>
          </rPr>
          <t xml:space="preserve">
</t>
        </r>
      </text>
    </comment>
    <comment ref="W1089" authorId="0" shapeId="0">
      <text>
        <r>
          <rPr>
            <b/>
            <sz val="9"/>
            <color indexed="81"/>
            <rFont val="Tahoma"/>
            <family val="2"/>
          </rPr>
          <t>Program Wattage</t>
        </r>
        <r>
          <rPr>
            <sz val="9"/>
            <color indexed="81"/>
            <rFont val="Tahoma"/>
            <family val="2"/>
          </rPr>
          <t xml:space="preserve">
</t>
        </r>
      </text>
    </comment>
    <comment ref="W1090" authorId="0" shapeId="0">
      <text>
        <r>
          <rPr>
            <b/>
            <sz val="9"/>
            <color indexed="81"/>
            <rFont val="Tahoma"/>
            <family val="2"/>
          </rPr>
          <t>Bulb-type and lumen look-up in Energy Star database</t>
        </r>
        <r>
          <rPr>
            <sz val="9"/>
            <color indexed="81"/>
            <rFont val="Tahoma"/>
            <family val="2"/>
          </rPr>
          <t xml:space="preserve">
</t>
        </r>
      </text>
    </comment>
    <comment ref="W1091" authorId="0" shapeId="0">
      <text>
        <r>
          <rPr>
            <b/>
            <sz val="9"/>
            <color indexed="81"/>
            <rFont val="Tahoma"/>
            <family val="2"/>
          </rPr>
          <t>Bulb-type and lumen look-up in Energy Star database</t>
        </r>
        <r>
          <rPr>
            <sz val="9"/>
            <color indexed="81"/>
            <rFont val="Tahoma"/>
            <family val="2"/>
          </rPr>
          <t xml:space="preserve">
</t>
        </r>
      </text>
    </comment>
    <comment ref="W1092" authorId="0" shapeId="0">
      <text>
        <r>
          <rPr>
            <b/>
            <sz val="9"/>
            <color indexed="81"/>
            <rFont val="Tahoma"/>
            <family val="2"/>
          </rPr>
          <t>Bulb-type and lumen look-up in Energy Star database</t>
        </r>
        <r>
          <rPr>
            <sz val="9"/>
            <color indexed="81"/>
            <rFont val="Tahoma"/>
            <family val="2"/>
          </rPr>
          <t xml:space="preserve">
</t>
        </r>
      </text>
    </comment>
    <comment ref="W1093" authorId="0" shapeId="0">
      <text>
        <r>
          <rPr>
            <b/>
            <sz val="9"/>
            <color indexed="81"/>
            <rFont val="Tahoma"/>
            <family val="2"/>
          </rPr>
          <t>Bulb-type and lumen look-up in Energy Star database</t>
        </r>
        <r>
          <rPr>
            <sz val="9"/>
            <color indexed="81"/>
            <rFont val="Tahoma"/>
            <family val="2"/>
          </rPr>
          <t xml:space="preserve">
</t>
        </r>
      </text>
    </comment>
    <comment ref="W1094" authorId="0" shapeId="0">
      <text>
        <r>
          <rPr>
            <b/>
            <sz val="9"/>
            <color indexed="81"/>
            <rFont val="Tahoma"/>
            <family val="2"/>
          </rPr>
          <t>Bulb-type and lumen look-up in Energy Star database</t>
        </r>
        <r>
          <rPr>
            <sz val="9"/>
            <color indexed="81"/>
            <rFont val="Tahoma"/>
            <family val="2"/>
          </rPr>
          <t xml:space="preserve">
</t>
        </r>
      </text>
    </comment>
    <comment ref="W1095" authorId="0" shapeId="0">
      <text>
        <r>
          <rPr>
            <b/>
            <sz val="9"/>
            <color indexed="81"/>
            <rFont val="Tahoma"/>
            <family val="2"/>
          </rPr>
          <t>Bulb-type and lumen look-up in Energy Star database</t>
        </r>
        <r>
          <rPr>
            <sz val="9"/>
            <color indexed="81"/>
            <rFont val="Tahoma"/>
            <family val="2"/>
          </rPr>
          <t xml:space="preserve">
</t>
        </r>
      </text>
    </comment>
    <comment ref="W1096" authorId="0" shapeId="0">
      <text>
        <r>
          <rPr>
            <b/>
            <sz val="9"/>
            <color indexed="81"/>
            <rFont val="Tahoma"/>
            <family val="2"/>
          </rPr>
          <t>Bulb-type and lumen look-up in Energy Star database</t>
        </r>
        <r>
          <rPr>
            <sz val="9"/>
            <color indexed="81"/>
            <rFont val="Tahoma"/>
            <family val="2"/>
          </rPr>
          <t xml:space="preserve">
</t>
        </r>
      </text>
    </comment>
    <comment ref="W1097" authorId="0" shapeId="0">
      <text>
        <r>
          <rPr>
            <b/>
            <sz val="9"/>
            <color indexed="81"/>
            <rFont val="Tahoma"/>
            <family val="2"/>
          </rPr>
          <t>Bulb-type and lumen look-up in Energy Star database</t>
        </r>
        <r>
          <rPr>
            <sz val="9"/>
            <color indexed="81"/>
            <rFont val="Tahoma"/>
            <family val="2"/>
          </rPr>
          <t xml:space="preserve">
</t>
        </r>
      </text>
    </comment>
    <comment ref="W1098" authorId="0" shapeId="0">
      <text>
        <r>
          <rPr>
            <b/>
            <sz val="9"/>
            <color indexed="81"/>
            <rFont val="Tahoma"/>
            <family val="2"/>
          </rPr>
          <t>Bulb-type and lumen look-up in Energy Star database</t>
        </r>
        <r>
          <rPr>
            <sz val="9"/>
            <color indexed="81"/>
            <rFont val="Tahoma"/>
            <family val="2"/>
          </rPr>
          <t xml:space="preserve">
</t>
        </r>
      </text>
    </comment>
    <comment ref="W1099" authorId="0" shapeId="0">
      <text>
        <r>
          <rPr>
            <b/>
            <sz val="9"/>
            <color indexed="81"/>
            <rFont val="Tahoma"/>
            <family val="2"/>
          </rPr>
          <t>Bulb-type and lumen look-up in Energy Star database</t>
        </r>
        <r>
          <rPr>
            <sz val="9"/>
            <color indexed="81"/>
            <rFont val="Tahoma"/>
            <family val="2"/>
          </rPr>
          <t xml:space="preserve">
</t>
        </r>
      </text>
    </comment>
    <comment ref="W1100" authorId="0" shapeId="0">
      <text>
        <r>
          <rPr>
            <b/>
            <sz val="9"/>
            <color indexed="81"/>
            <rFont val="Tahoma"/>
            <family val="2"/>
          </rPr>
          <t>Bulb-type and lumen look-up in Energy Star database</t>
        </r>
        <r>
          <rPr>
            <sz val="9"/>
            <color indexed="81"/>
            <rFont val="Tahoma"/>
            <family val="2"/>
          </rPr>
          <t xml:space="preserve">
</t>
        </r>
      </text>
    </comment>
    <comment ref="W1101" authorId="0" shapeId="0">
      <text>
        <r>
          <rPr>
            <b/>
            <sz val="9"/>
            <color indexed="81"/>
            <rFont val="Tahoma"/>
            <family val="2"/>
          </rPr>
          <t>Bulb-type and lumen look-up in Energy Star database</t>
        </r>
        <r>
          <rPr>
            <sz val="9"/>
            <color indexed="81"/>
            <rFont val="Tahoma"/>
            <family val="2"/>
          </rPr>
          <t xml:space="preserve">
</t>
        </r>
      </text>
    </comment>
    <comment ref="W1102" authorId="0" shapeId="0">
      <text>
        <r>
          <rPr>
            <b/>
            <sz val="9"/>
            <color indexed="81"/>
            <rFont val="Tahoma"/>
            <family val="2"/>
          </rPr>
          <t>Bulb-type and lumen look-up in Energy Star database</t>
        </r>
        <r>
          <rPr>
            <sz val="9"/>
            <color indexed="81"/>
            <rFont val="Tahoma"/>
            <family val="2"/>
          </rPr>
          <t xml:space="preserve">
</t>
        </r>
      </text>
    </comment>
    <comment ref="W1103" authorId="0" shapeId="0">
      <text>
        <r>
          <rPr>
            <b/>
            <sz val="9"/>
            <color indexed="81"/>
            <rFont val="Tahoma"/>
            <family val="2"/>
          </rPr>
          <t>Bulb-type and lumen look-up in Energy Star database</t>
        </r>
        <r>
          <rPr>
            <sz val="9"/>
            <color indexed="81"/>
            <rFont val="Tahoma"/>
            <family val="2"/>
          </rPr>
          <t xml:space="preserve">
</t>
        </r>
      </text>
    </comment>
    <comment ref="W1104" authorId="0" shapeId="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1106" authorId="0" shapeId="0">
      <text>
        <r>
          <rPr>
            <b/>
            <sz val="9"/>
            <color indexed="81"/>
            <rFont val="Tahoma"/>
            <family val="2"/>
          </rPr>
          <t>Weighted HOU from ADM based upon program data</t>
        </r>
        <r>
          <rPr>
            <sz val="9"/>
            <color indexed="81"/>
            <rFont val="Tahoma"/>
            <family val="2"/>
          </rPr>
          <t xml:space="preserve">
</t>
        </r>
      </text>
    </comment>
    <comment ref="W1108" authorId="0" shapeId="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1108" authorId="0" shapeId="0">
      <text>
        <r>
          <rPr>
            <b/>
            <sz val="9"/>
            <color indexed="81"/>
            <rFont val="Tahoma"/>
            <family val="2"/>
          </rPr>
          <t>Author:</t>
        </r>
        <r>
          <rPr>
            <sz val="9"/>
            <color indexed="81"/>
            <rFont val="Tahoma"/>
            <family val="2"/>
          </rPr>
          <t xml:space="preserve">
Weighted HOU from ADM based upon program data</t>
        </r>
      </text>
    </comment>
    <comment ref="Y1171" authorId="0" shapeId="0">
      <text>
        <r>
          <rPr>
            <sz val="9"/>
            <color indexed="81"/>
            <rFont val="Tahoma"/>
            <family val="2"/>
          </rPr>
          <t xml:space="preserve">Use existing inputs to develop measure based on program design.
</t>
        </r>
      </text>
    </comment>
    <comment ref="Y1184" authorId="0" shapeId="0">
      <text>
        <r>
          <rPr>
            <b/>
            <sz val="9"/>
            <color indexed="81"/>
            <rFont val="Tahoma"/>
            <family val="2"/>
          </rPr>
          <t>Added pre-1993 unit based upon existing inputs</t>
        </r>
        <r>
          <rPr>
            <sz val="9"/>
            <color indexed="81"/>
            <rFont val="Tahoma"/>
            <family val="2"/>
          </rPr>
          <t xml:space="preserve">
</t>
        </r>
      </text>
    </comment>
    <comment ref="Y1207" authorId="0" shapeId="0">
      <text>
        <r>
          <rPr>
            <b/>
            <sz val="9"/>
            <color indexed="81"/>
            <rFont val="Tahoma"/>
            <family val="2"/>
          </rPr>
          <t>Added standard size units to provide more options for Implementation and based upon program design all replacements are primary units (not secondary)</t>
        </r>
      </text>
    </comment>
    <comment ref="Y1212" authorId="0" shapeId="0">
      <text>
        <r>
          <rPr>
            <b/>
            <sz val="9"/>
            <color indexed="81"/>
            <rFont val="Tahoma"/>
            <family val="2"/>
          </rPr>
          <t xml:space="preserve">Added multiple kbtu size options (5,8,10,12,15) </t>
        </r>
      </text>
    </comment>
    <comment ref="W1241" authorId="0" shapeId="0">
      <text>
        <r>
          <rPr>
            <b/>
            <sz val="9"/>
            <color indexed="81"/>
            <rFont val="Tahoma"/>
            <family val="2"/>
          </rPr>
          <t>PY13 RebateSavers Database (average BTU)</t>
        </r>
        <r>
          <rPr>
            <sz val="9"/>
            <color indexed="81"/>
            <rFont val="Tahoma"/>
            <family val="2"/>
          </rPr>
          <t xml:space="preserve">
</t>
        </r>
      </text>
    </comment>
    <comment ref="W1247" authorId="0" shapeId="0">
      <text>
        <r>
          <rPr>
            <b/>
            <sz val="9"/>
            <color indexed="81"/>
            <rFont val="Tahoma"/>
            <family val="2"/>
          </rPr>
          <t>Federal minimum efficiency standard (updated from EER to CEER in March 2017)</t>
        </r>
        <r>
          <rPr>
            <sz val="9"/>
            <color indexed="81"/>
            <rFont val="Tahoma"/>
            <family val="2"/>
          </rPr>
          <t xml:space="preserve">
</t>
        </r>
      </text>
    </comment>
    <comment ref="X1250"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1250"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AJ1251" authorId="0" shapeId="0">
      <text>
        <r>
          <rPr>
            <b/>
            <sz val="9"/>
            <color indexed="81"/>
            <rFont val="Tahoma"/>
            <family val="2"/>
          </rPr>
          <t>used EFLH that ADM used for all measures</t>
        </r>
      </text>
    </comment>
  </commentList>
</comments>
</file>

<file path=xl/comments7.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Y7" authorId="0" shapeId="0">
      <text>
        <r>
          <rPr>
            <b/>
            <sz val="9"/>
            <color indexed="81"/>
            <rFont val="Tahoma"/>
            <family val="2"/>
          </rPr>
          <t>pg. 50  of PY2018 Home Energy Report Final Evaluation (7/13/2019)</t>
        </r>
        <r>
          <rPr>
            <sz val="9"/>
            <color indexed="81"/>
            <rFont val="Tahoma"/>
            <family val="2"/>
          </rPr>
          <t xml:space="preserve">
</t>
        </r>
      </text>
    </comment>
  </commentList>
</comments>
</file>

<file path=xl/comments8.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Y39" authorId="0" shapeId="0">
      <text>
        <r>
          <rPr>
            <b/>
            <sz val="9"/>
            <color indexed="81"/>
            <rFont val="Tahoma"/>
            <family val="2"/>
          </rPr>
          <t>changed to a per square foot value rather than per average size home</t>
        </r>
        <r>
          <rPr>
            <sz val="9"/>
            <color indexed="81"/>
            <rFont val="Tahoma"/>
            <family val="2"/>
          </rPr>
          <t xml:space="preserve">
</t>
        </r>
      </text>
    </comment>
    <comment ref="C40" authorId="0" shapeId="0">
      <text>
        <r>
          <rPr>
            <b/>
            <sz val="9"/>
            <color indexed="81"/>
            <rFont val="Tahoma"/>
            <family val="2"/>
          </rPr>
          <t>Author:</t>
        </r>
        <r>
          <rPr>
            <sz val="9"/>
            <color indexed="81"/>
            <rFont val="Tahoma"/>
            <family val="2"/>
          </rPr>
          <t xml:space="preserve">
In NOV 2019 TRM updated these had "2018_12" but shourld have been "2019_12"</t>
        </r>
      </text>
    </comment>
    <comment ref="C160" authorId="0" shapeId="0">
      <text>
        <r>
          <rPr>
            <b/>
            <sz val="9"/>
            <color indexed="81"/>
            <rFont val="Tahoma"/>
            <family val="2"/>
          </rPr>
          <t xml:space="preserve">Author:
</t>
        </r>
        <r>
          <rPr>
            <sz val="9"/>
            <color indexed="81"/>
            <rFont val="Tahoma"/>
            <family val="2"/>
          </rPr>
          <t xml:space="preserve">In NOV 2019 TRM updated these had "2018_12" but shourld have been "2019_12"
</t>
        </r>
      </text>
    </comment>
    <comment ref="X182"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Y200" authorId="0" shapeId="0">
      <text>
        <r>
          <rPr>
            <b/>
            <sz val="9"/>
            <color indexed="81"/>
            <rFont val="Tahoma"/>
            <family val="2"/>
          </rPr>
          <t>This value is not new just including it in the input table (previously only shown in the equation)</t>
        </r>
      </text>
    </comment>
    <comment ref="R205" authorId="0" shapeId="0">
      <text>
        <r>
          <rPr>
            <b/>
            <sz val="9"/>
            <color indexed="81"/>
            <rFont val="Tahoma"/>
            <family val="2"/>
          </rPr>
          <t>Same table is in HVAC and MFMR deemed tables</t>
        </r>
        <r>
          <rPr>
            <sz val="9"/>
            <color indexed="81"/>
            <rFont val="Tahoma"/>
            <family val="2"/>
          </rPr>
          <t xml:space="preserve">
</t>
        </r>
      </text>
    </comment>
    <comment ref="Y205" authorId="0" shapeId="0">
      <text>
        <r>
          <rPr>
            <b/>
            <sz val="9"/>
            <color indexed="81"/>
            <rFont val="Tahoma"/>
            <family val="2"/>
          </rPr>
          <t>This value is not new just including it in the input table (previously only shown in the equation)</t>
        </r>
      </text>
    </comment>
    <comment ref="R207" authorId="0" shapeId="0">
      <text>
        <r>
          <rPr>
            <b/>
            <sz val="9"/>
            <color indexed="81"/>
            <rFont val="Tahoma"/>
            <family val="2"/>
          </rPr>
          <t>discount factor =  (1+discount rate)^(1/3 EUL-1).    year 1 is considered to be when the measure is installed and therefore do not discount “period 1”.</t>
        </r>
      </text>
    </comment>
    <comment ref="Y212" authorId="0" shapeId="0">
      <text>
        <r>
          <rPr>
            <b/>
            <sz val="9"/>
            <color indexed="81"/>
            <rFont val="Tahoma"/>
            <family val="2"/>
          </rPr>
          <t>This value is not new just including it in the input table (previously only shown in the equation)</t>
        </r>
      </text>
    </comment>
    <comment ref="Y217" authorId="0" shapeId="0">
      <text>
        <r>
          <rPr>
            <b/>
            <sz val="9"/>
            <color indexed="81"/>
            <rFont val="Tahoma"/>
            <family val="2"/>
          </rPr>
          <t>Formula updated</t>
        </r>
      </text>
    </comment>
    <comment ref="L370" authorId="0" shapeId="0">
      <text>
        <r>
          <rPr>
            <sz val="11"/>
            <color indexed="81"/>
            <rFont val="Tahoma"/>
            <family val="2"/>
          </rPr>
          <t>The incremental cost for time of sale, new construction or efficiency kits is $7 or program actual.
For low flow showerheads provided in retrofit or direct install programs, the actual program delivery costs should be utilized, if unknown assume $15.33145.</t>
        </r>
      </text>
    </comment>
  </commentList>
</comments>
</file>

<file path=xl/comments9.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List>
</comments>
</file>

<file path=xl/sharedStrings.xml><?xml version="1.0" encoding="utf-8"?>
<sst xmlns="http://schemas.openxmlformats.org/spreadsheetml/2006/main" count="12625" uniqueCount="3555">
  <si>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</si>
  <si>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</si>
  <si>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</si>
  <si>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</si>
  <si>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</si>
  <si>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</si>
  <si>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</si>
  <si>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</si>
  <si>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</si>
  <si>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</si>
  <si>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Updated RES/BUS "Deemed Tables" with PY2017 Evaluation results per Stipulation and Agreement (File No. EO-2018-0211). This included updates to Volume 3 of the TRM.</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</si>
  <si>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</si>
  <si>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</si>
  <si>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</si>
  <si>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r>
      <rPr>
        <b/>
        <sz val="26"/>
        <color theme="0" tint="-0.34998626667073579"/>
        <rFont val="Calibri"/>
        <family val="2"/>
        <scheme val="minor"/>
      </rPr>
      <t xml:space="preserve">&lt;------ </t>
    </r>
    <r>
      <rPr>
        <b/>
        <sz val="16"/>
        <color theme="0" tint="-0.34998626667073579"/>
        <rFont val="Calibri"/>
        <family val="2"/>
        <scheme val="minor"/>
      </rPr>
      <t>Use the "Grouping" Features to expand or hide the formulas/input variables</t>
    </r>
  </si>
  <si>
    <t>PROGRAMS:  All</t>
  </si>
  <si>
    <t>Lighting</t>
  </si>
  <si>
    <t>Measure Reference No.</t>
  </si>
  <si>
    <t>Program/ Channel</t>
  </si>
  <si>
    <t>Measure</t>
  </si>
  <si>
    <t>kWh Annual Savings</t>
  </si>
  <si>
    <t>End Use</t>
  </si>
  <si>
    <t>kW Factor</t>
  </si>
  <si>
    <t>kW</t>
  </si>
  <si>
    <t>EUL</t>
  </si>
  <si>
    <t>Inc. Cost</t>
  </si>
  <si>
    <t>Units</t>
  </si>
  <si>
    <t>REVISION DATE</t>
  </si>
  <si>
    <t>-</t>
  </si>
  <si>
    <t>TRC (2020)</t>
  </si>
  <si>
    <t>Benefit Lookup</t>
  </si>
  <si>
    <t>Benefits (2019 $)</t>
  </si>
  <si>
    <t>Incremental Cost (2019 $)</t>
  </si>
  <si>
    <t>800050_2019_12_</t>
  </si>
  <si>
    <t>C&amp;I</t>
  </si>
  <si>
    <t>LED &lt;=11 Watt Lamp Replacing Interior Halogen A 28-52 Watt Lamp</t>
  </si>
  <si>
    <t>Lighting BUS</t>
  </si>
  <si>
    <t>per measure</t>
  </si>
  <si>
    <t>800100_2019_12_</t>
  </si>
  <si>
    <t>LED 7-20 Watt Lamp Replacing Interior Halogen 53-70 Watt Lamp</t>
  </si>
  <si>
    <t>800150_2019_12_</t>
  </si>
  <si>
    <t>LED &lt;=14 Watt Lamp Replacing Interior Halogen BR/R 45-65 Watt Lamp</t>
  </si>
  <si>
    <t>800200_2019_12_</t>
  </si>
  <si>
    <t>LED &lt;=13 Watt Lamp Replacing Interior Halogen MR-16 35-50 Watt Lamp</t>
  </si>
  <si>
    <t>800250_2019_12_</t>
  </si>
  <si>
    <t>LED &lt;=20 Watt Lamp Replacing Interior Halogen PAR 48-90 Watt Lamp</t>
  </si>
  <si>
    <t>800300_2019_12_</t>
  </si>
  <si>
    <t>LED &lt;=80 Watt Lamp or Fixture Replacing Interior HID 100-175 Watt Lamp or Fixture</t>
  </si>
  <si>
    <t>800350_2019_12_</t>
  </si>
  <si>
    <t>LED 62 - 130 Watt Lamp or Fixture Replacing Interior HID 176-300 Watt Lamp or Fixture</t>
  </si>
  <si>
    <t>800400_2019_12_</t>
  </si>
  <si>
    <t>LED 85 - 225 Watt Lamp or Fixture Replacing Interior HID 301-500 Watt Lamp or Fixture</t>
  </si>
  <si>
    <t>800450_2019_12_</t>
  </si>
  <si>
    <t>LED &lt;=80 Watt Lamp or Fixture Replacing Garage or Exterior &lt;24/7 HID 100-175 Watt Lamp or Fixture</t>
  </si>
  <si>
    <t>Ext Lighting BUS</t>
  </si>
  <si>
    <t>800500_2019_12_</t>
  </si>
  <si>
    <t>LED 62 - 130 Watt Lamp or Fixture Replacing Garage or Exterior &lt;24/7 HID 176-300 Watt Lamp or Fixture</t>
  </si>
  <si>
    <t>800550_2019_12_</t>
  </si>
  <si>
    <t>LED 85 - 225 Watt Lamp or Fixture Replacing Garage or Exterior &lt;24/7 HID 301-500 Watt Lamp or Fixture</t>
  </si>
  <si>
    <t>800600_2019_12_</t>
  </si>
  <si>
    <t>LED &lt;=80 Watt Lamp or Fixture Replacing Garage or Exterior 24/7 HID 100-175 Watt Lamp or Fixture Misc.</t>
  </si>
  <si>
    <t>Miscellaneous BUS</t>
  </si>
  <si>
    <t>800650_2019_12_</t>
  </si>
  <si>
    <t>LED 62 - 130 Watt Lamp or Fixture Replacing Garage or Exterior 24/7 HID 176-300 Watt Lamp or Fixture Misc.</t>
  </si>
  <si>
    <t>800700_2019_12_</t>
  </si>
  <si>
    <t xml:space="preserve">LED 85 - 225 Watt Lamp or Fixture Replacing Garage or Exterior 24/7 HID 301-500 Watt Lamp or Fixture Misc. </t>
  </si>
  <si>
    <t>800750_2019_12_</t>
  </si>
  <si>
    <t>LED or Electroluminescent Replacing Interior Incandescent/CFL Exit Sign</t>
  </si>
  <si>
    <t>800800_2019_12_</t>
  </si>
  <si>
    <t>LED Replacing Interior T5 Fluorescent</t>
  </si>
  <si>
    <t>800850_2019_12_</t>
  </si>
  <si>
    <t>LED Replacting Interior T8 Fluorescent</t>
  </si>
  <si>
    <t>800900_2019_12_</t>
  </si>
  <si>
    <t>LED Replacing Interior T12 Fluorescent</t>
  </si>
  <si>
    <t>800950_2019_12_</t>
  </si>
  <si>
    <t>LED Specialty Lamp</t>
  </si>
  <si>
    <t>Evaluation Formula</t>
  </si>
  <si>
    <t xml:space="preserve">Measure Category </t>
  </si>
  <si>
    <t>Watts Base</t>
  </si>
  <si>
    <t>Watts EE</t>
  </si>
  <si>
    <t>HOU</t>
  </si>
  <si>
    <t>WHFe</t>
  </si>
  <si>
    <t>ISR</t>
  </si>
  <si>
    <t>801000_2019_12_</t>
  </si>
  <si>
    <t>Fixture Mounted Occupancy Sensor Controlling &gt;50 and &lt;=200 Watts</t>
  </si>
  <si>
    <t>801050_2019_12_</t>
  </si>
  <si>
    <t>Fixture Mounted Occupancy Sensor Controlling &gt;=201 and &lt;=500 Watts</t>
  </si>
  <si>
    <t>801100_2019_12_</t>
  </si>
  <si>
    <t>Single Technology Occupancy Sensor Controlling Lighting Circuit &gt;50 and &lt;=120 Watts</t>
  </si>
  <si>
    <t>801150_2019_12_</t>
  </si>
  <si>
    <t>Single Technology Occupancy Sensor Controlling Lighting Circuit &gt;120 Watts</t>
  </si>
  <si>
    <t>801200_2019_12_</t>
  </si>
  <si>
    <t>Dual Technology Occupancy Sensor Controlling Lighting Circuit &gt;150 Watts</t>
  </si>
  <si>
    <t>kWControlled</t>
  </si>
  <si>
    <t>Hours</t>
  </si>
  <si>
    <t>ESF</t>
  </si>
  <si>
    <t>ESF =Energy Savings factor (represents the percentage reduction to the operating Hours from the non-controlled baseline lighting system). Determined on a site-specific basis or use 24% as default value</t>
  </si>
  <si>
    <t>Commercial Solid and Glass Door Refrigerators &amp; Freezers</t>
  </si>
  <si>
    <t>801250_2019_12_</t>
  </si>
  <si>
    <t>0 &lt; V &lt; 15 - Vertical Closed - Solid Door Refrigerator</t>
  </si>
  <si>
    <t>Refrigeration BUS</t>
  </si>
  <si>
    <t>801300_2019_12_</t>
  </si>
  <si>
    <t>15 ≤ V &lt; 30 - Vertical Closed - Solid Door Refrigerator</t>
  </si>
  <si>
    <t>801350_2019_12_</t>
  </si>
  <si>
    <t>30 ≤ V &lt; 50 - Vertical Closed - Solid Door Refrigerator</t>
  </si>
  <si>
    <t>801400_2019_12_</t>
  </si>
  <si>
    <t>V ≥ 50 - Vertical Closed - Solid Door Refrigerator</t>
  </si>
  <si>
    <t>801450_2019_12_</t>
  </si>
  <si>
    <t>0 &lt; V &lt; 15 - Vertical Closed - Glass Door Refrigerator</t>
  </si>
  <si>
    <t>801500_2019_12_</t>
  </si>
  <si>
    <t>15 ≤ V &lt; 30 - Vertical Closed - Glass Door Refrigerator</t>
  </si>
  <si>
    <t>801550_2019_12_</t>
  </si>
  <si>
    <t>30 ≤ V &lt; 50 - Vertical Closed - Glass Door Refrigerator</t>
  </si>
  <si>
    <t>801600_2019_12_</t>
  </si>
  <si>
    <t>V ≥ 50 - Vertical Closed - Glass Door Refrigerator</t>
  </si>
  <si>
    <t>801650_2019_12_</t>
  </si>
  <si>
    <t>Horizontal Closed - Solid or Glass Door Refrigerator  - All Volumes</t>
  </si>
  <si>
    <t>801700_2019_12_</t>
  </si>
  <si>
    <t>0 &lt; V &lt; 15 - Vertical Closed - Solid Door Freezer</t>
  </si>
  <si>
    <t>801750_2019_12_</t>
  </si>
  <si>
    <t>15 ≤ V &lt; 30 - Vertical Closed - Solid Door Freezer</t>
  </si>
  <si>
    <t>801800_2019_12_</t>
  </si>
  <si>
    <t>30 ≤ V &lt; 50 - Vertical Closed - Solid Door Freezer</t>
  </si>
  <si>
    <t>801850_2019_12_</t>
  </si>
  <si>
    <t>V ≥ 50 - Vertical Closed - Solid Door Freezer</t>
  </si>
  <si>
    <t>801900_2019_12_</t>
  </si>
  <si>
    <t>0 &lt; V &lt; 15 - Vertical Closed - Glass Door Freezer</t>
  </si>
  <si>
    <t>801950_2019_12_</t>
  </si>
  <si>
    <t>15 ≤ V &lt; 30 - Vertical Closed - Glass Door Freezer</t>
  </si>
  <si>
    <t>802000_2019_12_</t>
  </si>
  <si>
    <t>30 ≤ V &lt; 50 - Vertical Closed - Glass Door Freezer</t>
  </si>
  <si>
    <t>802050_2019_12_</t>
  </si>
  <si>
    <t>V ≥ 50 - Vertical Closed - Glass Door Freezer</t>
  </si>
  <si>
    <t>802100_2019_12_</t>
  </si>
  <si>
    <t>Horizontal Closed - Solid or Glass Door Freezer  - All Volumes</t>
  </si>
  <si>
    <t>FACTOR</t>
  </si>
  <si>
    <t>Equipment Type</t>
  </si>
  <si>
    <r>
      <t>Volume Range (ft</t>
    </r>
    <r>
      <rPr>
        <vertAlign val="superscript"/>
        <sz val="11"/>
        <rFont val="Calibri"/>
        <family val="2"/>
        <scheme val="minor"/>
      </rPr>
      <t>3</t>
    </r>
    <r>
      <rPr>
        <sz val="11"/>
        <rFont val="Calibri"/>
        <family val="2"/>
        <scheme val="minor"/>
      </rPr>
      <t>)</t>
    </r>
  </si>
  <si>
    <r>
      <t>Volume (ft</t>
    </r>
    <r>
      <rPr>
        <vertAlign val="superscript"/>
        <sz val="11"/>
        <rFont val="Calibri"/>
        <family val="2"/>
        <scheme val="minor"/>
      </rPr>
      <t>3</t>
    </r>
    <r>
      <rPr>
        <sz val="11"/>
        <rFont val="Calibri"/>
        <family val="2"/>
        <scheme val="minor"/>
      </rPr>
      <t>)</t>
    </r>
  </si>
  <si>
    <t>Refrigerator</t>
  </si>
  <si>
    <t>Freezer</t>
  </si>
  <si>
    <t>(A x V) + B</t>
  </si>
  <si>
    <t>(C x V) + D</t>
  </si>
  <si>
    <t>V</t>
  </si>
  <si>
    <t>A</t>
  </si>
  <si>
    <t>B</t>
  </si>
  <si>
    <t>C</t>
  </si>
  <si>
    <t>D</t>
  </si>
  <si>
    <t>kWhBase</t>
  </si>
  <si>
    <t>Solid Door</t>
  </si>
  <si>
    <t>See Below</t>
  </si>
  <si>
    <t>See below</t>
  </si>
  <si>
    <t xml:space="preserve">Glass Door </t>
  </si>
  <si>
    <t>kWhESTAR</t>
  </si>
  <si>
    <t>Vertical Closed - Solid Door</t>
  </si>
  <si>
    <t>0 &lt; V &lt; 15</t>
  </si>
  <si>
    <t>15 ≤ V &lt; 30</t>
  </si>
  <si>
    <t>30 ≤ V &lt; 50</t>
  </si>
  <si>
    <t>V ≥ 50</t>
  </si>
  <si>
    <t>Vertical Closed - Glass Door</t>
  </si>
  <si>
    <t>Horizontal Closed - Solid or Glass Door</t>
  </si>
  <si>
    <t>All Volumes</t>
  </si>
  <si>
    <t>Refrigerators &amp; Freezers Controls</t>
  </si>
  <si>
    <t>kWh Annual Savings (per door)</t>
  </si>
  <si>
    <t>Inc. Cost (per door)</t>
  </si>
  <si>
    <t>802150_2019_12_</t>
  </si>
  <si>
    <t>Anti-Sweat Heater Controls Refrigerator</t>
  </si>
  <si>
    <t>per door</t>
  </si>
  <si>
    <t>802200_2019_12_</t>
  </si>
  <si>
    <t>Anti-Sweat Heater Controls Freezer</t>
  </si>
  <si>
    <t>Power Drawn Per Door (kW)</t>
  </si>
  <si>
    <t>DOORS</t>
  </si>
  <si>
    <t>% ON</t>
  </si>
  <si>
    <t>Cooling Bonus Factor (Less Waste Heat to Cool)</t>
  </si>
  <si>
    <t>Non-Controlled Door</t>
  </si>
  <si>
    <t>Heat Pump Water Heaters</t>
  </si>
  <si>
    <t>802250_2019_12_</t>
  </si>
  <si>
    <t>Heat Pump Water Heater w/ 98% Efficiency 2.9-14.6 kW (10 to 50 MBH)</t>
  </si>
  <si>
    <t>Water Heating BUS</t>
  </si>
  <si>
    <t>802300_2019_12_</t>
  </si>
  <si>
    <t>Heat Pump Water Heater w/ 98% Efficiency 14.7-29.3 kW (50 to 100 MBH)</t>
  </si>
  <si>
    <t>802350_2019_12_</t>
  </si>
  <si>
    <t>Heat Pump Water Heater w/ 98% Efficiency 29.4-87.9 kW (100 to 300 MBH)</t>
  </si>
  <si>
    <t>802400_2019_12_</t>
  </si>
  <si>
    <t>Heat Pump Water Heater w/ 98% Efficiency 88-146.5 kW (300 to 500 MBH)</t>
  </si>
  <si>
    <t>802450_2019_12_</t>
  </si>
  <si>
    <t>Heat Pump Water Heater w/ 98% Efficiency &gt;146.6 kW (above 500 MBH)</t>
  </si>
  <si>
    <t>EFBASE</t>
  </si>
  <si>
    <t>EFEE</t>
  </si>
  <si>
    <t>HotWaterUse (Gallon)</t>
  </si>
  <si>
    <t>Capacity (gal)</t>
  </si>
  <si>
    <t>γWater</t>
  </si>
  <si>
    <t>Tout</t>
  </si>
  <si>
    <t>TIn</t>
  </si>
  <si>
    <t>kWhCool</t>
  </si>
  <si>
    <t>kWhHeat</t>
  </si>
  <si>
    <t>COPCool</t>
  </si>
  <si>
    <t>COPHeat</t>
  </si>
  <si>
    <t>Location Factor   LF</t>
  </si>
  <si>
    <t>%Cool</t>
  </si>
  <si>
    <t>%ElectricHeat</t>
  </si>
  <si>
    <t>Heat Pump Pool Heater</t>
  </si>
  <si>
    <t>Inc. Cost (per unit)</t>
  </si>
  <si>
    <t>802500_2019_12_</t>
  </si>
  <si>
    <t>Pool Heater Heat Pump (Uncovered)</t>
  </si>
  <si>
    <t>802550_2019_12_</t>
  </si>
  <si>
    <t>Pool Heater Heat Pump (Covered)</t>
  </si>
  <si>
    <t>Uncovered Pool</t>
  </si>
  <si>
    <t>Covered Pool</t>
  </si>
  <si>
    <t>QPoolHeating</t>
  </si>
  <si>
    <t>SQFT</t>
  </si>
  <si>
    <t>EffBase</t>
  </si>
  <si>
    <t>EffEE</t>
  </si>
  <si>
    <t>Pool Pump</t>
  </si>
  <si>
    <t>kWh Annual Savings (per HP)</t>
  </si>
  <si>
    <t>802600_2019_12_</t>
  </si>
  <si>
    <t>Pool Pump w/ Variable Frequency Drive</t>
  </si>
  <si>
    <t>Motors BUS</t>
  </si>
  <si>
    <t>Horsepower</t>
  </si>
  <si>
    <t>802650_2019_12_</t>
  </si>
  <si>
    <t>Pool Pump Timer</t>
  </si>
  <si>
    <t>TimeSaved (hrs)</t>
  </si>
  <si>
    <t>Size (HP)</t>
  </si>
  <si>
    <t>Steam Cookers</t>
  </si>
  <si>
    <t>802700_2019_12_</t>
  </si>
  <si>
    <t>3 Pan ENERGY STAR Steam Cooker</t>
  </si>
  <si>
    <t>Cooking BUS</t>
  </si>
  <si>
    <t>802750_2019_12_</t>
  </si>
  <si>
    <t>4 Pan ENERGY STAR Steam Cooker</t>
  </si>
  <si>
    <t>802800_2019_12_</t>
  </si>
  <si>
    <t>5 Pan ENERGY STAR Steam Cooker</t>
  </si>
  <si>
    <t>802850_2019_12_</t>
  </si>
  <si>
    <t>6 Pan ENERGY STAR Steam Cooker</t>
  </si>
  <si>
    <t>∆IdleEnergy</t>
  </si>
  <si>
    <t>∆CookingEnergy</t>
  </si>
  <si>
    <t>Days</t>
  </si>
  <si>
    <t>SteamMode</t>
  </si>
  <si>
    <t>IdleRateBase (W)</t>
  </si>
  <si>
    <t>IdleRateESTAR (W)</t>
  </si>
  <si>
    <t>ProductionBase (lb/hr)</t>
  </si>
  <si>
    <t>ProductionESTAR (lb/hr/pan)</t>
  </si>
  <si>
    <t>Pans</t>
  </si>
  <si>
    <t>EFOOD (Wh/lb)</t>
  </si>
  <si>
    <t>EffESTAR</t>
  </si>
  <si>
    <t>FoodCooked (lbs)</t>
  </si>
  <si>
    <t>Holding Cabinet</t>
  </si>
  <si>
    <t>802900_2019_12_</t>
  </si>
  <si>
    <t>ENERGY STAR Hot Holding Cabinet (0 &lt; V &lt;13)</t>
  </si>
  <si>
    <t>802950_2019_12_</t>
  </si>
  <si>
    <t>ENERGY STAR Hot Holding Cabinet (13 ≤ V &lt;28)</t>
  </si>
  <si>
    <t>803000_2019_12_</t>
  </si>
  <si>
    <t>ENERGY STAR Hot Holding Cabinet (28 ≤ V)</t>
  </si>
  <si>
    <t>IdleRateBase</t>
  </si>
  <si>
    <t>IdleRateESTAR</t>
  </si>
  <si>
    <t>0 &lt; V &lt;13</t>
  </si>
  <si>
    <t>Cost from Ameren MO TRM Jan-1,2018</t>
  </si>
  <si>
    <t>28 ≤ V</t>
  </si>
  <si>
    <t>HVAC</t>
  </si>
  <si>
    <t>Cooling kWh Annual Savings (per Ton)</t>
  </si>
  <si>
    <t>Heating kWh Annual Savings (per ton)</t>
  </si>
  <si>
    <t>Total kWh Annual Savings</t>
  </si>
  <si>
    <t>803050_2019_12_</t>
  </si>
  <si>
    <t>Learning Thermostat</t>
  </si>
  <si>
    <t>Cooling BUS</t>
  </si>
  <si>
    <t>Heating BUS</t>
  </si>
  <si>
    <t>Eff (EER/SEER)</t>
  </si>
  <si>
    <t>EFLHCool</t>
  </si>
  <si>
    <t>BtuhCool</t>
  </si>
  <si>
    <t>ESFCool</t>
  </si>
  <si>
    <t>EFLHHEAT</t>
  </si>
  <si>
    <t>ηHEAT</t>
  </si>
  <si>
    <t>BtuhHEAT</t>
  </si>
  <si>
    <t>ESFHEAT</t>
  </si>
  <si>
    <t>Inc. Cost (per HP)</t>
  </si>
  <si>
    <t>803100_2019_12_</t>
  </si>
  <si>
    <t>VFD on Chilled Water Pump 1-75HP</t>
  </si>
  <si>
    <t>per Hp</t>
  </si>
  <si>
    <t>803150_2019_12_</t>
  </si>
  <si>
    <t>VFD on Hot Water Pump 1-75HP</t>
  </si>
  <si>
    <t>HVAC BUS</t>
  </si>
  <si>
    <t>BHP</t>
  </si>
  <si>
    <t>EEFi</t>
  </si>
  <si>
    <t>803200_2019_12_</t>
  </si>
  <si>
    <t>VFD on HVAC Fans 1-100HP</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</si>
  <si>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</si>
  <si>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</si>
  <si>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</si>
  <si>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</si>
  <si>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</si>
  <si>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</si>
  <si>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</si>
  <si>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</si>
  <si>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</si>
  <si>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</si>
  <si>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</si>
  <si>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</si>
  <si>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</si>
  <si>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LF</t>
  </si>
  <si>
    <t>ηmotor</t>
  </si>
  <si>
    <t>RHRSBase</t>
  </si>
  <si>
    <t>ControlTypeFactorBase</t>
  </si>
  <si>
    <t>ControlTypeFactorEff</t>
  </si>
  <si>
    <t>IEenergy</t>
  </si>
  <si>
    <t>kWh Annual Savings (per ton)</t>
  </si>
  <si>
    <t>803250_2019_12_</t>
  </si>
  <si>
    <t>Single Packag or Split Sytem Unitary AC_DX 135 - 240kbtu</t>
  </si>
  <si>
    <t>per ton</t>
  </si>
  <si>
    <t>803300_2019_12_</t>
  </si>
  <si>
    <t>Single Packag or Split Sytem Unitary AC_DX 240 - 760kbtu</t>
  </si>
  <si>
    <t>803350_2019_12_</t>
  </si>
  <si>
    <t>Single Packag or Split Sytem Unitary AC_DX 65 -135kbtu</t>
  </si>
  <si>
    <t>803400_2019_12_</t>
  </si>
  <si>
    <t>Single Packag or Split Sytem Unitary AC_DX &gt;760kbtu</t>
  </si>
  <si>
    <t>803450_2019_12_</t>
  </si>
  <si>
    <t>Single Packag or Split Sytem Unitary AC_DX &lt;65kbtu</t>
  </si>
  <si>
    <t>&lt;65 kBtu/hr</t>
  </si>
  <si>
    <t>kBtu/hrCool</t>
  </si>
  <si>
    <t>EERBase</t>
  </si>
  <si>
    <t>EERee</t>
  </si>
  <si>
    <t>SEERBase</t>
  </si>
  <si>
    <t>SEERee</t>
  </si>
  <si>
    <t>EFLH</t>
  </si>
  <si>
    <t>Cooling kWh Annual Savings (per ton)</t>
  </si>
  <si>
    <t>Inc. Cost (per ton)</t>
  </si>
  <si>
    <t>803500_2019_12_</t>
  </si>
  <si>
    <t>GSHP &lt;135kbtu; ≥17EER</t>
  </si>
  <si>
    <t>803550_2019_12_</t>
  </si>
  <si>
    <t>GSHP &lt;135kbtu; ≥19EER</t>
  </si>
  <si>
    <t>803600_2019_12_</t>
  </si>
  <si>
    <t>ASHP 65 - 135kbtu</t>
  </si>
  <si>
    <t>803650_2019_12_</t>
  </si>
  <si>
    <t>ASHP 135 - 240kbtu</t>
  </si>
  <si>
    <t>803700_2019_12_</t>
  </si>
  <si>
    <t>ASHP &gt;240kbtu</t>
  </si>
  <si>
    <t>803750_2019_12_</t>
  </si>
  <si>
    <t>ASHP &lt;65kbtu</t>
  </si>
  <si>
    <t>COPbase</t>
  </si>
  <si>
    <t>COPee</t>
  </si>
  <si>
    <t>HSPFBase</t>
  </si>
  <si>
    <t>HSPFee</t>
  </si>
  <si>
    <t>kBtu/hrHeat</t>
  </si>
  <si>
    <t>EFLHHeat</t>
  </si>
  <si>
    <t>Comment</t>
  </si>
  <si>
    <t>COPee values from Trane product catalog</t>
  </si>
  <si>
    <t>HSPFee values from Trane product catalog</t>
  </si>
  <si>
    <t>803800_2019_12_</t>
  </si>
  <si>
    <t>Air Cooled Chiller</t>
  </si>
  <si>
    <t>TONS</t>
  </si>
  <si>
    <t>IPLVbase (kW/ton)</t>
  </si>
  <si>
    <t>IPLVee (kW/Ton)</t>
  </si>
  <si>
    <t>Appliances</t>
  </si>
  <si>
    <t>803850_2019_12_</t>
  </si>
  <si>
    <t>Clothes Washer (Electric DHW; Electric Dryer)</t>
  </si>
  <si>
    <t>803900_2019_12_</t>
  </si>
  <si>
    <t>Clothes Washer (Gas DHW; Electric Dryer)</t>
  </si>
  <si>
    <t>803950_2019_12_</t>
  </si>
  <si>
    <t>Clothes Washer (Electric DHW; Gas Dryer)</t>
  </si>
  <si>
    <t>804000_2019_12_</t>
  </si>
  <si>
    <t>Clothes Washer (Gas DHW; Gas Dryer)</t>
  </si>
  <si>
    <t>Capacity (cubic feet)</t>
  </si>
  <si>
    <t>MEFbase</t>
  </si>
  <si>
    <t>MEFeff</t>
  </si>
  <si>
    <t>Ncycles</t>
  </si>
  <si>
    <t>%CWbase</t>
  </si>
  <si>
    <t>%CWeff</t>
  </si>
  <si>
    <t>%DHWbase</t>
  </si>
  <si>
    <t>%DHWeff</t>
  </si>
  <si>
    <t>%Dryerbase</t>
  </si>
  <si>
    <t>%Dryereff</t>
  </si>
  <si>
    <t>%ElectricDHW</t>
  </si>
  <si>
    <t>%ElectricDryer</t>
  </si>
  <si>
    <t>804050_2019_12_</t>
  </si>
  <si>
    <t>Clothes Dryer Vented Electric, Standard (≥ 4.4 ft3)</t>
  </si>
  <si>
    <t>804100_2019_12_</t>
  </si>
  <si>
    <t>Clothes Dryer Vented Electric, Compact (120V) (&lt; 4.4 ft3)</t>
  </si>
  <si>
    <t>804150_2019_12_</t>
  </si>
  <si>
    <t>Clothes Dryer Vented Electric, Compact (240V) (&lt;4.4 ft3)</t>
  </si>
  <si>
    <t>804200_2019_12_</t>
  </si>
  <si>
    <t>Clothes Dryer Ventless Electric, Compact (240V) (&lt;4.4 ft3)</t>
  </si>
  <si>
    <t>804250_2019_12_</t>
  </si>
  <si>
    <t>Clothes Dryer Vented Gas</t>
  </si>
  <si>
    <t>Load</t>
  </si>
  <si>
    <t>CEFbase</t>
  </si>
  <si>
    <t>CEFeff</t>
  </si>
  <si>
    <t>%Electric</t>
  </si>
  <si>
    <t>Compressed Air</t>
  </si>
  <si>
    <t>804300_2019_12_</t>
  </si>
  <si>
    <t>No Loss Condensate Drain (Reciprocating - On/off Control)</t>
  </si>
  <si>
    <t>Air Comp BUS</t>
  </si>
  <si>
    <t>804350_2019_12_</t>
  </si>
  <si>
    <t>No Loss Condensate Drain (Reciprocating - Load/Unload)</t>
  </si>
  <si>
    <t>804400_2019_12_</t>
  </si>
  <si>
    <t>No Loss Condensate Drain (Screw - Load/Unload)</t>
  </si>
  <si>
    <t>804450_2019_12_</t>
  </si>
  <si>
    <t>No Loss Condensate Drain (Screw - Inlet Modulation)</t>
  </si>
  <si>
    <t>804500_2019_12_</t>
  </si>
  <si>
    <t>No Loss Condensate Drain (Screw - Inlet Modulation w/ Unloading)</t>
  </si>
  <si>
    <t>804550_2019_12_</t>
  </si>
  <si>
    <t>No Loss Condensate Drain (Screw - Variable Displacement)</t>
  </si>
  <si>
    <t>804600_2019_12_</t>
  </si>
  <si>
    <t>No Loss Condensate Drain (Screw - VFD)</t>
  </si>
  <si>
    <t>CFMreduced</t>
  </si>
  <si>
    <t>kWcfm</t>
  </si>
  <si>
    <t>804650_2019_12_</t>
  </si>
  <si>
    <t>Compressed Air Nozzle (Reciprocating - On/off Control)</t>
  </si>
  <si>
    <t>804700_2019_12_</t>
  </si>
  <si>
    <t>Compressed Air Nozzle (Reciprocating - Load/Unload)</t>
  </si>
  <si>
    <t>804750_2019_12_</t>
  </si>
  <si>
    <t>Compressed Air Nozzle (Screw - Load/Unload)</t>
  </si>
  <si>
    <t>804800_2019_12_</t>
  </si>
  <si>
    <t>Compressed Air Nozzle (Screw - Inlet Modulation)</t>
  </si>
  <si>
    <t>804850_2019_12_</t>
  </si>
  <si>
    <t>Compressed Air Nozzle (Screw - Inlet Modulation w/ Unloading)</t>
  </si>
  <si>
    <t>804900_2019_12_</t>
  </si>
  <si>
    <t>Compressed Air Nozzle (Screw - Variable Displacement)</t>
  </si>
  <si>
    <t>804950_2019_12_</t>
  </si>
  <si>
    <t>Compressed Air Nozzle (Screw - VFD)</t>
  </si>
  <si>
    <t>SCFM</t>
  </si>
  <si>
    <t>SCFM%reduced</t>
  </si>
  <si>
    <t>kW/CFM</t>
  </si>
  <si>
    <t>%Use</t>
  </si>
  <si>
    <t>805000_2019_12_</t>
  </si>
  <si>
    <t>per HP</t>
  </si>
  <si>
    <t>hpcompressor</t>
  </si>
  <si>
    <t>CFb</t>
  </si>
  <si>
    <t>Cfe</t>
  </si>
  <si>
    <t>Combination Oven</t>
  </si>
  <si>
    <t>805050_2019_12_</t>
  </si>
  <si>
    <t>Combination Oven (Pan Capacity &lt; 15)</t>
  </si>
  <si>
    <t>805100_2019_12_</t>
  </si>
  <si>
    <t>FoodCookedElec (lbs)</t>
  </si>
  <si>
    <t>EFOODConvElec (Wh/lb)</t>
  </si>
  <si>
    <t>ElecEFFConvBase</t>
  </si>
  <si>
    <t>ElecEFFConvEE</t>
  </si>
  <si>
    <t>%Conv</t>
  </si>
  <si>
    <t>EFOODSteamElec (Wh/lb)</t>
  </si>
  <si>
    <t>ElecEFFSteamBase</t>
  </si>
  <si>
    <t>ElecEFFSteamEE</t>
  </si>
  <si>
    <t>%Steam</t>
  </si>
  <si>
    <t>ElecIDLEConvBase (W)</t>
  </si>
  <si>
    <t>ElecIDLESteamBase (W)</t>
  </si>
  <si>
    <t>Hours (Daily)</t>
  </si>
  <si>
    <t>ElecPCConvBase (lbs/hr)</t>
  </si>
  <si>
    <t>ElecPCSteamBase (lbs/hr)</t>
  </si>
  <si>
    <t>ElecIDLEConvEE</t>
  </si>
  <si>
    <t>P (Pan Capacity)</t>
  </si>
  <si>
    <t>ElecPCSteamEE (lbs/hr)</t>
  </si>
  <si>
    <t>ElecPCConvEE (lbs/hr)</t>
  </si>
  <si>
    <t>ElecIDLESteamEE</t>
  </si>
  <si>
    <t>Fryer</t>
  </si>
  <si>
    <t>805150_2019_12_</t>
  </si>
  <si>
    <t>Standard Open Deep-Fat Fryer</t>
  </si>
  <si>
    <t>805200_2019_12_</t>
  </si>
  <si>
    <t>Large Vat Open Deep-Fat Fryer</t>
  </si>
  <si>
    <t>ElecIdleBase (W)</t>
  </si>
  <si>
    <t>ElecIdleESTAR (W)</t>
  </si>
  <si>
    <t>Food Cooked (lbs per day)</t>
  </si>
  <si>
    <t>ElecPCBase (lb/hr)</t>
  </si>
  <si>
    <t>ElecPCESTAR (lb/hr)</t>
  </si>
  <si>
    <t>EFOODElec (Wh/lb)</t>
  </si>
  <si>
    <t>ElecEffBase</t>
  </si>
  <si>
    <t>ElecEffESTAR</t>
  </si>
  <si>
    <t>Convection Oven</t>
  </si>
  <si>
    <t>805250_2019_12_</t>
  </si>
  <si>
    <t>Convection Oven (Full Size)</t>
  </si>
  <si>
    <t>805300_2019_12_</t>
  </si>
  <si>
    <t>Convection Oven (Half Size)</t>
  </si>
  <si>
    <t>Griddle</t>
  </si>
  <si>
    <t>805350_2019_12_</t>
  </si>
  <si>
    <t>ElecIdleBase (W/sqft)</t>
  </si>
  <si>
    <t>ElecRateESTAR (W/sqft)</t>
  </si>
  <si>
    <t>Width (ft)</t>
  </si>
  <si>
    <t>Depth (ft)</t>
  </si>
  <si>
    <t>FoodCooked (lbs/day)</t>
  </si>
  <si>
    <t>Kitchen Demand Ventillation Controls</t>
  </si>
  <si>
    <t>805400_2019_12_</t>
  </si>
  <si>
    <t>kWSavings</t>
  </si>
  <si>
    <t>HPexhaust</t>
  </si>
  <si>
    <t>Pre-Rinse Spray Valve</t>
  </si>
  <si>
    <t xml:space="preserve">kWh Annual Savings </t>
  </si>
  <si>
    <t>805450_2019_12_</t>
  </si>
  <si>
    <t>∆Gallons</t>
  </si>
  <si>
    <t>FLObase (gal/min)</t>
  </si>
  <si>
    <t>FLOeff (gal/min)</t>
  </si>
  <si>
    <t>HOURSday</t>
  </si>
  <si>
    <t>DAYSyear</t>
  </si>
  <si>
    <t>Tin</t>
  </si>
  <si>
    <t>EFF_Elec</t>
  </si>
  <si>
    <t>Low Flow Faucet Aerator</t>
  </si>
  <si>
    <t>805500_2019_12_</t>
  </si>
  <si>
    <t>GPMbase</t>
  </si>
  <si>
    <t>GPMlow</t>
  </si>
  <si>
    <t>Usage (GPY)</t>
  </si>
  <si>
    <t>EPGelectric</t>
  </si>
  <si>
    <t>WaterTempmixed</t>
  </si>
  <si>
    <t>WaterTempsupply</t>
  </si>
  <si>
    <t>REelectric</t>
  </si>
  <si>
    <t>Circulator Pump</t>
  </si>
  <si>
    <t>805550_2019_12_</t>
  </si>
  <si>
    <t>Small Commercial Programmable Thermostats</t>
  </si>
  <si>
    <t>kWh Annual Savings (per sqft)</t>
  </si>
  <si>
    <t>805600_2019_12_</t>
  </si>
  <si>
    <t>Sqft</t>
  </si>
  <si>
    <t>EERexist</t>
  </si>
  <si>
    <t>Savings Factor kWh/sqft-yr</t>
  </si>
  <si>
    <t>PF</t>
  </si>
  <si>
    <t>Demand Controlled Ventillation</t>
  </si>
  <si>
    <t>805650_2019_12_</t>
  </si>
  <si>
    <t>Demand Controlled Ventillation (Gas Heat)</t>
  </si>
  <si>
    <t>Actual</t>
  </si>
  <si>
    <t>per sq. ft.</t>
  </si>
  <si>
    <t>805700_2019_12_</t>
  </si>
  <si>
    <t>Demand Controlled Ventillation (Electric Heat)</t>
  </si>
  <si>
    <t>805750_2019_12_</t>
  </si>
  <si>
    <t>Demand Controlled Ventillation (Heat Pump)</t>
  </si>
  <si>
    <t>SQFTcond</t>
  </si>
  <si>
    <t>SFcooling</t>
  </si>
  <si>
    <t>SFheat</t>
  </si>
  <si>
    <t>Advanced RTU Controls</t>
  </si>
  <si>
    <t>805800_2019_12_</t>
  </si>
  <si>
    <t>Psf</t>
  </si>
  <si>
    <t>SF (kWh/hour/HP)</t>
  </si>
  <si>
    <t>Hoursfan</t>
  </si>
  <si>
    <t>PTAC &amp; PTHP</t>
  </si>
  <si>
    <t>kWh Annual Savings (per ton) first 5 years</t>
  </si>
  <si>
    <t>kWh Annual Savings (per ton) next ten years</t>
  </si>
  <si>
    <t>kW (per ton) first 5 years</t>
  </si>
  <si>
    <t>kW (per ton) next ten years</t>
  </si>
  <si>
    <t>805850_2019_12_</t>
  </si>
  <si>
    <t>PTAC</t>
  </si>
  <si>
    <t>805900_2019_12_</t>
  </si>
  <si>
    <t>PTHP</t>
  </si>
  <si>
    <t>kBtucool/hr</t>
  </si>
  <si>
    <t>EFLHcool</t>
  </si>
  <si>
    <t>EFLHheat</t>
  </si>
  <si>
    <t>EERbase</t>
  </si>
  <si>
    <t>kBtuheat/hr</t>
  </si>
  <si>
    <t>COPexist</t>
  </si>
  <si>
    <t>Refrigerated Beverage Vending Machine</t>
  </si>
  <si>
    <t>kWh Annual Savings (per cubicft)</t>
  </si>
  <si>
    <t>805950_2019_12_</t>
  </si>
  <si>
    <t>Refrigerated Beverage Vending Machine (Class A)</t>
  </si>
  <si>
    <t>806000_2019_12_</t>
  </si>
  <si>
    <t>Refrigerated Beverage Vending Machine (Class B)</t>
  </si>
  <si>
    <t>ECM for Walk-in &amp; Reach-in Coolers/Freezers</t>
  </si>
  <si>
    <t>kWh Annual Savings (per motor)</t>
  </si>
  <si>
    <t>Inc. Cost (per motor)</t>
  </si>
  <si>
    <t>806050_2019_12_</t>
  </si>
  <si>
    <t>per motor</t>
  </si>
  <si>
    <t>Savings per motor (kWh)</t>
  </si>
  <si>
    <t>motors</t>
  </si>
  <si>
    <t>Custom Measure</t>
  </si>
  <si>
    <t>999999_2019_12</t>
  </si>
  <si>
    <t>Custom</t>
  </si>
  <si>
    <t>Variable</t>
  </si>
  <si>
    <t>RESIDENTIAL LIGHTING</t>
  </si>
  <si>
    <t>Lighting Program</t>
  </si>
  <si>
    <t>** CFL baseline is Post 2020, EISA baseline is pre-2020 **</t>
  </si>
  <si>
    <t>End Use - RES</t>
  </si>
  <si>
    <t>kW Factor - RES</t>
  </si>
  <si>
    <t>End Use - BUS</t>
  </si>
  <si>
    <t>kW Factor - BUS</t>
  </si>
  <si>
    <t>kWh RES</t>
  </si>
  <si>
    <t>kWh BUS</t>
  </si>
  <si>
    <t>KW RES</t>
  </si>
  <si>
    <t>KW BUS</t>
  </si>
  <si>
    <t>EUL - RES</t>
  </si>
  <si>
    <t>EUL - BUS**</t>
  </si>
  <si>
    <t>Inc. Cost*</t>
  </si>
  <si>
    <t>200050_2019_12_</t>
  </si>
  <si>
    <t>LED - 10.5W Downlight E26 (CFL baseline)</t>
  </si>
  <si>
    <t>Lighting RES</t>
  </si>
  <si>
    <t xml:space="preserve">  per bulb</t>
  </si>
  <si>
    <t>200100_2019_12_</t>
  </si>
  <si>
    <t>LED - 10.5W Downlight E26 (Halogen baseline)</t>
  </si>
  <si>
    <t>200150_2019_12_</t>
  </si>
  <si>
    <t>LED - 10W (CFL baseline)</t>
  </si>
  <si>
    <t>200200_2019_12_</t>
  </si>
  <si>
    <t>LED - 10W (Halogen baseline)</t>
  </si>
  <si>
    <t>200250_2019_12_</t>
  </si>
  <si>
    <t>LED - 12W Dimmable Light Bulb (Replacing CFL)</t>
  </si>
  <si>
    <t>200300_2019_12_</t>
  </si>
  <si>
    <t>LED - 12W Dimmable Light Bulb (Replacing Specialty Incandescent) LI DI</t>
  </si>
  <si>
    <t>200350_2019_12_</t>
  </si>
  <si>
    <t>LED - 15W (Halogen baseline)</t>
  </si>
  <si>
    <t>200400_2019_12_</t>
  </si>
  <si>
    <t>LED - 15W (CFL baseline)</t>
  </si>
  <si>
    <t>200450_2019_12_</t>
  </si>
  <si>
    <t>LED - 15W Flood Light PAR30 Bulb (CFL baseline)</t>
  </si>
  <si>
    <t>200500_2019_12_</t>
  </si>
  <si>
    <t>LED - 15W Flood Light PAR30 Bulb (Halogen baseline)</t>
  </si>
  <si>
    <t>200550_2019_12_</t>
  </si>
  <si>
    <t>LED - 18W Flood Light PAR30 Bulb (CFL baseline)</t>
  </si>
  <si>
    <t>200600_2019_12_</t>
  </si>
  <si>
    <t>LED - 18W Flood Light PAR38 Bulb (Halogen baseline)</t>
  </si>
  <si>
    <t>200650_2019_12_</t>
  </si>
  <si>
    <t>LED - 20W (CFL baseline)</t>
  </si>
  <si>
    <t>200700_2019_12_</t>
  </si>
  <si>
    <t>LED - 20W (Halogen baseline)</t>
  </si>
  <si>
    <t>200750_2019_12_</t>
  </si>
  <si>
    <t>LED - 4W Candelabra (CFL baseline)</t>
  </si>
  <si>
    <t>200800_2019_12_</t>
  </si>
  <si>
    <t>LED - 4W Candelabra (Replacing Specialty Incandescent)</t>
  </si>
  <si>
    <t>200850_2019_12_</t>
  </si>
  <si>
    <t>LED - 8W Globe Light G25 Bulb (Replacing CFL)</t>
  </si>
  <si>
    <t>200900_2019_12_</t>
  </si>
  <si>
    <t>LED - 8W Globe Light G25 Bulb (Replacing Specialty Incandescent)</t>
  </si>
  <si>
    <t>200950_2019_12_</t>
  </si>
  <si>
    <t>LED - 10W (Halogen baseline)  - Specialty Connected Light</t>
  </si>
  <si>
    <t>201000_2019_12_</t>
  </si>
  <si>
    <t>LED - 15W (Halogen baseline)  - Specialty Connected Light</t>
  </si>
  <si>
    <t>201050_2019_12_</t>
  </si>
  <si>
    <t>LED - 15W Flood Light PAR30 Bulb (Halogen baseline) - Specialty Connected Light</t>
  </si>
  <si>
    <t>201100_2019_12_</t>
  </si>
  <si>
    <t>LED - 6W (Halogen baseline)</t>
  </si>
  <si>
    <t xml:space="preserve">*The present value cost of multiple Halogen or CFL bulbs over the life of the measure is typically at or below $0.  For modeling purposes, use $.000001 to model these measures within DSMore. </t>
  </si>
  <si>
    <t xml:space="preserve">**EUL-BUS based on MO TRM - 20,000 hours total life; 3,351 annual hours of use for average building type.  </t>
  </si>
  <si>
    <t>Evaluation Formula:</t>
  </si>
  <si>
    <t>Factor</t>
  </si>
  <si>
    <t>Term</t>
  </si>
  <si>
    <t>Value</t>
  </si>
  <si>
    <t>Notes</t>
  </si>
  <si>
    <t>  Watts Base</t>
  </si>
  <si>
    <t>Baseline wattage, based on lumens of LED bulb installed.</t>
  </si>
  <si>
    <t>Ameren Missouri Lighting Evaluation PY2018</t>
  </si>
  <si>
    <t>WattsBase after EISA 2020 value from TRM matched to closest cell against base wattage</t>
  </si>
  <si>
    <t>WattsBase after EISA 2020 value from TRM matched to closest cell against Average lumen-equivalent halogen wattage for program bulbs</t>
  </si>
  <si>
    <t>Table in TRM WattsBase after EISA 2020 = WattsBase before EISA 2020 over 2600 Lumens. Lumens are &gt;2600 based off 18W flood EISA compliant baseline of 100W</t>
  </si>
  <si>
    <t>Bulb-type and lumen look-up in Energy Star database</t>
  </si>
  <si>
    <t>WattsBase after EISA 2020 value from TRM matched against Average lumen-equivalent halogen wattage for program bulbs</t>
  </si>
  <si>
    <t>Based on 4W EE</t>
  </si>
  <si>
    <t>Compared to 43W (nearest) pre-EISA baseline</t>
  </si>
  <si>
    <t xml:space="preserve"> EISA Baseline for 310-749 lumen A-Lamps </t>
  </si>
  <si>
    <t>  Watts EE</t>
  </si>
  <si>
    <t>Actual wattage of LED purchased / installed</t>
  </si>
  <si>
    <t xml:space="preserve"> Bulb nameplaate Wattage </t>
  </si>
  <si>
    <t>In Service Rate, the percentage of units rebated that are actually in service</t>
  </si>
  <si>
    <t>All</t>
  </si>
  <si>
    <t>Updated UMP Method (based on initial install value from PY17 inventory)</t>
  </si>
  <si>
    <t>Leakage</t>
  </si>
  <si>
    <t>Leakage rate (program bulbs installed outside Ameren Missouri's service area)</t>
  </si>
  <si>
    <t>HOU_Res</t>
  </si>
  <si>
    <t>Average hours of use per year for residential homes</t>
  </si>
  <si>
    <t>Res</t>
  </si>
  <si>
    <t>WHF_Res</t>
  </si>
  <si>
    <t xml:space="preserve">Waste Heat Factor for energy to account for electric heating increase from reducing waste heat from efficient lighting (if fossil fuel heating – see calculation of heating penalty in that section). </t>
  </si>
  <si>
    <t>Res  energy</t>
  </si>
  <si>
    <t>PY 14 Eval</t>
  </si>
  <si>
    <t>HOU_NRES</t>
  </si>
  <si>
    <t>Average hours of use per year for non- residential homes</t>
  </si>
  <si>
    <t>NRES</t>
  </si>
  <si>
    <t xml:space="preserve">Illinois TRM v5.0, Lighting Reference Tables (Sec. 4.5.1), "Unknown" Building type, screw base lamp operating hours / 365 
*** Multiplied by 365 so equation doesn’t need hard coded values of 365 </t>
  </si>
  <si>
    <t>WHF_Nres</t>
  </si>
  <si>
    <t>PY16 value equal to PY15</t>
  </si>
  <si>
    <t>%Res</t>
  </si>
  <si>
    <t>Percentage of bulbs sold to residential customers</t>
  </si>
  <si>
    <t>EUL Residential</t>
  </si>
  <si>
    <t>Effective Useful Life</t>
  </si>
  <si>
    <t>EUL Business</t>
  </si>
  <si>
    <t>Incremental Cost</t>
  </si>
  <si>
    <t>RESIDENTIAL EFFICIENT PRODUCTS</t>
  </si>
  <si>
    <t>Heat Pump Hot Water Heater</t>
  </si>
  <si>
    <t>Program/Channel</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</si>
  <si>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</si>
  <si>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</si>
  <si>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</si>
  <si>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250050_2019_12_</t>
  </si>
  <si>
    <t>Efficient Products</t>
  </si>
  <si>
    <t>Water Heating RES</t>
  </si>
  <si>
    <t>Parameter</t>
  </si>
  <si>
    <t>Source</t>
  </si>
  <si>
    <r>
      <t>EF</t>
    </r>
    <r>
      <rPr>
        <vertAlign val="subscript"/>
        <sz val="11"/>
        <rFont val="Calibri"/>
        <family val="2"/>
        <scheme val="minor"/>
      </rPr>
      <t>BASE</t>
    </r>
  </si>
  <si>
    <t>Efficient rating of baseline equipment</t>
  </si>
  <si>
    <t>Federal minimum efficiency standard</t>
  </si>
  <si>
    <t xml:space="preserve">Updated value matches EM&amp;V, originall 0.945.  Further investigation required to determine UEF baseline. </t>
  </si>
  <si>
    <r>
      <t>EF</t>
    </r>
    <r>
      <rPr>
        <vertAlign val="subscript"/>
        <sz val="11"/>
        <rFont val="Calibri"/>
        <family val="2"/>
        <scheme val="minor"/>
      </rPr>
      <t>EE</t>
    </r>
  </si>
  <si>
    <t>Efficient rating of efficient equipment</t>
  </si>
  <si>
    <t>PY18 EfficientProducts Database - Average EF</t>
  </si>
  <si>
    <t>Value matches EM&amp;V</t>
  </si>
  <si>
    <t>GPD</t>
  </si>
  <si>
    <t>Gallons per day</t>
  </si>
  <si>
    <t>MO 2017 TRM, section 3.3.5, GPD based on 45.5 gallons of hot water per day per household and 2.59 people per household, from Residential End Uses of Water Study 2013 Update. Prepared by Deoreo, B., and P. Mayer for the Water Research Foundation, 2014.</t>
  </si>
  <si>
    <t xml:space="preserve">Defined at gallons per a day per a person in the Statewide TRM (EM&amp;V defines GPD as gallons per a day per a household). </t>
  </si>
  <si>
    <t>Household</t>
  </si>
  <si>
    <t>Average number of people per household</t>
  </si>
  <si>
    <t>Ameren Missouri Efficient Products Evaluation PY2018</t>
  </si>
  <si>
    <t>Not defined by EM&amp;V</t>
  </si>
  <si>
    <t>Days per year</t>
  </si>
  <si>
    <t>Conversion Factor (days/year)</t>
  </si>
  <si>
    <t>Den</t>
  </si>
  <si>
    <t>Specific weight of water</t>
  </si>
  <si>
    <t>Density of water (lb/gallon)</t>
  </si>
  <si>
    <t>HWT</t>
  </si>
  <si>
    <t>TOUT = Tank temperature</t>
  </si>
  <si>
    <t>Illinois TRM v6</t>
  </si>
  <si>
    <t>CWT</t>
  </si>
  <si>
    <t>Incoming water temperature from well or municipal system</t>
  </si>
  <si>
    <t>Using 40" deep soil temp as a proxy at Powell Gardens SCAN site. 12 month average of available data from 3/28/02–10/11/14</t>
  </si>
  <si>
    <r>
      <t>C</t>
    </r>
    <r>
      <rPr>
        <vertAlign val="subscript"/>
        <sz val="11"/>
        <rFont val="Calibri"/>
        <family val="2"/>
        <scheme val="minor"/>
      </rPr>
      <t>P</t>
    </r>
  </si>
  <si>
    <t>Heat capacity of water (1 Btu/lb*°F)</t>
  </si>
  <si>
    <t>Specific Heat of Water  (Btu/lb-oF)</t>
  </si>
  <si>
    <t>Conversion Factor (Btu/kWh)</t>
  </si>
  <si>
    <t>Value matches TRM</t>
  </si>
  <si>
    <t>Location Factor</t>
  </si>
  <si>
    <t>Wisconsin TRM unknown location</t>
  </si>
  <si>
    <t>PY18 Ameren Missouri Evaluation</t>
  </si>
  <si>
    <t>Portion of reduced waste heat that results in cooling savings</t>
  </si>
  <si>
    <t>MO 2017 TRM, section 3.3.5</t>
  </si>
  <si>
    <t>Based on 193 days where CDD 65&gt;0, divided by 365.25. CDD days determined with a base temp of 65°F.</t>
  </si>
  <si>
    <t>Portion of reduced waste heat that results in increased heating load</t>
  </si>
  <si>
    <t>Based on 157 days where HDD 60&gt;0, divided by 365.25. HDD days determined from Climate Normals data with a base temp of 60°F.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</si>
  <si>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COPcool</t>
  </si>
  <si>
    <t xml:space="preserve">COP of central air conditioner - Actual, or if unknown, assume 2.8 </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</si>
  <si>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</si>
  <si>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</si>
  <si>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Electric Resistance</t>
  </si>
  <si>
    <t>COP (Effective COP Estimate) (HSPF/3.412)*0.85</t>
  </si>
  <si>
    <t>Heat Pump - Installed before 2006</t>
  </si>
  <si>
    <t>Heat Pump - Installed from 2006-2014</t>
  </si>
  <si>
    <t>Heat Pump - Installed in 2015 and After</t>
  </si>
  <si>
    <t>LM</t>
  </si>
  <si>
    <t>Latent multiplier to account for latent cooling demand</t>
  </si>
  <si>
    <t>Wisconsin and Illinois TRMs</t>
  </si>
  <si>
    <t>Percentage of homes with central cooling</t>
  </si>
  <si>
    <t>Not defined in EM&amp;V</t>
  </si>
  <si>
    <t xml:space="preserve">%ElectricHeat - Electric Resistance Saturation </t>
  </si>
  <si>
    <t xml:space="preserve">Electric Resistance Saturation </t>
  </si>
  <si>
    <t>PY18 Efficient Products tracking data (Heating System type)</t>
  </si>
  <si>
    <t>%ElectricHeat - Heat Pump Saturation</t>
  </si>
  <si>
    <t>Heat Pump Saturation</t>
  </si>
  <si>
    <t xml:space="preserve">Value matches EM&amp;V not updated as </t>
  </si>
  <si>
    <t>Installation Rate</t>
  </si>
  <si>
    <t xml:space="preserve">PY18 Participant Survey </t>
  </si>
  <si>
    <t>Learning Thermostat / Advanced Thermostat</t>
  </si>
  <si>
    <t xml:space="preserve">*CompE = Comprehensive Envelope </t>
  </si>
  <si>
    <t>250100_2019_12_</t>
  </si>
  <si>
    <t>Learning Thermostat - ASHP heating/cooling SF</t>
  </si>
  <si>
    <t>Cooling RES</t>
  </si>
  <si>
    <t>Heating RES</t>
  </si>
  <si>
    <t>250101_2019_12_</t>
  </si>
  <si>
    <t>Learning Thermostat - ASHP heating/cooling MF</t>
  </si>
  <si>
    <t>250102_2019_12_</t>
  </si>
  <si>
    <t>250150_2019_12_</t>
  </si>
  <si>
    <t>Learning Thermostat - electric furnace heating / central AC MF</t>
  </si>
  <si>
    <t>250151_2019_12_</t>
  </si>
  <si>
    <t>250250_2019_12_</t>
  </si>
  <si>
    <t>Learning Thermostat - electric furnace heating / central AC SF</t>
  </si>
  <si>
    <t>250350_2019_12_</t>
  </si>
  <si>
    <t>250351_2019_12_</t>
  </si>
  <si>
    <t>Learning Thermostat - Gas Heated / central AC MF**</t>
  </si>
  <si>
    <t>250352_2019_12_</t>
  </si>
  <si>
    <t>Learning Thermostat - Gas Heated / central AC MF_CompE**</t>
  </si>
  <si>
    <t>250450_2019_12_</t>
  </si>
  <si>
    <t>250451_2019_12_</t>
  </si>
  <si>
    <t>Learning Thermostat - Unknown MF**</t>
  </si>
  <si>
    <t>250452_2019_12_</t>
  </si>
  <si>
    <t>Learning Thermostat - Unknown MF_CompE**</t>
  </si>
  <si>
    <t>**If not claiming gas value is applicable to propane as well</t>
  </si>
  <si>
    <t xml:space="preserve">                                                                                                                                              </t>
  </si>
  <si>
    <t>Frequency</t>
  </si>
  <si>
    <t>Existing Thermostat Type</t>
  </si>
  <si>
    <t>Heating Reduction</t>
  </si>
  <si>
    <t>Manual</t>
  </si>
  <si>
    <t>Programmable</t>
  </si>
  <si>
    <t>Unkknown (Blended)</t>
  </si>
  <si>
    <t>Smart</t>
  </si>
  <si>
    <t>Comments</t>
  </si>
  <si>
    <t>MO - TRM</t>
  </si>
  <si>
    <t>HeatingConsumption_Electric</t>
  </si>
  <si>
    <t xml:space="preserve">Ameren Missouri Efficient Products Evaluation PY2018 workpapers.  For Comprehensive Envelope (CompE) Measures , the ratio of MF effective full load hours (1496) to the Opinion Dynamic recommendation for Comprehensive Envelope full load hours (509) was used to scale heating consumption values.  </t>
  </si>
  <si>
    <t>Default if efficiency is unknown:  Use new equipment specification if new system installed</t>
  </si>
  <si>
    <t>North East (Fort Madison, IA)</t>
  </si>
  <si>
    <t>North West (Lincoln, NE)</t>
  </si>
  <si>
    <t>South East (Cape Girardeau, MO)</t>
  </si>
  <si>
    <t>South West (Kaiser, MO)</t>
  </si>
  <si>
    <t>HF</t>
  </si>
  <si>
    <t>St Louis, MO</t>
  </si>
  <si>
    <t>Kansas City, MO</t>
  </si>
  <si>
    <t>Average/Unknown (Knob Noster)</t>
  </si>
  <si>
    <t>HeatingReduction</t>
  </si>
  <si>
    <t>MO Statewide TRM weighted with survey data</t>
  </si>
  <si>
    <t>Assumes unknown base line 7.4%, 8.8% for manual T-Stat, 5.6% for program. T-Stat</t>
  </si>
  <si>
    <t>Eff_ISR</t>
  </si>
  <si>
    <t>Default value could change with evaluation</t>
  </si>
  <si>
    <t>∆Therms</t>
  </si>
  <si>
    <t>Calculated</t>
  </si>
  <si>
    <t>Fe</t>
  </si>
  <si>
    <t>Default value no alternative</t>
  </si>
  <si>
    <t>%AC</t>
  </si>
  <si>
    <r>
      <t xml:space="preserve">EFLH </t>
    </r>
    <r>
      <rPr>
        <i/>
        <vertAlign val="subscript"/>
        <sz val="11"/>
        <rFont val="Calibri Light"/>
        <family val="2"/>
        <scheme val="major"/>
      </rPr>
      <t>cool</t>
    </r>
  </si>
  <si>
    <t>SF &amp; MF</t>
  </si>
  <si>
    <t>St Louis</t>
  </si>
  <si>
    <t>MFc</t>
  </si>
  <si>
    <t>Evaluation - Opinion Dynamics review PY19</t>
  </si>
  <si>
    <t>CapacityCool</t>
  </si>
  <si>
    <t>SF</t>
  </si>
  <si>
    <t>Default if capacity is unknown</t>
  </si>
  <si>
    <t>MF</t>
  </si>
  <si>
    <t xml:space="preserve">MO - TRM </t>
  </si>
  <si>
    <t>none</t>
  </si>
  <si>
    <t>SEER</t>
  </si>
  <si>
    <t>CoolingReduction</t>
  </si>
  <si>
    <t>%FossilHeat</t>
  </si>
  <si>
    <t>tracking database</t>
  </si>
  <si>
    <t>HeatingConsumption_Gas</t>
  </si>
  <si>
    <t>Ameren Missouri Efficient Products Evaluation PY2017</t>
  </si>
  <si>
    <t>St. Louis</t>
  </si>
  <si>
    <t>ENERGY STAR Pool Pump and motor w auto controls - multi speed</t>
  </si>
  <si>
    <t xml:space="preserve"> kW</t>
  </si>
  <si>
    <t>250500_2019_12_</t>
  </si>
  <si>
    <t>Pool Spa RES</t>
  </si>
  <si>
    <t>250550_2019_12_</t>
  </si>
  <si>
    <t>ENERGY STAR VFDs on Residential Swimming Pool Pumps</t>
  </si>
  <si>
    <t>Multi-Speed Value</t>
  </si>
  <si>
    <t>VFD Value</t>
  </si>
  <si>
    <r>
      <t>Days</t>
    </r>
    <r>
      <rPr>
        <vertAlign val="subscript"/>
        <sz val="11"/>
        <rFont val="Calibri"/>
        <family val="2"/>
        <scheme val="minor"/>
      </rPr>
      <t>oper</t>
    </r>
  </si>
  <si>
    <t>Days per Year of Operation</t>
  </si>
  <si>
    <t xml:space="preserve">ES Pool Pump Calculator downloaded on   (version last updated 12-13) and adjusted for dual speed in Missouri </t>
  </si>
  <si>
    <r>
      <t>RT</t>
    </r>
    <r>
      <rPr>
        <vertAlign val="subscript"/>
        <sz val="11"/>
        <rFont val="Calibri"/>
        <family val="2"/>
        <scheme val="minor"/>
      </rPr>
      <t>ss</t>
    </r>
  </si>
  <si>
    <t>Runtime in hours/day using single speed (ss) pump</t>
  </si>
  <si>
    <r>
      <t>RT</t>
    </r>
    <r>
      <rPr>
        <vertAlign val="subscript"/>
        <sz val="11"/>
        <rFont val="Calibri"/>
        <family val="2"/>
        <scheme val="minor"/>
      </rPr>
      <t>ls</t>
    </r>
  </si>
  <si>
    <t>Runtime in hours/day in low speed (ls) using dual speed (ds) pump</t>
  </si>
  <si>
    <r>
      <t>RT</t>
    </r>
    <r>
      <rPr>
        <vertAlign val="subscript"/>
        <sz val="11"/>
        <rFont val="Calibri"/>
        <family val="2"/>
        <scheme val="minor"/>
      </rPr>
      <t>hs</t>
    </r>
  </si>
  <si>
    <t>Runtime in hours/day in high speed (hs) using dual speed (ds) pump</t>
  </si>
  <si>
    <r>
      <t>GPM</t>
    </r>
    <r>
      <rPr>
        <vertAlign val="subscript"/>
        <sz val="11"/>
        <rFont val="Calibri"/>
        <family val="2"/>
        <scheme val="minor"/>
      </rPr>
      <t>ss</t>
    </r>
  </si>
  <si>
    <t>Gallons per minute using single speed (ss) pump</t>
  </si>
  <si>
    <r>
      <t>GPM</t>
    </r>
    <r>
      <rPr>
        <vertAlign val="subscript"/>
        <sz val="11"/>
        <rFont val="Calibri"/>
        <family val="2"/>
        <scheme val="minor"/>
      </rPr>
      <t>ls</t>
    </r>
  </si>
  <si>
    <t>Gallons per minute in low speed (ls) using dual speed (ds) pump</t>
  </si>
  <si>
    <r>
      <t>GPM</t>
    </r>
    <r>
      <rPr>
        <vertAlign val="subscript"/>
        <sz val="11"/>
        <rFont val="Calibri"/>
        <family val="2"/>
        <scheme val="minor"/>
      </rPr>
      <t>hs</t>
    </r>
  </si>
  <si>
    <t>Gallons per minute in high speed (ls) using dual speed (ds) pump</t>
  </si>
  <si>
    <t>Efss</t>
  </si>
  <si>
    <t>Energy factor (gallons/watt-hr) using single speed (ss) pump</t>
  </si>
  <si>
    <t>Efls</t>
  </si>
  <si>
    <t>Energy factor (gallons/watt-hr) in low speed (ls) using dual speed (ds) pump</t>
  </si>
  <si>
    <t>Efhs</t>
  </si>
  <si>
    <t>Energy factor (gallons/watt-hr) in high speed (hs) using dual speed (ds) pump</t>
  </si>
  <si>
    <t xml:space="preserve">PY16 Participant Survey </t>
  </si>
  <si>
    <t>Advanced Power Strips Tier 2  /  Advanced Control Stategies</t>
  </si>
  <si>
    <t>250600_2019_12_</t>
  </si>
  <si>
    <t>Advanced Tier 2 Power Strips  -  A</t>
  </si>
  <si>
    <t>Miscellaneous RES</t>
  </si>
  <si>
    <t>250650_2019_12_</t>
  </si>
  <si>
    <t>Advanced Tier 2 Power Strips -  B</t>
  </si>
  <si>
    <t>250700_2019_12_</t>
  </si>
  <si>
    <t>Advanced Tier 2 Power Strips -  C</t>
  </si>
  <si>
    <t>250750_2019_12_</t>
  </si>
  <si>
    <t>Advanced Tier 2 Power Strips -  D</t>
  </si>
  <si>
    <t>250800_2019_12_</t>
  </si>
  <si>
    <t>Advanced Tier 2 Power Strips -  E</t>
  </si>
  <si>
    <t>250850_2019_12_</t>
  </si>
  <si>
    <t>Advanced Tier 2 Power Strips -  F</t>
  </si>
  <si>
    <t>250900_2019_12_</t>
  </si>
  <si>
    <t>Advanced Tier 2 Power Strips -  G</t>
  </si>
  <si>
    <t>250950_2019_12_</t>
  </si>
  <si>
    <t>Advanced Tier 2 Power Strips -  H</t>
  </si>
  <si>
    <t>251000_2019_12_</t>
  </si>
  <si>
    <t>Advanced Tier 2 Power Strips -  Average</t>
  </si>
  <si>
    <t>*The actual full installation cost of the Tier 2 AV APS (including equipment and labor) should be used.</t>
  </si>
  <si>
    <t>* No update -  Measure not in PY 2017</t>
  </si>
  <si>
    <t>* No update -  Measure not in PY 2018</t>
  </si>
  <si>
    <t>Product Class</t>
  </si>
  <si>
    <t>ERP</t>
  </si>
  <si>
    <t>Baseline Energy AV</t>
  </si>
  <si>
    <t>Comments:</t>
  </si>
  <si>
    <t>E</t>
  </si>
  <si>
    <t>F</t>
  </si>
  <si>
    <t>G</t>
  </si>
  <si>
    <t>H</t>
  </si>
  <si>
    <t>ENERGY STAR Air Purifier</t>
  </si>
  <si>
    <t>251050_2019_12_</t>
  </si>
  <si>
    <t>ENERGY STAR Air Purifier/Cleaner</t>
  </si>
  <si>
    <r>
      <t>Eff</t>
    </r>
    <r>
      <rPr>
        <vertAlign val="subscript"/>
        <sz val="11"/>
        <rFont val="Calibri"/>
        <family val="2"/>
        <scheme val="minor"/>
      </rPr>
      <t>ES</t>
    </r>
    <r>
      <rPr>
        <sz val="11"/>
        <rFont val="Calibri"/>
        <family val="2"/>
        <scheme val="minor"/>
      </rPr>
      <t xml:space="preserve"> </t>
    </r>
  </si>
  <si>
    <t>CADR/Watt for ENERGY STAR (ES) unit</t>
  </si>
  <si>
    <t>Ameren Missouri PY18 EfficientProducts Database</t>
  </si>
  <si>
    <r>
      <t>Eff</t>
    </r>
    <r>
      <rPr>
        <vertAlign val="subscript"/>
        <sz val="11"/>
        <rFont val="Calibri"/>
        <family val="2"/>
        <scheme val="minor"/>
      </rPr>
      <t>BL</t>
    </r>
  </si>
  <si>
    <t xml:space="preserve"> CADR/Watt for baseline (BL) unit</t>
  </si>
  <si>
    <t>ENERGY STAR Appliance Calculator as of January 2016</t>
  </si>
  <si>
    <r>
      <t>SB</t>
    </r>
    <r>
      <rPr>
        <vertAlign val="subscript"/>
        <sz val="11"/>
        <rFont val="Calibri"/>
        <family val="2"/>
        <scheme val="minor"/>
      </rPr>
      <t xml:space="preserve">ES </t>
    </r>
  </si>
  <si>
    <t>Standby for ENERGY STAR</t>
  </si>
  <si>
    <r>
      <t>SB</t>
    </r>
    <r>
      <rPr>
        <vertAlign val="subscript"/>
        <sz val="11"/>
        <rFont val="Calibri"/>
        <family val="2"/>
        <scheme val="minor"/>
      </rPr>
      <t>BL</t>
    </r>
    <r>
      <rPr>
        <sz val="11"/>
        <rFont val="Calibri"/>
        <family val="2"/>
        <scheme val="minor"/>
      </rPr>
      <t xml:space="preserve"> </t>
    </r>
  </si>
  <si>
    <t xml:space="preserve">Standby for baseline  </t>
  </si>
  <si>
    <t>CADR</t>
  </si>
  <si>
    <t xml:space="preserve"> Clean air delivery rate (CFM) for dust </t>
  </si>
  <si>
    <r>
      <t>Hr</t>
    </r>
    <r>
      <rPr>
        <vertAlign val="subscript"/>
        <sz val="11"/>
        <rFont val="Calibri"/>
        <family val="2"/>
        <scheme val="minor"/>
      </rPr>
      <t>oper</t>
    </r>
  </si>
  <si>
    <t xml:space="preserve"> Hours Per Day of Operation</t>
  </si>
  <si>
    <t>Days per Year</t>
  </si>
  <si>
    <t>*not used in this calculation</t>
  </si>
  <si>
    <t>ENERGY STAR Dehumidifier</t>
  </si>
  <si>
    <t>251100_2019_12_</t>
  </si>
  <si>
    <t>ENERGY STAR Annual kWh Limit</t>
  </si>
  <si>
    <t>Maximum allowed annual kWh in order to meet ENERGY STAR standards</t>
  </si>
  <si>
    <t>≤25 pints/day</t>
  </si>
  <si>
    <t>1.35 ≥ L/kWh</t>
  </si>
  <si>
    <t>Federal Standard Annual kWh Limit</t>
  </si>
  <si>
    <t>&gt; 25 to ≤35 pints/day</t>
  </si>
  <si>
    <t>&gt; 35 to ≤45 pints/day</t>
  </si>
  <si>
    <t>1.5 ≥ L/kWh</t>
  </si>
  <si>
    <t>&gt; 45 to ≤ 54 pints/day</t>
  </si>
  <si>
    <t>1.6 ≥ L/kWh</t>
  </si>
  <si>
    <t>&gt; 54 to ≤ 75 pints/day</t>
  </si>
  <si>
    <t>1.7 ≥ L/kWh</t>
  </si>
  <si>
    <t>&gt; 75 to ≤ 185 pints/day</t>
  </si>
  <si>
    <t>2.5 ≥ L/kWh</t>
  </si>
  <si>
    <t>Maximum allowed annual kWh in order to meet Federal standards</t>
  </si>
  <si>
    <t>2 ≥ L/kWh</t>
  </si>
  <si>
    <t>2.8 ≥ L/kWh</t>
  </si>
  <si>
    <t>Weighted Average Savings</t>
  </si>
  <si>
    <t xml:space="preserve">kWh difference between Federal and ENERGY STAR limits, weighted by the number of units in each prodcut class on the ENERGY STAR certified list. </t>
  </si>
  <si>
    <t>Energy Star Room AC</t>
  </si>
  <si>
    <t>251150_2019_12_</t>
  </si>
  <si>
    <t>251200_2019_12_</t>
  </si>
  <si>
    <t>Efficient Products Source</t>
  </si>
  <si>
    <t>Value Efficient Products</t>
  </si>
  <si>
    <t>SF Value</t>
  </si>
  <si>
    <t>Btu/hr</t>
  </si>
  <si>
    <t>PY18 Ameren Missouri tracking Database (average BTU)</t>
  </si>
  <si>
    <r>
      <t>EER</t>
    </r>
    <r>
      <rPr>
        <vertAlign val="subscript"/>
        <sz val="11"/>
        <rFont val="Calibri"/>
        <family val="2"/>
        <scheme val="minor"/>
      </rPr>
      <t>BASE</t>
    </r>
  </si>
  <si>
    <t>MO Statewide TRM</t>
  </si>
  <si>
    <r>
      <t>EER</t>
    </r>
    <r>
      <rPr>
        <vertAlign val="subscript"/>
        <sz val="11"/>
        <color theme="1"/>
        <rFont val="Calibri"/>
        <family val="2"/>
        <scheme val="minor"/>
      </rPr>
      <t>BASE</t>
    </r>
  </si>
  <si>
    <r>
      <t>EER</t>
    </r>
    <r>
      <rPr>
        <vertAlign val="subscript"/>
        <sz val="11"/>
        <rFont val="Calibri"/>
        <family val="2"/>
        <scheme val="minor"/>
      </rPr>
      <t>EFF</t>
    </r>
  </si>
  <si>
    <t xml:space="preserve">PY18 Ameren Missouri tracking Database </t>
  </si>
  <si>
    <r>
      <t>EER</t>
    </r>
    <r>
      <rPr>
        <vertAlign val="subscript"/>
        <sz val="11"/>
        <color theme="1"/>
        <rFont val="Calibri"/>
        <family val="2"/>
        <scheme val="minor"/>
      </rPr>
      <t>EFF</t>
    </r>
  </si>
  <si>
    <r>
      <t>EER</t>
    </r>
    <r>
      <rPr>
        <vertAlign val="subscript"/>
        <sz val="11"/>
        <rFont val="Calibri"/>
        <family val="2"/>
        <scheme val="minor"/>
      </rPr>
      <t>existing</t>
    </r>
  </si>
  <si>
    <t>N/A</t>
  </si>
  <si>
    <t>EERexisting</t>
  </si>
  <si>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</si>
  <si>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</si>
  <si>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</si>
  <si>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</si>
  <si>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</si>
  <si>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</si>
  <si>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</si>
  <si>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n/a</t>
  </si>
  <si>
    <t xml:space="preserve">Ameren Missouri PY18 Participant Survey </t>
  </si>
  <si>
    <t>RESIDENTIAL ENERGY EFFICIENCY KITS</t>
  </si>
  <si>
    <t>Dirty Filter Alarm</t>
  </si>
  <si>
    <t>Heating kWh</t>
  </si>
  <si>
    <t>Cooling kWh</t>
  </si>
  <si>
    <t>300050_2019_12_</t>
  </si>
  <si>
    <t>School</t>
  </si>
  <si>
    <t>Dirty Filter Alarm_SF</t>
  </si>
  <si>
    <t>HVAC RES</t>
  </si>
  <si>
    <t>300100_2019_12_</t>
  </si>
  <si>
    <t>Dirty Filter Alarm_MF</t>
  </si>
  <si>
    <t>300101_2019_12_</t>
  </si>
  <si>
    <t>%Heating</t>
  </si>
  <si>
    <t>Dirty Filter Alarm_SF:School Kits</t>
  </si>
  <si>
    <t>Ameren Missouri EE Kits EM&amp;V PY2018</t>
  </si>
  <si>
    <t>Dirty Filter Alarm_MF: Kits</t>
  </si>
  <si>
    <t>MO - Evaluation</t>
  </si>
  <si>
    <r>
      <t>EFLH</t>
    </r>
    <r>
      <rPr>
        <i/>
        <vertAlign val="subscript"/>
        <sz val="11"/>
        <rFont val="Calibri Light"/>
        <family val="2"/>
        <scheme val="major"/>
      </rPr>
      <t>heat</t>
    </r>
  </si>
  <si>
    <t>Ameren Missouri HVAC PY16 Metering Study</t>
  </si>
  <si>
    <t>MFc (MF comprehensive envelope)</t>
  </si>
  <si>
    <t>From Evaluation - Opinion Dynamics review PY19</t>
  </si>
  <si>
    <t>EI</t>
  </si>
  <si>
    <t xml:space="preserve">Public Utilities Commission. State of Pennsylvania Technical Reference Manual. pp 73. 2016. Available online: http://www.puc.pa.gov/pcdocs/1370278.docx </t>
  </si>
  <si>
    <t>Utility Adjustment</t>
  </si>
  <si>
    <t>Ameren Missouri EE Kits PY18 Program Data</t>
  </si>
  <si>
    <t>Ameren Missouri EE Kits School Survey Results PY2018</t>
  </si>
  <si>
    <r>
      <t>EFLH</t>
    </r>
    <r>
      <rPr>
        <i/>
        <vertAlign val="subscript"/>
        <sz val="11"/>
        <rFont val="Calibri Light"/>
        <family val="2"/>
        <scheme val="major"/>
      </rPr>
      <t>cool</t>
    </r>
  </si>
  <si>
    <t>Ameren Missouri HVAC PY2013 Metering Study</t>
  </si>
  <si>
    <t xml:space="preserve">EUL </t>
  </si>
  <si>
    <t>Incremental Cost ($)</t>
  </si>
  <si>
    <t>P</t>
  </si>
  <si>
    <t>Persistence rate of reinstalling alarm after filter change</t>
  </si>
  <si>
    <t>None</t>
  </si>
  <si>
    <t xml:space="preserve">LEDs (per bulb) </t>
  </si>
  <si>
    <t>300150_2019_12_</t>
  </si>
  <si>
    <t>300200_2019_12_</t>
  </si>
  <si>
    <t>300250_2019_12_</t>
  </si>
  <si>
    <t>300300_2019_12_</t>
  </si>
  <si>
    <t>300350_2019_12_</t>
  </si>
  <si>
    <t>*Costs from IL TRM.  5.5.8</t>
  </si>
  <si>
    <t>Measure Category</t>
  </si>
  <si>
    <t>School Value</t>
  </si>
  <si>
    <t>School Source</t>
  </si>
  <si>
    <t>Multifamily Value</t>
  </si>
  <si>
    <t>Multifamily Source</t>
  </si>
  <si>
    <r>
      <t>Watts</t>
    </r>
    <r>
      <rPr>
        <vertAlign val="subscript"/>
        <sz val="11"/>
        <rFont val="Calibri"/>
        <family val="2"/>
        <scheme val="minor"/>
      </rPr>
      <t>Base</t>
    </r>
  </si>
  <si>
    <t>Baseline Wattage</t>
  </si>
  <si>
    <r>
      <t>Watts</t>
    </r>
    <r>
      <rPr>
        <vertAlign val="subscript"/>
        <sz val="11"/>
        <color theme="1"/>
        <rFont val="Calibri"/>
        <family val="2"/>
        <scheme val="minor"/>
      </rPr>
      <t>Base</t>
    </r>
  </si>
  <si>
    <t>The lumen-equivalent halogen wattage for LEDs - Ameren Missouri EE KITS PY2018</t>
  </si>
  <si>
    <t>The lumen-equivalent Incandescent wattage for LEDs</t>
  </si>
  <si>
    <t>The lumen-equivalent CFL wattage for LEDs</t>
  </si>
  <si>
    <r>
      <t>Watts</t>
    </r>
    <r>
      <rPr>
        <vertAlign val="subscript"/>
        <sz val="11"/>
        <rFont val="Calibri"/>
        <family val="2"/>
        <scheme val="minor"/>
      </rPr>
      <t>EE</t>
    </r>
  </si>
  <si>
    <t>Wattage of new LED installed</t>
  </si>
  <si>
    <r>
      <t>Watts</t>
    </r>
    <r>
      <rPr>
        <vertAlign val="subscript"/>
        <sz val="11"/>
        <color theme="1"/>
        <rFont val="Calibri"/>
        <family val="2"/>
        <scheme val="minor"/>
      </rPr>
      <t>EE</t>
    </r>
  </si>
  <si>
    <t>9-watt ENERGY STAR LEDs with 800 lumen output.</t>
  </si>
  <si>
    <r>
      <t>Hours</t>
    </r>
    <r>
      <rPr>
        <vertAlign val="subscript"/>
        <sz val="11"/>
        <rFont val="Calibri"/>
        <family val="2"/>
        <scheme val="minor"/>
      </rPr>
      <t>RES</t>
    </r>
  </si>
  <si>
    <t>The average hours of use per day</t>
  </si>
  <si>
    <t>2017 Ameren MO Lighting study</t>
  </si>
  <si>
    <r>
      <t>Hours</t>
    </r>
    <r>
      <rPr>
        <vertAlign val="subscript"/>
        <sz val="11"/>
        <color theme="1"/>
        <rFont val="Calibri"/>
        <family val="2"/>
        <scheme val="minor"/>
      </rPr>
      <t>RES</t>
    </r>
  </si>
  <si>
    <t>Conversion Factor (day/yr)</t>
  </si>
  <si>
    <t>Conversion Factor (Wh/kWh)</t>
  </si>
  <si>
    <t>WHF</t>
  </si>
  <si>
    <t>WHF to account for interactive effects</t>
  </si>
  <si>
    <t>Electric Saturation</t>
  </si>
  <si>
    <t>% Homes with Electric Lighting</t>
  </si>
  <si>
    <t>Electric only measure</t>
  </si>
  <si>
    <t xml:space="preserve">Electric Only Measure </t>
  </si>
  <si>
    <t>Utility Adjustment (1-Leakage)</t>
  </si>
  <si>
    <t>% Homes in Service Territory</t>
  </si>
  <si>
    <t xml:space="preserve">Ameren Missouir  EE Kits PY18 School Survey </t>
  </si>
  <si>
    <t>Assumption based on program design</t>
  </si>
  <si>
    <t>Ameren Missouir  EE School Kits Evaluation PY2018 - UMP</t>
  </si>
  <si>
    <t>Ameren Missouir  EE MF Kits Evaluation PY2018</t>
  </si>
  <si>
    <t>Kit Faucet Aerators (Kitchen)</t>
  </si>
  <si>
    <t>EPG_electric</t>
  </si>
  <si>
    <t>300450_2019_12_</t>
  </si>
  <si>
    <t>Kit Faucet Aerator (Kitchen)</t>
  </si>
  <si>
    <t>300500_2019_12_</t>
  </si>
  <si>
    <t>%Electric DHW</t>
  </si>
  <si>
    <t>% Homes with Electric Water Heating</t>
  </si>
  <si>
    <t xml:space="preserve">Ameren Missouiri PY18 EE Kits School Survey </t>
  </si>
  <si>
    <t>Ameren Missouri  EE Kits PY18 Program Data</t>
  </si>
  <si>
    <t>GPM_base</t>
  </si>
  <si>
    <t>Rated flowrate of the baseline faucet</t>
  </si>
  <si>
    <t>Federal rated maximum flow rate for faucets (10CFR430.32 (p) (DOE 1998).</t>
  </si>
  <si>
    <t>L_base</t>
  </si>
  <si>
    <t>The average length of baseline faucet use per day (min/day/person)</t>
  </si>
  <si>
    <t xml:space="preserve">Cadmus and Opinion Dynamics Evaluation Team. Showerhead and Faucet Aerator Meter Study. Memorandum prepared for Michigan Evaluation Working Group. pp 10. 2013. </t>
  </si>
  <si>
    <t>PY11 MFIQ Metering Study</t>
  </si>
  <si>
    <t>GPM_low</t>
  </si>
  <si>
    <t>Rated flowrate of the low flow faucet</t>
  </si>
  <si>
    <t>L_low</t>
  </si>
  <si>
    <t>The average length of low flow faucet use per day (min/day/person)</t>
  </si>
  <si>
    <t>The number of people using faucet aerators (people/household)</t>
  </si>
  <si>
    <t>PY18 Energy Efficiency Kits Property Manager Survey results (I1-I2)</t>
  </si>
  <si>
    <t>DF</t>
  </si>
  <si>
    <t xml:space="preserve">Drain Factor </t>
  </si>
  <si>
    <t>Illinois Statewide Technical Reference Manual for Energy Efficiency Version 5.0. pp. 175. 2016. Available online: http://ilsagfiles.org/SAG_files/Technical_Reference_Manual/Version_5/Final/IL-TRM_Version_5.0_dated_February-11-2016_Final_Compiled_Volumes_1-4.pdf</t>
  </si>
  <si>
    <t>FPH</t>
  </si>
  <si>
    <t>The number of used faucets per home</t>
  </si>
  <si>
    <t>The water density (lb/gal)</t>
  </si>
  <si>
    <t>Density (lb/gal)</t>
  </si>
  <si>
    <t>The specific heat of water (Btu/lb-oF)</t>
  </si>
  <si>
    <t>Specific Heat of Water (Btu/lb-°F)</t>
  </si>
  <si>
    <t>WaterTemp</t>
  </si>
  <si>
    <t>The average water temperature out of the faucet (oF)</t>
  </si>
  <si>
    <t>Illinois Statewide Technical Reference Manual for Energy Efficiency Version 5.0. pp. 178. 2016. Available online: http://ilsagfiles.org/SAG_files/Technical_Reference_Manual/Version_5/Final/IL-TRM_Version_5.0_dated_February-11-2016_Final_Compiled_Volumes_1-4.pdf</t>
  </si>
  <si>
    <t>SupplyTemp</t>
  </si>
  <si>
    <t>The average inlet water temperature (oF)</t>
  </si>
  <si>
    <t>Ameren Missouri 2012 Technical Resource Manual. Appendix A. pp. 43. Available online: https://www.efis.psc.mo.gov/mpsc/commoncomponents/viewdocument.asp?DocId=935658483</t>
  </si>
  <si>
    <t>RE_electric</t>
  </si>
  <si>
    <t>The water heater’s recovery efficiency</t>
  </si>
  <si>
    <t>National Renewable Energy Laboratory, Building America Research. Recovery efficiency for electric hot water heater. Benchmark definition, pp. 12. 2009. Available online: http://www.nrel.gov/docs/fy10osti/47246.pdf</t>
  </si>
  <si>
    <t>The conversion rate from Btu to kWh (Btu/kWh)</t>
  </si>
  <si>
    <t>Kit Faucet Aerators (Bathroom)</t>
  </si>
  <si>
    <t>300550_2019_12_</t>
  </si>
  <si>
    <t>Kit Faucet Aerator (Bathroom)</t>
  </si>
  <si>
    <t>300600_2019_12_</t>
  </si>
  <si>
    <t>Cadmus and Opinion Dynamics Evaluation Team. Showerhead and Faucet Aerator Meter Study. Memorandum prepared for Michigan Evaluation Working Group. 2013. pp. 10.</t>
  </si>
  <si>
    <t>Ameren Missouri  EE Kits PY18 Property Manager Survey results (I1-I2)</t>
  </si>
  <si>
    <t>Ameren Missouri  EE Kits PY18 Property Manager Application data</t>
  </si>
  <si>
    <t xml:space="preserve">Low Flow Showerheads </t>
  </si>
  <si>
    <t>300650_2019_12_</t>
  </si>
  <si>
    <t>Low Flow Showerheads</t>
  </si>
  <si>
    <t>300700_2019_12_</t>
  </si>
  <si>
    <t xml:space="preserve">Ameren Missouiri PY18 EE Kits Evaluation </t>
  </si>
  <si>
    <t>Rated flowrate of the baseline showerhead</t>
  </si>
  <si>
    <t>Illinois Statewide Technical Reference Manual for Energy Efficiency Version 5.0. pp. 184. 2016. Available Online: http://ilsagfiles.org/SAG_files/Technical_Reference
_Manual/Version_5/Final/IL-TRM_Version_5.0_dated_February-11-2016_Final_Compiled_Volumes_1-4.pdf</t>
  </si>
  <si>
    <t>Ameren Missouiri PY18 EE Kits Evaluation  (depicted only the delta value .85)</t>
  </si>
  <si>
    <t>The average shower length  with baseline showerhead(min/shower)</t>
  </si>
  <si>
    <t>Cadmus and Opinion Dynamics Evaluation Team. Showerhead and Faucet Aerator Meter Study. Memorandum prepared for Michigan Evaluation Working Group. pp 10. 2013. </t>
  </si>
  <si>
    <t>Rated flowrate of the low flow showerhead</t>
  </si>
  <si>
    <t>The average shower length with low flow showerhead (min/shower)</t>
  </si>
  <si>
    <t>The number of people taking showers (ppl/household)</t>
  </si>
  <si>
    <t>SPDC</t>
  </si>
  <si>
    <t>The number of showers per day, per person (shower/day-ppl)</t>
  </si>
  <si>
    <t>Cadmus and Opinion Dynamics Evaluation Team. Showerhead and Faucet Aerator Meter Study. Memorandum prepared for Michigan Evaluation Working Group. pp 11. 2013. </t>
  </si>
  <si>
    <t>The number of days per year (day/yr.)</t>
  </si>
  <si>
    <t>SPH</t>
  </si>
  <si>
    <t>The number of showerheads used per home</t>
  </si>
  <si>
    <t>ShowerTemp</t>
  </si>
  <si>
    <t>The average water temperature at the showerhead (oF)</t>
  </si>
  <si>
    <t>Illinois Statewide Technical Reference Manual for Energy Efficiency Version 5.0. 2016. pp 103. Available Online: http://ilsagfiles.org/SAG_files/Technical_Reference_Manual/Version_5/Final/IL-TRM_Version_5.0_dated_February-11-2016_Final_Compiled_Volumes_1-4.pdf</t>
  </si>
  <si>
    <t>Pipe Insulation</t>
  </si>
  <si>
    <t>300750_2019_12_</t>
  </si>
  <si>
    <t>per foot</t>
  </si>
  <si>
    <t>300800_2019_12_</t>
  </si>
  <si>
    <r>
      <t>C</t>
    </r>
    <r>
      <rPr>
        <vertAlign val="subscript"/>
        <sz val="11"/>
        <rFont val="Calibri"/>
        <family val="2"/>
        <scheme val="minor"/>
      </rPr>
      <t>Base</t>
    </r>
  </si>
  <si>
    <t>Circumference (feet) of uninsulated pipe with 0.75 inch diameter</t>
  </si>
  <si>
    <t>Updated for .75 inch Pipe</t>
  </si>
  <si>
    <r>
      <t>C</t>
    </r>
    <r>
      <rPr>
        <vertAlign val="subscript"/>
        <sz val="11"/>
        <color theme="1"/>
        <rFont val="Calibri"/>
        <family val="2"/>
        <scheme val="minor"/>
      </rPr>
      <t>Base</t>
    </r>
  </si>
  <si>
    <r>
      <t>R</t>
    </r>
    <r>
      <rPr>
        <vertAlign val="subscript"/>
        <sz val="11"/>
        <rFont val="Calibri"/>
        <family val="2"/>
        <scheme val="minor"/>
      </rPr>
      <t>Base</t>
    </r>
  </si>
  <si>
    <r>
      <t>Thermal resistance coefficient (hr-°F-ft</t>
    </r>
    <r>
      <rPr>
        <vertAlign val="superscript"/>
        <sz val="11"/>
        <rFont val="Calibri"/>
        <family val="2"/>
        <scheme val="minor"/>
      </rPr>
      <t>2</t>
    </r>
    <r>
      <rPr>
        <sz val="11"/>
        <rFont val="Calibri"/>
        <family val="2"/>
        <scheme val="minor"/>
      </rPr>
      <t>)/Btu) of uninsulated pipe</t>
    </r>
  </si>
  <si>
    <t>Division of Energy. State of Missouri Technical Reference Manual. pp 71. 2017. energy.mo.gov/about/trm</t>
  </si>
  <si>
    <r>
      <t>R</t>
    </r>
    <r>
      <rPr>
        <vertAlign val="subscript"/>
        <sz val="11"/>
        <color theme="1"/>
        <rFont val="Calibri"/>
        <family val="2"/>
        <scheme val="minor"/>
      </rPr>
      <t>Base</t>
    </r>
  </si>
  <si>
    <r>
      <t>C</t>
    </r>
    <r>
      <rPr>
        <vertAlign val="subscript"/>
        <sz val="11"/>
        <rFont val="Calibri"/>
        <family val="2"/>
        <scheme val="minor"/>
      </rPr>
      <t>EE</t>
    </r>
  </si>
  <si>
    <t>Circumference (ft) of insulated pipe = diameter (in) * π/12</t>
  </si>
  <si>
    <t>Division of Energy. State of Missouri Technical Reference Manual. pp 71. 2017. energy.mo.gov/about/trm (assuming R-4 wrap)</t>
  </si>
  <si>
    <t xml:space="preserve">Circumference increases due to installation of pipe insulation is not accounted for in Community Saves EM&amp;V.  The statewide TRM does account for this.  Franklin Energy recommends factoring the circumference increase into calculations.  Calations in this workbook do factor in the circumference increase. </t>
  </si>
  <si>
    <r>
      <t>C</t>
    </r>
    <r>
      <rPr>
        <vertAlign val="subscript"/>
        <sz val="11"/>
        <color theme="1"/>
        <rFont val="Calibri"/>
        <family val="2"/>
        <scheme val="minor"/>
      </rPr>
      <t>EE</t>
    </r>
  </si>
  <si>
    <r>
      <t>R</t>
    </r>
    <r>
      <rPr>
        <vertAlign val="subscript"/>
        <sz val="11"/>
        <rFont val="Calibri"/>
        <family val="2"/>
        <scheme val="minor"/>
      </rPr>
      <t>EE</t>
    </r>
  </si>
  <si>
    <t>Thermal resistance coefficient (hr-°F-ft2)/Btu) of insulated pipe</t>
  </si>
  <si>
    <t>Based on EM&amp;V, Franklin Energy assumed insulation provided in kits has an Ree value of 5.  Statewide defaul Ree is 5.</t>
  </si>
  <si>
    <r>
      <t>R</t>
    </r>
    <r>
      <rPr>
        <vertAlign val="subscript"/>
        <sz val="11"/>
        <color theme="1"/>
        <rFont val="Calibri"/>
        <family val="2"/>
        <scheme val="minor"/>
      </rPr>
      <t>EE</t>
    </r>
  </si>
  <si>
    <t>L</t>
  </si>
  <si>
    <t>Length of pipe from water heating source covered by Pipe Insulation (ft)</t>
  </si>
  <si>
    <t>Per installed foot</t>
  </si>
  <si>
    <t>DT</t>
  </si>
  <si>
    <t>Average temperature difference between supplied hot water and outside air temperatures (°F)</t>
  </si>
  <si>
    <t>Revised to match EM&amp;V</t>
  </si>
  <si>
    <r>
      <t>D</t>
    </r>
    <r>
      <rPr>
        <sz val="11"/>
        <color theme="1"/>
        <rFont val="Calibri"/>
        <family val="2"/>
        <scheme val="minor"/>
      </rPr>
      <t>T</t>
    </r>
  </si>
  <si>
    <t>Hours per year</t>
  </si>
  <si>
    <r>
      <t>ȠDHW</t>
    </r>
    <r>
      <rPr>
        <vertAlign val="subscript"/>
        <sz val="11"/>
        <rFont val="Calibri"/>
        <family val="2"/>
        <scheme val="minor"/>
      </rPr>
      <t>Elec</t>
    </r>
  </si>
  <si>
    <t>Recovery Efficiency of electric hot water heater</t>
  </si>
  <si>
    <r>
      <t>ȠDHW</t>
    </r>
    <r>
      <rPr>
        <vertAlign val="subscript"/>
        <sz val="11"/>
        <color theme="1"/>
        <rFont val="Calibri"/>
        <family val="2"/>
        <scheme val="minor"/>
      </rPr>
      <t>Elec</t>
    </r>
  </si>
  <si>
    <t>Conversion factor from Btu to kWh</t>
  </si>
  <si>
    <t>*Electric Saturation</t>
  </si>
  <si>
    <t xml:space="preserve">PY18 Energy Efficiency Kits School Survey Results </t>
  </si>
  <si>
    <t>PY18 Program Data</t>
  </si>
  <si>
    <t xml:space="preserve">Based on Ameren MEEIA 3 V1 file. </t>
  </si>
  <si>
    <t>Pipe diameter</t>
  </si>
  <si>
    <t>Diameter of uninsulated pipe, weighted average of  1/2" and 3/4"</t>
  </si>
  <si>
    <t>Pipe Wrap</t>
  </si>
  <si>
    <t>Pipe wrap width</t>
  </si>
  <si>
    <t>Pipe wrap width/thickness</t>
  </si>
  <si>
    <t>Advanced Power Strips Tier 1  / Load Sensing</t>
  </si>
  <si>
    <t>300850_2019_12_</t>
  </si>
  <si>
    <t>Unknown</t>
  </si>
  <si>
    <t>Advanced Tier 1 Power Strips -TOS/NC/DI - Home Office</t>
  </si>
  <si>
    <t>300900_2019_12_</t>
  </si>
  <si>
    <t>Advanced Tier 1 Power Strips -Kits - Home Office</t>
  </si>
  <si>
    <t>300950_2019_12_</t>
  </si>
  <si>
    <t>Advanced Tier 1 Power Strips -TOS/NC/DI - Home Entertainment</t>
  </si>
  <si>
    <t>301000_2019_12_</t>
  </si>
  <si>
    <t>Advanced Tier 1 Power Strips -Kits - Home Entertainment</t>
  </si>
  <si>
    <t>301050_2019_12_</t>
  </si>
  <si>
    <t>Advanced Tier 1 Power Strips -TOS/NC/DI - Unknown Location</t>
  </si>
  <si>
    <t>301100_2019_12_</t>
  </si>
  <si>
    <t>Advanced Tier 1 Power Strips -Kits - Unknown Location</t>
  </si>
  <si>
    <t>Office</t>
  </si>
  <si>
    <t>Entertainment</t>
  </si>
  <si>
    <t>Location Unknown</t>
  </si>
  <si>
    <t>TOS / NC / DI</t>
  </si>
  <si>
    <t>KITS</t>
  </si>
  <si>
    <t>KWh</t>
  </si>
  <si>
    <t>kWh Installation by Location</t>
  </si>
  <si>
    <t>Weighting Entertainment</t>
  </si>
  <si>
    <t>% Entertainment</t>
  </si>
  <si>
    <t>Weighting Office</t>
  </si>
  <si>
    <t>% OFFICE</t>
  </si>
  <si>
    <t>in service rate</t>
  </si>
  <si>
    <t>RESIDENTIAL HVAC</t>
  </si>
  <si>
    <t>ECM/ Blower Motor</t>
  </si>
  <si>
    <t>Auto kWh</t>
  </si>
  <si>
    <t>Continous kWh</t>
  </si>
  <si>
    <t>350050_2019_12_</t>
  </si>
  <si>
    <t>ECM Auto Fan ROF-SF</t>
  </si>
  <si>
    <t>350100_2019_12_</t>
  </si>
  <si>
    <t>ECM Auto Fan ROF-MF</t>
  </si>
  <si>
    <t>350150_2019_12_</t>
  </si>
  <si>
    <t>ECM Auto Fan ER1 - SF</t>
  </si>
  <si>
    <t>ECM Auto Fan ER2 - SF</t>
  </si>
  <si>
    <t>350175_2019_12_</t>
  </si>
  <si>
    <t>ECM Auto Fan ER1 - MF</t>
  </si>
  <si>
    <t>ECM Auto Fan ER2 - MF</t>
  </si>
  <si>
    <t>350200_2019_12_</t>
  </si>
  <si>
    <t>ECM Continuous Fan ROF- SF</t>
  </si>
  <si>
    <t>350250_2019_12_</t>
  </si>
  <si>
    <t>ECM Continuous Fan ROF- MF</t>
  </si>
  <si>
    <t>350300_2019_12_</t>
  </si>
  <si>
    <t>ECM Continuous Fan ER1 - SF</t>
  </si>
  <si>
    <t>ECM Continuous Fan ER2 - SF</t>
  </si>
  <si>
    <t>350350_2019_12_</t>
  </si>
  <si>
    <t>ECM Continuous Fan ER1 - MF</t>
  </si>
  <si>
    <t>ECM Continuous Fan ER2 - MF</t>
  </si>
  <si>
    <t>% with New ASHP</t>
  </si>
  <si>
    <t>% of furnaces with new ASHP</t>
  </si>
  <si>
    <t>16% of furnaces used w/ASHP</t>
  </si>
  <si>
    <t>400 kWh/yr</t>
  </si>
  <si>
    <t>Wisconsin Heating Savings</t>
  </si>
  <si>
    <t>Ameren Missouri HVAC Evaluation PY17' Page 41</t>
  </si>
  <si>
    <r>
      <t xml:space="preserve">EFLH </t>
    </r>
    <r>
      <rPr>
        <i/>
        <vertAlign val="subscript"/>
        <sz val="11"/>
        <rFont val="Calibri"/>
        <family val="2"/>
        <scheme val="minor"/>
      </rPr>
      <t>heating</t>
    </r>
  </si>
  <si>
    <t>Effective full load heating hours (in St. Louis)</t>
  </si>
  <si>
    <r>
      <t xml:space="preserve">WI_EFLH </t>
    </r>
    <r>
      <rPr>
        <i/>
        <vertAlign val="subscript"/>
        <sz val="11"/>
        <rFont val="Calibri"/>
        <family val="2"/>
        <scheme val="minor"/>
      </rPr>
      <t>heating</t>
    </r>
  </si>
  <si>
    <t>Wisconsin effective full load heating hours</t>
  </si>
  <si>
    <t>Ameren Missouri HVAC EM&amp;V PY2018</t>
  </si>
  <si>
    <t>% with New Central Cooling</t>
  </si>
  <si>
    <t>% of furnaces with new central cooling</t>
  </si>
  <si>
    <t>70 kWh/yr</t>
  </si>
  <si>
    <t>Wisconsin Cooling Savings</t>
  </si>
  <si>
    <t>Ameren Missouri HVAC EM&amp;V PY2017 Page 41</t>
  </si>
  <si>
    <r>
      <t xml:space="preserve">EFLH </t>
    </r>
    <r>
      <rPr>
        <i/>
        <vertAlign val="subscript"/>
        <sz val="11"/>
        <rFont val="Calibri"/>
        <family val="2"/>
        <scheme val="minor"/>
      </rPr>
      <t>cooling</t>
    </r>
  </si>
  <si>
    <t>Effective full load cooling hours (in St. Louis)</t>
  </si>
  <si>
    <r>
      <t xml:space="preserve">WI_EFLH </t>
    </r>
    <r>
      <rPr>
        <i/>
        <vertAlign val="subscript"/>
        <sz val="11"/>
        <rFont val="Calibri"/>
        <family val="2"/>
        <scheme val="minor"/>
      </rPr>
      <t>cooling</t>
    </r>
  </si>
  <si>
    <t>Wisconsin effective full load cooling hours</t>
  </si>
  <si>
    <t>25 kWh/yr</t>
  </si>
  <si>
    <t>Cooling Savings - All Systems</t>
  </si>
  <si>
    <t>2960 kWh/yr</t>
  </si>
  <si>
    <t>Wisconsin Circulation Savings</t>
  </si>
  <si>
    <t>RT</t>
  </si>
  <si>
    <t>Percent additional run time factor</t>
  </si>
  <si>
    <t>Auto Fan</t>
  </si>
  <si>
    <t>Adjusted to match EM&amp;V Kwh</t>
  </si>
  <si>
    <t>Continuous Fan</t>
  </si>
  <si>
    <t>30 kWh/yr</t>
  </si>
  <si>
    <t>Standby Losses</t>
  </si>
  <si>
    <t>65% MF value is not applicable in this case, because it should be based upon pressure drop in the system and many of the components will have the same pressure drop, filters, coils, grills, duct length, etc.</t>
  </si>
  <si>
    <t>End Useful Life</t>
  </si>
  <si>
    <t>Full Cost of Installation</t>
  </si>
  <si>
    <t>ER install cost</t>
  </si>
  <si>
    <t>ROF install cost</t>
  </si>
  <si>
    <t>https://energy.mo.gov/sites/energy/files/evaluation-of-retrofit-variable-speed-furnace-fan-motors.pdf</t>
  </si>
  <si>
    <t>Inflation Rate</t>
  </si>
  <si>
    <t>Discount Rate</t>
  </si>
  <si>
    <t>#Years</t>
  </si>
  <si>
    <t>Central Air Conditioners</t>
  </si>
  <si>
    <t xml:space="preserve">*MFc = Multifamily Comprehensive Envelope,  CompE = Comprehensive Envelope </t>
  </si>
  <si>
    <t>Units (tons/measure)</t>
  </si>
  <si>
    <t>350400_2019_12_</t>
  </si>
  <si>
    <t>CAC - SEER 14 ER1: SF</t>
  </si>
  <si>
    <t>CAC - SEER 14 ER2: SF</t>
  </si>
  <si>
    <t>Cooling RES ER2</t>
  </si>
  <si>
    <t>350450_2019_12_</t>
  </si>
  <si>
    <t>CAC - SEER 14 ROF: SF</t>
  </si>
  <si>
    <t>350500_2019_12_</t>
  </si>
  <si>
    <t>CAC - SEER 14 ER1: MF</t>
  </si>
  <si>
    <t>CAC - SEER 14 ER2: MF</t>
  </si>
  <si>
    <t>350501_2019_12_</t>
  </si>
  <si>
    <t>350550_2019_12_</t>
  </si>
  <si>
    <t>CAC - SEER 14 ROF: MF</t>
  </si>
  <si>
    <t>350551_2019_12_</t>
  </si>
  <si>
    <t>350600_2019_12_</t>
  </si>
  <si>
    <t>CAC - SEER 15 ER1: SF</t>
  </si>
  <si>
    <t>CAC - SEER 15 ER2: SF</t>
  </si>
  <si>
    <t>350650_2019_12_</t>
  </si>
  <si>
    <t>CAC - SEER 15 ROF: SF</t>
  </si>
  <si>
    <t>350700_2019_12_</t>
  </si>
  <si>
    <t>CAC - SEER 15 ER1: MF</t>
  </si>
  <si>
    <t>CAC - SEER 15 ER2: MF</t>
  </si>
  <si>
    <t>350701_2019_12_</t>
  </si>
  <si>
    <t>350750_2019_12_</t>
  </si>
  <si>
    <t>CAC - SEER 15 ROF: MF</t>
  </si>
  <si>
    <t>350751_2019_12_</t>
  </si>
  <si>
    <t>350800_2019_12_</t>
  </si>
  <si>
    <t>CAC - SEER 16 ER1: SF</t>
  </si>
  <si>
    <t>CAC - SEER 16 ER2: SF</t>
  </si>
  <si>
    <t>350850_2019_12_</t>
  </si>
  <si>
    <t>CAC - SEER 16 ROF: SF</t>
  </si>
  <si>
    <t>350900_2019_12_</t>
  </si>
  <si>
    <t>CAC - SEER 16 ER1: MF</t>
  </si>
  <si>
    <t>CAC - SEER 16 ER2: MF</t>
  </si>
  <si>
    <t>350901_2019_12_</t>
  </si>
  <si>
    <t>350950_2019_12_</t>
  </si>
  <si>
    <t>CAC - SEER 16 ROF: MF</t>
  </si>
  <si>
    <t>350951_2019_12_</t>
  </si>
  <si>
    <t>351000_2019_12_</t>
  </si>
  <si>
    <t>351050_2019_12_</t>
  </si>
  <si>
    <t>351100_2019_12_</t>
  </si>
  <si>
    <t>351101_2019_12_</t>
  </si>
  <si>
    <t>351150_2019_12_</t>
  </si>
  <si>
    <t>351151_2019_12_</t>
  </si>
  <si>
    <t xml:space="preserve">ER1 represents 1st 6 years of Early Replacement. </t>
  </si>
  <si>
    <t>ER2 represents the last 12 years of Early Replacement.</t>
  </si>
  <si>
    <t>CAC</t>
  </si>
  <si>
    <t xml:space="preserve">Ton(s) </t>
  </si>
  <si>
    <t>FLHcool</t>
  </si>
  <si>
    <t>Full load cooling hours</t>
  </si>
  <si>
    <t>SEER 14</t>
  </si>
  <si>
    <t>IL TRM 8.0</t>
  </si>
  <si>
    <t>SEER 15</t>
  </si>
  <si>
    <t>SEER 16</t>
  </si>
  <si>
    <t>SEER 17</t>
  </si>
  <si>
    <t>SEER 18</t>
  </si>
  <si>
    <t>SEER 19</t>
  </si>
  <si>
    <t>SEER 20</t>
  </si>
  <si>
    <t>SEER 21</t>
  </si>
  <si>
    <t>Average</t>
  </si>
  <si>
    <t>*Hypothetical values calculated based on a 3 ton system.  Actual values based on system size and SEER combinations.</t>
  </si>
  <si>
    <t>Full Cost of Installation (3 ton unit)</t>
  </si>
  <si>
    <t>ER</t>
  </si>
  <si>
    <t>ROF</t>
  </si>
  <si>
    <t>Install cost</t>
  </si>
  <si>
    <t>Ameren Missouri 2017 IRP</t>
  </si>
  <si>
    <t>1/3 of 18 year EUL</t>
  </si>
  <si>
    <t>*ER cost = Full Retrofit Cost (ROF) - 6 Year Discounted ER cost</t>
  </si>
  <si>
    <t>Btu/hr / Capacity</t>
  </si>
  <si>
    <t>Size of new equipment in Btu/hr (note 1 ton = 12,000Btu/hr)</t>
  </si>
  <si>
    <t>Ameren Missouri HVAC EM&amp;V PY2018 workpapers</t>
  </si>
  <si>
    <t>Ameren Missouri Community Savers EM&amp;V PY2017</t>
  </si>
  <si>
    <t>Ameren Missouri Community Savers Evaluation PY2018</t>
  </si>
  <si>
    <t>Ameren Missouri Community Savers EM&amp;V PY2018</t>
  </si>
  <si>
    <t>Ameren Missouri Community Savers EM&amp;V PY2019</t>
  </si>
  <si>
    <t>Ameren Missouri Community Savers EM&amp;V PY2020</t>
  </si>
  <si>
    <t>Duplicate 16 SEER Size</t>
  </si>
  <si>
    <t>SEERbase</t>
  </si>
  <si>
    <t>Seasonal Energy Efficiency Ratio of baseline unit (kBtu/kWh)</t>
  </si>
  <si>
    <t>MO TRM</t>
  </si>
  <si>
    <t>Seasonal Energy Efficiency Ratio of ENERGY STAR unit (kBtu/kWh)</t>
  </si>
  <si>
    <t>Ameren Missouri Community Savers EM&amp;V PY18</t>
  </si>
  <si>
    <t>Ameren Missouri HVAC EM&amp;V PY18 workpapers</t>
  </si>
  <si>
    <t>From Name SEER</t>
  </si>
  <si>
    <t>SEERexist</t>
  </si>
  <si>
    <t>Seasonal Energy Efficiency Ratio of existing unit (kBtu/kWh)</t>
  </si>
  <si>
    <t>HF of 65% used to convert residential to multifamily</t>
  </si>
  <si>
    <t>*Incremental cost to be adjusted based on cost testing used</t>
  </si>
  <si>
    <t>351200_2019_12_</t>
  </si>
  <si>
    <t>Ductless AC - ER1 SF</t>
  </si>
  <si>
    <t>Ductless AC - ER2 SF</t>
  </si>
  <si>
    <t>351250_2019_12_</t>
  </si>
  <si>
    <t>Ductless AC - ROF SF</t>
  </si>
  <si>
    <t>351300_2019_12_</t>
  </si>
  <si>
    <t>Ductless ASHP - ROF SF NC</t>
  </si>
  <si>
    <t>351350_2019_12_</t>
  </si>
  <si>
    <t>Ductless ASHP - ROF SF</t>
  </si>
  <si>
    <t>351400_2019_12_</t>
  </si>
  <si>
    <t>Ductless ASHP Replace Electric Resistance ER1 SF</t>
  </si>
  <si>
    <t>Ductless ASHP Replace Electric Resistance ER2 SF</t>
  </si>
  <si>
    <t>Heating RES ER2</t>
  </si>
  <si>
    <t>351450_2019_12_</t>
  </si>
  <si>
    <t>Ductless ASHP Replace Electric Resistance ROF SF</t>
  </si>
  <si>
    <t>351500_2019_12_</t>
  </si>
  <si>
    <t>Ductless ASHP ER1 SF</t>
  </si>
  <si>
    <t>Ductless ASHP ER2 SF</t>
  </si>
  <si>
    <t>351550_2019_12_</t>
  </si>
  <si>
    <t>Ductless AC - ER1 MF</t>
  </si>
  <si>
    <t>Ductless AC - ER2 MF</t>
  </si>
  <si>
    <t>351551_2019_12_</t>
  </si>
  <si>
    <t>351600_2019_12_</t>
  </si>
  <si>
    <t>Ductless AC - ROF MF</t>
  </si>
  <si>
    <t>351601_2019_12_</t>
  </si>
  <si>
    <t>351650_2019_12_</t>
  </si>
  <si>
    <t>Ductless ASHP - ROF MF NC</t>
  </si>
  <si>
    <t>351651_2019_12_</t>
  </si>
  <si>
    <t>351700_2019_12_</t>
  </si>
  <si>
    <t>Ductless ASHP - ROF MF</t>
  </si>
  <si>
    <t>351701_2019_12_</t>
  </si>
  <si>
    <t>351750_2019_12_</t>
  </si>
  <si>
    <t>Ductless ASHP Replace Electric Resistance ER1 MF</t>
  </si>
  <si>
    <t>Ductless ASHP Replace Electric Resistance ER2 MF</t>
  </si>
  <si>
    <t>351751_2019_12_</t>
  </si>
  <si>
    <t>351800_2019_12_</t>
  </si>
  <si>
    <t>Ductless ASHP Replace Electric Resistance ROF MF</t>
  </si>
  <si>
    <t>351801_2019_12_</t>
  </si>
  <si>
    <t>351850_2019_12_</t>
  </si>
  <si>
    <t>Ductless ASHP ER1 MF</t>
  </si>
  <si>
    <t>Ductless ASHP ER2 MF</t>
  </si>
  <si>
    <t>351851_2019_12_</t>
  </si>
  <si>
    <t xml:space="preserve">*MFc = Multifamily Comprehensive envelope,  CompE = Comprehensive Envelope </t>
  </si>
  <si>
    <t>ER2 represents the last 12 years of Early Replacement, or all years of Replace on Failure.</t>
  </si>
  <si>
    <t>Capacityheat</t>
  </si>
  <si>
    <t>Heating capacity of the ductless heat pump unit in Btu/hr</t>
  </si>
  <si>
    <t>no heating</t>
  </si>
  <si>
    <t>Match Similar Unit</t>
  </si>
  <si>
    <t>Per Evaluation</t>
  </si>
  <si>
    <t>Equivalent Full Load Hours for heating</t>
  </si>
  <si>
    <t>HSPFbase</t>
  </si>
  <si>
    <t>HSPF rating of baseline equipment (kbtu/kwh)</t>
  </si>
  <si>
    <t>HSPFexist</t>
  </si>
  <si>
    <t>HSPF rating of existing equipment (kbtu/kwh)</t>
  </si>
  <si>
    <t>Per TRM</t>
  </si>
  <si>
    <t>HSPF rating of new equipment (kbtu/kwh)</t>
  </si>
  <si>
    <t>Capacitycool</t>
  </si>
  <si>
    <t>Cooling capacity of the ductless heat pump unit in Btu/hr</t>
  </si>
  <si>
    <t>Ameren Missouri HVAC EM&amp;V PY2017 workpapers</t>
  </si>
  <si>
    <t>Equivalent Full Load Hours for cooling</t>
  </si>
  <si>
    <t>SEER rating of baseline equipment (kbtu/kwh)</t>
  </si>
  <si>
    <t>Federal standard, minimum efficiency</t>
  </si>
  <si>
    <t>SEER rating of existing equipment (kbtu/kwh)</t>
  </si>
  <si>
    <t>SEER rating of new equipment (kbtu/kwh)</t>
  </si>
  <si>
    <t>HF of 65% from thermostat measure used to convert from "residential" to Multifamily. Page 79 of TRM volume 3 without any more relevant information.</t>
  </si>
  <si>
    <t>From Evaluation - Opinion Dynamics review PY19  -100% for MF recommended by evaluator which assumes systems are of similar size in SF and MF homes for ductless units.</t>
  </si>
  <si>
    <t>Dual Fuel Heat Pumps</t>
  </si>
  <si>
    <t>351900_2019_12_</t>
  </si>
  <si>
    <t xml:space="preserve">DFHP - SEER 19 MF heat pump base </t>
  </si>
  <si>
    <t>Cooling Res</t>
  </si>
  <si>
    <t>DFHP - SEER 19 MF heat pump base</t>
  </si>
  <si>
    <t>Heating Res</t>
  </si>
  <si>
    <t>351901_2019_12_</t>
  </si>
  <si>
    <t>351950_2019_12_</t>
  </si>
  <si>
    <t>DFHP - SEER 20 MF heat pump base</t>
  </si>
  <si>
    <t>351951_2019_12_</t>
  </si>
  <si>
    <t>352000_2019_12_</t>
  </si>
  <si>
    <t>DFHP - SEER 21 MF heat pump base</t>
  </si>
  <si>
    <t>352001_2019_12_</t>
  </si>
  <si>
    <t>Cost determined with RS Means 2018 data.</t>
  </si>
  <si>
    <t>Capacity Heating</t>
  </si>
  <si>
    <t>Heating Capacity of Air Source Heat Pump (Btu/hr)</t>
  </si>
  <si>
    <t>From Evaluation</t>
  </si>
  <si>
    <t>EFLH_heat</t>
  </si>
  <si>
    <t>Equivalent full load hours of heating</t>
  </si>
  <si>
    <t>Matches Ameren Missouri HVAC EM&amp;V PY2017</t>
  </si>
  <si>
    <t>Evaluation recommendation PY2019</t>
  </si>
  <si>
    <t>HSPF_base / exist</t>
  </si>
  <si>
    <t>Heating System Performance Factor of baseline / existing heating system (kBtu/kWh)</t>
  </si>
  <si>
    <t>HSPF_ee</t>
  </si>
  <si>
    <t>Heating System Performance Factor of efficient Duel Fuel Heat Pump
   (kBtu/kWh)</t>
  </si>
  <si>
    <t>Assumed similar to 18+</t>
  </si>
  <si>
    <t>Capacity_cooling</t>
  </si>
  <si>
    <t>Cooling Capacity of Duel Fuel Heat Pump (Btu/hr)</t>
  </si>
  <si>
    <t>EFLH_cooling</t>
  </si>
  <si>
    <t>Equivalent full load hours of air conditioning</t>
  </si>
  <si>
    <t>SEER_base / exist</t>
  </si>
  <si>
    <t>Seasonal Energy Efficiency Ratio of baseline / existing cooling system (kBtu/kWh)</t>
  </si>
  <si>
    <t>SEER_ee</t>
  </si>
  <si>
    <t>Seasonal Energy Efficiency Ratio of efficient Duel Fuel Heat Pump (kBtu/kWh)</t>
  </si>
  <si>
    <t>From Measure Description</t>
  </si>
  <si>
    <t>HF of 65% from thermostat measure used to convert from "residential" to Multifamily. Page 79 of MO TRM volume 3.</t>
  </si>
  <si>
    <t>Ground Source Heat Pumps</t>
  </si>
  <si>
    <t>352050_2019_12_</t>
  </si>
  <si>
    <t>GSHP - EER 23 - replace electric furnace / CAC - Cooling</t>
  </si>
  <si>
    <t>GSHP - EER 23 - replace electric furnace / CAC - Heating</t>
  </si>
  <si>
    <t>352100_2019_12_</t>
  </si>
  <si>
    <t>GSHP - EER 23 - replace electric furnace / CAC ER1- Cooling</t>
  </si>
  <si>
    <t>GSHP - EER 23 - replace electric furnace / CAC ER1 - Heating</t>
  </si>
  <si>
    <t>GSHP - EER 23 - replace electric furnace / CAC ER2- Cooling</t>
  </si>
  <si>
    <t>Cooling Res ER2</t>
  </si>
  <si>
    <t>GSHP - EER 23 - replace electric furnace / CAC ER2 - Heating</t>
  </si>
  <si>
    <t>352200_2019_12_</t>
  </si>
  <si>
    <t>GSHP EER 23 ER1 - Cooling</t>
  </si>
  <si>
    <t>GSHP EER 23 ER1 - Heatiing</t>
  </si>
  <si>
    <t>GSHP EER 23 ER2 - Cooling</t>
  </si>
  <si>
    <t>GSHP EER 23 ER2 - Heating</t>
  </si>
  <si>
    <t>352250_2019_12_</t>
  </si>
  <si>
    <t>GSHP EER 23 Replace at Fail GSHP</t>
  </si>
  <si>
    <t>Heating Capacity of Heat Pump (Btu/hr)</t>
  </si>
  <si>
    <t>Heating System Performance Factor of efficient Heat Pump
   (kBtu/kWh)</t>
  </si>
  <si>
    <t>Cooling Capacity of Heat Pump (Btu/hr)</t>
  </si>
  <si>
    <t>EFLHcooling</t>
  </si>
  <si>
    <t>SEERbase / exist</t>
  </si>
  <si>
    <t>Seasonal Energy Efficiency Ratio of efficient Heat Pump (kBtu/kWh)</t>
  </si>
  <si>
    <t>Air Source Heat Pumps</t>
  </si>
  <si>
    <t>352300_2019_12_</t>
  </si>
  <si>
    <t>ASHP - SEER 15 ER Elec Resist Furnace: HVAC ER1</t>
  </si>
  <si>
    <t>ASHP - SEER 15 ER Elec Resist Furnace: HVAC ER2</t>
  </si>
  <si>
    <t>Heating Res ER2</t>
  </si>
  <si>
    <t>352350_2019_12_</t>
  </si>
  <si>
    <t>ASHP - SEER 15 ER with ASHP: HVAC ER1</t>
  </si>
  <si>
    <t>ASHP - SEER 15 ER with ASHP: HVAC ER2</t>
  </si>
  <si>
    <t>352400_2019_12_</t>
  </si>
  <si>
    <t>ASHP-  SEER 15 Replace at Fail Elec Resist Furnace: HVAC</t>
  </si>
  <si>
    <t>352450_2019_12_</t>
  </si>
  <si>
    <t>ASHP - SEER 15 Replace at Fail with ASHP: HVAC</t>
  </si>
  <si>
    <t>352500_2019_12_</t>
  </si>
  <si>
    <t>ASHP - SEER 16 - replace electric furnace / CAC - early replacement SF ER1</t>
  </si>
  <si>
    <t>ASHP - SEER 16 - replace electric furnace / CAC - early replacement SF ER2</t>
  </si>
  <si>
    <t>352550_2019_12_</t>
  </si>
  <si>
    <t>ASHP SEER 16 replace ASHP - early replacement SF ER1</t>
  </si>
  <si>
    <t>ASHP SEER 16 replace ASHP - early replacement SF ER2</t>
  </si>
  <si>
    <t>352600_2019_12_</t>
  </si>
  <si>
    <t>ASHP - SEER 16 - replace electric furnace / CAC SF</t>
  </si>
  <si>
    <t>352650_2019_12_</t>
  </si>
  <si>
    <t>ASHP SEER 16 replace ASHP - replace on fail SF</t>
  </si>
  <si>
    <t>352700_2019_12_</t>
  </si>
  <si>
    <t>ASHP SEER 15 MF ER replace ASHP: HVAC ER1</t>
  </si>
  <si>
    <t>ASHP SEER 15 MF ER replace ASHP: HVAC ER2</t>
  </si>
  <si>
    <t>352701_2019_12_</t>
  </si>
  <si>
    <t>352750_2019_12_</t>
  </si>
  <si>
    <t>ASHP SEER 15 MF ER replace Elec Resist Furnace: HVAC ER1</t>
  </si>
  <si>
    <t>ASHP SEER 15 MF ER replace Elec Resist Furnace: HVAC ER2</t>
  </si>
  <si>
    <t>352751_2019_12_</t>
  </si>
  <si>
    <t>352800_2019_12_</t>
  </si>
  <si>
    <t>ASHP SEER 15 MF replace at Fail Elec Resist Furnace: HVAC</t>
  </si>
  <si>
    <t>352801_2019_12_</t>
  </si>
  <si>
    <t>352850_2019_12_</t>
  </si>
  <si>
    <t>ASHP SEER 16 MF ER replace ASHP: HVAC ER1</t>
  </si>
  <si>
    <t>ASHP SEER 16 MF ER replace ASHP: HVAC ER2</t>
  </si>
  <si>
    <t>352851_2019_12_</t>
  </si>
  <si>
    <t>352900_2019_12_</t>
  </si>
  <si>
    <t>ASHP - SEER 16 - replace on fail MF</t>
  </si>
  <si>
    <t>352901_2019_12_</t>
  </si>
  <si>
    <t>352950_2019_12_</t>
  </si>
  <si>
    <t>ASHP - SEER 16 - replace electric furnace / CAC MF</t>
  </si>
  <si>
    <t>352951_2019_12_</t>
  </si>
  <si>
    <t>353000_2019_12_</t>
  </si>
  <si>
    <t>ASHP - SEER 16 - replace electric furnace / CAC - early replacement MF ER1</t>
  </si>
  <si>
    <t>ASHP - SEER 16 - replace electric furnace / CAC - early replacement MF ER2</t>
  </si>
  <si>
    <t>353001_2019_12_</t>
  </si>
  <si>
    <t>353050_2019_12_</t>
  </si>
  <si>
    <t>353051_2019_12_</t>
  </si>
  <si>
    <t>353100_2019_12_</t>
  </si>
  <si>
    <t>ASHP - SEER 17 - replace electric furnace / CAC SF</t>
  </si>
  <si>
    <t>353150_2019_12_</t>
  </si>
  <si>
    <t>ASHP - SEER 17 - replace electric furnace / CAC MF</t>
  </si>
  <si>
    <t>353151_2019_12_</t>
  </si>
  <si>
    <t>353200_2019_12_</t>
  </si>
  <si>
    <t>ASHP - SEER 18 - replace electric furnace / CAC SF</t>
  </si>
  <si>
    <t>353250_2019_12_</t>
  </si>
  <si>
    <t>ASHP - SEER 18 - replace electric furnace / CAC MF</t>
  </si>
  <si>
    <t>353251_2019_12_</t>
  </si>
  <si>
    <t>353300_2019_12_</t>
  </si>
  <si>
    <t>ASHP - SEER 19 - replace electric furnace / CAC SF</t>
  </si>
  <si>
    <t>353350_2019_12_</t>
  </si>
  <si>
    <t>ASHP - SEER 19 - replace electric furnace / CAC MF</t>
  </si>
  <si>
    <t>353351_2019_12_</t>
  </si>
  <si>
    <t>353400_2019_12_</t>
  </si>
  <si>
    <t>ASHP - SEER 20 - replace electric furnace / CAC - early replacement SF ER1</t>
  </si>
  <si>
    <t>ASHP - SEER 20 - replace electric furnace / CAC - early replacement SF ER2</t>
  </si>
  <si>
    <t>353450_2019_12_</t>
  </si>
  <si>
    <t>ASHP - SEER 20 - replace electric furnace / CAC SF</t>
  </si>
  <si>
    <t>353500_2019_12_</t>
  </si>
  <si>
    <t>ASHP - SEER 20 - replace electric furnace / CAC MF</t>
  </si>
  <si>
    <t>353501_2019_12_</t>
  </si>
  <si>
    <t>353550_2019_12_</t>
  </si>
  <si>
    <t>ASHP - SEER 21 - replace electric furnace / CAC - early replacement SF ER1</t>
  </si>
  <si>
    <t>ASHP - SEER 21 - replace electric furnace / CAC - early replacement SF ER2</t>
  </si>
  <si>
    <t>353600_2019_12_</t>
  </si>
  <si>
    <t>ASHP - SEER 21 - replace electric furnace / CAC - early replacement MF ER1</t>
  </si>
  <si>
    <t>ASHP - SEER 21 - replace electric furnace / CAC - early replacement MF ER2</t>
  </si>
  <si>
    <t>353601_2019_12_</t>
  </si>
  <si>
    <t>353650_2019_12_</t>
  </si>
  <si>
    <t>ASHP - SEER 21 - replace electric furnace / CAC SF</t>
  </si>
  <si>
    <t>353700_2019_12_</t>
  </si>
  <si>
    <t>353701_2019_12_</t>
  </si>
  <si>
    <t>353750_2019_12_</t>
  </si>
  <si>
    <t>ASHP SEER 17 replace ASHP - early replacement SF ER1</t>
  </si>
  <si>
    <t>ASHP SEER 17 replace ASHP - early replacement SF ER2</t>
  </si>
  <si>
    <t>353800_2019_12_</t>
  </si>
  <si>
    <t>ASHP SEER 17 replace ASHP - replace on fail SF</t>
  </si>
  <si>
    <t>353850_2019_12_</t>
  </si>
  <si>
    <t>ASHP SEER 18 replace ASHP - early replacement SF ER1</t>
  </si>
  <si>
    <t>ASHP SEER 18 replace ASHP - early replacement SF ER2</t>
  </si>
  <si>
    <t>353950_2019_12_</t>
  </si>
  <si>
    <t>ASHP - SEER 18 - replace on fail SF</t>
  </si>
  <si>
    <t>354000_2019_12_</t>
  </si>
  <si>
    <t>ASHP SEER 19 replace ASHP - early replacement SF ER1</t>
  </si>
  <si>
    <t>ASHP SEER 19 replace ASHP - early replacement SF ER2</t>
  </si>
  <si>
    <t>354050_2019_12_</t>
  </si>
  <si>
    <t>ASHP SEER 19 replace ASHP - replace on fail SF</t>
  </si>
  <si>
    <t>354100_2019_12_</t>
  </si>
  <si>
    <t>ASHP - SEER 17 - replace electric furnace / CAC - early replacement SF ER1</t>
  </si>
  <si>
    <t>ASHP - SEER 17 - replace electric furnace / CAC - early replacement SF ER2</t>
  </si>
  <si>
    <t>354150_2019_12_</t>
  </si>
  <si>
    <t>ASHP - SEER 17 - replace electric furnace / CAC - early replacement MF ER1</t>
  </si>
  <si>
    <t>ASHP - SEER 17 - replace electric furnace / CAC - early replacement MF ER2</t>
  </si>
  <si>
    <t>354151_2019_12_</t>
  </si>
  <si>
    <t>354200_2019_12_</t>
  </si>
  <si>
    <t>ASHP SEER 17 replace ASHP - early replacement MF ER1</t>
  </si>
  <si>
    <t>ASHP SEER 17 replace ASHP - early replacement MF ER2</t>
  </si>
  <si>
    <t>354201_2019_12_</t>
  </si>
  <si>
    <t>354250_2019_12_</t>
  </si>
  <si>
    <t>ASHP - SEER 18 - replace electric furnace / CAC - early replacement SF ER1</t>
  </si>
  <si>
    <t>ASHP - SEER 18 - replace electric furnace / CAC - early replacement SF ER2</t>
  </si>
  <si>
    <t>354300_2019_12_</t>
  </si>
  <si>
    <t>ASHP - SEER 18 - replace electric furnace / CAC - early replacement MF ER1</t>
  </si>
  <si>
    <t>ASHP - SEER 18 - replace electric furnace / CAC - early replacement MF ER2</t>
  </si>
  <si>
    <t>354301_2019_12_</t>
  </si>
  <si>
    <t>354350_2019_12_</t>
  </si>
  <si>
    <t>ASHP SEER 18 replace ASHP - early replacement MF ER1</t>
  </si>
  <si>
    <t>ASHP SEER 18 replace ASHP - early replacement MF ER2</t>
  </si>
  <si>
    <t>354351_2019_12_</t>
  </si>
  <si>
    <t>354400_2019_12_</t>
  </si>
  <si>
    <t>ASHP - SEER 19 - replace electric furnace / CAC - early replacement SF ER1</t>
  </si>
  <si>
    <t>ASHP - SEER 19 - replace electric furnace / CAC - early replacement SF ER2</t>
  </si>
  <si>
    <t>354450_2019_12_</t>
  </si>
  <si>
    <t>ASHP - SEER 19 - replace electric furnace / CAC - early replacement MF ER1</t>
  </si>
  <si>
    <t>ASHP - SEER 19 - replace electric furnace / CAC - early replacement MF ER2</t>
  </si>
  <si>
    <t>354451_2019_12_</t>
  </si>
  <si>
    <t>354500_2019_12_</t>
  </si>
  <si>
    <t>ASHP SEER 19 replace ASHP - early replacement MF ER1</t>
  </si>
  <si>
    <t>ASHP SEER 19 replace ASHP - early replacement MF ER2</t>
  </si>
  <si>
    <t>354501_2019_12_</t>
  </si>
  <si>
    <t>354550_2019_12_</t>
  </si>
  <si>
    <t>ASHP SEER 20 replace ASHP - early replacement SF ER1</t>
  </si>
  <si>
    <t>ASHP SEER 20 replace ASHP - early replacement SF ER2</t>
  </si>
  <si>
    <t>354600_2019_12_</t>
  </si>
  <si>
    <t>ASHP SEER 20 replace ASHP - replace on fail SF</t>
  </si>
  <si>
    <t>354650_2019_12_</t>
  </si>
  <si>
    <t>ASHP - SEER 20 - replace electric furnace / CAC - early replacement MF ER1</t>
  </si>
  <si>
    <t>ASHP - SEER 20 - replace electric furnace / CAC - early replacement MF ER2</t>
  </si>
  <si>
    <t>354651_2019_12_</t>
  </si>
  <si>
    <t>354700_2019_12_</t>
  </si>
  <si>
    <t>ASHP SEER 20 replace ASHP - early replacement MF ER1</t>
  </si>
  <si>
    <t>ASHP SEER 20 replace ASHP - early replacement MF ER2</t>
  </si>
  <si>
    <t>354701_2019_12_</t>
  </si>
  <si>
    <t>354750_2019_12_</t>
  </si>
  <si>
    <t>ASHP SEER 21 replace ASHP - early replacement SF ER1</t>
  </si>
  <si>
    <t>ASHP SEER 21 replace ASHP - early replacement SF ER2</t>
  </si>
  <si>
    <t>354800_2019_12_</t>
  </si>
  <si>
    <t>ASHP SEER 21 replace ASHP - replace on fail SF</t>
  </si>
  <si>
    <t>354850_2019_12_</t>
  </si>
  <si>
    <t>ASHP - SEER 21 - replace electric furnace / CAC MF</t>
  </si>
  <si>
    <t>354851_2019_12_</t>
  </si>
  <si>
    <t>354900_2019_12_</t>
  </si>
  <si>
    <t>ASHP SEER 21 replace ASHP - early replacement MF ER1</t>
  </si>
  <si>
    <t>ASHP SEER 21 replace ASHP - early replacement MF ER2</t>
  </si>
  <si>
    <t>354901_2019_12_</t>
  </si>
  <si>
    <t>354950_2019_12_</t>
  </si>
  <si>
    <t>ASHP - SEER 17 - replace on fail MF</t>
  </si>
  <si>
    <t>354951_2019_12_</t>
  </si>
  <si>
    <t>355000_2019_12_</t>
  </si>
  <si>
    <t>ASHP - SEER 18 - replace on fail MF</t>
  </si>
  <si>
    <t>355001_2019_12_</t>
  </si>
  <si>
    <t>355050_2019_12_</t>
  </si>
  <si>
    <t>ASHP - SEER 19 - replace on fail MF</t>
  </si>
  <si>
    <t>355051_2019_12_</t>
  </si>
  <si>
    <t>355100_2019_12_</t>
  </si>
  <si>
    <t>ASHP - SEER 20 - replace on fail MF</t>
  </si>
  <si>
    <t>355101_2019_12_</t>
  </si>
  <si>
    <t>355150_2019_12_</t>
  </si>
  <si>
    <t>ASHP - SEER 21 - replace on fail MF</t>
  </si>
  <si>
    <t>355151_2019_12_</t>
  </si>
  <si>
    <t>ASHP</t>
  </si>
  <si>
    <t/>
  </si>
  <si>
    <t>Ameren MO 2017 IRP</t>
  </si>
  <si>
    <t>1/3 of 18 EUL</t>
  </si>
  <si>
    <t>Based on similar Measure</t>
  </si>
  <si>
    <t>Ameren Missouri HVAC EM&amp;V PY2017 - 2016 -2017 AMR Data &amp; HP Metering</t>
  </si>
  <si>
    <t>Ameren Missouri Comm. Savers EM&amp;V PY2018</t>
  </si>
  <si>
    <t>Heating System Performance Factor of efficient Air Source Heat Pump
   (kBtu/kWh)</t>
  </si>
  <si>
    <t>Cooling Capacity of Air Source Heat Pump (Btu/hr)</t>
  </si>
  <si>
    <t>Matches Ameren Missouri HVAC EM&amp;V PY2018</t>
  </si>
  <si>
    <t>Seasonal Energy Efficiency Ratio of efficient Air Source Heat Pump (kBtu/kWh)</t>
  </si>
  <si>
    <t>Based on measure name</t>
  </si>
  <si>
    <t>RESIDENTIAL INCOME ELIGIBLE</t>
  </si>
  <si>
    <t>AC Tune-up</t>
  </si>
  <si>
    <t xml:space="preserve">*MFLIc = Multifamily Low Income Comprehensive Envelope,  CompE = Comprehensive Envelope </t>
  </si>
  <si>
    <t>400050_2019_12_</t>
  </si>
  <si>
    <t>SFLI</t>
  </si>
  <si>
    <t>AC General Tune-Up (no charge or coil clean) SF</t>
  </si>
  <si>
    <t>400100_2019_12_</t>
  </si>
  <si>
    <t>MFLI</t>
  </si>
  <si>
    <t>AC General Tune-Up (no charge or coil clean) MF</t>
  </si>
  <si>
    <t>400101_2019_12_</t>
  </si>
  <si>
    <t>MFLIc</t>
  </si>
  <si>
    <t>400150_2019_12_</t>
  </si>
  <si>
    <t>AC Tune-up / Refrigerant charge SF</t>
  </si>
  <si>
    <t>400200_2019_12_</t>
  </si>
  <si>
    <t>AC Tune-up / Refrigerant charge MF</t>
  </si>
  <si>
    <t>400201_2019_12_</t>
  </si>
  <si>
    <t>400250_2019_12_</t>
  </si>
  <si>
    <t>AC Tune-up / Indoor Coil (Evaporator) Cleaning SF</t>
  </si>
  <si>
    <t>400300_2019_12_</t>
  </si>
  <si>
    <t>AC Tune-up /Indoor Coil (Evaporator) Cleaning MF</t>
  </si>
  <si>
    <t>400301_2019_12_</t>
  </si>
  <si>
    <t>400350_2019_12_</t>
  </si>
  <si>
    <t>AC Tune-up /Outdoor Coil (Condenser) Cleaning SF</t>
  </si>
  <si>
    <t>400400_2019_12_</t>
  </si>
  <si>
    <t>AC Tune-up /Outdoor Coil (Condenser) Cleaning MF</t>
  </si>
  <si>
    <t>400401_2019_12_</t>
  </si>
  <si>
    <t xml:space="preserve">Equation: </t>
  </si>
  <si>
    <r>
      <t>EFLH</t>
    </r>
    <r>
      <rPr>
        <vertAlign val="subscript"/>
        <sz val="11"/>
        <color theme="1"/>
        <rFont val="Calibri"/>
        <family val="2"/>
        <scheme val="minor"/>
      </rPr>
      <t>cool</t>
    </r>
  </si>
  <si>
    <r>
      <t>Capacity</t>
    </r>
    <r>
      <rPr>
        <vertAlign val="subscript"/>
        <sz val="11"/>
        <color theme="1"/>
        <rFont val="Calibri"/>
        <family val="2"/>
        <scheme val="minor"/>
      </rPr>
      <t>cool</t>
    </r>
  </si>
  <si>
    <t>Average capacity of measure list in 'Central Air Conditioners' measures in 'HVAC' program.  Values come from evaluation</t>
  </si>
  <si>
    <t>Value not provided in TRM.  Average value from 'Air Source Heat Pump' measures provides consistancy in assumptions.</t>
  </si>
  <si>
    <t>SF capacity for same measure *0.65</t>
  </si>
  <si>
    <t>SEERtest-in</t>
  </si>
  <si>
    <t>Seasonal Energy Efficiency Ratio of existing cooling system before tuning (kBtu/kWh)</t>
  </si>
  <si>
    <t>General Tune-Up</t>
  </si>
  <si>
    <t>Refrigerant Charge Adjustment</t>
  </si>
  <si>
    <t>Indoor Coil Cleaning</t>
  </si>
  <si>
    <t>Matches 2015 Heating and Cooling evaluation</t>
  </si>
  <si>
    <t>Outdoor Coil Cleaning</t>
  </si>
  <si>
    <r>
      <t>SEER</t>
    </r>
    <r>
      <rPr>
        <vertAlign val="subscript"/>
        <sz val="11"/>
        <color theme="1"/>
        <rFont val="Calibri"/>
        <family val="2"/>
        <scheme val="minor"/>
      </rPr>
      <t>test-out</t>
    </r>
  </si>
  <si>
    <t>Seasonal Energy Efficiency Ratio of existing cooling system after tuning (kBtu/kWh)</t>
  </si>
  <si>
    <t>Convert from Btu to kBtu</t>
  </si>
  <si>
    <t>Conversion Factor (Btu/kBtu)</t>
  </si>
  <si>
    <t>Air Sealing</t>
  </si>
  <si>
    <t>Units (sq. ft)</t>
  </si>
  <si>
    <t>400450_2019_12_</t>
  </si>
  <si>
    <t>Air Sealing (Infiltration reduction) - 30% MF LI DI electric furnace base</t>
  </si>
  <si>
    <t>Building Shell RES</t>
  </si>
  <si>
    <t>400500_2019_12_</t>
  </si>
  <si>
    <t>Air Sealing (Infiltration reduction) - 30% MF LI DI heat pump base</t>
  </si>
  <si>
    <t>400550_2019_12_</t>
  </si>
  <si>
    <t>Air Sealing (Infiltration reduction) - 30% SF LI DI electric furnace base</t>
  </si>
  <si>
    <t>400551_2019_12_</t>
  </si>
  <si>
    <t>Air Sealing (Infiltration reduction) - 30% SF LI Gas furnace base</t>
  </si>
  <si>
    <t>400600_2019_12_</t>
  </si>
  <si>
    <t>Air Sealing (Infiltration reduction) - 30% SF LI DI heat pump base</t>
  </si>
  <si>
    <t>400650_2019_12_</t>
  </si>
  <si>
    <t>MH Adjusted Air Sealing (Infiltration reduction) - 30% SF LI DI electric furnace base</t>
  </si>
  <si>
    <t>400651_2019_12_</t>
  </si>
  <si>
    <t>MH Adjusted Air Sealing (Infiltration reduction) - 30% SF LI DI heat pump base</t>
  </si>
  <si>
    <t>400652_2019_12_</t>
  </si>
  <si>
    <t>MH Adjusted Air Sealing (Infiltration reduction) - 30% SF LI DI gas furnace base</t>
  </si>
  <si>
    <t>Sq. Ft.</t>
  </si>
  <si>
    <t>Average size house (902 sq. ft.) insulation</t>
  </si>
  <si>
    <t>Assumes 65% HF</t>
  </si>
  <si>
    <t xml:space="preserve">Average size house (1387 sq. ft.) insulation </t>
  </si>
  <si>
    <t>Average size house (1387 sq. ft.) insulation</t>
  </si>
  <si>
    <t>Average mobile Home (15'x72' =1080 sq. ft.)</t>
  </si>
  <si>
    <t>Default Therms per sq.ft.</t>
  </si>
  <si>
    <t>Default Therms saved per sq ft</t>
  </si>
  <si>
    <t>Use Actual Square footage where applicable.</t>
  </si>
  <si>
    <t>No measures in PY18</t>
  </si>
  <si>
    <t>Ceiling Insulation</t>
  </si>
  <si>
    <t>Units - area of ceiling/attic (ft2)</t>
  </si>
  <si>
    <t>400700_2019_12_</t>
  </si>
  <si>
    <t>Ceiling Insulation R11-R49 MF LI DI electric furnace base</t>
  </si>
  <si>
    <t>400750_2019_12_</t>
  </si>
  <si>
    <t>Ceiling Insulation R11-R49 MF LI DI heat pump base</t>
  </si>
  <si>
    <t>400800_2019_12_</t>
  </si>
  <si>
    <t>Ceiling Insulation R11-R49 MF LI DI gas heat electric cool base</t>
  </si>
  <si>
    <t>400850_2019_12_</t>
  </si>
  <si>
    <t>Ceiling Insulation R11-R49 SF LI DI electric furnace base</t>
  </si>
  <si>
    <t>400900_2019_12_</t>
  </si>
  <si>
    <t>Ceiling Insulation R11-R49 SF LI DI heat pump base</t>
  </si>
  <si>
    <t>400950_2019_12_</t>
  </si>
  <si>
    <t>Ceiling Insulation R11-R49 SF LI DI gas heat electric cool base</t>
  </si>
  <si>
    <t>401000_2019_12_</t>
  </si>
  <si>
    <t>Ceiling Insulation R5-R30 MF LI DI electric furnace base</t>
  </si>
  <si>
    <t>401050_2019_12_</t>
  </si>
  <si>
    <t>Ceiling Insulation R5-R30 MF LI DI heat pump base</t>
  </si>
  <si>
    <t>401100_2019_12_</t>
  </si>
  <si>
    <t>Ceiling Insulation R5-R30 MF LI DI gas heat electric cool base</t>
  </si>
  <si>
    <t>401150_2019_12_</t>
  </si>
  <si>
    <t>Ceiling Insulation R5-R30 SF LI DI electric furnace base</t>
  </si>
  <si>
    <t>401200_2019_12_</t>
  </si>
  <si>
    <t>Ceiling Insulation R5-R30 SF LI DI heat pump base</t>
  </si>
  <si>
    <t>401250_2019_12_</t>
  </si>
  <si>
    <t>Ceiling Insulation R5-R30 SF LI DI gas heat electric cool base</t>
  </si>
  <si>
    <t>401300_2019_12_</t>
  </si>
  <si>
    <t>Ceiling Insulation R5-R38 MF LI DI electric furnace base</t>
  </si>
  <si>
    <t>401350_2019_12_</t>
  </si>
  <si>
    <t>Ceiling Insulation R5-R38 MF LI DI heat pump base</t>
  </si>
  <si>
    <t>401400_2019_12_</t>
  </si>
  <si>
    <t>Ceiling Insulation R5-R38 MF LI DI gas heat electric cool base</t>
  </si>
  <si>
    <t>401450_2019_12_</t>
  </si>
  <si>
    <t>Ceiling Insulation R5-R38 SF LI DI electric furnace base</t>
  </si>
  <si>
    <t>401500_2019_12_</t>
  </si>
  <si>
    <t>Ceiling Insulation R5-R38 SF LI DI heat pump base</t>
  </si>
  <si>
    <t>401550_2019_12_</t>
  </si>
  <si>
    <t>Ceiling Insulation R5-R38 SF LI DI gas heat electric cool base</t>
  </si>
  <si>
    <t>401600_2019_12_</t>
  </si>
  <si>
    <t>Ceiling Insulation R5-R49 MF LI DI electric furnace base</t>
  </si>
  <si>
    <t>401650_2019_12_</t>
  </si>
  <si>
    <t>Ceiling Insulation R5-R49 MF LI DI heat pump base</t>
  </si>
  <si>
    <t>401700_2019_12_</t>
  </si>
  <si>
    <t>Ceiling Insulation R5-R49 MF LI DI gas heat electric cool base</t>
  </si>
  <si>
    <t>401750_2019_12_</t>
  </si>
  <si>
    <t>Ceiling Insulation R5-R49 SF LI DI electric furnace base</t>
  </si>
  <si>
    <t>401800_2019_12_</t>
  </si>
  <si>
    <t>Ceiling Insulation R5-R49 SF LI DI heat pump base</t>
  </si>
  <si>
    <t>401850_2019_12_</t>
  </si>
  <si>
    <t>Ceiling Insulation R5-R49 SF LI DI gas heat electric cool base</t>
  </si>
  <si>
    <t>401900_2019_12_</t>
  </si>
  <si>
    <t>Ceiling Insulation R5-R60 MF LI DI electric furnace base</t>
  </si>
  <si>
    <t>401950_2019_12_</t>
  </si>
  <si>
    <t>Ceiling Insulation R5-R60 MF LI DI heat pump base</t>
  </si>
  <si>
    <t>402000_2019_12_</t>
  </si>
  <si>
    <t>Ceiling Insulation R5-R60 MF LI DI gas heat electric cool base</t>
  </si>
  <si>
    <t>402050_2019_12_</t>
  </si>
  <si>
    <t>Ceiling Insulation R5-R60 SF LI DI electric furnace base</t>
  </si>
  <si>
    <t>402100_2019_12_</t>
  </si>
  <si>
    <t>Ceiling Insulation R5-R60 SF LI DI heat pump base</t>
  </si>
  <si>
    <t>402150_2019_12_</t>
  </si>
  <si>
    <t>Ceiling Insulation R5-R60 SF LI DI gas heat electric cool base</t>
  </si>
  <si>
    <t>Assumes R5 of Assembly is not inlcuded in R value</t>
  </si>
  <si>
    <t>PY5 Evaluation</t>
  </si>
  <si>
    <t>Avg. size home 875.55 sq. ft.</t>
  </si>
  <si>
    <t>Avg. size home 1347 sq. ft.</t>
  </si>
  <si>
    <t>Avg. size home 718.9 sq. ft.</t>
  </si>
  <si>
    <t>Avg. size home 1106 sq. ft.</t>
  </si>
  <si>
    <t>Assumed same as R5-R30</t>
  </si>
  <si>
    <t>MO -TRM</t>
  </si>
  <si>
    <t>HDD</t>
  </si>
  <si>
    <t>HDD65</t>
  </si>
  <si>
    <t>ƞheat</t>
  </si>
  <si>
    <t>CDD</t>
  </si>
  <si>
    <t>CDD65</t>
  </si>
  <si>
    <t>DUA</t>
  </si>
  <si>
    <t>%cool</t>
  </si>
  <si>
    <t>Joint Program</t>
  </si>
  <si>
    <t>Adv. Tstat value</t>
  </si>
  <si>
    <t>ƞcool</t>
  </si>
  <si>
    <t>PY15 Evaluation</t>
  </si>
  <si>
    <t>Floor Insulation</t>
  </si>
  <si>
    <t>Units - area of floor (ft2)</t>
  </si>
  <si>
    <t>402200_2019_12_</t>
  </si>
  <si>
    <t>402201_2019_12_</t>
  </si>
  <si>
    <t>402202_2019_12_</t>
  </si>
  <si>
    <t>Floor Insulation R25 MH electric furnace/baseboard and electric cooling</t>
  </si>
  <si>
    <t>HDD50</t>
  </si>
  <si>
    <t>MO - TRM Average value of 3 values provided</t>
  </si>
  <si>
    <t>CDD75</t>
  </si>
  <si>
    <t>PY5 Evaluaiton - Insulation</t>
  </si>
  <si>
    <t>402250_2019_12_</t>
  </si>
  <si>
    <t>Dirty Filter Alarm_MFLI</t>
  </si>
  <si>
    <t>402251_2019_12_</t>
  </si>
  <si>
    <r>
      <t>EFLH</t>
    </r>
    <r>
      <rPr>
        <i/>
        <vertAlign val="subscript"/>
        <sz val="11"/>
        <rFont val="Calibri"/>
        <family val="2"/>
        <scheme val="minor"/>
      </rPr>
      <t>heat</t>
    </r>
  </si>
  <si>
    <r>
      <t>EFLH</t>
    </r>
    <r>
      <rPr>
        <i/>
        <vertAlign val="subscript"/>
        <sz val="11"/>
        <color theme="1"/>
        <rFont val="Calibri"/>
        <family val="2"/>
        <scheme val="minor"/>
      </rPr>
      <t>heat</t>
    </r>
  </si>
  <si>
    <t>Assumed DI and 100%</t>
  </si>
  <si>
    <r>
      <t>EFLH</t>
    </r>
    <r>
      <rPr>
        <i/>
        <vertAlign val="subscript"/>
        <sz val="11"/>
        <rFont val="Calibri"/>
        <family val="2"/>
        <scheme val="minor"/>
      </rPr>
      <t>cool</t>
    </r>
  </si>
  <si>
    <r>
      <t>EFLH</t>
    </r>
    <r>
      <rPr>
        <i/>
        <vertAlign val="subscript"/>
        <sz val="11"/>
        <color theme="1"/>
        <rFont val="Calibri"/>
        <family val="2"/>
        <scheme val="minor"/>
      </rPr>
      <t>cool</t>
    </r>
  </si>
  <si>
    <t>Duct Insulation</t>
  </si>
  <si>
    <t>kWh
Annual Savings</t>
  </si>
  <si>
    <t>ΔkWhCooling</t>
  </si>
  <si>
    <t>ΔkWhHeating</t>
  </si>
  <si>
    <t>Δtherms</t>
  </si>
  <si>
    <t>Units - DuctLength (ft.)</t>
  </si>
  <si>
    <t>402300_2019_12_</t>
  </si>
  <si>
    <t>Duct Insulation - Electric Heating</t>
  </si>
  <si>
    <t>402350_2019_12_</t>
  </si>
  <si>
    <t>Mobile Home Adjusted Duct Insulation - Electric Heating </t>
  </si>
  <si>
    <t>402400_2019_12_</t>
  </si>
  <si>
    <t>Duct Insulation - Gas Heating</t>
  </si>
  <si>
    <t xml:space="preserve">*MEMD estimates $100/sq ft of conditioned floor area.  Area is assumed based on Air Sealing measure (1387). </t>
  </si>
  <si>
    <t>Gas Heating:</t>
  </si>
  <si>
    <t>Electric Heating:</t>
  </si>
  <si>
    <t>Duct heat loss coefficient with existing insulation ((hr-⁰F-ft2)/Btu)</t>
  </si>
  <si>
    <t>Case Studies of Duct Retrofits and Guidelines for Attic and Crawl Space Duct Sealing', Oak Ridge National Laboratory, November 2011, pg. 11</t>
  </si>
  <si>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</si>
  <si>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</si>
  <si>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</si>
  <si>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</si>
  <si>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</si>
  <si>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Length * Width, assuming 12"x30" duct and Length = 1'</t>
  </si>
  <si>
    <t>Area - Mobile Home</t>
  </si>
  <si>
    <t xml:space="preserve">Equivalent Full Load Cooling Hours </t>
  </si>
  <si>
    <t>Matches MO TRM.  Measure not found in Community Savers EM&amp;V</t>
  </si>
  <si>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</si>
  <si>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</si>
  <si>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</si>
  <si>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 xml:space="preserve">MO TRM, assumes equipment age is older than 2006.  </t>
  </si>
  <si>
    <t>Matches MO TRM, assuming age is 2006 or later.  Measure not found in Community Savers EM&amp;V</t>
  </si>
  <si>
    <t>Average temperature difference (⁰F) during heating season between outdoor air temperature and assumed 115⁰F  duct supply temperature</t>
  </si>
  <si>
    <t>Matches Community Saves EM&amp;V</t>
  </si>
  <si>
    <t>COP</t>
  </si>
  <si>
    <t xml:space="preserve">Electric Heating efficiency in COP of heating equipment </t>
  </si>
  <si>
    <t>MO TRM, assumes vast majority of electric heating equipment are not heat pumps.</t>
  </si>
  <si>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</si>
  <si>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</si>
  <si>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</si>
  <si>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</si>
  <si>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</si>
  <si>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</si>
  <si>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</si>
  <si>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t xml:space="preserve">Gas Heat - Efficiency in COP of heating equipment </t>
  </si>
  <si>
    <t>% Homes with Electric Cooling</t>
  </si>
  <si>
    <t>Assumed for Income Eligible</t>
  </si>
  <si>
    <t xml:space="preserve"> In-service rate</t>
  </si>
  <si>
    <t>PY7 Site Visits</t>
  </si>
  <si>
    <t xml:space="preserve">Unit=Per Foot </t>
  </si>
  <si>
    <t>Duct Repair (Duct Sealing and Repair - Methodology 3)</t>
  </si>
  <si>
    <t>402450_2019_12_</t>
  </si>
  <si>
    <t>402451_2019_12_</t>
  </si>
  <si>
    <t>Duct Repair (Sealing) - Gas Heating SF</t>
  </si>
  <si>
    <t>402500_2019_12_</t>
  </si>
  <si>
    <t>Duct Repair (Sealing) - Electric Heating MH Adjusted</t>
  </si>
  <si>
    <t>402501_2019_12_</t>
  </si>
  <si>
    <t>Duct Repair (Sealing) - Gas Heating  MH Adjusted</t>
  </si>
  <si>
    <t>(Method 3)</t>
  </si>
  <si>
    <t>CoolingSavingsPerUnit</t>
  </si>
  <si>
    <t>Annual cooling savings per linear foot of duct (kWh/ft)</t>
  </si>
  <si>
    <t>Missouri TRM &amp; Iowa TRM inputs here are sourced from same Cadmus Assessment noted below.</t>
  </si>
  <si>
    <t>MH</t>
  </si>
  <si>
    <t>Iowa TRM v2.0</t>
  </si>
  <si>
    <t>Square root of average house size reported in 'Home Energy Analysis' 2015 EM&amp;V.</t>
  </si>
  <si>
    <t>HeatingSavingsPerUnit</t>
  </si>
  <si>
    <t>Annual heating savings per linear foot of duct (kWh/ft)</t>
  </si>
  <si>
    <t>SF - Electric Heating</t>
  </si>
  <si>
    <t>Savings per unit are based upon analysis performed by Cadmus for the 2011 Joint Assessment of Potential. It was based on 10% savings in system efficiency. This would represent savings from homes with significant duct work outside of the thermal envelope. With no performance testing or verification, a deemed savings value should be very conservative and therefore the values provided in this section represent half of the savings – or 5% improvement. These values are provided as a conservative deemed estimate for Missouri, while encouraging the use of performance testing and verification for determination of more accurate savings estimates.</t>
  </si>
  <si>
    <t>MF - Electric Heating</t>
  </si>
  <si>
    <t>MH - Electric Heating</t>
  </si>
  <si>
    <t>SF - Gas Heating</t>
  </si>
  <si>
    <t>MF - Gas Heating</t>
  </si>
  <si>
    <t>MH - Gas Heating</t>
  </si>
  <si>
    <t>Use Actual Square length where applicable.</t>
  </si>
  <si>
    <t>402550_2019_12_</t>
  </si>
  <si>
    <t>ECM Auto Fan EUL Replacement -SF</t>
  </si>
  <si>
    <t>402600_2019_12_</t>
  </si>
  <si>
    <t>ECM Auto Fan Early Replacement ER1 (Full Cost) - SF</t>
  </si>
  <si>
    <t>ECM Auto Fan Early Replacement ER2 (Remaining Life) - SF</t>
  </si>
  <si>
    <t>402650_2019_12_</t>
  </si>
  <si>
    <t>ECM Continous Fan EUL Replacement - SF</t>
  </si>
  <si>
    <t>402700_2019_12_</t>
  </si>
  <si>
    <t>ECM Continous Fan Early Replacement ER1 (Full Cost) - SF</t>
  </si>
  <si>
    <t>ECM Continous Fan Early Replacement ER2 (Remaining Life) - SF</t>
  </si>
  <si>
    <t>402750_2019_12_</t>
  </si>
  <si>
    <t>ECM Auto Fan EUL Replacement - MF</t>
  </si>
  <si>
    <t>402800_2019_12_</t>
  </si>
  <si>
    <t>ECM Auto Fan Early Replacement ER1 (Full Cost) - MF</t>
  </si>
  <si>
    <t>ECM Auto Fan Early Replacement ER2 (Remaining Life) - MF</t>
  </si>
  <si>
    <t>402850_2019_12_</t>
  </si>
  <si>
    <t>ECM Continous Fan EUL Replacement - MF</t>
  </si>
  <si>
    <t>402900_2019_12_</t>
  </si>
  <si>
    <t>ECM Continous Fan Early Replacement ER1 (Full Cost) - MF</t>
  </si>
  <si>
    <t>ECM Continous Fan Early Replacement ER2 (Remaining Life) - MF</t>
  </si>
  <si>
    <t>ECM Fan EUL Replacement -SF</t>
  </si>
  <si>
    <t>ECM Fan Early Replacement ER 1 (Full Cost) - SF</t>
  </si>
  <si>
    <t>ECM Fan Early Replacement ER 2 (Remaining Life) - SF</t>
  </si>
  <si>
    <t>ECM Fan EUL Replacement - MF</t>
  </si>
  <si>
    <t>ECM Fan Early Replacement ER 1 (Full Cost) - MF</t>
  </si>
  <si>
    <t>ECM Fan Early Replacement ER 2 (Remaining Life) - MF</t>
  </si>
  <si>
    <t>ECM Auto Fan Early Replacement ER 1 (Full Cost) - SF</t>
  </si>
  <si>
    <t>ECM Auto Fan Early Replacement ER 2 (Remaining Life) - SF</t>
  </si>
  <si>
    <t>ROF Efficiency Level Cost per Unit</t>
  </si>
  <si>
    <t>ER Efficiency Level ($) per Unit</t>
  </si>
  <si>
    <t>ECM Auto Fan Early Replacement ER 1 (Full Cost) - MF</t>
  </si>
  <si>
    <t>ECM</t>
  </si>
  <si>
    <t>ECM Auto Fan Early Replacement ER 2 (Remaining Life) - MF</t>
  </si>
  <si>
    <t>Heat Pump (HP) Tune-up</t>
  </si>
  <si>
    <t>402950_2019_12_</t>
  </si>
  <si>
    <t>General HP tune-up (no charge or coil clean)</t>
  </si>
  <si>
    <t>403000_2019_12_</t>
  </si>
  <si>
    <t>403050_2019_12_</t>
  </si>
  <si>
    <t>HP tune-up / Refrigerant charge SF</t>
  </si>
  <si>
    <t>403100_2019_12_</t>
  </si>
  <si>
    <t>HP tune-up / Refrigerant charge MF</t>
  </si>
  <si>
    <t>403101_2019_12_</t>
  </si>
  <si>
    <t>403150_2019_12_</t>
  </si>
  <si>
    <t>HP tune-up / Indoor Coil (Evaporator) Cleaning SF</t>
  </si>
  <si>
    <t>403200_2019_12_</t>
  </si>
  <si>
    <t>HP tune-up / Indoor Coil (Evaporator) Cleaning MF</t>
  </si>
  <si>
    <t>403201_2019_12_</t>
  </si>
  <si>
    <t>403250_2019_12_</t>
  </si>
  <si>
    <t>HP tune-up / Outdoor Coil (Condenser) Cleaning SF</t>
  </si>
  <si>
    <t>403300_2019_12_</t>
  </si>
  <si>
    <t>HP tune-up / Outdoor Coil (Condenser) Cleaning MF</t>
  </si>
  <si>
    <t>EUL Sourced from DEER Database Technology and Measure Cost Data. Per MO TRM</t>
  </si>
  <si>
    <r>
      <t>EFLH</t>
    </r>
    <r>
      <rPr>
        <vertAlign val="subscript"/>
        <sz val="11"/>
        <rFont val="Calibri"/>
        <family val="2"/>
        <scheme val="minor"/>
      </rPr>
      <t>cool</t>
    </r>
  </si>
  <si>
    <r>
      <t>Capacity</t>
    </r>
    <r>
      <rPr>
        <vertAlign val="subscript"/>
        <sz val="11"/>
        <rFont val="Calibri"/>
        <family val="2"/>
        <scheme val="minor"/>
      </rPr>
      <t>cool</t>
    </r>
  </si>
  <si>
    <t>Average capacity of 'Air Source Heat Pumps' measures in 'HVAC' program.  Values come from evaluation</t>
  </si>
  <si>
    <r>
      <t>SEER</t>
    </r>
    <r>
      <rPr>
        <vertAlign val="subscript"/>
        <sz val="11"/>
        <rFont val="Calibri"/>
        <family val="2"/>
        <scheme val="minor"/>
      </rPr>
      <t>test-out</t>
    </r>
  </si>
  <si>
    <r>
      <t>EFLH</t>
    </r>
    <r>
      <rPr>
        <vertAlign val="subscript"/>
        <sz val="11"/>
        <rFont val="Calibri"/>
        <family val="2"/>
        <scheme val="minor"/>
      </rPr>
      <t>heat</t>
    </r>
  </si>
  <si>
    <r>
      <t>EFLH</t>
    </r>
    <r>
      <rPr>
        <vertAlign val="subscript"/>
        <sz val="11"/>
        <color theme="1"/>
        <rFont val="Calibri"/>
        <family val="2"/>
        <scheme val="minor"/>
      </rPr>
      <t>heat</t>
    </r>
  </si>
  <si>
    <r>
      <t>Capacity</t>
    </r>
    <r>
      <rPr>
        <vertAlign val="subscript"/>
        <sz val="11"/>
        <rFont val="Calibri"/>
        <family val="2"/>
        <scheme val="minor"/>
      </rPr>
      <t>heat</t>
    </r>
  </si>
  <si>
    <r>
      <t>Capacity</t>
    </r>
    <r>
      <rPr>
        <vertAlign val="subscript"/>
        <sz val="11"/>
        <color theme="1"/>
        <rFont val="Calibri"/>
        <family val="2"/>
        <scheme val="minor"/>
      </rPr>
      <t>heat</t>
    </r>
  </si>
  <si>
    <r>
      <t>HSPF</t>
    </r>
    <r>
      <rPr>
        <vertAlign val="subscript"/>
        <sz val="11"/>
        <rFont val="Calibri"/>
        <family val="2"/>
        <scheme val="minor"/>
      </rPr>
      <t>test-in</t>
    </r>
  </si>
  <si>
    <t>Heating Seasonal Performance Factor before tuning (kBtu/kWh)</t>
  </si>
  <si>
    <t>Based on evaluation results outlined in “Ameren Missouri Heating and Cooling Program Impact and Process Evaluation: Program Year 2015.”</t>
  </si>
  <si>
    <r>
      <t>HSPF</t>
    </r>
    <r>
      <rPr>
        <vertAlign val="subscript"/>
        <sz val="11"/>
        <color theme="1"/>
        <rFont val="Calibri"/>
        <family val="2"/>
        <scheme val="minor"/>
      </rPr>
      <t>test-out</t>
    </r>
  </si>
  <si>
    <r>
      <t>HSPF</t>
    </r>
    <r>
      <rPr>
        <vertAlign val="subscript"/>
        <sz val="11"/>
        <rFont val="Calibri"/>
        <family val="2"/>
        <scheme val="minor"/>
      </rPr>
      <t>test-out</t>
    </r>
  </si>
  <si>
    <t>Heating System Performance Factor of existing Air Source Heat Pump after tuning (kBtu/kWh)</t>
  </si>
  <si>
    <t>MO TRM:  "Assumes the efficiency improvement is the same in heating mode as was realized in cooling mode. Based on the improvement reported in “Ameren Missouri Heating and Cooling Program Impact and Process Evaluation: Program Year 2015"</t>
  </si>
  <si>
    <r>
      <t>Determined through linerar interpolation, using MO TRM value for overall tune-up improvement (HSPF=6.9) and partial improvement values used for General, Refrigerant Charge, and Coil Clean improvements (SEER</t>
    </r>
    <r>
      <rPr>
        <vertAlign val="subscript"/>
        <sz val="11"/>
        <rFont val="Calibri"/>
        <family val="2"/>
        <scheme val="minor"/>
      </rPr>
      <t>test-out</t>
    </r>
    <r>
      <rPr>
        <sz val="11"/>
        <rFont val="Calibri"/>
        <family val="2"/>
        <scheme val="minor"/>
      </rPr>
      <t xml:space="preserve"> values above).  Using 6.9 for all Tune-Up measures would result in double counting of heating savings.  </t>
    </r>
  </si>
  <si>
    <t>Low Flow Faucet Aerators</t>
  </si>
  <si>
    <t>403350_2019_12_</t>
  </si>
  <si>
    <t>Low Flow Bathroom Faucet Aerator MFLI</t>
  </si>
  <si>
    <t>Water heating RES</t>
  </si>
  <si>
    <t>403400_2019_12_</t>
  </si>
  <si>
    <t>MFLI DI</t>
  </si>
  <si>
    <t>Low Flow Bathroom Faucet Aerator MFLI DI</t>
  </si>
  <si>
    <t>403450_2019_12_</t>
  </si>
  <si>
    <t>SFLI DI</t>
  </si>
  <si>
    <t>Low Flow Bathroom Faucet Aerator SFLI DI</t>
  </si>
  <si>
    <t>Parameters</t>
  </si>
  <si>
    <t>Matches Community Savers EM&amp;V</t>
  </si>
  <si>
    <t>The average length of faucet use per day (min/day)</t>
  </si>
  <si>
    <t>Cadmus PY3 metering study. Cited in Ameren Missouri Low Income and Process Evaluation: program Year 2015. p.23</t>
  </si>
  <si>
    <t xml:space="preserve">PY2016 Program Data, per Community Saves 2016 EM&amp;V report. </t>
  </si>
  <si>
    <t>The number of people in the home (ppl/household)</t>
  </si>
  <si>
    <t>PY6 program data (not reported in PY2016).  Ameren Missouri Low Income and Process Evaluation: program Year 2015. p.23</t>
  </si>
  <si>
    <t>Not accounted for in EM&amp;V</t>
  </si>
  <si>
    <t>The number of days per year (day/yr)</t>
  </si>
  <si>
    <t>The number of faucets installed per home</t>
  </si>
  <si>
    <t>Revised to match Community Savers EM&amp;V</t>
  </si>
  <si>
    <t>The specific water heat (Btu/lb degrees F)</t>
  </si>
  <si>
    <t>The average water temperature out of the faucet (°F)</t>
  </si>
  <si>
    <t>Vermont Technical Reference Manual, 2009</t>
  </si>
  <si>
    <t>The average inlet water temperature (°F)</t>
  </si>
  <si>
    <t>Recovery efficiency of the electric hot water heater</t>
  </si>
  <si>
    <t>Cadmus PY3 site visits.  Cited in Ameren Missouri Low Income and Process Evaluation: program Year 2015. p.20</t>
  </si>
  <si>
    <t>Non-DI</t>
  </si>
  <si>
    <t>PY7 site visits</t>
  </si>
  <si>
    <t>DI</t>
  </si>
  <si>
    <t>Matches Ameren Missouri  EE Kits for Non DI PY2017</t>
  </si>
  <si>
    <t>403500_2019_12_</t>
  </si>
  <si>
    <t>Low Flow Showerhead MFLI</t>
  </si>
  <si>
    <t>403550_2019_12_</t>
  </si>
  <si>
    <t>Low Flow Showerhead MFLI DI</t>
  </si>
  <si>
    <t>403551_2019_12_</t>
  </si>
  <si>
    <t>Low Flow Handheld Showerhead MFLI DI</t>
  </si>
  <si>
    <t>403600_2019_12_</t>
  </si>
  <si>
    <t>Low Flow Showerhead SFLI DI</t>
  </si>
  <si>
    <t>403601_2019_12_</t>
  </si>
  <si>
    <t>Low Flow Handheld Showerhead SFLI DI</t>
  </si>
  <si>
    <t xml:space="preserve">Ameren Missouri Community Savers Evaluation PY2018 </t>
  </si>
  <si>
    <t>The average shower length (min/shower)</t>
  </si>
  <si>
    <t>DeOreo, William, P. Mayer, L. Martien, M. Hayden, A. Funk, M. Kramer-Duffield, and R. Davis (2011). “California SingleFamily
Water Use Efficiency Study.” </t>
  </si>
  <si>
    <t xml:space="preserve">DeOreo, William, P. Mayer, L. Martien, M. Hayden, A. Funk, M. Kramer-Duffield, and R. Davis (2011). “California SingleFamily
Water Use Efficiency Study.” </t>
  </si>
  <si>
    <t>Missouri TRM</t>
  </si>
  <si>
    <t>TRM used because EM&amp;V does not provide values for SF and MF households.</t>
  </si>
  <si>
    <t>The number of showers taken per person, per day</t>
  </si>
  <si>
    <t>New formula, same values. Matches Community Savers EM&amp;V</t>
  </si>
  <si>
    <t xml:space="preserve"> The number of days per year (day/yr)</t>
  </si>
  <si>
    <t>The number of showerheads installed per home</t>
  </si>
  <si>
    <t xml:space="preserve"> The specific water heat (BTU/lb-°F)</t>
  </si>
  <si>
    <t>The average water temperature at the showerhead (°F)</t>
  </si>
  <si>
    <t>Ameren Missouri Community Savers Evaluation PY2018 Tenant Surveys and Site Visits</t>
  </si>
  <si>
    <t>Handheld Showerhead DI (SF)</t>
  </si>
  <si>
    <t>Program data - PY19</t>
  </si>
  <si>
    <t>Handheld Showerhead DI (MF)</t>
  </si>
  <si>
    <t>403650_2019_12_</t>
  </si>
  <si>
    <t>Pipe Insulation MFLI</t>
  </si>
  <si>
    <t>403700_2019_12_</t>
  </si>
  <si>
    <t>Pipe Insulation MFLI DI</t>
  </si>
  <si>
    <t>403750_2019_12_</t>
  </si>
  <si>
    <t>Pipe Insulation SFLI DI</t>
  </si>
  <si>
    <t>Circumference (feet) of uninsulated pipe (.75" diameter)</t>
  </si>
  <si>
    <t>Thermal resistance coefficient (hr-°F-ft2)/Btu) of uninsulated pipe</t>
  </si>
  <si>
    <t>PY7 program data</t>
  </si>
  <si>
    <t>Length of pipe from water heating source covered by pipe wrap (ft)</t>
  </si>
  <si>
    <t>Cited in Ameren Missouri Low Income and Process Evaluation: program Year 2015. p.24</t>
  </si>
  <si>
    <t>Ameren Missouri Community Savers Evaluation PY2018 Site Visits</t>
  </si>
  <si>
    <t>Pipe Diameter</t>
  </si>
  <si>
    <t>Effective Useful Life (All)</t>
  </si>
  <si>
    <t>Incremental Cost - Non-DI</t>
  </si>
  <si>
    <t>Incremental Cost - Direct Install (DI)</t>
  </si>
  <si>
    <t>Programmable Thermostat</t>
  </si>
  <si>
    <t>403800_2019_12_</t>
  </si>
  <si>
    <t>Setback thermostat - full setback - ASHP heating/cooling MF</t>
  </si>
  <si>
    <t>403801_2019_12_</t>
  </si>
  <si>
    <t>403850_2019_12_</t>
  </si>
  <si>
    <t>Setback thermostat - full setback - ASHP heating/cooling SF</t>
  </si>
  <si>
    <t>403900_2019_12_</t>
  </si>
  <si>
    <t>Setback thermostat - full setback - elec furnace heating / central AC MF</t>
  </si>
  <si>
    <t>403901_2019_12_</t>
  </si>
  <si>
    <t>403950_2019_12_</t>
  </si>
  <si>
    <t>Setback thermostat - full setback - elec furnace heating / central AC SF</t>
  </si>
  <si>
    <t>404000_2019_12_</t>
  </si>
  <si>
    <t>Setback thermostat - full setback - gas heating / central AC MF</t>
  </si>
  <si>
    <t>404001_2019_12_</t>
  </si>
  <si>
    <t>404050_2019_12_</t>
  </si>
  <si>
    <t>Setback thermostat for SF - full setback - gas heating / central AC </t>
  </si>
  <si>
    <t>404100_2019_12_</t>
  </si>
  <si>
    <t>Setback thermostat - full setback - Unknown MF</t>
  </si>
  <si>
    <t>404101_2019_12_</t>
  </si>
  <si>
    <t>404150_2019_12_</t>
  </si>
  <si>
    <t>Setback thermostat for SF - full setback - Unknown</t>
  </si>
  <si>
    <t>Ameren Missouri Community Savers Evaluation PY2018  Program Data</t>
  </si>
  <si>
    <t>IL-TRM (Based on minimum federal standards between 1992 and 2006) Ameren Missouri Community Savers Evaluation PY2018</t>
  </si>
  <si>
    <r>
      <t>Sbdegrees</t>
    </r>
    <r>
      <rPr>
        <i/>
        <vertAlign val="subscript"/>
        <sz val="11"/>
        <rFont val="Calibri"/>
        <family val="2"/>
        <scheme val="minor"/>
      </rPr>
      <t>_cooling</t>
    </r>
  </si>
  <si>
    <t>Ameren Missouri Community Savers Evaluation PY2018 Site Visit Thermostat SB Data</t>
  </si>
  <si>
    <r>
      <t>SF</t>
    </r>
    <r>
      <rPr>
        <i/>
        <vertAlign val="subscript"/>
        <sz val="11"/>
        <rFont val="Calibri"/>
        <family val="2"/>
        <scheme val="minor"/>
      </rPr>
      <t>_cooling</t>
    </r>
  </si>
  <si>
    <t>ENERGY STAR Calculator - Ameren Missouri Community Savers Evaluation PY2018</t>
  </si>
  <si>
    <r>
      <t>EF</t>
    </r>
    <r>
      <rPr>
        <i/>
        <vertAlign val="subscript"/>
        <sz val="11"/>
        <rFont val="Calibri"/>
        <family val="2"/>
        <scheme val="minor"/>
      </rPr>
      <t>_cooling</t>
    </r>
  </si>
  <si>
    <t>Ameren Missouri Community Savers Evaluation PY2018 Program Data</t>
  </si>
  <si>
    <t>CapacityHeating_electric</t>
  </si>
  <si>
    <t>HSPF</t>
  </si>
  <si>
    <t>IL-TRM (Based on minimum federal standards between 1992 and 2006) - Ameren Missouri Community Savers Evaluation PY2018</t>
  </si>
  <si>
    <r>
      <t>Sbdegrees</t>
    </r>
    <r>
      <rPr>
        <i/>
        <vertAlign val="subscript"/>
        <sz val="11"/>
        <rFont val="Calibri"/>
        <family val="2"/>
        <scheme val="minor"/>
      </rPr>
      <t>_heating</t>
    </r>
  </si>
  <si>
    <r>
      <t>SF</t>
    </r>
    <r>
      <rPr>
        <i/>
        <vertAlign val="subscript"/>
        <sz val="11"/>
        <rFont val="Calibri"/>
        <family val="2"/>
        <scheme val="minor"/>
      </rPr>
      <t>_heating</t>
    </r>
  </si>
  <si>
    <t>ENERGY STAR Calculator</t>
  </si>
  <si>
    <r>
      <t>EF</t>
    </r>
    <r>
      <rPr>
        <i/>
        <vertAlign val="subscript"/>
        <sz val="11"/>
        <rFont val="Calibri"/>
        <family val="2"/>
        <scheme val="minor"/>
      </rPr>
      <t>_heating</t>
    </r>
  </si>
  <si>
    <t>Thermostatic Restrictor Shower Valve</t>
  </si>
  <si>
    <t>404200_2019_12_</t>
  </si>
  <si>
    <t>Shower Start 1.5 gpm electric water heater SFLI DI</t>
  </si>
  <si>
    <t>404250_2019_12_</t>
  </si>
  <si>
    <t>Shower Start 1.5 gpm electric water heater MFLI DI</t>
  </si>
  <si>
    <t>Assumed for DI</t>
  </si>
  <si>
    <t xml:space="preserve">Assumes this measure is installed in tandem with DI low flow showerheads.  </t>
  </si>
  <si>
    <t>Average of the following sources: ShowerStart LLC survey; “Identifying, Quantifying and Reducing Behavioral Waste in the Shower: Exploring the Savings Potential of ShowerStart”, City of San Diego Water Department survey; “Water Conservation Program: ShowerStart Pilot Project White Paper”, and PG&amp;E Work Paper PGECODHW113</t>
  </si>
  <si>
    <t xml:space="preserve">Matches IL TRM.  Not addresed in MO TRM or Cadmus EM&amp;V.  </t>
  </si>
  <si>
    <t xml:space="preserve"> </t>
  </si>
  <si>
    <r>
      <t>RE</t>
    </r>
    <r>
      <rPr>
        <vertAlign val="subscript"/>
        <sz val="11"/>
        <rFont val="Calibri"/>
        <family val="2"/>
        <scheme val="minor"/>
      </rPr>
      <t>electric</t>
    </r>
  </si>
  <si>
    <t>Matches MO TRM</t>
  </si>
  <si>
    <t>PY7 Tenant surveys</t>
  </si>
  <si>
    <t>Water Heater Wrap</t>
  </si>
  <si>
    <t>404300_2019_12_</t>
  </si>
  <si>
    <t>Water Heater Wrap SFLI</t>
  </si>
  <si>
    <t>Surface area (ft2) of storage tank prior to adding tank wrap</t>
  </si>
  <si>
    <t>Average of surface area assumptions from the June 2016 Pennsylvania TRM, for 30, 40, 50, and 80 gallon tanks. Area values were calculated from average dimensions of several commercially available units, with radius values measured to the center of the insulation.  Area includes tank sides and top to account for typical wrap coverage.</t>
  </si>
  <si>
    <t xml:space="preserve">Matches MO TRM.  </t>
  </si>
  <si>
    <t>Thermal resistance coefficient (hr-°F-ft2)/Btu) of uninsulated tank</t>
  </si>
  <si>
    <t xml:space="preserve">Matches MO TRM. </t>
  </si>
  <si>
    <t>Surface area (ft2) of storage tank after addition of tank wrap</t>
  </si>
  <si>
    <t>Matches MO TRM.  Not addressed in Cadmus EM&amp;V</t>
  </si>
  <si>
    <t>Thermal resistance coefficient (hr-°F-ft2)/Btu) of insulated tank</t>
  </si>
  <si>
    <t>Matches MO TRM.</t>
  </si>
  <si>
    <t>Common Area Faucet Aerators</t>
  </si>
  <si>
    <t>404350_2019_12_</t>
  </si>
  <si>
    <t>Common Area Low Flow Bathroom Faucet Aerator</t>
  </si>
  <si>
    <t>In Unit Value</t>
  </si>
  <si>
    <t>In Unit Source</t>
  </si>
  <si>
    <t>Matches Energy Efficiency Kits EM&amp;V. Value not provided in Community Savers EM&amp;V.</t>
  </si>
  <si>
    <t>Usage</t>
  </si>
  <si>
    <t>Estimated usage of mixed water (mixture of hot water from water heater line and cold water line) per faucet (gallons per year)</t>
  </si>
  <si>
    <t>MO TRM value for Hotels.  Value for Multifamily is not proviced, and Hotels is most similar to this building type.  Not addressed in Cadmus EM&amp;V.</t>
  </si>
  <si>
    <t>Missouri 2017 TRM, Section 2.6.2</t>
  </si>
  <si>
    <t>Matches MO TRM.  Not addressed in Cadmus EM&amp;V.</t>
  </si>
  <si>
    <t>No common area measures in PY18</t>
  </si>
  <si>
    <t xml:space="preserve">Common Area Low Flow Showerheads </t>
  </si>
  <si>
    <t>404400_2019_12_</t>
  </si>
  <si>
    <t>Common Area Low Flow Showerhead</t>
  </si>
  <si>
    <t xml:space="preserve">Matches Community Savers EM&amp;V and IL TRM for commercial fixtures.  Commercial values are relevant for common areas.  Not covered in MO TRM. </t>
  </si>
  <si>
    <t xml:space="preserve">Measure not covered in Cadmus EM&amp;V or MO TRM.  IL TRM applied. </t>
  </si>
  <si>
    <t>NSPD</t>
  </si>
  <si>
    <t>Estimated number of showers taken per day for one showerhead</t>
  </si>
  <si>
    <t>Conservative assumption</t>
  </si>
  <si>
    <t xml:space="preserve">Value not provided in IL TRM.  Common area showerheads are not addressed in Cadmus EM&amp;V or the MO TRM.  Assumed a conservative value of 1 shower per day per showerhead. </t>
  </si>
  <si>
    <t>Matches Community Savers EM&amp;V.</t>
  </si>
  <si>
    <t>404450_2019_12_</t>
  </si>
  <si>
    <t>SFLI / MFLI</t>
  </si>
  <si>
    <t>LED - 10.5W Downlight E26 (EISA baseline) LI DI</t>
  </si>
  <si>
    <t>404500_2019_12_</t>
  </si>
  <si>
    <t>LED - 10W (Halogen baseline) LIDI</t>
  </si>
  <si>
    <t>404550_2019_12_</t>
  </si>
  <si>
    <t>LED - 12W (Halogen baseline) LI DI</t>
  </si>
  <si>
    <t>404600_2019_12_</t>
  </si>
  <si>
    <t>404650_2019_12_</t>
  </si>
  <si>
    <t>LED - 15W (Halogen baseline) LIDI</t>
  </si>
  <si>
    <t>404700_2019_12_</t>
  </si>
  <si>
    <t>LED - 15W Flood Light PAR30 Bulb (Halogen baseline) LI DI</t>
  </si>
  <si>
    <t>404750_2019_12_</t>
  </si>
  <si>
    <t>LED - 18W Flood Light PAR38 Bulb (Halogen baseline) LI DI</t>
  </si>
  <si>
    <t>404800_2019_12_</t>
  </si>
  <si>
    <t>LED - 20W (Halogen baseline) LIDI</t>
  </si>
  <si>
    <t>404850_2019_12_</t>
  </si>
  <si>
    <t>LED - 4W Candelabra (Replacing Specialty Incandescent) LI DI</t>
  </si>
  <si>
    <t>404900_2019_12_</t>
  </si>
  <si>
    <t>LED - 4W Candelabra (CFL baseline) LIDI</t>
  </si>
  <si>
    <t>404950_2019_12_</t>
  </si>
  <si>
    <t>LED - 8W Globe Light G25 Bulb (Replacing Specialty Incandescent) LI DI</t>
  </si>
  <si>
    <t>405000_2019_12_</t>
  </si>
  <si>
    <t>LED - 8W Globe Light G25 Bulb (Replacing CFL) LIDI</t>
  </si>
  <si>
    <t>405050_2019_12_</t>
  </si>
  <si>
    <t>LED - 10W (CFL baseline) LIDI</t>
  </si>
  <si>
    <t>405100_2019_12_</t>
  </si>
  <si>
    <t>LED - 10.5W Downlight E26 (CFL baseline) LIDI</t>
  </si>
  <si>
    <t>405150_2019_12_</t>
  </si>
  <si>
    <t>LED - 12W Dimmable Light Bulb (Replacing CFL) LIDI</t>
  </si>
  <si>
    <t>405200_2019_12_</t>
  </si>
  <si>
    <t>LED - 12W (Replacing CFL) LIDI</t>
  </si>
  <si>
    <t>405250_2019_12_</t>
  </si>
  <si>
    <t>LED - 15W (CFL baseline) LIDI</t>
  </si>
  <si>
    <t>405300_2019_12_</t>
  </si>
  <si>
    <t>LED - 15W Flood Light PAR30 Bulb (CFL baseline) LIDI</t>
  </si>
  <si>
    <t>405350_2019_12_</t>
  </si>
  <si>
    <t>LED - 18W Flood Light PAR30 Bulb (CFL baseline) LIDI</t>
  </si>
  <si>
    <t>405400_2019_12_</t>
  </si>
  <si>
    <t>LED - 20W (CFL baseline) LIDI</t>
  </si>
  <si>
    <t>Watts Base EISA</t>
  </si>
  <si>
    <t>Average lumen-equivalent halogen wattage for program bulbs</t>
  </si>
  <si>
    <t>Watts Base Specialty</t>
  </si>
  <si>
    <t>Ameren Missouri Community Savers Evaluation PY2017</t>
  </si>
  <si>
    <t>Watts Base CFL</t>
  </si>
  <si>
    <t>Watts EE EISA</t>
  </si>
  <si>
    <t>Program Wattage - Ameren Missouri Community Savers Evaluation PY2018 workpapers</t>
  </si>
  <si>
    <t>Program Wattage</t>
  </si>
  <si>
    <t>Program Wattage - Ameren Missouri Community Savers Evaluation PY2017 workpapers</t>
  </si>
  <si>
    <t>Watts EE Specialty</t>
  </si>
  <si>
    <t>Watts EE CFL</t>
  </si>
  <si>
    <t>Ameren Missouri Community Savers Evaluation PY2018 workpapers</t>
  </si>
  <si>
    <t>Ameren Missouri Community Savers Evaluation PY2018 workpapers- Weighted Avg. HOU from ADM workpapers</t>
  </si>
  <si>
    <t>Ameren Missouri Community Savers Evaluation PY2018 workpapers- Weighted Avg. calculated from ADM workpapers</t>
  </si>
  <si>
    <t>PY16 Intercept Survey</t>
  </si>
  <si>
    <t>KW Factor_RES</t>
  </si>
  <si>
    <t>Ameren EE Plan PY16-PY18, Appendix E</t>
  </si>
  <si>
    <t>KW Factor _ BUS</t>
  </si>
  <si>
    <t>Hours24/7</t>
  </si>
  <si>
    <t>24/7 hours</t>
  </si>
  <si>
    <t>24*365</t>
  </si>
  <si>
    <t>Hours12/7</t>
  </si>
  <si>
    <t>12/7 hours</t>
  </si>
  <si>
    <t>12*365</t>
  </si>
  <si>
    <t>Effective Useful Life - Residential</t>
  </si>
  <si>
    <t>Effective Useful Life - Business</t>
  </si>
  <si>
    <t>405450_2019_12_</t>
  </si>
  <si>
    <t>Advanced Tier 1 Power Strips / TOS/NC/DI - Home Office</t>
  </si>
  <si>
    <t>405500_2019_12_</t>
  </si>
  <si>
    <t>Advanced Tier 1 Power Strips / Kits - Home Office</t>
  </si>
  <si>
    <t>405550_2019_12_</t>
  </si>
  <si>
    <t>Advanced Tier 1 Power Strips / TOS/NC/DI - Home Entertainment</t>
  </si>
  <si>
    <t>405600_2019_12_</t>
  </si>
  <si>
    <t>Advanced Tier 1 Power Strips / Kits - Home Entertainment</t>
  </si>
  <si>
    <t>405650_2019_12_</t>
  </si>
  <si>
    <t>Advanced Tier 1 Power Strips / TOS/NC/DI - Unknown Location</t>
  </si>
  <si>
    <t>405700_2019_12_</t>
  </si>
  <si>
    <t>Advanced Tier 1 Power  / Kits - Unknown Location</t>
  </si>
  <si>
    <t>405750_2019_12_</t>
  </si>
  <si>
    <t>Advanced Tier 1 Power Strips / Average</t>
  </si>
  <si>
    <t>in service/installation rate</t>
  </si>
  <si>
    <t>Inc. Cost Tier 1 Power Strip</t>
  </si>
  <si>
    <t>Inc. Cost Tier 2 Power Strip</t>
  </si>
  <si>
    <t xml:space="preserve">Class B and G are the 2 classes of power strip currently in the market, therefore the savings of class B and G were averaged for savings estimate (See efficient products deemed table) </t>
  </si>
  <si>
    <t>405800_2019_12_</t>
  </si>
  <si>
    <t>Refrigerator - early replacement ER1</t>
  </si>
  <si>
    <t>Refrigeration RES</t>
  </si>
  <si>
    <t>Refrigerator - early replacement ER2</t>
  </si>
  <si>
    <t>Refrigeration RES ER2</t>
  </si>
  <si>
    <t>405825_2019_12_</t>
  </si>
  <si>
    <t>Refrigerator - Pre 1993 - ER1</t>
  </si>
  <si>
    <t>Refrigerator - Pre 1993 - ER2</t>
  </si>
  <si>
    <t>Existing kWh Consumption</t>
  </si>
  <si>
    <t>Baseline Refrigerator Usage</t>
  </si>
  <si>
    <t>Existing kWh Consumption - Pre 1993</t>
  </si>
  <si>
    <t>Efficient kWh Consumption</t>
  </si>
  <si>
    <t>Age</t>
  </si>
  <si>
    <t>Bottom Freezer</t>
  </si>
  <si>
    <t>Side by Side</t>
  </si>
  <si>
    <t>Top Freezer</t>
  </si>
  <si>
    <t>% Savings</t>
  </si>
  <si>
    <t>Savings factor for ENERGY STAR and CEE Tier 1 refrigerators</t>
  </si>
  <si>
    <t>16 cubic ft.</t>
  </si>
  <si>
    <t>14 cubic ft.</t>
  </si>
  <si>
    <t>15 cubic ft.</t>
  </si>
  <si>
    <t>17 cubic ft.</t>
  </si>
  <si>
    <t>18 cubic ft.</t>
  </si>
  <si>
    <t xml:space="preserve">Average kWh for refrigerators installed from 2011-2015 </t>
  </si>
  <si>
    <t>2011-2015</t>
  </si>
  <si>
    <t>Average kWh for refrigerators installed from 2001(after july)-2010</t>
  </si>
  <si>
    <t>2001(after July)-2010</t>
  </si>
  <si>
    <t>Average kWh for refrigerators installed from 1993-2001(before june)</t>
  </si>
  <si>
    <t>1993-2001(before June)</t>
  </si>
  <si>
    <t>Average kWh for refrigerators installed from 1990-1992</t>
  </si>
  <si>
    <t>1990-1992</t>
  </si>
  <si>
    <t>Average kWh for refrigerators installed from 1980-1989</t>
  </si>
  <si>
    <t>1980-1989</t>
  </si>
  <si>
    <t>Average kWh for refrigerators installed from before 1980</t>
  </si>
  <si>
    <t>before 1980</t>
  </si>
  <si>
    <t xml:space="preserve">Number of Unitsfrom 2011-2015 </t>
  </si>
  <si>
    <t>Number of Unitsfrom 2001(after july)-2010</t>
  </si>
  <si>
    <t>Number of Unitsfrom 1993-2001(before june)</t>
  </si>
  <si>
    <t>Number of Unitsfrom 1990-1992</t>
  </si>
  <si>
    <t>Number of Unitsfrom 1980-1989</t>
  </si>
  <si>
    <t>Number of Unitsfrom before 1980</t>
  </si>
  <si>
    <t>PY18 Evaluation used different methodology</t>
  </si>
  <si>
    <t>405850_2019_12_</t>
  </si>
  <si>
    <t>405900_2019_12_</t>
  </si>
  <si>
    <t>405950_2019_12_</t>
  </si>
  <si>
    <t>406000_2019_12_</t>
  </si>
  <si>
    <t>405851_2019_12_</t>
  </si>
  <si>
    <t>AC - Energy Star Room _5kBtu_Thru-Wall_MF</t>
  </si>
  <si>
    <t>405901_2019_12_</t>
  </si>
  <si>
    <t>AC - Energy Star Room _5kBtu _Thru-Wall_SF</t>
  </si>
  <si>
    <t>AC - Energy Star Room_5kBtu_MF</t>
  </si>
  <si>
    <t>406001_2019_12_</t>
  </si>
  <si>
    <t>AC - Energy Star Room_5kBtu_SF</t>
  </si>
  <si>
    <t>405852_2019_12_</t>
  </si>
  <si>
    <t>AC - Energy Star Room _8kBtu_Thru-Wall_MF</t>
  </si>
  <si>
    <t>405902_2019_12_</t>
  </si>
  <si>
    <t>AC - Energy Star Room _8kBtu_Thru-Wall_SF</t>
  </si>
  <si>
    <t>405952_2019_12_</t>
  </si>
  <si>
    <t>AC - Energy Star Room_8kBtu_MF</t>
  </si>
  <si>
    <t>406002_2019_12_</t>
  </si>
  <si>
    <t>AC - Energy Star Room_8kBtu_SF</t>
  </si>
  <si>
    <t>405853_2019_12_</t>
  </si>
  <si>
    <t>AC - Energy Star Room _10kBtu_Thru-Wall_MF</t>
  </si>
  <si>
    <t>405903_2019_12_</t>
  </si>
  <si>
    <t>AC - Energy Star Room _10kBtu_Thru-Wall_SF</t>
  </si>
  <si>
    <t>405953_2019_12_</t>
  </si>
  <si>
    <t>AC - Energy Star Room_10kBtu_MF</t>
  </si>
  <si>
    <t>406003_2019_12_</t>
  </si>
  <si>
    <t>AC - Energy Star Room_10kBtu_SF</t>
  </si>
  <si>
    <t>405854_2019_12_</t>
  </si>
  <si>
    <t>AC - Energy Star Room _12kBtu_Thru-Wall_MF</t>
  </si>
  <si>
    <t>405904_2019_12_</t>
  </si>
  <si>
    <t>AC - Energy Star Room _12kBtu_Thru-Wall_SF</t>
  </si>
  <si>
    <t>405954_2019_12_</t>
  </si>
  <si>
    <t>AC - Energy Star Room_12kBtu_MF</t>
  </si>
  <si>
    <t>406004_2019_12_</t>
  </si>
  <si>
    <t>AC - Energy Star Room_12kBtu_SF</t>
  </si>
  <si>
    <t>405855_2019_12_</t>
  </si>
  <si>
    <t>AC - Energy Star Room _15kBtu_Thru-Wall_MF</t>
  </si>
  <si>
    <t>405905_2019_12_</t>
  </si>
  <si>
    <t>AC - Energy Star Room _15kBtu_Thru-Wall_SF</t>
  </si>
  <si>
    <t>405955_2019_12_</t>
  </si>
  <si>
    <t>AC - Energy Star Room_15kBtu_MF</t>
  </si>
  <si>
    <t>406005_2019_12_</t>
  </si>
  <si>
    <t>AC - Energy Star Room_15kBtu_SF</t>
  </si>
  <si>
    <t>*</t>
  </si>
  <si>
    <t>SFLI Source</t>
  </si>
  <si>
    <t>Value SFLI</t>
  </si>
  <si>
    <t>MF Source</t>
  </si>
  <si>
    <t>Value MFLI</t>
  </si>
  <si>
    <t>MFLI Value</t>
  </si>
  <si>
    <t>PY13 RebateSavers Database (average Btu)</t>
  </si>
  <si>
    <t>Ameren Missouri Community Savers Evaluation PY2017 - Program Data</t>
  </si>
  <si>
    <t>NONE</t>
  </si>
  <si>
    <t>Standard size:  5000 Btu</t>
  </si>
  <si>
    <t>Standard size:  8000 Btu</t>
  </si>
  <si>
    <t>Standard size:  10000 Btu</t>
  </si>
  <si>
    <t>Standard size:  12000 Btu</t>
  </si>
  <si>
    <t>Standard size:  15000 Btu</t>
  </si>
  <si>
    <t>Federal minimum efficiency standard (updated from EER to CEER in March 2017)</t>
  </si>
  <si>
    <t>PY16 Efficient Products Database (average CEER)</t>
  </si>
  <si>
    <t>Ameren MO TRM</t>
  </si>
  <si>
    <t>Same source for SF &amp; MF</t>
  </si>
  <si>
    <t xml:space="preserve">Ameren Missouri Community Savers Evaluation PY16 Participant Survey </t>
  </si>
  <si>
    <t>RESIDENTIAL HOME ENERGY REPORT</t>
  </si>
  <si>
    <t>Home Energy Report</t>
  </si>
  <si>
    <t>450050_2019_12_</t>
  </si>
  <si>
    <t xml:space="preserve">Home Energy Report </t>
  </si>
  <si>
    <t>per report</t>
  </si>
  <si>
    <t>RESIDENTIAL MULTI-FAMILY MARKET RATE</t>
  </si>
  <si>
    <t>Entire Document Is Confidential and Submitted for Purposes of Potential Settlement.</t>
  </si>
  <si>
    <t xml:space="preserve">*MFMRc = Multifamily Market Rate Comprehensive Envelope,  CompE = Comprehensive Envelope </t>
  </si>
  <si>
    <t>500050_2019_12_</t>
  </si>
  <si>
    <t>MFMR</t>
  </si>
  <si>
    <t>General Tune-Up (no charge or coil clean) / MFMR</t>
  </si>
  <si>
    <t>500051_2019_12_</t>
  </si>
  <si>
    <t>MFMRc</t>
  </si>
  <si>
    <t>500100_2019_12_</t>
  </si>
  <si>
    <t>AC Tune-up / refrigerant charge / MFMR</t>
  </si>
  <si>
    <t>500101_2019_12_</t>
  </si>
  <si>
    <t>500150_2019_12_</t>
  </si>
  <si>
    <t>Indoor Coil (Evaporator) Cleaning / MFMR</t>
  </si>
  <si>
    <t>500151_2019_12_</t>
  </si>
  <si>
    <t>500200_2019_12_</t>
  </si>
  <si>
    <t>Outdoor Coil (Condenser) Cleaning / MFMR</t>
  </si>
  <si>
    <t>500201_2019_12_</t>
  </si>
  <si>
    <t>SF capacity for same measure *0.65, per Ameren guidance.</t>
  </si>
  <si>
    <r>
      <t>SEER</t>
    </r>
    <r>
      <rPr>
        <vertAlign val="subscript"/>
        <sz val="11"/>
        <rFont val="Calibri"/>
        <family val="2"/>
        <scheme val="minor"/>
      </rPr>
      <t>test-in</t>
    </r>
  </si>
  <si>
    <t>Assuming:  EER = (-0.02 * SEER2) + (1.12 * SEER), 
this SEER value is based on test-in efficiency of 10.5 EER, as listed in “Ameren Missouri Heating and Cooling Program Impact and Process Evaluation: Program Year 2015.”</t>
  </si>
  <si>
    <t>Matches MO TRM.  Measure not found in Cadmus Heating and Cooling EM&amp;V</t>
  </si>
  <si>
    <t>Indoor Coil (Evaporator) Cleaning SF</t>
  </si>
  <si>
    <t>Outdoor Coil (Condenser) Cleaning SF</t>
  </si>
  <si>
    <t>Ceiling Insulation R11-R49 MFMR electric furnace base</t>
  </si>
  <si>
    <t>Ceiling Insulation R11-R49 MFMR gas heat and electric cool base</t>
  </si>
  <si>
    <t>Ceiling Insulation R5-R30 MFMR electric furnace base</t>
  </si>
  <si>
    <t>Ceiling Insulation R5-R30 MFMR gas heat and electric cool base</t>
  </si>
  <si>
    <t>Ceiling Insulation R5-R38 MFMR electric furnace base</t>
  </si>
  <si>
    <t>Ceiling Insulation R5-R38 MFMR gas heat and electric cool base</t>
  </si>
  <si>
    <t>Ceiling Insulation R5-R49 MFMR electric furnace base</t>
  </si>
  <si>
    <t>Ceiling Insulation R5-R49 MFMR gas heat and electric cool base</t>
  </si>
  <si>
    <t>Ceiling Insulation R5-R60 MFMR electric furnace base</t>
  </si>
  <si>
    <t>Ceiling Insulation R5-R60 MFMR gas heat and electric cool base</t>
  </si>
  <si>
    <t>Ceiling Insulation R11-R49 MF electric furnace base</t>
  </si>
  <si>
    <t>Ceiling Insulation R11-R49 MF gas heat and electric cool base</t>
  </si>
  <si>
    <t>Ceiling Insulation R5-R30 MF electric furnace base</t>
  </si>
  <si>
    <t>Ceiling Insulation R5-R30 MF gas heat and electric cool base</t>
  </si>
  <si>
    <t>Ceiling Insulation R5-R38 MF electric furnace base</t>
  </si>
  <si>
    <t>Ceiling Insulation R5-R38 MF gas heat and electric cool base</t>
  </si>
  <si>
    <t>Ceiling Insulation R5-R49 MF electric furnace base</t>
  </si>
  <si>
    <t>Ceiling Insulation R5-R49 MF gas heat and electric cool base</t>
  </si>
  <si>
    <t>Ceiling Insulation R5-R60 MF electric furnace base</t>
  </si>
  <si>
    <t>Ceiling Insulation R5-R60 MF gas heat and electric cool base</t>
  </si>
  <si>
    <r>
      <t>R</t>
    </r>
    <r>
      <rPr>
        <i/>
        <vertAlign val="subscript"/>
        <sz val="11"/>
        <rFont val="Calibri"/>
        <family val="2"/>
        <scheme val="minor"/>
      </rPr>
      <t>old</t>
    </r>
  </si>
  <si>
    <r>
      <t>R</t>
    </r>
    <r>
      <rPr>
        <i/>
        <vertAlign val="subscript"/>
        <sz val="11"/>
        <rFont val="Calibri"/>
        <family val="2"/>
        <scheme val="minor"/>
      </rPr>
      <t>Attic</t>
    </r>
  </si>
  <si>
    <r>
      <t>A</t>
    </r>
    <r>
      <rPr>
        <i/>
        <vertAlign val="subscript"/>
        <sz val="11"/>
        <rFont val="Calibri"/>
        <family val="2"/>
        <scheme val="minor"/>
      </rPr>
      <t>Attic</t>
    </r>
  </si>
  <si>
    <t>Assumed same as R5-R49</t>
  </si>
  <si>
    <t>Assumed same as R5-R50</t>
  </si>
  <si>
    <r>
      <t>Framing Factor</t>
    </r>
    <r>
      <rPr>
        <i/>
        <vertAlign val="subscript"/>
        <sz val="11"/>
        <rFont val="Calibri"/>
        <family val="2"/>
        <scheme val="minor"/>
      </rPr>
      <t>Attic</t>
    </r>
  </si>
  <si>
    <r>
      <t>Adj</t>
    </r>
    <r>
      <rPr>
        <i/>
        <vertAlign val="subscript"/>
        <sz val="11"/>
        <rFont val="Calibri"/>
        <family val="2"/>
        <scheme val="minor"/>
      </rPr>
      <t>Attic</t>
    </r>
  </si>
  <si>
    <t>Program. Tstat value</t>
  </si>
  <si>
    <t>Dirty Filter Alarm_MFMR</t>
  </si>
  <si>
    <t>Assumed all have Ameren as electric Utility provider.</t>
  </si>
  <si>
    <t>Assumed filter changes by customer require reinstallation</t>
  </si>
  <si>
    <t>MO-Evaluation</t>
  </si>
  <si>
    <t>EUL*</t>
  </si>
  <si>
    <t>500800_2019_12_</t>
  </si>
  <si>
    <t>ECM Auto Fan Early Replacement ER1 (Full Cost) - MFMR</t>
  </si>
  <si>
    <t>ECM Auto Fan Early Replacement ER2 (Remaining Life) - MFMR</t>
  </si>
  <si>
    <t>HVAC RES ER2</t>
  </si>
  <si>
    <t>*EUL rounded down from 20 to 18 total years to make values divisable by 3</t>
  </si>
  <si>
    <r>
      <t xml:space="preserve">EFLH </t>
    </r>
    <r>
      <rPr>
        <i/>
        <vertAlign val="subscript"/>
        <sz val="11"/>
        <rFont val="Calibri Light"/>
        <family val="2"/>
        <scheme val="major"/>
      </rPr>
      <t>heating</t>
    </r>
  </si>
  <si>
    <r>
      <t xml:space="preserve">WI_EFLH </t>
    </r>
    <r>
      <rPr>
        <i/>
        <vertAlign val="subscript"/>
        <sz val="11"/>
        <rFont val="Calibri Light"/>
        <family val="2"/>
        <scheme val="major"/>
      </rPr>
      <t>heating</t>
    </r>
  </si>
  <si>
    <r>
      <t xml:space="preserve">EFLH </t>
    </r>
    <r>
      <rPr>
        <i/>
        <vertAlign val="subscript"/>
        <sz val="11"/>
        <rFont val="Calibri Light"/>
        <family val="2"/>
        <scheme val="major"/>
      </rPr>
      <t>cooling</t>
    </r>
  </si>
  <si>
    <r>
      <t xml:space="preserve">WI_EFLH </t>
    </r>
    <r>
      <rPr>
        <i/>
        <vertAlign val="subscript"/>
        <sz val="11"/>
        <rFont val="Calibri Light"/>
        <family val="2"/>
        <scheme val="major"/>
      </rPr>
      <t>cooling</t>
    </r>
  </si>
  <si>
    <t>% run time</t>
  </si>
  <si>
    <t>500850_2019_12_</t>
  </si>
  <si>
    <t>500900_2019_12_</t>
  </si>
  <si>
    <t>500950_2019_12_</t>
  </si>
  <si>
    <t>501000_2019_12_</t>
  </si>
  <si>
    <t>LED - 12W Dimmable Light Bulb (Replacing Specialty Incandescent)</t>
  </si>
  <si>
    <t>501050_2019_12_</t>
  </si>
  <si>
    <t>LED - 12W (Halogen baseline)</t>
  </si>
  <si>
    <t>501100_2019_12_</t>
  </si>
  <si>
    <t>LED - 12W (Replacing CFL)</t>
  </si>
  <si>
    <t>501150_2019_12_</t>
  </si>
  <si>
    <t>501200_2019_12_</t>
  </si>
  <si>
    <t>501250_2019_12_</t>
  </si>
  <si>
    <t>501300_2019_12_</t>
  </si>
  <si>
    <t>501350_2019_12_</t>
  </si>
  <si>
    <t>501400_2019_12_</t>
  </si>
  <si>
    <t>501450_2019_12_</t>
  </si>
  <si>
    <t>LED Nightlights</t>
  </si>
  <si>
    <t xml:space="preserve">Statewide Formula: </t>
  </si>
  <si>
    <t xml:space="preserve"> Watts Base CFL</t>
  </si>
  <si>
    <t>Watts Base Nightlights</t>
  </si>
  <si>
    <t>Deemed savings - 22 kWh</t>
  </si>
  <si>
    <t xml:space="preserve"> Watts EE CFL</t>
  </si>
  <si>
    <t xml:space="preserve"> Watts EE Nightlights</t>
  </si>
  <si>
    <t xml:space="preserve">ADM 2017 Community Savers EM&amp;V </t>
  </si>
  <si>
    <t>Faucet Aerators (Kitchen)</t>
  </si>
  <si>
    <t>501500_2019_12_</t>
  </si>
  <si>
    <t>Faucet Aerators (Kitchen) MFMR</t>
  </si>
  <si>
    <t>Assumed for MF Market.</t>
  </si>
  <si>
    <t>Matches EE Kits EM&amp;V.</t>
  </si>
  <si>
    <t xml:space="preserve">PY14 Community Savers Program Data </t>
  </si>
  <si>
    <t>PY13 Program Data</t>
  </si>
  <si>
    <t xml:space="preserve">PY15 Evaluation </t>
  </si>
  <si>
    <t>Faucet Aerators (Bathroom)</t>
  </si>
  <si>
    <t>501550_2019_12_</t>
  </si>
  <si>
    <t>Faucet Aerators (Bathroom) MFMR</t>
  </si>
  <si>
    <t>Low Flow Showerhead</t>
  </si>
  <si>
    <t>501600_2019_12_</t>
  </si>
  <si>
    <t>Low Flow Showerhead MFMR</t>
  </si>
  <si>
    <t>Illinois Statewide Technical Reference Manual for Energy Efficiency Version 5.0. pp. 184. 2016. Available Online: http://ilsagfiles.org/SAG_files/Technical_Reference_x000D_
_Manual/Version_5/Final/IL-TRM_Version_5.0_dated_February-11-2016_Final_Compiled_Volumes_1-4.pdf</t>
  </si>
  <si>
    <t>Matches Community Savers EM&amp;V</t>
  </si>
  <si>
    <t xml:space="preserve">DeOreo, William, P. Mayer, L. Martien, M. Hayden, A. Funk, M. Kramer-Duffield, and R. Davis (2011). “California SingleFamily_x000D_
Water Use Efficiency Study.” </t>
  </si>
  <si>
    <t>Retrieving data. Wait a few seconds and try to cut or copy again.</t>
  </si>
  <si>
    <t>Direct Install</t>
  </si>
  <si>
    <t>Time of Sale</t>
  </si>
  <si>
    <t>501650_2019_12_</t>
  </si>
  <si>
    <t>501700_2019_12_</t>
  </si>
  <si>
    <t>501750_2019_12_</t>
  </si>
  <si>
    <t>501800_2019_12_</t>
  </si>
  <si>
    <t>501850_2019_12_</t>
  </si>
  <si>
    <t>501900_2019_12_</t>
  </si>
  <si>
    <t>501950_2019_12_</t>
  </si>
  <si>
    <t>502000_2019_12_</t>
  </si>
  <si>
    <t>502050_2019_12_</t>
  </si>
  <si>
    <t>502100_2019_12_</t>
  </si>
  <si>
    <t>502150_2019_12_</t>
  </si>
  <si>
    <t>502200_2019_12_</t>
  </si>
  <si>
    <t>502250_2019_12_</t>
  </si>
  <si>
    <t>502300_2019_12_</t>
  </si>
  <si>
    <t>502350_2019_12_</t>
  </si>
  <si>
    <t>*Cost determined through online search - retail price of Embertec and TrickleStar prices</t>
  </si>
  <si>
    <t>High Efficienty Pool Pump</t>
  </si>
  <si>
    <r>
      <t>kWh</t>
    </r>
    <r>
      <rPr>
        <vertAlign val="subscript"/>
        <sz val="11"/>
        <rFont val="Calibri"/>
        <family val="2"/>
        <scheme val="minor"/>
      </rPr>
      <t>ss</t>
    </r>
    <r>
      <rPr>
        <sz val="11"/>
        <rFont val="Calibri"/>
        <family val="2"/>
        <scheme val="minor"/>
      </rPr>
      <t>/Day</t>
    </r>
  </si>
  <si>
    <r>
      <t>kWh</t>
    </r>
    <r>
      <rPr>
        <vertAlign val="subscript"/>
        <sz val="11"/>
        <rFont val="Calibri"/>
        <family val="2"/>
        <scheme val="minor"/>
      </rPr>
      <t>hs</t>
    </r>
    <r>
      <rPr>
        <sz val="11"/>
        <rFont val="Calibri"/>
        <family val="2"/>
        <scheme val="minor"/>
      </rPr>
      <t>/Day</t>
    </r>
  </si>
  <si>
    <r>
      <t>kWh</t>
    </r>
    <r>
      <rPr>
        <vertAlign val="subscript"/>
        <sz val="11"/>
        <rFont val="Calibri"/>
        <family val="2"/>
        <scheme val="minor"/>
      </rPr>
      <t>ls</t>
    </r>
    <r>
      <rPr>
        <sz val="11"/>
        <rFont val="Calibri"/>
        <family val="2"/>
        <scheme val="minor"/>
      </rPr>
      <t>/Day</t>
    </r>
  </si>
  <si>
    <t>502400_2019_12_</t>
  </si>
  <si>
    <t>Variable Speed Pool Pump</t>
  </si>
  <si>
    <t>Days per year of operation</t>
  </si>
  <si>
    <t>PY16 EM&amp;V</t>
  </si>
  <si>
    <t>Runtime in hours/day in high speed (hs) using multi-speed pump</t>
  </si>
  <si>
    <t>Gallons per a minute in high speed (hs) using multi-speed pump</t>
  </si>
  <si>
    <t>Runtime in hours/day in low speed (ls) using multi-speed pump</t>
  </si>
  <si>
    <t>Gallons per a minute in low speed (ls) using multi-speed pump</t>
  </si>
  <si>
    <t>The conversion rate from minutes to hours (min/hr)</t>
  </si>
  <si>
    <r>
      <t>EF</t>
    </r>
    <r>
      <rPr>
        <vertAlign val="subscript"/>
        <sz val="11"/>
        <rFont val="Calibri"/>
        <family val="2"/>
        <scheme val="minor"/>
      </rPr>
      <t>ss</t>
    </r>
  </si>
  <si>
    <r>
      <t>EF</t>
    </r>
    <r>
      <rPr>
        <vertAlign val="subscript"/>
        <sz val="11"/>
        <rFont val="Calibri"/>
        <family val="2"/>
        <scheme val="minor"/>
      </rPr>
      <t>hs</t>
    </r>
  </si>
  <si>
    <t>Energy factor (gallons/watt-hr)  in high speed (hs) using multi-speed pump</t>
  </si>
  <si>
    <r>
      <t>EF</t>
    </r>
    <r>
      <rPr>
        <vertAlign val="subscript"/>
        <sz val="11"/>
        <rFont val="Calibri"/>
        <family val="2"/>
        <scheme val="minor"/>
      </rPr>
      <t>ls</t>
    </r>
  </si>
  <si>
    <t>Energy factor (gallons/watt-hr)  in low speed (ls) using multi-speed pump</t>
  </si>
  <si>
    <t>502450_2019_12_</t>
  </si>
  <si>
    <t>Refrigerator - early replacement ER1 (full cost)   -  MFMR</t>
  </si>
  <si>
    <t xml:space="preserve">Refrigerator - early replacement ER2 (remaining life) - MFMR </t>
  </si>
  <si>
    <r>
      <t>kWh</t>
    </r>
    <r>
      <rPr>
        <vertAlign val="subscript"/>
        <sz val="11"/>
        <rFont val="Calibri"/>
        <family val="2"/>
        <scheme val="minor"/>
      </rPr>
      <t>Base</t>
    </r>
  </si>
  <si>
    <r>
      <t>kWh</t>
    </r>
    <r>
      <rPr>
        <vertAlign val="subscript"/>
        <sz val="11"/>
        <rFont val="Calibri"/>
        <family val="2"/>
        <scheme val="minor"/>
      </rPr>
      <t>new</t>
    </r>
  </si>
  <si>
    <t>Reference Table, kWh Use</t>
  </si>
  <si>
    <r>
      <t>kWh</t>
    </r>
    <r>
      <rPr>
        <vertAlign val="subscript"/>
        <sz val="11"/>
        <rFont val="Calibri"/>
        <family val="2"/>
        <scheme val="minor"/>
      </rPr>
      <t>2011-2015</t>
    </r>
  </si>
  <si>
    <t>PY16EM&amp;V - Community Savers</t>
  </si>
  <si>
    <r>
      <t>kWh</t>
    </r>
    <r>
      <rPr>
        <vertAlign val="subscript"/>
        <sz val="11"/>
        <rFont val="Calibri"/>
        <family val="2"/>
        <scheme val="minor"/>
      </rPr>
      <t>2001(after July)-2010</t>
    </r>
  </si>
  <si>
    <r>
      <t>kWh</t>
    </r>
    <r>
      <rPr>
        <vertAlign val="subscript"/>
        <sz val="11"/>
        <rFont val="Calibri"/>
        <family val="2"/>
        <scheme val="minor"/>
      </rPr>
      <t>1993-2001(before June)</t>
    </r>
  </si>
  <si>
    <r>
      <t>kWh</t>
    </r>
    <r>
      <rPr>
        <vertAlign val="subscript"/>
        <sz val="11"/>
        <rFont val="Calibri"/>
        <family val="2"/>
        <scheme val="minor"/>
      </rPr>
      <t>1990-1992</t>
    </r>
  </si>
  <si>
    <r>
      <t>kWh</t>
    </r>
    <r>
      <rPr>
        <vertAlign val="subscript"/>
        <sz val="11"/>
        <rFont val="Calibri"/>
        <family val="2"/>
        <scheme val="minor"/>
      </rPr>
      <t>1980-1989</t>
    </r>
  </si>
  <si>
    <r>
      <t>kWh</t>
    </r>
    <r>
      <rPr>
        <vertAlign val="subscript"/>
        <sz val="11"/>
        <rFont val="Calibri"/>
        <family val="2"/>
        <scheme val="minor"/>
      </rPr>
      <t>before 1980</t>
    </r>
  </si>
  <si>
    <r>
      <t>Number of Units</t>
    </r>
    <r>
      <rPr>
        <vertAlign val="subscript"/>
        <sz val="11"/>
        <rFont val="Calibri"/>
        <family val="2"/>
        <scheme val="minor"/>
      </rPr>
      <t>2011-2015</t>
    </r>
  </si>
  <si>
    <r>
      <t>Number of Units</t>
    </r>
    <r>
      <rPr>
        <vertAlign val="subscript"/>
        <sz val="11"/>
        <rFont val="Calibri"/>
        <family val="2"/>
        <scheme val="minor"/>
      </rPr>
      <t>2001(after July)-2010</t>
    </r>
  </si>
  <si>
    <r>
      <t>Number of Units</t>
    </r>
    <r>
      <rPr>
        <vertAlign val="subscript"/>
        <sz val="11"/>
        <rFont val="Calibri"/>
        <family val="2"/>
        <scheme val="minor"/>
      </rPr>
      <t>1993-2001(before June)</t>
    </r>
  </si>
  <si>
    <r>
      <t>Number of Units</t>
    </r>
    <r>
      <rPr>
        <vertAlign val="subscript"/>
        <sz val="11"/>
        <rFont val="Calibri"/>
        <family val="2"/>
        <scheme val="minor"/>
      </rPr>
      <t>1990-1992</t>
    </r>
  </si>
  <si>
    <r>
      <t>Number of Units</t>
    </r>
    <r>
      <rPr>
        <vertAlign val="subscript"/>
        <sz val="11"/>
        <rFont val="Calibri"/>
        <family val="2"/>
        <scheme val="minor"/>
      </rPr>
      <t>1980-1989</t>
    </r>
  </si>
  <si>
    <r>
      <t>Number of Units</t>
    </r>
    <r>
      <rPr>
        <vertAlign val="subscript"/>
        <sz val="11"/>
        <rFont val="Calibri"/>
        <family val="2"/>
        <scheme val="minor"/>
      </rPr>
      <t>before 1980</t>
    </r>
  </si>
  <si>
    <t>RESIDENTIAL APPLIANCE RECYCLING</t>
  </si>
  <si>
    <t>Refrigerator Recycling</t>
  </si>
  <si>
    <t>550050_2019_12_</t>
  </si>
  <si>
    <t>Appliance Recycling</t>
  </si>
  <si>
    <t>Refrigerator recycling (pre-1990)</t>
  </si>
  <si>
    <t>550100_2019_12_</t>
  </si>
  <si>
    <t>Refrigerator recycling (post-1990</t>
  </si>
  <si>
    <t>UEC</t>
  </si>
  <si>
    <t>Unit Energy Consumption</t>
  </si>
  <si>
    <t>Cadmus evaluation of Ameren Missouri refrigerator recycling program year 2015</t>
  </si>
  <si>
    <t>Part Use Factor</t>
  </si>
  <si>
    <t>550150_2019_12_</t>
  </si>
  <si>
    <t>Freezer recycling</t>
  </si>
  <si>
    <t>Freezer RES</t>
  </si>
  <si>
    <t>Room AC</t>
  </si>
  <si>
    <t>550200_2019_12_</t>
  </si>
  <si>
    <t>Room AC recycling - Primary</t>
  </si>
  <si>
    <t>550250_2019_12_</t>
  </si>
  <si>
    <t>Room AC recycling - Secondary</t>
  </si>
  <si>
    <t>*Cost  based on full cost of Room AC equipment ($349) and ratio of refridgerator recycling cost ($140) to full refridgerator cost ($742 + $11) .  Full cost of Room AC is based on an internet search. </t>
  </si>
  <si>
    <t>Hours Primary</t>
  </si>
  <si>
    <t>Full Load Hours of room air conditioning primary unit</t>
  </si>
  <si>
    <t>Hours Secondary</t>
  </si>
  <si>
    <t>Full Load Hours of room air conditioning Secondary unit</t>
  </si>
  <si>
    <t>BtuH</t>
  </si>
  <si>
    <t>Size of unit</t>
  </si>
  <si>
    <t>Efficiency of recycled unit</t>
  </si>
  <si>
    <t>% replaced</t>
  </si>
  <si>
    <t>Percentage of units dropped off that are replaced</t>
  </si>
  <si>
    <t>Efficiency of baseline unit</t>
  </si>
  <si>
    <t>Dehumidifier Recycling</t>
  </si>
  <si>
    <t>550300_2019_12_</t>
  </si>
  <si>
    <t>*EUL assumed to be 33% higher than Room AC EUL, based on TRM values for full equipment life (12 for dehumidifier and 9 for Room AC)</t>
  </si>
  <si>
    <t>**Cost assumed based on full cost of Dehumidifier equipment ($230) and ratio of refrigerator recycling cost ($140) to full refridgerator cost ($742 + $11) .  Full cost of Dehumidifier is based on an internet search. </t>
  </si>
  <si>
    <t>Deemed Savings</t>
  </si>
  <si>
    <t xml:space="preserve">2018 MEMD Master Database, measure code N-RE-AP-010111-E-XX-XX-XX-XX-01.   http://www.michigan.gov/mpsc/0,4639,7-159-52495_55129---,00.html </t>
  </si>
  <si>
    <t>http://www.puc.state.pa.us/Electric/pdf/Act129/Act129_TRM-2014_Redlined_V2.pdf</t>
  </si>
  <si>
    <t>RESIDENTIAL DEMAND RESPONSE</t>
  </si>
  <si>
    <t>Demand Response</t>
  </si>
  <si>
    <t>Gross kWh Annual Savings</t>
  </si>
  <si>
    <t>kW (Annual)*</t>
  </si>
  <si>
    <t>600050_2019_12_</t>
  </si>
  <si>
    <t>DR</t>
  </si>
  <si>
    <t>Demand Response Advanced Thermostat</t>
  </si>
  <si>
    <t>per thermostat</t>
  </si>
  <si>
    <t>RESIDENTIAL</t>
  </si>
  <si>
    <t>Appliances RES</t>
  </si>
  <si>
    <t>Clothes Dryer RES</t>
  </si>
  <si>
    <t>Clothes Washer RES</t>
  </si>
  <si>
    <t>Color TV RES</t>
  </si>
  <si>
    <t>Cooking RES</t>
  </si>
  <si>
    <t>Dishwasher RES</t>
  </si>
  <si>
    <t>Freezer RES ER2</t>
  </si>
  <si>
    <t>BUSINESS</t>
  </si>
  <si>
    <t>Building Shell BUS</t>
  </si>
  <si>
    <t>Process BUS</t>
  </si>
  <si>
    <t>Avoided Cost Benefits per Measure per kWh</t>
  </si>
  <si>
    <t>Air Comp BUS 1 Year EUL</t>
  </si>
  <si>
    <t>Air Comp BUS 10 Year EUL</t>
  </si>
  <si>
    <t>Air Comp BUS 11 Year EUL</t>
  </si>
  <si>
    <t>Air Comp BUS 12 Year EUL</t>
  </si>
  <si>
    <t>Air Comp BUS 13 Year EUL</t>
  </si>
  <si>
    <t>Air Comp BUS 14 Year EUL</t>
  </si>
  <si>
    <t>Air Comp BUS 15 Year EUL</t>
  </si>
  <si>
    <t>Air Comp BUS 16 Year EUL</t>
  </si>
  <si>
    <t>Air Comp BUS 17 Year EUL</t>
  </si>
  <si>
    <t>Air Comp BUS 18 Year EUL</t>
  </si>
  <si>
    <t>Air Comp BUS 19 Year EUL</t>
  </si>
  <si>
    <t>Air Comp BUS 2 Year EUL</t>
  </si>
  <si>
    <t>Air Comp BUS 20 Year EUL</t>
  </si>
  <si>
    <t>Air Comp BUS 21 Year EUL</t>
  </si>
  <si>
    <t>Air Comp BUS 22 Year EUL</t>
  </si>
  <si>
    <t>Air Comp BUS 23 Year EUL</t>
  </si>
  <si>
    <t>Air Comp BUS 24 Year EUL</t>
  </si>
  <si>
    <t>Air Comp BUS 25 Year EUL</t>
  </si>
  <si>
    <t>Air Comp BUS 26 Year EUL</t>
  </si>
  <si>
    <t>Air Comp BUS 27 Year EUL</t>
  </si>
  <si>
    <t>Air Comp BUS 28 Year EUL</t>
  </si>
  <si>
    <t>Air Comp BUS 29 Year EUL</t>
  </si>
  <si>
    <t>Air Comp BUS 3 Year EUL</t>
  </si>
  <si>
    <t>Air Comp BUS 30 Year EUL</t>
  </si>
  <si>
    <t>Air Comp BUS 4 Year EUL</t>
  </si>
  <si>
    <t>Air Comp BUS 5 Year EUL</t>
  </si>
  <si>
    <t>Air Comp BUS 6 Year EUL</t>
  </si>
  <si>
    <t>Air Comp BUS 7 Year EUL</t>
  </si>
  <si>
    <t>Air Comp BUS 8 Year EUL</t>
  </si>
  <si>
    <t>Air Comp BUS 9 Year EUL</t>
  </si>
  <si>
    <t>Appliances RES 1 Year EUL</t>
  </si>
  <si>
    <t>Appliances RES 10 Year EUL</t>
  </si>
  <si>
    <t>Appliances RES 11 Year EUL</t>
  </si>
  <si>
    <t>Appliances RES 12 Year EUL</t>
  </si>
  <si>
    <t>Appliances RES 13 Year EUL</t>
  </si>
  <si>
    <t>Appliances RES 14 Year EUL</t>
  </si>
  <si>
    <t>Appliances RES 15 Year EUL</t>
  </si>
  <si>
    <t>Appliances RES 16 Year EUL</t>
  </si>
  <si>
    <t>Appliances RES 17 Year EUL</t>
  </si>
  <si>
    <t>Appliances RES 18 Year EUL</t>
  </si>
  <si>
    <t>Appliances RES 19 Year EUL</t>
  </si>
  <si>
    <t>Appliances RES 2 Year EUL</t>
  </si>
  <si>
    <t>Appliances RES 20 Year EUL</t>
  </si>
  <si>
    <t>Appliances RES 21 Year EUL</t>
  </si>
  <si>
    <t>Appliances RES 22 Year EUL</t>
  </si>
  <si>
    <t>Appliances RES 23 Year EUL</t>
  </si>
  <si>
    <t>Appliances RES 24 Year EUL</t>
  </si>
  <si>
    <t>Appliances RES 25 Year EUL</t>
  </si>
  <si>
    <t>Appliances RES 3 Year EUL</t>
  </si>
  <si>
    <t>Appliances RES 4 Year EUL</t>
  </si>
  <si>
    <t>Appliances RES 5 Year EUL</t>
  </si>
  <si>
    <t>Appliances RES 6 Year EUL</t>
  </si>
  <si>
    <t>Appliances RES 7 Year EUL</t>
  </si>
  <si>
    <t>Appliances RES 8 Year EUL</t>
  </si>
  <si>
    <t>Appliances RES 9 Year EUL</t>
  </si>
  <si>
    <t>Building Shell BUS 1 Year EUL</t>
  </si>
  <si>
    <t>Building Shell BUS 10 Year EUL</t>
  </si>
  <si>
    <t>Building Shell BUS 11 Year EUL</t>
  </si>
  <si>
    <t>Building Shell BUS 12 Year EUL</t>
  </si>
  <si>
    <t>Building Shell BUS 13 Year EUL</t>
  </si>
  <si>
    <t>Building Shell BUS 14 Year EUL</t>
  </si>
  <si>
    <t>Building Shell BUS 15 Year EUL</t>
  </si>
  <si>
    <t>Building Shell BUS 16 Year EUL</t>
  </si>
  <si>
    <t>Building Shell BUS 17 Year EUL</t>
  </si>
  <si>
    <t>Building Shell BUS 18 Year EUL</t>
  </si>
  <si>
    <t>Building Shell BUS 19 Year EUL</t>
  </si>
  <si>
    <t>Building Shell BUS 2 Year EUL</t>
  </si>
  <si>
    <t>Building Shell BUS 20 Year EUL</t>
  </si>
  <si>
    <t>Building Shell BUS 21 Year EUL</t>
  </si>
  <si>
    <t>Building Shell BUS 22 Year EUL</t>
  </si>
  <si>
    <t>Building Shell BUS 23 Year EUL</t>
  </si>
  <si>
    <t>Building Shell BUS 24 Year EUL</t>
  </si>
  <si>
    <t>Building Shell BUS 25 Year EUL</t>
  </si>
  <si>
    <t>Building Shell BUS 26 Year EUL</t>
  </si>
  <si>
    <t>Building Shell BUS 27 Year EUL</t>
  </si>
  <si>
    <t>Building Shell BUS 28 Year EUL</t>
  </si>
  <si>
    <t>Building Shell BUS 29 Year EUL</t>
  </si>
  <si>
    <t>Building Shell BUS 3 Year EUL</t>
  </si>
  <si>
    <t>Building Shell BUS 30 Year EUL</t>
  </si>
  <si>
    <t>Building Shell BUS 4 Year EUL</t>
  </si>
  <si>
    <t>Building Shell BUS 5 Year EUL</t>
  </si>
  <si>
    <t>Building Shell BUS 6 Year EUL</t>
  </si>
  <si>
    <t>Building Shell BUS 7 Year EUL</t>
  </si>
  <si>
    <t>Building Shell BUS 8 Year EUL</t>
  </si>
  <si>
    <t>Building Shell BUS 9 Year EUL</t>
  </si>
  <si>
    <t>Building Shell RES 1 Year EUL</t>
  </si>
  <si>
    <t>Building Shell RES 10 Year EUL</t>
  </si>
  <si>
    <t>Building Shell RES 11 Year EUL</t>
  </si>
  <si>
    <t>Building Shell RES 12 Year EUL</t>
  </si>
  <si>
    <t>Building Shell RES 13 Year EUL</t>
  </si>
  <si>
    <t>Building Shell RES 14 Year EUL</t>
  </si>
  <si>
    <t>Building Shell RES 15 Year EUL</t>
  </si>
  <si>
    <t>Building Shell RES 16 Year EUL</t>
  </si>
  <si>
    <t>Building Shell RES 17 Year EUL</t>
  </si>
  <si>
    <t>Building Shell RES 18 Year EUL</t>
  </si>
  <si>
    <t>Building Shell RES 19 Year EUL</t>
  </si>
  <si>
    <t>Building Shell RES 2 Year EUL</t>
  </si>
  <si>
    <t>Building Shell RES 20 Year EUL</t>
  </si>
  <si>
    <t>Building Shell RES 21 Year EUL</t>
  </si>
  <si>
    <t>Building Shell RES 22 Year EUL</t>
  </si>
  <si>
    <t>Building Shell RES 23 Year EUL</t>
  </si>
  <si>
    <t>Building Shell RES 24 Year EUL</t>
  </si>
  <si>
    <t>Building Shell RES 25 Year EUL</t>
  </si>
  <si>
    <t>Building Shell RES 3 Year EUL</t>
  </si>
  <si>
    <t>Building Shell RES 4 Year EUL</t>
  </si>
  <si>
    <t>Building Shell RES 5 Year EUL</t>
  </si>
  <si>
    <t>Building Shell RES 6 Year EUL</t>
  </si>
  <si>
    <t>Building Shell RES 7 Year EUL</t>
  </si>
  <si>
    <t>Building Shell RES 8 Year EUL</t>
  </si>
  <si>
    <t>Building Shell RES 9 Year EUL</t>
  </si>
  <si>
    <t>Clothes Dryer RES 1 Year EUL</t>
  </si>
  <si>
    <t>Clothes Dryer RES 10 Year EUL</t>
  </si>
  <si>
    <t>Clothes Dryer RES 11 Year EUL</t>
  </si>
  <si>
    <t>Clothes Dryer RES 12 Year EUL</t>
  </si>
  <si>
    <t>Clothes Dryer RES 13 Year EUL</t>
  </si>
  <si>
    <t>Clothes Dryer RES 14 Year EUL</t>
  </si>
  <si>
    <t>Clothes Dryer RES 15 Year EUL</t>
  </si>
  <si>
    <t>Clothes Dryer RES 16 Year EUL</t>
  </si>
  <si>
    <t>Clothes Dryer RES 17 Year EUL</t>
  </si>
  <si>
    <t>Clothes Dryer RES 18 Year EUL</t>
  </si>
  <si>
    <t>Clothes Dryer RES 19 Year EUL</t>
  </si>
  <si>
    <t>Clothes Dryer RES 2 Year EUL</t>
  </si>
  <si>
    <t>Clothes Dryer RES 20 Year EUL</t>
  </si>
  <si>
    <t>Clothes Dryer RES 21 Year EUL</t>
  </si>
  <si>
    <t>Clothes Dryer RES 22 Year EUL</t>
  </si>
  <si>
    <t>Clothes Dryer RES 23 Year EUL</t>
  </si>
  <si>
    <t>Clothes Dryer RES 24 Year EUL</t>
  </si>
  <si>
    <t>Clothes Dryer RES 25 Year EUL</t>
  </si>
  <si>
    <t>Clothes Dryer RES 3 Year EUL</t>
  </si>
  <si>
    <t>Clothes Dryer RES 4 Year EUL</t>
  </si>
  <si>
    <t>Clothes Dryer RES 5 Year EUL</t>
  </si>
  <si>
    <t>Clothes Dryer RES 6 Year EUL</t>
  </si>
  <si>
    <t>Clothes Dryer RES 7 Year EUL</t>
  </si>
  <si>
    <t>Clothes Dryer RES 8 Year EUL</t>
  </si>
  <si>
    <t>Clothes Dryer RES 9 Year EUL</t>
  </si>
  <si>
    <t>Clothes Washer RES 1 Year EUL</t>
  </si>
  <si>
    <t>Clothes Washer RES 10 Year EUL</t>
  </si>
  <si>
    <t>Clothes Washer RES 11 Year EUL</t>
  </si>
  <si>
    <t>Clothes Washer RES 12 Year EUL</t>
  </si>
  <si>
    <t>Clothes Washer RES 13 Year EUL</t>
  </si>
  <si>
    <t>Clothes Washer RES 14 Year EUL</t>
  </si>
  <si>
    <t>Clothes Washer RES 15 Year EUL</t>
  </si>
  <si>
    <t>Clothes Washer RES 16 Year EUL</t>
  </si>
  <si>
    <t>Clothes Washer RES 17 Year EUL</t>
  </si>
  <si>
    <t>Clothes Washer RES 18 Year EUL</t>
  </si>
  <si>
    <t>Clothes Washer RES 19 Year EUL</t>
  </si>
  <si>
    <t>Clothes Washer RES 2 Year EUL</t>
  </si>
  <si>
    <t>Clothes Washer RES 20 Year EUL</t>
  </si>
  <si>
    <t>Clothes Washer RES 21 Year EUL</t>
  </si>
  <si>
    <t>Clothes Washer RES 22 Year EUL</t>
  </si>
  <si>
    <t>Clothes Washer RES 23 Year EUL</t>
  </si>
  <si>
    <t>Clothes Washer RES 24 Year EUL</t>
  </si>
  <si>
    <t>Clothes Washer RES 25 Year EUL</t>
  </si>
  <si>
    <t>Clothes Washer RES 3 Year EUL</t>
  </si>
  <si>
    <t>Clothes Washer RES 4 Year EUL</t>
  </si>
  <si>
    <t>Clothes Washer RES 5 Year EUL</t>
  </si>
  <si>
    <t>Clothes Washer RES 6 Year EUL</t>
  </si>
  <si>
    <t>Clothes Washer RES 7 Year EUL</t>
  </si>
  <si>
    <t>Clothes Washer RES 8 Year EUL</t>
  </si>
  <si>
    <t>Clothes Washer RES 9 Year EUL</t>
  </si>
  <si>
    <t>Color TV RES 1 Year EUL</t>
  </si>
  <si>
    <t>Color TV RES 10 Year EUL</t>
  </si>
  <si>
    <t>Color TV RES 11 Year EUL</t>
  </si>
  <si>
    <t>Color TV RES 12 Year EUL</t>
  </si>
  <si>
    <t>Color TV RES 13 Year EUL</t>
  </si>
  <si>
    <t>Color TV RES 14 Year EUL</t>
  </si>
  <si>
    <t>Color TV RES 15 Year EUL</t>
  </si>
  <si>
    <t>Color TV RES 16 Year EUL</t>
  </si>
  <si>
    <t>Color TV RES 17 Year EUL</t>
  </si>
  <si>
    <t>Color TV RES 18 Year EUL</t>
  </si>
  <si>
    <t>Color TV RES 19 Year EUL</t>
  </si>
  <si>
    <t>Color TV RES 2 Year EUL</t>
  </si>
  <si>
    <t>Color TV RES 20 Year EUL</t>
  </si>
  <si>
    <t>Color TV RES 21 Year EUL</t>
  </si>
  <si>
    <t>Color TV RES 22 Year EUL</t>
  </si>
  <si>
    <t>Color TV RES 23 Year EUL</t>
  </si>
  <si>
    <t>Color TV RES 24 Year EUL</t>
  </si>
  <si>
    <t>Color TV RES 25 Year EUL</t>
  </si>
  <si>
    <t>Color TV RES 3 Year EUL</t>
  </si>
  <si>
    <t>Color TV RES 4 Year EUL</t>
  </si>
  <si>
    <t>Color TV RES 5 Year EUL</t>
  </si>
  <si>
    <t>Color TV RES 6 Year EUL</t>
  </si>
  <si>
    <t>Color TV RES 7 Year EUL</t>
  </si>
  <si>
    <t>Color TV RES 8 Year EUL</t>
  </si>
  <si>
    <t>Color TV RES 9 Year EUL</t>
  </si>
  <si>
    <t>Cooking BUS 1 Year EUL</t>
  </si>
  <si>
    <t>Cooking BUS 10 Year EUL</t>
  </si>
  <si>
    <t>Cooking BUS 11 Year EUL</t>
  </si>
  <si>
    <t>Cooking BUS 12 Year EUL</t>
  </si>
  <si>
    <t>Cooking BUS 13 Year EUL</t>
  </si>
  <si>
    <t>Cooking BUS 14 Year EUL</t>
  </si>
  <si>
    <t>Cooking BUS 15 Year EUL</t>
  </si>
  <si>
    <t>Cooking BUS 16 Year EUL</t>
  </si>
  <si>
    <t>Cooking BUS 17 Year EUL</t>
  </si>
  <si>
    <t>Cooking BUS 18 Year EUL</t>
  </si>
  <si>
    <t>Cooking BUS 19 Year EUL</t>
  </si>
  <si>
    <t>Cooking BUS 2 Year EUL</t>
  </si>
  <si>
    <t>Cooking BUS 20 Year EUL</t>
  </si>
  <si>
    <t>Cooking BUS 21 Year EUL</t>
  </si>
  <si>
    <t>Cooking BUS 22 Year EUL</t>
  </si>
  <si>
    <t>Cooking BUS 23 Year EUL</t>
  </si>
  <si>
    <t>Cooking BUS 24 Year EUL</t>
  </si>
  <si>
    <t>Cooking BUS 25 Year EUL</t>
  </si>
  <si>
    <t>Cooking BUS 26 Year EUL</t>
  </si>
  <si>
    <t>Cooking BUS 27 Year EUL</t>
  </si>
  <si>
    <t>Cooking BUS 28 Year EUL</t>
  </si>
  <si>
    <t>Cooking BUS 29 Year EUL</t>
  </si>
  <si>
    <t>Cooking BUS 3 Year EUL</t>
  </si>
  <si>
    <t>Cooking BUS 30 Year EUL</t>
  </si>
  <si>
    <t>Cooking BUS 4 Year EUL</t>
  </si>
  <si>
    <t>Cooking BUS 5 Year EUL</t>
  </si>
  <si>
    <t>Cooking BUS 6 Year EUL</t>
  </si>
  <si>
    <t>Cooking BUS 7 Year EUL</t>
  </si>
  <si>
    <t>Cooking BUS 8 Year EUL</t>
  </si>
  <si>
    <t>Cooking BUS 9 Year EUL</t>
  </si>
  <si>
    <t>Cooking RES 1 Year EUL</t>
  </si>
  <si>
    <t>Cooking RES 10 Year EUL</t>
  </si>
  <si>
    <t>Cooking RES 11 Year EUL</t>
  </si>
  <si>
    <t>Cooking RES 12 Year EUL</t>
  </si>
  <si>
    <t>Cooking RES 13 Year EUL</t>
  </si>
  <si>
    <t>Cooking RES 14 Year EUL</t>
  </si>
  <si>
    <t>Cooking RES 15 Year EUL</t>
  </si>
  <si>
    <t>Cooking RES 16 Year EUL</t>
  </si>
  <si>
    <t>Cooking RES 17 Year EUL</t>
  </si>
  <si>
    <t>Cooking RES 18 Year EUL</t>
  </si>
  <si>
    <t>Cooking RES 19 Year EUL</t>
  </si>
  <si>
    <t>Cooking RES 2 Year EUL</t>
  </si>
  <si>
    <t>Cooking RES 20 Year EUL</t>
  </si>
  <si>
    <t>Cooking RES 21 Year EUL</t>
  </si>
  <si>
    <t>Cooking RES 22 Year EUL</t>
  </si>
  <si>
    <t>Cooking RES 23 Year EUL</t>
  </si>
  <si>
    <t>Cooking RES 24 Year EUL</t>
  </si>
  <si>
    <t>Cooking RES 25 Year EUL</t>
  </si>
  <si>
    <t>updated on 2/8/18</t>
  </si>
  <si>
    <t>Cooking RES 3 Year EUL</t>
  </si>
  <si>
    <t>Cooking RES 4 Year EUL</t>
  </si>
  <si>
    <t>Cooking RES 5 Year EUL</t>
  </si>
  <si>
    <t>Cooking RES 6 Year EUL</t>
  </si>
  <si>
    <t>Cooking RES 7 Year EUL</t>
  </si>
  <si>
    <t>Cooking RES 8 Year EUL</t>
  </si>
  <si>
    <t>Cooking RES 9 Year EUL</t>
  </si>
  <si>
    <t>Cooling BUS 1 Year EUL</t>
  </si>
  <si>
    <t>Cooling BUS 10 Year EUL</t>
  </si>
  <si>
    <t>Cooling BUS 11 Year EUL</t>
  </si>
  <si>
    <t>Cooling BUS 12 Year EUL</t>
  </si>
  <si>
    <t>Cooling BUS 13 Year EUL</t>
  </si>
  <si>
    <t>Cooling BUS 14 Year EUL</t>
  </si>
  <si>
    <t>Cooling BUS 15 Year EUL</t>
  </si>
  <si>
    <t>Cooling BUS 16 Year EUL</t>
  </si>
  <si>
    <t>Cooling BUS 17 Year EUL</t>
  </si>
  <si>
    <t>Cooling BUS 18 Year EUL</t>
  </si>
  <si>
    <t>Cooling BUS 19 Year EUL</t>
  </si>
  <si>
    <t>Cooling BUS 2 Year EUL</t>
  </si>
  <si>
    <t>Cooling BUS 20 Year EUL</t>
  </si>
  <si>
    <t>Cooling BUS 21 Year EUL</t>
  </si>
  <si>
    <t>Cooling BUS 22 Year EUL</t>
  </si>
  <si>
    <t>Cooling BUS 23 Year EUL</t>
  </si>
  <si>
    <t>Cooling BUS 24 Year EUL</t>
  </si>
  <si>
    <t>Cooling BUS 25 Year EUL</t>
  </si>
  <si>
    <t>Cooling BUS 26 Year EUL</t>
  </si>
  <si>
    <t>Cooling BUS 27 Year EUL</t>
  </si>
  <si>
    <t>Cooling BUS 28 Year EUL</t>
  </si>
  <si>
    <t>Cooling BUS 29 Year EUL</t>
  </si>
  <si>
    <t>Cooling BUS 3 Year EUL</t>
  </si>
  <si>
    <t>Cooling BUS 30 Year EUL</t>
  </si>
  <si>
    <t>Cooling BUS 4 Year EUL</t>
  </si>
  <si>
    <t>Cooling BUS 5 Year EUL</t>
  </si>
  <si>
    <t>Cooling BUS 6 Year EUL</t>
  </si>
  <si>
    <t>Cooling BUS 7 Year EUL</t>
  </si>
  <si>
    <t>Cooling BUS 8 Year EUL</t>
  </si>
  <si>
    <t>Cooling BUS 9 Year EUL</t>
  </si>
  <si>
    <t>Cooling RES 1 Year EUL</t>
  </si>
  <si>
    <t>Cooling RES 10 Year EUL</t>
  </si>
  <si>
    <t>Cooling RES 11 Year EUL</t>
  </si>
  <si>
    <t>Cooling RES 12 Year EUL</t>
  </si>
  <si>
    <t>Cooling RES 13 Year EUL</t>
  </si>
  <si>
    <t>Cooling RES 14 Year EUL</t>
  </si>
  <si>
    <t>Cooling RES 15 Year EUL</t>
  </si>
  <si>
    <t>Cooling RES 16 Year EUL</t>
  </si>
  <si>
    <t>Cooling RES 17 Year EUL</t>
  </si>
  <si>
    <t>Cooling RES 18 Year EUL</t>
  </si>
  <si>
    <t>Cooling RES 19 Year EUL</t>
  </si>
  <si>
    <t>Cooling RES 2 Year EUL</t>
  </si>
  <si>
    <t>Cooling RES 20 Year EUL</t>
  </si>
  <si>
    <t>Cooling RES 21 Year EUL</t>
  </si>
  <si>
    <t>Cooling RES 22 Year EUL</t>
  </si>
  <si>
    <t>Cooling RES 23 Year EUL</t>
  </si>
  <si>
    <t>Cooling RES 24 Year EUL</t>
  </si>
  <si>
    <t>Cooling RES 25 Year EUL</t>
  </si>
  <si>
    <t>Cooling RES 3 Year EUL</t>
  </si>
  <si>
    <t>Cooling RES 4 Year EUL</t>
  </si>
  <si>
    <t>Cooling RES 5 Year EUL</t>
  </si>
  <si>
    <t>Cooling RES 6 Year EUL</t>
  </si>
  <si>
    <t>Cooling RES 7 Year EUL</t>
  </si>
  <si>
    <t>Cooling RES 8 Year EUL</t>
  </si>
  <si>
    <t>Cooling RES 9 Year EUL</t>
  </si>
  <si>
    <t>Cooling RES ER2 12 Year EUL</t>
  </si>
  <si>
    <t>Dishwasher RES 1 Year EUL</t>
  </si>
  <si>
    <t>Dishwasher RES 10 Year EUL</t>
  </si>
  <si>
    <t>Dishwasher RES 11 Year EUL</t>
  </si>
  <si>
    <t>Dishwasher RES 12 Year EUL</t>
  </si>
  <si>
    <t>Dishwasher RES 13 Year EUL</t>
  </si>
  <si>
    <t>Dishwasher RES 14 Year EUL</t>
  </si>
  <si>
    <t>Dishwasher RES 15 Year EUL</t>
  </si>
  <si>
    <t>Dishwasher RES 16 Year EUL</t>
  </si>
  <si>
    <t>Dishwasher RES 17 Year EUL</t>
  </si>
  <si>
    <t>Dishwasher RES 18 Year EUL</t>
  </si>
  <si>
    <t>Dishwasher RES 19 Year EUL</t>
  </si>
  <si>
    <t>Dishwasher RES 2 Year EUL</t>
  </si>
  <si>
    <t>Dishwasher RES 20 Year EUL</t>
  </si>
  <si>
    <t>Dishwasher RES 21 Year EUL</t>
  </si>
  <si>
    <t>Dishwasher RES 22 Year EUL</t>
  </si>
  <si>
    <t>Dishwasher RES 23 Year EUL</t>
  </si>
  <si>
    <t>Dishwasher RES 24 Year EUL</t>
  </si>
  <si>
    <t>Dishwasher RES 25 Year EUL</t>
  </si>
  <si>
    <t>Dishwasher RES 3 Year EUL</t>
  </si>
  <si>
    <t>Dishwasher RES 4 Year EUL</t>
  </si>
  <si>
    <t>Dishwasher RES 5 Year EUL</t>
  </si>
  <si>
    <t>Dishwasher RES 6 Year EUL</t>
  </si>
  <si>
    <t>Dishwasher RES 7 Year EUL</t>
  </si>
  <si>
    <t>Dishwasher RES 8 Year EUL</t>
  </si>
  <si>
    <t>Dishwasher RES 9 Year EUL</t>
  </si>
  <si>
    <t>Ext Lighting BUS 1 Year EUL</t>
  </si>
  <si>
    <t>Ext Lighting BUS 10 Year EUL</t>
  </si>
  <si>
    <t>Ext Lighting BUS 11 Year EUL</t>
  </si>
  <si>
    <t>Ext Lighting BUS 12 Year EUL</t>
  </si>
  <si>
    <t>Ext Lighting BUS 13 Year EUL</t>
  </si>
  <si>
    <t>Ext Lighting BUS 14 Year EUL</t>
  </si>
  <si>
    <t>Ext Lighting BUS 15 Year EUL</t>
  </si>
  <si>
    <t>Ext Lighting BUS 16 Year EUL</t>
  </si>
  <si>
    <t>Ext Lighting BUS 17 Year EUL</t>
  </si>
  <si>
    <t>Ext Lighting BUS 18 Year EUL</t>
  </si>
  <si>
    <t>Ext Lighting BUS 19 Year EUL</t>
  </si>
  <si>
    <t>Ext Lighting BUS 2 Year EUL</t>
  </si>
  <si>
    <t>Ext Lighting BUS 20 Year EUL</t>
  </si>
  <si>
    <t>Ext Lighting BUS 21 Year EUL</t>
  </si>
  <si>
    <t>Ext Lighting BUS 22 Year EUL</t>
  </si>
  <si>
    <t>Ext Lighting BUS 23 Year EUL</t>
  </si>
  <si>
    <t>Ext Lighting BUS 24 Year EUL</t>
  </si>
  <si>
    <t>Ext Lighting BUS 25 Year EUL</t>
  </si>
  <si>
    <t>Ext Lighting BUS 26 Year EUL</t>
  </si>
  <si>
    <t>Ext Lighting BUS 27 Year EUL</t>
  </si>
  <si>
    <t>Ext Lighting BUS 28 Year EUL</t>
  </si>
  <si>
    <t>Ext Lighting BUS 29 Year EUL</t>
  </si>
  <si>
    <t>Ext Lighting BUS 3 Year EUL</t>
  </si>
  <si>
    <t>Ext Lighting BUS 30 Year EUL</t>
  </si>
  <si>
    <t>Ext Lighting BUS 4 Year EUL</t>
  </si>
  <si>
    <t>Ext Lighting BUS 5 Year EUL</t>
  </si>
  <si>
    <t>Ext Lighting BUS 6 Year EUL</t>
  </si>
  <si>
    <t>Ext Lighting BUS 7 Year EUL</t>
  </si>
  <si>
    <t>Ext Lighting BUS 8 Year EUL</t>
  </si>
  <si>
    <t>Ext Lighting BUS 9 Year EUL</t>
  </si>
  <si>
    <t>Freezer RES 1 Year EUL</t>
  </si>
  <si>
    <t>Freezer RES 10 Year EUL</t>
  </si>
  <si>
    <t>Freezer RES 11 Year EUL</t>
  </si>
  <si>
    <t>Freezer RES 12 Year EUL</t>
  </si>
  <si>
    <t>Freezer RES 13 Year EUL</t>
  </si>
  <si>
    <t>Freezer RES 14 Year EUL</t>
  </si>
  <si>
    <t>Freezer RES 15 Year EUL</t>
  </si>
  <si>
    <t>Freezer RES 16 Year EUL</t>
  </si>
  <si>
    <t>Freezer RES 17 Year EUL</t>
  </si>
  <si>
    <t>Freezer RES 18 Year EUL</t>
  </si>
  <si>
    <t>Freezer RES 19 Year EUL</t>
  </si>
  <si>
    <t>Freezer RES 2 Year EUL</t>
  </si>
  <si>
    <t>Freezer RES 20 Year EUL</t>
  </si>
  <si>
    <t>Freezer RES 21 Year EUL</t>
  </si>
  <si>
    <t>Freezer RES 22 Year EUL</t>
  </si>
  <si>
    <t>Freezer RES 23 Year EUL</t>
  </si>
  <si>
    <t>Freezer RES 24 Year EUL</t>
  </si>
  <si>
    <t>Freezer RES 25 Year EUL</t>
  </si>
  <si>
    <t>Freezer RES 3 Year EUL</t>
  </si>
  <si>
    <t>Freezer RES 4 Year EUL</t>
  </si>
  <si>
    <t>Freezer RES 5 Year EUL</t>
  </si>
  <si>
    <t>Freezer RES 6 Year EUL</t>
  </si>
  <si>
    <t>Freezer RES 7 Year EUL</t>
  </si>
  <si>
    <t>Freezer RES 8 Year EUL</t>
  </si>
  <si>
    <t>Freezer RES 9 Year EUL</t>
  </si>
  <si>
    <t>Heating BUS 1 Year EUL</t>
  </si>
  <si>
    <t>Heating BUS 10 Year EUL</t>
  </si>
  <si>
    <t>Heating BUS 11 Year EUL</t>
  </si>
  <si>
    <t>Heating BUS 12 Year EUL</t>
  </si>
  <si>
    <t>Heating BUS 13 Year EUL</t>
  </si>
  <si>
    <t>Heating BUS 14 Year EUL</t>
  </si>
  <si>
    <t>Heating BUS 15 Year EUL</t>
  </si>
  <si>
    <t>Heating BUS 16 Year EUL</t>
  </si>
  <si>
    <t>Heating BUS 17 Year EUL</t>
  </si>
  <si>
    <t>Heating BUS 18 Year EUL</t>
  </si>
  <si>
    <t>Heating BUS 19 Year EUL</t>
  </si>
  <si>
    <t>updated on 5/14/18</t>
  </si>
  <si>
    <t>Heating BUS 2 Year EUL</t>
  </si>
  <si>
    <t>Heating BUS 20 Year EUL</t>
  </si>
  <si>
    <t>Heating BUS 21 Year EUL</t>
  </si>
  <si>
    <t>Heating BUS 22 Year EUL</t>
  </si>
  <si>
    <t>Heating BUS 23 Year EUL</t>
  </si>
  <si>
    <t>Heating BUS 24 Year EUL</t>
  </si>
  <si>
    <t>Heating BUS 25 Year EUL</t>
  </si>
  <si>
    <t>Heating BUS 26 Year EUL</t>
  </si>
  <si>
    <t>Heating BUS 27 Year EUL</t>
  </si>
  <si>
    <t>Heating BUS 28 Year EUL</t>
  </si>
  <si>
    <t>Heating BUS 29 Year EUL</t>
  </si>
  <si>
    <t>Heating BUS 3 Year EUL</t>
  </si>
  <si>
    <t>Heating BUS 30 Year EUL</t>
  </si>
  <si>
    <t>Heating BUS 4 Year EUL</t>
  </si>
  <si>
    <t>Heating BUS 5 Year EUL</t>
  </si>
  <si>
    <t>Heating BUS 6 Year EUL</t>
  </si>
  <si>
    <t>Heating BUS 7 Year EUL</t>
  </si>
  <si>
    <t>Heating BUS 8 Year EUL</t>
  </si>
  <si>
    <t>Heating BUS 9 Year EUL</t>
  </si>
  <si>
    <t>Heating RES 1 Year EUL</t>
  </si>
  <si>
    <t>Heating RES 10 Year EUL</t>
  </si>
  <si>
    <t>Heating RES 11 Year EUL</t>
  </si>
  <si>
    <t>Heating RES 12 Year EUL</t>
  </si>
  <si>
    <t>Heating RES 13 Year EUL</t>
  </si>
  <si>
    <t>Heating RES 14 Year EUL</t>
  </si>
  <si>
    <t>Heating RES 15 Year EUL</t>
  </si>
  <si>
    <t>Heating RES 16 Year EUL</t>
  </si>
  <si>
    <t>Heating RES 17 Year EUL</t>
  </si>
  <si>
    <t>Heating RES 18 Year EUL</t>
  </si>
  <si>
    <t>Heating RES 19 Year EUL</t>
  </si>
  <si>
    <t>Heating RES 2 Year EUL</t>
  </si>
  <si>
    <t>Heating RES 20 Year EUL</t>
  </si>
  <si>
    <t>Heating RES 21 Year EUL</t>
  </si>
  <si>
    <t>Heating RES 22 Year EUL</t>
  </si>
  <si>
    <t>Heating RES 23 Year EUL</t>
  </si>
  <si>
    <t>Heating RES 24 Year EUL</t>
  </si>
  <si>
    <t>Heating RES 25 Year EUL</t>
  </si>
  <si>
    <t>Heating RES 3 Year EUL</t>
  </si>
  <si>
    <t>Heating RES 4 Year EUL</t>
  </si>
  <si>
    <t>Heating RES 5 Year EUL</t>
  </si>
  <si>
    <t>Heating RES 6 Year EUL</t>
  </si>
  <si>
    <t>Heating RES 7 Year EUL</t>
  </si>
  <si>
    <t>Heating RES 8 Year EUL</t>
  </si>
  <si>
    <t>Heating RES 9 Year EUL</t>
  </si>
  <si>
    <t>Heating RES ER2 12 Year EUL</t>
  </si>
  <si>
    <t>HVAC BUS 1 Year EUL</t>
  </si>
  <si>
    <t>HVAC BUS 10 Year EUL</t>
  </si>
  <si>
    <t>HVAC BUS 11 Year EUL</t>
  </si>
  <si>
    <t>HVAC BUS 12 Year EUL</t>
  </si>
  <si>
    <t>HVAC BUS 13 Year EUL</t>
  </si>
  <si>
    <t>HVAC BUS 14 Year EUL</t>
  </si>
  <si>
    <t>HVAC BUS 15 Year EUL</t>
  </si>
  <si>
    <t>HVAC BUS 16 Year EUL</t>
  </si>
  <si>
    <t>HVAC BUS 17 Year EUL</t>
  </si>
  <si>
    <t>HVAC BUS 18 Year EUL</t>
  </si>
  <si>
    <t>HVAC BUS 19 Year EUL</t>
  </si>
  <si>
    <t>HVAC BUS 2 Year EUL</t>
  </si>
  <si>
    <t>HVAC BUS 20 Year EUL</t>
  </si>
  <si>
    <t>HVAC BUS 21 Year EUL</t>
  </si>
  <si>
    <t>HVAC BUS 22 Year EUL</t>
  </si>
  <si>
    <t>HVAC BUS 23 Year EUL</t>
  </si>
  <si>
    <t>HVAC BUS 24 Year EUL</t>
  </si>
  <si>
    <t>HVAC BUS 25 Year EUL</t>
  </si>
  <si>
    <t>HVAC BUS 26 Year EUL</t>
  </si>
  <si>
    <t>HVAC BUS 27 Year EUL</t>
  </si>
  <si>
    <t>HVAC BUS 28 Year EUL</t>
  </si>
  <si>
    <t>HVAC BUS 29 Year EUL</t>
  </si>
  <si>
    <t>HVAC BUS 3 Year EUL</t>
  </si>
  <si>
    <t>HVAC BUS 30 Year EUL</t>
  </si>
  <si>
    <t>HVAC BUS 4 Year EUL</t>
  </si>
  <si>
    <t>HVAC BUS 5 Year EUL</t>
  </si>
  <si>
    <t>HVAC BUS 6 Year EUL</t>
  </si>
  <si>
    <t>HVAC BUS 7 Year EUL</t>
  </si>
  <si>
    <t>HVAC BUS 8 Year EUL</t>
  </si>
  <si>
    <t>HVAC BUS 9 Year EUL</t>
  </si>
  <si>
    <t>HVAC RES 1 Year EUL</t>
  </si>
  <si>
    <t>HVAC RES 10 Year EUL</t>
  </si>
  <si>
    <t>HVAC RES 11 Year EUL</t>
  </si>
  <si>
    <t>HVAC RES 12 Year EUL</t>
  </si>
  <si>
    <t>HVAC RES 13 Year EUL</t>
  </si>
  <si>
    <t>HVAC RES 14 Year EUL</t>
  </si>
  <si>
    <t>HVAC RES 15 Year EUL</t>
  </si>
  <si>
    <t>HVAC RES 16 Year EUL</t>
  </si>
  <si>
    <t>HVAC RES 17 Year EUL</t>
  </si>
  <si>
    <t>HVAC RES 18 Year EUL</t>
  </si>
  <si>
    <t>HVAC RES 19 Year EUL</t>
  </si>
  <si>
    <t>HVAC RES 2 Year EUL</t>
  </si>
  <si>
    <t>HVAC RES 20 Year EUL</t>
  </si>
  <si>
    <t>HVAC RES 21 Year EUL</t>
  </si>
  <si>
    <t>HVAC RES 22 Year EUL</t>
  </si>
  <si>
    <t>HVAC RES 23 Year EUL</t>
  </si>
  <si>
    <t>HVAC RES 24 Year EUL</t>
  </si>
  <si>
    <t>HVAC RES 25 Year EUL</t>
  </si>
  <si>
    <t>HVAC RES 3 Year EUL</t>
  </si>
  <si>
    <t>HVAC RES 4 Year EUL</t>
  </si>
  <si>
    <t>HVAC RES 5 Year EUL</t>
  </si>
  <si>
    <t>HVAC RES 6 Year EUL</t>
  </si>
  <si>
    <t>HVAC RES 7 Year EUL</t>
  </si>
  <si>
    <t>HVAC RES 8 Year EUL</t>
  </si>
  <si>
    <t>HVAC RES 9 Year EUL</t>
  </si>
  <si>
    <t>HVAC RES ER2 12 Year EUL</t>
  </si>
  <si>
    <t>Lighting BUS 1 Year EUL</t>
  </si>
  <si>
    <t>Lighting BUS 10 Year EUL</t>
  </si>
  <si>
    <t>Lighting BUS 11 Year EUL</t>
  </si>
  <si>
    <t>Lighting BUS 12 Year EUL</t>
  </si>
  <si>
    <t>Lighting BUS 13 Year EUL</t>
  </si>
  <si>
    <t>Lighting BUS 14 Year EUL</t>
  </si>
  <si>
    <t>Lighting BUS 15 Year EUL</t>
  </si>
  <si>
    <t>Lighting BUS 16 Year EUL</t>
  </si>
  <si>
    <t>Lighting BUS 17 Year EUL</t>
  </si>
  <si>
    <t>Lighting BUS 18 Year EUL</t>
  </si>
  <si>
    <t>Lighting BUS 19 Year EUL</t>
  </si>
  <si>
    <t>Lighting BUS 2 Year EUL</t>
  </si>
  <si>
    <t>Lighting BUS 20 Year EUL</t>
  </si>
  <si>
    <t>Lighting BUS 21 Year EUL</t>
  </si>
  <si>
    <t>Lighting BUS 22 Year EUL</t>
  </si>
  <si>
    <t>Lighting BUS 23 Year EUL</t>
  </si>
  <si>
    <t>Lighting BUS 24 Year EUL</t>
  </si>
  <si>
    <t>Lighting BUS 25 Year EUL</t>
  </si>
  <si>
    <t>Lighting BUS 26 Year EUL</t>
  </si>
  <si>
    <t>Lighting BUS 27 Year EUL</t>
  </si>
  <si>
    <t>Lighting BUS 28 Year EUL</t>
  </si>
  <si>
    <t>Lighting BUS 29 Year EUL</t>
  </si>
  <si>
    <t>Lighting BUS 3 Year EUL</t>
  </si>
  <si>
    <t>Lighting BUS 30 Year EUL</t>
  </si>
  <si>
    <t>Lighting BUS 4 Year EUL</t>
  </si>
  <si>
    <t>Lighting BUS 5 Year EUL</t>
  </si>
  <si>
    <t>Lighting BUS 6 Year EUL</t>
  </si>
  <si>
    <t>Lighting BUS 7 Year EUL</t>
  </si>
  <si>
    <t>Lighting BUS 8 Year EUL</t>
  </si>
  <si>
    <t>Lighting BUS 9 Year EUL</t>
  </si>
  <si>
    <t>Lighting RES 1 Year EUL</t>
  </si>
  <si>
    <t>Lighting RES 10 Year EUL</t>
  </si>
  <si>
    <t>Lighting RES 11 Year EUL</t>
  </si>
  <si>
    <t>Lighting RES 12 Year EUL</t>
  </si>
  <si>
    <t>Lighting RES 13 Year EUL</t>
  </si>
  <si>
    <t>Lighting RES 14 Year EUL</t>
  </si>
  <si>
    <t>Lighting RES 15 Year EUL</t>
  </si>
  <si>
    <t>Lighting RES 16 Year EUL</t>
  </si>
  <si>
    <t>Lighting RES 17 Year EUL</t>
  </si>
  <si>
    <t>Lighting RES 18 Year EUL</t>
  </si>
  <si>
    <t>Lighting RES 19 Year EUL</t>
  </si>
  <si>
    <t>Lighting RES 2 Year EUL</t>
  </si>
  <si>
    <t>Lighting RES 20 Year EUL</t>
  </si>
  <si>
    <t>Lighting RES 21 Year EUL</t>
  </si>
  <si>
    <t>Lighting RES 22 Year EUL</t>
  </si>
  <si>
    <t>Lighting RES 23 Year EUL</t>
  </si>
  <si>
    <t>Lighting RES 24 Year EUL</t>
  </si>
  <si>
    <t>Lighting RES 25 Year EUL</t>
  </si>
  <si>
    <t>Lighting RES 3 Year EUL</t>
  </si>
  <si>
    <t>Lighting RES 4 Year EUL</t>
  </si>
  <si>
    <t>Lighting RES 5 Year EUL</t>
  </si>
  <si>
    <t>Lighting RES 6 Year EUL</t>
  </si>
  <si>
    <t>Lighting RES 7 Year EUL</t>
  </si>
  <si>
    <t>Lighting RES 8 Year EUL</t>
  </si>
  <si>
    <t>Lighting RES 9 Year EUL</t>
  </si>
  <si>
    <t>Miscellaneous BUS 1 Year EUL</t>
  </si>
  <si>
    <t>Miscellaneous BUS 10 Year EUL</t>
  </si>
  <si>
    <t>Miscellaneous BUS 11 Year EUL</t>
  </si>
  <si>
    <t>Miscellaneous BUS 12 Year EUL</t>
  </si>
  <si>
    <t>Miscellaneous BUS 13 Year EUL</t>
  </si>
  <si>
    <t>Miscellaneous BUS 14 Year EUL</t>
  </si>
  <si>
    <t>Miscellaneous BUS 15 Year EUL</t>
  </si>
  <si>
    <t>Miscellaneous BUS 16 Year EUL</t>
  </si>
  <si>
    <t>Miscellaneous BUS 17 Year EUL</t>
  </si>
  <si>
    <t>Miscellaneous BUS 18 Year EUL</t>
  </si>
  <si>
    <t>Miscellaneous BUS 19 Year EUL</t>
  </si>
  <si>
    <t>Miscellaneous BUS 2 Year EUL</t>
  </si>
  <si>
    <t>Miscellaneous BUS 20 Year EUL</t>
  </si>
  <si>
    <t>Miscellaneous BUS 21 Year EUL</t>
  </si>
  <si>
    <t>Miscellaneous BUS 22 Year EUL</t>
  </si>
  <si>
    <t>Miscellaneous BUS 23 Year EUL</t>
  </si>
  <si>
    <t>Miscellaneous BUS 24 Year EUL</t>
  </si>
  <si>
    <t>Miscellaneous BUS 25 Year EUL</t>
  </si>
  <si>
    <t>Miscellaneous BUS 26 Year EUL</t>
  </si>
  <si>
    <t>Miscellaneous BUS 27 Year EUL</t>
  </si>
  <si>
    <t>Miscellaneous BUS 28 Year EUL</t>
  </si>
  <si>
    <t>Miscellaneous BUS 29 Year EUL</t>
  </si>
  <si>
    <t>Miscellaneous BUS 3 Year EUL</t>
  </si>
  <si>
    <t>Miscellaneous BUS 30 Year EUL</t>
  </si>
  <si>
    <t>Miscellaneous BUS 4 Year EUL</t>
  </si>
  <si>
    <t>Miscellaneous BUS 5 Year EUL</t>
  </si>
  <si>
    <t>Miscellaneous BUS 6 Year EUL</t>
  </si>
  <si>
    <t>Miscellaneous BUS 7 Year EUL</t>
  </si>
  <si>
    <t>Miscellaneous BUS 8 Year EUL</t>
  </si>
  <si>
    <t>Miscellaneous BUS 9 Year EUL</t>
  </si>
  <si>
    <t>Miscellaneous RES 1 Year EUL</t>
  </si>
  <si>
    <t>Miscellaneous RES 10 Year EUL</t>
  </si>
  <si>
    <t>Miscellaneous RES 11 Year EUL</t>
  </si>
  <si>
    <t>Miscellaneous RES 12 Year EUL</t>
  </si>
  <si>
    <t>Miscellaneous RES 13 Year EUL</t>
  </si>
  <si>
    <t>Miscellaneous RES 14 Year EUL</t>
  </si>
  <si>
    <t>Miscellaneous RES 15 Year EUL</t>
  </si>
  <si>
    <t>Miscellaneous RES 16 Year EUL</t>
  </si>
  <si>
    <t>Miscellaneous RES 17 Year EUL</t>
  </si>
  <si>
    <t>Miscellaneous RES 18 Year EUL</t>
  </si>
  <si>
    <t>Miscellaneous RES 19 Year EUL</t>
  </si>
  <si>
    <t>Miscellaneous RES 2 Year EUL</t>
  </si>
  <si>
    <t>Miscellaneous RES 20 Year EUL</t>
  </si>
  <si>
    <t>Miscellaneous RES 21 Year EUL</t>
  </si>
  <si>
    <t>Miscellaneous RES 22 Year EUL</t>
  </si>
  <si>
    <t>Miscellaneous RES 23 Year EUL</t>
  </si>
  <si>
    <t>Miscellaneous RES 24 Year EUL</t>
  </si>
  <si>
    <t>Miscellaneous RES 25 Year EUL</t>
  </si>
  <si>
    <t>Miscellaneous RES 3 Year EUL</t>
  </si>
  <si>
    <t>Miscellaneous RES 4 Year EUL</t>
  </si>
  <si>
    <t>Miscellaneous RES 5 Year EUL</t>
  </si>
  <si>
    <t>Miscellaneous RES 6 Year EUL</t>
  </si>
  <si>
    <t>Miscellaneous RES 7 Year EUL</t>
  </si>
  <si>
    <t>Miscellaneous RES 8 Year EUL</t>
  </si>
  <si>
    <t>Miscellaneous RES 9 Year EUL</t>
  </si>
  <si>
    <t>Motors BUS 1 Year EUL</t>
  </si>
  <si>
    <t>Motors BUS 10 Year EUL</t>
  </si>
  <si>
    <t>Motors BUS 11 Year EUL</t>
  </si>
  <si>
    <t>Motors BUS 12 Year EUL</t>
  </si>
  <si>
    <t>Motors BUS 13 Year EUL</t>
  </si>
  <si>
    <t>Motors BUS 14 Year EUL</t>
  </si>
  <si>
    <t>Motors BUS 15 Year EUL</t>
  </si>
  <si>
    <t>Motors BUS 16 Year EUL</t>
  </si>
  <si>
    <t>Motors BUS 17 Year EUL</t>
  </si>
  <si>
    <t>Motors BUS 18 Year EUL</t>
  </si>
  <si>
    <t>Motors BUS 19 Year EUL</t>
  </si>
  <si>
    <t>Motors BUS 2 Year EUL</t>
  </si>
  <si>
    <t>Motors BUS 20 Year EUL</t>
  </si>
  <si>
    <t>Motors BUS 21 Year EUL</t>
  </si>
  <si>
    <t>Motors BUS 22 Year EUL</t>
  </si>
  <si>
    <t>Motors BUS 23 Year EUL</t>
  </si>
  <si>
    <t>Motors BUS 24 Year EUL</t>
  </si>
  <si>
    <t>Motors BUS 25 Year EUL</t>
  </si>
  <si>
    <t>Motors BUS 26 Year EUL</t>
  </si>
  <si>
    <t>Motors BUS 27 Year EUL</t>
  </si>
  <si>
    <t>Motors BUS 28 Year EUL</t>
  </si>
  <si>
    <t>Motors BUS 29 Year EUL</t>
  </si>
  <si>
    <t>Motors BUS 3 Year EUL</t>
  </si>
  <si>
    <t>Motors BUS 30 Year EUL</t>
  </si>
  <si>
    <t>Motors BUS 4 Year EUL</t>
  </si>
  <si>
    <t>Motors BUS 5 Year EUL</t>
  </si>
  <si>
    <t>Motors BUS 6 Year EUL</t>
  </si>
  <si>
    <t>Motors BUS 7 Year EUL</t>
  </si>
  <si>
    <t>Motors BUS 8 Year EUL</t>
  </si>
  <si>
    <t>Motors BUS 9 Year EUL</t>
  </si>
  <si>
    <t>Office BUS 1 Year EUL</t>
  </si>
  <si>
    <t>Office BUS 10 Year EUL</t>
  </si>
  <si>
    <t>Office BUS 11 Year EUL</t>
  </si>
  <si>
    <t>Office BUS 12 Year EUL</t>
  </si>
  <si>
    <t>Office BUS 13 Year EUL</t>
  </si>
  <si>
    <t>Office BUS 14 Year EUL</t>
  </si>
  <si>
    <t>Office BUS 15 Year EUL</t>
  </si>
  <si>
    <t>Office BUS 16 Year EUL</t>
  </si>
  <si>
    <t>Office BUS 17 Year EUL</t>
  </si>
  <si>
    <t>Office BUS 18 Year EUL</t>
  </si>
  <si>
    <t>Office BUS 19 Year EUL</t>
  </si>
  <si>
    <t>Office BUS 2 Year EUL</t>
  </si>
  <si>
    <t>Office BUS 20 Year EUL</t>
  </si>
  <si>
    <t>Office BUS 21 Year EUL</t>
  </si>
  <si>
    <t>Office BUS 22 Year EUL</t>
  </si>
  <si>
    <t>Office BUS 23 Year EUL</t>
  </si>
  <si>
    <t>Office BUS 24 Year EUL</t>
  </si>
  <si>
    <t>Office BUS 25 Year EUL</t>
  </si>
  <si>
    <t>Office BUS 26 Year EUL</t>
  </si>
  <si>
    <t>Office BUS 27 Year EUL</t>
  </si>
  <si>
    <t>Office BUS 28 Year EUL</t>
  </si>
  <si>
    <t>Office BUS 29 Year EUL</t>
  </si>
  <si>
    <t>Office BUS 3 Year EUL</t>
  </si>
  <si>
    <t>Office BUS 30 Year EUL</t>
  </si>
  <si>
    <t>Office BUS 4 Year EUL</t>
  </si>
  <si>
    <t>Office BUS 5 Year EUL</t>
  </si>
  <si>
    <t>Office BUS 6 Year EUL</t>
  </si>
  <si>
    <t>Office BUS 7 Year EUL</t>
  </si>
  <si>
    <t>Office BUS 8 Year EUL</t>
  </si>
  <si>
    <t>Office BUS 9 Year EUL</t>
  </si>
  <si>
    <t>Pool Spa RES 1 Year EUL</t>
  </si>
  <si>
    <t>Pool Spa RES 10 Year EUL</t>
  </si>
  <si>
    <t>Pool Spa RES 11 Year EUL</t>
  </si>
  <si>
    <t>Pool Spa RES 12 Year EUL</t>
  </si>
  <si>
    <t>Pool Spa RES 13 Year EUL</t>
  </si>
  <si>
    <t>Pool Spa RES 14 Year EUL</t>
  </si>
  <si>
    <t>Pool Spa RES 15 Year EUL</t>
  </si>
  <si>
    <t>Pool Spa RES 16 Year EUL</t>
  </si>
  <si>
    <t>Pool Spa RES 17 Year EUL</t>
  </si>
  <si>
    <t>Pool Spa RES 18 Year EUL</t>
  </si>
  <si>
    <t>Pool Spa RES 19 Year EUL</t>
  </si>
  <si>
    <t>Pool Spa RES 2 Year EUL</t>
  </si>
  <si>
    <t>Pool Spa RES 20 Year EUL</t>
  </si>
  <si>
    <t>Pool Spa RES 21 Year EUL</t>
  </si>
  <si>
    <t>Pool Spa RES 22 Year EUL</t>
  </si>
  <si>
    <t>Pool Spa RES 23 Year EUL</t>
  </si>
  <si>
    <t>Pool Spa RES 24 Year EUL</t>
  </si>
  <si>
    <t>Pool Spa RES 25 Year EUL</t>
  </si>
  <si>
    <t>Pool Spa RES 3 Year EUL</t>
  </si>
  <si>
    <t>Pool Spa RES 4 Year EUL</t>
  </si>
  <si>
    <t>Pool Spa RES 5 Year EUL</t>
  </si>
  <si>
    <t>Pool Spa RES 6 Year EUL</t>
  </si>
  <si>
    <t>Pool Spa RES 7 Year EUL</t>
  </si>
  <si>
    <t>Pool Spa RES 8 Year EUL</t>
  </si>
  <si>
    <t>Pool Spa RES 9 Year EUL</t>
  </si>
  <si>
    <t>Process BUS 1 Year EUL</t>
  </si>
  <si>
    <t>Process BUS 10 Year EUL</t>
  </si>
  <si>
    <t>Process BUS 11 Year EUL</t>
  </si>
  <si>
    <t>Process BUS 12 Year EUL</t>
  </si>
  <si>
    <t>Process BUS 13 Year EUL</t>
  </si>
  <si>
    <t>Process BUS 14 Year EUL</t>
  </si>
  <si>
    <t>Process BUS 15 Year EUL</t>
  </si>
  <si>
    <t>Process BUS 16 Year EUL</t>
  </si>
  <si>
    <t>Process BUS 17 Year EUL</t>
  </si>
  <si>
    <t>Process BUS 18 Year EUL</t>
  </si>
  <si>
    <t>Process BUS 19 Year EUL</t>
  </si>
  <si>
    <t>Process BUS 2 Year EUL</t>
  </si>
  <si>
    <t>Process BUS 20 Year EUL</t>
  </si>
  <si>
    <t>Process BUS 21 Year EUL</t>
  </si>
  <si>
    <t>Process BUS 22 Year EUL</t>
  </si>
  <si>
    <t>Process BUS 23 Year EUL</t>
  </si>
  <si>
    <t>Process BUS 24 Year EUL</t>
  </si>
  <si>
    <t>Process BUS 25 Year EUL</t>
  </si>
  <si>
    <t>Process BUS 26 Year EUL</t>
  </si>
  <si>
    <t>Process BUS 27 Year EUL</t>
  </si>
  <si>
    <t>Process BUS 28 Year EUL</t>
  </si>
  <si>
    <t>Process BUS 29 Year EUL</t>
  </si>
  <si>
    <t>Process BUS 3 Year EUL</t>
  </si>
  <si>
    <t>Process BUS 30 Year EUL</t>
  </si>
  <si>
    <t>Process BUS 4 Year EUL</t>
  </si>
  <si>
    <t>Process BUS 5 Year EUL</t>
  </si>
  <si>
    <t>Process BUS 6 Year EUL</t>
  </si>
  <si>
    <t>Process BUS 7 Year EUL</t>
  </si>
  <si>
    <t>Process BUS 8 Year EUL</t>
  </si>
  <si>
    <t>Process BUS 9 Year EUL</t>
  </si>
  <si>
    <t>Refrigeration BUS 1 Year EUL</t>
  </si>
  <si>
    <t>Refrigeration BUS 10 Year EUL</t>
  </si>
  <si>
    <t>Refrigeration BUS 11 Year EUL</t>
  </si>
  <si>
    <t>Refrigeration BUS 12 Year EUL</t>
  </si>
  <si>
    <t>Refrigeration BUS 13 Year EUL</t>
  </si>
  <si>
    <t>Refrigeration BUS 14 Year EUL</t>
  </si>
  <si>
    <t>Refrigeration BUS 15 Year EUL</t>
  </si>
  <si>
    <t>Refrigeration BUS 16 Year EUL</t>
  </si>
  <si>
    <t>Refrigeration BUS 17 Year EUL</t>
  </si>
  <si>
    <t>Refrigeration BUS 18 Year EUL</t>
  </si>
  <si>
    <t>Refrigeration BUS 19 Year EUL</t>
  </si>
  <si>
    <t>Refrigeration BUS 2 Year EUL</t>
  </si>
  <si>
    <t>Refrigeration BUS 20 Year EUL</t>
  </si>
  <si>
    <t>Refrigeration BUS 21 Year EUL</t>
  </si>
  <si>
    <t>Refrigeration BUS 22 Year EUL</t>
  </si>
  <si>
    <t>Refrigeration BUS 23 Year EUL</t>
  </si>
  <si>
    <t>Refrigeration BUS 24 Year EUL</t>
  </si>
  <si>
    <t>Refrigeration BUS 25 Year EUL</t>
  </si>
  <si>
    <t>Refrigeration BUS 26 Year EUL</t>
  </si>
  <si>
    <t>Refrigeration BUS 27 Year EUL</t>
  </si>
  <si>
    <t>Refrigeration BUS 28 Year EUL</t>
  </si>
  <si>
    <t>Refrigeration BUS 29 Year EUL</t>
  </si>
  <si>
    <t>Refrigeration BUS 3 Year EUL</t>
  </si>
  <si>
    <t>Refrigeration BUS 30 Year EUL</t>
  </si>
  <si>
    <t>Refrigeration BUS 4 Year EUL</t>
  </si>
  <si>
    <t>Refrigeration BUS 5 Year EUL</t>
  </si>
  <si>
    <t>Refrigeration BUS 6 Year EUL</t>
  </si>
  <si>
    <t>Refrigeration BUS 7 Year EUL</t>
  </si>
  <si>
    <t>Refrigeration BUS 8 Year EUL</t>
  </si>
  <si>
    <t>Refrigeration BUS 9 Year EUL</t>
  </si>
  <si>
    <t>Refrigeration RES 1 Year EUL</t>
  </si>
  <si>
    <t>Refrigeration RES 10 Year EUL</t>
  </si>
  <si>
    <t>Refrigeration RES 11 Year EUL</t>
  </si>
  <si>
    <t>Refrigeration RES 12 Year EUL</t>
  </si>
  <si>
    <t>Refrigeration RES 13 Year EUL</t>
  </si>
  <si>
    <t>Refrigeration RES 14 Year EUL</t>
  </si>
  <si>
    <t>Refrigeration RES 15 Year EUL</t>
  </si>
  <si>
    <t>Refrigeration RES 16 Year EUL</t>
  </si>
  <si>
    <t>Refrigeration RES 17 Year EUL</t>
  </si>
  <si>
    <t>Refrigeration RES 18 Year EUL</t>
  </si>
  <si>
    <t>Refrigeration RES 19 Year EUL</t>
  </si>
  <si>
    <t>Refrigeration RES 2 Year EUL</t>
  </si>
  <si>
    <t>Refrigeration RES 20 Year EUL</t>
  </si>
  <si>
    <t>Refrigeration RES 21 Year EUL</t>
  </si>
  <si>
    <t>Refrigeration RES 22 Year EUL</t>
  </si>
  <si>
    <t>Refrigeration RES 23 Year EUL</t>
  </si>
  <si>
    <t>Refrigeration RES 24 Year EUL</t>
  </si>
  <si>
    <t>Refrigeration RES 25 Year EUL</t>
  </si>
  <si>
    <t>Refrigeration RES 3 Year EUL</t>
  </si>
  <si>
    <t>Refrigeration RES 4 Year EUL</t>
  </si>
  <si>
    <t>Refrigeration RES 5 Year EUL</t>
  </si>
  <si>
    <t>Refrigeration RES 6 Year EUL</t>
  </si>
  <si>
    <t>Refrigeration RES 7 Year EUL</t>
  </si>
  <si>
    <t>Refrigeration RES 8 Year EUL</t>
  </si>
  <si>
    <t>Refrigeration RES 9 Year EUL</t>
  </si>
  <si>
    <t>Refrigeration RES ER2 11 Year EUL</t>
  </si>
  <si>
    <t>Ventilation BUS 1 Year EUL</t>
  </si>
  <si>
    <t>Ventilation BUS 10 Year EUL</t>
  </si>
  <si>
    <t>Ventilation BUS 11 Year EUL</t>
  </si>
  <si>
    <t>Ventilation BUS 12 Year EUL</t>
  </si>
  <si>
    <t>Ventilation BUS 13 Year EUL</t>
  </si>
  <si>
    <t>Ventilation BUS 14 Year EUL</t>
  </si>
  <si>
    <t>Ventilation BUS 15 Year EUL</t>
  </si>
  <si>
    <t>Ventilation BUS 16 Year EUL</t>
  </si>
  <si>
    <t>Ventilation BUS 17 Year EUL</t>
  </si>
  <si>
    <t>Ventilation BUS 18 Year EUL</t>
  </si>
  <si>
    <t>Ventilation BUS 19 Year EUL</t>
  </si>
  <si>
    <t>Ventilation BUS 2 Year EUL</t>
  </si>
  <si>
    <t>Ventilation BUS 20 Year EUL</t>
  </si>
  <si>
    <t>Ventilation BUS 21 Year EUL</t>
  </si>
  <si>
    <t>Ventilation BUS 22 Year EUL</t>
  </si>
  <si>
    <t>Ventilation BUS 23 Year EUL</t>
  </si>
  <si>
    <t>Ventilation BUS 24 Year EUL</t>
  </si>
  <si>
    <t>Ventilation BUS 25 Year EUL</t>
  </si>
  <si>
    <t>Ventilation BUS 26 Year EUL</t>
  </si>
  <si>
    <t>Ventilation BUS 27 Year EUL</t>
  </si>
  <si>
    <t>Ventilation BUS 28 Year EUL</t>
  </si>
  <si>
    <t>Ventilation BUS 29 Year EUL</t>
  </si>
  <si>
    <t>Ventilation BUS 3 Year EUL</t>
  </si>
  <si>
    <t>Ventilation BUS 30 Year EUL</t>
  </si>
  <si>
    <t>Ventilation BUS 4 Year EUL</t>
  </si>
  <si>
    <t>Ventilation BUS 5 Year EUL</t>
  </si>
  <si>
    <t>Ventilation BUS 6 Year EUL</t>
  </si>
  <si>
    <t>Ventilation BUS 7 Year EUL</t>
  </si>
  <si>
    <t>Ventilation BUS 8 Year EUL</t>
  </si>
  <si>
    <t>Ventilation BUS 9 Year EUL</t>
  </si>
  <si>
    <t>Water Heating BUS 1 Year EUL</t>
  </si>
  <si>
    <t>Water Heating BUS 10 Year EUL</t>
  </si>
  <si>
    <t>Water Heating BUS 11 Year EUL</t>
  </si>
  <si>
    <t>Water Heating BUS 12 Year EUL</t>
  </si>
  <si>
    <t>Water Heating BUS 13 Year EUL</t>
  </si>
  <si>
    <t>Water Heating BUS 14 Year EUL</t>
  </si>
  <si>
    <t>Water Heating BUS 15 Year EUL</t>
  </si>
  <si>
    <t>Water Heating BUS 16 Year EUL</t>
  </si>
  <si>
    <t>Water Heating BUS 17 Year EUL</t>
  </si>
  <si>
    <t>Water Heating BUS 18 Year EUL</t>
  </si>
  <si>
    <t>Water Heating BUS 19 Year EUL</t>
  </si>
  <si>
    <t>Water Heating BUS 2 Year EUL</t>
  </si>
  <si>
    <t>Water Heating BUS 20 Year EUL</t>
  </si>
  <si>
    <t>Water Heating BUS 21 Year EUL</t>
  </si>
  <si>
    <t>Water Heating BUS 22 Year EUL</t>
  </si>
  <si>
    <t>Water Heating BUS 23 Year EUL</t>
  </si>
  <si>
    <t>Water Heating BUS 24 Year EUL</t>
  </si>
  <si>
    <t>Water Heating BUS 25 Year EUL</t>
  </si>
  <si>
    <t>Water Heating BUS 26 Year EUL</t>
  </si>
  <si>
    <t>Water Heating BUS 27 Year EUL</t>
  </si>
  <si>
    <t>Water Heating BUS 28 Year EUL</t>
  </si>
  <si>
    <t>Water Heating BUS 29 Year EUL</t>
  </si>
  <si>
    <t>Water Heating BUS 3 Year EUL</t>
  </si>
  <si>
    <t>Water Heating BUS 30 Year EUL</t>
  </si>
  <si>
    <t>Water Heating BUS 4 Year EUL</t>
  </si>
  <si>
    <t>Water Heating BUS 5 Year EUL</t>
  </si>
  <si>
    <t>Water Heating BUS 6 Year EUL</t>
  </si>
  <si>
    <t>Water Heating BUS 7 Year EUL</t>
  </si>
  <si>
    <t>Water Heating BUS 8 Year EUL</t>
  </si>
  <si>
    <t>Water Heating BUS 9 Year EUL</t>
  </si>
  <si>
    <t>Water Heating RES 1 Year EUL</t>
  </si>
  <si>
    <t>Water Heating RES 10 Year EUL</t>
  </si>
  <si>
    <t>Water Heating RES 11 Year EUL</t>
  </si>
  <si>
    <t>Water Heating RES 12 Year EUL</t>
  </si>
  <si>
    <t>Water Heating RES 13 Year EUL</t>
  </si>
  <si>
    <t>Water Heating RES 14 Year EUL</t>
  </si>
  <si>
    <t>Water Heating RES 15 Year EUL</t>
  </si>
  <si>
    <t>Water Heating RES 16 Year EUL</t>
  </si>
  <si>
    <t>Water Heating RES 17 Year EUL</t>
  </si>
  <si>
    <t>Water Heating RES 18 Year EUL</t>
  </si>
  <si>
    <t>Water Heating RES 19 Year EUL</t>
  </si>
  <si>
    <t>Water Heating RES 2 Year EUL</t>
  </si>
  <si>
    <t>Water Heating RES 20 Year EUL</t>
  </si>
  <si>
    <t>Water Heating RES 21 Year EUL</t>
  </si>
  <si>
    <t>Water Heating RES 22 Year EUL</t>
  </si>
  <si>
    <t>Water Heating RES 23 Year EUL</t>
  </si>
  <si>
    <t>Water Heating RES 24 Year EUL</t>
  </si>
  <si>
    <t>Water Heating RES 25 Year EUL</t>
  </si>
  <si>
    <t>Water Heating RES 3 Year EUL</t>
  </si>
  <si>
    <t>Water Heating RES 4 Year EUL</t>
  </si>
  <si>
    <t>Water Heating RES 5 Year EUL</t>
  </si>
  <si>
    <t>Water Heating RES 6 Year EUL</t>
  </si>
  <si>
    <t>Water Heating RES 7 Year EUL</t>
  </si>
  <si>
    <t>Water Heating RES 8 Year EUL</t>
  </si>
  <si>
    <t>Water Heating RES 9 Year EUL</t>
  </si>
  <si>
    <t>• Updated "Deemed Tables" with PY2018 Evaluation results.   Also includes revisions to HVAC measures and multifamily measures, based on feedback from evaluation contractor. This includes updates to Volume 3 of the TRM.</t>
  </si>
  <si>
    <r>
      <rPr>
        <b/>
        <sz val="26"/>
        <rFont val="Calibri"/>
        <family val="2"/>
        <scheme val="minor"/>
      </rPr>
      <t xml:space="preserve">&lt;------ </t>
    </r>
    <r>
      <rPr>
        <b/>
        <sz val="16"/>
        <rFont val="Calibri"/>
        <family val="2"/>
        <scheme val="minor"/>
      </rPr>
      <t>Use the "Grouping" Features to expand or hide the formulas/input variables</t>
    </r>
  </si>
  <si>
    <r>
      <t xml:space="preserve">13 </t>
    </r>
    <r>
      <rPr>
        <sz val="11"/>
        <rFont val="Calibri"/>
        <family val="2"/>
      </rPr>
      <t>≤ V &lt;28</t>
    </r>
  </si>
  <si>
    <r>
      <rPr>
        <b/>
        <sz val="10"/>
        <rFont val="Calibri"/>
        <family val="2"/>
      </rPr>
      <t>≥</t>
    </r>
    <r>
      <rPr>
        <b/>
        <sz val="10"/>
        <rFont val="Calibri"/>
        <family val="2"/>
        <scheme val="minor"/>
      </rPr>
      <t>65 kBtu/hr</t>
    </r>
  </si>
  <si>
    <r>
      <t xml:space="preserve">VSD Air Compressor </t>
    </r>
    <r>
      <rPr>
        <sz val="11"/>
        <rFont val="Calibri"/>
        <family val="2"/>
      </rPr>
      <t>≤ 40 HP</t>
    </r>
  </si>
  <si>
    <r>
      <t xml:space="preserve">Combination Oven (Pan Capacity </t>
    </r>
    <r>
      <rPr>
        <sz val="11"/>
        <rFont val="Calibri"/>
        <family val="2"/>
      </rPr>
      <t>≥</t>
    </r>
    <r>
      <rPr>
        <sz val="9.9"/>
        <rFont val="Calibri"/>
        <family val="2"/>
      </rPr>
      <t xml:space="preserve"> 15</t>
    </r>
    <r>
      <rPr>
        <sz val="11"/>
        <rFont val="Calibri"/>
        <family val="2"/>
        <scheme val="minor"/>
      </rPr>
      <t>)</t>
    </r>
  </si>
  <si>
    <r>
      <t>WHF</t>
    </r>
    <r>
      <rPr>
        <vertAlign val="subscript"/>
        <sz val="11"/>
        <rFont val="Calibri"/>
        <family val="2"/>
        <scheme val="minor"/>
      </rPr>
      <t>C</t>
    </r>
  </si>
  <si>
    <r>
      <t>WHF</t>
    </r>
    <r>
      <rPr>
        <vertAlign val="subscript"/>
        <sz val="11"/>
        <rFont val="Calibri"/>
        <family val="2"/>
        <scheme val="minor"/>
      </rPr>
      <t>H</t>
    </r>
  </si>
  <si>
    <t>Learning Thermostat - Gas Heated / central AC SF**</t>
  </si>
  <si>
    <t>Learning Thermostat - Unknown SF**</t>
  </si>
  <si>
    <t>ENERGY STAR Room AC (kWh w ISR)</t>
  </si>
  <si>
    <t>ENERGY STAR Room AC (kWh w/o ISR)</t>
  </si>
  <si>
    <r>
      <rPr>
        <strike/>
        <sz val="11"/>
        <rFont val="Calibri"/>
        <family val="2"/>
        <scheme val="minor"/>
      </rPr>
      <t>SEER14</t>
    </r>
    <r>
      <rPr>
        <sz val="11"/>
        <rFont val="Calibri"/>
        <family val="2"/>
        <scheme val="minor"/>
      </rPr>
      <t xml:space="preserve"> ECM</t>
    </r>
  </si>
  <si>
    <t>ROF ($)</t>
  </si>
  <si>
    <t>Ductless Heat Pumps and Air Conditioners</t>
  </si>
  <si>
    <t xml:space="preserve">ASHP SEER 15 - replace on Fail MF </t>
  </si>
  <si>
    <t>ASHP-  SEER 21+ replace at Fail Elec Resist Furnace MF</t>
  </si>
  <si>
    <r>
      <t>ROF</t>
    </r>
    <r>
      <rPr>
        <sz val="11"/>
        <rFont val="Calibri"/>
        <family val="2"/>
        <scheme val="minor"/>
      </rPr>
      <t xml:space="preserve"> ($)</t>
    </r>
  </si>
  <si>
    <t xml:space="preserve">ER ($) </t>
  </si>
  <si>
    <t>*Incremental Cost</t>
  </si>
  <si>
    <t>ER ($)</t>
  </si>
  <si>
    <r>
      <t>Full Cost of Installation</t>
    </r>
    <r>
      <rPr>
        <sz val="11"/>
        <rFont val="Calibri"/>
        <family val="2"/>
        <scheme val="minor"/>
      </rPr>
      <t xml:space="preserve"> ($/ton)</t>
    </r>
  </si>
  <si>
    <t>Derived using IL TRM ($/unit) and the % change in Mid-Atlantic TRM V9 ($/ton)</t>
  </si>
  <si>
    <r>
      <t>Default</t>
    </r>
    <r>
      <rPr>
        <i/>
        <vertAlign val="subscript"/>
        <sz val="11"/>
        <rFont val="Calibri"/>
        <family val="2"/>
        <scheme val="minor"/>
      </rPr>
      <t>heat</t>
    </r>
  </si>
  <si>
    <r>
      <t>Default</t>
    </r>
    <r>
      <rPr>
        <i/>
        <vertAlign val="subscript"/>
        <sz val="11"/>
        <rFont val="Calibri"/>
        <family val="2"/>
        <scheme val="minor"/>
      </rPr>
      <t>cool</t>
    </r>
  </si>
  <si>
    <r>
      <t>R</t>
    </r>
    <r>
      <rPr>
        <i/>
        <vertAlign val="subscript"/>
        <sz val="11"/>
        <rFont val="Calibri"/>
        <family val="2"/>
        <scheme val="minor"/>
      </rPr>
      <t>added</t>
    </r>
  </si>
  <si>
    <r>
      <t>A</t>
    </r>
    <r>
      <rPr>
        <i/>
        <vertAlign val="subscript"/>
        <sz val="11"/>
        <rFont val="Calibri"/>
        <family val="2"/>
        <scheme val="minor"/>
      </rPr>
      <t>Floor</t>
    </r>
  </si>
  <si>
    <t>Unit=Per Square Foot (if unknown, Avg MH: 72' x 15' =1080)</t>
  </si>
  <si>
    <r>
      <t>Framing Factor</t>
    </r>
    <r>
      <rPr>
        <i/>
        <vertAlign val="subscript"/>
        <sz val="11"/>
        <rFont val="Calibri"/>
        <family val="2"/>
        <scheme val="minor"/>
      </rPr>
      <t>Floor</t>
    </r>
  </si>
  <si>
    <r>
      <t>Adj</t>
    </r>
    <r>
      <rPr>
        <i/>
        <vertAlign val="subscript"/>
        <sz val="11"/>
        <rFont val="Calibri"/>
        <family val="2"/>
        <scheme val="minor"/>
      </rPr>
      <t>Floor</t>
    </r>
  </si>
  <si>
    <r>
      <t>R</t>
    </r>
    <r>
      <rPr>
        <vertAlign val="subscript"/>
        <sz val="10"/>
        <rFont val="Calibri"/>
        <family val="2"/>
        <scheme val="minor"/>
      </rPr>
      <t>existing</t>
    </r>
  </si>
  <si>
    <r>
      <t>R</t>
    </r>
    <r>
      <rPr>
        <vertAlign val="subscript"/>
        <sz val="10"/>
        <rFont val="Calibri"/>
        <family val="2"/>
        <scheme val="minor"/>
      </rPr>
      <t>new</t>
    </r>
  </si>
  <si>
    <r>
      <rPr>
        <sz val="11"/>
        <rFont val="Calibri"/>
        <family val="2"/>
        <scheme val="minor"/>
      </rPr>
      <t xml:space="preserve">Evaluation recommendation PY2019 </t>
    </r>
    <r>
      <rPr>
        <strike/>
        <sz val="11"/>
        <rFont val="Calibri"/>
        <family val="2"/>
        <scheme val="minor"/>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t>
    </r>
  </si>
  <si>
    <r>
      <t>ΔT</t>
    </r>
    <r>
      <rPr>
        <vertAlign val="subscript"/>
        <sz val="10"/>
        <rFont val="Calibri"/>
        <family val="2"/>
        <scheme val="minor"/>
      </rPr>
      <t>AVG, cooling</t>
    </r>
  </si>
  <si>
    <r>
      <t>ΔT</t>
    </r>
    <r>
      <rPr>
        <vertAlign val="subscript"/>
        <sz val="10"/>
        <rFont val="Calibri"/>
        <family val="2"/>
        <scheme val="minor"/>
      </rPr>
      <t>AVG, heating</t>
    </r>
  </si>
  <si>
    <r>
      <t>F</t>
    </r>
    <r>
      <rPr>
        <vertAlign val="subscript"/>
        <sz val="11"/>
        <rFont val="Calibri"/>
        <family val="2"/>
        <scheme val="minor"/>
      </rPr>
      <t>e</t>
    </r>
  </si>
  <si>
    <r>
      <t>Eff</t>
    </r>
    <r>
      <rPr>
        <vertAlign val="subscript"/>
        <sz val="11"/>
        <rFont val="Calibri"/>
        <family val="2"/>
        <scheme val="minor"/>
      </rPr>
      <t>heat</t>
    </r>
  </si>
  <si>
    <t>Duct Repair (Sealing) - Electric Heating SF</t>
  </si>
  <si>
    <r>
      <t>Duct</t>
    </r>
    <r>
      <rPr>
        <vertAlign val="subscript"/>
        <sz val="11"/>
        <rFont val="Calibri"/>
        <family val="2"/>
        <scheme val="minor"/>
      </rPr>
      <t>Length</t>
    </r>
  </si>
  <si>
    <r>
      <rPr>
        <sz val="11"/>
        <rFont val="Calibri"/>
        <family val="2"/>
        <scheme val="minor"/>
      </rPr>
      <t xml:space="preserve">Duct Length (ft) </t>
    </r>
    <r>
      <rPr>
        <strike/>
        <sz val="11"/>
        <rFont val="Calibri"/>
        <family val="2"/>
        <scheme val="minor"/>
      </rPr>
      <t>Duct heat loss coefficient with new insulation (hr-⁰F-ft2)/Btu)</t>
    </r>
  </si>
  <si>
    <t>Showerhead - Non-DI (SF &amp; MF)</t>
  </si>
  <si>
    <t>Showerhead DI</t>
  </si>
  <si>
    <r>
      <t>GPM</t>
    </r>
    <r>
      <rPr>
        <vertAlign val="subscript"/>
        <sz val="11"/>
        <rFont val="Calibri"/>
        <family val="2"/>
        <scheme val="minor"/>
      </rPr>
      <t>base</t>
    </r>
  </si>
  <si>
    <r>
      <t>L</t>
    </r>
    <r>
      <rPr>
        <vertAlign val="subscript"/>
        <sz val="11"/>
        <rFont val="Calibri"/>
        <family val="2"/>
        <scheme val="minor"/>
      </rPr>
      <t>base</t>
    </r>
  </si>
  <si>
    <r>
      <t>A</t>
    </r>
    <r>
      <rPr>
        <vertAlign val="subscript"/>
        <sz val="11"/>
        <rFont val="Calibri"/>
        <family val="2"/>
        <scheme val="minor"/>
      </rPr>
      <t>Base</t>
    </r>
  </si>
  <si>
    <r>
      <t>A</t>
    </r>
    <r>
      <rPr>
        <vertAlign val="subscript"/>
        <sz val="11"/>
        <rFont val="Calibri"/>
        <family val="2"/>
        <scheme val="minor"/>
      </rPr>
      <t>EE</t>
    </r>
  </si>
  <si>
    <r>
      <t>Average of surface area assumptions from the June 2016 Pennsylvania TRM, for 30, 40, 50, and 80 gallon tanks. A</t>
    </r>
    <r>
      <rPr>
        <vertAlign val="subscript"/>
        <sz val="11"/>
        <rFont val="Calibri"/>
        <family val="2"/>
        <scheme val="minor"/>
      </rPr>
      <t>EE</t>
    </r>
    <r>
      <rPr>
        <sz val="11"/>
        <rFont val="Calibri"/>
        <family val="2"/>
        <scheme val="minor"/>
      </rPr>
      <t xml:space="preserve"> was calculated by assuming that the water heater wrap is a 2” thick fiberglass material. </t>
    </r>
  </si>
  <si>
    <r>
      <t>GPM</t>
    </r>
    <r>
      <rPr>
        <vertAlign val="subscript"/>
        <sz val="11"/>
        <rFont val="Calibri"/>
        <family val="2"/>
        <scheme val="minor"/>
      </rPr>
      <t>low</t>
    </r>
  </si>
  <si>
    <r>
      <t>L</t>
    </r>
    <r>
      <rPr>
        <vertAlign val="subscript"/>
        <sz val="11"/>
        <rFont val="Calibri"/>
        <family val="2"/>
        <scheme val="minor"/>
      </rPr>
      <t>low</t>
    </r>
  </si>
  <si>
    <t>AC - Energy Star Room _unknown size_Thru-Wall_MF</t>
  </si>
  <si>
    <t>AC - Energy Star Room  _unknown size_Thru-Wall_SF</t>
  </si>
  <si>
    <t>AC - Energy Star Room _unknown size_MF</t>
  </si>
  <si>
    <t>AC - Energy Star Room _unknown size_SF</t>
  </si>
  <si>
    <r>
      <t xml:space="preserve">ER  </t>
    </r>
    <r>
      <rPr>
        <sz val="11"/>
        <rFont val="Calibri"/>
        <family val="2"/>
        <scheme val="minor"/>
      </rPr>
      <t>($)</t>
    </r>
  </si>
  <si>
    <t>ER  ($)</t>
  </si>
  <si>
    <r>
      <rPr>
        <b/>
        <sz val="11"/>
        <rFont val="Calibri"/>
        <family val="2"/>
        <scheme val="minor"/>
      </rPr>
      <t>Residential demand response:</t>
    </r>
    <r>
      <rPr>
        <sz val="11"/>
        <rFont val="Calibri"/>
        <family val="2"/>
        <scheme val="minor"/>
      </rPr>
      <t xml:space="preserve"> For demand and energy savings associated with calling a demand response event, smart thermostat program participants will be randomly partitioned into two groups. In this scenario, on an event day, participants in one group receive a signal to initiate activity on the thermostat, while the other group of participants would not receive this signal. As a result, the participants who receive the signal will serve as the treatment group, and the participants who do not receive a signal will serve as the control group. Demand impacts will be estimated from the average of the hours over all event periods. Energy savings impacts will be estimated from comparing the 24 hours of the control group for each event day to the 24 hours of actual kWh consumption for each event day.</t>
    </r>
  </si>
  <si>
    <r>
      <rPr>
        <b/>
        <sz val="11"/>
        <rFont val="Calibri"/>
        <family val="2"/>
        <scheme val="minor"/>
      </rPr>
      <t>Business demand response:</t>
    </r>
    <r>
      <rPr>
        <sz val="11"/>
        <rFont val="Calibri"/>
        <family val="2"/>
        <scheme val="minor"/>
      </rPr>
      <t xml:space="preserve"> For demand and energy savings associated with calling a demand response event, a customer baseline load ("CBL") approach will be used. A CBL approach applies a model or algorithm to develop customer-specific baselines for each event that are used to estimate load impacts for each hour of the event. Demand impacts will be estimated from the average of the hours over all event periods. Energy savings impacts will be estimated from comparing the 24 hours of the CBL for each event day to the 24 hours of actual kWh consumption for each event day.</t>
    </r>
  </si>
  <si>
    <t>* Demand savings are calculated for demand response events, therefore no demand savings are calculated based on the energy savings for this measure.              For planning estimates a value of 1.53 kW/thermostat is assumed until further evaluation.</t>
  </si>
  <si>
    <t>Equation Inputs</t>
  </si>
  <si>
    <t>Formula/Equation(s)</t>
  </si>
  <si>
    <t>Deemed Savings Table(s)</t>
  </si>
  <si>
    <t>"-/+" = Collapse or Expand each Section</t>
  </si>
  <si>
    <t>"2" = Expand all Inputs to Calculations</t>
  </si>
  <si>
    <t>"1"= Collapse all Inputs to Calculations</t>
  </si>
  <si>
    <t>*TRC (Measure Level)</t>
  </si>
  <si>
    <t xml:space="preserve">Current + Historical kWh Values and Inputs </t>
  </si>
  <si>
    <t>Deemed Savings Tables and Inputs</t>
  </si>
  <si>
    <t>General Layout of the Deemed Savings Tables:</t>
  </si>
  <si>
    <t>Avg. size home 875.55 sq.ft.</t>
  </si>
  <si>
    <t>Avg. size home 718.9 sq.ft.</t>
  </si>
  <si>
    <t>* TRC calculations use the avoided cost benefit tables from workpapers in the approved MEEIA 2019-2021 filing (EO-2018-0211)</t>
  </si>
  <si>
    <t>Deemed Table</t>
  </si>
  <si>
    <t>Measure Name</t>
  </si>
  <si>
    <t>0-9 EUL (EO) KW</t>
  </si>
  <si>
    <t>10-14 EUL (EO) KW</t>
  </si>
  <si>
    <t>15+ EUL (EO) KW</t>
  </si>
  <si>
    <t>TRC</t>
  </si>
  <si>
    <t>Inc Cost</t>
  </si>
  <si>
    <t>ER2</t>
  </si>
  <si>
    <t>ER1</t>
  </si>
  <si>
    <t>ER1 Cooling</t>
  </si>
  <si>
    <t>ER2 Cooling</t>
  </si>
  <si>
    <t>ER1 Heating</t>
  </si>
  <si>
    <t>ER2 Heating</t>
  </si>
  <si>
    <t>KW_ER1</t>
  </si>
  <si>
    <t>KW_ER2</t>
  </si>
  <si>
    <t>403301_2019_12_</t>
  </si>
  <si>
    <t>405951_2019_12_</t>
  </si>
  <si>
    <t>500250_2019_12_</t>
  </si>
  <si>
    <t>500300_2019_12_</t>
  </si>
  <si>
    <t>500350_2019_12_</t>
  </si>
  <si>
    <t>500400_2019_12_</t>
  </si>
  <si>
    <t>500450_2019_12_</t>
  </si>
  <si>
    <t>500500_2019_12_</t>
  </si>
  <si>
    <t>500550_2019_12_</t>
  </si>
  <si>
    <t>500600_2019_12_</t>
  </si>
  <si>
    <t>500650_2019_12_</t>
  </si>
  <si>
    <t>500700_2019_12_</t>
  </si>
  <si>
    <t>500750_2019_12_</t>
  </si>
  <si>
    <t>500751_2019_12_</t>
  </si>
  <si>
    <t xml:space="preserve">Delete - check </t>
  </si>
  <si>
    <t>300400_2019_12_</t>
  </si>
  <si>
    <t>2020 ER1 Total Benefits (2019 $)</t>
  </si>
  <si>
    <t>2020 ER2 Total Benefits (2019 $)</t>
  </si>
  <si>
    <t>PY2020 ER1 Benefits (2019 $)</t>
  </si>
  <si>
    <t>PY2020 ER2 Benefits (2019 $)</t>
  </si>
  <si>
    <t>variable</t>
  </si>
  <si>
    <t>Savings includes some heating that is not counted in C/E/Benefits here</t>
  </si>
  <si>
    <t>Formula error in Nov 2019 TRM update (correct with next TRM update opportunity)</t>
  </si>
  <si>
    <t>Cell Reference</t>
  </si>
  <si>
    <t>Efficient Kits</t>
  </si>
  <si>
    <t>C45</t>
  </si>
  <si>
    <t>BC438, BC439</t>
  </si>
  <si>
    <t>Income Eligible</t>
  </si>
  <si>
    <t>C40-49 &amp; C160,161</t>
  </si>
  <si>
    <t>BC188-189</t>
  </si>
  <si>
    <t>KWh per Measure</t>
  </si>
  <si>
    <t>Total 1st year kWh per measure</t>
  </si>
  <si>
    <t>Total last year kWh per measure</t>
  </si>
  <si>
    <t>Total EUL</t>
  </si>
  <si>
    <t xml:space="preserve">ER1 </t>
  </si>
  <si>
    <t>KW per Measure</t>
  </si>
  <si>
    <t>Total 1st year kW per measure</t>
  </si>
  <si>
    <t>Total last year kW per measure</t>
  </si>
  <si>
    <t>Floor Insulation R25 MH - No existing insulatin</t>
  </si>
  <si>
    <t>Floor Insulation R25 MH - Pre-existing insulatin (R-13)</t>
  </si>
  <si>
    <t xml:space="preserve">3/4" plywood subfloor and carpet with pad. </t>
  </si>
  <si>
    <t>3.96 from MO TRM, 13 added</t>
  </si>
  <si>
    <t>CAC - SEER 18 ER1: SF</t>
  </si>
  <si>
    <t>CAC - SEER 18 ER2: SF</t>
  </si>
  <si>
    <t>CAC - SEER 18 ROF: SF</t>
  </si>
  <si>
    <t>CAC - SEER 18 ER1: MF</t>
  </si>
  <si>
    <t>CAC - SEER 18 ER2: MF</t>
  </si>
  <si>
    <t>CAC - SEER 18 ROF: MF</t>
  </si>
  <si>
    <t>CAC - SEER 19 ER1: SF</t>
  </si>
  <si>
    <t>CAC - SEER 19 ER2: SF</t>
  </si>
  <si>
    <t>CAC - SEER 19 ROF: SF</t>
  </si>
  <si>
    <t>CAC - SEER 19 ER1: MF</t>
  </si>
  <si>
    <t>CAC - SEER 19 ER2: MF</t>
  </si>
  <si>
    <t>CAC - SEER 19 ROF: MF</t>
  </si>
  <si>
    <t>CAC - SEER 20 ER1: SF</t>
  </si>
  <si>
    <t>CAC - SEER 20 ER2: SF</t>
  </si>
  <si>
    <t>CAC - SEER 20 ROF: SF</t>
  </si>
  <si>
    <t>CAC - SEER 20 ER1: MF</t>
  </si>
  <si>
    <t>CAC - SEER 20 ER2: MF</t>
  </si>
  <si>
    <t>CAC - SEER 20 ROF: MF</t>
  </si>
  <si>
    <t>CAC - SEER 21+ ER1: SF</t>
  </si>
  <si>
    <t>CAC - SEER 21+ ER2: SF</t>
  </si>
  <si>
    <t>CAC - SEER 21+ ROF: SF</t>
  </si>
  <si>
    <t>CAC - SEER 21+ ER1: MF</t>
  </si>
  <si>
    <t>CAC - SEER 21+ ER2: MF</t>
  </si>
  <si>
    <t>CAC - SEER 21+ ROF: MF</t>
  </si>
  <si>
    <t>CAC - SEER 17 ER1: SF</t>
  </si>
  <si>
    <t>CAC - SEER 17 ER2: SF</t>
  </si>
  <si>
    <t>CAC - SEER 17 ROF: SF</t>
  </si>
  <si>
    <t>CAC - SEER 17 ER1: MF</t>
  </si>
  <si>
    <t>CAC - SEER 17 ER2: MF</t>
  </si>
  <si>
    <t>CAC - SEER 17 ROF: MF</t>
  </si>
  <si>
    <t>Used standard of 3 ton for SF &amp; 2 ton for MF</t>
  </si>
  <si>
    <t>402203_2020_02_</t>
  </si>
  <si>
    <t>402204_2020_02_</t>
  </si>
  <si>
    <t>402205_2020_02_</t>
  </si>
  <si>
    <t>351160_2020_02</t>
  </si>
  <si>
    <t>351161_2020_02</t>
  </si>
  <si>
    <t>351162_2020_02</t>
  </si>
  <si>
    <t>351163_2020_02</t>
  </si>
  <si>
    <t>351164_2020_02</t>
  </si>
  <si>
    <t>351165_2020_02</t>
  </si>
  <si>
    <t>351170_2020_02</t>
  </si>
  <si>
    <t>351171_2020_02</t>
  </si>
  <si>
    <t>351172_2020_02</t>
  </si>
  <si>
    <t>351173_2020_02</t>
  </si>
  <si>
    <t>351174_2020_02</t>
  </si>
  <si>
    <t>351175_2020_02</t>
  </si>
  <si>
    <t>351180_2020_02</t>
  </si>
  <si>
    <t>351181_2020_02</t>
  </si>
  <si>
    <t>351182_2020_02</t>
  </si>
  <si>
    <t>351183_2020_02</t>
  </si>
  <si>
    <t>351184_2020_02</t>
  </si>
  <si>
    <t>351185_2020_02</t>
  </si>
  <si>
    <t>351190_2020_02</t>
  </si>
  <si>
    <t>351191_2020_02</t>
  </si>
  <si>
    <t>351192_2020_02</t>
  </si>
  <si>
    <t>351193_2020_02</t>
  </si>
  <si>
    <t>351194_2020_02</t>
  </si>
  <si>
    <t>351195_2020_02</t>
  </si>
  <si>
    <t>C-146 to C181</t>
  </si>
  <si>
    <t>C440-C442</t>
  </si>
  <si>
    <t>Add Floor Insulation measure with R-13 baseline insulation in addition to existing measures which had no insulation for a baseline.</t>
  </si>
  <si>
    <t>C666,C667</t>
  </si>
  <si>
    <t>BB777, BB796, BB797</t>
  </si>
  <si>
    <t>• Updated "Deemed Tables" with updates for 11 step process/program updates and minor corrections found since prior TRMupdate.</t>
  </si>
  <si>
    <t>I1416-I1643</t>
  </si>
  <si>
    <t>Clean up Item</t>
  </si>
  <si>
    <t>Update</t>
  </si>
  <si>
    <t>Update Type</t>
  </si>
  <si>
    <t>Floor Insulation R25 (R-13 base) MH electric furnace/baseboard and electric cooling</t>
  </si>
  <si>
    <t>Floor Insulation R25 (R-13 base) MH heat pump and electric cooling</t>
  </si>
  <si>
    <t>Floor Insulation R25 (R-13 base) MH gas furnace/baseboard and electric cooling</t>
  </si>
  <si>
    <r>
      <t xml:space="preserve">Floor Insulation R25 </t>
    </r>
    <r>
      <rPr>
        <sz val="11"/>
        <color rgb="FFFF0000"/>
        <rFont val="Calibri"/>
        <family val="2"/>
        <scheme val="minor"/>
      </rPr>
      <t>(R-3.96 base) MH</t>
    </r>
    <r>
      <rPr>
        <sz val="11"/>
        <rFont val="Calibri"/>
        <family val="2"/>
        <scheme val="minor"/>
      </rPr>
      <t xml:space="preserve"> electric furnace/baseboard and electric cooling</t>
    </r>
  </si>
  <si>
    <r>
      <t>Floor Insulation R25</t>
    </r>
    <r>
      <rPr>
        <sz val="11"/>
        <color rgb="FFFF0000"/>
        <rFont val="Calibri"/>
        <family val="2"/>
        <scheme val="minor"/>
      </rPr>
      <t xml:space="preserve"> (R-3.96 base) MH</t>
    </r>
    <r>
      <rPr>
        <sz val="11"/>
        <rFont val="Calibri"/>
        <family val="2"/>
        <scheme val="minor"/>
      </rPr>
      <t xml:space="preserve"> heat pump and electric cooling</t>
    </r>
  </si>
  <si>
    <r>
      <t xml:space="preserve">Floor Insulation R25 </t>
    </r>
    <r>
      <rPr>
        <sz val="11"/>
        <color rgb="FFFF0000"/>
        <rFont val="Calibri"/>
        <family val="2"/>
        <scheme val="minor"/>
      </rPr>
      <t>(R-3.96 base) MH</t>
    </r>
    <r>
      <rPr>
        <sz val="11"/>
        <rFont val="Calibri"/>
        <family val="2"/>
        <scheme val="minor"/>
      </rPr>
      <t xml:space="preserve"> gas furnace/baseboard and electric cooling</t>
    </r>
  </si>
  <si>
    <t>*MH = Mobile Home</t>
  </si>
  <si>
    <t>#</t>
  </si>
  <si>
    <t>Update equation to calculate TRC for these rows</t>
  </si>
  <si>
    <t>Update measure ID to show "2019_12" rather than "2018_12"</t>
  </si>
  <si>
    <t>Update measure ID to show "43301" rather than "43300" as it is duplicate of the measure before it.</t>
  </si>
  <si>
    <t>Modifications  to Deemed Savings Tables revision 3.1 on 02/06/2020</t>
  </si>
  <si>
    <t xml:space="preserve">The below index is a summary of all measures within the deemed savings tables.  It serves as a lookup table linked directly to the official records within the deemed savings tables and summarizes measure attributes in a single row for each measure ID.  </t>
  </si>
  <si>
    <t>27  Multifamily comprehensive envelope ASHP measures included the same KW value as the similiare non comprehensive measure.  Corrected formulas here to multiply the kWh by the CP factor.  Impacted measures have not yet been implemented in programs.</t>
  </si>
  <si>
    <t>Add higher SEER CAC Measures with existing inputs.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</si>
</sst>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00000"/>
    <numFmt numFmtId="170" formatCode="#,##0.0_);\(#,##0.0\)"/>
    <numFmt numFmtId="171" formatCode="&quot;$&quot;#,##0.00"/>
    <numFmt numFmtId="172" formatCode="0.0%"/>
    <numFmt numFmtId="173" formatCode="_(&quot;$&quot;* #,##0_);_(&quot;$&quot;* \(#,##0\);_(&quot;$&quot;* &quot;-&quot;??_);_(@_)"/>
    <numFmt numFmtId="174" formatCode="0.00_);\(0.00\)"/>
    <numFmt numFmtId="175" formatCode="0_);\(0\)"/>
    <numFmt numFmtId="176" formatCode="0.0_);\(0.0\)"/>
    <numFmt numFmtId="177" formatCode="0.000_);\(0.000\)"/>
    <numFmt numFmtId="178" formatCode="0.0000"/>
    <numFmt numFmtId="179" formatCode="#,##0.0"/>
    <numFmt numFmtId="180" formatCode="0.000"/>
    <numFmt numFmtId="181" formatCode="#,##0.000"/>
    <numFmt numFmtId="182" formatCode="#,##0.0000000000_);\(#,##0.0000000000\)"/>
    <numFmt numFmtId="183" formatCode="#,##0.0000000_);\(#,##0.0000000\)"/>
    <numFmt numFmtId="184" formatCode="#,##0.0000_);\(#,##0.0000\)"/>
    <numFmt numFmtId="185" formatCode="_(&quot;$&quot;* #,##0.0000000_);_(&quot;$&quot;* \(#,##0.0000000\);_(&quot;$&quot;* &quot;-&quot;??_);_(@_)"/>
    <numFmt numFmtId="186" formatCode="0.00000"/>
    <numFmt numFmtId="187" formatCode="0.000000000%"/>
    <numFmt numFmtId="188" formatCode="_(&quot;$&quot;* #,##0.000000_);_(&quot;$&quot;* \(#,##0.000000\);_(&quot;$&quot;* &quot;-&quot;??_);_(@_)"/>
    <numFmt numFmtId="189" formatCode="0.00000000"/>
    <numFmt numFmtId="190" formatCode="#,##0.000_);\(#,##0.000\)"/>
    <numFmt numFmtId="191" formatCode="0.000%"/>
    <numFmt numFmtId="192" formatCode="_(* #,##0.000_);_(* \(#,##0.000\);_(* &quot;-&quot;??_);_(@_)"/>
    <numFmt numFmtId="193" formatCode="0.000000000"/>
    <numFmt numFmtId="194" formatCode="#,##0.000000_);\(#,##0.000000\)"/>
    <numFmt numFmtId="195" formatCode="_(* #,##0.0000000_);_(* \(#,##0.0000000\);_(* &quot;-&quot;??_);_(@_)"/>
    <numFmt numFmtId="196" formatCode="_(* #,##0.0_);_(* \(#,##0.0\);_(* &quot;-&quot;??_);_(@_)"/>
    <numFmt numFmtId="197" formatCode="&quot;$&quot;#,##0.00000_);\(&quot;$&quot;#,##0.00000\)"/>
    <numFmt numFmtId="198" formatCode="&quot;$&quot;#,##0.000_);\(&quot;$&quot;#,##0.000\)"/>
    <numFmt numFmtId="199" formatCode="#,##0.00000000000_);\(#,##0.00000000000\)"/>
    <numFmt numFmtId="200" formatCode="0.0000000"/>
    <numFmt numFmtId="201" formatCode="[$$-409]#,##0.00_);\([$$-409]#,##0.00\)"/>
    <numFmt numFmtId="202" formatCode="#,##0.000000000_);\(#,##0.000000000\)"/>
    <numFmt numFmtId="203" formatCode="_([$$-409]* #,##0.00_);_([$$-409]* \(#,##0.00\);_([$$-409]* &quot;-&quot;??_);_(@_)"/>
    <numFmt numFmtId="204" formatCode="0.000000000000"/>
    <numFmt numFmtId="205" formatCode="0.0000%"/>
    <numFmt numFmtId="206" formatCode="_(* #,##0.000000_);_(* \(#,##0.000000\);_(* &quot;-&quot;??????_);_(@_)"/>
    <numFmt numFmtId="207" formatCode="_(* #,##0.00000000_);_(* \(#,##0.00000000\);_(* &quot;-&quot;??_);_(@_)"/>
    <numFmt numFmtId="208" formatCode="0.0000000000000"/>
  </numFmts>
  <fonts count="110" x14ac:knownFonts="1">
    <font>
      <sz val="11"/>
      <color theme="1"/>
      <name val="Calibri"/>
      <family val="2"/>
      <scheme val="minor"/>
    </font>
    <font>
      <sz val="11"/>
      <color theme="1"/>
      <name val="Calibri"/>
      <family val="2"/>
      <scheme val="minor"/>
    </font>
    <font>
      <sz val="11"/>
      <color rgb="FF9C0006"/>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36"/>
      <color theme="1"/>
      <name val="Calibri"/>
      <family val="2"/>
      <scheme val="minor"/>
    </font>
    <font>
      <sz val="28"/>
      <color theme="1"/>
      <name val="Calibri"/>
      <family val="2"/>
      <scheme val="minor"/>
    </font>
    <font>
      <b/>
      <sz val="14"/>
      <color theme="1"/>
      <name val="Times New Roman"/>
      <family val="1"/>
    </font>
    <font>
      <sz val="10"/>
      <color theme="1"/>
      <name val="Times New Roman"/>
      <family val="1"/>
    </font>
    <font>
      <sz val="10"/>
      <name val="Times New Roman"/>
      <family val="1"/>
    </font>
    <font>
      <sz val="10"/>
      <color theme="1"/>
      <name val="Calibri"/>
      <family val="2"/>
      <scheme val="minor"/>
    </font>
    <font>
      <b/>
      <sz val="10"/>
      <color theme="0"/>
      <name val="Calibri"/>
      <family val="2"/>
      <scheme val="minor"/>
    </font>
    <font>
      <b/>
      <sz val="16"/>
      <color theme="1"/>
      <name val="Calibri"/>
      <family val="2"/>
      <scheme val="minor"/>
    </font>
    <font>
      <b/>
      <sz val="14"/>
      <color theme="0"/>
      <name val="Calibri"/>
      <family val="2"/>
      <scheme val="minor"/>
    </font>
    <font>
      <sz val="10"/>
      <color theme="0"/>
      <name val="Calibri"/>
      <family val="2"/>
      <scheme val="minor"/>
    </font>
    <font>
      <b/>
      <sz val="12"/>
      <color theme="0" tint="-0.34998626667073579"/>
      <name val="Calibri"/>
      <family val="2"/>
      <scheme val="minor"/>
    </font>
    <font>
      <b/>
      <sz val="26"/>
      <color theme="0" tint="-0.34998626667073579"/>
      <name val="Calibri"/>
      <family val="2"/>
      <scheme val="minor"/>
    </font>
    <font>
      <b/>
      <sz val="16"/>
      <color theme="0" tint="-0.34998626667073579"/>
      <name val="Calibri"/>
      <family val="2"/>
      <scheme val="minor"/>
    </font>
    <font>
      <b/>
      <sz val="10"/>
      <color rgb="FF0070C0"/>
      <name val="Calibri"/>
      <family val="2"/>
      <scheme val="minor"/>
    </font>
    <font>
      <b/>
      <sz val="10"/>
      <color rgb="FF00B050"/>
      <name val="Calibri"/>
      <family val="2"/>
      <scheme val="minor"/>
    </font>
    <font>
      <b/>
      <sz val="10"/>
      <color rgb="FFFF0000"/>
      <name val="Calibri"/>
      <family val="2"/>
      <scheme val="minor"/>
    </font>
    <font>
      <b/>
      <sz val="10"/>
      <color theme="1"/>
      <name val="Calibri"/>
      <family val="2"/>
      <scheme val="minor"/>
    </font>
    <font>
      <sz val="11"/>
      <name val="Calibri"/>
      <family val="2"/>
      <scheme val="minor"/>
    </font>
    <font>
      <sz val="10"/>
      <color rgb="FFFF0000"/>
      <name val="Calibri"/>
      <family val="2"/>
      <scheme val="minor"/>
    </font>
    <font>
      <sz val="10"/>
      <color rgb="FF000000"/>
      <name val="Calibri"/>
      <family val="2"/>
    </font>
    <font>
      <sz val="11"/>
      <color rgb="FF000000"/>
      <name val="Calibri"/>
      <family val="2"/>
    </font>
    <font>
      <sz val="11"/>
      <color theme="1"/>
      <name val="Calibri Light"/>
      <family val="2"/>
    </font>
    <font>
      <sz val="11"/>
      <name val="Calibri Light"/>
      <family val="2"/>
    </font>
    <font>
      <sz val="11"/>
      <color rgb="FFFF0000"/>
      <name val="Calibri Light"/>
      <family val="2"/>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2"/>
      <color theme="0" tint="-0.34998626667073579"/>
      <name val="Calibri"/>
      <family val="2"/>
      <scheme val="minor"/>
    </font>
    <font>
      <sz val="10"/>
      <name val="Arial"/>
      <family val="2"/>
    </font>
    <font>
      <sz val="11"/>
      <name val="Arial"/>
      <family val="2"/>
    </font>
    <font>
      <sz val="10"/>
      <name val="Calibri"/>
      <family val="2"/>
      <scheme val="minor"/>
    </font>
    <font>
      <sz val="11"/>
      <color rgb="FF9C5700"/>
      <name val="Calibri"/>
      <family val="2"/>
      <scheme val="minor"/>
    </font>
    <font>
      <sz val="11"/>
      <color rgb="FFFF0000"/>
      <name val="Calibri"/>
      <family val="2"/>
    </font>
    <font>
      <i/>
      <sz val="11"/>
      <name val="Calibri Light"/>
      <family val="2"/>
      <scheme val="major"/>
    </font>
    <font>
      <b/>
      <sz val="16"/>
      <name val="Calibri"/>
      <family val="2"/>
      <scheme val="minor"/>
    </font>
    <font>
      <b/>
      <sz val="11"/>
      <name val="Calibri"/>
      <family val="2"/>
      <scheme val="minor"/>
    </font>
    <font>
      <vertAlign val="subscript"/>
      <sz val="11"/>
      <name val="Calibri"/>
      <family val="2"/>
      <scheme val="minor"/>
    </font>
    <font>
      <b/>
      <sz val="10"/>
      <name val="Calibri"/>
      <family val="2"/>
      <scheme val="minor"/>
    </font>
    <font>
      <sz val="11"/>
      <color rgb="FF000000"/>
      <name val="Calibri"/>
      <family val="2"/>
      <scheme val="minor"/>
    </font>
    <font>
      <sz val="11"/>
      <color indexed="8"/>
      <name val="Calibri"/>
      <family val="2"/>
      <scheme val="minor"/>
    </font>
    <font>
      <i/>
      <vertAlign val="subscript"/>
      <sz val="11"/>
      <name val="Calibri Light"/>
      <family val="2"/>
      <scheme val="major"/>
    </font>
    <font>
      <b/>
      <u/>
      <sz val="11"/>
      <name val="Calibri"/>
      <family val="2"/>
      <scheme val="minor"/>
    </font>
    <font>
      <i/>
      <sz val="11"/>
      <color theme="1"/>
      <name val="Calibri Light"/>
      <family val="2"/>
      <scheme val="major"/>
    </font>
    <font>
      <sz val="11"/>
      <color theme="1"/>
      <name val="Calibri Light"/>
      <family val="2"/>
      <scheme val="major"/>
    </font>
    <font>
      <sz val="11"/>
      <color theme="1"/>
      <name val="Times New Roman"/>
      <family val="1"/>
    </font>
    <font>
      <sz val="11"/>
      <color rgb="FF000000"/>
      <name val="Times New Roman"/>
      <family val="1"/>
    </font>
    <font>
      <i/>
      <sz val="11"/>
      <name val="Calibri"/>
      <family val="2"/>
      <scheme val="minor"/>
    </font>
    <font>
      <sz val="11"/>
      <name val="Times New Roman"/>
      <family val="1"/>
    </font>
    <font>
      <vertAlign val="subscript"/>
      <sz val="11"/>
      <color theme="1"/>
      <name val="Calibri"/>
      <family val="2"/>
      <scheme val="minor"/>
    </font>
    <font>
      <sz val="11"/>
      <color rgb="FF00B050"/>
      <name val="Calibri"/>
      <family val="2"/>
      <scheme val="minor"/>
    </font>
    <font>
      <i/>
      <sz val="11"/>
      <color theme="1"/>
      <name val="Calibri"/>
      <family val="2"/>
      <scheme val="minor"/>
    </font>
    <font>
      <b/>
      <sz val="20"/>
      <name val="Calibri"/>
      <family val="2"/>
      <scheme val="minor"/>
    </font>
    <font>
      <b/>
      <sz val="18"/>
      <name val="Calibri"/>
      <family val="2"/>
      <scheme val="minor"/>
    </font>
    <font>
      <sz val="11"/>
      <color rgb="FF00B0F0"/>
      <name val="Calibri"/>
      <family val="2"/>
      <scheme val="minor"/>
    </font>
    <font>
      <sz val="20"/>
      <color rgb="FFFF0000"/>
      <name val="Calibri"/>
      <family val="2"/>
      <scheme val="minor"/>
    </font>
    <font>
      <sz val="20"/>
      <color theme="1"/>
      <name val="Calibri"/>
      <family val="2"/>
      <scheme val="minor"/>
    </font>
    <font>
      <sz val="22"/>
      <color rgb="FFFF0000"/>
      <name val="Calibri"/>
      <family val="2"/>
      <scheme val="minor"/>
    </font>
    <font>
      <i/>
      <vertAlign val="subscript"/>
      <sz val="11"/>
      <name val="Calibri"/>
      <family val="2"/>
      <scheme val="minor"/>
    </font>
    <font>
      <u/>
      <sz val="11"/>
      <color theme="10"/>
      <name val="Calibri"/>
      <family val="2"/>
      <scheme val="minor"/>
    </font>
    <font>
      <sz val="12"/>
      <color indexed="81"/>
      <name val="Tahoma"/>
      <family val="2"/>
    </font>
    <font>
      <sz val="11"/>
      <color indexed="81"/>
      <name val="Tahoma"/>
      <family val="2"/>
    </font>
    <font>
      <sz val="14"/>
      <color indexed="81"/>
      <name val="Tahoma"/>
      <family val="2"/>
    </font>
    <font>
      <b/>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sz val="11"/>
      <color rgb="FF0070C0"/>
      <name val="Calibri"/>
      <family val="2"/>
      <scheme val="minor"/>
    </font>
    <font>
      <b/>
      <sz val="12"/>
      <name val="Calibri"/>
      <family val="2"/>
      <scheme val="minor"/>
    </font>
    <font>
      <strike/>
      <sz val="11"/>
      <name val="Calibri"/>
      <family val="2"/>
      <scheme val="minor"/>
    </font>
    <font>
      <strike/>
      <sz val="10"/>
      <name val="Calibri"/>
      <family val="2"/>
      <scheme val="minor"/>
    </font>
    <font>
      <sz val="11"/>
      <name val="Calibri Light"/>
      <family val="2"/>
      <scheme val="major"/>
    </font>
    <font>
      <sz val="10"/>
      <color theme="0"/>
      <name val="Arial"/>
      <family val="2"/>
    </font>
    <font>
      <sz val="10"/>
      <color rgb="FF00B050"/>
      <name val="Arial"/>
      <family val="2"/>
    </font>
    <font>
      <sz val="16"/>
      <name val="Calibri"/>
      <family val="2"/>
      <scheme val="minor"/>
    </font>
    <font>
      <b/>
      <sz val="26"/>
      <name val="Calibri"/>
      <family val="2"/>
      <scheme val="minor"/>
    </font>
    <font>
      <b/>
      <sz val="10"/>
      <name val="Calibri"/>
      <family val="2"/>
    </font>
    <font>
      <sz val="9.9"/>
      <name val="Calibri"/>
      <family val="2"/>
    </font>
    <font>
      <sz val="12"/>
      <name val="Calibri"/>
      <family val="2"/>
      <scheme val="minor"/>
    </font>
    <font>
      <sz val="12"/>
      <color theme="0"/>
      <name val="Calibri"/>
      <family val="2"/>
      <scheme val="minor"/>
    </font>
    <font>
      <sz val="9"/>
      <name val="Calibri"/>
      <family val="2"/>
      <scheme val="minor"/>
    </font>
    <font>
      <sz val="18"/>
      <name val="Calibri"/>
      <family val="2"/>
      <scheme val="minor"/>
    </font>
    <font>
      <sz val="20"/>
      <name val="Calibri"/>
      <family val="2"/>
      <scheme val="minor"/>
    </font>
    <font>
      <sz val="22"/>
      <name val="Calibri"/>
      <family val="2"/>
      <scheme val="minor"/>
    </font>
    <font>
      <b/>
      <sz val="11"/>
      <name val="Calibri Light"/>
      <family val="2"/>
    </font>
    <font>
      <u/>
      <sz val="11"/>
      <name val="Calibri"/>
      <family val="2"/>
      <scheme val="minor"/>
    </font>
    <font>
      <vertAlign val="subscript"/>
      <sz val="10"/>
      <name val="Calibri"/>
      <family val="2"/>
      <scheme val="minor"/>
    </font>
    <font>
      <b/>
      <u/>
      <sz val="11"/>
      <name val="Calibri Light"/>
      <family val="2"/>
    </font>
    <font>
      <i/>
      <strike/>
      <sz val="11"/>
      <name val="Calibri"/>
      <family val="2"/>
      <scheme val="minor"/>
    </font>
    <font>
      <sz val="9"/>
      <name val="Times New Roman"/>
      <family val="1"/>
    </font>
    <font>
      <b/>
      <sz val="14"/>
      <color theme="1"/>
      <name val="Calibri"/>
      <family val="2"/>
      <scheme val="minor"/>
    </font>
    <font>
      <b/>
      <sz val="14"/>
      <color rgb="FF0070C0"/>
      <name val="Calibri"/>
      <family val="2"/>
      <scheme val="minor"/>
    </font>
    <font>
      <b/>
      <sz val="14"/>
      <color rgb="FFFF0000"/>
      <name val="Calibri"/>
      <family val="2"/>
      <scheme val="minor"/>
    </font>
    <font>
      <b/>
      <sz val="28"/>
      <color theme="1"/>
      <name val="Calibri"/>
      <family val="2"/>
      <scheme val="minor"/>
    </font>
    <font>
      <sz val="12"/>
      <color theme="1"/>
      <name val="Calibri"/>
      <family val="2"/>
      <scheme val="minor"/>
    </font>
    <font>
      <b/>
      <sz val="12"/>
      <color theme="1"/>
      <name val="Calibri"/>
      <family val="2"/>
      <scheme val="minor"/>
    </font>
    <font>
      <b/>
      <sz val="11"/>
      <color rgb="FFFF0000"/>
      <name val="Calibri"/>
      <family val="2"/>
      <scheme val="minor"/>
    </font>
    <font>
      <sz val="11"/>
      <color theme="0" tint="-0.34998626667073579"/>
      <name val="Calibri"/>
      <family val="2"/>
      <scheme val="minor"/>
    </font>
    <font>
      <b/>
      <sz val="11"/>
      <color theme="0" tint="-0.34998626667073579"/>
      <name val="Calibri"/>
      <family val="2"/>
      <scheme val="minor"/>
    </font>
    <font>
      <sz val="10"/>
      <color rgb="FFFF0000"/>
      <name val="Times New Roman"/>
      <family val="1"/>
    </font>
    <font>
      <b/>
      <sz val="20"/>
      <color theme="1"/>
      <name val="Calibri"/>
      <family val="2"/>
      <scheme val="minor"/>
    </font>
  </fonts>
  <fills count="32">
    <fill>
      <patternFill patternType="none"/>
    </fill>
    <fill>
      <patternFill patternType="gray125"/>
    </fill>
    <fill>
      <patternFill patternType="solid">
        <fgColor rgb="FFFFC7CE"/>
      </patternFill>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4"/>
        <bgColor indexed="64"/>
      </patternFill>
    </fill>
  </fills>
  <borders count="85">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auto="1"/>
      </left>
      <right style="thin">
        <color auto="1"/>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medium">
        <color rgb="FFBFBFBF"/>
      </left>
      <right style="medium">
        <color rgb="FFBFBFBF"/>
      </right>
      <top/>
      <bottom/>
      <diagonal/>
    </border>
    <border>
      <left style="medium">
        <color rgb="FFBFBFBF"/>
      </left>
      <right style="medium">
        <color rgb="FFBFBFBF"/>
      </right>
      <top/>
      <bottom style="medium">
        <color rgb="FFBFBFBF"/>
      </bottom>
      <diagonal/>
    </border>
    <border>
      <left style="medium">
        <color rgb="FFBFBFBF"/>
      </left>
      <right style="medium">
        <color rgb="FFBFBFBF"/>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auto="1"/>
      </right>
      <top/>
      <bottom style="thin">
        <color indexed="64"/>
      </bottom>
      <diagonal/>
    </border>
    <border>
      <left/>
      <right style="medium">
        <color auto="1"/>
      </right>
      <top style="thin">
        <color auto="1"/>
      </top>
      <bottom style="thin">
        <color auto="1"/>
      </bottom>
      <diagonal/>
    </border>
    <border>
      <left/>
      <right style="medium">
        <color auto="1"/>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s>
  <cellStyleXfs count="2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4" borderId="1" applyNumberFormat="0" applyAlignment="0" applyProtection="0"/>
    <xf numFmtId="0" fontId="13" fillId="0" borderId="0"/>
    <xf numFmtId="0" fontId="1" fillId="0" borderId="0"/>
    <xf numFmtId="9" fontId="27" fillId="0" borderId="0">
      <alignment horizontal="right" vertical="center" wrapText="1" readingOrder="1"/>
    </xf>
    <xf numFmtId="0" fontId="29"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8" fillId="0" borderId="0"/>
    <xf numFmtId="0" fontId="1" fillId="0" borderId="0"/>
    <xf numFmtId="0" fontId="41" fillId="3" borderId="0" applyNumberFormat="0" applyBorder="0" applyAlignment="0" applyProtection="0"/>
    <xf numFmtId="9" fontId="48" fillId="0" borderId="0" applyFont="0" applyFill="0" applyBorder="0" applyAlignment="0" applyProtection="0"/>
    <xf numFmtId="9" fontId="49" fillId="0" borderId="0" applyFont="0" applyFill="0" applyBorder="0" applyAlignment="0" applyProtection="0"/>
    <xf numFmtId="0" fontId="68" fillId="0" borderId="0" applyNumberFormat="0" applyFill="0" applyBorder="0" applyAlignment="0" applyProtection="0"/>
    <xf numFmtId="0" fontId="38" fillId="0" borderId="0"/>
  </cellStyleXfs>
  <cellXfs count="3221">
    <xf numFmtId="0" fontId="0" fillId="0" borderId="0" xfId="0"/>
    <xf numFmtId="0" fontId="0" fillId="0" borderId="0" xfId="0" applyAlignment="1">
      <alignment horizont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15" xfId="0" applyFont="1" applyFill="1" applyBorder="1" applyAlignment="1">
      <alignment horizontal="center" vertical="center" wrapText="1"/>
    </xf>
    <xf numFmtId="165" fontId="11" fillId="0" borderId="3"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165" fontId="11" fillId="0" borderId="4" xfId="0" applyNumberFormat="1" applyFont="1" applyBorder="1" applyAlignment="1">
      <alignment horizontal="center" vertical="center" wrapText="1"/>
    </xf>
    <xf numFmtId="0" fontId="11" fillId="0" borderId="5" xfId="0" applyFont="1" applyBorder="1" applyAlignment="1">
      <alignment horizontal="left" vertical="center" wrapText="1"/>
    </xf>
    <xf numFmtId="165" fontId="12" fillId="0" borderId="8" xfId="0" applyNumberFormat="1" applyFont="1" applyBorder="1" applyAlignment="1">
      <alignment horizontal="center" vertical="center" wrapText="1"/>
    </xf>
    <xf numFmtId="165" fontId="12" fillId="0" borderId="9" xfId="0" applyNumberFormat="1" applyFont="1" applyBorder="1" applyAlignment="1">
      <alignment horizontal="center" vertical="center" wrapText="1"/>
    </xf>
    <xf numFmtId="0" fontId="12" fillId="0" borderId="10" xfId="0" applyFont="1" applyBorder="1" applyAlignment="1">
      <alignment horizontal="left" vertical="center" wrapText="1"/>
    </xf>
    <xf numFmtId="165" fontId="11" fillId="0" borderId="8" xfId="0" applyNumberFormat="1" applyFont="1" applyBorder="1" applyAlignment="1">
      <alignment horizontal="center" vertical="center" wrapText="1"/>
    </xf>
    <xf numFmtId="14" fontId="11" fillId="0" borderId="9" xfId="0" applyNumberFormat="1" applyFont="1" applyBorder="1" applyAlignment="1">
      <alignment horizontal="justify" vertical="center" wrapText="1"/>
    </xf>
    <xf numFmtId="165" fontId="11" fillId="0" borderId="9" xfId="0" applyNumberFormat="1" applyFont="1" applyBorder="1" applyAlignment="1">
      <alignment horizontal="center" vertical="center" wrapText="1"/>
    </xf>
    <xf numFmtId="0" fontId="11" fillId="0" borderId="10" xfId="0" applyFont="1" applyBorder="1" applyAlignment="1">
      <alignment horizontal="left" vertical="center" wrapText="1"/>
    </xf>
    <xf numFmtId="165" fontId="11" fillId="0" borderId="13" xfId="0" applyNumberFormat="1" applyFont="1" applyBorder="1" applyAlignment="1">
      <alignment horizontal="center" vertical="center" wrapText="1"/>
    </xf>
    <xf numFmtId="14" fontId="11" fillId="0" borderId="14" xfId="0" applyNumberFormat="1" applyFont="1" applyBorder="1" applyAlignment="1">
      <alignment horizontal="justify" vertical="center" wrapText="1"/>
    </xf>
    <xf numFmtId="165" fontId="11" fillId="0" borderId="14" xfId="0" applyNumberFormat="1" applyFont="1" applyBorder="1" applyAlignment="1">
      <alignment horizontal="center" vertical="center" wrapText="1"/>
    </xf>
    <xf numFmtId="0" fontId="11" fillId="0" borderId="15" xfId="0" applyFont="1" applyBorder="1" applyAlignment="1">
      <alignment horizontal="left" vertical="center" wrapText="1"/>
    </xf>
    <xf numFmtId="0" fontId="14" fillId="7" borderId="0" xfId="6" applyFont="1" applyFill="1"/>
    <xf numFmtId="0" fontId="13" fillId="7" borderId="0" xfId="6" applyFill="1"/>
    <xf numFmtId="0" fontId="13" fillId="0" borderId="0" xfId="6"/>
    <xf numFmtId="2" fontId="13" fillId="0" borderId="0" xfId="6" applyNumberFormat="1" applyAlignment="1">
      <alignment horizontal="center"/>
    </xf>
    <xf numFmtId="0" fontId="14" fillId="0" borderId="0" xfId="6" applyFont="1" applyFill="1"/>
    <xf numFmtId="0" fontId="13" fillId="0" borderId="0" xfId="6" applyFill="1"/>
    <xf numFmtId="2" fontId="13" fillId="0" borderId="0" xfId="6" applyNumberFormat="1" applyFill="1" applyAlignment="1">
      <alignment horizontal="center"/>
    </xf>
    <xf numFmtId="0" fontId="15" fillId="0" borderId="0" xfId="6" applyFont="1"/>
    <xf numFmtId="0" fontId="6" fillId="0" borderId="0" xfId="6" applyFont="1" applyFill="1" applyBorder="1" applyAlignment="1">
      <alignment horizontal="center" vertical="center" wrapText="1"/>
    </xf>
    <xf numFmtId="0" fontId="16" fillId="10" borderId="0" xfId="6" applyFont="1" applyFill="1"/>
    <xf numFmtId="0" fontId="17" fillId="10" borderId="0" xfId="6" applyFont="1" applyFill="1"/>
    <xf numFmtId="0" fontId="13" fillId="10" borderId="0" xfId="6" applyFill="1"/>
    <xf numFmtId="0" fontId="15" fillId="0" borderId="0" xfId="6" applyFont="1" applyAlignment="1">
      <alignment horizontal="center"/>
    </xf>
    <xf numFmtId="0" fontId="21" fillId="5" borderId="9" xfId="6" applyFont="1" applyFill="1" applyBorder="1" applyAlignment="1">
      <alignment wrapText="1"/>
    </xf>
    <xf numFmtId="0" fontId="22" fillId="5" borderId="9" xfId="6" applyFont="1" applyFill="1" applyBorder="1" applyAlignment="1">
      <alignment wrapText="1"/>
    </xf>
    <xf numFmtId="0" fontId="23" fillId="5" borderId="9" xfId="6" applyFont="1" applyFill="1" applyBorder="1" applyAlignment="1">
      <alignment wrapText="1"/>
    </xf>
    <xf numFmtId="0" fontId="24" fillId="5" borderId="9" xfId="6" applyFont="1" applyFill="1" applyBorder="1" applyAlignment="1">
      <alignment wrapText="1"/>
    </xf>
    <xf numFmtId="0" fontId="1" fillId="5" borderId="0" xfId="7" applyFont="1" applyFill="1"/>
    <xf numFmtId="0" fontId="1" fillId="5" borderId="0" xfId="7" applyFill="1"/>
    <xf numFmtId="0" fontId="1" fillId="0" borderId="0" xfId="7"/>
    <xf numFmtId="0" fontId="1" fillId="0" borderId="0" xfId="7" applyFont="1"/>
    <xf numFmtId="2" fontId="1" fillId="0" borderId="0" xfId="7" applyNumberFormat="1" applyFont="1" applyAlignment="1">
      <alignment horizontal="center"/>
    </xf>
    <xf numFmtId="0" fontId="25" fillId="0" borderId="0" xfId="6" applyFont="1" applyFill="1" applyBorder="1"/>
    <xf numFmtId="0" fontId="25" fillId="11" borderId="16" xfId="0" applyFont="1" applyFill="1" applyBorder="1" applyAlignment="1">
      <alignment horizontal="left"/>
    </xf>
    <xf numFmtId="0" fontId="25" fillId="11" borderId="17" xfId="0" applyFont="1" applyFill="1" applyBorder="1" applyAlignment="1">
      <alignment horizontal="left"/>
    </xf>
    <xf numFmtId="0" fontId="25" fillId="11" borderId="18" xfId="0" applyFont="1" applyFill="1" applyBorder="1" applyAlignment="1">
      <alignment horizontal="left"/>
    </xf>
    <xf numFmtId="0" fontId="13" fillId="0" borderId="0" xfId="7" applyFont="1" applyFill="1" applyBorder="1"/>
    <xf numFmtId="0" fontId="1" fillId="0" borderId="0" xfId="7" applyBorder="1"/>
    <xf numFmtId="0" fontId="25" fillId="12" borderId="9" xfId="7" applyFont="1" applyFill="1" applyBorder="1" applyAlignment="1">
      <alignment horizontal="center" vertical="center" wrapText="1"/>
    </xf>
    <xf numFmtId="166" fontId="25" fillId="12" borderId="9" xfId="6" applyNumberFormat="1" applyFont="1" applyFill="1" applyBorder="1" applyAlignment="1">
      <alignment horizontal="center" vertical="center" wrapText="1"/>
    </xf>
    <xf numFmtId="0" fontId="25" fillId="12" borderId="19" xfId="7" applyFont="1" applyFill="1" applyBorder="1" applyAlignment="1">
      <alignment horizontal="center" vertical="center" wrapText="1"/>
    </xf>
    <xf numFmtId="0" fontId="6" fillId="13" borderId="0" xfId="0" applyFont="1" applyFill="1"/>
    <xf numFmtId="167" fontId="6" fillId="13" borderId="0" xfId="0" applyNumberFormat="1" applyFont="1" applyFill="1"/>
    <xf numFmtId="2" fontId="0" fillId="9" borderId="9" xfId="1" applyNumberFormat="1" applyFont="1" applyFill="1" applyBorder="1" applyAlignment="1">
      <alignment horizontal="center"/>
    </xf>
    <xf numFmtId="0" fontId="25" fillId="9" borderId="9" xfId="0" applyFont="1" applyFill="1" applyBorder="1"/>
    <xf numFmtId="0" fontId="0" fillId="9" borderId="9" xfId="0" applyFill="1" applyBorder="1" applyAlignment="1">
      <alignment horizontal="center" wrapText="1"/>
    </xf>
    <xf numFmtId="170" fontId="25" fillId="14" borderId="9" xfId="6" applyNumberFormat="1" applyFont="1" applyFill="1" applyBorder="1" applyAlignment="1">
      <alignment horizontal="center"/>
    </xf>
    <xf numFmtId="0" fontId="25" fillId="5" borderId="9" xfId="0" applyFont="1" applyFill="1" applyBorder="1" applyAlignment="1">
      <alignment horizontal="center" vertical="center" wrapText="1"/>
    </xf>
    <xf numFmtId="2" fontId="0" fillId="0" borderId="9" xfId="0" applyNumberFormat="1" applyFont="1" applyBorder="1"/>
    <xf numFmtId="2" fontId="5" fillId="0" borderId="9" xfId="0" applyNumberFormat="1" applyFont="1" applyBorder="1"/>
    <xf numFmtId="0" fontId="0" fillId="0" borderId="9" xfId="0" applyFont="1" applyBorder="1"/>
    <xf numFmtId="0" fontId="0" fillId="0" borderId="0" xfId="0" applyFont="1"/>
    <xf numFmtId="170" fontId="25" fillId="5" borderId="9" xfId="6" applyNumberFormat="1" applyFont="1" applyFill="1" applyBorder="1" applyAlignment="1">
      <alignment horizontal="center"/>
    </xf>
    <xf numFmtId="171" fontId="1" fillId="5" borderId="9" xfId="6" applyNumberFormat="1" applyFont="1" applyFill="1" applyBorder="1" applyAlignment="1">
      <alignment horizontal="center" vertical="center" wrapText="1"/>
    </xf>
    <xf numFmtId="2" fontId="0" fillId="0" borderId="20" xfId="1" applyNumberFormat="1" applyFont="1" applyBorder="1" applyAlignment="1">
      <alignment horizontal="center"/>
    </xf>
    <xf numFmtId="0" fontId="25" fillId="5" borderId="9" xfId="9" applyFont="1" applyFill="1" applyBorder="1" applyAlignment="1">
      <alignment horizontal="left"/>
    </xf>
    <xf numFmtId="44" fontId="0" fillId="0" borderId="21" xfId="2" applyFont="1" applyFill="1" applyBorder="1"/>
    <xf numFmtId="2" fontId="25" fillId="0" borderId="9" xfId="0" applyNumberFormat="1" applyFont="1" applyBorder="1"/>
    <xf numFmtId="2" fontId="0" fillId="0" borderId="22" xfId="1" applyNumberFormat="1" applyFont="1" applyBorder="1" applyAlignment="1">
      <alignment horizontal="center"/>
    </xf>
    <xf numFmtId="0" fontId="25" fillId="5" borderId="23" xfId="9" applyFont="1" applyFill="1" applyBorder="1" applyAlignment="1">
      <alignment horizontal="left"/>
    </xf>
    <xf numFmtId="44" fontId="0" fillId="0" borderId="24" xfId="2" applyFont="1" applyFill="1" applyBorder="1"/>
    <xf numFmtId="2" fontId="0" fillId="0" borderId="25" xfId="1" applyNumberFormat="1" applyFont="1" applyBorder="1" applyAlignment="1">
      <alignment horizontal="center"/>
    </xf>
    <xf numFmtId="44" fontId="0" fillId="0" borderId="26" xfId="2" applyFont="1" applyFill="1" applyBorder="1"/>
    <xf numFmtId="0" fontId="13" fillId="5" borderId="0" xfId="6" applyFill="1"/>
    <xf numFmtId="0" fontId="13" fillId="0" borderId="0" xfId="7" applyFont="1"/>
    <xf numFmtId="0" fontId="0" fillId="13" borderId="0" xfId="0" applyFill="1"/>
    <xf numFmtId="0" fontId="25" fillId="13" borderId="9" xfId="0" applyFont="1" applyFill="1" applyBorder="1" applyAlignment="1">
      <alignment horizontal="center" vertical="center" wrapText="1"/>
    </xf>
    <xf numFmtId="166" fontId="25" fillId="13" borderId="9" xfId="0" applyNumberFormat="1" applyFont="1" applyFill="1" applyBorder="1" applyAlignment="1">
      <alignment horizontal="center" vertical="center" wrapText="1"/>
    </xf>
    <xf numFmtId="2" fontId="25" fillId="8" borderId="9" xfId="0" applyNumberFormat="1" applyFont="1" applyFill="1" applyBorder="1" applyAlignment="1">
      <alignment horizontal="center"/>
    </xf>
    <xf numFmtId="37" fontId="25" fillId="8" borderId="9" xfId="1" applyNumberFormat="1" applyFont="1" applyFill="1" applyBorder="1" applyAlignment="1">
      <alignment horizontal="center"/>
    </xf>
    <xf numFmtId="168" fontId="25" fillId="5" borderId="9" xfId="0" applyNumberFormat="1" applyFont="1" applyFill="1" applyBorder="1" applyAlignment="1">
      <alignment horizontal="center" vertical="center" wrapText="1"/>
    </xf>
    <xf numFmtId="2" fontId="0" fillId="0" borderId="9" xfId="0" applyNumberFormat="1" applyFont="1" applyBorder="1" applyAlignment="1">
      <alignment horizontal="center"/>
    </xf>
    <xf numFmtId="2" fontId="5" fillId="0" borderId="9" xfId="0" applyNumberFormat="1" applyFont="1" applyBorder="1" applyAlignment="1">
      <alignment horizontal="center"/>
    </xf>
    <xf numFmtId="2" fontId="25" fillId="0" borderId="9" xfId="0" applyNumberFormat="1" applyFont="1" applyBorder="1" applyAlignment="1">
      <alignment horizontal="center"/>
    </xf>
    <xf numFmtId="0" fontId="0" fillId="0" borderId="9" xfId="0" applyFont="1" applyBorder="1" applyAlignment="1">
      <alignment horizontal="center"/>
    </xf>
    <xf numFmtId="0" fontId="13" fillId="0" borderId="0" xfId="7" applyFont="1" applyAlignment="1">
      <alignment horizontal="center"/>
    </xf>
    <xf numFmtId="37" fontId="0" fillId="0" borderId="9" xfId="1" applyNumberFormat="1" applyFont="1" applyBorder="1" applyAlignment="1">
      <alignment horizontal="center"/>
    </xf>
    <xf numFmtId="37" fontId="5" fillId="0" borderId="9" xfId="1" applyNumberFormat="1" applyFont="1" applyBorder="1" applyAlignment="1">
      <alignment horizontal="center"/>
    </xf>
    <xf numFmtId="0" fontId="25" fillId="0" borderId="9" xfId="0" applyFont="1" applyBorder="1" applyAlignment="1">
      <alignment horizontal="center"/>
    </xf>
    <xf numFmtId="170" fontId="25" fillId="0" borderId="9" xfId="6" applyNumberFormat="1" applyFont="1" applyFill="1" applyBorder="1" applyAlignment="1">
      <alignment horizontal="center"/>
    </xf>
    <xf numFmtId="165" fontId="5" fillId="0" borderId="9" xfId="0" applyNumberFormat="1" applyFont="1" applyBorder="1" applyAlignment="1">
      <alignment horizontal="center"/>
    </xf>
    <xf numFmtId="2" fontId="25" fillId="5" borderId="9" xfId="0" applyNumberFormat="1" applyFont="1" applyFill="1" applyBorder="1" applyAlignment="1">
      <alignment horizontal="center"/>
    </xf>
    <xf numFmtId="37" fontId="25" fillId="5" borderId="9" xfId="1" applyNumberFormat="1" applyFont="1" applyFill="1" applyBorder="1" applyAlignment="1">
      <alignment horizontal="center"/>
    </xf>
    <xf numFmtId="165" fontId="25" fillId="5" borderId="9" xfId="0" applyNumberFormat="1" applyFont="1" applyFill="1" applyBorder="1" applyAlignment="1">
      <alignment horizontal="center"/>
    </xf>
    <xf numFmtId="37" fontId="30" fillId="8" borderId="9" xfId="1" applyNumberFormat="1" applyFont="1" applyFill="1" applyBorder="1" applyAlignment="1">
      <alignment horizontal="center" vertical="center" wrapText="1"/>
    </xf>
    <xf numFmtId="37" fontId="31" fillId="0" borderId="9" xfId="1" applyNumberFormat="1" applyFont="1" applyBorder="1" applyAlignment="1">
      <alignment horizontal="center" vertical="center" wrapText="1"/>
    </xf>
    <xf numFmtId="0" fontId="13" fillId="0" borderId="0" xfId="6" applyAlignment="1">
      <alignment horizontal="center"/>
    </xf>
    <xf numFmtId="165" fontId="25" fillId="0" borderId="9" xfId="0" applyNumberFormat="1" applyFont="1" applyBorder="1" applyAlignment="1">
      <alignment horizontal="center"/>
    </xf>
    <xf numFmtId="37" fontId="25" fillId="0" borderId="9" xfId="1" applyNumberFormat="1" applyFont="1" applyBorder="1" applyAlignment="1">
      <alignment horizontal="center"/>
    </xf>
    <xf numFmtId="2" fontId="0" fillId="9" borderId="9" xfId="1" applyNumberFormat="1" applyFont="1" applyFill="1" applyBorder="1"/>
    <xf numFmtId="39" fontId="1" fillId="0" borderId="9" xfId="6" applyNumberFormat="1" applyFont="1" applyFill="1" applyBorder="1" applyAlignment="1">
      <alignment horizontal="center"/>
    </xf>
    <xf numFmtId="44" fontId="0" fillId="0" borderId="27" xfId="2" applyFont="1" applyFill="1" applyBorder="1"/>
    <xf numFmtId="44" fontId="0" fillId="0" borderId="0" xfId="2" applyFont="1" applyFill="1" applyBorder="1"/>
    <xf numFmtId="44" fontId="0" fillId="0" borderId="28" xfId="2" applyFont="1" applyFill="1" applyBorder="1"/>
    <xf numFmtId="2" fontId="13" fillId="0" borderId="0" xfId="7" applyNumberFormat="1" applyFont="1" applyAlignment="1">
      <alignment horizontal="center"/>
    </xf>
    <xf numFmtId="2" fontId="25" fillId="0" borderId="0" xfId="6" applyNumberFormat="1" applyFont="1" applyFill="1" applyBorder="1" applyAlignment="1">
      <alignment horizontal="center"/>
    </xf>
    <xf numFmtId="165" fontId="1" fillId="0" borderId="29" xfId="7" applyNumberFormat="1" applyFill="1" applyBorder="1" applyAlignment="1">
      <alignment horizontal="center"/>
    </xf>
    <xf numFmtId="165" fontId="1" fillId="0" borderId="9" xfId="6" applyNumberFormat="1" applyFont="1" applyFill="1" applyBorder="1" applyAlignment="1">
      <alignment horizontal="center"/>
    </xf>
    <xf numFmtId="2" fontId="0" fillId="0" borderId="22" xfId="0" applyNumberFormat="1" applyFont="1" applyBorder="1" applyAlignment="1">
      <alignment horizontal="center"/>
    </xf>
    <xf numFmtId="0" fontId="25" fillId="12" borderId="30" xfId="6" applyFont="1" applyFill="1" applyBorder="1" applyAlignment="1">
      <alignment horizontal="center" vertical="center" wrapText="1"/>
    </xf>
    <xf numFmtId="0" fontId="25" fillId="12" borderId="23" xfId="6" applyFont="1" applyFill="1" applyBorder="1" applyAlignment="1">
      <alignment horizontal="center" vertical="center" wrapText="1"/>
    </xf>
    <xf numFmtId="0" fontId="25" fillId="12" borderId="20" xfId="6" applyFont="1" applyFill="1" applyBorder="1" applyAlignment="1">
      <alignment vertical="center" wrapText="1"/>
    </xf>
    <xf numFmtId="7" fontId="1" fillId="5" borderId="9" xfId="11" applyNumberFormat="1" applyFont="1" applyFill="1" applyBorder="1" applyAlignment="1">
      <alignment horizontal="center"/>
    </xf>
    <xf numFmtId="2" fontId="1" fillId="5" borderId="9" xfId="11" applyNumberFormat="1" applyFont="1" applyFill="1" applyBorder="1" applyAlignment="1">
      <alignment horizontal="center"/>
    </xf>
    <xf numFmtId="170" fontId="1" fillId="0" borderId="9" xfId="6" applyNumberFormat="1" applyFont="1" applyFill="1" applyBorder="1" applyAlignment="1">
      <alignment horizontal="center"/>
    </xf>
    <xf numFmtId="0" fontId="25" fillId="12" borderId="9" xfId="6" applyFont="1" applyFill="1" applyBorder="1" applyAlignment="1">
      <alignment vertical="center" wrapText="1"/>
    </xf>
    <xf numFmtId="2" fontId="0" fillId="0" borderId="16" xfId="1" applyNumberFormat="1" applyFont="1" applyBorder="1" applyAlignment="1">
      <alignment horizontal="center"/>
    </xf>
    <xf numFmtId="44" fontId="0" fillId="0" borderId="17" xfId="2" applyFont="1" applyFill="1" applyBorder="1"/>
    <xf numFmtId="44" fontId="0" fillId="0" borderId="18" xfId="2" applyFont="1" applyFill="1" applyBorder="1"/>
    <xf numFmtId="0" fontId="33" fillId="12" borderId="19" xfId="6" applyFont="1" applyFill="1" applyBorder="1" applyAlignment="1">
      <alignment horizontal="center" vertical="center" wrapText="1"/>
    </xf>
    <xf numFmtId="0" fontId="0" fillId="0" borderId="0" xfId="7" applyFont="1"/>
    <xf numFmtId="1" fontId="25" fillId="12" borderId="19" xfId="6" applyNumberFormat="1" applyFont="1" applyFill="1" applyBorder="1" applyAlignment="1">
      <alignment horizontal="center" vertical="center" wrapText="1"/>
    </xf>
    <xf numFmtId="171" fontId="0" fillId="5" borderId="9" xfId="6" applyNumberFormat="1" applyFont="1" applyFill="1" applyBorder="1" applyAlignment="1">
      <alignment horizontal="center"/>
    </xf>
    <xf numFmtId="2" fontId="13" fillId="0" borderId="0" xfId="7" applyNumberFormat="1" applyFont="1" applyFill="1" applyBorder="1" applyAlignment="1">
      <alignment horizontal="center"/>
    </xf>
    <xf numFmtId="0" fontId="1" fillId="5" borderId="0" xfId="7" applyFill="1" applyBorder="1"/>
    <xf numFmtId="165" fontId="1" fillId="0" borderId="9" xfId="7" applyNumberFormat="1" applyFill="1" applyBorder="1" applyAlignment="1">
      <alignment horizontal="center"/>
    </xf>
    <xf numFmtId="165" fontId="25" fillId="0" borderId="9" xfId="6" applyNumberFormat="1" applyFont="1" applyFill="1" applyBorder="1" applyAlignment="1">
      <alignment horizontal="center" vertical="center"/>
    </xf>
    <xf numFmtId="180" fontId="25" fillId="0" borderId="9" xfId="6" applyNumberFormat="1" applyFont="1" applyFill="1" applyBorder="1" applyAlignment="1">
      <alignment horizontal="center" vertical="center"/>
    </xf>
    <xf numFmtId="9" fontId="25" fillId="0" borderId="9" xfId="3" applyFont="1" applyFill="1" applyBorder="1" applyAlignment="1">
      <alignment horizontal="center" vertical="center"/>
    </xf>
    <xf numFmtId="0" fontId="25" fillId="5" borderId="9" xfId="6" applyFont="1" applyFill="1" applyBorder="1" applyAlignment="1">
      <alignment horizontal="center"/>
    </xf>
    <xf numFmtId="1" fontId="25" fillId="8" borderId="9" xfId="3" applyNumberFormat="1" applyFont="1" applyFill="1" applyBorder="1" applyAlignment="1">
      <alignment horizontal="center" vertical="center"/>
    </xf>
    <xf numFmtId="165" fontId="1" fillId="0" borderId="19" xfId="7" applyNumberFormat="1" applyFill="1" applyBorder="1" applyAlignment="1">
      <alignment horizontal="center"/>
    </xf>
    <xf numFmtId="1" fontId="0" fillId="5" borderId="0" xfId="12" applyNumberFormat="1" applyFont="1" applyFill="1" applyBorder="1" applyAlignment="1">
      <alignment horizontal="center" vertical="center"/>
    </xf>
    <xf numFmtId="2" fontId="0" fillId="5" borderId="0" xfId="12" applyNumberFormat="1" applyFont="1" applyFill="1" applyBorder="1" applyAlignment="1">
      <alignment horizontal="center" vertical="center"/>
    </xf>
    <xf numFmtId="9" fontId="0" fillId="0" borderId="9" xfId="3" applyFont="1" applyFill="1" applyBorder="1" applyAlignment="1">
      <alignment horizontal="center"/>
    </xf>
    <xf numFmtId="9" fontId="0" fillId="0" borderId="9" xfId="3" applyNumberFormat="1" applyFont="1" applyFill="1" applyBorder="1" applyAlignment="1">
      <alignment horizontal="center"/>
    </xf>
    <xf numFmtId="0" fontId="26" fillId="0" borderId="0" xfId="6" applyFont="1" applyFill="1"/>
    <xf numFmtId="0" fontId="1" fillId="0" borderId="0" xfId="7" applyFill="1"/>
    <xf numFmtId="165" fontId="5" fillId="0" borderId="9" xfId="7" applyNumberFormat="1" applyFont="1" applyFill="1" applyBorder="1" applyAlignment="1">
      <alignment horizontal="center"/>
    </xf>
    <xf numFmtId="0" fontId="5" fillId="5" borderId="9" xfId="0" applyFont="1" applyFill="1" applyBorder="1" applyAlignment="1">
      <alignment horizontal="center" vertical="center" wrapText="1"/>
    </xf>
    <xf numFmtId="0" fontId="5" fillId="0" borderId="9" xfId="0" applyFont="1" applyBorder="1"/>
    <xf numFmtId="0" fontId="5" fillId="0" borderId="0" xfId="0" applyFont="1"/>
    <xf numFmtId="170" fontId="5" fillId="5" borderId="9" xfId="6" applyNumberFormat="1" applyFont="1" applyFill="1" applyBorder="1" applyAlignment="1">
      <alignment horizontal="center"/>
    </xf>
    <xf numFmtId="171" fontId="5" fillId="5" borderId="9" xfId="6" applyNumberFormat="1" applyFont="1" applyFill="1" applyBorder="1" applyAlignment="1">
      <alignment horizontal="center" vertical="center" wrapText="1"/>
    </xf>
    <xf numFmtId="0" fontId="0" fillId="0" borderId="0" xfId="0" applyAlignment="1">
      <alignment horizontal="center"/>
    </xf>
    <xf numFmtId="0" fontId="25" fillId="12" borderId="9" xfId="0" applyFont="1" applyFill="1" applyBorder="1" applyAlignment="1">
      <alignment horizontal="center" vertical="center" wrapText="1"/>
    </xf>
    <xf numFmtId="0" fontId="25" fillId="0" borderId="9" xfId="0" applyFont="1" applyBorder="1" applyAlignment="1">
      <alignment horizontal="center" vertical="center" wrapText="1"/>
    </xf>
    <xf numFmtId="0" fontId="0" fillId="5" borderId="9" xfId="0" applyFont="1" applyFill="1" applyBorder="1" applyAlignment="1">
      <alignment horizontal="left" vertical="center" wrapText="1"/>
    </xf>
    <xf numFmtId="2" fontId="25" fillId="5" borderId="9" xfId="0" applyNumberFormat="1" applyFont="1" applyFill="1" applyBorder="1" applyAlignment="1">
      <alignment horizontal="center" vertical="center" wrapText="1"/>
    </xf>
    <xf numFmtId="169" fontId="25" fillId="0" borderId="9" xfId="0" applyNumberFormat="1" applyFont="1" applyBorder="1" applyAlignment="1">
      <alignment horizontal="center" vertical="center" wrapText="1"/>
    </xf>
    <xf numFmtId="0" fontId="39" fillId="0" borderId="9" xfId="13" applyFont="1" applyFill="1" applyBorder="1" applyAlignment="1">
      <alignment horizontal="center"/>
    </xf>
    <xf numFmtId="165" fontId="39" fillId="0" borderId="9" xfId="13" applyNumberFormat="1" applyFont="1" applyFill="1" applyBorder="1" applyAlignment="1">
      <alignment horizontal="center"/>
    </xf>
    <xf numFmtId="165" fontId="25" fillId="0" borderId="9" xfId="0" applyNumberFormat="1" applyFont="1" applyBorder="1" applyAlignment="1">
      <alignment horizontal="center" vertical="center" wrapText="1"/>
    </xf>
    <xf numFmtId="165" fontId="25" fillId="0" borderId="9" xfId="0" applyNumberFormat="1" applyFont="1" applyFill="1" applyBorder="1" applyAlignment="1">
      <alignment horizontal="center" vertical="center" wrapText="1"/>
    </xf>
    <xf numFmtId="2" fontId="25" fillId="5" borderId="9" xfId="0" applyNumberFormat="1" applyFont="1" applyFill="1" applyBorder="1"/>
    <xf numFmtId="186" fontId="0" fillId="0" borderId="9" xfId="0" applyNumberFormat="1" applyFont="1" applyBorder="1"/>
    <xf numFmtId="187" fontId="0" fillId="0" borderId="0" xfId="3" applyNumberFormat="1" applyFont="1"/>
    <xf numFmtId="43" fontId="0" fillId="0" borderId="20" xfId="1" applyFont="1" applyBorder="1"/>
    <xf numFmtId="7" fontId="0" fillId="0" borderId="27" xfId="0" applyNumberFormat="1" applyFont="1" applyBorder="1"/>
    <xf numFmtId="2" fontId="5" fillId="5" borderId="9" xfId="0" applyNumberFormat="1" applyFont="1" applyFill="1" applyBorder="1"/>
    <xf numFmtId="43" fontId="0" fillId="0" borderId="22" xfId="1" applyFont="1" applyBorder="1"/>
    <xf numFmtId="7" fontId="0" fillId="0" borderId="0" xfId="0" applyNumberFormat="1" applyFont="1" applyBorder="1"/>
    <xf numFmtId="2" fontId="5" fillId="5" borderId="9" xfId="0" applyNumberFormat="1" applyFont="1" applyFill="1" applyBorder="1" applyAlignment="1">
      <alignment horizontal="center" vertical="center" wrapText="1"/>
    </xf>
    <xf numFmtId="165" fontId="5" fillId="0" borderId="9" xfId="0" applyNumberFormat="1" applyFont="1" applyBorder="1" applyAlignment="1">
      <alignment horizontal="center" vertical="center" wrapText="1"/>
    </xf>
    <xf numFmtId="165" fontId="5" fillId="0" borderId="9" xfId="0" applyNumberFormat="1" applyFont="1" applyFill="1" applyBorder="1" applyAlignment="1">
      <alignment horizontal="center" vertical="center" wrapText="1"/>
    </xf>
    <xf numFmtId="43" fontId="0" fillId="0" borderId="25" xfId="1" applyFont="1" applyBorder="1"/>
    <xf numFmtId="7" fontId="0" fillId="0" borderId="28" xfId="0" applyNumberFormat="1" applyFont="1" applyBorder="1"/>
    <xf numFmtId="0" fontId="25" fillId="0" borderId="0" xfId="0" applyFont="1" applyBorder="1" applyAlignment="1">
      <alignment horizontal="center"/>
    </xf>
    <xf numFmtId="0" fontId="25" fillId="0" borderId="0" xfId="0" applyFont="1" applyBorder="1" applyAlignment="1">
      <alignment horizontal="center" vertical="center" wrapText="1"/>
    </xf>
    <xf numFmtId="0" fontId="40" fillId="0" borderId="27" xfId="0" applyFont="1" applyBorder="1" applyAlignment="1">
      <alignment horizontal="left"/>
    </xf>
    <xf numFmtId="0" fontId="0" fillId="0" borderId="0" xfId="0" applyAlignment="1">
      <alignment horizontal="left"/>
    </xf>
    <xf numFmtId="2" fontId="0" fillId="0" borderId="0" xfId="0" applyNumberFormat="1"/>
    <xf numFmtId="0" fontId="40" fillId="0" borderId="0" xfId="0" applyFont="1"/>
    <xf numFmtId="0" fontId="25" fillId="0" borderId="0" xfId="0" applyFont="1"/>
    <xf numFmtId="2" fontId="25" fillId="5" borderId="4" xfId="0" applyNumberFormat="1" applyFont="1" applyFill="1" applyBorder="1"/>
    <xf numFmtId="2" fontId="0" fillId="0" borderId="4" xfId="0" applyNumberFormat="1" applyFill="1" applyBorder="1"/>
    <xf numFmtId="178" fontId="0" fillId="0" borderId="4" xfId="0" applyNumberFormat="1" applyFill="1" applyBorder="1"/>
    <xf numFmtId="2" fontId="0" fillId="5" borderId="9" xfId="0" applyNumberFormat="1" applyFill="1" applyBorder="1"/>
    <xf numFmtId="2" fontId="0" fillId="0" borderId="9" xfId="0" applyNumberFormat="1" applyBorder="1"/>
    <xf numFmtId="178" fontId="0" fillId="0" borderId="9" xfId="0" applyNumberFormat="1" applyFill="1" applyBorder="1"/>
    <xf numFmtId="165" fontId="5" fillId="0" borderId="0" xfId="0" applyNumberFormat="1" applyFont="1" applyBorder="1"/>
    <xf numFmtId="2" fontId="25" fillId="0" borderId="9" xfId="0" applyNumberFormat="1" applyFont="1" applyFill="1" applyBorder="1"/>
    <xf numFmtId="2" fontId="25" fillId="5" borderId="9" xfId="15" applyNumberFormat="1" applyFont="1" applyFill="1" applyBorder="1"/>
    <xf numFmtId="2" fontId="25" fillId="0" borderId="9" xfId="15" applyNumberFormat="1" applyFont="1" applyFill="1" applyBorder="1"/>
    <xf numFmtId="2" fontId="25" fillId="5" borderId="14" xfId="0" applyNumberFormat="1" applyFont="1" applyFill="1" applyBorder="1"/>
    <xf numFmtId="2" fontId="25" fillId="0" borderId="14" xfId="0" applyNumberFormat="1" applyFont="1" applyBorder="1"/>
    <xf numFmtId="2" fontId="5" fillId="0" borderId="14" xfId="0" applyNumberFormat="1" applyFont="1" applyBorder="1"/>
    <xf numFmtId="178" fontId="0" fillId="0" borderId="14" xfId="0" applyNumberFormat="1" applyFill="1" applyBorder="1"/>
    <xf numFmtId="2" fontId="25" fillId="0" borderId="4" xfId="0" applyNumberFormat="1" applyFont="1" applyBorder="1"/>
    <xf numFmtId="2" fontId="5" fillId="0" borderId="4" xfId="0" applyNumberFormat="1" applyFont="1" applyBorder="1"/>
    <xf numFmtId="2" fontId="5" fillId="5" borderId="9" xfId="15" applyNumberFormat="1" applyFont="1" applyFill="1" applyBorder="1"/>
    <xf numFmtId="165" fontId="5" fillId="0" borderId="9" xfId="0" applyNumberFormat="1" applyFont="1" applyFill="1" applyBorder="1"/>
    <xf numFmtId="168" fontId="1" fillId="0" borderId="25" xfId="6" applyNumberFormat="1" applyFont="1" applyBorder="1" applyAlignment="1">
      <alignment horizontal="center" vertical="center"/>
    </xf>
    <xf numFmtId="10" fontId="33" fillId="5" borderId="23" xfId="8" applyNumberFormat="1" applyFont="1" applyFill="1" applyBorder="1" applyAlignment="1">
      <alignment horizontal="center" vertical="center" wrapText="1"/>
    </xf>
    <xf numFmtId="10" fontId="42" fillId="0" borderId="23" xfId="8" applyNumberFormat="1" applyFont="1" applyFill="1" applyBorder="1" applyAlignment="1">
      <alignment horizontal="center" vertical="center" wrapText="1"/>
    </xf>
    <xf numFmtId="10" fontId="33" fillId="0" borderId="23" xfId="8" applyNumberFormat="1" applyFont="1" applyFill="1" applyBorder="1" applyAlignment="1">
      <alignment horizontal="center" vertical="center" wrapText="1"/>
    </xf>
    <xf numFmtId="178" fontId="0" fillId="0" borderId="23" xfId="0" applyNumberFormat="1" applyFill="1" applyBorder="1"/>
    <xf numFmtId="168" fontId="1" fillId="0" borderId="16" xfId="6" applyNumberFormat="1" applyFont="1" applyBorder="1" applyAlignment="1">
      <alignment horizontal="center" vertical="center"/>
    </xf>
    <xf numFmtId="10" fontId="28" fillId="0" borderId="9" xfId="8" applyNumberFormat="1" applyFont="1" applyFill="1" applyBorder="1" applyAlignment="1">
      <alignment horizontal="center" vertical="center" wrapText="1"/>
    </xf>
    <xf numFmtId="10" fontId="33" fillId="5" borderId="9" xfId="8" applyNumberFormat="1" applyFont="1" applyFill="1" applyBorder="1" applyAlignment="1">
      <alignment horizontal="center" vertical="center" wrapText="1"/>
    </xf>
    <xf numFmtId="10" fontId="42" fillId="0" borderId="9" xfId="8" applyNumberFormat="1" applyFont="1" applyFill="1" applyBorder="1" applyAlignment="1">
      <alignment horizontal="center" vertical="center" wrapText="1"/>
    </xf>
    <xf numFmtId="10" fontId="33" fillId="0" borderId="9" xfId="8" applyNumberFormat="1" applyFont="1" applyFill="1" applyBorder="1" applyAlignment="1">
      <alignment horizontal="center" vertical="center" wrapText="1"/>
    </xf>
    <xf numFmtId="39" fontId="0" fillId="5" borderId="9" xfId="6" applyNumberFormat="1" applyFont="1" applyFill="1" applyBorder="1" applyAlignment="1">
      <alignment horizontal="center"/>
    </xf>
    <xf numFmtId="39" fontId="0" fillId="0" borderId="9" xfId="6" applyNumberFormat="1" applyFont="1" applyFill="1" applyBorder="1" applyAlignment="1">
      <alignment horizontal="center"/>
    </xf>
    <xf numFmtId="39" fontId="25" fillId="5" borderId="9" xfId="6" applyNumberFormat="1" applyFont="1" applyFill="1" applyBorder="1" applyAlignment="1">
      <alignment horizontal="center"/>
    </xf>
    <xf numFmtId="39" fontId="5" fillId="0" borderId="9" xfId="6" applyNumberFormat="1" applyFont="1" applyFill="1" applyBorder="1" applyAlignment="1">
      <alignment horizontal="center"/>
    </xf>
    <xf numFmtId="39" fontId="25" fillId="0" borderId="9" xfId="6" applyNumberFormat="1" applyFont="1" applyFill="1" applyBorder="1" applyAlignment="1">
      <alignment horizontal="center"/>
    </xf>
    <xf numFmtId="168" fontId="25" fillId="0" borderId="16" xfId="6" applyNumberFormat="1" applyFont="1" applyBorder="1" applyAlignment="1">
      <alignment horizontal="center" vertical="center"/>
    </xf>
    <xf numFmtId="0" fontId="25" fillId="0" borderId="9" xfId="0" applyFont="1" applyBorder="1" applyAlignment="1">
      <alignment vertical="center"/>
    </xf>
    <xf numFmtId="168" fontId="25" fillId="0" borderId="18" xfId="6" applyNumberFormat="1" applyFont="1" applyBorder="1" applyAlignment="1">
      <alignment horizontal="center" vertical="center" wrapText="1"/>
    </xf>
    <xf numFmtId="9" fontId="33" fillId="5" borderId="9" xfId="8" applyFont="1" applyFill="1" applyBorder="1" applyAlignment="1">
      <alignment horizontal="center" vertical="center" wrapText="1"/>
    </xf>
    <xf numFmtId="9" fontId="33" fillId="0" borderId="9" xfId="8" applyFont="1" applyFill="1" applyBorder="1" applyAlignment="1">
      <alignment horizontal="center" vertical="center" wrapText="1"/>
    </xf>
    <xf numFmtId="9" fontId="42" fillId="0" borderId="9" xfId="8" applyFont="1" applyFill="1" applyBorder="1" applyAlignment="1">
      <alignment horizontal="center" vertical="center" wrapText="1"/>
    </xf>
    <xf numFmtId="0" fontId="30" fillId="5" borderId="9" xfId="9" applyFont="1" applyFill="1" applyBorder="1" applyAlignment="1">
      <alignment horizontal="left"/>
    </xf>
    <xf numFmtId="168" fontId="25" fillId="5" borderId="18" xfId="6" applyNumberFormat="1" applyFont="1" applyFill="1" applyBorder="1" applyAlignment="1">
      <alignment horizontal="center" vertical="center" wrapText="1"/>
    </xf>
    <xf numFmtId="165" fontId="25" fillId="5" borderId="9" xfId="0" applyNumberFormat="1" applyFont="1" applyFill="1" applyBorder="1" applyAlignment="1">
      <alignment horizontal="center" vertical="center" wrapText="1"/>
    </xf>
    <xf numFmtId="0" fontId="43" fillId="5" borderId="9" xfId="9" applyFont="1" applyFill="1" applyBorder="1" applyAlignment="1">
      <alignment horizontal="left" vertical="center"/>
    </xf>
    <xf numFmtId="188" fontId="25" fillId="0" borderId="9" xfId="2" applyNumberFormat="1" applyFont="1" applyBorder="1" applyAlignment="1">
      <alignment horizontal="center" vertical="center" wrapText="1"/>
    </xf>
    <xf numFmtId="185" fontId="30" fillId="5" borderId="9" xfId="2" applyNumberFormat="1" applyFont="1" applyFill="1" applyBorder="1"/>
    <xf numFmtId="0" fontId="36" fillId="7" borderId="0" xfId="6" applyFont="1" applyFill="1" applyAlignment="1">
      <alignment vertical="center"/>
    </xf>
    <xf numFmtId="2" fontId="13" fillId="0" borderId="0" xfId="6" applyNumberFormat="1"/>
    <xf numFmtId="0" fontId="44" fillId="0" borderId="0" xfId="6" applyFont="1" applyAlignment="1">
      <alignment horizontal="center"/>
    </xf>
    <xf numFmtId="0" fontId="45" fillId="0" borderId="0" xfId="0" applyFont="1" applyFill="1" applyAlignment="1">
      <alignment horizontal="center"/>
    </xf>
    <xf numFmtId="0" fontId="45" fillId="0" borderId="0" xfId="0" applyFont="1" applyFill="1" applyAlignment="1">
      <alignment horizontal="left"/>
    </xf>
    <xf numFmtId="2" fontId="13" fillId="0" borderId="0" xfId="6" applyNumberFormat="1" applyFill="1"/>
    <xf numFmtId="0" fontId="25" fillId="0" borderId="0" xfId="0" applyFont="1" applyFill="1" applyBorder="1"/>
    <xf numFmtId="2" fontId="25" fillId="0" borderId="0" xfId="0" applyNumberFormat="1" applyFont="1" applyFill="1" applyBorder="1"/>
    <xf numFmtId="0" fontId="25" fillId="0" borderId="0" xfId="7" applyFont="1" applyAlignment="1">
      <alignment horizontal="center"/>
    </xf>
    <xf numFmtId="0" fontId="25" fillId="0" borderId="0" xfId="7" applyFont="1" applyAlignment="1">
      <alignment horizontal="left"/>
    </xf>
    <xf numFmtId="0" fontId="25" fillId="0" borderId="0" xfId="7" applyFont="1"/>
    <xf numFmtId="0" fontId="5" fillId="0" borderId="0" xfId="7" applyFont="1"/>
    <xf numFmtId="2" fontId="1" fillId="0" borderId="0" xfId="7" applyNumberFormat="1"/>
    <xf numFmtId="0" fontId="25" fillId="0" borderId="9" xfId="0" applyFont="1" applyFill="1" applyBorder="1" applyAlignment="1">
      <alignment horizontal="left" vertical="center" wrapText="1"/>
    </xf>
    <xf numFmtId="0" fontId="25" fillId="5" borderId="9" xfId="7" applyFont="1" applyFill="1" applyBorder="1" applyAlignment="1">
      <alignment horizontal="left"/>
    </xf>
    <xf numFmtId="4" fontId="25" fillId="5" borderId="9" xfId="7" applyNumberFormat="1" applyFont="1" applyFill="1" applyBorder="1" applyAlignment="1">
      <alignment horizontal="center"/>
    </xf>
    <xf numFmtId="182" fontId="25" fillId="5" borderId="9" xfId="1" applyNumberFormat="1" applyFont="1" applyFill="1" applyBorder="1" applyAlignment="1">
      <alignment horizontal="center"/>
    </xf>
    <xf numFmtId="189" fontId="25" fillId="5" borderId="9" xfId="7" applyNumberFormat="1" applyFont="1" applyFill="1" applyBorder="1" applyAlignment="1">
      <alignment horizontal="center"/>
    </xf>
    <xf numFmtId="2" fontId="25" fillId="5" borderId="9" xfId="7" applyNumberFormat="1" applyFont="1" applyFill="1" applyBorder="1" applyAlignment="1">
      <alignment horizontal="center"/>
    </xf>
    <xf numFmtId="169" fontId="25" fillId="5" borderId="9" xfId="7" applyNumberFormat="1" applyFont="1" applyFill="1" applyBorder="1" applyAlignment="1">
      <alignment horizontal="center"/>
    </xf>
    <xf numFmtId="165" fontId="25" fillId="5" borderId="9" xfId="7" applyNumberFormat="1" applyFont="1" applyFill="1" applyBorder="1" applyAlignment="1">
      <alignment horizontal="center"/>
    </xf>
    <xf numFmtId="7" fontId="30" fillId="5" borderId="9" xfId="2" applyNumberFormat="1" applyFont="1" applyFill="1" applyBorder="1"/>
    <xf numFmtId="0" fontId="0" fillId="0" borderId="9" xfId="0" applyBorder="1"/>
    <xf numFmtId="190" fontId="0" fillId="5" borderId="9" xfId="1" applyNumberFormat="1" applyFont="1" applyFill="1" applyBorder="1" applyAlignment="1">
      <alignment horizontal="center"/>
    </xf>
    <xf numFmtId="2" fontId="5" fillId="5" borderId="9" xfId="7" applyNumberFormat="1" applyFont="1" applyFill="1" applyBorder="1" applyAlignment="1">
      <alignment horizontal="center"/>
    </xf>
    <xf numFmtId="9" fontId="0" fillId="0" borderId="0" xfId="3" applyFont="1"/>
    <xf numFmtId="190" fontId="1" fillId="0" borderId="0" xfId="7" applyNumberFormat="1"/>
    <xf numFmtId="2" fontId="0" fillId="0" borderId="16" xfId="1" applyNumberFormat="1" applyFont="1" applyBorder="1"/>
    <xf numFmtId="7" fontId="0" fillId="0" borderId="17" xfId="0" applyNumberFormat="1" applyFont="1" applyBorder="1"/>
    <xf numFmtId="0" fontId="25" fillId="5" borderId="0" xfId="7" applyFont="1" applyFill="1" applyAlignment="1">
      <alignment horizontal="left"/>
    </xf>
    <xf numFmtId="0" fontId="25" fillId="5" borderId="0" xfId="7" applyFont="1" applyFill="1" applyBorder="1" applyAlignment="1">
      <alignment horizontal="left"/>
    </xf>
    <xf numFmtId="180" fontId="45" fillId="0" borderId="0" xfId="7" applyNumberFormat="1" applyFont="1" applyBorder="1"/>
    <xf numFmtId="0" fontId="25" fillId="0" borderId="0" xfId="7" applyFont="1" applyBorder="1"/>
    <xf numFmtId="2" fontId="1" fillId="0" borderId="0" xfId="7" applyNumberFormat="1" applyFill="1"/>
    <xf numFmtId="0" fontId="1" fillId="0" borderId="0" xfId="14"/>
    <xf numFmtId="0" fontId="25" fillId="0" borderId="0" xfId="14" applyFont="1" applyAlignment="1">
      <alignment horizontal="center"/>
    </xf>
    <xf numFmtId="0" fontId="25" fillId="5" borderId="0" xfId="14" applyFont="1" applyFill="1" applyAlignment="1">
      <alignment horizontal="left"/>
    </xf>
    <xf numFmtId="1" fontId="25" fillId="0" borderId="0" xfId="14" applyNumberFormat="1" applyFont="1" applyBorder="1"/>
    <xf numFmtId="0" fontId="25" fillId="0" borderId="0" xfId="14" applyFont="1"/>
    <xf numFmtId="0" fontId="45" fillId="0" borderId="0" xfId="14" applyFont="1" applyAlignment="1">
      <alignment horizontal="left"/>
    </xf>
    <xf numFmtId="0" fontId="1" fillId="0" borderId="0" xfId="0" applyFont="1"/>
    <xf numFmtId="0" fontId="25" fillId="0" borderId="0" xfId="14" applyFont="1" applyBorder="1" applyAlignment="1">
      <alignment horizontal="left"/>
    </xf>
    <xf numFmtId="0" fontId="25" fillId="0" borderId="0" xfId="14" applyFont="1" applyAlignment="1">
      <alignment horizontal="left"/>
    </xf>
    <xf numFmtId="0" fontId="25" fillId="0" borderId="0" xfId="7" applyFont="1" applyFill="1" applyAlignment="1">
      <alignment horizontal="center"/>
    </xf>
    <xf numFmtId="180" fontId="25" fillId="5" borderId="9" xfId="14" applyNumberFormat="1" applyFont="1" applyFill="1" applyBorder="1" applyAlignment="1">
      <alignment horizontal="center" vertical="center" wrapText="1"/>
    </xf>
    <xf numFmtId="165" fontId="25" fillId="5" borderId="9" xfId="14" applyNumberFormat="1" applyFont="1" applyFill="1" applyBorder="1" applyAlignment="1">
      <alignment vertical="center" wrapText="1"/>
    </xf>
    <xf numFmtId="0" fontId="0" fillId="0" borderId="0" xfId="7" applyFont="1" applyFill="1"/>
    <xf numFmtId="0" fontId="5" fillId="0" borderId="0" xfId="7" applyFont="1" applyFill="1"/>
    <xf numFmtId="165" fontId="0" fillId="5" borderId="9" xfId="14" applyNumberFormat="1" applyFont="1" applyFill="1" applyBorder="1" applyAlignment="1">
      <alignment horizontal="left" vertical="center" wrapText="1"/>
    </xf>
    <xf numFmtId="180" fontId="5" fillId="0" borderId="9" xfId="14" applyNumberFormat="1" applyFont="1" applyFill="1" applyBorder="1" applyAlignment="1">
      <alignment horizontal="center" vertical="center" wrapText="1"/>
    </xf>
    <xf numFmtId="180" fontId="5" fillId="5" borderId="9" xfId="14" applyNumberFormat="1" applyFont="1" applyFill="1" applyBorder="1" applyAlignment="1">
      <alignment horizontal="center" vertical="center" wrapText="1"/>
    </xf>
    <xf numFmtId="180" fontId="25" fillId="0" borderId="9" xfId="14" applyNumberFormat="1" applyFont="1" applyFill="1" applyBorder="1" applyAlignment="1">
      <alignment horizontal="center" vertical="center" wrapText="1"/>
    </xf>
    <xf numFmtId="2" fontId="25" fillId="5" borderId="9" xfId="14" applyNumberFormat="1" applyFont="1" applyFill="1" applyBorder="1" applyAlignment="1">
      <alignment horizontal="center" vertical="center" wrapText="1"/>
    </xf>
    <xf numFmtId="2" fontId="1" fillId="5" borderId="9" xfId="14" applyNumberFormat="1" applyFont="1" applyFill="1" applyBorder="1" applyAlignment="1">
      <alignment horizontal="center" vertical="center" wrapText="1"/>
    </xf>
    <xf numFmtId="2" fontId="5" fillId="0" borderId="9" xfId="14" applyNumberFormat="1" applyFont="1" applyFill="1" applyBorder="1" applyAlignment="1">
      <alignment horizontal="center" vertical="center" wrapText="1"/>
    </xf>
    <xf numFmtId="2" fontId="5" fillId="5" borderId="9" xfId="14" applyNumberFormat="1" applyFont="1" applyFill="1" applyBorder="1" applyAlignment="1">
      <alignment horizontal="center" vertical="center" wrapText="1"/>
    </xf>
    <xf numFmtId="2" fontId="1" fillId="0" borderId="9" xfId="14" applyNumberFormat="1" applyFont="1" applyFill="1" applyBorder="1" applyAlignment="1">
      <alignment horizontal="center" vertical="center" wrapText="1"/>
    </xf>
    <xf numFmtId="2" fontId="25" fillId="0" borderId="9" xfId="14" applyNumberFormat="1" applyFont="1" applyFill="1" applyBorder="1" applyAlignment="1">
      <alignment horizontal="center" vertical="center" wrapText="1"/>
    </xf>
    <xf numFmtId="2" fontId="25" fillId="5" borderId="9" xfId="14" applyNumberFormat="1" applyFont="1" applyFill="1" applyBorder="1" applyAlignment="1">
      <alignment horizontal="left" vertical="center" wrapText="1"/>
    </xf>
    <xf numFmtId="165" fontId="25" fillId="5" borderId="9" xfId="14" applyNumberFormat="1" applyFont="1" applyFill="1" applyBorder="1" applyAlignment="1">
      <alignment horizontal="center" vertical="center" wrapText="1"/>
    </xf>
    <xf numFmtId="165" fontId="1" fillId="5" borderId="9" xfId="14" applyNumberFormat="1" applyFont="1" applyFill="1" applyBorder="1" applyAlignment="1">
      <alignment horizontal="center" vertical="center" wrapText="1"/>
    </xf>
    <xf numFmtId="165" fontId="1" fillId="0" borderId="9" xfId="14" applyNumberFormat="1" applyFont="1" applyFill="1" applyBorder="1" applyAlignment="1">
      <alignment horizontal="center" vertical="center" wrapText="1"/>
    </xf>
    <xf numFmtId="0" fontId="1" fillId="0" borderId="0" xfId="7" applyFill="1" applyAlignment="1">
      <alignment horizontal="center"/>
    </xf>
    <xf numFmtId="165" fontId="5" fillId="0" borderId="9" xfId="14" applyNumberFormat="1" applyFont="1" applyFill="1" applyBorder="1" applyAlignment="1">
      <alignment horizontal="center" vertical="center" wrapText="1"/>
    </xf>
    <xf numFmtId="1" fontId="25" fillId="5" borderId="9" xfId="14" applyNumberFormat="1" applyFont="1" applyFill="1" applyBorder="1" applyAlignment="1">
      <alignment horizontal="center" vertical="center" wrapText="1"/>
    </xf>
    <xf numFmtId="1" fontId="1" fillId="5" borderId="9" xfId="14" applyNumberFormat="1" applyFont="1" applyFill="1" applyBorder="1" applyAlignment="1">
      <alignment horizontal="center" vertical="center" wrapText="1"/>
    </xf>
    <xf numFmtId="1" fontId="1" fillId="0" borderId="9" xfId="14" applyNumberFormat="1" applyFont="1" applyFill="1" applyBorder="1" applyAlignment="1">
      <alignment horizontal="center" vertical="center" wrapText="1"/>
    </xf>
    <xf numFmtId="0" fontId="25" fillId="5" borderId="9" xfId="14" applyFont="1" applyFill="1" applyBorder="1" applyAlignment="1">
      <alignment horizontal="left"/>
    </xf>
    <xf numFmtId="0" fontId="25" fillId="5" borderId="9" xfId="14" applyFont="1" applyFill="1" applyBorder="1" applyAlignment="1">
      <alignment horizontal="center"/>
    </xf>
    <xf numFmtId="0" fontId="13" fillId="5" borderId="9" xfId="14" applyFont="1" applyFill="1" applyBorder="1" applyAlignment="1">
      <alignment horizontal="center"/>
    </xf>
    <xf numFmtId="0" fontId="26" fillId="0" borderId="9" xfId="14" applyFont="1" applyFill="1" applyBorder="1" applyAlignment="1">
      <alignment horizontal="center"/>
    </xf>
    <xf numFmtId="0" fontId="13" fillId="0" borderId="9" xfId="14" applyFont="1" applyFill="1" applyBorder="1" applyAlignment="1">
      <alignment horizontal="center"/>
    </xf>
    <xf numFmtId="9" fontId="25" fillId="5" borderId="9" xfId="14" applyNumberFormat="1" applyFont="1" applyFill="1" applyBorder="1" applyAlignment="1">
      <alignment horizontal="center" vertical="center"/>
    </xf>
    <xf numFmtId="9" fontId="1" fillId="5" borderId="9" xfId="14" applyNumberFormat="1" applyFill="1" applyBorder="1" applyAlignment="1">
      <alignment horizontal="center"/>
    </xf>
    <xf numFmtId="9" fontId="5" fillId="5" borderId="9" xfId="14" applyNumberFormat="1" applyFont="1" applyFill="1" applyBorder="1" applyAlignment="1">
      <alignment horizontal="center"/>
    </xf>
    <xf numFmtId="9" fontId="25" fillId="5" borderId="9" xfId="14" applyNumberFormat="1" applyFont="1" applyFill="1" applyBorder="1" applyAlignment="1">
      <alignment horizontal="center"/>
    </xf>
    <xf numFmtId="9" fontId="1" fillId="0" borderId="9" xfId="14" applyNumberFormat="1" applyFill="1" applyBorder="1" applyAlignment="1">
      <alignment horizontal="center"/>
    </xf>
    <xf numFmtId="0" fontId="25" fillId="5" borderId="9" xfId="14" applyFont="1" applyFill="1" applyBorder="1" applyAlignment="1">
      <alignment horizontal="left" vertical="center"/>
    </xf>
    <xf numFmtId="0" fontId="25" fillId="5" borderId="9" xfId="14" applyFont="1" applyFill="1" applyBorder="1" applyAlignment="1">
      <alignment horizontal="center" vertical="center"/>
    </xf>
    <xf numFmtId="0" fontId="25" fillId="5" borderId="9" xfId="14" applyFont="1" applyFill="1" applyBorder="1" applyAlignment="1">
      <alignment horizontal="left" vertical="center" wrapText="1"/>
    </xf>
    <xf numFmtId="2" fontId="25" fillId="5" borderId="9" xfId="14" applyNumberFormat="1" applyFont="1" applyFill="1" applyBorder="1" applyAlignment="1">
      <alignment horizontal="center"/>
    </xf>
    <xf numFmtId="2" fontId="13" fillId="5" borderId="9" xfId="14" applyNumberFormat="1" applyFont="1" applyFill="1" applyBorder="1" applyAlignment="1">
      <alignment horizontal="center"/>
    </xf>
    <xf numFmtId="2" fontId="40" fillId="5" borderId="9" xfId="14" applyNumberFormat="1" applyFont="1" applyFill="1" applyBorder="1" applyAlignment="1">
      <alignment horizontal="center"/>
    </xf>
    <xf numFmtId="2" fontId="13" fillId="0" borderId="9" xfId="14" applyNumberFormat="1" applyFont="1" applyFill="1" applyBorder="1" applyAlignment="1">
      <alignment horizontal="center"/>
    </xf>
    <xf numFmtId="0" fontId="25" fillId="5" borderId="14" xfId="14" applyFont="1" applyFill="1" applyBorder="1" applyAlignment="1">
      <alignment horizontal="left" vertical="center" wrapText="1"/>
    </xf>
    <xf numFmtId="2" fontId="25" fillId="5" borderId="14" xfId="14" applyNumberFormat="1" applyFont="1" applyFill="1" applyBorder="1" applyAlignment="1">
      <alignment horizontal="center"/>
    </xf>
    <xf numFmtId="0" fontId="25" fillId="5" borderId="23" xfId="14" applyFont="1" applyFill="1" applyBorder="1" applyAlignment="1">
      <alignment horizontal="left"/>
    </xf>
    <xf numFmtId="2" fontId="25" fillId="5" borderId="23" xfId="14" applyNumberFormat="1" applyFont="1" applyFill="1" applyBorder="1" applyAlignment="1">
      <alignment horizontal="center"/>
    </xf>
    <xf numFmtId="2" fontId="26" fillId="0" borderId="9" xfId="14" applyNumberFormat="1" applyFont="1" applyFill="1" applyBorder="1" applyAlignment="1">
      <alignment horizontal="center"/>
    </xf>
    <xf numFmtId="0" fontId="26" fillId="5" borderId="9" xfId="14" applyFont="1" applyFill="1" applyBorder="1" applyAlignment="1">
      <alignment horizontal="center"/>
    </xf>
    <xf numFmtId="9" fontId="13" fillId="5" borderId="9" xfId="14" applyNumberFormat="1" applyFont="1" applyFill="1" applyBorder="1" applyAlignment="1">
      <alignment horizontal="center"/>
    </xf>
    <xf numFmtId="9" fontId="13" fillId="0" borderId="9" xfId="14" applyNumberFormat="1" applyFont="1" applyFill="1" applyBorder="1" applyAlignment="1">
      <alignment horizontal="center"/>
    </xf>
    <xf numFmtId="189" fontId="25" fillId="5" borderId="9" xfId="14" applyNumberFormat="1" applyFont="1" applyFill="1" applyBorder="1" applyAlignment="1">
      <alignment horizontal="center" vertical="center" wrapText="1"/>
    </xf>
    <xf numFmtId="180" fontId="1" fillId="5" borderId="9" xfId="14" applyNumberFormat="1" applyFont="1" applyFill="1" applyBorder="1" applyAlignment="1">
      <alignment horizontal="center" vertical="center" wrapText="1"/>
    </xf>
    <xf numFmtId="180" fontId="1" fillId="0" borderId="9" xfId="14" applyNumberFormat="1" applyFont="1" applyFill="1" applyBorder="1" applyAlignment="1">
      <alignment horizontal="center" vertical="center" wrapText="1"/>
    </xf>
    <xf numFmtId="9" fontId="25" fillId="5" borderId="9" xfId="3" applyFont="1" applyFill="1" applyBorder="1" applyAlignment="1">
      <alignment horizontal="center" vertical="center" wrapText="1"/>
    </xf>
    <xf numFmtId="9" fontId="1" fillId="5"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65" fontId="1" fillId="5" borderId="9" xfId="7" applyNumberFormat="1" applyFont="1" applyFill="1" applyBorder="1" applyAlignment="1">
      <alignment horizontal="center"/>
    </xf>
    <xf numFmtId="7" fontId="30" fillId="5" borderId="9" xfId="2" applyNumberFormat="1" applyFont="1" applyFill="1" applyBorder="1" applyAlignment="1">
      <alignment horizontal="center"/>
    </xf>
    <xf numFmtId="7" fontId="29" fillId="5" borderId="9" xfId="2" applyNumberFormat="1" applyFont="1" applyFill="1" applyBorder="1" applyAlignment="1">
      <alignment horizontal="center"/>
    </xf>
    <xf numFmtId="0" fontId="47" fillId="0" borderId="0" xfId="7" applyFont="1" applyFill="1" applyBorder="1" applyAlignment="1">
      <alignment horizontal="left" vertical="center" wrapText="1"/>
    </xf>
    <xf numFmtId="0" fontId="47" fillId="0" borderId="0" xfId="7" applyFont="1" applyFill="1" applyBorder="1" applyAlignment="1">
      <alignment horizontal="center" vertical="center" wrapText="1"/>
    </xf>
    <xf numFmtId="0" fontId="25" fillId="0" borderId="0" xfId="7" applyFont="1" applyFill="1" applyAlignment="1">
      <alignment horizontal="left"/>
    </xf>
    <xf numFmtId="0" fontId="25" fillId="0" borderId="0" xfId="7" applyFont="1" applyFill="1"/>
    <xf numFmtId="0" fontId="29" fillId="0" borderId="0" xfId="9"/>
    <xf numFmtId="0" fontId="30" fillId="0" borderId="0" xfId="9" applyFont="1" applyBorder="1" applyAlignment="1">
      <alignment horizontal="center"/>
    </xf>
    <xf numFmtId="0" fontId="30" fillId="0" borderId="40" xfId="9" applyFont="1" applyBorder="1"/>
    <xf numFmtId="0" fontId="0" fillId="0" borderId="0" xfId="0" applyFill="1"/>
    <xf numFmtId="0" fontId="25" fillId="0" borderId="0" xfId="0" applyFont="1" applyFill="1"/>
    <xf numFmtId="0" fontId="30" fillId="0" borderId="0" xfId="9" applyFont="1" applyFill="1"/>
    <xf numFmtId="2" fontId="0" fillId="9" borderId="9" xfId="1" applyNumberFormat="1" applyFont="1" applyFill="1" applyBorder="1" applyAlignment="1">
      <alignment horizontal="center" wrapText="1"/>
    </xf>
    <xf numFmtId="0" fontId="30" fillId="0" borderId="19" xfId="9" applyFont="1" applyBorder="1" applyAlignment="1">
      <alignment horizontal="left"/>
    </xf>
    <xf numFmtId="4" fontId="30" fillId="0" borderId="9" xfId="9" applyNumberFormat="1" applyFont="1" applyBorder="1" applyAlignment="1">
      <alignment horizontal="center"/>
    </xf>
    <xf numFmtId="0" fontId="30" fillId="0" borderId="9" xfId="9" applyFont="1" applyBorder="1" applyAlignment="1">
      <alignment horizontal="center"/>
    </xf>
    <xf numFmtId="169" fontId="30" fillId="0" borderId="9" xfId="2" applyNumberFormat="1" applyFont="1" applyBorder="1" applyAlignment="1">
      <alignment horizontal="center"/>
    </xf>
    <xf numFmtId="181" fontId="30" fillId="0" borderId="0" xfId="9" applyNumberFormat="1" applyFont="1" applyFill="1"/>
    <xf numFmtId="170" fontId="25" fillId="5" borderId="9" xfId="1" applyNumberFormat="1" applyFont="1" applyFill="1" applyBorder="1" applyAlignment="1">
      <alignment horizontal="center"/>
    </xf>
    <xf numFmtId="170" fontId="5" fillId="5" borderId="9" xfId="1" applyNumberFormat="1" applyFont="1" applyFill="1" applyBorder="1" applyAlignment="1">
      <alignment horizontal="center"/>
    </xf>
    <xf numFmtId="39" fontId="5" fillId="5" borderId="9" xfId="1" applyNumberFormat="1" applyFont="1" applyFill="1" applyBorder="1" applyAlignment="1">
      <alignment horizontal="center"/>
    </xf>
    <xf numFmtId="181" fontId="0" fillId="0" borderId="9" xfId="0" applyNumberFormat="1" applyBorder="1"/>
    <xf numFmtId="43" fontId="0" fillId="0" borderId="9" xfId="1" applyFont="1" applyBorder="1"/>
    <xf numFmtId="2" fontId="0" fillId="0" borderId="20" xfId="1" applyNumberFormat="1" applyFont="1" applyBorder="1"/>
    <xf numFmtId="0" fontId="30" fillId="0" borderId="23" xfId="9" applyFont="1" applyBorder="1" applyAlignment="1">
      <alignment horizontal="left"/>
    </xf>
    <xf numFmtId="9" fontId="25" fillId="0" borderId="0" xfId="3" applyFont="1" applyFill="1" applyBorder="1"/>
    <xf numFmtId="2" fontId="0" fillId="9" borderId="22" xfId="1" applyNumberFormat="1" applyFont="1" applyFill="1" applyBorder="1"/>
    <xf numFmtId="165" fontId="31" fillId="0" borderId="9" xfId="9" applyNumberFormat="1" applyFont="1" applyBorder="1" applyAlignment="1">
      <alignment horizontal="center"/>
    </xf>
    <xf numFmtId="2" fontId="0" fillId="0" borderId="22" xfId="1" applyNumberFormat="1" applyFont="1" applyBorder="1"/>
    <xf numFmtId="9" fontId="25" fillId="0" borderId="0" xfId="0" applyNumberFormat="1" applyFont="1" applyFill="1" applyBorder="1"/>
    <xf numFmtId="2" fontId="0" fillId="9" borderId="25" xfId="1" applyNumberFormat="1" applyFont="1" applyFill="1" applyBorder="1"/>
    <xf numFmtId="0" fontId="30" fillId="0" borderId="0" xfId="9" applyFont="1" applyAlignment="1">
      <alignment horizontal="left"/>
    </xf>
    <xf numFmtId="39" fontId="30" fillId="0" borderId="0" xfId="1" applyNumberFormat="1" applyFont="1" applyAlignment="1">
      <alignment horizontal="center"/>
    </xf>
    <xf numFmtId="0" fontId="30" fillId="0" borderId="0" xfId="9" applyFont="1"/>
    <xf numFmtId="0" fontId="1" fillId="0" borderId="0" xfId="14" applyFill="1"/>
    <xf numFmtId="0" fontId="5" fillId="0" borderId="0" xfId="14" applyFont="1" applyFill="1"/>
    <xf numFmtId="2" fontId="1" fillId="0" borderId="0" xfId="14" applyNumberFormat="1" applyFill="1"/>
    <xf numFmtId="0" fontId="30" fillId="0" borderId="41" xfId="9" applyFont="1" applyBorder="1" applyAlignment="1">
      <alignment horizontal="center"/>
    </xf>
    <xf numFmtId="0" fontId="30" fillId="0" borderId="0" xfId="9" applyFont="1" applyBorder="1" applyAlignment="1">
      <alignment horizontal="left" vertical="top" wrapText="1"/>
    </xf>
    <xf numFmtId="0" fontId="30" fillId="0" borderId="0" xfId="9" applyFont="1" applyBorder="1" applyAlignment="1">
      <alignment vertical="top" wrapText="1"/>
    </xf>
    <xf numFmtId="9" fontId="30" fillId="0" borderId="0" xfId="3" applyFont="1" applyFill="1"/>
    <xf numFmtId="0" fontId="25" fillId="0" borderId="0" xfId="14" applyFont="1" applyFill="1"/>
    <xf numFmtId="0" fontId="1" fillId="0" borderId="0" xfId="14" applyFill="1" applyAlignment="1">
      <alignment wrapText="1"/>
    </xf>
    <xf numFmtId="0" fontId="30" fillId="0" borderId="41" xfId="9" applyFont="1" applyBorder="1" applyAlignment="1">
      <alignment horizontal="center" wrapText="1"/>
    </xf>
    <xf numFmtId="0" fontId="30" fillId="0" borderId="0" xfId="9" applyFont="1" applyFill="1" applyAlignment="1">
      <alignment wrapText="1"/>
    </xf>
    <xf numFmtId="9" fontId="30" fillId="0" borderId="0" xfId="3" applyFont="1" applyFill="1" applyAlignment="1">
      <alignment wrapText="1"/>
    </xf>
    <xf numFmtId="190" fontId="1" fillId="0" borderId="0" xfId="7" applyNumberFormat="1" applyAlignment="1">
      <alignment wrapText="1"/>
    </xf>
    <xf numFmtId="2" fontId="1" fillId="0" borderId="0" xfId="14" applyNumberFormat="1" applyFill="1" applyAlignment="1">
      <alignment wrapText="1"/>
    </xf>
    <xf numFmtId="0" fontId="30" fillId="0" borderId="9" xfId="9" applyFont="1" applyFill="1" applyBorder="1" applyAlignment="1">
      <alignment vertical="top" wrapText="1"/>
    </xf>
    <xf numFmtId="10" fontId="30" fillId="0" borderId="9" xfId="9" applyNumberFormat="1" applyFont="1" applyFill="1" applyBorder="1" applyAlignment="1">
      <alignment vertical="top" wrapText="1"/>
    </xf>
    <xf numFmtId="10" fontId="1" fillId="0" borderId="9" xfId="3" applyNumberFormat="1" applyFill="1" applyBorder="1"/>
    <xf numFmtId="10" fontId="5" fillId="0" borderId="9" xfId="3" applyNumberFormat="1" applyFont="1" applyFill="1" applyBorder="1"/>
    <xf numFmtId="0" fontId="1" fillId="0" borderId="9" xfId="14" applyFill="1" applyBorder="1"/>
    <xf numFmtId="0" fontId="30" fillId="0" borderId="39" xfId="9" applyFont="1" applyBorder="1" applyAlignment="1">
      <alignment horizontal="center"/>
    </xf>
    <xf numFmtId="0" fontId="30" fillId="0" borderId="42" xfId="9" applyFont="1" applyBorder="1" applyAlignment="1">
      <alignment horizontal="center"/>
    </xf>
    <xf numFmtId="0" fontId="30" fillId="0" borderId="9" xfId="9" applyFont="1" applyFill="1" applyBorder="1" applyAlignment="1">
      <alignment horizontal="left"/>
    </xf>
    <xf numFmtId="9" fontId="30" fillId="5" borderId="9" xfId="3" applyFont="1" applyFill="1" applyBorder="1" applyAlignment="1">
      <alignment horizontal="center"/>
    </xf>
    <xf numFmtId="0" fontId="30" fillId="0" borderId="9" xfId="9" applyFont="1" applyFill="1" applyBorder="1" applyAlignment="1">
      <alignment wrapText="1"/>
    </xf>
    <xf numFmtId="0" fontId="30" fillId="0" borderId="9" xfId="9" applyFont="1" applyFill="1" applyBorder="1"/>
    <xf numFmtId="9" fontId="29" fillId="0" borderId="9" xfId="3" applyFont="1" applyBorder="1" applyAlignment="1">
      <alignment horizontal="center"/>
    </xf>
    <xf numFmtId="9" fontId="29" fillId="5" borderId="9" xfId="3" applyFont="1" applyFill="1" applyBorder="1" applyAlignment="1">
      <alignment horizontal="center"/>
    </xf>
    <xf numFmtId="0" fontId="25" fillId="0" borderId="9" xfId="0" applyFont="1" applyFill="1" applyBorder="1" applyAlignment="1">
      <alignment horizontal="left"/>
    </xf>
    <xf numFmtId="9" fontId="31" fillId="5" borderId="9" xfId="3" applyFont="1" applyFill="1" applyBorder="1" applyAlignment="1">
      <alignment horizontal="center"/>
    </xf>
    <xf numFmtId="9" fontId="31" fillId="0" borderId="9" xfId="3" applyFont="1" applyBorder="1" applyAlignment="1">
      <alignment horizontal="center"/>
    </xf>
    <xf numFmtId="172" fontId="5" fillId="5" borderId="9" xfId="17" applyNumberFormat="1" applyFont="1" applyFill="1" applyBorder="1" applyAlignment="1">
      <alignment horizontal="center"/>
    </xf>
    <xf numFmtId="1" fontId="30" fillId="5" borderId="9" xfId="3" applyNumberFormat="1" applyFont="1" applyFill="1" applyBorder="1" applyAlignment="1">
      <alignment horizontal="center"/>
    </xf>
    <xf numFmtId="1" fontId="29" fillId="0" borderId="9" xfId="3" applyNumberFormat="1" applyFont="1" applyBorder="1" applyAlignment="1">
      <alignment horizontal="center"/>
    </xf>
    <xf numFmtId="1" fontId="31" fillId="5" borderId="9" xfId="3" applyNumberFormat="1" applyFont="1" applyFill="1" applyBorder="1" applyAlignment="1">
      <alignment horizontal="center"/>
    </xf>
    <xf numFmtId="1" fontId="29" fillId="5" borderId="9" xfId="3" applyNumberFormat="1" applyFont="1" applyFill="1" applyBorder="1" applyAlignment="1">
      <alignment horizontal="center"/>
    </xf>
    <xf numFmtId="0" fontId="1" fillId="0" borderId="9" xfId="7" applyFill="1" applyBorder="1"/>
    <xf numFmtId="3" fontId="1" fillId="0" borderId="9" xfId="7" applyNumberFormat="1" applyFill="1" applyBorder="1"/>
    <xf numFmtId="3" fontId="5" fillId="5" borderId="9" xfId="0" applyNumberFormat="1" applyFont="1" applyFill="1" applyBorder="1" applyAlignment="1">
      <alignment horizontal="center"/>
    </xf>
    <xf numFmtId="172" fontId="31" fillId="5" borderId="9" xfId="3" applyNumberFormat="1" applyFont="1" applyFill="1" applyBorder="1" applyAlignment="1">
      <alignment horizontal="center"/>
    </xf>
    <xf numFmtId="172" fontId="5" fillId="0" borderId="9" xfId="3" applyNumberFormat="1" applyFont="1" applyFill="1" applyBorder="1" applyAlignment="1">
      <alignment horizontal="center"/>
    </xf>
    <xf numFmtId="3" fontId="1" fillId="0" borderId="0" xfId="7" applyNumberFormat="1" applyFill="1"/>
    <xf numFmtId="172" fontId="30" fillId="5" borderId="9" xfId="3" applyNumberFormat="1" applyFont="1" applyFill="1" applyBorder="1" applyAlignment="1">
      <alignment horizontal="center"/>
    </xf>
    <xf numFmtId="172" fontId="29" fillId="0" borderId="9" xfId="3" applyNumberFormat="1" applyFont="1" applyBorder="1" applyAlignment="1">
      <alignment horizontal="center"/>
    </xf>
    <xf numFmtId="191" fontId="5" fillId="0" borderId="9" xfId="3" applyNumberFormat="1" applyFont="1" applyFill="1" applyBorder="1" applyAlignment="1">
      <alignment horizontal="center"/>
    </xf>
    <xf numFmtId="172" fontId="29" fillId="5" borderId="9" xfId="3" applyNumberFormat="1" applyFont="1" applyFill="1" applyBorder="1" applyAlignment="1">
      <alignment horizontal="center"/>
    </xf>
    <xf numFmtId="9" fontId="30" fillId="0" borderId="9" xfId="3" applyFont="1" applyBorder="1" applyAlignment="1">
      <alignment horizontal="center"/>
    </xf>
    <xf numFmtId="39" fontId="31" fillId="5" borderId="9" xfId="1" applyNumberFormat="1" applyFont="1" applyFill="1" applyBorder="1" applyAlignment="1">
      <alignment horizontal="center"/>
    </xf>
    <xf numFmtId="178" fontId="30" fillId="0" borderId="0" xfId="9" applyNumberFormat="1" applyFont="1"/>
    <xf numFmtId="39" fontId="29" fillId="0" borderId="9" xfId="1" applyNumberFormat="1" applyFont="1" applyBorder="1" applyAlignment="1">
      <alignment horizontal="center"/>
    </xf>
    <xf numFmtId="39" fontId="29" fillId="5" borderId="9" xfId="1" applyNumberFormat="1" applyFont="1" applyFill="1" applyBorder="1" applyAlignment="1">
      <alignment horizontal="center"/>
    </xf>
    <xf numFmtId="39" fontId="31" fillId="0" borderId="9" xfId="1" applyNumberFormat="1" applyFont="1" applyBorder="1" applyAlignment="1">
      <alignment horizontal="center"/>
    </xf>
    <xf numFmtId="0" fontId="43" fillId="0" borderId="9" xfId="9" applyFont="1" applyFill="1" applyBorder="1" applyAlignment="1">
      <alignment horizontal="left" vertical="center"/>
    </xf>
    <xf numFmtId="0" fontId="30" fillId="0" borderId="9" xfId="9" applyFont="1" applyFill="1" applyBorder="1" applyAlignment="1">
      <alignment horizontal="left" wrapText="1"/>
    </xf>
    <xf numFmtId="10" fontId="30" fillId="5" borderId="9" xfId="3" applyNumberFormat="1" applyFont="1" applyFill="1" applyBorder="1" applyAlignment="1">
      <alignment horizontal="center"/>
    </xf>
    <xf numFmtId="10" fontId="29" fillId="0" borderId="9" xfId="3" applyNumberFormat="1" applyFont="1" applyBorder="1" applyAlignment="1">
      <alignment horizontal="center"/>
    </xf>
    <xf numFmtId="10" fontId="31" fillId="0" borderId="9" xfId="3" applyNumberFormat="1" applyFont="1" applyBorder="1" applyAlignment="1">
      <alignment horizontal="center"/>
    </xf>
    <xf numFmtId="10" fontId="29" fillId="5" borderId="9" xfId="3" applyNumberFormat="1" applyFont="1" applyFill="1" applyBorder="1" applyAlignment="1">
      <alignment horizontal="center"/>
    </xf>
    <xf numFmtId="37" fontId="30" fillId="5" borderId="9" xfId="1" applyNumberFormat="1" applyFont="1" applyFill="1" applyBorder="1" applyAlignment="1">
      <alignment horizontal="center"/>
    </xf>
    <xf numFmtId="37" fontId="29" fillId="0" borderId="9" xfId="1" applyNumberFormat="1" applyFont="1" applyBorder="1" applyAlignment="1">
      <alignment horizontal="center"/>
    </xf>
    <xf numFmtId="37" fontId="31" fillId="0" borderId="9" xfId="1" applyNumberFormat="1" applyFont="1" applyBorder="1" applyAlignment="1">
      <alignment horizontal="center"/>
    </xf>
    <xf numFmtId="0" fontId="43" fillId="0" borderId="9" xfId="9" applyFont="1" applyFill="1" applyBorder="1" applyAlignment="1">
      <alignment horizontal="left"/>
    </xf>
    <xf numFmtId="37" fontId="29" fillId="5" borderId="9" xfId="1" applyNumberFormat="1" applyFont="1" applyFill="1" applyBorder="1" applyAlignment="1">
      <alignment horizontal="center"/>
    </xf>
    <xf numFmtId="190" fontId="30" fillId="5" borderId="9" xfId="1" applyNumberFormat="1" applyFont="1" applyFill="1" applyBorder="1" applyAlignment="1">
      <alignment horizontal="center"/>
    </xf>
    <xf numFmtId="179" fontId="5" fillId="0" borderId="9" xfId="0" applyNumberFormat="1" applyFont="1" applyFill="1" applyBorder="1" applyAlignment="1">
      <alignment horizontal="center"/>
    </xf>
    <xf numFmtId="172" fontId="30" fillId="0" borderId="9" xfId="3" applyNumberFormat="1" applyFont="1" applyBorder="1" applyAlignment="1">
      <alignment horizontal="center"/>
    </xf>
    <xf numFmtId="0" fontId="30" fillId="0" borderId="0" xfId="9" applyFont="1" applyFill="1" applyBorder="1" applyAlignment="1">
      <alignment wrapText="1"/>
    </xf>
    <xf numFmtId="1" fontId="31" fillId="0" borderId="9" xfId="3" applyNumberFormat="1" applyFont="1" applyBorder="1" applyAlignment="1">
      <alignment horizontal="center"/>
    </xf>
    <xf numFmtId="165" fontId="43" fillId="0" borderId="9" xfId="9" applyNumberFormat="1" applyFont="1" applyFill="1" applyBorder="1" applyAlignment="1">
      <alignment horizontal="left" vertical="center"/>
    </xf>
    <xf numFmtId="1" fontId="30" fillId="0" borderId="9" xfId="3" applyNumberFormat="1" applyFont="1" applyBorder="1" applyAlignment="1">
      <alignment horizontal="center"/>
    </xf>
    <xf numFmtId="171" fontId="25" fillId="5" borderId="9" xfId="7" applyNumberFormat="1" applyFont="1" applyFill="1" applyBorder="1" applyAlignment="1">
      <alignment horizontal="center"/>
    </xf>
    <xf numFmtId="171" fontId="25" fillId="0" borderId="9" xfId="7" applyNumberFormat="1" applyFont="1" applyFill="1" applyBorder="1" applyAlignment="1">
      <alignment horizontal="center"/>
    </xf>
    <xf numFmtId="0" fontId="30" fillId="0" borderId="0" xfId="9" applyFont="1" applyAlignment="1">
      <alignment horizontal="left" wrapText="1"/>
    </xf>
    <xf numFmtId="0" fontId="25" fillId="0" borderId="9" xfId="7" applyFont="1" applyBorder="1" applyAlignment="1">
      <alignment horizontal="left" wrapText="1"/>
    </xf>
    <xf numFmtId="0" fontId="1" fillId="0" borderId="9" xfId="7" applyBorder="1"/>
    <xf numFmtId="179" fontId="29" fillId="0" borderId="9" xfId="9" applyNumberFormat="1" applyBorder="1" applyAlignment="1">
      <alignment horizontal="center"/>
    </xf>
    <xf numFmtId="179" fontId="1" fillId="0" borderId="9" xfId="7" applyNumberFormat="1" applyBorder="1" applyAlignment="1">
      <alignment horizontal="center"/>
    </xf>
    <xf numFmtId="4" fontId="1" fillId="0" borderId="9" xfId="7" applyNumberFormat="1" applyBorder="1" applyAlignment="1">
      <alignment horizontal="center"/>
    </xf>
    <xf numFmtId="165" fontId="25" fillId="0" borderId="9" xfId="7" applyNumberFormat="1" applyFont="1" applyFill="1" applyBorder="1" applyAlignment="1">
      <alignment horizontal="left" vertical="center" wrapText="1"/>
    </xf>
    <xf numFmtId="2" fontId="0" fillId="0" borderId="25" xfId="1" applyNumberFormat="1" applyFont="1" applyBorder="1"/>
    <xf numFmtId="0" fontId="30" fillId="0" borderId="9" xfId="9" applyFont="1" applyBorder="1" applyAlignment="1">
      <alignment horizontal="left"/>
    </xf>
    <xf numFmtId="179" fontId="40" fillId="0" borderId="0" xfId="10" applyNumberFormat="1" applyFont="1" applyFill="1" applyBorder="1" applyAlignment="1">
      <alignment horizontal="left" vertical="center" wrapText="1"/>
    </xf>
    <xf numFmtId="179" fontId="40" fillId="0" borderId="0" xfId="10" applyNumberFormat="1" applyFont="1" applyFill="1" applyBorder="1" applyAlignment="1">
      <alignment horizontal="center" vertical="center" wrapText="1"/>
    </xf>
    <xf numFmtId="179" fontId="25" fillId="0" borderId="0" xfId="10" applyNumberFormat="1" applyFont="1" applyFill="1" applyBorder="1" applyAlignment="1">
      <alignment horizontal="left" vertical="center" wrapText="1"/>
    </xf>
    <xf numFmtId="0" fontId="40" fillId="0" borderId="0" xfId="14" applyFont="1" applyBorder="1" applyAlignment="1">
      <alignment horizontal="left" vertical="center" wrapText="1"/>
    </xf>
    <xf numFmtId="0" fontId="25" fillId="0" borderId="0" xfId="14" applyFont="1" applyAlignment="1">
      <alignment vertical="center"/>
    </xf>
    <xf numFmtId="0" fontId="51" fillId="0" borderId="0" xfId="14" applyFont="1" applyAlignment="1">
      <alignment horizontal="left"/>
    </xf>
    <xf numFmtId="0" fontId="1" fillId="0" borderId="0" xfId="14" applyFont="1"/>
    <xf numFmtId="0" fontId="25" fillId="0" borderId="0" xfId="0" applyFont="1" applyFill="1" applyBorder="1" applyAlignment="1">
      <alignment horizontal="center" vertical="center" wrapText="1"/>
    </xf>
    <xf numFmtId="165" fontId="25" fillId="0" borderId="9" xfId="7" applyNumberFormat="1" applyFont="1" applyFill="1" applyBorder="1" applyAlignment="1">
      <alignment horizontal="center" vertical="center" wrapText="1"/>
    </xf>
    <xf numFmtId="0" fontId="1" fillId="0" borderId="0" xfId="7" applyFill="1" applyBorder="1"/>
    <xf numFmtId="165" fontId="0" fillId="0" borderId="9" xfId="7" applyNumberFormat="1" applyFont="1" applyFill="1" applyBorder="1" applyAlignment="1">
      <alignment horizontal="left" vertical="center" wrapText="1"/>
    </xf>
    <xf numFmtId="165" fontId="1" fillId="0" borderId="9" xfId="7" applyNumberFormat="1" applyFont="1" applyFill="1" applyBorder="1" applyAlignment="1">
      <alignment horizontal="center" vertical="center" wrapText="1"/>
    </xf>
    <xf numFmtId="165" fontId="40" fillId="0" borderId="9" xfId="14" applyNumberFormat="1" applyFont="1" applyFill="1" applyBorder="1" applyAlignment="1">
      <alignment horizontal="center" vertical="center" wrapText="1"/>
    </xf>
    <xf numFmtId="165" fontId="13" fillId="0" borderId="9" xfId="14" applyNumberFormat="1" applyFont="1" applyFill="1" applyBorder="1" applyAlignment="1">
      <alignment horizontal="center" vertical="center" wrapText="1"/>
    </xf>
    <xf numFmtId="9" fontId="25" fillId="0" borderId="9" xfId="3" applyFont="1" applyFill="1" applyBorder="1" applyAlignment="1">
      <alignment horizontal="center" vertical="center" wrapText="1"/>
    </xf>
    <xf numFmtId="165" fontId="1" fillId="0" borderId="9" xfId="7" applyNumberFormat="1" applyFont="1" applyFill="1" applyBorder="1" applyAlignment="1">
      <alignment horizontal="left" vertical="center" wrapText="1"/>
    </xf>
    <xf numFmtId="165" fontId="25" fillId="0" borderId="9" xfId="7" applyNumberFormat="1" applyFont="1" applyFill="1" applyBorder="1" applyAlignment="1">
      <alignment horizontal="center"/>
    </xf>
    <xf numFmtId="165" fontId="52" fillId="0" borderId="9" xfId="9" applyNumberFormat="1" applyFont="1" applyBorder="1" applyAlignment="1">
      <alignment horizontal="left" vertical="center"/>
    </xf>
    <xf numFmtId="171" fontId="1" fillId="5" borderId="9" xfId="7" applyNumberFormat="1" applyFont="1" applyFill="1" applyBorder="1" applyAlignment="1">
      <alignment horizontal="center"/>
    </xf>
    <xf numFmtId="0" fontId="25" fillId="0" borderId="0" xfId="0" applyFont="1" applyAlignment="1">
      <alignment horizontal="center"/>
    </xf>
    <xf numFmtId="0" fontId="25" fillId="0" borderId="0" xfId="0" applyFont="1" applyAlignment="1">
      <alignment horizontal="left"/>
    </xf>
    <xf numFmtId="0" fontId="5" fillId="0" borderId="9" xfId="0" applyFont="1" applyBorder="1" applyAlignment="1">
      <alignment horizontal="center" vertical="center" wrapText="1"/>
    </xf>
    <xf numFmtId="0" fontId="25" fillId="5" borderId="9" xfId="0" applyFont="1" applyFill="1" applyBorder="1" applyAlignment="1">
      <alignment horizontal="left" vertical="center" wrapText="1"/>
    </xf>
    <xf numFmtId="0" fontId="38" fillId="0" borderId="9" xfId="13" applyFont="1" applyFill="1" applyBorder="1" applyAlignment="1">
      <alignment horizontal="center"/>
    </xf>
    <xf numFmtId="165" fontId="0" fillId="0" borderId="9" xfId="0" applyNumberFormat="1" applyFont="1" applyBorder="1" applyAlignment="1">
      <alignment horizontal="center" vertical="center" wrapText="1"/>
    </xf>
    <xf numFmtId="4" fontId="29" fillId="0" borderId="9" xfId="9" applyNumberFormat="1" applyBorder="1" applyAlignment="1">
      <alignment horizontal="center"/>
    </xf>
    <xf numFmtId="0" fontId="38" fillId="0" borderId="9" xfId="13" applyFont="1" applyFill="1" applyBorder="1" applyAlignment="1">
      <alignment horizontal="center" vertical="center"/>
    </xf>
    <xf numFmtId="182" fontId="25" fillId="5" borderId="9" xfId="1" applyNumberFormat="1" applyFont="1" applyFill="1" applyBorder="1" applyAlignment="1">
      <alignment horizontal="center" vertical="center"/>
    </xf>
    <xf numFmtId="0" fontId="0" fillId="5" borderId="9" xfId="0" applyFill="1" applyBorder="1" applyAlignment="1">
      <alignment horizontal="center" vertical="center" wrapText="1"/>
    </xf>
    <xf numFmtId="0" fontId="25" fillId="0" borderId="0" xfId="7" applyFont="1" applyFill="1" applyAlignment="1">
      <alignment vertical="center"/>
    </xf>
    <xf numFmtId="0" fontId="1" fillId="0" borderId="0" xfId="7" applyFill="1" applyAlignment="1">
      <alignment vertical="center"/>
    </xf>
    <xf numFmtId="0" fontId="1" fillId="0" borderId="9" xfId="7" applyFill="1" applyBorder="1" applyAlignment="1">
      <alignment vertical="center"/>
    </xf>
    <xf numFmtId="0" fontId="5" fillId="5" borderId="0" xfId="0" applyFont="1" applyFill="1"/>
    <xf numFmtId="0" fontId="25" fillId="13" borderId="19" xfId="0" applyFont="1" applyFill="1" applyBorder="1" applyAlignment="1">
      <alignment horizontal="center" vertical="center" wrapText="1"/>
    </xf>
    <xf numFmtId="0" fontId="25" fillId="0" borderId="9" xfId="7" applyFont="1" applyBorder="1" applyAlignment="1">
      <alignment horizontal="left"/>
    </xf>
    <xf numFmtId="9" fontId="25" fillId="0" borderId="9" xfId="3" applyFont="1" applyBorder="1" applyAlignment="1">
      <alignment horizontal="left"/>
    </xf>
    <xf numFmtId="0" fontId="25" fillId="0" borderId="9" xfId="7" applyFont="1" applyBorder="1" applyAlignment="1">
      <alignment horizontal="center"/>
    </xf>
    <xf numFmtId="0" fontId="25" fillId="0" borderId="9" xfId="7" applyFont="1" applyBorder="1"/>
    <xf numFmtId="165" fontId="53" fillId="0" borderId="9" xfId="9" applyNumberFormat="1" applyFont="1" applyBorder="1" applyAlignment="1">
      <alignment horizontal="left" vertical="center"/>
    </xf>
    <xf numFmtId="9" fontId="1" fillId="0" borderId="9" xfId="3" applyBorder="1" applyAlignment="1">
      <alignment horizontal="left"/>
    </xf>
    <xf numFmtId="0" fontId="1" fillId="0" borderId="9" xfId="7" applyBorder="1" applyAlignment="1">
      <alignment horizontal="center"/>
    </xf>
    <xf numFmtId="165" fontId="53" fillId="13" borderId="9" xfId="9" applyNumberFormat="1" applyFont="1" applyFill="1" applyBorder="1" applyAlignment="1">
      <alignment horizontal="left" vertical="center"/>
    </xf>
    <xf numFmtId="9" fontId="1" fillId="13" borderId="0" xfId="3" applyFill="1" applyBorder="1" applyAlignment="1">
      <alignment horizontal="left"/>
    </xf>
    <xf numFmtId="0" fontId="1" fillId="13" borderId="0" xfId="7" applyFill="1" applyBorder="1"/>
    <xf numFmtId="0" fontId="1" fillId="0" borderId="0" xfId="7" applyBorder="1" applyAlignment="1">
      <alignment horizontal="center"/>
    </xf>
    <xf numFmtId="0" fontId="25" fillId="0" borderId="9" xfId="7" applyFont="1" applyFill="1" applyBorder="1"/>
    <xf numFmtId="179" fontId="1" fillId="0" borderId="9" xfId="1" applyNumberFormat="1" applyBorder="1" applyAlignment="1">
      <alignment horizontal="left"/>
    </xf>
    <xf numFmtId="171" fontId="25" fillId="0" borderId="9" xfId="14" applyNumberFormat="1" applyFont="1" applyFill="1" applyBorder="1" applyAlignment="1">
      <alignment horizontal="center"/>
    </xf>
    <xf numFmtId="171" fontId="1" fillId="0" borderId="9" xfId="2" applyNumberFormat="1" applyBorder="1" applyAlignment="1">
      <alignment horizontal="left"/>
    </xf>
    <xf numFmtId="0" fontId="25" fillId="0" borderId="0" xfId="0" applyFont="1" applyFill="1" applyBorder="1" applyAlignment="1"/>
    <xf numFmtId="0" fontId="25" fillId="0" borderId="0" xfId="7" applyFont="1" applyAlignment="1"/>
    <xf numFmtId="0" fontId="25" fillId="12" borderId="9" xfId="0" applyFont="1" applyFill="1" applyBorder="1" applyAlignment="1">
      <alignment horizontal="center" vertical="center"/>
    </xf>
    <xf numFmtId="4" fontId="30" fillId="0" borderId="9" xfId="9" applyNumberFormat="1" applyFont="1" applyFill="1" applyBorder="1" applyAlignment="1">
      <alignment horizontal="center"/>
    </xf>
    <xf numFmtId="0" fontId="5" fillId="5" borderId="9" xfId="0" applyFont="1" applyFill="1" applyBorder="1" applyAlignment="1">
      <alignment horizontal="center" vertical="center"/>
    </xf>
    <xf numFmtId="171" fontId="1" fillId="5" borderId="9" xfId="14" applyNumberFormat="1" applyFont="1" applyFill="1" applyBorder="1" applyAlignment="1">
      <alignment horizontal="center" vertical="center"/>
    </xf>
    <xf numFmtId="180" fontId="25" fillId="5" borderId="0" xfId="7" applyNumberFormat="1" applyFont="1" applyFill="1" applyAlignment="1">
      <alignment horizontal="center" vertical="center"/>
    </xf>
    <xf numFmtId="0" fontId="25" fillId="5" borderId="0" xfId="7" applyFont="1" applyFill="1" applyAlignment="1"/>
    <xf numFmtId="0" fontId="25" fillId="0" borderId="0" xfId="0" applyFont="1" applyAlignment="1"/>
    <xf numFmtId="179" fontId="25" fillId="0" borderId="0" xfId="10" applyNumberFormat="1" applyFont="1" applyFill="1" applyBorder="1" applyAlignment="1">
      <alignment horizontal="left" vertical="center"/>
    </xf>
    <xf numFmtId="179" fontId="25" fillId="0" borderId="0" xfId="10" applyNumberFormat="1" applyFont="1" applyFill="1" applyBorder="1" applyAlignment="1">
      <alignment horizontal="center" vertical="center"/>
    </xf>
    <xf numFmtId="0" fontId="25" fillId="0" borderId="0" xfId="14" applyFont="1" applyAlignment="1"/>
    <xf numFmtId="0" fontId="1" fillId="0" borderId="0" xfId="14" applyFill="1" applyAlignment="1">
      <alignment horizontal="center"/>
    </xf>
    <xf numFmtId="0" fontId="25" fillId="0" borderId="0" xfId="14" applyFont="1" applyBorder="1" applyAlignment="1">
      <alignment horizontal="left" vertical="center"/>
    </xf>
    <xf numFmtId="0" fontId="25" fillId="12" borderId="9" xfId="0" applyFont="1" applyFill="1" applyBorder="1" applyAlignment="1">
      <alignment horizontal="left" vertical="center"/>
    </xf>
    <xf numFmtId="167" fontId="6" fillId="13" borderId="0" xfId="0" applyNumberFormat="1" applyFont="1" applyFill="1" applyAlignment="1">
      <alignment horizontal="center"/>
    </xf>
    <xf numFmtId="165" fontId="25" fillId="0" borderId="9" xfId="7" applyNumberFormat="1" applyFont="1" applyFill="1" applyBorder="1" applyAlignment="1">
      <alignment horizontal="center" vertical="center"/>
    </xf>
    <xf numFmtId="165" fontId="5" fillId="0" borderId="9" xfId="7" applyNumberFormat="1" applyFont="1" applyFill="1" applyBorder="1" applyAlignment="1">
      <alignment horizontal="center" vertical="center"/>
    </xf>
    <xf numFmtId="165" fontId="1" fillId="0" borderId="9" xfId="7" applyNumberFormat="1" applyFont="1" applyFill="1" applyBorder="1" applyAlignment="1">
      <alignment horizontal="center" vertical="center"/>
    </xf>
    <xf numFmtId="180" fontId="25" fillId="0" borderId="9" xfId="7" applyNumberFormat="1" applyFont="1" applyFill="1" applyBorder="1" applyAlignment="1">
      <alignment horizontal="center" vertical="center"/>
    </xf>
    <xf numFmtId="180" fontId="5" fillId="0" borderId="9" xfId="7" applyNumberFormat="1" applyFont="1" applyFill="1" applyBorder="1" applyAlignment="1">
      <alignment horizontal="center" vertical="center"/>
    </xf>
    <xf numFmtId="2" fontId="5" fillId="0" borderId="9" xfId="0" applyNumberFormat="1" applyFont="1" applyFill="1" applyBorder="1" applyAlignment="1">
      <alignment horizontal="center"/>
    </xf>
    <xf numFmtId="0" fontId="25" fillId="0" borderId="0" xfId="7" applyFont="1" applyFill="1" applyAlignment="1"/>
    <xf numFmtId="9" fontId="1" fillId="0" borderId="9" xfId="3" applyFont="1" applyFill="1" applyBorder="1" applyAlignment="1">
      <alignment horizontal="center" vertical="center"/>
    </xf>
    <xf numFmtId="9" fontId="5" fillId="0" borderId="9" xfId="3" applyFont="1" applyFill="1" applyBorder="1" applyAlignment="1">
      <alignment horizontal="center" vertical="center"/>
    </xf>
    <xf numFmtId="171" fontId="25" fillId="0" borderId="9" xfId="14" applyNumberFormat="1" applyFont="1" applyFill="1" applyBorder="1" applyAlignment="1">
      <alignment horizontal="center" vertical="center"/>
    </xf>
    <xf numFmtId="165" fontId="25" fillId="0" borderId="0" xfId="7" applyNumberFormat="1" applyFont="1" applyFill="1" applyBorder="1" applyAlignment="1">
      <alignment horizontal="left" vertical="center" wrapText="1"/>
    </xf>
    <xf numFmtId="9" fontId="25" fillId="0" borderId="0" xfId="3" applyFont="1" applyFill="1" applyBorder="1" applyAlignment="1">
      <alignment horizontal="left" vertical="center"/>
    </xf>
    <xf numFmtId="9" fontId="25" fillId="0" borderId="0" xfId="3" applyFont="1" applyFill="1" applyBorder="1" applyAlignment="1">
      <alignment horizontal="left" vertical="center" wrapText="1"/>
    </xf>
    <xf numFmtId="0" fontId="5" fillId="0" borderId="9" xfId="0" applyFont="1" applyBorder="1" applyAlignment="1">
      <alignment horizontal="center" vertical="center"/>
    </xf>
    <xf numFmtId="0" fontId="25" fillId="0" borderId="9" xfId="0" applyFont="1" applyFill="1" applyBorder="1" applyAlignment="1">
      <alignment horizontal="center" vertical="center"/>
    </xf>
    <xf numFmtId="0" fontId="1" fillId="0" borderId="9" xfId="7" applyFill="1" applyBorder="1" applyAlignment="1">
      <alignment horizontal="center" vertical="center"/>
    </xf>
    <xf numFmtId="2" fontId="1" fillId="0" borderId="9" xfId="7" applyNumberFormat="1" applyFill="1" applyBorder="1" applyAlignment="1">
      <alignment horizontal="center" vertical="center"/>
    </xf>
    <xf numFmtId="0" fontId="25" fillId="0" borderId="0" xfId="14" applyFont="1" applyFill="1" applyAlignment="1">
      <alignment horizontal="center"/>
    </xf>
    <xf numFmtId="0" fontId="25" fillId="0" borderId="0" xfId="14" applyFont="1" applyFill="1" applyAlignment="1">
      <alignment horizontal="left"/>
    </xf>
    <xf numFmtId="0" fontId="25" fillId="12" borderId="19" xfId="0" applyFont="1" applyFill="1" applyBorder="1" applyAlignment="1">
      <alignment horizontal="left" vertical="center" wrapText="1"/>
    </xf>
    <xf numFmtId="0" fontId="25" fillId="12" borderId="19" xfId="0" applyFont="1" applyFill="1" applyBorder="1" applyAlignment="1">
      <alignment horizontal="left" vertical="center"/>
    </xf>
    <xf numFmtId="0" fontId="25" fillId="12" borderId="19" xfId="0" applyFont="1" applyFill="1" applyBorder="1" applyAlignment="1">
      <alignment horizontal="center" vertical="center"/>
    </xf>
    <xf numFmtId="0" fontId="25" fillId="0" borderId="4" xfId="0" applyFont="1" applyBorder="1" applyAlignment="1">
      <alignment horizontal="center" vertical="center" wrapText="1"/>
    </xf>
    <xf numFmtId="0" fontId="54" fillId="0" borderId="4" xfId="0" applyFont="1" applyBorder="1" applyAlignment="1">
      <alignment horizontal="center" vertical="center" wrapText="1"/>
    </xf>
    <xf numFmtId="0" fontId="54" fillId="0" borderId="9" xfId="0" applyFont="1" applyBorder="1" applyAlignment="1">
      <alignment horizontal="center" vertical="center" wrapText="1"/>
    </xf>
    <xf numFmtId="3" fontId="25" fillId="0" borderId="9" xfId="0" applyNumberFormat="1" applyFont="1" applyBorder="1" applyAlignment="1">
      <alignment horizontal="center" vertical="center" wrapText="1"/>
    </xf>
    <xf numFmtId="3" fontId="54" fillId="0" borderId="9" xfId="0" applyNumberFormat="1" applyFont="1" applyBorder="1" applyAlignment="1">
      <alignment horizontal="center" vertical="center" wrapText="1"/>
    </xf>
    <xf numFmtId="0" fontId="25" fillId="0" borderId="19" xfId="0" applyFont="1" applyBorder="1" applyAlignment="1">
      <alignment horizontal="center" vertical="center" wrapText="1"/>
    </xf>
    <xf numFmtId="3" fontId="25" fillId="0" borderId="19" xfId="0" applyNumberFormat="1" applyFont="1" applyBorder="1" applyAlignment="1">
      <alignment horizontal="center" vertical="center" wrapText="1"/>
    </xf>
    <xf numFmtId="3" fontId="54" fillId="0" borderId="19" xfId="0" applyNumberFormat="1" applyFont="1" applyBorder="1" applyAlignment="1">
      <alignment horizontal="center" vertical="center" wrapText="1"/>
    </xf>
    <xf numFmtId="0" fontId="55" fillId="0" borderId="4" xfId="0" applyFont="1" applyBorder="1" applyAlignment="1">
      <alignment horizontal="center" vertical="center" wrapText="1"/>
    </xf>
    <xf numFmtId="0" fontId="55" fillId="0" borderId="9" xfId="0" applyFont="1" applyBorder="1" applyAlignment="1">
      <alignment horizontal="center" vertical="center" wrapText="1"/>
    </xf>
    <xf numFmtId="3" fontId="55" fillId="0" borderId="9" xfId="0" applyNumberFormat="1" applyFont="1" applyBorder="1" applyAlignment="1">
      <alignment horizontal="center" vertical="center" wrapText="1"/>
    </xf>
    <xf numFmtId="0" fontId="25" fillId="0" borderId="14" xfId="0" applyFont="1" applyBorder="1" applyAlignment="1">
      <alignment horizontal="center" vertical="center" wrapText="1"/>
    </xf>
    <xf numFmtId="3" fontId="25" fillId="0" borderId="14" xfId="0" applyNumberFormat="1" applyFont="1" applyBorder="1" applyAlignment="1">
      <alignment horizontal="center" vertical="center" wrapText="1"/>
    </xf>
    <xf numFmtId="3" fontId="55" fillId="0" borderId="14" xfId="0" applyNumberFormat="1" applyFont="1" applyBorder="1" applyAlignment="1">
      <alignment horizontal="center" vertical="center" wrapText="1"/>
    </xf>
    <xf numFmtId="165" fontId="56" fillId="0" borderId="9" xfId="9" applyNumberFormat="1" applyFont="1" applyFill="1" applyBorder="1" applyAlignment="1">
      <alignment horizontal="left" vertical="center"/>
    </xf>
    <xf numFmtId="0" fontId="54" fillId="0" borderId="23" xfId="0" applyFont="1" applyBorder="1" applyAlignment="1">
      <alignment horizontal="left" vertical="center" wrapText="1"/>
    </xf>
    <xf numFmtId="0" fontId="54" fillId="0" borderId="23" xfId="0" applyFont="1" applyBorder="1" applyAlignment="1">
      <alignment horizontal="center" vertical="center" wrapText="1"/>
    </xf>
    <xf numFmtId="0" fontId="25" fillId="0" borderId="23" xfId="0" applyFont="1" applyFill="1" applyBorder="1" applyAlignment="1">
      <alignment horizontal="center" vertical="center" wrapText="1"/>
    </xf>
    <xf numFmtId="165" fontId="25" fillId="0" borderId="23" xfId="0" applyNumberFormat="1" applyFont="1" applyFill="1" applyBorder="1" applyAlignment="1">
      <alignment horizontal="center" vertical="center" wrapText="1"/>
    </xf>
    <xf numFmtId="0" fontId="57" fillId="0" borderId="0" xfId="0" applyFont="1" applyBorder="1" applyAlignment="1">
      <alignment horizontal="left" vertical="center" wrapText="1"/>
    </xf>
    <xf numFmtId="0" fontId="57" fillId="0" borderId="0" xfId="0" applyFont="1" applyBorder="1" applyAlignment="1">
      <alignment horizontal="center" vertical="center" wrapText="1"/>
    </xf>
    <xf numFmtId="0" fontId="1" fillId="0" borderId="0" xfId="7" applyFont="1" applyFill="1"/>
    <xf numFmtId="179" fontId="30" fillId="0" borderId="9" xfId="9" applyNumberFormat="1" applyFont="1" applyFill="1" applyBorder="1" applyAlignment="1">
      <alignment horizontal="center"/>
    </xf>
    <xf numFmtId="9" fontId="1" fillId="0" borderId="0" xfId="3" applyFont="1"/>
    <xf numFmtId="0" fontId="1" fillId="0" borderId="9" xfId="7" applyFont="1" applyFill="1" applyBorder="1"/>
    <xf numFmtId="2" fontId="1" fillId="0" borderId="9" xfId="7" applyNumberFormat="1" applyFont="1" applyFill="1" applyBorder="1" applyAlignment="1">
      <alignment horizontal="center"/>
    </xf>
    <xf numFmtId="2" fontId="5" fillId="0" borderId="9" xfId="7" applyNumberFormat="1" applyFont="1" applyFill="1" applyBorder="1" applyAlignment="1">
      <alignment horizontal="center"/>
    </xf>
    <xf numFmtId="192" fontId="45" fillId="0" borderId="0" xfId="10" applyNumberFormat="1" applyFont="1" applyFill="1" applyBorder="1" applyAlignment="1">
      <alignment horizontal="left"/>
    </xf>
    <xf numFmtId="180" fontId="45" fillId="0" borderId="0" xfId="14" applyNumberFormat="1" applyFont="1"/>
    <xf numFmtId="168" fontId="45" fillId="0" borderId="0" xfId="10" applyNumberFormat="1" applyFont="1" applyFill="1" applyBorder="1" applyAlignment="1">
      <alignment horizontal="left"/>
    </xf>
    <xf numFmtId="0" fontId="40" fillId="0" borderId="0" xfId="7" applyFont="1"/>
    <xf numFmtId="168" fontId="25" fillId="0" borderId="0" xfId="10" applyNumberFormat="1" applyFont="1" applyAlignment="1">
      <alignment horizontal="left"/>
    </xf>
    <xf numFmtId="165" fontId="5" fillId="0" borderId="9" xfId="7" applyNumberFormat="1" applyFont="1" applyFill="1" applyBorder="1" applyAlignment="1">
      <alignment horizontal="left" vertical="center" wrapText="1"/>
    </xf>
    <xf numFmtId="165" fontId="5" fillId="0" borderId="9" xfId="7" applyNumberFormat="1" applyFont="1" applyFill="1" applyBorder="1" applyAlignment="1">
      <alignment horizontal="center" vertical="center" wrapText="1"/>
    </xf>
    <xf numFmtId="2" fontId="25" fillId="0" borderId="9" xfId="7" applyNumberFormat="1" applyFont="1" applyFill="1" applyBorder="1" applyAlignment="1">
      <alignment horizontal="center" vertical="center" wrapText="1"/>
    </xf>
    <xf numFmtId="165" fontId="59" fillId="0" borderId="9" xfId="7" applyNumberFormat="1" applyFont="1" applyFill="1" applyBorder="1" applyAlignment="1">
      <alignment horizontal="center" vertical="center" wrapText="1"/>
    </xf>
    <xf numFmtId="0" fontId="25" fillId="0" borderId="0" xfId="7" applyFont="1" applyAlignment="1">
      <alignment horizontal="center" wrapText="1"/>
    </xf>
    <xf numFmtId="165" fontId="1" fillId="5" borderId="9" xfId="7" applyNumberFormat="1" applyFont="1" applyFill="1" applyBorder="1" applyAlignment="1">
      <alignment horizontal="center" vertical="center" wrapText="1"/>
    </xf>
    <xf numFmtId="0" fontId="1" fillId="5" borderId="9" xfId="7" applyFill="1" applyBorder="1"/>
    <xf numFmtId="165" fontId="1" fillId="0" borderId="14" xfId="7" applyNumberFormat="1" applyFont="1" applyFill="1" applyBorder="1" applyAlignment="1">
      <alignment horizontal="left" vertical="center" wrapText="1"/>
    </xf>
    <xf numFmtId="9" fontId="1" fillId="0" borderId="14" xfId="3" applyFont="1" applyFill="1" applyBorder="1" applyAlignment="1">
      <alignment horizontal="center" vertical="center" wrapText="1"/>
    </xf>
    <xf numFmtId="9" fontId="5" fillId="0" borderId="14" xfId="3" applyFont="1" applyFill="1" applyBorder="1" applyAlignment="1">
      <alignment horizontal="center" vertical="center" wrapText="1"/>
    </xf>
    <xf numFmtId="0" fontId="1" fillId="0" borderId="14" xfId="7" applyFill="1" applyBorder="1"/>
    <xf numFmtId="165" fontId="1" fillId="0" borderId="23" xfId="7" applyNumberFormat="1" applyFont="1" applyFill="1" applyBorder="1" applyAlignment="1">
      <alignment horizontal="left" vertical="center" wrapText="1"/>
    </xf>
    <xf numFmtId="165" fontId="1" fillId="0" borderId="23" xfId="7" applyNumberFormat="1" applyFont="1" applyFill="1" applyBorder="1" applyAlignment="1">
      <alignment horizontal="center" vertical="center"/>
    </xf>
    <xf numFmtId="168" fontId="40" fillId="0" borderId="0" xfId="10" applyNumberFormat="1" applyFont="1" applyBorder="1" applyAlignment="1">
      <alignment horizontal="left" vertical="center" wrapText="1"/>
    </xf>
    <xf numFmtId="168" fontId="40" fillId="0" borderId="0" xfId="10" applyNumberFormat="1" applyFont="1" applyBorder="1" applyAlignment="1">
      <alignment vertical="center" wrapText="1"/>
    </xf>
    <xf numFmtId="168" fontId="40" fillId="0" borderId="0" xfId="10" applyNumberFormat="1" applyFont="1" applyFill="1" applyBorder="1" applyAlignment="1">
      <alignment vertical="center" wrapText="1"/>
    </xf>
    <xf numFmtId="0" fontId="13" fillId="0" borderId="0" xfId="6" applyAlignment="1">
      <alignment horizontal="center" wrapText="1"/>
    </xf>
    <xf numFmtId="0" fontId="13" fillId="0" borderId="0" xfId="6" applyFill="1" applyAlignment="1">
      <alignment horizontal="center" wrapText="1"/>
    </xf>
    <xf numFmtId="0" fontId="30" fillId="0" borderId="40" xfId="9" applyFont="1" applyBorder="1" applyAlignment="1">
      <alignment horizontal="left"/>
    </xf>
    <xf numFmtId="0" fontId="25" fillId="0" borderId="9" xfId="9" applyFont="1" applyBorder="1" applyAlignment="1">
      <alignment horizontal="left"/>
    </xf>
    <xf numFmtId="39" fontId="0" fillId="0" borderId="9" xfId="1" applyNumberFormat="1" applyFont="1" applyBorder="1" applyAlignment="1">
      <alignment horizontal="center"/>
    </xf>
    <xf numFmtId="169" fontId="25" fillId="0" borderId="9" xfId="2" applyNumberFormat="1" applyFont="1" applyBorder="1"/>
    <xf numFmtId="0" fontId="0" fillId="5" borderId="0" xfId="0" applyFill="1"/>
    <xf numFmtId="170" fontId="0" fillId="5" borderId="9" xfId="1" applyNumberFormat="1" applyFont="1" applyFill="1" applyBorder="1" applyAlignment="1">
      <alignment horizontal="center"/>
    </xf>
    <xf numFmtId="170" fontId="25" fillId="5" borderId="9" xfId="0" applyNumberFormat="1" applyFont="1" applyFill="1" applyBorder="1" applyAlignment="1">
      <alignment horizontal="center" vertical="center" wrapText="1"/>
    </xf>
    <xf numFmtId="39" fontId="5" fillId="0" borderId="9" xfId="0" applyNumberFormat="1" applyFont="1" applyBorder="1" applyAlignment="1">
      <alignment horizontal="center"/>
    </xf>
    <xf numFmtId="7" fontId="0" fillId="0" borderId="20" xfId="0" applyNumberFormat="1" applyFont="1" applyBorder="1" applyAlignment="1">
      <alignment horizontal="center" wrapText="1"/>
    </xf>
    <xf numFmtId="44" fontId="0" fillId="0" borderId="21" xfId="2" applyFont="1" applyFill="1" applyBorder="1" applyAlignment="1">
      <alignment horizontal="center" wrapText="1"/>
    </xf>
    <xf numFmtId="0" fontId="25" fillId="0" borderId="19" xfId="9" applyFont="1" applyBorder="1" applyAlignment="1">
      <alignment horizontal="left"/>
    </xf>
    <xf numFmtId="7" fontId="0" fillId="0" borderId="22" xfId="0" applyNumberFormat="1" applyFont="1" applyBorder="1" applyAlignment="1">
      <alignment horizontal="center" wrapText="1"/>
    </xf>
    <xf numFmtId="44" fontId="0" fillId="0" borderId="24" xfId="2" applyFont="1" applyFill="1" applyBorder="1" applyAlignment="1">
      <alignment horizontal="center" wrapText="1"/>
    </xf>
    <xf numFmtId="7" fontId="0" fillId="0" borderId="25" xfId="0" applyNumberFormat="1" applyFont="1" applyBorder="1" applyAlignment="1">
      <alignment horizontal="center" wrapText="1"/>
    </xf>
    <xf numFmtId="44" fontId="0" fillId="0" borderId="26" xfId="2" applyFont="1" applyFill="1" applyBorder="1" applyAlignment="1">
      <alignment horizontal="center" wrapText="1"/>
    </xf>
    <xf numFmtId="0" fontId="25" fillId="0" borderId="0" xfId="9" applyFont="1" applyBorder="1" applyAlignment="1">
      <alignment horizontal="left"/>
    </xf>
    <xf numFmtId="44" fontId="0" fillId="0" borderId="0" xfId="2" applyFont="1" applyFill="1" applyAlignment="1">
      <alignment horizontal="center" wrapText="1"/>
    </xf>
    <xf numFmtId="0" fontId="25" fillId="0" borderId="0" xfId="9" applyFont="1" applyAlignment="1">
      <alignment horizontal="left"/>
    </xf>
    <xf numFmtId="0" fontId="25" fillId="0" borderId="0" xfId="9" applyFont="1" applyBorder="1" applyAlignment="1">
      <alignment horizontal="left" vertical="center" wrapText="1"/>
    </xf>
    <xf numFmtId="0" fontId="29" fillId="5" borderId="0" xfId="9" applyFill="1"/>
    <xf numFmtId="167" fontId="0" fillId="0" borderId="0" xfId="0" applyNumberFormat="1"/>
    <xf numFmtId="9" fontId="30" fillId="0" borderId="9" xfId="3" applyFont="1" applyFill="1" applyBorder="1" applyAlignment="1">
      <alignment horizontal="center"/>
    </xf>
    <xf numFmtId="0" fontId="31" fillId="5" borderId="0" xfId="9" applyFont="1" applyFill="1"/>
    <xf numFmtId="2" fontId="30" fillId="0" borderId="9" xfId="3" applyNumberFormat="1" applyFont="1" applyFill="1" applyBorder="1" applyAlignment="1">
      <alignment horizontal="center"/>
    </xf>
    <xf numFmtId="0" fontId="30" fillId="0" borderId="9" xfId="9" applyFont="1" applyFill="1" applyBorder="1" applyAlignment="1">
      <alignment horizontal="center" wrapText="1"/>
    </xf>
    <xf numFmtId="2" fontId="30" fillId="0" borderId="9" xfId="3" applyNumberFormat="1" applyFont="1" applyBorder="1" applyAlignment="1">
      <alignment horizontal="center"/>
    </xf>
    <xf numFmtId="1" fontId="30" fillId="0" borderId="9" xfId="3" applyNumberFormat="1" applyFont="1" applyFill="1" applyBorder="1" applyAlignment="1">
      <alignment horizontal="center"/>
    </xf>
    <xf numFmtId="0" fontId="30" fillId="0" borderId="18" xfId="9" applyFont="1" applyFill="1" applyBorder="1"/>
    <xf numFmtId="9" fontId="30" fillId="0" borderId="16" xfId="3" applyFont="1" applyFill="1" applyBorder="1" applyAlignment="1">
      <alignment horizontal="center"/>
    </xf>
    <xf numFmtId="10" fontId="31" fillId="5" borderId="9" xfId="3" applyNumberFormat="1" applyFont="1" applyFill="1" applyBorder="1" applyAlignment="1">
      <alignment horizontal="center"/>
    </xf>
    <xf numFmtId="9" fontId="31" fillId="0" borderId="9" xfId="3" applyNumberFormat="1" applyFont="1" applyBorder="1" applyAlignment="1">
      <alignment horizontal="center"/>
    </xf>
    <xf numFmtId="1" fontId="30" fillId="0" borderId="16" xfId="3" applyNumberFormat="1" applyFont="1" applyFill="1" applyBorder="1" applyAlignment="1">
      <alignment horizontal="center"/>
    </xf>
    <xf numFmtId="0" fontId="40" fillId="0" borderId="9" xfId="0" applyFont="1" applyBorder="1" applyAlignment="1">
      <alignment horizontal="center" vertical="center" wrapText="1"/>
    </xf>
    <xf numFmtId="0" fontId="40" fillId="0" borderId="23" xfId="0" applyFont="1" applyBorder="1" applyAlignment="1">
      <alignment horizontal="center" vertical="center" wrapText="1"/>
    </xf>
    <xf numFmtId="0" fontId="30" fillId="0" borderId="23" xfId="9" applyFont="1" applyFill="1" applyBorder="1" applyAlignment="1">
      <alignment horizontal="center" wrapText="1"/>
    </xf>
    <xf numFmtId="165" fontId="25" fillId="5" borderId="9" xfId="9" applyNumberFormat="1" applyFont="1" applyFill="1" applyBorder="1" applyAlignment="1">
      <alignment horizontal="center"/>
    </xf>
    <xf numFmtId="7" fontId="25" fillId="0" borderId="9" xfId="2" applyNumberFormat="1" applyFont="1" applyFill="1" applyBorder="1" applyAlignment="1">
      <alignment horizontal="center"/>
    </xf>
    <xf numFmtId="7" fontId="25" fillId="5" borderId="9" xfId="2" applyNumberFormat="1" applyFont="1" applyFill="1" applyBorder="1" applyAlignment="1">
      <alignment horizontal="center"/>
    </xf>
    <xf numFmtId="44" fontId="25" fillId="5" borderId="9" xfId="2" applyFont="1" applyFill="1" applyBorder="1" applyAlignment="1">
      <alignment horizontal="center"/>
    </xf>
    <xf numFmtId="7" fontId="30" fillId="0" borderId="9" xfId="2" applyNumberFormat="1" applyFont="1" applyFill="1" applyBorder="1" applyAlignment="1">
      <alignment horizontal="center"/>
    </xf>
    <xf numFmtId="44" fontId="30" fillId="5" borderId="9" xfId="2" applyFont="1" applyFill="1" applyBorder="1" applyAlignment="1">
      <alignment horizontal="center"/>
    </xf>
    <xf numFmtId="0" fontId="0" fillId="0" borderId="0" xfId="0" applyFont="1" applyAlignment="1"/>
    <xf numFmtId="0" fontId="25" fillId="0" borderId="9" xfId="0" applyFont="1" applyBorder="1" applyAlignment="1">
      <alignment horizontal="left" vertical="center"/>
    </xf>
    <xf numFmtId="2" fontId="25" fillId="5" borderId="9" xfId="0" applyNumberFormat="1" applyFont="1" applyFill="1" applyBorder="1" applyAlignment="1">
      <alignment horizontal="center" vertical="center"/>
    </xf>
    <xf numFmtId="182" fontId="25" fillId="0" borderId="9" xfId="1" applyNumberFormat="1" applyFont="1" applyFill="1" applyBorder="1" applyAlignment="1">
      <alignment horizontal="center"/>
    </xf>
    <xf numFmtId="169" fontId="25" fillId="0" borderId="9" xfId="0" applyNumberFormat="1" applyFont="1" applyFill="1" applyBorder="1" applyAlignment="1">
      <alignment horizontal="center" vertical="center"/>
    </xf>
    <xf numFmtId="0" fontId="25" fillId="0" borderId="9" xfId="9" applyFont="1" applyFill="1" applyBorder="1" applyAlignment="1">
      <alignment horizontal="center"/>
    </xf>
    <xf numFmtId="0" fontId="30" fillId="0" borderId="0" xfId="9" applyFont="1" applyAlignment="1"/>
    <xf numFmtId="165" fontId="0" fillId="0" borderId="9" xfId="0" applyNumberFormat="1" applyBorder="1" applyAlignment="1">
      <alignment horizontal="center" vertical="center"/>
    </xf>
    <xf numFmtId="2" fontId="5" fillId="5" borderId="9" xfId="0" applyNumberFormat="1" applyFont="1" applyFill="1" applyBorder="1" applyAlignment="1">
      <alignment horizontal="center" vertical="center"/>
    </xf>
    <xf numFmtId="0" fontId="0" fillId="0" borderId="0" xfId="0" applyFont="1" applyAlignment="1">
      <alignment horizontal="center"/>
    </xf>
    <xf numFmtId="0" fontId="0" fillId="0" borderId="0" xfId="0" applyAlignment="1">
      <alignment wrapText="1"/>
    </xf>
    <xf numFmtId="0" fontId="25" fillId="5" borderId="0" xfId="0" applyFont="1" applyFill="1" applyBorder="1" applyAlignment="1">
      <alignment horizontal="center" vertical="center"/>
    </xf>
    <xf numFmtId="0" fontId="0" fillId="0" borderId="9" xfId="0" applyFont="1" applyFill="1" applyBorder="1" applyAlignment="1">
      <alignment horizontal="left" vertical="center"/>
    </xf>
    <xf numFmtId="39" fontId="25" fillId="0" borderId="9" xfId="0" applyNumberFormat="1" applyFont="1" applyBorder="1" applyAlignment="1">
      <alignment horizontal="center" vertical="center"/>
    </xf>
    <xf numFmtId="39" fontId="0" fillId="0" borderId="9" xfId="0" applyNumberFormat="1" applyFont="1" applyBorder="1" applyAlignment="1">
      <alignment horizontal="center" vertical="center"/>
    </xf>
    <xf numFmtId="39" fontId="5" fillId="0" borderId="9" xfId="0" applyNumberFormat="1" applyFont="1" applyBorder="1" applyAlignment="1">
      <alignment horizontal="center" vertical="center"/>
    </xf>
    <xf numFmtId="0" fontId="0" fillId="0" borderId="9" xfId="0" applyFont="1" applyFill="1" applyBorder="1" applyAlignment="1">
      <alignment horizontal="left" vertical="center" wrapText="1"/>
    </xf>
    <xf numFmtId="165" fontId="0" fillId="0" borderId="9" xfId="0" applyNumberFormat="1" applyFont="1" applyBorder="1" applyAlignment="1">
      <alignment horizontal="center" vertical="center"/>
    </xf>
    <xf numFmtId="39" fontId="25" fillId="5" borderId="9" xfId="0" applyNumberFormat="1" applyFont="1" applyFill="1" applyBorder="1" applyAlignment="1">
      <alignment horizontal="center" vertical="center"/>
    </xf>
    <xf numFmtId="0" fontId="25" fillId="0" borderId="9" xfId="0" applyFont="1" applyFill="1" applyBorder="1" applyAlignment="1">
      <alignment horizontal="left" vertical="center"/>
    </xf>
    <xf numFmtId="178" fontId="25" fillId="0" borderId="9" xfId="0" applyNumberFormat="1" applyFont="1" applyBorder="1" applyAlignment="1">
      <alignment horizontal="center" vertical="center"/>
    </xf>
    <xf numFmtId="0" fontId="0" fillId="0" borderId="9" xfId="0" applyFont="1" applyBorder="1" applyAlignment="1">
      <alignment horizontal="left" vertical="center"/>
    </xf>
    <xf numFmtId="178" fontId="0" fillId="0" borderId="9" xfId="0" applyNumberFormat="1" applyFont="1" applyBorder="1" applyAlignment="1">
      <alignment horizontal="center" vertical="center"/>
    </xf>
    <xf numFmtId="0" fontId="25" fillId="0" borderId="9" xfId="0" applyFont="1" applyBorder="1" applyAlignment="1">
      <alignment horizontal="center" vertical="center"/>
    </xf>
    <xf numFmtId="0" fontId="0" fillId="0" borderId="9" xfId="0" applyFont="1" applyBorder="1" applyAlignment="1">
      <alignment horizontal="center" vertical="center"/>
    </xf>
    <xf numFmtId="3" fontId="25" fillId="0" borderId="9" xfId="0" applyNumberFormat="1" applyFont="1" applyFill="1" applyBorder="1" applyAlignment="1">
      <alignment horizontal="left" vertical="center"/>
    </xf>
    <xf numFmtId="3" fontId="25" fillId="0" borderId="9" xfId="0" applyNumberFormat="1" applyFont="1" applyBorder="1" applyAlignment="1">
      <alignment horizontal="center" vertical="center"/>
    </xf>
    <xf numFmtId="3" fontId="0" fillId="0" borderId="9" xfId="0" applyNumberFormat="1" applyFont="1" applyBorder="1" applyAlignment="1">
      <alignment horizontal="left" vertical="center"/>
    </xf>
    <xf numFmtId="3" fontId="0" fillId="0" borderId="9" xfId="0" applyNumberFormat="1" applyFont="1" applyBorder="1" applyAlignment="1">
      <alignment horizontal="center" vertical="center"/>
    </xf>
    <xf numFmtId="0" fontId="0" fillId="0" borderId="9" xfId="0" applyFont="1" applyFill="1" applyBorder="1" applyAlignment="1">
      <alignment horizontal="center" vertical="center"/>
    </xf>
    <xf numFmtId="0" fontId="5" fillId="0" borderId="9" xfId="0" applyFont="1" applyFill="1" applyBorder="1" applyAlignment="1">
      <alignment horizontal="center" vertical="center"/>
    </xf>
    <xf numFmtId="9" fontId="25" fillId="0" borderId="9" xfId="0" applyNumberFormat="1" applyFont="1" applyFill="1" applyBorder="1" applyAlignment="1">
      <alignment horizontal="center" vertical="center"/>
    </xf>
    <xf numFmtId="9" fontId="25" fillId="0" borderId="16" xfId="0" applyNumberFormat="1" applyFont="1" applyFill="1" applyBorder="1" applyAlignment="1">
      <alignment horizontal="center" vertical="center"/>
    </xf>
    <xf numFmtId="9" fontId="0" fillId="0" borderId="9" xfId="0" applyNumberFormat="1" applyFont="1" applyFill="1" applyBorder="1" applyAlignment="1">
      <alignment horizontal="center" vertical="center"/>
    </xf>
    <xf numFmtId="9" fontId="5" fillId="0" borderId="9" xfId="0" applyNumberFormat="1" applyFont="1" applyFill="1" applyBorder="1" applyAlignment="1">
      <alignment horizontal="center" vertical="center"/>
    </xf>
    <xf numFmtId="9" fontId="25" fillId="0" borderId="9" xfId="3" applyFont="1" applyFill="1" applyBorder="1" applyAlignment="1">
      <alignment horizontal="center"/>
    </xf>
    <xf numFmtId="9" fontId="25" fillId="0" borderId="16" xfId="3" applyFont="1" applyFill="1" applyBorder="1" applyAlignment="1">
      <alignment horizontal="center"/>
    </xf>
    <xf numFmtId="9" fontId="5" fillId="0" borderId="9" xfId="3" applyFont="1" applyFill="1" applyBorder="1" applyAlignment="1">
      <alignment horizontal="center"/>
    </xf>
    <xf numFmtId="9" fontId="0" fillId="0" borderId="9" xfId="3" applyFont="1" applyBorder="1" applyAlignment="1">
      <alignment horizontal="center"/>
    </xf>
    <xf numFmtId="0" fontId="25" fillId="0" borderId="0" xfId="0" applyFont="1" applyFill="1" applyBorder="1" applyAlignment="1">
      <alignment horizontal="left" vertical="center"/>
    </xf>
    <xf numFmtId="0" fontId="25" fillId="0" borderId="0" xfId="0" applyFont="1" applyFill="1" applyBorder="1" applyAlignment="1">
      <alignment horizontal="center" wrapText="1"/>
    </xf>
    <xf numFmtId="0" fontId="5" fillId="0" borderId="0" xfId="0" applyFont="1" applyAlignment="1">
      <alignment wrapText="1"/>
    </xf>
    <xf numFmtId="2" fontId="0" fillId="0" borderId="9" xfId="0" applyNumberFormat="1" applyFont="1" applyFill="1" applyBorder="1" applyAlignment="1">
      <alignment horizontal="center" vertical="center" wrapText="1"/>
    </xf>
    <xf numFmtId="0" fontId="0" fillId="0" borderId="9" xfId="0" applyFont="1" applyFill="1" applyBorder="1" applyAlignment="1">
      <alignment horizontal="center" vertical="center" wrapText="1"/>
    </xf>
    <xf numFmtId="171" fontId="25" fillId="0" borderId="9" xfId="0" applyNumberFormat="1" applyFont="1" applyBorder="1" applyAlignment="1">
      <alignment horizontal="center" vertical="center" wrapText="1"/>
    </xf>
    <xf numFmtId="170" fontId="25" fillId="5" borderId="22" xfId="1" applyNumberFormat="1" applyFont="1" applyFill="1" applyBorder="1" applyAlignment="1" applyProtection="1">
      <alignment horizontal="right"/>
    </xf>
    <xf numFmtId="165" fontId="0" fillId="0" borderId="9" xfId="0" applyNumberFormat="1" applyBorder="1"/>
    <xf numFmtId="165" fontId="5" fillId="0" borderId="9" xfId="0" applyNumberFormat="1" applyFont="1" applyBorder="1"/>
    <xf numFmtId="0" fontId="40" fillId="0" borderId="0" xfId="0" applyFont="1" applyBorder="1" applyAlignment="1">
      <alignment horizontal="left" vertical="center" wrapText="1"/>
    </xf>
    <xf numFmtId="0" fontId="6" fillId="0" borderId="0" xfId="0" applyFont="1"/>
    <xf numFmtId="0" fontId="25" fillId="5" borderId="0" xfId="0" applyFont="1" applyFill="1" applyBorder="1" applyAlignment="1">
      <alignment horizontal="center" vertical="center" wrapText="1"/>
    </xf>
    <xf numFmtId="9" fontId="25" fillId="5" borderId="9" xfId="0" applyNumberFormat="1" applyFont="1" applyFill="1" applyBorder="1" applyAlignment="1">
      <alignment horizontal="center" vertical="center" wrapText="1"/>
    </xf>
    <xf numFmtId="9" fontId="0" fillId="5" borderId="9" xfId="0" applyNumberFormat="1" applyFont="1" applyFill="1" applyBorder="1" applyAlignment="1">
      <alignment horizontal="center" vertical="center" wrapText="1"/>
    </xf>
    <xf numFmtId="9" fontId="0" fillId="0" borderId="9" xfId="0" applyNumberFormat="1" applyFont="1" applyFill="1" applyBorder="1" applyAlignment="1">
      <alignment horizontal="center" vertical="center" wrapText="1"/>
    </xf>
    <xf numFmtId="9" fontId="5" fillId="5" borderId="9" xfId="0" applyNumberFormat="1" applyFont="1" applyFill="1" applyBorder="1" applyAlignment="1">
      <alignment horizontal="center" vertical="center" wrapText="1"/>
    </xf>
    <xf numFmtId="0" fontId="0" fillId="5" borderId="9" xfId="0" applyFont="1" applyFill="1" applyBorder="1" applyAlignment="1">
      <alignment horizontal="center" vertical="center" wrapText="1"/>
    </xf>
    <xf numFmtId="0" fontId="25" fillId="5" borderId="9" xfId="0" applyFont="1" applyFill="1" applyBorder="1" applyAlignment="1">
      <alignment horizontal="center" vertical="center"/>
    </xf>
    <xf numFmtId="0" fontId="0" fillId="5" borderId="9" xfId="0" applyFont="1" applyFill="1" applyBorder="1" applyAlignment="1">
      <alignment horizontal="center" vertical="center"/>
    </xf>
    <xf numFmtId="0" fontId="25" fillId="0" borderId="9" xfId="0" applyFont="1" applyFill="1" applyBorder="1" applyAlignment="1">
      <alignment horizontal="center" vertical="center" wrapText="1"/>
    </xf>
    <xf numFmtId="180" fontId="25" fillId="5" borderId="9" xfId="0" applyNumberFormat="1" applyFont="1" applyFill="1" applyBorder="1" applyAlignment="1">
      <alignment horizontal="center" vertical="center"/>
    </xf>
    <xf numFmtId="180" fontId="0" fillId="0" borderId="9" xfId="0" applyNumberFormat="1" applyFont="1" applyFill="1" applyBorder="1" applyAlignment="1">
      <alignment horizontal="center" vertical="center"/>
    </xf>
    <xf numFmtId="180" fontId="5" fillId="5" borderId="9" xfId="0" applyNumberFormat="1" applyFont="1" applyFill="1" applyBorder="1" applyAlignment="1">
      <alignment horizontal="center" vertical="center"/>
    </xf>
    <xf numFmtId="180" fontId="5" fillId="0" borderId="9" xfId="0" applyNumberFormat="1" applyFont="1" applyFill="1" applyBorder="1" applyAlignment="1">
      <alignment horizontal="center" vertical="center"/>
    </xf>
    <xf numFmtId="180" fontId="5" fillId="0" borderId="9" xfId="0" applyNumberFormat="1" applyFont="1" applyFill="1" applyBorder="1" applyAlignment="1">
      <alignment horizontal="center" vertical="center" wrapText="1"/>
    </xf>
    <xf numFmtId="0" fontId="0" fillId="0" borderId="9" xfId="0" applyFont="1" applyBorder="1" applyAlignment="1">
      <alignment horizontal="center" vertical="center" wrapText="1"/>
    </xf>
    <xf numFmtId="178" fontId="25" fillId="5" borderId="9" xfId="0" applyNumberFormat="1" applyFont="1" applyFill="1" applyBorder="1" applyAlignment="1">
      <alignment horizontal="center" vertical="center"/>
    </xf>
    <xf numFmtId="178" fontId="25" fillId="0" borderId="9" xfId="0" applyNumberFormat="1" applyFont="1" applyFill="1" applyBorder="1" applyAlignment="1">
      <alignment horizontal="center" vertical="center"/>
    </xf>
    <xf numFmtId="178" fontId="0" fillId="0" borderId="9" xfId="0" applyNumberFormat="1" applyFont="1" applyFill="1" applyBorder="1" applyAlignment="1">
      <alignment horizontal="center" vertical="center"/>
    </xf>
    <xf numFmtId="178" fontId="0" fillId="5" borderId="9" xfId="0" applyNumberFormat="1" applyFont="1" applyFill="1" applyBorder="1" applyAlignment="1">
      <alignment horizontal="center" vertical="center"/>
    </xf>
    <xf numFmtId="178" fontId="5" fillId="0" borderId="9" xfId="0" applyNumberFormat="1" applyFont="1" applyFill="1" applyBorder="1" applyAlignment="1">
      <alignment horizontal="center" vertical="center"/>
    </xf>
    <xf numFmtId="4" fontId="0" fillId="0" borderId="9" xfId="0" applyNumberFormat="1" applyFont="1" applyFill="1" applyBorder="1" applyAlignment="1">
      <alignment horizontal="center" vertical="center" wrapText="1"/>
    </xf>
    <xf numFmtId="3" fontId="25" fillId="5" borderId="9" xfId="0" applyNumberFormat="1" applyFont="1" applyFill="1" applyBorder="1" applyAlignment="1">
      <alignment horizontal="center" vertical="center" wrapText="1"/>
    </xf>
    <xf numFmtId="3" fontId="25" fillId="0" borderId="9" xfId="0" applyNumberFormat="1" applyFont="1" applyFill="1" applyBorder="1" applyAlignment="1">
      <alignment horizontal="center" vertical="center" wrapText="1"/>
    </xf>
    <xf numFmtId="3" fontId="0" fillId="0" borderId="9" xfId="0" applyNumberFormat="1" applyFont="1" applyBorder="1" applyAlignment="1">
      <alignment horizontal="center" vertical="center" wrapText="1"/>
    </xf>
    <xf numFmtId="3" fontId="0" fillId="5" borderId="9" xfId="0" applyNumberFormat="1" applyFont="1" applyFill="1" applyBorder="1" applyAlignment="1">
      <alignment horizontal="center" vertical="center" wrapText="1"/>
    </xf>
    <xf numFmtId="3" fontId="5" fillId="5" borderId="9" xfId="0" applyNumberFormat="1" applyFont="1" applyFill="1" applyBorder="1" applyAlignment="1">
      <alignment horizontal="center" vertical="center" wrapText="1"/>
    </xf>
    <xf numFmtId="191" fontId="25" fillId="5" borderId="9" xfId="0" applyNumberFormat="1" applyFont="1" applyFill="1" applyBorder="1" applyAlignment="1">
      <alignment horizontal="center" vertical="center" wrapText="1"/>
    </xf>
    <xf numFmtId="191" fontId="25" fillId="0" borderId="9" xfId="0" applyNumberFormat="1" applyFont="1" applyFill="1" applyBorder="1" applyAlignment="1">
      <alignment horizontal="center" vertical="center" wrapText="1"/>
    </xf>
    <xf numFmtId="10" fontId="0" fillId="0" borderId="9" xfId="0" applyNumberFormat="1" applyFont="1" applyFill="1" applyBorder="1" applyAlignment="1">
      <alignment horizontal="center" vertical="center" wrapText="1"/>
    </xf>
    <xf numFmtId="191" fontId="5" fillId="5" borderId="9" xfId="0" applyNumberFormat="1" applyFont="1" applyFill="1" applyBorder="1" applyAlignment="1">
      <alignment horizontal="center" vertical="center" wrapText="1"/>
    </xf>
    <xf numFmtId="10" fontId="5" fillId="0" borderId="9" xfId="0" applyNumberFormat="1" applyFont="1" applyFill="1" applyBorder="1" applyAlignment="1">
      <alignment horizontal="center" vertical="center" wrapText="1"/>
    </xf>
    <xf numFmtId="191" fontId="0" fillId="0" borderId="9" xfId="0" applyNumberFormat="1" applyFont="1" applyFill="1" applyBorder="1" applyAlignment="1">
      <alignment horizontal="center" vertical="center" wrapText="1"/>
    </xf>
    <xf numFmtId="191" fontId="0" fillId="5" borderId="9" xfId="0" applyNumberFormat="1" applyFont="1" applyFill="1" applyBorder="1" applyAlignment="1">
      <alignment horizontal="center" vertical="center" wrapText="1"/>
    </xf>
    <xf numFmtId="0" fontId="25" fillId="0" borderId="0" xfId="0" applyFont="1" applyFill="1" applyAlignment="1">
      <alignment horizontal="left"/>
    </xf>
    <xf numFmtId="0" fontId="25" fillId="5" borderId="0" xfId="0" applyFont="1" applyFill="1" applyBorder="1"/>
    <xf numFmtId="165" fontId="0" fillId="0" borderId="9" xfId="0" applyNumberFormat="1" applyFont="1" applyFill="1" applyBorder="1" applyAlignment="1">
      <alignment horizontal="center" vertical="center" wrapText="1"/>
    </xf>
    <xf numFmtId="171" fontId="25" fillId="0" borderId="9" xfId="0" applyNumberFormat="1" applyFont="1" applyFill="1" applyBorder="1" applyAlignment="1">
      <alignment horizontal="center" vertical="center" wrapText="1"/>
    </xf>
    <xf numFmtId="39" fontId="25" fillId="5" borderId="0" xfId="1" applyNumberFormat="1" applyFont="1" applyFill="1" applyBorder="1" applyAlignment="1" applyProtection="1">
      <alignment horizontal="right"/>
    </xf>
    <xf numFmtId="10" fontId="25" fillId="5" borderId="9" xfId="0" applyNumberFormat="1" applyFont="1" applyFill="1" applyBorder="1" applyAlignment="1">
      <alignment horizontal="center" vertical="center" wrapText="1"/>
    </xf>
    <xf numFmtId="10" fontId="5" fillId="5" borderId="9" xfId="0" applyNumberFormat="1" applyFont="1" applyFill="1" applyBorder="1" applyAlignment="1">
      <alignment horizontal="center" vertical="center" wrapText="1"/>
    </xf>
    <xf numFmtId="172" fontId="5" fillId="0" borderId="9" xfId="0" applyNumberFormat="1" applyFont="1" applyFill="1" applyBorder="1" applyAlignment="1">
      <alignment horizontal="center" vertical="center" wrapText="1"/>
    </xf>
    <xf numFmtId="2" fontId="0" fillId="0" borderId="9" xfId="0" applyNumberFormat="1" applyFont="1" applyFill="1" applyBorder="1" applyAlignment="1">
      <alignment horizontal="center" vertical="center"/>
    </xf>
    <xf numFmtId="2" fontId="5" fillId="0" borderId="9" xfId="0" applyNumberFormat="1" applyFont="1" applyFill="1" applyBorder="1" applyAlignment="1">
      <alignment horizontal="center" vertical="center"/>
    </xf>
    <xf numFmtId="180" fontId="25" fillId="0" borderId="9" xfId="0" applyNumberFormat="1" applyFont="1" applyFill="1" applyBorder="1" applyAlignment="1">
      <alignment horizontal="center" vertical="center" wrapText="1"/>
    </xf>
    <xf numFmtId="2" fontId="5" fillId="0" borderId="9" xfId="0" applyNumberFormat="1" applyFont="1" applyFill="1" applyBorder="1" applyAlignment="1">
      <alignment horizontal="center" vertical="center" wrapText="1"/>
    </xf>
    <xf numFmtId="2" fontId="0" fillId="5" borderId="9" xfId="0" applyNumberFormat="1" applyFont="1" applyFill="1" applyBorder="1" applyAlignment="1">
      <alignment horizontal="center" vertical="center"/>
    </xf>
    <xf numFmtId="3" fontId="0" fillId="0" borderId="9" xfId="0" applyNumberFormat="1" applyFont="1" applyFill="1" applyBorder="1" applyAlignment="1">
      <alignment horizontal="center" vertical="center" wrapText="1"/>
    </xf>
    <xf numFmtId="0" fontId="25" fillId="0" borderId="0" xfId="0" applyFont="1" applyBorder="1" applyAlignment="1">
      <alignment horizontal="left"/>
    </xf>
    <xf numFmtId="2" fontId="25" fillId="0" borderId="9" xfId="0" applyNumberFormat="1" applyFont="1" applyFill="1" applyBorder="1" applyAlignment="1">
      <alignment horizontal="center" vertical="center" wrapText="1"/>
    </xf>
    <xf numFmtId="7" fontId="25" fillId="5" borderId="9" xfId="2" applyNumberFormat="1" applyFont="1" applyFill="1" applyBorder="1" applyAlignment="1">
      <alignment horizontal="center" vertical="center" wrapText="1"/>
    </xf>
    <xf numFmtId="170" fontId="25" fillId="5" borderId="0" xfId="1" applyNumberFormat="1" applyFont="1" applyFill="1" applyBorder="1" applyAlignment="1" applyProtection="1">
      <alignment horizontal="right"/>
    </xf>
    <xf numFmtId="165" fontId="5" fillId="5" borderId="9" xfId="0" applyNumberFormat="1" applyFont="1" applyFill="1" applyBorder="1" applyAlignment="1">
      <alignment horizontal="center" vertical="center" wrapText="1"/>
    </xf>
    <xf numFmtId="7" fontId="5" fillId="5" borderId="9" xfId="2" applyNumberFormat="1" applyFont="1" applyFill="1" applyBorder="1" applyAlignment="1">
      <alignment horizontal="center" vertical="center" wrapText="1"/>
    </xf>
    <xf numFmtId="0" fontId="56" fillId="0" borderId="0" xfId="0" applyFont="1" applyFill="1" applyAlignment="1">
      <alignment horizontal="left"/>
    </xf>
    <xf numFmtId="0" fontId="25" fillId="5" borderId="0" xfId="0" applyFont="1" applyFill="1" applyBorder="1" applyAlignment="1">
      <alignment wrapText="1"/>
    </xf>
    <xf numFmtId="9" fontId="25" fillId="5" borderId="16" xfId="0" applyNumberFormat="1" applyFont="1" applyFill="1" applyBorder="1" applyAlignment="1">
      <alignment horizontal="center" vertical="center" wrapText="1"/>
    </xf>
    <xf numFmtId="9" fontId="25" fillId="5" borderId="0" xfId="0" applyNumberFormat="1" applyFont="1" applyFill="1" applyBorder="1" applyAlignment="1">
      <alignment horizontal="center" vertical="center" wrapText="1"/>
    </xf>
    <xf numFmtId="9" fontId="5" fillId="0" borderId="9" xfId="0" applyNumberFormat="1" applyFont="1" applyFill="1" applyBorder="1" applyAlignment="1">
      <alignment horizontal="center" vertical="center" wrapText="1"/>
    </xf>
    <xf numFmtId="0" fontId="25" fillId="5" borderId="1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5" fillId="0" borderId="9" xfId="0" applyFont="1" applyBorder="1" applyAlignment="1">
      <alignment horizontal="center" wrapText="1"/>
    </xf>
    <xf numFmtId="0" fontId="25" fillId="0" borderId="9" xfId="0" applyFont="1" applyBorder="1" applyAlignment="1">
      <alignment wrapText="1"/>
    </xf>
    <xf numFmtId="180" fontId="25" fillId="0" borderId="9" xfId="0" applyNumberFormat="1" applyFont="1" applyBorder="1" applyAlignment="1">
      <alignment horizontal="center" wrapText="1"/>
    </xf>
    <xf numFmtId="165" fontId="25" fillId="5" borderId="0" xfId="0" applyNumberFormat="1" applyFont="1" applyFill="1" applyBorder="1" applyAlignment="1">
      <alignment horizontal="center" vertical="center" wrapText="1"/>
    </xf>
    <xf numFmtId="4" fontId="5" fillId="0" borderId="9" xfId="0" applyNumberFormat="1" applyFont="1" applyFill="1" applyBorder="1" applyAlignment="1">
      <alignment horizontal="center" vertical="center" wrapText="1"/>
    </xf>
    <xf numFmtId="0" fontId="0" fillId="0" borderId="9" xfId="0" applyBorder="1" applyAlignment="1">
      <alignment horizontal="center" wrapText="1"/>
    </xf>
    <xf numFmtId="179" fontId="25" fillId="0" borderId="9" xfId="0" applyNumberFormat="1" applyFont="1" applyFill="1" applyBorder="1" applyAlignment="1">
      <alignment horizontal="center" vertical="center" wrapText="1"/>
    </xf>
    <xf numFmtId="3" fontId="25" fillId="5" borderId="0" xfId="0" applyNumberFormat="1" applyFont="1" applyFill="1" applyBorder="1" applyAlignment="1">
      <alignment horizontal="center" vertical="center" wrapText="1"/>
    </xf>
    <xf numFmtId="3" fontId="5" fillId="0" borderId="9" xfId="0" applyNumberFormat="1" applyFont="1" applyFill="1" applyBorder="1" applyAlignment="1">
      <alignment horizontal="center" vertical="center" wrapText="1"/>
    </xf>
    <xf numFmtId="3" fontId="5" fillId="0" borderId="9" xfId="0" applyNumberFormat="1" applyFont="1" applyBorder="1" applyAlignment="1">
      <alignment horizontal="center" vertical="center" wrapText="1"/>
    </xf>
    <xf numFmtId="191" fontId="25" fillId="0" borderId="9" xfId="3" applyNumberFormat="1" applyFont="1" applyBorder="1" applyAlignment="1">
      <alignment horizontal="center" wrapText="1"/>
    </xf>
    <xf numFmtId="9" fontId="25" fillId="0" borderId="18" xfId="0" applyNumberFormat="1" applyFont="1" applyFill="1" applyBorder="1" applyAlignment="1">
      <alignment horizontal="center" vertical="center" wrapText="1"/>
    </xf>
    <xf numFmtId="191" fontId="5" fillId="0" borderId="9" xfId="3" applyNumberFormat="1" applyFont="1" applyBorder="1" applyAlignment="1">
      <alignment horizontal="center" wrapText="1"/>
    </xf>
    <xf numFmtId="191" fontId="5" fillId="0" borderId="9" xfId="0" applyNumberFormat="1" applyFont="1" applyFill="1" applyBorder="1" applyAlignment="1">
      <alignment horizontal="center" vertical="center" wrapText="1"/>
    </xf>
    <xf numFmtId="172" fontId="25" fillId="0" borderId="9" xfId="3" applyNumberFormat="1" applyFont="1" applyBorder="1" applyAlignment="1">
      <alignment horizontal="center" wrapText="1"/>
    </xf>
    <xf numFmtId="165" fontId="5" fillId="5" borderId="9" xfId="9" applyNumberFormat="1" applyFont="1" applyFill="1" applyBorder="1" applyAlignment="1">
      <alignment horizontal="center"/>
    </xf>
    <xf numFmtId="7" fontId="5" fillId="0" borderId="9" xfId="2" applyNumberFormat="1" applyFont="1" applyFill="1" applyBorder="1" applyAlignment="1">
      <alignment horizontal="center"/>
    </xf>
    <xf numFmtId="44" fontId="5" fillId="5" borderId="9" xfId="2" applyFont="1" applyFill="1" applyBorder="1" applyAlignment="1">
      <alignment horizontal="center"/>
    </xf>
    <xf numFmtId="171" fontId="25" fillId="5" borderId="9" xfId="0" applyNumberFormat="1" applyFont="1" applyFill="1" applyBorder="1" applyAlignment="1">
      <alignment horizontal="center" vertical="center" wrapText="1"/>
    </xf>
    <xf numFmtId="165" fontId="5" fillId="5" borderId="9" xfId="0" applyNumberFormat="1" applyFont="1" applyFill="1" applyBorder="1" applyAlignment="1">
      <alignment horizontal="center"/>
    </xf>
    <xf numFmtId="2" fontId="5" fillId="5" borderId="9" xfId="0" applyNumberFormat="1" applyFont="1" applyFill="1" applyBorder="1" applyAlignment="1">
      <alignment horizontal="center"/>
    </xf>
    <xf numFmtId="0" fontId="0" fillId="0" borderId="9" xfId="0" applyBorder="1" applyAlignment="1">
      <alignment horizontal="center"/>
    </xf>
    <xf numFmtId="0" fontId="45" fillId="13" borderId="0" xfId="0" applyFont="1" applyFill="1"/>
    <xf numFmtId="167" fontId="45" fillId="13" borderId="0" xfId="0" applyNumberFormat="1" applyFont="1" applyFill="1"/>
    <xf numFmtId="0" fontId="25" fillId="13" borderId="0" xfId="0" applyFont="1" applyFill="1"/>
    <xf numFmtId="0" fontId="25" fillId="5" borderId="9" xfId="0" applyFont="1" applyFill="1" applyBorder="1" applyAlignment="1">
      <alignment horizontal="left" vertical="center"/>
    </xf>
    <xf numFmtId="180" fontId="25" fillId="5" borderId="9" xfId="0" applyNumberFormat="1" applyFont="1" applyFill="1" applyBorder="1" applyAlignment="1">
      <alignment horizontal="center"/>
    </xf>
    <xf numFmtId="0" fontId="0" fillId="5" borderId="9" xfId="0" applyFont="1" applyFill="1" applyBorder="1" applyAlignment="1">
      <alignment horizontal="left" vertical="center"/>
    </xf>
    <xf numFmtId="180" fontId="0" fillId="5" borderId="9" xfId="0" applyNumberFormat="1" applyFill="1" applyBorder="1" applyAlignment="1">
      <alignment horizontal="center"/>
    </xf>
    <xf numFmtId="2" fontId="0" fillId="5" borderId="9" xfId="0" applyNumberFormat="1" applyFill="1" applyBorder="1" applyAlignment="1">
      <alignment horizontal="center"/>
    </xf>
    <xf numFmtId="2" fontId="61" fillId="5" borderId="9" xfId="0" applyNumberFormat="1" applyFont="1" applyFill="1" applyBorder="1" applyAlignment="1">
      <alignment horizontal="center"/>
    </xf>
    <xf numFmtId="179" fontId="25" fillId="5" borderId="9" xfId="0" applyNumberFormat="1" applyFont="1" applyFill="1" applyBorder="1" applyAlignment="1">
      <alignment horizontal="center" vertical="center" wrapText="1"/>
    </xf>
    <xf numFmtId="3" fontId="0" fillId="5" borderId="9" xfId="0" applyNumberFormat="1" applyFont="1" applyFill="1" applyBorder="1" applyAlignment="1">
      <alignment horizontal="left" vertical="center"/>
    </xf>
    <xf numFmtId="0" fontId="25" fillId="0" borderId="0" xfId="0" applyFont="1" applyFill="1" applyAlignment="1">
      <alignment wrapText="1"/>
    </xf>
    <xf numFmtId="4" fontId="25" fillId="5" borderId="9" xfId="0" applyNumberFormat="1" applyFont="1" applyFill="1" applyBorder="1" applyAlignment="1">
      <alignment horizontal="center" vertical="center" wrapText="1"/>
    </xf>
    <xf numFmtId="9" fontId="62" fillId="5" borderId="9" xfId="0" applyNumberFormat="1" applyFont="1" applyFill="1" applyBorder="1" applyAlignment="1">
      <alignment horizontal="center" vertical="center" wrapText="1"/>
    </xf>
    <xf numFmtId="172" fontId="25" fillId="5" borderId="9" xfId="0" applyNumberFormat="1" applyFont="1" applyFill="1" applyBorder="1" applyAlignment="1">
      <alignment horizontal="center" vertical="center" wrapText="1"/>
    </xf>
    <xf numFmtId="39" fontId="25" fillId="5" borderId="9" xfId="1" applyNumberFormat="1" applyFont="1" applyFill="1" applyBorder="1" applyAlignment="1">
      <alignment horizontal="center" vertical="center" wrapText="1"/>
    </xf>
    <xf numFmtId="39" fontId="5" fillId="0" borderId="9" xfId="1" applyNumberFormat="1" applyFont="1" applyFill="1" applyBorder="1" applyAlignment="1">
      <alignment horizontal="center" vertical="center" wrapText="1"/>
    </xf>
    <xf numFmtId="0" fontId="25" fillId="0" borderId="0" xfId="0" applyFont="1" applyAlignment="1">
      <alignment wrapText="1"/>
    </xf>
    <xf numFmtId="39" fontId="5" fillId="5" borderId="9" xfId="1" applyNumberFormat="1" applyFont="1" applyFill="1" applyBorder="1" applyAlignment="1">
      <alignment horizontal="center" vertical="center" wrapText="1"/>
    </xf>
    <xf numFmtId="0" fontId="25" fillId="0" borderId="9" xfId="13" applyFont="1" applyFill="1" applyBorder="1" applyAlignment="1">
      <alignment horizontal="center"/>
    </xf>
    <xf numFmtId="180" fontId="0" fillId="0" borderId="9" xfId="0" applyNumberFormat="1" applyBorder="1" applyAlignment="1">
      <alignment horizontal="center"/>
    </xf>
    <xf numFmtId="2" fontId="0" fillId="0" borderId="9" xfId="0" applyNumberFormat="1" applyBorder="1" applyAlignment="1">
      <alignment horizontal="center"/>
    </xf>
    <xf numFmtId="167" fontId="6" fillId="13" borderId="0" xfId="0" applyNumberFormat="1" applyFont="1" applyFill="1" applyAlignment="1">
      <alignment horizontal="center" wrapText="1"/>
    </xf>
    <xf numFmtId="0" fontId="25" fillId="12" borderId="23" xfId="0" applyFont="1" applyFill="1" applyBorder="1" applyAlignment="1">
      <alignment horizontal="left" vertical="center" wrapText="1"/>
    </xf>
    <xf numFmtId="0" fontId="25" fillId="12" borderId="23" xfId="0" applyFont="1" applyFill="1" applyBorder="1" applyAlignment="1">
      <alignment horizontal="center" vertical="center" wrapText="1"/>
    </xf>
    <xf numFmtId="2" fontId="0" fillId="5" borderId="9" xfId="0" applyNumberFormat="1" applyFont="1" applyFill="1" applyBorder="1" applyAlignment="1">
      <alignment horizontal="center" vertical="center" wrapText="1"/>
    </xf>
    <xf numFmtId="9" fontId="0" fillId="5" borderId="9" xfId="3" applyFont="1" applyFill="1" applyBorder="1" applyAlignment="1">
      <alignment horizontal="center" vertical="center" wrapText="1"/>
    </xf>
    <xf numFmtId="0" fontId="0" fillId="0" borderId="9" xfId="0" applyFont="1" applyBorder="1" applyAlignment="1">
      <alignment horizontal="left" vertical="center" wrapText="1"/>
    </xf>
    <xf numFmtId="10" fontId="0" fillId="0" borderId="9" xfId="3" applyNumberFormat="1" applyFont="1" applyBorder="1" applyAlignment="1">
      <alignment horizontal="center"/>
    </xf>
    <xf numFmtId="10" fontId="0" fillId="0" borderId="9" xfId="3" applyNumberFormat="1" applyFont="1" applyBorder="1" applyAlignment="1">
      <alignment horizontal="center" wrapText="1"/>
    </xf>
    <xf numFmtId="10" fontId="0" fillId="5" borderId="9" xfId="3" applyNumberFormat="1" applyFont="1" applyFill="1" applyBorder="1" applyAlignment="1">
      <alignment horizontal="center" vertical="center" wrapText="1"/>
    </xf>
    <xf numFmtId="10" fontId="0" fillId="0" borderId="9" xfId="0" applyNumberFormat="1" applyFont="1" applyBorder="1"/>
    <xf numFmtId="10" fontId="0" fillId="0" borderId="9" xfId="0" applyNumberFormat="1" applyFont="1" applyBorder="1" applyAlignment="1">
      <alignment horizontal="center" wrapText="1"/>
    </xf>
    <xf numFmtId="2" fontId="13" fillId="0" borderId="0" xfId="1" applyNumberFormat="1" applyFont="1"/>
    <xf numFmtId="0" fontId="40" fillId="5" borderId="0" xfId="6" applyFont="1" applyFill="1"/>
    <xf numFmtId="44" fontId="13" fillId="0" borderId="0" xfId="6" applyNumberFormat="1" applyAlignment="1">
      <alignment horizontal="center"/>
    </xf>
    <xf numFmtId="2" fontId="13" fillId="0" borderId="0" xfId="1" applyNumberFormat="1" applyFont="1" applyFill="1"/>
    <xf numFmtId="44" fontId="13" fillId="0" borderId="0" xfId="6" applyNumberFormat="1" applyFill="1" applyAlignment="1">
      <alignment horizontal="center"/>
    </xf>
    <xf numFmtId="2" fontId="0" fillId="0" borderId="0" xfId="1" applyNumberFormat="1" applyFont="1"/>
    <xf numFmtId="0" fontId="25" fillId="5" borderId="0" xfId="0" applyFont="1" applyFill="1"/>
    <xf numFmtId="44" fontId="0" fillId="0" borderId="0" xfId="0" applyNumberFormat="1" applyAlignment="1">
      <alignment horizontal="center"/>
    </xf>
    <xf numFmtId="44" fontId="0" fillId="9" borderId="9" xfId="0" applyNumberFormat="1" applyFill="1" applyBorder="1" applyAlignment="1">
      <alignment horizontal="center" wrapText="1"/>
    </xf>
    <xf numFmtId="39" fontId="25" fillId="0" borderId="9" xfId="1" applyNumberFormat="1" applyFont="1" applyBorder="1" applyAlignment="1">
      <alignment horizontal="center"/>
    </xf>
    <xf numFmtId="193" fontId="25" fillId="0" borderId="9" xfId="2" applyNumberFormat="1" applyFont="1" applyBorder="1" applyAlignment="1">
      <alignment horizontal="center"/>
    </xf>
    <xf numFmtId="0" fontId="5" fillId="5" borderId="9" xfId="0" applyFont="1" applyFill="1" applyBorder="1"/>
    <xf numFmtId="2" fontId="63" fillId="0" borderId="9" xfId="0" applyNumberFormat="1" applyFont="1" applyBorder="1"/>
    <xf numFmtId="44" fontId="0" fillId="0" borderId="20" xfId="0" applyNumberFormat="1" applyFont="1" applyBorder="1" applyAlignment="1">
      <alignment horizontal="center"/>
    </xf>
    <xf numFmtId="44" fontId="0" fillId="0" borderId="22" xfId="0" applyNumberFormat="1" applyFont="1" applyBorder="1" applyAlignment="1">
      <alignment horizontal="center"/>
    </xf>
    <xf numFmtId="0" fontId="25" fillId="5" borderId="19" xfId="9" applyFont="1" applyFill="1" applyBorder="1" applyAlignment="1">
      <alignment horizontal="left"/>
    </xf>
    <xf numFmtId="44" fontId="0" fillId="0" borderId="25" xfId="0" applyNumberFormat="1" applyFont="1" applyBorder="1" applyAlignment="1">
      <alignment horizontal="center"/>
    </xf>
    <xf numFmtId="7" fontId="25" fillId="5" borderId="0" xfId="0" applyNumberFormat="1" applyFont="1" applyFill="1"/>
    <xf numFmtId="44" fontId="0" fillId="0" borderId="0" xfId="2" applyFont="1" applyFill="1"/>
    <xf numFmtId="0" fontId="64" fillId="5" borderId="0" xfId="0" applyFont="1" applyFill="1"/>
    <xf numFmtId="0" fontId="65" fillId="5" borderId="0" xfId="0" applyFont="1" applyFill="1"/>
    <xf numFmtId="0" fontId="65" fillId="0" borderId="0" xfId="0" applyFont="1"/>
    <xf numFmtId="0" fontId="66" fillId="5" borderId="0" xfId="0" applyFont="1" applyFill="1"/>
    <xf numFmtId="9" fontId="25" fillId="5" borderId="4" xfId="3" applyFont="1" applyFill="1" applyBorder="1" applyAlignment="1">
      <alignment horizontal="center"/>
    </xf>
    <xf numFmtId="0" fontId="25" fillId="5" borderId="4" xfId="9" applyFont="1" applyFill="1" applyBorder="1" applyAlignment="1"/>
    <xf numFmtId="0" fontId="25" fillId="5" borderId="5" xfId="9" applyFont="1" applyFill="1" applyBorder="1"/>
    <xf numFmtId="9" fontId="0" fillId="0" borderId="4" xfId="3" applyFont="1" applyFill="1" applyBorder="1" applyAlignment="1">
      <alignment horizontal="center"/>
    </xf>
    <xf numFmtId="9" fontId="5" fillId="5" borderId="4" xfId="3" applyFont="1" applyFill="1" applyBorder="1" applyAlignment="1">
      <alignment horizontal="center"/>
    </xf>
    <xf numFmtId="9" fontId="25" fillId="5" borderId="9" xfId="3" applyNumberFormat="1" applyFont="1" applyFill="1" applyBorder="1" applyAlignment="1">
      <alignment horizontal="center"/>
    </xf>
    <xf numFmtId="0" fontId="25" fillId="5" borderId="9" xfId="9" applyFont="1" applyFill="1" applyBorder="1" applyAlignment="1"/>
    <xf numFmtId="0" fontId="25" fillId="5" borderId="48" xfId="9" applyFont="1" applyFill="1" applyBorder="1"/>
    <xf numFmtId="9" fontId="5" fillId="5" borderId="9" xfId="3" applyFont="1" applyFill="1" applyBorder="1" applyAlignment="1">
      <alignment horizontal="center"/>
    </xf>
    <xf numFmtId="9" fontId="25" fillId="5" borderId="9" xfId="3" applyFont="1" applyFill="1" applyBorder="1" applyAlignment="1">
      <alignment horizontal="center"/>
    </xf>
    <xf numFmtId="0" fontId="25" fillId="5" borderId="10" xfId="9" applyFont="1" applyFill="1" applyBorder="1"/>
    <xf numFmtId="0" fontId="25" fillId="5" borderId="49" xfId="9" applyFont="1" applyFill="1" applyBorder="1"/>
    <xf numFmtId="0" fontId="25" fillId="5" borderId="14" xfId="0" applyFont="1" applyFill="1" applyBorder="1"/>
    <xf numFmtId="0" fontId="25" fillId="5" borderId="15" xfId="9" applyFont="1" applyFill="1" applyBorder="1"/>
    <xf numFmtId="9" fontId="0" fillId="0" borderId="19" xfId="3" applyFont="1" applyFill="1" applyBorder="1" applyAlignment="1">
      <alignment horizontal="center"/>
    </xf>
    <xf numFmtId="9" fontId="5" fillId="5" borderId="19" xfId="3" applyFont="1" applyFill="1" applyBorder="1" applyAlignment="1">
      <alignment horizontal="center"/>
    </xf>
    <xf numFmtId="0" fontId="25" fillId="0" borderId="5" xfId="9" applyFont="1" applyBorder="1" applyAlignment="1">
      <alignment wrapText="1"/>
    </xf>
    <xf numFmtId="1" fontId="25" fillId="0" borderId="51" xfId="3" applyNumberFormat="1" applyFont="1" applyFill="1" applyBorder="1" applyAlignment="1">
      <alignment horizontal="center"/>
    </xf>
    <xf numFmtId="1" fontId="25" fillId="5" borderId="51" xfId="3" applyNumberFormat="1" applyFont="1" applyFill="1" applyBorder="1" applyAlignment="1">
      <alignment horizontal="center"/>
    </xf>
    <xf numFmtId="9" fontId="0" fillId="0" borderId="51" xfId="3" applyFont="1" applyFill="1" applyBorder="1" applyAlignment="1">
      <alignment horizontal="center"/>
    </xf>
    <xf numFmtId="0" fontId="56" fillId="5" borderId="3" xfId="9" applyFont="1" applyFill="1" applyBorder="1" applyAlignment="1">
      <alignment horizontal="left" vertical="center" wrapText="1"/>
    </xf>
    <xf numFmtId="1" fontId="0" fillId="5" borderId="23" xfId="3" applyNumberFormat="1" applyFont="1" applyFill="1" applyBorder="1" applyAlignment="1">
      <alignment horizontal="center"/>
    </xf>
    <xf numFmtId="1" fontId="0" fillId="0" borderId="23" xfId="3" applyNumberFormat="1" applyFont="1" applyFill="1" applyBorder="1" applyAlignment="1">
      <alignment horizontal="center"/>
    </xf>
    <xf numFmtId="1" fontId="5" fillId="5" borderId="23" xfId="3" applyNumberFormat="1" applyFont="1" applyFill="1" applyBorder="1" applyAlignment="1">
      <alignment horizontal="center"/>
    </xf>
    <xf numFmtId="0" fontId="56" fillId="5" borderId="13" xfId="9" applyFont="1" applyFill="1" applyBorder="1" applyAlignment="1">
      <alignment horizontal="left" vertical="center" wrapText="1"/>
    </xf>
    <xf numFmtId="2" fontId="0" fillId="5" borderId="19" xfId="3" applyNumberFormat="1" applyFont="1" applyFill="1" applyBorder="1" applyAlignment="1">
      <alignment horizontal="center"/>
    </xf>
    <xf numFmtId="2" fontId="0" fillId="0" borderId="19" xfId="3" applyNumberFormat="1" applyFont="1" applyFill="1" applyBorder="1" applyAlignment="1">
      <alignment horizontal="center"/>
    </xf>
    <xf numFmtId="2" fontId="5" fillId="5" borderId="19" xfId="3" applyNumberFormat="1" applyFont="1" applyFill="1" applyBorder="1" applyAlignment="1">
      <alignment horizontal="center"/>
    </xf>
    <xf numFmtId="9" fontId="25" fillId="5" borderId="4" xfId="3" applyNumberFormat="1" applyFont="1" applyFill="1" applyBorder="1" applyAlignment="1">
      <alignment horizontal="center"/>
    </xf>
    <xf numFmtId="9" fontId="0" fillId="5" borderId="4" xfId="3" applyFont="1" applyFill="1" applyBorder="1" applyAlignment="1">
      <alignment horizontal="center"/>
    </xf>
    <xf numFmtId="9" fontId="0" fillId="5" borderId="9" xfId="3" applyFont="1" applyFill="1" applyBorder="1" applyAlignment="1">
      <alignment horizontal="center"/>
    </xf>
    <xf numFmtId="0" fontId="29" fillId="0" borderId="0" xfId="9" applyAlignment="1">
      <alignment horizontal="center"/>
    </xf>
    <xf numFmtId="9" fontId="0" fillId="0" borderId="14" xfId="3" applyFont="1" applyFill="1" applyBorder="1" applyAlignment="1">
      <alignment horizontal="center"/>
    </xf>
    <xf numFmtId="9" fontId="5" fillId="5" borderId="14" xfId="3" applyFont="1" applyFill="1" applyBorder="1" applyAlignment="1">
      <alignment horizontal="center"/>
    </xf>
    <xf numFmtId="9" fontId="0" fillId="5" borderId="14" xfId="3" applyFont="1" applyFill="1" applyBorder="1" applyAlignment="1">
      <alignment horizontal="center"/>
    </xf>
    <xf numFmtId="9" fontId="0" fillId="5" borderId="51" xfId="3" applyFont="1" applyFill="1" applyBorder="1" applyAlignment="1">
      <alignment horizontal="center"/>
    </xf>
    <xf numFmtId="2" fontId="0" fillId="5" borderId="23" xfId="3" applyNumberFormat="1" applyFont="1" applyFill="1" applyBorder="1" applyAlignment="1">
      <alignment horizontal="center"/>
    </xf>
    <xf numFmtId="2" fontId="0" fillId="0" borderId="23" xfId="3" applyNumberFormat="1" applyFont="1" applyBorder="1" applyAlignment="1">
      <alignment horizontal="center"/>
    </xf>
    <xf numFmtId="2" fontId="5" fillId="5" borderId="23" xfId="3" applyNumberFormat="1" applyFont="1" applyFill="1" applyBorder="1" applyAlignment="1">
      <alignment horizontal="center"/>
    </xf>
    <xf numFmtId="0" fontId="56" fillId="5" borderId="8" xfId="9" applyFont="1" applyFill="1" applyBorder="1" applyAlignment="1">
      <alignment horizontal="left" vertical="center" wrapText="1"/>
    </xf>
    <xf numFmtId="165" fontId="0" fillId="0" borderId="9" xfId="3" applyNumberFormat="1" applyFont="1" applyBorder="1" applyAlignment="1">
      <alignment horizontal="center"/>
    </xf>
    <xf numFmtId="165" fontId="5" fillId="0" borderId="9" xfId="3" applyNumberFormat="1" applyFont="1" applyBorder="1" applyAlignment="1">
      <alignment horizontal="center"/>
    </xf>
    <xf numFmtId="165" fontId="5" fillId="5" borderId="9" xfId="3" applyNumberFormat="1" applyFont="1" applyFill="1" applyBorder="1" applyAlignment="1">
      <alignment horizontal="center"/>
    </xf>
    <xf numFmtId="165" fontId="25" fillId="0" borderId="9" xfId="3" applyNumberFormat="1" applyFont="1" applyBorder="1" applyAlignment="1">
      <alignment horizontal="center"/>
    </xf>
    <xf numFmtId="2" fontId="0" fillId="0" borderId="0" xfId="1" applyNumberFormat="1" applyFont="1" applyFill="1"/>
    <xf numFmtId="44" fontId="0" fillId="0" borderId="0" xfId="0" applyNumberFormat="1" applyFill="1" applyAlignment="1">
      <alignment horizontal="center"/>
    </xf>
    <xf numFmtId="10" fontId="5" fillId="5" borderId="9" xfId="3" applyNumberFormat="1" applyFont="1" applyFill="1" applyBorder="1" applyAlignment="1">
      <alignment horizontal="center"/>
    </xf>
    <xf numFmtId="10" fontId="25" fillId="5" borderId="9" xfId="3" applyNumberFormat="1" applyFont="1" applyFill="1" applyBorder="1" applyAlignment="1">
      <alignment horizontal="center"/>
    </xf>
    <xf numFmtId="165" fontId="25" fillId="0" borderId="14" xfId="3" applyNumberFormat="1" applyFont="1" applyBorder="1" applyAlignment="1">
      <alignment horizontal="center"/>
    </xf>
    <xf numFmtId="9" fontId="0" fillId="0" borderId="4" xfId="3" applyFont="1" applyBorder="1" applyAlignment="1">
      <alignment horizontal="center"/>
    </xf>
    <xf numFmtId="0" fontId="25" fillId="5" borderId="23" xfId="9" applyFont="1" applyFill="1" applyBorder="1"/>
    <xf numFmtId="0" fontId="25" fillId="5" borderId="52" xfId="9" applyFont="1" applyFill="1" applyBorder="1"/>
    <xf numFmtId="165" fontId="25" fillId="0" borderId="23" xfId="3" applyNumberFormat="1" applyFont="1" applyBorder="1" applyAlignment="1">
      <alignment horizontal="center"/>
    </xf>
    <xf numFmtId="9" fontId="0" fillId="0" borderId="23" xfId="3" applyFont="1" applyBorder="1" applyAlignment="1">
      <alignment horizontal="center"/>
    </xf>
    <xf numFmtId="0" fontId="25" fillId="5" borderId="9" xfId="9" applyFont="1" applyFill="1" applyBorder="1"/>
    <xf numFmtId="0" fontId="25" fillId="5" borderId="53" xfId="9" applyFont="1" applyFill="1" applyBorder="1"/>
    <xf numFmtId="9" fontId="0" fillId="0" borderId="19" xfId="3" applyFont="1" applyBorder="1" applyAlignment="1">
      <alignment horizontal="center"/>
    </xf>
    <xf numFmtId="0" fontId="25" fillId="5" borderId="19" xfId="9" applyFont="1" applyFill="1" applyBorder="1"/>
    <xf numFmtId="9" fontId="0" fillId="0" borderId="14" xfId="3" applyFont="1" applyBorder="1" applyAlignment="1">
      <alignment horizontal="center"/>
    </xf>
    <xf numFmtId="0" fontId="25" fillId="5" borderId="14" xfId="9" applyFont="1" applyFill="1" applyBorder="1"/>
    <xf numFmtId="170" fontId="0" fillId="0" borderId="4" xfId="1" applyNumberFormat="1" applyFont="1" applyBorder="1" applyAlignment="1">
      <alignment horizontal="center"/>
    </xf>
    <xf numFmtId="0" fontId="25" fillId="5" borderId="54" xfId="9" applyFont="1" applyFill="1" applyBorder="1"/>
    <xf numFmtId="170" fontId="0" fillId="0" borderId="23" xfId="1" applyNumberFormat="1" applyFont="1" applyBorder="1" applyAlignment="1">
      <alignment horizontal="center"/>
    </xf>
    <xf numFmtId="170" fontId="0" fillId="0" borderId="9" xfId="1" applyNumberFormat="1" applyFont="1" applyBorder="1" applyAlignment="1">
      <alignment horizontal="center"/>
    </xf>
    <xf numFmtId="0" fontId="25" fillId="16" borderId="18" xfId="0" applyFont="1" applyFill="1" applyBorder="1" applyAlignment="1">
      <alignment horizontal="center" vertical="center" wrapText="1"/>
    </xf>
    <xf numFmtId="44" fontId="25" fillId="0" borderId="9" xfId="2" applyNumberFormat="1" applyFont="1" applyFill="1" applyBorder="1" applyAlignment="1">
      <alignment horizontal="center"/>
    </xf>
    <xf numFmtId="170" fontId="0" fillId="0" borderId="19" xfId="1" applyNumberFormat="1" applyFont="1" applyBorder="1" applyAlignment="1">
      <alignment horizontal="center"/>
    </xf>
    <xf numFmtId="44" fontId="25" fillId="0" borderId="27" xfId="2" applyFont="1" applyFill="1" applyBorder="1"/>
    <xf numFmtId="7" fontId="25" fillId="0" borderId="27" xfId="2" applyNumberFormat="1" applyFont="1" applyFill="1" applyBorder="1" applyAlignment="1">
      <alignment horizontal="center"/>
    </xf>
    <xf numFmtId="170" fontId="0" fillId="0" borderId="14" xfId="1" applyNumberFormat="1" applyFont="1" applyBorder="1" applyAlignment="1">
      <alignment horizontal="center"/>
    </xf>
    <xf numFmtId="171" fontId="0" fillId="0" borderId="4" xfId="3" applyNumberFormat="1" applyFont="1" applyBorder="1" applyAlignment="1">
      <alignment horizontal="center"/>
    </xf>
    <xf numFmtId="171" fontId="0" fillId="0" borderId="23" xfId="3" applyNumberFormat="1" applyFont="1" applyBorder="1" applyAlignment="1">
      <alignment horizontal="center"/>
    </xf>
    <xf numFmtId="8" fontId="25" fillId="0" borderId="9" xfId="2" applyNumberFormat="1" applyFont="1" applyFill="1" applyBorder="1"/>
    <xf numFmtId="171" fontId="0" fillId="0" borderId="9" xfId="3" applyNumberFormat="1" applyFont="1" applyBorder="1" applyAlignment="1">
      <alignment horizontal="center"/>
    </xf>
    <xf numFmtId="0" fontId="25" fillId="0" borderId="9" xfId="0" applyFont="1" applyFill="1" applyBorder="1"/>
    <xf numFmtId="191" fontId="25" fillId="0" borderId="9" xfId="3" applyNumberFormat="1" applyFont="1" applyFill="1" applyBorder="1"/>
    <xf numFmtId="0" fontId="25" fillId="0" borderId="16" xfId="0" applyFont="1" applyFill="1" applyBorder="1" applyAlignment="1">
      <alignment horizontal="left"/>
    </xf>
    <xf numFmtId="0" fontId="25" fillId="0" borderId="18" xfId="0" applyFont="1" applyFill="1" applyBorder="1" applyAlignment="1">
      <alignment horizontal="left"/>
    </xf>
    <xf numFmtId="171" fontId="0" fillId="0" borderId="19" xfId="3" applyNumberFormat="1" applyFont="1" applyBorder="1" applyAlignment="1">
      <alignment horizontal="center"/>
    </xf>
    <xf numFmtId="171" fontId="0" fillId="0" borderId="14" xfId="3" applyNumberFormat="1" applyFont="1" applyBorder="1" applyAlignment="1">
      <alignment horizontal="center"/>
    </xf>
    <xf numFmtId="0" fontId="0" fillId="5" borderId="0" xfId="0" applyFont="1" applyFill="1"/>
    <xf numFmtId="44" fontId="0" fillId="9" borderId="9" xfId="1" applyNumberFormat="1" applyFont="1" applyFill="1" applyBorder="1" applyAlignment="1">
      <alignment horizontal="center" wrapText="1"/>
    </xf>
    <xf numFmtId="0" fontId="25" fillId="5" borderId="19" xfId="0" applyFont="1" applyFill="1" applyBorder="1" applyAlignment="1">
      <alignment horizontal="left" vertical="center" wrapText="1"/>
    </xf>
    <xf numFmtId="37" fontId="25" fillId="0" borderId="9" xfId="0" applyNumberFormat="1" applyFont="1" applyBorder="1" applyAlignment="1">
      <alignment horizontal="center"/>
    </xf>
    <xf numFmtId="5" fontId="25" fillId="5" borderId="9" xfId="2" applyNumberFormat="1" applyFont="1" applyFill="1" applyBorder="1" applyAlignment="1">
      <alignment horizontal="center"/>
    </xf>
    <xf numFmtId="168" fontId="0" fillId="0" borderId="9" xfId="1" applyNumberFormat="1" applyFont="1" applyBorder="1"/>
    <xf numFmtId="168" fontId="5" fillId="0" borderId="9" xfId="1" applyNumberFormat="1" applyFont="1" applyBorder="1"/>
    <xf numFmtId="43" fontId="5" fillId="0" borderId="9" xfId="1" applyNumberFormat="1" applyFont="1" applyBorder="1"/>
    <xf numFmtId="43" fontId="25" fillId="0" borderId="9" xfId="1" applyNumberFormat="1" applyFont="1" applyBorder="1"/>
    <xf numFmtId="44" fontId="0" fillId="0" borderId="27" xfId="0" applyNumberFormat="1" applyFont="1" applyBorder="1" applyAlignment="1">
      <alignment horizontal="center"/>
    </xf>
    <xf numFmtId="0" fontId="25" fillId="5" borderId="23" xfId="0" applyFont="1" applyFill="1" applyBorder="1" applyAlignment="1">
      <alignment horizontal="left" vertical="center" wrapText="1"/>
    </xf>
    <xf numFmtId="39" fontId="25" fillId="5" borderId="9" xfId="1" applyNumberFormat="1" applyFont="1" applyFill="1" applyBorder="1" applyAlignment="1">
      <alignment horizontal="center"/>
    </xf>
    <xf numFmtId="44" fontId="0" fillId="0" borderId="0" xfId="0" applyNumberFormat="1" applyFont="1" applyBorder="1" applyAlignment="1">
      <alignment horizontal="center"/>
    </xf>
    <xf numFmtId="168" fontId="25" fillId="5" borderId="9" xfId="0" applyNumberFormat="1" applyFont="1" applyFill="1" applyBorder="1" applyAlignment="1">
      <alignment horizontal="left"/>
    </xf>
    <xf numFmtId="39" fontId="5" fillId="0" borderId="9" xfId="1" applyNumberFormat="1" applyFont="1" applyBorder="1" applyAlignment="1">
      <alignment horizontal="center"/>
    </xf>
    <xf numFmtId="37" fontId="25" fillId="5" borderId="9" xfId="0" applyNumberFormat="1" applyFont="1" applyFill="1" applyBorder="1" applyAlignment="1">
      <alignment horizontal="center"/>
    </xf>
    <xf numFmtId="7" fontId="0" fillId="0" borderId="0" xfId="0" applyNumberFormat="1" applyFont="1"/>
    <xf numFmtId="44" fontId="0" fillId="0" borderId="28" xfId="0" applyNumberFormat="1" applyFont="1" applyBorder="1" applyAlignment="1">
      <alignment horizontal="center"/>
    </xf>
    <xf numFmtId="44" fontId="0" fillId="0" borderId="0" xfId="0" applyNumberFormat="1" applyFont="1" applyAlignment="1">
      <alignment horizontal="center"/>
    </xf>
    <xf numFmtId="0" fontId="25" fillId="0" borderId="0" xfId="0" applyFont="1" applyFill="1" applyBorder="1" applyAlignment="1">
      <alignment horizontal="left"/>
    </xf>
    <xf numFmtId="0" fontId="5" fillId="5" borderId="4" xfId="0" applyFont="1" applyFill="1" applyBorder="1" applyAlignment="1">
      <alignment horizontal="left" vertical="top" wrapText="1"/>
    </xf>
    <xf numFmtId="0" fontId="25" fillId="5" borderId="4" xfId="0" applyFont="1" applyFill="1" applyBorder="1" applyAlignment="1">
      <alignment horizontal="left" vertical="top" wrapText="1"/>
    </xf>
    <xf numFmtId="0" fontId="25" fillId="5" borderId="4" xfId="0" applyFont="1" applyFill="1" applyBorder="1"/>
    <xf numFmtId="2" fontId="25" fillId="0" borderId="16" xfId="0" applyNumberFormat="1" applyFont="1" applyBorder="1" applyAlignment="1">
      <alignment wrapText="1"/>
    </xf>
    <xf numFmtId="7" fontId="5" fillId="5" borderId="9" xfId="2" applyNumberFormat="1" applyFont="1" applyFill="1" applyBorder="1" applyAlignment="1">
      <alignment horizontal="center"/>
    </xf>
    <xf numFmtId="7" fontId="25" fillId="0" borderId="9" xfId="2" applyNumberFormat="1" applyFont="1" applyBorder="1" applyAlignment="1">
      <alignment horizontal="center"/>
    </xf>
    <xf numFmtId="0" fontId="5" fillId="5" borderId="9" xfId="0" applyFont="1" applyFill="1" applyBorder="1" applyAlignment="1">
      <alignment horizontal="left" vertical="top" wrapText="1"/>
    </xf>
    <xf numFmtId="0" fontId="25" fillId="5" borderId="9" xfId="0" applyFont="1" applyFill="1" applyBorder="1" applyAlignment="1">
      <alignment horizontal="left" vertical="top" wrapText="1"/>
    </xf>
    <xf numFmtId="0" fontId="25" fillId="5" borderId="9" xfId="0" applyFont="1" applyFill="1" applyBorder="1"/>
    <xf numFmtId="0" fontId="25" fillId="0" borderId="0" xfId="0" applyFont="1" applyBorder="1"/>
    <xf numFmtId="2" fontId="25" fillId="0" borderId="16" xfId="0" applyNumberFormat="1" applyFont="1" applyBorder="1" applyAlignment="1">
      <alignment horizontal="left" wrapText="1"/>
    </xf>
    <xf numFmtId="44" fontId="25" fillId="0" borderId="9" xfId="2" applyNumberFormat="1" applyFont="1" applyBorder="1"/>
    <xf numFmtId="191" fontId="25" fillId="0" borderId="18" xfId="3" applyNumberFormat="1" applyFont="1" applyBorder="1"/>
    <xf numFmtId="8" fontId="25" fillId="0" borderId="16" xfId="0" applyNumberFormat="1" applyFont="1" applyBorder="1" applyAlignment="1">
      <alignment horizontal="left"/>
    </xf>
    <xf numFmtId="0" fontId="25" fillId="0" borderId="16" xfId="0" applyFont="1" applyBorder="1" applyAlignment="1">
      <alignment horizontal="left"/>
    </xf>
    <xf numFmtId="0" fontId="25" fillId="0" borderId="18" xfId="0" applyFont="1" applyBorder="1"/>
    <xf numFmtId="2" fontId="25" fillId="0" borderId="0" xfId="0" applyNumberFormat="1" applyFont="1" applyAlignment="1">
      <alignment horizontal="left"/>
    </xf>
    <xf numFmtId="0" fontId="0" fillId="0" borderId="0" xfId="0" applyFont="1" applyFill="1" applyBorder="1"/>
    <xf numFmtId="0" fontId="5" fillId="5" borderId="19" xfId="0" applyFont="1" applyFill="1" applyBorder="1" applyAlignment="1">
      <alignment horizontal="left" vertical="top" wrapText="1"/>
    </xf>
    <xf numFmtId="0" fontId="25" fillId="5" borderId="19" xfId="0" applyFont="1" applyFill="1" applyBorder="1" applyAlignment="1">
      <alignment horizontal="left" vertical="top" wrapText="1"/>
    </xf>
    <xf numFmtId="0" fontId="25" fillId="5" borderId="19" xfId="0" applyFont="1" applyFill="1" applyBorder="1"/>
    <xf numFmtId="0" fontId="5" fillId="5" borderId="30" xfId="0" applyFont="1" applyFill="1" applyBorder="1" applyAlignment="1">
      <alignment horizontal="left" vertical="top" wrapText="1"/>
    </xf>
    <xf numFmtId="0" fontId="25" fillId="5" borderId="30" xfId="0" applyFont="1" applyFill="1" applyBorder="1" applyAlignment="1">
      <alignment horizontal="left" vertical="top" wrapText="1"/>
    </xf>
    <xf numFmtId="2" fontId="25" fillId="5" borderId="4" xfId="0" applyNumberFormat="1" applyFont="1" applyFill="1" applyBorder="1" applyAlignment="1">
      <alignment horizontal="center"/>
    </xf>
    <xf numFmtId="0" fontId="25" fillId="5" borderId="23" xfId="0" applyFont="1" applyFill="1" applyBorder="1" applyAlignment="1">
      <alignment horizontal="left" vertical="top" wrapText="1"/>
    </xf>
    <xf numFmtId="0" fontId="25" fillId="5" borderId="10" xfId="0" applyFont="1" applyFill="1" applyBorder="1" applyAlignment="1">
      <alignment horizontal="left" vertical="top" wrapText="1"/>
    </xf>
    <xf numFmtId="0" fontId="25" fillId="5" borderId="10" xfId="0" applyFont="1" applyFill="1" applyBorder="1"/>
    <xf numFmtId="0" fontId="0" fillId="5" borderId="9" xfId="0" applyFont="1" applyFill="1" applyBorder="1" applyAlignment="1">
      <alignment horizontal="left" vertical="top" wrapText="1"/>
    </xf>
    <xf numFmtId="0" fontId="25" fillId="5" borderId="49" xfId="0" applyFont="1" applyFill="1" applyBorder="1"/>
    <xf numFmtId="0" fontId="25" fillId="5" borderId="56" xfId="0" applyFont="1" applyFill="1" applyBorder="1"/>
    <xf numFmtId="0" fontId="0" fillId="5" borderId="23" xfId="0" applyFont="1" applyFill="1" applyBorder="1" applyAlignment="1">
      <alignment horizontal="left" vertical="top" wrapText="1"/>
    </xf>
    <xf numFmtId="0" fontId="5" fillId="5" borderId="23" xfId="0" applyFont="1" applyFill="1" applyBorder="1" applyAlignment="1">
      <alignment horizontal="left" vertical="top" wrapText="1"/>
    </xf>
    <xf numFmtId="0" fontId="25" fillId="0" borderId="5" xfId="0" applyFont="1" applyFill="1" applyBorder="1"/>
    <xf numFmtId="0" fontId="25" fillId="0" borderId="10" xfId="0" applyFont="1" applyFill="1" applyBorder="1"/>
    <xf numFmtId="0" fontId="25" fillId="5" borderId="30" xfId="0" applyFont="1" applyFill="1" applyBorder="1"/>
    <xf numFmtId="0" fontId="25" fillId="0" borderId="25" xfId="0" applyFont="1" applyFill="1" applyBorder="1"/>
    <xf numFmtId="2" fontId="25" fillId="5" borderId="4" xfId="0" applyNumberFormat="1" applyFont="1" applyFill="1" applyBorder="1" applyAlignment="1">
      <alignment horizontal="left" vertical="top" wrapText="1"/>
    </xf>
    <xf numFmtId="2" fontId="5" fillId="5" borderId="4" xfId="0" applyNumberFormat="1" applyFont="1" applyFill="1" applyBorder="1" applyAlignment="1">
      <alignment horizontal="left" vertical="top" wrapText="1"/>
    </xf>
    <xf numFmtId="2" fontId="25" fillId="5" borderId="9" xfId="0" applyNumberFormat="1" applyFont="1" applyFill="1" applyBorder="1" applyAlignment="1">
      <alignment horizontal="left" vertical="top" wrapText="1"/>
    </xf>
    <xf numFmtId="2" fontId="5" fillId="5" borderId="9" xfId="0" applyNumberFormat="1" applyFont="1" applyFill="1" applyBorder="1" applyAlignment="1">
      <alignment horizontal="left" vertical="top" wrapText="1"/>
    </xf>
    <xf numFmtId="2" fontId="25" fillId="5" borderId="19" xfId="0" applyNumberFormat="1" applyFont="1" applyFill="1" applyBorder="1" applyAlignment="1">
      <alignment horizontal="left" vertical="top" wrapText="1"/>
    </xf>
    <xf numFmtId="0" fontId="25" fillId="5" borderId="22" xfId="0" applyFont="1" applyFill="1" applyBorder="1" applyAlignment="1">
      <alignment horizontal="left" vertical="top" wrapText="1"/>
    </xf>
    <xf numFmtId="2" fontId="25" fillId="5" borderId="30" xfId="0" applyNumberFormat="1" applyFont="1" applyFill="1" applyBorder="1" applyAlignment="1">
      <alignment horizontal="left" vertical="top" wrapText="1"/>
    </xf>
    <xf numFmtId="0" fontId="25" fillId="5" borderId="14" xfId="0" applyFont="1" applyFill="1" applyBorder="1" applyAlignment="1">
      <alignment horizontal="left" vertical="top" wrapText="1"/>
    </xf>
    <xf numFmtId="0" fontId="25" fillId="5" borderId="4" xfId="0" applyFont="1" applyFill="1" applyBorder="1" applyAlignment="1">
      <alignment horizontal="left" vertical="top"/>
    </xf>
    <xf numFmtId="9" fontId="25" fillId="5" borderId="4" xfId="0" applyNumberFormat="1" applyFont="1" applyFill="1" applyBorder="1" applyAlignment="1">
      <alignment horizontal="left" vertical="top"/>
    </xf>
    <xf numFmtId="0" fontId="25" fillId="5" borderId="4" xfId="0" applyFont="1" applyFill="1" applyBorder="1" applyAlignment="1"/>
    <xf numFmtId="0" fontId="25" fillId="5" borderId="5" xfId="0" applyFont="1" applyFill="1" applyBorder="1" applyAlignment="1"/>
    <xf numFmtId="2" fontId="0" fillId="0" borderId="0" xfId="1" applyNumberFormat="1" applyFont="1" applyAlignment="1"/>
    <xf numFmtId="0" fontId="25" fillId="5" borderId="9" xfId="0" applyFont="1" applyFill="1" applyBorder="1" applyAlignment="1">
      <alignment horizontal="left" vertical="top"/>
    </xf>
    <xf numFmtId="9" fontId="25" fillId="5" borderId="9" xfId="0" applyNumberFormat="1" applyFont="1" applyFill="1" applyBorder="1" applyAlignment="1">
      <alignment horizontal="left" vertical="top"/>
    </xf>
    <xf numFmtId="0" fontId="25" fillId="5" borderId="9" xfId="0" applyFont="1" applyFill="1" applyBorder="1" applyAlignment="1"/>
    <xf numFmtId="0" fontId="25" fillId="5" borderId="10" xfId="0" applyFont="1" applyFill="1" applyBorder="1" applyAlignment="1"/>
    <xf numFmtId="9" fontId="5" fillId="5" borderId="9" xfId="0" applyNumberFormat="1" applyFont="1" applyFill="1" applyBorder="1" applyAlignment="1">
      <alignment horizontal="left" vertical="top"/>
    </xf>
    <xf numFmtId="0" fontId="25" fillId="5" borderId="19" xfId="0" applyFont="1" applyFill="1" applyBorder="1" applyAlignment="1">
      <alignment horizontal="left" vertical="top"/>
    </xf>
    <xf numFmtId="0" fontId="25" fillId="5" borderId="19" xfId="0" applyFont="1" applyFill="1" applyBorder="1" applyAlignment="1"/>
    <xf numFmtId="0" fontId="25" fillId="5" borderId="49" xfId="0" applyFont="1" applyFill="1" applyBorder="1" applyAlignment="1"/>
    <xf numFmtId="9" fontId="25" fillId="5" borderId="19" xfId="0" applyNumberFormat="1" applyFont="1" applyFill="1" applyBorder="1" applyAlignment="1">
      <alignment horizontal="left" vertical="top"/>
    </xf>
    <xf numFmtId="0" fontId="25" fillId="5" borderId="30" xfId="0" applyFont="1" applyFill="1" applyBorder="1" applyAlignment="1">
      <alignment horizontal="left" vertical="top"/>
    </xf>
    <xf numFmtId="0" fontId="25" fillId="5" borderId="30" xfId="0" applyFont="1" applyFill="1" applyBorder="1" applyAlignment="1"/>
    <xf numFmtId="0" fontId="25" fillId="5" borderId="56" xfId="0" applyFont="1" applyFill="1" applyBorder="1" applyAlignment="1"/>
    <xf numFmtId="9" fontId="25" fillId="5" borderId="30" xfId="0" applyNumberFormat="1" applyFont="1" applyFill="1" applyBorder="1" applyAlignment="1">
      <alignment horizontal="left" vertical="top"/>
    </xf>
    <xf numFmtId="9" fontId="5" fillId="5" borderId="23" xfId="0" applyNumberFormat="1" applyFont="1" applyFill="1" applyBorder="1" applyAlignment="1">
      <alignment horizontal="left" vertical="top"/>
    </xf>
    <xf numFmtId="9" fontId="25" fillId="5" borderId="23" xfId="0" applyNumberFormat="1" applyFont="1" applyFill="1" applyBorder="1" applyAlignment="1">
      <alignment horizontal="left" vertical="top"/>
    </xf>
    <xf numFmtId="39" fontId="25" fillId="5" borderId="4" xfId="1" applyNumberFormat="1" applyFont="1" applyFill="1" applyBorder="1" applyAlignment="1">
      <alignment horizontal="left" vertical="top"/>
    </xf>
    <xf numFmtId="39" fontId="25" fillId="5" borderId="4" xfId="1" applyNumberFormat="1" applyFont="1" applyFill="1" applyBorder="1" applyAlignment="1">
      <alignment horizontal="center" vertical="top"/>
    </xf>
    <xf numFmtId="39" fontId="25" fillId="5" borderId="9" xfId="1" applyNumberFormat="1" applyFont="1" applyFill="1" applyBorder="1" applyAlignment="1">
      <alignment horizontal="left" vertical="top"/>
    </xf>
    <xf numFmtId="39" fontId="25" fillId="5" borderId="9" xfId="1" applyNumberFormat="1" applyFont="1" applyFill="1" applyBorder="1" applyAlignment="1">
      <alignment horizontal="center" vertical="top"/>
    </xf>
    <xf numFmtId="39" fontId="5" fillId="5" borderId="9" xfId="1" applyNumberFormat="1" applyFont="1" applyFill="1" applyBorder="1" applyAlignment="1">
      <alignment horizontal="center" vertical="top"/>
    </xf>
    <xf numFmtId="39" fontId="25" fillId="5" borderId="19" xfId="1" applyNumberFormat="1" applyFont="1" applyFill="1" applyBorder="1" applyAlignment="1">
      <alignment horizontal="center" vertical="top"/>
    </xf>
    <xf numFmtId="0" fontId="25" fillId="5" borderId="33" xfId="0" applyFont="1" applyFill="1" applyBorder="1" applyAlignment="1">
      <alignment horizontal="left" vertical="top"/>
    </xf>
    <xf numFmtId="0" fontId="25" fillId="5" borderId="33" xfId="0" applyFont="1" applyFill="1" applyBorder="1" applyAlignment="1"/>
    <xf numFmtId="0" fontId="25" fillId="5" borderId="57" xfId="0" applyFont="1" applyFill="1" applyBorder="1" applyAlignment="1"/>
    <xf numFmtId="39" fontId="25" fillId="5" borderId="14" xfId="1" applyNumberFormat="1" applyFont="1" applyFill="1" applyBorder="1" applyAlignment="1">
      <alignment horizontal="center" vertical="top"/>
    </xf>
    <xf numFmtId="5" fontId="25" fillId="5" borderId="23" xfId="2" applyNumberFormat="1" applyFont="1" applyFill="1" applyBorder="1" applyAlignment="1">
      <alignment horizontal="center"/>
    </xf>
    <xf numFmtId="198" fontId="5" fillId="5" borderId="23" xfId="2" applyNumberFormat="1" applyFont="1" applyFill="1" applyBorder="1" applyAlignment="1">
      <alignment horizontal="center"/>
    </xf>
    <xf numFmtId="198" fontId="25" fillId="5" borderId="9" xfId="2" applyNumberFormat="1" applyFont="1" applyFill="1" applyBorder="1" applyAlignment="1">
      <alignment horizontal="center"/>
    </xf>
    <xf numFmtId="198" fontId="5" fillId="5" borderId="9" xfId="2" applyNumberFormat="1" applyFont="1" applyFill="1" applyBorder="1" applyAlignment="1">
      <alignment horizontal="center"/>
    </xf>
    <xf numFmtId="5" fontId="25" fillId="5" borderId="19" xfId="2" applyNumberFormat="1" applyFont="1" applyFill="1" applyBorder="1" applyAlignment="1">
      <alignment horizontal="center"/>
    </xf>
    <xf numFmtId="198" fontId="25" fillId="5" borderId="19" xfId="2" applyNumberFormat="1" applyFont="1" applyFill="1" applyBorder="1" applyAlignment="1">
      <alignment horizontal="center"/>
    </xf>
    <xf numFmtId="198" fontId="5" fillId="5" borderId="19" xfId="2" applyNumberFormat="1" applyFont="1" applyFill="1" applyBorder="1" applyAlignment="1">
      <alignment horizontal="center"/>
    </xf>
    <xf numFmtId="0" fontId="25" fillId="5" borderId="14" xfId="0" applyFont="1" applyFill="1" applyBorder="1" applyAlignment="1">
      <alignment horizontal="left" vertical="top"/>
    </xf>
    <xf numFmtId="0" fontId="25" fillId="5" borderId="15" xfId="0" applyFont="1" applyFill="1" applyBorder="1" applyAlignment="1"/>
    <xf numFmtId="5" fontId="25" fillId="5" borderId="14" xfId="2" applyNumberFormat="1" applyFont="1" applyFill="1" applyBorder="1" applyAlignment="1">
      <alignment horizontal="center"/>
    </xf>
    <xf numFmtId="198" fontId="5" fillId="5" borderId="14" xfId="2" applyNumberFormat="1" applyFont="1" applyFill="1" applyBorder="1" applyAlignment="1">
      <alignment horizontal="center"/>
    </xf>
    <xf numFmtId="0" fontId="25" fillId="11" borderId="17" xfId="0" applyFont="1" applyFill="1" applyBorder="1" applyAlignment="1">
      <alignment horizontal="center"/>
    </xf>
    <xf numFmtId="39" fontId="25" fillId="0" borderId="9" xfId="1" quotePrefix="1" applyNumberFormat="1" applyFont="1" applyFill="1" applyBorder="1" applyAlignment="1">
      <alignment horizontal="center" vertical="center" wrapText="1"/>
    </xf>
    <xf numFmtId="168" fontId="0" fillId="0" borderId="9" xfId="1" applyNumberFormat="1" applyFont="1" applyBorder="1" applyAlignment="1"/>
    <xf numFmtId="43" fontId="5" fillId="0" borderId="9" xfId="0" applyNumberFormat="1" applyFont="1" applyBorder="1"/>
    <xf numFmtId="168" fontId="5" fillId="0" borderId="9" xfId="3" applyNumberFormat="1" applyFont="1" applyBorder="1"/>
    <xf numFmtId="9" fontId="0" fillId="0" borderId="9" xfId="3" applyFont="1" applyFill="1" applyBorder="1" applyAlignment="1">
      <alignment horizontal="center" vertical="center" wrapText="1"/>
    </xf>
    <xf numFmtId="43" fontId="5" fillId="5" borderId="9" xfId="0" applyNumberFormat="1" applyFont="1" applyFill="1" applyBorder="1"/>
    <xf numFmtId="0" fontId="25" fillId="5" borderId="30" xfId="0" applyFont="1" applyFill="1" applyBorder="1" applyAlignment="1">
      <alignment horizontal="left" vertical="center" wrapText="1"/>
    </xf>
    <xf numFmtId="2" fontId="0" fillId="14" borderId="22" xfId="1" applyNumberFormat="1" applyFont="1" applyFill="1" applyBorder="1"/>
    <xf numFmtId="39" fontId="25" fillId="0" borderId="19" xfId="1" quotePrefix="1" applyNumberFormat="1" applyFont="1" applyFill="1" applyBorder="1" applyAlignment="1">
      <alignment horizontal="center" vertical="center" wrapText="1"/>
    </xf>
    <xf numFmtId="165" fontId="25" fillId="0" borderId="19" xfId="0" applyNumberFormat="1" applyFont="1" applyFill="1" applyBorder="1" applyAlignment="1">
      <alignment horizontal="center" vertical="center" wrapText="1"/>
    </xf>
    <xf numFmtId="7" fontId="25" fillId="5" borderId="19" xfId="2" applyNumberFormat="1" applyFont="1" applyFill="1" applyBorder="1" applyAlignment="1">
      <alignment horizontal="center"/>
    </xf>
    <xf numFmtId="39" fontId="25" fillId="5" borderId="9" xfId="1" quotePrefix="1" applyNumberFormat="1" applyFont="1" applyFill="1" applyBorder="1" applyAlignment="1">
      <alignment horizontal="center" vertical="center" wrapText="1"/>
    </xf>
    <xf numFmtId="2" fontId="0" fillId="0" borderId="0" xfId="0" applyNumberFormat="1" applyFont="1"/>
    <xf numFmtId="2" fontId="0" fillId="0" borderId="9" xfId="1" applyNumberFormat="1" applyFont="1" applyBorder="1" applyAlignment="1"/>
    <xf numFmtId="2" fontId="5" fillId="0" borderId="9" xfId="1" applyNumberFormat="1" applyFont="1" applyBorder="1"/>
    <xf numFmtId="2" fontId="5" fillId="0" borderId="9" xfId="3" applyNumberFormat="1" applyFont="1" applyBorder="1"/>
    <xf numFmtId="2" fontId="0" fillId="0" borderId="0" xfId="3" applyNumberFormat="1" applyFont="1"/>
    <xf numFmtId="39" fontId="5" fillId="5" borderId="9" xfId="1" quotePrefix="1" applyNumberFormat="1" applyFont="1" applyFill="1" applyBorder="1" applyAlignment="1">
      <alignment horizontal="center" vertical="center" wrapText="1"/>
    </xf>
    <xf numFmtId="9" fontId="5" fillId="0" borderId="9" xfId="3" applyFont="1" applyFill="1" applyBorder="1" applyAlignment="1">
      <alignment horizontal="center" vertical="center" wrapText="1"/>
    </xf>
    <xf numFmtId="2" fontId="0" fillId="14" borderId="25" xfId="1" applyNumberFormat="1" applyFont="1" applyFill="1" applyBorder="1"/>
    <xf numFmtId="0" fontId="25" fillId="9" borderId="37" xfId="0" applyFont="1" applyFill="1" applyBorder="1"/>
    <xf numFmtId="0" fontId="25" fillId="17" borderId="5" xfId="0" applyFont="1" applyFill="1" applyBorder="1" applyAlignment="1">
      <alignment horizontal="left" vertical="top"/>
    </xf>
    <xf numFmtId="0" fontId="25" fillId="5" borderId="5" xfId="0" applyFont="1" applyFill="1" applyBorder="1" applyAlignment="1">
      <alignment horizontal="left" vertical="top" wrapText="1"/>
    </xf>
    <xf numFmtId="0" fontId="25" fillId="9" borderId="16" xfId="0" applyFont="1" applyFill="1" applyBorder="1" applyAlignment="1">
      <alignment horizontal="center"/>
    </xf>
    <xf numFmtId="0" fontId="25" fillId="17" borderId="10" xfId="0" applyFont="1" applyFill="1" applyBorder="1" applyAlignment="1">
      <alignment horizontal="left" vertical="top"/>
    </xf>
    <xf numFmtId="2" fontId="25" fillId="0" borderId="10" xfId="0" applyNumberFormat="1" applyFont="1" applyFill="1" applyBorder="1" applyAlignment="1"/>
    <xf numFmtId="0" fontId="5" fillId="5" borderId="16" xfId="0" applyFont="1" applyFill="1" applyBorder="1" applyAlignment="1">
      <alignment horizontal="left" vertical="top" wrapText="1"/>
    </xf>
    <xf numFmtId="0" fontId="25" fillId="5" borderId="15" xfId="0" applyFont="1" applyFill="1" applyBorder="1" applyAlignment="1">
      <alignment horizontal="left" vertical="top" wrapText="1"/>
    </xf>
    <xf numFmtId="0" fontId="25" fillId="6" borderId="37" xfId="0" applyFont="1" applyFill="1" applyBorder="1" applyAlignment="1">
      <alignment horizontal="left" vertical="top" wrapText="1"/>
    </xf>
    <xf numFmtId="0" fontId="25" fillId="6" borderId="16" xfId="0" applyFont="1" applyFill="1" applyBorder="1" applyAlignment="1">
      <alignment horizontal="left" vertical="top" wrapText="1"/>
    </xf>
    <xf numFmtId="0" fontId="5" fillId="6" borderId="16" xfId="0" applyFont="1" applyFill="1" applyBorder="1" applyAlignment="1">
      <alignment horizontal="left" vertical="top" wrapText="1"/>
    </xf>
    <xf numFmtId="0" fontId="5" fillId="6" borderId="9" xfId="0" applyFont="1" applyFill="1" applyBorder="1" applyAlignment="1">
      <alignment horizontal="left" vertical="top" wrapText="1"/>
    </xf>
    <xf numFmtId="0" fontId="5" fillId="6" borderId="14" xfId="0" applyFont="1" applyFill="1" applyBorder="1" applyAlignment="1">
      <alignment horizontal="left" vertical="top" wrapText="1"/>
    </xf>
    <xf numFmtId="0" fontId="5" fillId="5" borderId="14" xfId="0" applyFont="1" applyFill="1" applyBorder="1" applyAlignment="1">
      <alignment horizontal="left" vertical="top" wrapText="1"/>
    </xf>
    <xf numFmtId="0" fontId="25" fillId="9" borderId="37" xfId="0" applyFont="1" applyFill="1" applyBorder="1" applyAlignment="1">
      <alignment horizontal="center"/>
    </xf>
    <xf numFmtId="9" fontId="25" fillId="5" borderId="23" xfId="0" applyNumberFormat="1" applyFont="1" applyFill="1" applyBorder="1" applyAlignment="1">
      <alignment horizontal="left" vertical="top" wrapText="1"/>
    </xf>
    <xf numFmtId="0" fontId="25" fillId="9" borderId="4" xfId="0" applyFont="1" applyFill="1" applyBorder="1" applyAlignment="1">
      <alignment horizontal="left" vertical="top" wrapText="1"/>
    </xf>
    <xf numFmtId="9" fontId="25" fillId="5" borderId="4" xfId="0" applyNumberFormat="1" applyFont="1" applyFill="1" applyBorder="1" applyAlignment="1">
      <alignment horizontal="left" vertical="top" wrapText="1"/>
    </xf>
    <xf numFmtId="9" fontId="25" fillId="5" borderId="5" xfId="0" applyNumberFormat="1" applyFont="1" applyFill="1" applyBorder="1" applyAlignment="1">
      <alignment horizontal="left" vertical="top" wrapText="1"/>
    </xf>
    <xf numFmtId="9" fontId="25" fillId="5" borderId="9" xfId="0" applyNumberFormat="1" applyFont="1" applyFill="1" applyBorder="1" applyAlignment="1">
      <alignment horizontal="left" vertical="top" wrapText="1"/>
    </xf>
    <xf numFmtId="0" fontId="25" fillId="9" borderId="9" xfId="0" applyFont="1" applyFill="1" applyBorder="1" applyAlignment="1">
      <alignment horizontal="left" vertical="top" wrapText="1"/>
    </xf>
    <xf numFmtId="9" fontId="25" fillId="5" borderId="10" xfId="0" applyNumberFormat="1" applyFont="1" applyFill="1" applyBorder="1" applyAlignment="1">
      <alignment horizontal="left" vertical="top" wrapText="1"/>
    </xf>
    <xf numFmtId="9" fontId="5" fillId="5" borderId="9" xfId="0" applyNumberFormat="1" applyFont="1" applyFill="1" applyBorder="1" applyAlignment="1">
      <alignment horizontal="left" vertical="top" wrapText="1"/>
    </xf>
    <xf numFmtId="9" fontId="25" fillId="5" borderId="48" xfId="0" applyNumberFormat="1" applyFont="1" applyFill="1" applyBorder="1" applyAlignment="1">
      <alignment horizontal="left" vertical="top" wrapText="1"/>
    </xf>
    <xf numFmtId="9" fontId="5" fillId="5" borderId="14" xfId="0" applyNumberFormat="1" applyFont="1" applyFill="1" applyBorder="1" applyAlignment="1">
      <alignment horizontal="left" vertical="top" wrapText="1"/>
    </xf>
    <xf numFmtId="0" fontId="25" fillId="9" borderId="14" xfId="0" applyFont="1" applyFill="1" applyBorder="1" applyAlignment="1">
      <alignment horizontal="left" vertical="top" wrapText="1"/>
    </xf>
    <xf numFmtId="9" fontId="25" fillId="5" borderId="14" xfId="0" applyNumberFormat="1" applyFont="1" applyFill="1" applyBorder="1" applyAlignment="1">
      <alignment horizontal="left" vertical="top" wrapText="1"/>
    </xf>
    <xf numFmtId="9" fontId="25" fillId="5" borderId="15" xfId="0" applyNumberFormat="1" applyFont="1" applyFill="1" applyBorder="1" applyAlignment="1">
      <alignment horizontal="left" vertical="top" wrapText="1"/>
    </xf>
    <xf numFmtId="39" fontId="25" fillId="5" borderId="23" xfId="1" applyNumberFormat="1" applyFont="1" applyFill="1" applyBorder="1" applyAlignment="1">
      <alignment horizontal="left" vertical="top" wrapText="1"/>
    </xf>
    <xf numFmtId="39" fontId="25" fillId="5" borderId="4" xfId="1" applyNumberFormat="1" applyFont="1" applyFill="1" applyBorder="1" applyAlignment="1">
      <alignment horizontal="left" vertical="top" wrapText="1"/>
    </xf>
    <xf numFmtId="39" fontId="25" fillId="5" borderId="9" xfId="1" applyNumberFormat="1" applyFont="1" applyFill="1" applyBorder="1" applyAlignment="1">
      <alignment horizontal="left" vertical="top" wrapText="1"/>
    </xf>
    <xf numFmtId="0" fontId="25" fillId="17" borderId="14" xfId="0" applyFont="1" applyFill="1" applyBorder="1" applyAlignment="1">
      <alignment horizontal="left" vertical="top" wrapText="1"/>
    </xf>
    <xf numFmtId="39" fontId="25" fillId="5" borderId="14" xfId="1" applyNumberFormat="1" applyFont="1" applyFill="1" applyBorder="1" applyAlignment="1">
      <alignment horizontal="left" vertical="top" wrapText="1"/>
    </xf>
    <xf numFmtId="0" fontId="25" fillId="17" borderId="15" xfId="0" applyFont="1" applyFill="1" applyBorder="1" applyAlignment="1">
      <alignment horizontal="left" vertical="top"/>
    </xf>
    <xf numFmtId="7" fontId="5" fillId="5" borderId="9" xfId="2" applyNumberFormat="1" applyFont="1" applyFill="1" applyBorder="1" applyAlignment="1">
      <alignment horizontal="left"/>
    </xf>
    <xf numFmtId="7" fontId="25" fillId="5" borderId="4" xfId="2" applyNumberFormat="1" applyFont="1" applyFill="1" applyBorder="1" applyAlignment="1">
      <alignment horizontal="left"/>
    </xf>
    <xf numFmtId="7" fontId="5" fillId="5" borderId="4" xfId="2" applyNumberFormat="1" applyFont="1" applyFill="1" applyBorder="1" applyAlignment="1">
      <alignment horizontal="left"/>
    </xf>
    <xf numFmtId="7" fontId="25" fillId="5" borderId="9" xfId="2" applyNumberFormat="1" applyFont="1" applyFill="1" applyBorder="1" applyAlignment="1">
      <alignment horizontal="left"/>
    </xf>
    <xf numFmtId="7" fontId="5" fillId="5" borderId="9" xfId="2" applyNumberFormat="1" applyFont="1" applyFill="1" applyBorder="1" applyAlignment="1">
      <alignment horizontal="left" vertical="center" wrapText="1"/>
    </xf>
    <xf numFmtId="7" fontId="25" fillId="5" borderId="9" xfId="2" applyNumberFormat="1" applyFont="1" applyFill="1" applyBorder="1" applyAlignment="1">
      <alignment horizontal="left" vertical="center" wrapText="1"/>
    </xf>
    <xf numFmtId="7" fontId="25" fillId="0" borderId="9" xfId="2" applyNumberFormat="1" applyFont="1" applyFill="1" applyBorder="1" applyAlignment="1">
      <alignment horizontal="left" vertical="center" wrapText="1"/>
    </xf>
    <xf numFmtId="39" fontId="0" fillId="5" borderId="9" xfId="1" quotePrefix="1" applyNumberFormat="1" applyFont="1" applyFill="1" applyBorder="1" applyAlignment="1">
      <alignment horizontal="center" vertical="center" wrapText="1"/>
    </xf>
    <xf numFmtId="8" fontId="25" fillId="0" borderId="0" xfId="0" applyNumberFormat="1" applyFont="1" applyFill="1"/>
    <xf numFmtId="4" fontId="0" fillId="0" borderId="9" xfId="0" applyNumberFormat="1" applyFont="1" applyBorder="1"/>
    <xf numFmtId="0" fontId="25" fillId="17" borderId="5" xfId="0" applyFont="1" applyFill="1" applyBorder="1" applyAlignment="1">
      <alignment horizontal="left" vertical="top" wrapText="1"/>
    </xf>
    <xf numFmtId="0" fontId="25" fillId="17" borderId="48" xfId="0" applyFont="1" applyFill="1" applyBorder="1" applyAlignment="1">
      <alignment horizontal="left" vertical="top" wrapText="1"/>
    </xf>
    <xf numFmtId="0" fontId="25" fillId="17" borderId="10" xfId="0" applyFont="1" applyFill="1" applyBorder="1" applyAlignment="1">
      <alignment horizontal="left" vertical="top" wrapText="1"/>
    </xf>
    <xf numFmtId="0" fontId="25" fillId="17" borderId="48" xfId="0" applyFont="1" applyFill="1" applyBorder="1" applyAlignment="1">
      <alignment horizontal="left" vertical="top"/>
    </xf>
    <xf numFmtId="9" fontId="25" fillId="5" borderId="4" xfId="3" applyFont="1" applyFill="1" applyBorder="1" applyAlignment="1">
      <alignment horizontal="left" vertical="top" wrapText="1"/>
    </xf>
    <xf numFmtId="0" fontId="25" fillId="17" borderId="23" xfId="0" applyFont="1" applyFill="1" applyBorder="1" applyAlignment="1">
      <alignment horizontal="left" vertical="top" wrapText="1"/>
    </xf>
    <xf numFmtId="9" fontId="5" fillId="5" borderId="9" xfId="3" applyFont="1" applyFill="1" applyBorder="1" applyAlignment="1">
      <alignment horizontal="left" vertical="top" wrapText="1"/>
    </xf>
    <xf numFmtId="9" fontId="25" fillId="5" borderId="23" xfId="3" applyFont="1" applyFill="1" applyBorder="1" applyAlignment="1">
      <alignment horizontal="left" vertical="top" wrapText="1"/>
    </xf>
    <xf numFmtId="9" fontId="25" fillId="5" borderId="9" xfId="3" applyFont="1" applyFill="1" applyBorder="1" applyAlignment="1">
      <alignment horizontal="left" vertical="top" wrapText="1"/>
    </xf>
    <xf numFmtId="39" fontId="5" fillId="5" borderId="9" xfId="1" applyNumberFormat="1" applyFont="1" applyFill="1" applyBorder="1" applyAlignment="1">
      <alignment horizontal="left" vertical="top" wrapText="1"/>
    </xf>
    <xf numFmtId="7" fontId="25" fillId="5" borderId="4" xfId="2" applyNumberFormat="1" applyFont="1" applyFill="1" applyBorder="1" applyAlignment="1">
      <alignment horizontal="left" vertical="top" wrapText="1"/>
    </xf>
    <xf numFmtId="7" fontId="5" fillId="5" borderId="9" xfId="2" applyNumberFormat="1" applyFont="1" applyFill="1" applyBorder="1" applyAlignment="1">
      <alignment horizontal="left" vertical="top" wrapText="1"/>
    </xf>
    <xf numFmtId="7" fontId="25" fillId="5" borderId="23" xfId="2" applyNumberFormat="1" applyFont="1" applyFill="1" applyBorder="1" applyAlignment="1">
      <alignment horizontal="left" vertical="top" wrapText="1"/>
    </xf>
    <xf numFmtId="7" fontId="25" fillId="5" borderId="9" xfId="2" applyNumberFormat="1" applyFont="1" applyFill="1" applyBorder="1" applyAlignment="1">
      <alignment horizontal="left" vertical="top" wrapText="1"/>
    </xf>
    <xf numFmtId="0" fontId="25" fillId="17" borderId="15" xfId="0" applyFont="1" applyFill="1" applyBorder="1" applyAlignment="1">
      <alignment horizontal="left" vertical="top" wrapText="1"/>
    </xf>
    <xf numFmtId="9" fontId="25" fillId="5" borderId="0" xfId="3" applyFont="1" applyFill="1" applyBorder="1" applyAlignment="1">
      <alignment horizontal="left" vertical="top" wrapText="1"/>
    </xf>
    <xf numFmtId="0" fontId="25" fillId="17" borderId="0" xfId="0" applyFont="1" applyFill="1" applyBorder="1" applyAlignment="1">
      <alignment horizontal="left" vertical="top" wrapText="1"/>
    </xf>
    <xf numFmtId="165" fontId="0" fillId="5" borderId="9" xfId="0" applyNumberFormat="1" applyFont="1" applyFill="1" applyBorder="1" applyAlignment="1">
      <alignment horizontal="center" vertical="center" wrapText="1"/>
    </xf>
    <xf numFmtId="170" fontId="25" fillId="5" borderId="9" xfId="1" quotePrefix="1" applyNumberFormat="1" applyFont="1" applyFill="1" applyBorder="1" applyAlignment="1">
      <alignment horizontal="center" vertical="center" wrapText="1"/>
    </xf>
    <xf numFmtId="170" fontId="5" fillId="0" borderId="9" xfId="0" applyNumberFormat="1" applyFont="1" applyBorder="1"/>
    <xf numFmtId="170" fontId="5" fillId="5" borderId="9" xfId="1" quotePrefix="1" applyNumberFormat="1" applyFont="1" applyFill="1" applyBorder="1" applyAlignment="1">
      <alignment horizontal="center" vertical="center" wrapText="1"/>
    </xf>
    <xf numFmtId="170" fontId="5" fillId="5" borderId="9" xfId="0" applyNumberFormat="1" applyFont="1" applyFill="1" applyBorder="1" applyAlignment="1">
      <alignment horizontal="center" vertical="center" wrapText="1"/>
    </xf>
    <xf numFmtId="0" fontId="0" fillId="5" borderId="9" xfId="0" applyFont="1" applyFill="1" applyBorder="1" applyAlignment="1">
      <alignment horizontal="center"/>
    </xf>
    <xf numFmtId="0" fontId="25" fillId="5" borderId="16" xfId="0" applyFont="1" applyFill="1" applyBorder="1"/>
    <xf numFmtId="2" fontId="25" fillId="5" borderId="23" xfId="0" applyNumberFormat="1" applyFont="1" applyFill="1" applyBorder="1" applyAlignment="1">
      <alignment horizontal="left" vertical="top" wrapText="1"/>
    </xf>
    <xf numFmtId="2" fontId="5" fillId="5" borderId="23" xfId="0" applyNumberFormat="1" applyFont="1" applyFill="1" applyBorder="1" applyAlignment="1">
      <alignment horizontal="left" vertical="top" wrapText="1"/>
    </xf>
    <xf numFmtId="165" fontId="25" fillId="5" borderId="4" xfId="0" applyNumberFormat="1" applyFont="1" applyFill="1" applyBorder="1" applyAlignment="1">
      <alignment horizontal="left" vertical="top" wrapText="1"/>
    </xf>
    <xf numFmtId="165" fontId="5" fillId="5" borderId="4" xfId="0" applyNumberFormat="1" applyFont="1" applyFill="1" applyBorder="1" applyAlignment="1">
      <alignment horizontal="left" vertical="top" wrapText="1"/>
    </xf>
    <xf numFmtId="0" fontId="25" fillId="5" borderId="37" xfId="0" applyFont="1" applyFill="1" applyBorder="1"/>
    <xf numFmtId="165" fontId="5" fillId="5" borderId="9" xfId="0" applyNumberFormat="1" applyFont="1" applyFill="1" applyBorder="1" applyAlignment="1">
      <alignment horizontal="left" vertical="top" wrapText="1"/>
    </xf>
    <xf numFmtId="2" fontId="25" fillId="5" borderId="16" xfId="0" applyNumberFormat="1" applyFont="1" applyFill="1" applyBorder="1" applyAlignment="1">
      <alignment wrapText="1"/>
    </xf>
    <xf numFmtId="7" fontId="25" fillId="5" borderId="14" xfId="2" applyNumberFormat="1" applyFont="1" applyFill="1" applyBorder="1" applyAlignment="1">
      <alignment horizontal="left" vertical="top" wrapText="1"/>
    </xf>
    <xf numFmtId="2" fontId="25" fillId="5" borderId="35" xfId="0" applyNumberFormat="1" applyFont="1" applyFill="1" applyBorder="1" applyAlignment="1">
      <alignment wrapText="1"/>
    </xf>
    <xf numFmtId="7" fontId="25" fillId="0" borderId="9" xfId="2" applyNumberFormat="1" applyFont="1" applyBorder="1" applyAlignment="1">
      <alignment horizontal="center" vertical="center" wrapText="1"/>
    </xf>
    <xf numFmtId="170" fontId="25" fillId="0" borderId="9" xfId="1" applyNumberFormat="1" applyFont="1" applyBorder="1" applyAlignment="1">
      <alignment horizontal="center" vertical="center" wrapText="1"/>
    </xf>
    <xf numFmtId="170" fontId="0" fillId="5" borderId="9" xfId="1" quotePrefix="1" applyNumberFormat="1" applyFont="1" applyFill="1" applyBorder="1" applyAlignment="1">
      <alignment horizontal="center" vertical="center" wrapText="1"/>
    </xf>
    <xf numFmtId="37" fontId="5" fillId="5" borderId="9" xfId="1" quotePrefix="1" applyNumberFormat="1" applyFont="1" applyFill="1" applyBorder="1" applyAlignment="1">
      <alignment horizontal="center" vertical="center" wrapText="1"/>
    </xf>
    <xf numFmtId="43" fontId="25" fillId="5" borderId="9" xfId="1" quotePrefix="1" applyNumberFormat="1" applyFont="1" applyFill="1" applyBorder="1" applyAlignment="1">
      <alignment horizontal="center" vertical="center" wrapText="1"/>
    </xf>
    <xf numFmtId="9" fontId="25" fillId="5" borderId="9" xfId="3" quotePrefix="1" applyFont="1" applyFill="1" applyBorder="1" applyAlignment="1">
      <alignment horizontal="center" vertical="center" wrapText="1"/>
    </xf>
    <xf numFmtId="37" fontId="0" fillId="0" borderId="0" xfId="0" applyNumberFormat="1" applyFont="1"/>
    <xf numFmtId="7" fontId="25" fillId="0" borderId="0" xfId="2" applyNumberFormat="1" applyFont="1" applyFill="1" applyBorder="1" applyAlignment="1">
      <alignment horizontal="center" vertical="center" wrapText="1"/>
    </xf>
    <xf numFmtId="0" fontId="25" fillId="5" borderId="23" xfId="0" applyFont="1" applyFill="1" applyBorder="1" applyAlignment="1">
      <alignment horizontal="left" vertical="top"/>
    </xf>
    <xf numFmtId="7" fontId="5" fillId="0" borderId="9" xfId="2" applyNumberFormat="1" applyFont="1" applyBorder="1" applyAlignment="1">
      <alignment horizontal="center" vertical="center" wrapText="1"/>
    </xf>
    <xf numFmtId="7" fontId="5" fillId="0" borderId="0" xfId="2" applyNumberFormat="1" applyFont="1" applyFill="1" applyBorder="1" applyAlignment="1">
      <alignment horizontal="center" vertical="center" wrapText="1"/>
    </xf>
    <xf numFmtId="37" fontId="25" fillId="5" borderId="9" xfId="1" quotePrefix="1" applyNumberFormat="1" applyFont="1" applyFill="1" applyBorder="1" applyAlignment="1">
      <alignment horizontal="center" vertical="center" wrapText="1"/>
    </xf>
    <xf numFmtId="37" fontId="0" fillId="5" borderId="9" xfId="1" quotePrefix="1" applyNumberFormat="1" applyFont="1" applyFill="1" applyBorder="1" applyAlignment="1">
      <alignment horizontal="center" vertical="center" wrapText="1"/>
    </xf>
    <xf numFmtId="170" fontId="25" fillId="5" borderId="9" xfId="1" applyNumberFormat="1" applyFont="1" applyFill="1" applyBorder="1" applyAlignment="1">
      <alignment horizontal="center" vertical="center" wrapText="1"/>
    </xf>
    <xf numFmtId="0" fontId="25" fillId="5" borderId="0" xfId="0" applyFont="1" applyFill="1" applyAlignment="1">
      <alignment horizontal="left"/>
    </xf>
    <xf numFmtId="171" fontId="25" fillId="5" borderId="0" xfId="2" applyNumberFormat="1" applyFont="1" applyFill="1" applyBorder="1" applyAlignment="1">
      <alignment horizontal="center"/>
    </xf>
    <xf numFmtId="186" fontId="0" fillId="0" borderId="0" xfId="0" applyNumberFormat="1" applyFont="1"/>
    <xf numFmtId="171" fontId="25" fillId="16" borderId="9" xfId="0" applyNumberFormat="1" applyFont="1" applyFill="1" applyBorder="1" applyAlignment="1">
      <alignment horizontal="center"/>
    </xf>
    <xf numFmtId="0" fontId="25" fillId="0" borderId="0" xfId="0" applyFont="1" applyBorder="1" applyAlignment="1"/>
    <xf numFmtId="6" fontId="25" fillId="0" borderId="0" xfId="0" applyNumberFormat="1" applyFont="1" applyAlignment="1">
      <alignment horizontal="left"/>
    </xf>
    <xf numFmtId="2" fontId="25" fillId="0" borderId="9" xfId="0" applyNumberFormat="1" applyFont="1" applyBorder="1" applyAlignment="1">
      <alignment wrapText="1"/>
    </xf>
    <xf numFmtId="171" fontId="25" fillId="5" borderId="9" xfId="2" applyNumberFormat="1" applyFont="1" applyFill="1" applyBorder="1" applyAlignment="1">
      <alignment horizontal="center"/>
    </xf>
    <xf numFmtId="9" fontId="25" fillId="0" borderId="0" xfId="3" applyFont="1" applyBorder="1" applyAlignment="1"/>
    <xf numFmtId="1" fontId="25" fillId="5" borderId="10" xfId="0" applyNumberFormat="1" applyFont="1" applyFill="1" applyBorder="1" applyAlignment="1">
      <alignment horizontal="left"/>
    </xf>
    <xf numFmtId="171" fontId="25" fillId="0" borderId="9" xfId="0" applyNumberFormat="1" applyFont="1" applyBorder="1" applyAlignment="1">
      <alignment wrapText="1"/>
    </xf>
    <xf numFmtId="171" fontId="25" fillId="0" borderId="9" xfId="0" applyNumberFormat="1" applyFont="1" applyBorder="1" applyAlignment="1">
      <alignment horizontal="center"/>
    </xf>
    <xf numFmtId="171" fontId="25" fillId="0" borderId="0" xfId="0" applyNumberFormat="1" applyFont="1" applyBorder="1" applyAlignment="1">
      <alignment wrapText="1"/>
    </xf>
    <xf numFmtId="191" fontId="25" fillId="0" borderId="9" xfId="3" applyNumberFormat="1" applyFont="1" applyBorder="1"/>
    <xf numFmtId="0" fontId="25" fillId="5" borderId="0" xfId="0" applyFont="1" applyFill="1" applyBorder="1" applyAlignment="1"/>
    <xf numFmtId="8" fontId="25" fillId="0" borderId="9" xfId="0" applyNumberFormat="1" applyFont="1" applyBorder="1" applyAlignment="1">
      <alignment horizontal="center"/>
    </xf>
    <xf numFmtId="0" fontId="25" fillId="0" borderId="9" xfId="0" applyFont="1" applyBorder="1"/>
    <xf numFmtId="2" fontId="25" fillId="0" borderId="0" xfId="0" applyNumberFormat="1" applyFont="1" applyFill="1" applyBorder="1" applyAlignment="1">
      <alignment horizontal="center"/>
    </xf>
    <xf numFmtId="2" fontId="25" fillId="0" borderId="0" xfId="0" applyNumberFormat="1" applyFont="1" applyFill="1" applyBorder="1" applyAlignment="1">
      <alignment horizontal="left"/>
    </xf>
    <xf numFmtId="1" fontId="25" fillId="5" borderId="49" xfId="0" applyNumberFormat="1" applyFont="1" applyFill="1" applyBorder="1" applyAlignment="1">
      <alignment horizontal="left"/>
    </xf>
    <xf numFmtId="0" fontId="25" fillId="17" borderId="28" xfId="0" applyFont="1" applyFill="1" applyBorder="1" applyAlignment="1">
      <alignment vertical="top" wrapText="1"/>
    </xf>
    <xf numFmtId="0" fontId="25" fillId="17" borderId="26" xfId="0" applyFont="1" applyFill="1" applyBorder="1" applyAlignment="1">
      <alignment vertical="top" wrapText="1"/>
    </xf>
    <xf numFmtId="1" fontId="25" fillId="5" borderId="56" xfId="0" applyNumberFormat="1" applyFont="1" applyFill="1" applyBorder="1" applyAlignment="1">
      <alignment horizontal="left"/>
    </xf>
    <xf numFmtId="0" fontId="25" fillId="5" borderId="5" xfId="0" applyFont="1" applyFill="1" applyBorder="1" applyAlignment="1">
      <alignment horizontal="left" vertical="center"/>
    </xf>
    <xf numFmtId="0" fontId="25" fillId="9" borderId="16" xfId="0" applyFont="1" applyFill="1" applyBorder="1"/>
    <xf numFmtId="2" fontId="25" fillId="9" borderId="16" xfId="0" applyNumberFormat="1" applyFont="1" applyFill="1" applyBorder="1" applyAlignment="1">
      <alignment wrapText="1"/>
    </xf>
    <xf numFmtId="2" fontId="25" fillId="9" borderId="20" xfId="0" applyNumberFormat="1" applyFont="1" applyFill="1" applyBorder="1" applyAlignment="1">
      <alignment wrapText="1"/>
    </xf>
    <xf numFmtId="0" fontId="5" fillId="5" borderId="33" xfId="0" applyFont="1" applyFill="1" applyBorder="1" applyAlignment="1">
      <alignment horizontal="left" vertical="top" wrapText="1"/>
    </xf>
    <xf numFmtId="2" fontId="25" fillId="9" borderId="63" xfId="0" applyNumberFormat="1" applyFont="1" applyFill="1" applyBorder="1" applyAlignment="1">
      <alignment wrapText="1"/>
    </xf>
    <xf numFmtId="0" fontId="25" fillId="5" borderId="33" xfId="0" applyFont="1" applyFill="1" applyBorder="1" applyAlignment="1">
      <alignment horizontal="left" vertical="top" wrapText="1"/>
    </xf>
    <xf numFmtId="1" fontId="25" fillId="5" borderId="15" xfId="0" applyNumberFormat="1" applyFont="1" applyFill="1" applyBorder="1" applyAlignment="1">
      <alignment horizontal="left"/>
    </xf>
    <xf numFmtId="0" fontId="49" fillId="17" borderId="47" xfId="0" applyFont="1" applyFill="1" applyBorder="1" applyAlignment="1">
      <alignment horizontal="left" vertical="center" wrapText="1"/>
    </xf>
    <xf numFmtId="1" fontId="25" fillId="5" borderId="57" xfId="0" applyNumberFormat="1" applyFont="1" applyFill="1" applyBorder="1" applyAlignment="1">
      <alignment horizontal="left"/>
    </xf>
    <xf numFmtId="0" fontId="25" fillId="5" borderId="5" xfId="0" applyFont="1" applyFill="1" applyBorder="1"/>
    <xf numFmtId="0" fontId="25" fillId="0" borderId="10" xfId="0" applyFont="1" applyBorder="1"/>
    <xf numFmtId="2" fontId="25" fillId="9" borderId="22" xfId="0" applyNumberFormat="1" applyFont="1" applyFill="1" applyBorder="1" applyAlignment="1">
      <alignment wrapText="1"/>
    </xf>
    <xf numFmtId="0" fontId="25" fillId="0" borderId="5" xfId="0" applyFont="1" applyBorder="1"/>
    <xf numFmtId="2" fontId="25" fillId="9" borderId="9" xfId="0" applyNumberFormat="1" applyFont="1" applyFill="1" applyBorder="1" applyAlignment="1">
      <alignment wrapText="1"/>
    </xf>
    <xf numFmtId="2" fontId="25" fillId="9" borderId="19" xfId="0" applyNumberFormat="1" applyFont="1" applyFill="1" applyBorder="1" applyAlignment="1">
      <alignment wrapText="1"/>
    </xf>
    <xf numFmtId="9" fontId="25" fillId="5" borderId="19" xfId="3" applyFont="1" applyFill="1" applyBorder="1" applyAlignment="1">
      <alignment horizontal="left" vertical="top" wrapText="1"/>
    </xf>
    <xf numFmtId="0" fontId="25" fillId="5" borderId="48" xfId="0" applyFont="1" applyFill="1" applyBorder="1"/>
    <xf numFmtId="9" fontId="25" fillId="5" borderId="30" xfId="3" applyFont="1" applyFill="1" applyBorder="1" applyAlignment="1">
      <alignment horizontal="left" vertical="top" wrapText="1"/>
    </xf>
    <xf numFmtId="170" fontId="25" fillId="5" borderId="4" xfId="1" applyNumberFormat="1" applyFont="1" applyFill="1" applyBorder="1" applyAlignment="1">
      <alignment horizontal="left" vertical="top" wrapText="1"/>
    </xf>
    <xf numFmtId="170" fontId="25" fillId="5" borderId="9" xfId="1" applyNumberFormat="1" applyFont="1" applyFill="1" applyBorder="1" applyAlignment="1">
      <alignment horizontal="left" vertical="top" wrapText="1"/>
    </xf>
    <xf numFmtId="170" fontId="25" fillId="5" borderId="23" xfId="1" applyNumberFormat="1" applyFont="1" applyFill="1" applyBorder="1" applyAlignment="1">
      <alignment horizontal="left" vertical="top" wrapText="1"/>
    </xf>
    <xf numFmtId="170" fontId="25" fillId="5" borderId="14" xfId="1" applyNumberFormat="1" applyFont="1" applyFill="1" applyBorder="1" applyAlignment="1">
      <alignment horizontal="left" vertical="top" wrapText="1"/>
    </xf>
    <xf numFmtId="2" fontId="25" fillId="9" borderId="14" xfId="0" applyNumberFormat="1" applyFont="1" applyFill="1" applyBorder="1" applyAlignment="1">
      <alignment wrapText="1"/>
    </xf>
    <xf numFmtId="7" fontId="5" fillId="5" borderId="4" xfId="2" applyNumberFormat="1" applyFont="1" applyFill="1" applyBorder="1" applyAlignment="1">
      <alignment horizontal="center" vertical="center" wrapText="1"/>
    </xf>
    <xf numFmtId="7" fontId="25" fillId="5" borderId="4" xfId="2" applyNumberFormat="1" applyFont="1" applyFill="1" applyBorder="1" applyAlignment="1">
      <alignment horizontal="center" vertical="center" wrapText="1"/>
    </xf>
    <xf numFmtId="7" fontId="5" fillId="0" borderId="4" xfId="2" applyNumberFormat="1" applyFont="1" applyBorder="1" applyAlignment="1">
      <alignment horizontal="center" vertical="center" wrapText="1"/>
    </xf>
    <xf numFmtId="7" fontId="25" fillId="0" borderId="4" xfId="2" applyNumberFormat="1" applyFont="1" applyBorder="1" applyAlignment="1">
      <alignment horizontal="center" vertical="center" wrapText="1"/>
    </xf>
    <xf numFmtId="7" fontId="5" fillId="5" borderId="14" xfId="2" applyNumberFormat="1" applyFont="1" applyFill="1" applyBorder="1" applyAlignment="1">
      <alignment horizontal="center" vertical="center" wrapText="1"/>
    </xf>
    <xf numFmtId="7" fontId="25" fillId="5" borderId="14" xfId="2" applyNumberFormat="1" applyFont="1" applyFill="1" applyBorder="1" applyAlignment="1">
      <alignment horizontal="center" vertical="center" wrapText="1"/>
    </xf>
    <xf numFmtId="7" fontId="5" fillId="0" borderId="14" xfId="2" applyNumberFormat="1" applyFont="1" applyBorder="1" applyAlignment="1">
      <alignment horizontal="center" vertical="center" wrapText="1"/>
    </xf>
    <xf numFmtId="9" fontId="25" fillId="5" borderId="14" xfId="3" applyFont="1" applyFill="1" applyBorder="1" applyAlignment="1">
      <alignment horizontal="left" vertical="top" wrapText="1"/>
    </xf>
    <xf numFmtId="7" fontId="25" fillId="0" borderId="14" xfId="2" applyNumberFormat="1" applyFont="1" applyBorder="1" applyAlignment="1">
      <alignment horizontal="center" vertical="center" wrapText="1"/>
    </xf>
    <xf numFmtId="0" fontId="13" fillId="10" borderId="0" xfId="6" applyFill="1" applyAlignment="1">
      <alignment horizontal="center"/>
    </xf>
    <xf numFmtId="0" fontId="45" fillId="0" borderId="0" xfId="6" applyFont="1" applyFill="1" applyBorder="1" applyAlignment="1">
      <alignment horizontal="center" vertical="center" wrapText="1"/>
    </xf>
    <xf numFmtId="0" fontId="40" fillId="0" borderId="0" xfId="6" applyFont="1" applyFill="1"/>
    <xf numFmtId="0" fontId="13" fillId="0" borderId="0" xfId="6" applyFill="1" applyAlignment="1">
      <alignment horizontal="center"/>
    </xf>
    <xf numFmtId="2" fontId="29" fillId="0" borderId="0" xfId="9" applyNumberFormat="1" applyAlignment="1">
      <alignment horizontal="center"/>
    </xf>
    <xf numFmtId="0" fontId="29" fillId="0" borderId="0" xfId="9" applyFont="1"/>
    <xf numFmtId="168" fontId="25" fillId="0" borderId="9" xfId="0" applyNumberFormat="1" applyFont="1" applyBorder="1" applyAlignment="1">
      <alignment horizontal="left"/>
    </xf>
    <xf numFmtId="165" fontId="25" fillId="5" borderId="9" xfId="14" applyNumberFormat="1" applyFont="1" applyFill="1" applyBorder="1" applyAlignment="1">
      <alignment horizontal="center"/>
    </xf>
    <xf numFmtId="171" fontId="25" fillId="5" borderId="9" xfId="14" applyNumberFormat="1" applyFont="1" applyFill="1" applyBorder="1" applyAlignment="1">
      <alignment horizontal="center"/>
    </xf>
    <xf numFmtId="190" fontId="25" fillId="5" borderId="9" xfId="0" applyNumberFormat="1" applyFont="1" applyFill="1" applyBorder="1" applyAlignment="1">
      <alignment horizontal="center" vertical="center" wrapText="1"/>
    </xf>
    <xf numFmtId="39" fontId="25" fillId="5" borderId="9" xfId="0" applyNumberFormat="1" applyFont="1" applyFill="1" applyBorder="1" applyAlignment="1">
      <alignment horizontal="center" vertical="center" wrapText="1"/>
    </xf>
    <xf numFmtId="190" fontId="29" fillId="0" borderId="0" xfId="9" applyNumberFormat="1" applyFont="1"/>
    <xf numFmtId="2" fontId="5" fillId="0" borderId="9" xfId="14" applyNumberFormat="1" applyFont="1" applyBorder="1" applyAlignment="1">
      <alignment horizontal="center"/>
    </xf>
    <xf numFmtId="39" fontId="5" fillId="5" borderId="9" xfId="0" applyNumberFormat="1" applyFont="1" applyFill="1" applyBorder="1" applyAlignment="1">
      <alignment horizontal="center" vertical="center" wrapText="1"/>
    </xf>
    <xf numFmtId="1" fontId="1" fillId="0" borderId="16" xfId="14" applyNumberFormat="1" applyFont="1" applyFill="1" applyBorder="1" applyAlignment="1">
      <alignment horizontal="center" vertical="center" wrapText="1"/>
    </xf>
    <xf numFmtId="1" fontId="5" fillId="0" borderId="16" xfId="14" applyNumberFormat="1" applyFont="1" applyFill="1" applyBorder="1" applyAlignment="1">
      <alignment horizontal="center" vertical="center" wrapText="1"/>
    </xf>
    <xf numFmtId="165" fontId="1" fillId="0" borderId="16" xfId="14" applyNumberFormat="1" applyFont="1" applyFill="1" applyBorder="1" applyAlignment="1">
      <alignment horizontal="center" vertical="center" wrapText="1"/>
    </xf>
    <xf numFmtId="1" fontId="1" fillId="0" borderId="9" xfId="14" applyNumberFormat="1" applyFont="1" applyFill="1" applyBorder="1" applyAlignment="1">
      <alignment horizontal="left" vertical="center" wrapText="1"/>
    </xf>
    <xf numFmtId="165" fontId="25" fillId="0" borderId="9" xfId="14" applyNumberFormat="1" applyFont="1" applyFill="1" applyBorder="1" applyAlignment="1">
      <alignment horizontal="left" vertical="center" wrapText="1"/>
    </xf>
    <xf numFmtId="171" fontId="1" fillId="0" borderId="9" xfId="14" applyNumberFormat="1" applyFont="1" applyFill="1" applyBorder="1" applyAlignment="1">
      <alignment horizontal="center"/>
    </xf>
    <xf numFmtId="0" fontId="5" fillId="5" borderId="0" xfId="0" applyFont="1" applyFill="1" applyAlignment="1">
      <alignment horizontal="center"/>
    </xf>
    <xf numFmtId="2" fontId="0" fillId="0" borderId="0" xfId="0" applyNumberFormat="1" applyFont="1" applyAlignment="1">
      <alignment horizontal="center"/>
    </xf>
    <xf numFmtId="0" fontId="1" fillId="0" borderId="0" xfId="9" applyFont="1"/>
    <xf numFmtId="169" fontId="25" fillId="0" borderId="9" xfId="2" applyNumberFormat="1" applyFont="1" applyBorder="1" applyAlignment="1">
      <alignment horizontal="center"/>
    </xf>
    <xf numFmtId="7" fontId="1" fillId="0" borderId="9" xfId="2" applyNumberFormat="1" applyFont="1" applyFill="1" applyBorder="1" applyAlignment="1">
      <alignment horizontal="center"/>
    </xf>
    <xf numFmtId="0" fontId="1" fillId="0" borderId="9" xfId="0" applyFont="1" applyBorder="1" applyAlignment="1">
      <alignment horizontal="left"/>
    </xf>
    <xf numFmtId="2" fontId="0" fillId="0" borderId="0" xfId="1" applyNumberFormat="1" applyFont="1" applyAlignment="1">
      <alignment horizontal="center"/>
    </xf>
    <xf numFmtId="0" fontId="30" fillId="0" borderId="69" xfId="9" applyFont="1" applyBorder="1"/>
    <xf numFmtId="0" fontId="30" fillId="0" borderId="72" xfId="9" applyFont="1" applyBorder="1"/>
    <xf numFmtId="180" fontId="1" fillId="0" borderId="9" xfId="9" applyNumberFormat="1" applyFont="1" applyBorder="1" applyAlignment="1">
      <alignment horizontal="center"/>
    </xf>
    <xf numFmtId="180" fontId="5" fillId="0" borderId="9" xfId="9" applyNumberFormat="1" applyFont="1" applyBorder="1" applyAlignment="1">
      <alignment horizontal="center"/>
    </xf>
    <xf numFmtId="0" fontId="29" fillId="0" borderId="9" xfId="9" applyBorder="1"/>
    <xf numFmtId="1" fontId="5" fillId="0" borderId="9" xfId="3" applyNumberFormat="1" applyFont="1" applyFill="1" applyBorder="1" applyAlignment="1">
      <alignment horizontal="center"/>
    </xf>
    <xf numFmtId="1" fontId="1" fillId="0" borderId="9" xfId="3" applyNumberFormat="1" applyFont="1" applyBorder="1" applyAlignment="1">
      <alignment horizontal="center"/>
    </xf>
    <xf numFmtId="180" fontId="1" fillId="0" borderId="9" xfId="9" applyNumberFormat="1" applyFont="1" applyFill="1" applyBorder="1" applyAlignment="1">
      <alignment horizontal="center"/>
    </xf>
    <xf numFmtId="180" fontId="5" fillId="0" borderId="9" xfId="9" applyNumberFormat="1" applyFont="1" applyFill="1" applyBorder="1" applyAlignment="1">
      <alignment horizontal="center"/>
    </xf>
    <xf numFmtId="180" fontId="5" fillId="5" borderId="9" xfId="9" applyNumberFormat="1" applyFont="1" applyFill="1" applyBorder="1" applyAlignment="1">
      <alignment horizontal="center"/>
    </xf>
    <xf numFmtId="0" fontId="30" fillId="0" borderId="0" xfId="9" applyFont="1" applyAlignment="1">
      <alignment horizontal="center"/>
    </xf>
    <xf numFmtId="2" fontId="1" fillId="0" borderId="0" xfId="9" applyNumberFormat="1" applyFont="1" applyAlignment="1">
      <alignment horizontal="center"/>
    </xf>
    <xf numFmtId="0" fontId="25" fillId="0" borderId="0" xfId="9" applyFont="1" applyBorder="1" applyAlignment="1">
      <alignment horizontal="center"/>
    </xf>
    <xf numFmtId="0" fontId="25" fillId="0" borderId="40" xfId="9" applyFont="1" applyBorder="1"/>
    <xf numFmtId="0" fontId="1" fillId="0" borderId="19" xfId="9" applyFont="1" applyBorder="1" applyAlignment="1">
      <alignment horizontal="left"/>
    </xf>
    <xf numFmtId="0" fontId="25" fillId="0" borderId="0" xfId="9" applyFont="1"/>
    <xf numFmtId="0" fontId="1" fillId="0" borderId="0" xfId="9" applyFont="1" applyAlignment="1">
      <alignment horizontal="center"/>
    </xf>
    <xf numFmtId="0" fontId="25" fillId="0" borderId="41" xfId="9" applyFont="1" applyBorder="1" applyAlignment="1">
      <alignment horizontal="center"/>
    </xf>
    <xf numFmtId="0" fontId="25" fillId="0" borderId="39" xfId="9" applyFont="1" applyBorder="1" applyAlignment="1">
      <alignment horizontal="center"/>
    </xf>
    <xf numFmtId="0" fontId="25" fillId="0" borderId="42" xfId="9" applyFont="1" applyBorder="1" applyAlignment="1">
      <alignment horizontal="center"/>
    </xf>
    <xf numFmtId="9" fontId="1" fillId="0" borderId="9" xfId="3" applyFont="1" applyBorder="1" applyAlignment="1">
      <alignment horizontal="center"/>
    </xf>
    <xf numFmtId="2" fontId="5" fillId="0" borderId="9" xfId="3" applyNumberFormat="1" applyFont="1" applyBorder="1" applyAlignment="1">
      <alignment horizontal="center"/>
    </xf>
    <xf numFmtId="0" fontId="60" fillId="0" borderId="9" xfId="9" applyFont="1" applyBorder="1" applyAlignment="1">
      <alignment horizontal="left" vertical="center"/>
    </xf>
    <xf numFmtId="0" fontId="25" fillId="0" borderId="0" xfId="9" applyFont="1" applyBorder="1"/>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1" xfId="3" applyNumberFormat="1" applyFont="1" applyBorder="1" applyAlignment="1">
      <alignment horizontal="center"/>
    </xf>
    <xf numFmtId="1" fontId="1" fillId="0" borderId="19" xfId="3" applyNumberFormat="1" applyFont="1" applyBorder="1" applyAlignment="1">
      <alignment horizontal="center"/>
    </xf>
    <xf numFmtId="165" fontId="1" fillId="0" borderId="9" xfId="3" applyNumberFormat="1" applyFont="1" applyFill="1" applyBorder="1" applyAlignment="1">
      <alignment horizontal="center"/>
    </xf>
    <xf numFmtId="0" fontId="60" fillId="5" borderId="9" xfId="9" applyFont="1" applyFill="1" applyBorder="1" applyAlignment="1">
      <alignment horizontal="left" vertical="center"/>
    </xf>
    <xf numFmtId="165" fontId="1" fillId="5" borderId="9" xfId="3" applyNumberFormat="1" applyFont="1" applyFill="1" applyBorder="1" applyAlignment="1">
      <alignment horizontal="center"/>
    </xf>
    <xf numFmtId="0" fontId="1" fillId="0" borderId="9" xfId="9" applyFont="1" applyFill="1" applyBorder="1" applyAlignment="1">
      <alignment horizontal="left"/>
    </xf>
    <xf numFmtId="7" fontId="1" fillId="5" borderId="9" xfId="2" applyNumberFormat="1" applyFont="1" applyFill="1" applyBorder="1" applyAlignment="1">
      <alignment horizontal="center"/>
    </xf>
    <xf numFmtId="0" fontId="25" fillId="0" borderId="0" xfId="9" applyFont="1" applyBorder="1" applyAlignment="1">
      <alignment vertical="center" wrapText="1"/>
    </xf>
    <xf numFmtId="0" fontId="60" fillId="0" borderId="19" xfId="9" applyFont="1" applyBorder="1" applyAlignment="1">
      <alignment horizontal="left" vertical="center"/>
    </xf>
    <xf numFmtId="1" fontId="5" fillId="0" borderId="9" xfId="3" applyNumberFormat="1" applyFont="1" applyBorder="1" applyAlignment="1">
      <alignment horizontal="center"/>
    </xf>
    <xf numFmtId="1" fontId="1" fillId="5" borderId="9" xfId="3" applyNumberFormat="1" applyFont="1" applyFill="1" applyBorder="1" applyAlignment="1">
      <alignment horizontal="center"/>
    </xf>
    <xf numFmtId="9" fontId="1" fillId="5" borderId="9" xfId="3" applyFont="1" applyFill="1" applyBorder="1" applyAlignment="1">
      <alignment horizontal="center"/>
    </xf>
    <xf numFmtId="2" fontId="1" fillId="5" borderId="9" xfId="3" applyNumberFormat="1" applyFont="1" applyFill="1" applyBorder="1" applyAlignment="1">
      <alignment horizontal="center"/>
    </xf>
    <xf numFmtId="2" fontId="5" fillId="5" borderId="9" xfId="3" applyNumberFormat="1" applyFont="1" applyFill="1" applyBorder="1" applyAlignment="1">
      <alignment horizontal="center"/>
    </xf>
    <xf numFmtId="0" fontId="60" fillId="0" borderId="9" xfId="9" applyFont="1" applyFill="1" applyBorder="1" applyAlignment="1">
      <alignment horizontal="left" vertical="center"/>
    </xf>
    <xf numFmtId="9" fontId="1" fillId="0" borderId="9" xfId="3" applyFont="1" applyFill="1" applyBorder="1" applyAlignment="1">
      <alignment horizontal="center"/>
    </xf>
    <xf numFmtId="1" fontId="1" fillId="0" borderId="9" xfId="3" applyNumberFormat="1" applyFont="1" applyFill="1" applyBorder="1" applyAlignment="1">
      <alignment horizontal="center"/>
    </xf>
    <xf numFmtId="165" fontId="60" fillId="0" borderId="9" xfId="9" applyNumberFormat="1" applyFont="1" applyFill="1" applyBorder="1" applyAlignment="1">
      <alignment horizontal="left" vertical="center"/>
    </xf>
    <xf numFmtId="0" fontId="25" fillId="0" borderId="0" xfId="9" applyFont="1" applyAlignment="1">
      <alignment horizontal="center"/>
    </xf>
    <xf numFmtId="0" fontId="56" fillId="5" borderId="9" xfId="9" applyFont="1" applyFill="1" applyBorder="1" applyAlignment="1">
      <alignment horizontal="left" vertical="center"/>
    </xf>
    <xf numFmtId="2" fontId="25" fillId="0" borderId="9" xfId="3" applyNumberFormat="1" applyFont="1" applyBorder="1" applyAlignment="1">
      <alignment horizontal="center"/>
    </xf>
    <xf numFmtId="2" fontId="1" fillId="0" borderId="9" xfId="3" applyNumberFormat="1" applyFont="1" applyFill="1" applyBorder="1" applyAlignment="1">
      <alignment horizontal="center"/>
    </xf>
    <xf numFmtId="1" fontId="5" fillId="5" borderId="9" xfId="3" applyNumberFormat="1" applyFont="1" applyFill="1" applyBorder="1" applyAlignment="1">
      <alignment horizontal="center"/>
    </xf>
    <xf numFmtId="10" fontId="25" fillId="0" borderId="9" xfId="3" applyNumberFormat="1" applyFont="1" applyBorder="1" applyAlignment="1">
      <alignment horizontal="center"/>
    </xf>
    <xf numFmtId="0" fontId="25" fillId="5" borderId="9" xfId="9" applyFont="1" applyFill="1" applyBorder="1" applyAlignment="1">
      <alignment wrapText="1"/>
    </xf>
    <xf numFmtId="9" fontId="25" fillId="0" borderId="9" xfId="3" applyFont="1" applyBorder="1" applyAlignment="1">
      <alignment horizontal="center"/>
    </xf>
    <xf numFmtId="0" fontId="60" fillId="0" borderId="19" xfId="9" applyFont="1" applyFill="1" applyBorder="1" applyAlignment="1">
      <alignment horizontal="left" vertical="center"/>
    </xf>
    <xf numFmtId="10" fontId="5" fillId="0" borderId="9" xfId="3" applyNumberFormat="1" applyFont="1" applyBorder="1" applyAlignment="1">
      <alignment horizontal="center"/>
    </xf>
    <xf numFmtId="1" fontId="25" fillId="5" borderId="9" xfId="3" applyNumberFormat="1" applyFont="1" applyFill="1" applyBorder="1" applyAlignment="1">
      <alignment horizontal="center"/>
    </xf>
    <xf numFmtId="0" fontId="30" fillId="5" borderId="0" xfId="9" applyFont="1" applyFill="1" applyBorder="1" applyAlignment="1">
      <alignment horizontal="center"/>
    </xf>
    <xf numFmtId="0" fontId="30" fillId="5" borderId="9" xfId="9" applyFont="1" applyFill="1" applyBorder="1"/>
    <xf numFmtId="0" fontId="52" fillId="0" borderId="9" xfId="9" applyFont="1" applyBorder="1" applyAlignment="1">
      <alignment horizontal="left" vertical="center"/>
    </xf>
    <xf numFmtId="2" fontId="0" fillId="0" borderId="0" xfId="0" applyNumberFormat="1" applyAlignment="1">
      <alignment horizontal="center"/>
    </xf>
    <xf numFmtId="165" fontId="56" fillId="5" borderId="9" xfId="9" applyNumberFormat="1" applyFont="1" applyFill="1" applyBorder="1" applyAlignment="1">
      <alignment horizontal="left" vertical="center"/>
    </xf>
    <xf numFmtId="165" fontId="25" fillId="5" borderId="9" xfId="3" applyNumberFormat="1" applyFont="1" applyFill="1" applyBorder="1" applyAlignment="1">
      <alignment horizontal="center"/>
    </xf>
    <xf numFmtId="0" fontId="1" fillId="5" borderId="9" xfId="9" applyFont="1" applyFill="1" applyBorder="1" applyAlignment="1">
      <alignment horizontal="left"/>
    </xf>
    <xf numFmtId="2" fontId="25" fillId="5" borderId="9" xfId="9" applyNumberFormat="1" applyFont="1" applyFill="1" applyBorder="1" applyAlignment="1">
      <alignment horizontal="center"/>
    </xf>
    <xf numFmtId="170" fontId="1" fillId="5" borderId="9" xfId="9" applyNumberFormat="1" applyFont="1" applyFill="1" applyBorder="1" applyAlignment="1">
      <alignment horizontal="center"/>
    </xf>
    <xf numFmtId="39" fontId="5" fillId="5" borderId="9" xfId="9" applyNumberFormat="1" applyFont="1" applyFill="1" applyBorder="1" applyAlignment="1">
      <alignment horizontal="center"/>
    </xf>
    <xf numFmtId="0" fontId="1" fillId="5" borderId="0" xfId="9" applyFont="1" applyFill="1"/>
    <xf numFmtId="0" fontId="25" fillId="5" borderId="0" xfId="9" applyFont="1" applyFill="1"/>
    <xf numFmtId="0" fontId="25" fillId="5" borderId="0" xfId="9" applyFont="1" applyFill="1" applyBorder="1"/>
    <xf numFmtId="165" fontId="1" fillId="0" borderId="19" xfId="14" applyNumberFormat="1" applyFont="1" applyFill="1" applyBorder="1" applyAlignment="1">
      <alignment horizontal="left" vertical="center" wrapText="1"/>
    </xf>
    <xf numFmtId="0" fontId="1" fillId="0" borderId="9" xfId="9" applyFont="1" applyFill="1" applyBorder="1" applyAlignment="1">
      <alignment horizontal="center" vertical="center" wrapText="1"/>
    </xf>
    <xf numFmtId="165" fontId="1" fillId="0" borderId="9" xfId="9" applyNumberFormat="1" applyFont="1" applyFill="1" applyBorder="1" applyAlignment="1">
      <alignment horizontal="center" vertical="center" wrapText="1"/>
    </xf>
    <xf numFmtId="165" fontId="1" fillId="0" borderId="16" xfId="9" applyNumberFormat="1" applyFont="1" applyFill="1" applyBorder="1" applyAlignment="1">
      <alignment horizontal="center" vertical="center" wrapText="1"/>
    </xf>
    <xf numFmtId="165" fontId="1" fillId="0" borderId="9" xfId="14" applyNumberFormat="1" applyFont="1" applyFill="1" applyBorder="1" applyAlignment="1">
      <alignment horizontal="left" vertical="center" wrapText="1"/>
    </xf>
    <xf numFmtId="1" fontId="5" fillId="0" borderId="9" xfId="14" applyNumberFormat="1" applyFont="1" applyFill="1" applyBorder="1" applyAlignment="1">
      <alignment horizontal="center" vertical="center" wrapText="1"/>
    </xf>
    <xf numFmtId="10" fontId="1" fillId="0" borderId="9" xfId="14" applyNumberFormat="1" applyFont="1" applyFill="1" applyBorder="1" applyAlignment="1">
      <alignment horizontal="center" vertical="center" wrapText="1"/>
    </xf>
    <xf numFmtId="9" fontId="1" fillId="0" borderId="9" xfId="14" applyNumberFormat="1" applyFont="1" applyFill="1" applyBorder="1" applyAlignment="1">
      <alignment horizontal="center" vertical="center" wrapText="1"/>
    </xf>
    <xf numFmtId="0" fontId="1" fillId="0" borderId="9" xfId="0" applyFont="1" applyFill="1" applyBorder="1" applyAlignment="1">
      <alignment horizontal="left" vertical="center" wrapText="1"/>
    </xf>
    <xf numFmtId="9" fontId="1" fillId="0" borderId="9" xfId="0" applyNumberFormat="1" applyFont="1" applyFill="1" applyBorder="1" applyAlignment="1">
      <alignment horizontal="center" vertical="center" wrapText="1"/>
    </xf>
    <xf numFmtId="39" fontId="1" fillId="0" borderId="9" xfId="1" applyNumberFormat="1" applyFont="1" applyFill="1" applyBorder="1" applyAlignment="1">
      <alignment horizontal="center" wrapText="1"/>
    </xf>
    <xf numFmtId="39" fontId="1" fillId="0" borderId="9" xfId="1" applyNumberFormat="1" applyFont="1" applyBorder="1" applyAlignment="1">
      <alignment horizontal="center" wrapText="1"/>
    </xf>
    <xf numFmtId="170" fontId="1" fillId="5" borderId="9" xfId="1" applyNumberFormat="1" applyFont="1" applyFill="1" applyBorder="1" applyAlignment="1">
      <alignment horizontal="center" vertical="center" wrapText="1"/>
    </xf>
    <xf numFmtId="190" fontId="1" fillId="0" borderId="9" xfId="1" applyNumberFormat="1" applyFont="1" applyBorder="1" applyAlignment="1">
      <alignment horizontal="center"/>
    </xf>
    <xf numFmtId="0" fontId="1" fillId="0" borderId="9" xfId="9" applyFont="1" applyFill="1" applyBorder="1" applyAlignment="1">
      <alignment horizontal="center" wrapText="1"/>
    </xf>
    <xf numFmtId="2" fontId="1" fillId="0" borderId="9" xfId="9" applyNumberFormat="1" applyFont="1" applyFill="1" applyBorder="1" applyAlignment="1">
      <alignment horizontal="center" wrapText="1"/>
    </xf>
    <xf numFmtId="0" fontId="1" fillId="0" borderId="30" xfId="9" applyFont="1" applyBorder="1" applyAlignment="1">
      <alignment horizontal="left" vertical="center" wrapText="1"/>
    </xf>
    <xf numFmtId="0" fontId="0" fillId="0" borderId="19" xfId="9" applyFont="1" applyBorder="1" applyAlignment="1">
      <alignment horizontal="left" vertical="center" wrapText="1"/>
    </xf>
    <xf numFmtId="0" fontId="25" fillId="0" borderId="9" xfId="9" applyFont="1" applyFill="1" applyBorder="1" applyAlignment="1">
      <alignment horizontal="center" wrapText="1"/>
    </xf>
    <xf numFmtId="0" fontId="0" fillId="0" borderId="23" xfId="9" applyFont="1" applyBorder="1" applyAlignment="1">
      <alignment horizontal="left" vertical="center" wrapText="1"/>
    </xf>
    <xf numFmtId="170" fontId="1" fillId="0" borderId="9" xfId="1" applyNumberFormat="1" applyFont="1" applyBorder="1" applyAlignment="1">
      <alignment horizontal="center"/>
    </xf>
    <xf numFmtId="2" fontId="5" fillId="0" borderId="9" xfId="1" applyNumberFormat="1" applyFont="1" applyBorder="1" applyAlignment="1">
      <alignment horizontal="center"/>
    </xf>
    <xf numFmtId="0" fontId="0" fillId="5" borderId="19" xfId="9" applyFont="1" applyFill="1" applyBorder="1" applyAlignment="1">
      <alignment horizontal="left"/>
    </xf>
    <xf numFmtId="0" fontId="29" fillId="0" borderId="9" xfId="9" applyBorder="1" applyAlignment="1">
      <alignment horizontal="center"/>
    </xf>
    <xf numFmtId="0" fontId="0" fillId="5" borderId="23" xfId="9" applyFont="1" applyFill="1" applyBorder="1" applyAlignment="1">
      <alignment horizontal="left"/>
    </xf>
    <xf numFmtId="2" fontId="0" fillId="9" borderId="22" xfId="1" applyNumberFormat="1" applyFont="1" applyFill="1" applyBorder="1" applyAlignment="1">
      <alignment horizontal="center"/>
    </xf>
    <xf numFmtId="165" fontId="25" fillId="0" borderId="9" xfId="9" applyNumberFormat="1" applyFont="1" applyBorder="1" applyAlignment="1">
      <alignment horizontal="center"/>
    </xf>
    <xf numFmtId="2" fontId="0" fillId="9" borderId="25" xfId="1" applyNumberFormat="1" applyFont="1" applyFill="1" applyBorder="1" applyAlignment="1">
      <alignment horizontal="center"/>
    </xf>
    <xf numFmtId="0" fontId="25" fillId="0" borderId="9" xfId="9" applyFont="1" applyFill="1" applyBorder="1" applyAlignment="1">
      <alignment horizontal="left"/>
    </xf>
    <xf numFmtId="0" fontId="25" fillId="0" borderId="9" xfId="9" applyFont="1" applyFill="1" applyBorder="1"/>
    <xf numFmtId="1" fontId="25" fillId="0" borderId="9" xfId="3" applyNumberFormat="1" applyFont="1" applyFill="1" applyBorder="1" applyAlignment="1">
      <alignment horizontal="center"/>
    </xf>
    <xf numFmtId="2" fontId="25" fillId="0" borderId="9" xfId="3" applyNumberFormat="1" applyFont="1" applyFill="1" applyBorder="1" applyAlignment="1">
      <alignment horizontal="center"/>
    </xf>
    <xf numFmtId="165" fontId="25" fillId="0" borderId="9" xfId="3" applyNumberFormat="1" applyFont="1" applyFill="1" applyBorder="1" applyAlignment="1">
      <alignment horizontal="center"/>
    </xf>
    <xf numFmtId="8" fontId="25" fillId="0" borderId="0" xfId="0" applyNumberFormat="1" applyFont="1"/>
    <xf numFmtId="170" fontId="25" fillId="0" borderId="9" xfId="1" applyNumberFormat="1" applyFont="1" applyFill="1" applyBorder="1" applyAlignment="1">
      <alignment horizontal="center"/>
    </xf>
    <xf numFmtId="170" fontId="1" fillId="5" borderId="9" xfId="1" applyNumberFormat="1" applyFont="1" applyFill="1" applyBorder="1" applyAlignment="1">
      <alignment horizontal="center"/>
    </xf>
    <xf numFmtId="170" fontId="1" fillId="0" borderId="9" xfId="1" applyNumberFormat="1" applyFont="1" applyFill="1" applyBorder="1" applyAlignment="1">
      <alignment horizontal="center"/>
    </xf>
    <xf numFmtId="2" fontId="1" fillId="0" borderId="0" xfId="7" applyNumberFormat="1" applyAlignment="1">
      <alignment horizontal="center"/>
    </xf>
    <xf numFmtId="0" fontId="13" fillId="0" borderId="0" xfId="14" applyFont="1" applyFill="1" applyBorder="1"/>
    <xf numFmtId="165" fontId="25" fillId="0" borderId="9" xfId="14" applyNumberFormat="1" applyFont="1" applyFill="1" applyBorder="1" applyAlignment="1">
      <alignment horizontal="center"/>
    </xf>
    <xf numFmtId="0" fontId="25" fillId="0" borderId="9" xfId="14" applyFont="1" applyFill="1" applyBorder="1" applyAlignment="1">
      <alignment horizontal="center"/>
    </xf>
    <xf numFmtId="165" fontId="1" fillId="0" borderId="9" xfId="14" applyNumberFormat="1" applyFont="1" applyBorder="1" applyAlignment="1">
      <alignment horizontal="center"/>
    </xf>
    <xf numFmtId="0" fontId="0" fillId="0" borderId="23" xfId="9" applyFont="1" applyBorder="1" applyAlignment="1">
      <alignment horizontal="left"/>
    </xf>
    <xf numFmtId="2" fontId="0" fillId="0" borderId="9" xfId="14" applyNumberFormat="1" applyFont="1" applyBorder="1" applyAlignment="1">
      <alignment horizontal="center"/>
    </xf>
    <xf numFmtId="165" fontId="0" fillId="0" borderId="9" xfId="14" applyNumberFormat="1" applyFont="1" applyBorder="1" applyAlignment="1">
      <alignment horizontal="center"/>
    </xf>
    <xf numFmtId="0" fontId="1" fillId="0" borderId="0" xfId="7" applyAlignment="1">
      <alignment horizontal="center"/>
    </xf>
    <xf numFmtId="0" fontId="5" fillId="0" borderId="0" xfId="7" applyFont="1" applyAlignment="1">
      <alignment horizontal="center"/>
    </xf>
    <xf numFmtId="1" fontId="25" fillId="0" borderId="16" xfId="14" applyNumberFormat="1" applyFont="1" applyFill="1" applyBorder="1" applyAlignment="1">
      <alignment horizontal="center" vertical="center" wrapText="1"/>
    </xf>
    <xf numFmtId="1" fontId="25" fillId="5" borderId="16" xfId="14" applyNumberFormat="1" applyFont="1" applyFill="1" applyBorder="1" applyAlignment="1">
      <alignment horizontal="center" vertical="center" wrapText="1"/>
    </xf>
    <xf numFmtId="2" fontId="1" fillId="0" borderId="0" xfId="7" applyNumberFormat="1" applyFill="1" applyAlignment="1">
      <alignment horizontal="center"/>
    </xf>
    <xf numFmtId="1" fontId="5" fillId="5" borderId="9" xfId="14" applyNumberFormat="1" applyFont="1" applyFill="1" applyBorder="1" applyAlignment="1">
      <alignment horizontal="center" vertical="center" wrapText="1"/>
    </xf>
    <xf numFmtId="0" fontId="25" fillId="0" borderId="9" xfId="14" applyFont="1" applyFill="1" applyBorder="1" applyAlignment="1">
      <alignment wrapText="1"/>
    </xf>
    <xf numFmtId="165" fontId="25" fillId="5" borderId="16" xfId="14" applyNumberFormat="1" applyFont="1" applyFill="1" applyBorder="1" applyAlignment="1">
      <alignment horizontal="center" vertical="center" wrapText="1"/>
    </xf>
    <xf numFmtId="165" fontId="0" fillId="5" borderId="9" xfId="14" applyNumberFormat="1" applyFont="1" applyFill="1" applyBorder="1" applyAlignment="1">
      <alignment horizontal="left" vertical="center"/>
    </xf>
    <xf numFmtId="165" fontId="30" fillId="5" borderId="9" xfId="9" applyNumberFormat="1" applyFont="1" applyFill="1" applyBorder="1" applyAlignment="1">
      <alignment horizontal="center" vertical="center"/>
    </xf>
    <xf numFmtId="1" fontId="25" fillId="0" borderId="9" xfId="14" applyNumberFormat="1" applyFont="1" applyFill="1" applyBorder="1" applyAlignment="1">
      <alignment horizontal="left" vertical="center" wrapText="1"/>
    </xf>
    <xf numFmtId="0" fontId="25" fillId="0" borderId="9" xfId="9" applyFont="1" applyFill="1" applyBorder="1" applyAlignment="1">
      <alignment horizontal="left" wrapText="1"/>
    </xf>
    <xf numFmtId="1" fontId="5" fillId="5" borderId="16" xfId="14" applyNumberFormat="1" applyFont="1" applyFill="1" applyBorder="1" applyAlignment="1">
      <alignment horizontal="center" vertical="center" wrapText="1"/>
    </xf>
    <xf numFmtId="2" fontId="0" fillId="5" borderId="9" xfId="14" applyNumberFormat="1" applyFont="1" applyFill="1" applyBorder="1" applyAlignment="1">
      <alignment horizontal="center" vertical="center" wrapText="1"/>
    </xf>
    <xf numFmtId="2" fontId="0" fillId="0" borderId="9" xfId="14" applyNumberFormat="1" applyFont="1" applyFill="1" applyBorder="1" applyAlignment="1">
      <alignment horizontal="center" vertical="center" wrapText="1"/>
    </xf>
    <xf numFmtId="165" fontId="30" fillId="5" borderId="0" xfId="9" applyNumberFormat="1" applyFont="1" applyFill="1" applyAlignment="1">
      <alignment horizontal="center" vertical="center"/>
    </xf>
    <xf numFmtId="9" fontId="25" fillId="0" borderId="19" xfId="3" applyFont="1" applyFill="1" applyBorder="1" applyAlignment="1">
      <alignment horizontal="left" vertical="center" wrapText="1"/>
    </xf>
    <xf numFmtId="2" fontId="25" fillId="0" borderId="16" xfId="14" applyNumberFormat="1" applyFont="1" applyFill="1" applyBorder="1" applyAlignment="1">
      <alignment horizontal="center" vertical="center" wrapText="1"/>
    </xf>
    <xf numFmtId="2" fontId="25" fillId="5" borderId="16" xfId="14" applyNumberFormat="1" applyFont="1" applyFill="1" applyBorder="1" applyAlignment="1">
      <alignment horizontal="center" vertical="center" wrapText="1"/>
    </xf>
    <xf numFmtId="0" fontId="1" fillId="0" borderId="9" xfId="0" applyFont="1" applyBorder="1"/>
    <xf numFmtId="170" fontId="1" fillId="0" borderId="9" xfId="0" applyNumberFormat="1" applyFont="1" applyFill="1" applyBorder="1" applyAlignment="1">
      <alignment horizontal="center" vertical="center" wrapText="1"/>
    </xf>
    <xf numFmtId="190" fontId="1" fillId="0" borderId="0" xfId="9" applyNumberFormat="1" applyFont="1"/>
    <xf numFmtId="2" fontId="1" fillId="0" borderId="20" xfId="1" applyNumberFormat="1" applyFont="1" applyBorder="1" applyAlignment="1">
      <alignment horizontal="center"/>
    </xf>
    <xf numFmtId="44" fontId="1" fillId="0" borderId="21" xfId="2" applyFont="1" applyFill="1" applyBorder="1"/>
    <xf numFmtId="170" fontId="1" fillId="0" borderId="9" xfId="1" applyNumberFormat="1" applyFont="1" applyFill="1" applyBorder="1" applyAlignment="1">
      <alignment horizontal="center" wrapText="1"/>
    </xf>
    <xf numFmtId="2" fontId="1" fillId="0" borderId="22" xfId="1" applyNumberFormat="1" applyFont="1" applyBorder="1" applyAlignment="1">
      <alignment horizontal="center"/>
    </xf>
    <xf numFmtId="44" fontId="1" fillId="0" borderId="24" xfId="2" applyFont="1" applyFill="1" applyBorder="1"/>
    <xf numFmtId="2" fontId="1" fillId="0" borderId="25" xfId="1" applyNumberFormat="1" applyFont="1" applyBorder="1" applyAlignment="1">
      <alignment horizontal="center"/>
    </xf>
    <xf numFmtId="44" fontId="1" fillId="0" borderId="26" xfId="2" applyFont="1" applyFill="1" applyBorder="1"/>
    <xf numFmtId="178" fontId="30" fillId="5" borderId="0" xfId="9" applyNumberFormat="1" applyFont="1" applyFill="1" applyBorder="1"/>
    <xf numFmtId="0" fontId="30" fillId="5" borderId="0" xfId="9" applyFont="1" applyFill="1"/>
    <xf numFmtId="186" fontId="1" fillId="0" borderId="9"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178" fontId="1" fillId="0" borderId="9" xfId="0" applyNumberFormat="1" applyFont="1" applyFill="1" applyBorder="1" applyAlignment="1">
      <alignment horizontal="center" vertical="center" wrapText="1"/>
    </xf>
    <xf numFmtId="180" fontId="30" fillId="5" borderId="9" xfId="9" applyNumberFormat="1" applyFont="1" applyFill="1" applyBorder="1" applyAlignment="1">
      <alignment horizontal="center"/>
    </xf>
    <xf numFmtId="39" fontId="5" fillId="0" borderId="9" xfId="1" applyNumberFormat="1" applyFont="1" applyBorder="1" applyAlignment="1">
      <alignment horizontal="center" wrapText="1"/>
    </xf>
    <xf numFmtId="180" fontId="31" fillId="5" borderId="9" xfId="9" applyNumberFormat="1" applyFont="1" applyFill="1" applyBorder="1" applyAlignment="1">
      <alignment horizontal="center"/>
    </xf>
    <xf numFmtId="39" fontId="25" fillId="0" borderId="9" xfId="1" applyNumberFormat="1" applyFont="1" applyBorder="1" applyAlignment="1">
      <alignment horizontal="center" wrapText="1"/>
    </xf>
    <xf numFmtId="39" fontId="5" fillId="5" borderId="9" xfId="1" applyNumberFormat="1" applyFont="1" applyFill="1" applyBorder="1" applyAlignment="1">
      <alignment horizontal="center" wrapText="1"/>
    </xf>
    <xf numFmtId="0" fontId="29" fillId="5" borderId="9" xfId="9" applyFill="1" applyBorder="1" applyAlignment="1">
      <alignment horizontal="center"/>
    </xf>
    <xf numFmtId="9" fontId="1" fillId="0" borderId="9" xfId="3" applyFont="1" applyBorder="1" applyAlignment="1">
      <alignment horizontal="center" wrapText="1"/>
    </xf>
    <xf numFmtId="165" fontId="0" fillId="0" borderId="9" xfId="0" applyNumberFormat="1" applyFont="1" applyFill="1" applyBorder="1" applyAlignment="1">
      <alignment horizontal="left" vertical="center" wrapText="1"/>
    </xf>
    <xf numFmtId="0" fontId="30" fillId="0" borderId="76" xfId="9" applyFont="1" applyBorder="1" applyAlignment="1">
      <alignment horizontal="center"/>
    </xf>
    <xf numFmtId="39" fontId="5" fillId="0" borderId="9" xfId="1" applyNumberFormat="1" applyFont="1" applyFill="1" applyBorder="1" applyAlignment="1">
      <alignment horizontal="center" wrapText="1"/>
    </xf>
    <xf numFmtId="0" fontId="30" fillId="0" borderId="0" xfId="9" applyFont="1" applyBorder="1"/>
    <xf numFmtId="9" fontId="25" fillId="0" borderId="0" xfId="0" applyNumberFormat="1" applyFont="1" applyFill="1" applyBorder="1" applyAlignment="1">
      <alignment horizontal="center" vertical="center" wrapText="1"/>
    </xf>
    <xf numFmtId="9" fontId="25" fillId="0" borderId="9" xfId="0" applyNumberFormat="1" applyFont="1" applyFill="1" applyBorder="1" applyAlignment="1">
      <alignment horizontal="center" vertical="center" wrapText="1"/>
    </xf>
    <xf numFmtId="178" fontId="25" fillId="0" borderId="9" xfId="0" applyNumberFormat="1" applyFont="1" applyFill="1" applyBorder="1" applyAlignment="1">
      <alignment horizontal="center" vertical="center" wrapText="1"/>
    </xf>
    <xf numFmtId="178" fontId="5" fillId="0" borderId="9" xfId="0" applyNumberFormat="1" applyFont="1" applyFill="1" applyBorder="1" applyAlignment="1">
      <alignment horizontal="center" vertical="center" wrapText="1"/>
    </xf>
    <xf numFmtId="39" fontId="25" fillId="0" borderId="0" xfId="1" applyNumberFormat="1" applyFont="1" applyBorder="1" applyAlignment="1">
      <alignment horizontal="center" wrapText="1"/>
    </xf>
    <xf numFmtId="37" fontId="1" fillId="0" borderId="9" xfId="1" applyNumberFormat="1" applyFont="1" applyBorder="1" applyAlignment="1">
      <alignment horizontal="center" wrapText="1"/>
    </xf>
    <xf numFmtId="37" fontId="25" fillId="0" borderId="0" xfId="1" applyNumberFormat="1" applyFont="1" applyBorder="1" applyAlignment="1">
      <alignment horizontal="center" wrapText="1"/>
    </xf>
    <xf numFmtId="37" fontId="25" fillId="0" borderId="9" xfId="1" applyNumberFormat="1" applyFont="1" applyBorder="1" applyAlignment="1">
      <alignment horizontal="center" wrapText="1"/>
    </xf>
    <xf numFmtId="9" fontId="25" fillId="0" borderId="0" xfId="3" applyFont="1" applyBorder="1" applyAlignment="1">
      <alignment horizontal="center" wrapText="1"/>
    </xf>
    <xf numFmtId="190" fontId="25" fillId="0" borderId="9" xfId="1" applyNumberFormat="1" applyFont="1" applyBorder="1" applyAlignment="1">
      <alignment horizontal="center" wrapText="1"/>
    </xf>
    <xf numFmtId="190" fontId="1" fillId="0" borderId="9" xfId="1" applyNumberFormat="1" applyFont="1" applyBorder="1" applyAlignment="1">
      <alignment horizontal="center" wrapText="1"/>
    </xf>
    <xf numFmtId="190" fontId="5" fillId="0" borderId="9" xfId="1" applyNumberFormat="1" applyFont="1" applyBorder="1" applyAlignment="1">
      <alignment horizontal="center" wrapText="1"/>
    </xf>
    <xf numFmtId="165" fontId="25" fillId="0" borderId="9" xfId="0" applyNumberFormat="1" applyFont="1" applyFill="1" applyBorder="1" applyAlignment="1">
      <alignment horizontal="left" vertical="center" wrapText="1"/>
    </xf>
    <xf numFmtId="170" fontId="1" fillId="0" borderId="9" xfId="2" applyNumberFormat="1" applyFont="1" applyFill="1" applyBorder="1" applyAlignment="1">
      <alignment horizontal="center" vertical="center" wrapText="1"/>
    </xf>
    <xf numFmtId="7" fontId="25" fillId="0" borderId="9" xfId="2" applyNumberFormat="1" applyFont="1" applyFill="1" applyBorder="1" applyAlignment="1">
      <alignment horizontal="center" vertical="center" wrapText="1"/>
    </xf>
    <xf numFmtId="7" fontId="1" fillId="0" borderId="9" xfId="2" applyNumberFormat="1" applyFont="1" applyBorder="1" applyAlignment="1">
      <alignment horizontal="center" wrapText="1"/>
    </xf>
    <xf numFmtId="7" fontId="25" fillId="0" borderId="9" xfId="2" applyNumberFormat="1" applyFont="1" applyBorder="1" applyAlignment="1">
      <alignment horizontal="center" wrapText="1"/>
    </xf>
    <xf numFmtId="7" fontId="5" fillId="0" borderId="9" xfId="2" applyNumberFormat="1" applyFont="1" applyBorder="1" applyAlignment="1">
      <alignment horizontal="center" wrapText="1"/>
    </xf>
    <xf numFmtId="190" fontId="1" fillId="5" borderId="9" xfId="1" applyNumberFormat="1" applyFont="1" applyFill="1" applyBorder="1" applyAlignment="1">
      <alignment horizontal="center"/>
    </xf>
    <xf numFmtId="0" fontId="1" fillId="0" borderId="0" xfId="0" applyFont="1" applyAlignment="1">
      <alignment horizontal="center"/>
    </xf>
    <xf numFmtId="0" fontId="1" fillId="0" borderId="9" xfId="0" applyFont="1" applyBorder="1" applyAlignment="1">
      <alignment horizontal="left" vertical="center"/>
    </xf>
    <xf numFmtId="180" fontId="5" fillId="5" borderId="9" xfId="0" applyNumberFormat="1" applyFont="1" applyFill="1" applyBorder="1" applyAlignment="1">
      <alignment horizontal="center"/>
    </xf>
    <xf numFmtId="178" fontId="25" fillId="0" borderId="0" xfId="9" applyNumberFormat="1" applyFont="1" applyFill="1"/>
    <xf numFmtId="0" fontId="25" fillId="0" borderId="0" xfId="9" applyFont="1" applyFill="1"/>
    <xf numFmtId="180" fontId="1" fillId="5" borderId="9" xfId="0" applyNumberFormat="1" applyFont="1" applyFill="1" applyBorder="1" applyAlignment="1">
      <alignment horizontal="center"/>
    </xf>
    <xf numFmtId="39" fontId="25" fillId="5" borderId="9" xfId="1" applyNumberFormat="1" applyFont="1" applyFill="1" applyBorder="1" applyAlignment="1">
      <alignment horizontal="center" wrapText="1"/>
    </xf>
    <xf numFmtId="39" fontId="48" fillId="5" borderId="9" xfId="1" applyNumberFormat="1" applyFont="1" applyFill="1" applyBorder="1" applyAlignment="1">
      <alignment horizontal="center" wrapText="1"/>
    </xf>
    <xf numFmtId="2" fontId="1" fillId="5" borderId="9" xfId="0" applyNumberFormat="1" applyFont="1" applyFill="1" applyBorder="1" applyAlignment="1">
      <alignment horizontal="center" vertical="center"/>
    </xf>
    <xf numFmtId="0" fontId="1" fillId="0" borderId="9" xfId="0" applyFont="1" applyBorder="1" applyAlignment="1">
      <alignment horizontal="center"/>
    </xf>
    <xf numFmtId="179" fontId="5" fillId="5" borderId="9" xfId="0" applyNumberFormat="1" applyFont="1" applyFill="1" applyBorder="1" applyAlignment="1">
      <alignment horizontal="center" vertical="center" wrapText="1"/>
    </xf>
    <xf numFmtId="9" fontId="48" fillId="0" borderId="9" xfId="0" applyNumberFormat="1" applyFont="1" applyFill="1" applyBorder="1" applyAlignment="1">
      <alignment horizontal="center" vertical="center" wrapText="1"/>
    </xf>
    <xf numFmtId="39" fontId="48" fillId="0" borderId="9" xfId="1" applyNumberFormat="1" applyFont="1" applyFill="1" applyBorder="1" applyAlignment="1">
      <alignment horizontal="center" wrapText="1"/>
    </xf>
    <xf numFmtId="39" fontId="25" fillId="0" borderId="9" xfId="1" applyNumberFormat="1" applyFont="1" applyFill="1" applyBorder="1" applyAlignment="1">
      <alignment horizontal="center" wrapText="1"/>
    </xf>
    <xf numFmtId="7" fontId="1" fillId="5" borderId="9" xfId="2" applyNumberFormat="1" applyFont="1" applyFill="1" applyBorder="1" applyAlignment="1">
      <alignment horizontal="center" wrapText="1"/>
    </xf>
    <xf numFmtId="43" fontId="5" fillId="0" borderId="9" xfId="1" applyFont="1" applyBorder="1"/>
    <xf numFmtId="0" fontId="30" fillId="0" borderId="0" xfId="9" applyFont="1" applyBorder="1" applyAlignment="1">
      <alignment horizontal="center" vertical="center"/>
    </xf>
    <xf numFmtId="2" fontId="25" fillId="5" borderId="9" xfId="3" applyNumberFormat="1" applyFont="1" applyFill="1" applyBorder="1" applyAlignment="1">
      <alignment horizontal="center"/>
    </xf>
    <xf numFmtId="9" fontId="0" fillId="0" borderId="9" xfId="3" applyFont="1" applyBorder="1" applyAlignment="1">
      <alignment horizontal="left"/>
    </xf>
    <xf numFmtId="180" fontId="25" fillId="5" borderId="9" xfId="3" applyNumberFormat="1" applyFont="1" applyFill="1" applyBorder="1" applyAlignment="1">
      <alignment horizontal="center"/>
    </xf>
    <xf numFmtId="180" fontId="1" fillId="5" borderId="9" xfId="3" applyNumberFormat="1" applyFont="1" applyFill="1" applyBorder="1" applyAlignment="1">
      <alignment horizontal="center"/>
    </xf>
    <xf numFmtId="190" fontId="31" fillId="5" borderId="9" xfId="1" applyNumberFormat="1" applyFont="1" applyFill="1" applyBorder="1" applyAlignment="1">
      <alignment horizontal="center"/>
    </xf>
    <xf numFmtId="0" fontId="25" fillId="0" borderId="9" xfId="9" applyFont="1" applyBorder="1" applyAlignment="1">
      <alignment wrapText="1"/>
    </xf>
    <xf numFmtId="171" fontId="30" fillId="0" borderId="9" xfId="9" applyNumberFormat="1" applyFont="1" applyFill="1" applyBorder="1" applyAlignment="1">
      <alignment horizontal="center"/>
    </xf>
    <xf numFmtId="165" fontId="1" fillId="0" borderId="9" xfId="0" applyNumberFormat="1" applyFont="1" applyFill="1" applyBorder="1" applyAlignment="1">
      <alignment horizontal="center" vertical="center" wrapText="1"/>
    </xf>
    <xf numFmtId="178" fontId="30" fillId="5" borderId="0" xfId="9" applyNumberFormat="1" applyFont="1" applyFill="1"/>
    <xf numFmtId="0" fontId="59" fillId="0" borderId="0" xfId="9" applyFont="1"/>
    <xf numFmtId="9" fontId="1" fillId="0" borderId="16"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39" fontId="1" fillId="0" borderId="16" xfId="1" applyNumberFormat="1" applyFont="1" applyBorder="1" applyAlignment="1">
      <alignment horizontal="center" wrapText="1"/>
    </xf>
    <xf numFmtId="39" fontId="25" fillId="0" borderId="16" xfId="1" applyNumberFormat="1" applyFont="1" applyFill="1" applyBorder="1" applyAlignment="1">
      <alignment horizontal="center" wrapText="1"/>
    </xf>
    <xf numFmtId="37" fontId="25" fillId="0" borderId="16" xfId="1" applyNumberFormat="1" applyFont="1" applyFill="1" applyBorder="1" applyAlignment="1">
      <alignment horizontal="center" wrapText="1"/>
    </xf>
    <xf numFmtId="37" fontId="1" fillId="0" borderId="16" xfId="1" applyNumberFormat="1" applyFont="1" applyBorder="1" applyAlignment="1">
      <alignment horizontal="center" wrapText="1"/>
    </xf>
    <xf numFmtId="9" fontId="25" fillId="0" borderId="16" xfId="0" applyNumberFormat="1" applyFont="1" applyFill="1" applyBorder="1" applyAlignment="1">
      <alignment horizontal="center" vertical="center" wrapText="1"/>
    </xf>
    <xf numFmtId="170" fontId="25" fillId="0" borderId="9" xfId="1" applyNumberFormat="1" applyFont="1" applyFill="1" applyBorder="1" applyAlignment="1">
      <alignment horizontal="center" vertical="center" wrapText="1"/>
    </xf>
    <xf numFmtId="7" fontId="25" fillId="0" borderId="9" xfId="2" applyNumberFormat="1" applyFont="1" applyFill="1" applyBorder="1" applyAlignment="1">
      <alignment horizontal="center" wrapText="1"/>
    </xf>
    <xf numFmtId="171" fontId="25" fillId="0" borderId="9" xfId="9" applyNumberFormat="1" applyFont="1" applyFill="1" applyBorder="1" applyAlignment="1">
      <alignment horizontal="center"/>
    </xf>
    <xf numFmtId="2" fontId="1" fillId="0" borderId="16" xfId="1" applyNumberFormat="1" applyFont="1" applyBorder="1" applyAlignment="1">
      <alignment horizontal="center"/>
    </xf>
    <xf numFmtId="44" fontId="1" fillId="0" borderId="18" xfId="2" applyFont="1" applyFill="1" applyBorder="1"/>
    <xf numFmtId="190" fontId="1" fillId="0" borderId="16" xfId="1" applyNumberFormat="1" applyFont="1" applyFill="1" applyBorder="1" applyAlignment="1">
      <alignment horizontal="center" wrapText="1"/>
    </xf>
    <xf numFmtId="190" fontId="1" fillId="0" borderId="9" xfId="1" applyNumberFormat="1" applyFont="1" applyFill="1" applyBorder="1" applyAlignment="1">
      <alignment horizontal="center" wrapText="1"/>
    </xf>
    <xf numFmtId="39" fontId="1" fillId="0" borderId="16" xfId="1" applyNumberFormat="1" applyFont="1" applyFill="1" applyBorder="1" applyAlignment="1">
      <alignment horizontal="center" wrapText="1"/>
    </xf>
    <xf numFmtId="37" fontId="1" fillId="0" borderId="16" xfId="1" applyNumberFormat="1" applyFont="1" applyFill="1" applyBorder="1" applyAlignment="1">
      <alignment horizontal="center" wrapText="1"/>
    </xf>
    <xf numFmtId="37" fontId="1" fillId="0" borderId="9" xfId="1" applyNumberFormat="1" applyFont="1" applyFill="1" applyBorder="1" applyAlignment="1">
      <alignment horizontal="center" wrapText="1"/>
    </xf>
    <xf numFmtId="3" fontId="1" fillId="0" borderId="16" xfId="0" applyNumberFormat="1" applyFont="1" applyFill="1" applyBorder="1" applyAlignment="1">
      <alignment horizontal="center" vertical="center" wrapText="1"/>
    </xf>
    <xf numFmtId="3" fontId="1" fillId="0" borderId="9" xfId="0" applyNumberFormat="1" applyFont="1" applyFill="1" applyBorder="1" applyAlignment="1">
      <alignment horizontal="center" vertical="center" wrapText="1"/>
    </xf>
    <xf numFmtId="165" fontId="25" fillId="0" borderId="9" xfId="7" applyNumberFormat="1" applyFont="1" applyFill="1" applyBorder="1" applyAlignment="1">
      <alignment vertical="center" wrapText="1"/>
    </xf>
    <xf numFmtId="0" fontId="5" fillId="5" borderId="0" xfId="9" applyFont="1" applyFill="1" applyAlignment="1">
      <alignment horizontal="center"/>
    </xf>
    <xf numFmtId="0" fontId="5" fillId="5" borderId="0" xfId="9" applyFont="1" applyFill="1"/>
    <xf numFmtId="170" fontId="1" fillId="0" borderId="9" xfId="1" applyNumberFormat="1" applyFont="1" applyBorder="1" applyAlignment="1">
      <alignment horizontal="center" wrapText="1"/>
    </xf>
    <xf numFmtId="178" fontId="25" fillId="0" borderId="0" xfId="9" applyNumberFormat="1" applyFont="1" applyBorder="1"/>
    <xf numFmtId="190" fontId="25" fillId="0" borderId="9" xfId="1" applyNumberFormat="1" applyFont="1" applyFill="1" applyBorder="1" applyAlignment="1">
      <alignment horizontal="center" wrapText="1"/>
    </xf>
    <xf numFmtId="178" fontId="25" fillId="0" borderId="0" xfId="9" applyNumberFormat="1" applyFont="1"/>
    <xf numFmtId="190" fontId="1" fillId="0" borderId="16" xfId="1" applyNumberFormat="1" applyFont="1" applyBorder="1" applyAlignment="1">
      <alignment horizontal="center" wrapText="1"/>
    </xf>
    <xf numFmtId="0" fontId="40" fillId="0" borderId="9" xfId="13" applyFont="1" applyFill="1" applyBorder="1" applyAlignment="1">
      <alignment horizontal="center"/>
    </xf>
    <xf numFmtId="171" fontId="25" fillId="0" borderId="19" xfId="5" applyNumberFormat="1" applyFont="1" applyFill="1" applyBorder="1" applyAlignment="1" applyProtection="1">
      <alignment horizontal="center"/>
      <protection locked="0"/>
    </xf>
    <xf numFmtId="171" fontId="25" fillId="0" borderId="19" xfId="5" applyNumberFormat="1" applyFont="1" applyFill="1" applyBorder="1" applyProtection="1">
      <protection locked="0"/>
    </xf>
    <xf numFmtId="190" fontId="25" fillId="0" borderId="9" xfId="0" applyNumberFormat="1" applyFont="1" applyFill="1" applyBorder="1" applyAlignment="1">
      <alignment horizontal="center" vertical="center" wrapText="1"/>
    </xf>
    <xf numFmtId="190" fontId="1" fillId="0" borderId="9" xfId="0" applyNumberFormat="1" applyFont="1" applyBorder="1"/>
    <xf numFmtId="0" fontId="40" fillId="5" borderId="9" xfId="13" applyFont="1" applyFill="1" applyBorder="1" applyAlignment="1">
      <alignment horizontal="center"/>
    </xf>
    <xf numFmtId="171" fontId="25" fillId="0" borderId="9" xfId="5" applyNumberFormat="1" applyFont="1" applyFill="1" applyBorder="1" applyAlignment="1" applyProtection="1">
      <alignment horizontal="center"/>
      <protection locked="0"/>
    </xf>
    <xf numFmtId="171" fontId="25" fillId="0" borderId="9" xfId="5" applyNumberFormat="1" applyFont="1" applyFill="1" applyBorder="1" applyProtection="1">
      <protection locked="0"/>
    </xf>
    <xf numFmtId="0" fontId="25" fillId="0" borderId="0" xfId="0" applyFont="1" applyBorder="1" applyAlignment="1">
      <alignment horizontal="left" vertical="center" wrapText="1"/>
    </xf>
    <xf numFmtId="0" fontId="38" fillId="0" borderId="0" xfId="13" applyFont="1" applyFill="1" applyBorder="1" applyAlignment="1">
      <alignment horizontal="center"/>
    </xf>
    <xf numFmtId="165" fontId="25" fillId="0" borderId="0" xfId="0" applyNumberFormat="1" applyFont="1" applyBorder="1" applyAlignment="1">
      <alignment horizontal="center" vertical="center" wrapText="1"/>
    </xf>
    <xf numFmtId="0" fontId="25" fillId="5" borderId="0" xfId="0" applyFont="1" applyFill="1" applyBorder="1" applyAlignment="1">
      <alignment horizontal="left" vertical="center" wrapText="1"/>
    </xf>
    <xf numFmtId="0" fontId="38" fillId="5" borderId="0" xfId="13" applyFont="1" applyFill="1" applyBorder="1" applyAlignment="1">
      <alignment horizontal="center"/>
    </xf>
    <xf numFmtId="180" fontId="25" fillId="0" borderId="0" xfId="0" applyNumberFormat="1" applyFont="1" applyBorder="1" applyAlignment="1">
      <alignment horizontal="center" vertical="center" wrapText="1"/>
    </xf>
    <xf numFmtId="0" fontId="25" fillId="0" borderId="24" xfId="0" applyFont="1" applyBorder="1" applyAlignment="1">
      <alignment horizontal="center"/>
    </xf>
    <xf numFmtId="0" fontId="25" fillId="12" borderId="9" xfId="6" applyFont="1" applyFill="1" applyBorder="1" applyAlignment="1">
      <alignment horizontal="left" vertical="center" wrapText="1"/>
    </xf>
    <xf numFmtId="168" fontId="25" fillId="0" borderId="9" xfId="6" applyNumberFormat="1" applyFont="1" applyFill="1" applyBorder="1" applyAlignment="1">
      <alignment horizontal="left" vertical="center"/>
    </xf>
    <xf numFmtId="2" fontId="25" fillId="0" borderId="18" xfId="0" applyNumberFormat="1" applyFont="1" applyFill="1" applyBorder="1" applyAlignment="1">
      <alignment horizontal="center"/>
    </xf>
    <xf numFmtId="2" fontId="1" fillId="0" borderId="9" xfId="0" applyNumberFormat="1" applyFont="1" applyBorder="1" applyAlignment="1">
      <alignment horizontal="center"/>
    </xf>
    <xf numFmtId="2" fontId="30" fillId="0" borderId="9" xfId="9" applyNumberFormat="1" applyFont="1" applyBorder="1" applyAlignment="1">
      <alignment horizontal="center"/>
    </xf>
    <xf numFmtId="168" fontId="25" fillId="0" borderId="9" xfId="4" applyNumberFormat="1" applyFont="1" applyFill="1" applyBorder="1" applyAlignment="1">
      <alignment horizontal="left" vertical="center"/>
    </xf>
    <xf numFmtId="2" fontId="1" fillId="5" borderId="9" xfId="0" applyNumberFormat="1" applyFont="1" applyFill="1" applyBorder="1" applyAlignment="1">
      <alignment horizontal="center"/>
    </xf>
    <xf numFmtId="2" fontId="29" fillId="0" borderId="9" xfId="9" applyNumberFormat="1" applyBorder="1" applyAlignment="1">
      <alignment horizontal="center"/>
    </xf>
    <xf numFmtId="168" fontId="25" fillId="0" borderId="19" xfId="6" applyNumberFormat="1" applyFont="1" applyFill="1" applyBorder="1" applyAlignment="1">
      <alignment horizontal="left" vertical="center"/>
    </xf>
    <xf numFmtId="2" fontId="1" fillId="5" borderId="19" xfId="0" applyNumberFormat="1" applyFont="1" applyFill="1" applyBorder="1" applyAlignment="1">
      <alignment horizontal="center"/>
    </xf>
    <xf numFmtId="2" fontId="30" fillId="0" borderId="19" xfId="9" applyNumberFormat="1" applyFont="1" applyBorder="1" applyAlignment="1">
      <alignment horizontal="center"/>
    </xf>
    <xf numFmtId="0" fontId="29" fillId="0" borderId="19" xfId="9" applyBorder="1"/>
    <xf numFmtId="0" fontId="25" fillId="0" borderId="33" xfId="0" applyFont="1" applyFill="1" applyBorder="1" applyAlignment="1">
      <alignment horizontal="left"/>
    </xf>
    <xf numFmtId="0" fontId="25" fillId="5" borderId="14" xfId="0" applyFont="1" applyFill="1" applyBorder="1" applyAlignment="1">
      <alignment horizontal="center"/>
    </xf>
    <xf numFmtId="2" fontId="25" fillId="0" borderId="34" xfId="0" applyNumberFormat="1" applyFont="1" applyFill="1" applyBorder="1" applyAlignment="1">
      <alignment horizontal="center"/>
    </xf>
    <xf numFmtId="0" fontId="1" fillId="5" borderId="30" xfId="0" applyFont="1" applyFill="1" applyBorder="1" applyAlignment="1">
      <alignment horizontal="center"/>
    </xf>
    <xf numFmtId="0" fontId="1" fillId="5" borderId="9" xfId="0" applyFont="1" applyFill="1" applyBorder="1" applyAlignment="1">
      <alignment horizontal="center"/>
    </xf>
    <xf numFmtId="168" fontId="25" fillId="0" borderId="4" xfId="6" applyNumberFormat="1" applyFont="1" applyFill="1" applyBorder="1" applyAlignment="1">
      <alignment horizontal="left" vertical="center"/>
    </xf>
    <xf numFmtId="2" fontId="25" fillId="0" borderId="23" xfId="0" applyNumberFormat="1" applyFont="1" applyFill="1" applyBorder="1" applyAlignment="1">
      <alignment horizontal="center"/>
    </xf>
    <xf numFmtId="2" fontId="25" fillId="0" borderId="26" xfId="0" applyNumberFormat="1" applyFont="1" applyFill="1" applyBorder="1" applyAlignment="1">
      <alignment horizontal="center"/>
    </xf>
    <xf numFmtId="2" fontId="5" fillId="0" borderId="23" xfId="0" applyNumberFormat="1" applyFont="1" applyFill="1" applyBorder="1" applyAlignment="1">
      <alignment horizontal="center"/>
    </xf>
    <xf numFmtId="2" fontId="1" fillId="0" borderId="23" xfId="0" applyNumberFormat="1" applyFont="1" applyBorder="1" applyAlignment="1">
      <alignment horizontal="center"/>
    </xf>
    <xf numFmtId="2" fontId="25" fillId="5" borderId="9" xfId="15" applyNumberFormat="1" applyFont="1" applyFill="1" applyBorder="1" applyAlignment="1">
      <alignment horizontal="center"/>
    </xf>
    <xf numFmtId="2" fontId="25" fillId="0" borderId="9" xfId="0" applyNumberFormat="1" applyFont="1" applyFill="1" applyBorder="1" applyAlignment="1">
      <alignment horizontal="center"/>
    </xf>
    <xf numFmtId="10" fontId="25" fillId="0" borderId="9" xfId="8" applyNumberFormat="1" applyFont="1" applyFill="1" applyBorder="1" applyAlignment="1">
      <alignment horizontal="center" vertical="center" wrapText="1"/>
    </xf>
    <xf numFmtId="9" fontId="25" fillId="0" borderId="0" xfId="3" applyFont="1"/>
    <xf numFmtId="10" fontId="48" fillId="0" borderId="9" xfId="8" applyNumberFormat="1" applyFont="1" applyBorder="1" applyAlignment="1">
      <alignment horizontal="center" vertical="center" wrapText="1"/>
    </xf>
    <xf numFmtId="10" fontId="5" fillId="0" borderId="9" xfId="8" applyNumberFormat="1" applyFont="1" applyFill="1" applyBorder="1" applyAlignment="1">
      <alignment horizontal="center" vertical="center" wrapText="1"/>
    </xf>
    <xf numFmtId="10" fontId="25" fillId="0" borderId="9" xfId="8" applyNumberFormat="1" applyFont="1" applyBorder="1" applyAlignment="1">
      <alignment horizontal="center" vertical="center" wrapText="1"/>
    </xf>
    <xf numFmtId="10" fontId="5" fillId="0" borderId="9" xfId="8" applyNumberFormat="1" applyFont="1" applyBorder="1" applyAlignment="1">
      <alignment horizontal="center" vertical="center" wrapText="1"/>
    </xf>
    <xf numFmtId="39" fontId="1" fillId="0" borderId="9" xfId="6" applyNumberFormat="1" applyFont="1" applyBorder="1" applyAlignment="1">
      <alignment horizontal="center"/>
    </xf>
    <xf numFmtId="2" fontId="31" fillId="0" borderId="9" xfId="9" applyNumberFormat="1" applyFont="1" applyBorder="1" applyAlignment="1">
      <alignment horizontal="center"/>
    </xf>
    <xf numFmtId="39" fontId="25" fillId="0" borderId="9" xfId="6" applyNumberFormat="1" applyFont="1" applyBorder="1" applyAlignment="1">
      <alignment horizontal="center"/>
    </xf>
    <xf numFmtId="9" fontId="25" fillId="0" borderId="9" xfId="8" applyNumberFormat="1" applyFont="1" applyBorder="1" applyAlignment="1">
      <alignment horizontal="center" vertical="center" wrapText="1"/>
    </xf>
    <xf numFmtId="194" fontId="25" fillId="0" borderId="9" xfId="6" applyNumberFormat="1" applyFont="1" applyBorder="1" applyAlignment="1">
      <alignment horizontal="center"/>
    </xf>
    <xf numFmtId="194" fontId="1" fillId="0" borderId="9" xfId="6" applyNumberFormat="1" applyFont="1" applyBorder="1" applyAlignment="1">
      <alignment horizontal="center"/>
    </xf>
    <xf numFmtId="170" fontId="25" fillId="0" borderId="9" xfId="6" applyNumberFormat="1" applyFont="1" applyBorder="1" applyAlignment="1">
      <alignment horizontal="center"/>
    </xf>
    <xf numFmtId="170" fontId="1" fillId="0" borderId="9" xfId="6" applyNumberFormat="1" applyFont="1" applyBorder="1" applyAlignment="1">
      <alignment horizontal="center"/>
    </xf>
    <xf numFmtId="171" fontId="25" fillId="5" borderId="9" xfId="5" applyNumberFormat="1" applyFont="1" applyFill="1" applyBorder="1" applyAlignment="1" applyProtection="1">
      <alignment horizontal="center"/>
      <protection locked="0"/>
    </xf>
    <xf numFmtId="171" fontId="30" fillId="5" borderId="9" xfId="2" applyNumberFormat="1" applyFont="1" applyFill="1" applyBorder="1" applyAlignment="1">
      <alignment horizontal="center"/>
    </xf>
    <xf numFmtId="0" fontId="0" fillId="5" borderId="9" xfId="0" applyFill="1" applyBorder="1" applyAlignment="1">
      <alignment horizontal="left" vertical="center" wrapText="1"/>
    </xf>
    <xf numFmtId="0" fontId="38" fillId="5" borderId="9" xfId="13" applyFont="1" applyFill="1" applyBorder="1" applyAlignment="1">
      <alignment horizontal="center"/>
    </xf>
    <xf numFmtId="0" fontId="0" fillId="0" borderId="16" xfId="0" applyBorder="1"/>
    <xf numFmtId="39" fontId="0" fillId="5" borderId="9" xfId="1" applyNumberFormat="1" applyFont="1" applyFill="1" applyBorder="1" applyAlignment="1">
      <alignment horizontal="center"/>
    </xf>
    <xf numFmtId="39" fontId="29" fillId="0" borderId="9" xfId="9" applyNumberFormat="1" applyBorder="1" applyAlignment="1">
      <alignment horizontal="center"/>
    </xf>
    <xf numFmtId="39" fontId="29" fillId="0" borderId="9" xfId="9" applyNumberFormat="1" applyFont="1" applyBorder="1" applyAlignment="1">
      <alignment horizontal="center"/>
    </xf>
    <xf numFmtId="0" fontId="29" fillId="0" borderId="9" xfId="9" applyFont="1" applyBorder="1"/>
    <xf numFmtId="180" fontId="25" fillId="5" borderId="9" xfId="0" applyNumberFormat="1" applyFont="1" applyFill="1" applyBorder="1" applyAlignment="1">
      <alignment horizontal="center" vertical="center" wrapText="1"/>
    </xf>
    <xf numFmtId="0" fontId="40" fillId="5" borderId="9" xfId="13" applyFont="1" applyFill="1" applyBorder="1" applyAlignment="1">
      <alignment horizontal="center" vertical="center"/>
    </xf>
    <xf numFmtId="0" fontId="29" fillId="0" borderId="0" xfId="9" applyAlignment="1">
      <alignment vertical="center"/>
    </xf>
    <xf numFmtId="0" fontId="29" fillId="0" borderId="0" xfId="9" applyFont="1" applyAlignment="1">
      <alignment vertical="center"/>
    </xf>
    <xf numFmtId="180" fontId="25" fillId="5" borderId="0" xfId="0" applyNumberFormat="1" applyFont="1" applyFill="1" applyBorder="1" applyAlignment="1">
      <alignment horizontal="center" vertical="center" wrapText="1"/>
    </xf>
    <xf numFmtId="0" fontId="29" fillId="0" borderId="0" xfId="9" applyAlignment="1">
      <alignment horizontal="center" vertical="center"/>
    </xf>
    <xf numFmtId="2" fontId="6" fillId="13" borderId="0" xfId="0" applyNumberFormat="1" applyFont="1" applyFill="1" applyAlignment="1">
      <alignment horizontal="center"/>
    </xf>
    <xf numFmtId="0" fontId="25" fillId="12" borderId="25" xfId="0" applyFont="1" applyFill="1" applyBorder="1" applyAlignment="1">
      <alignment horizontal="center" vertical="center" wrapText="1"/>
    </xf>
    <xf numFmtId="0" fontId="25" fillId="12" borderId="28" xfId="0" applyFont="1" applyFill="1" applyBorder="1" applyAlignment="1">
      <alignment horizontal="center" vertical="center" wrapText="1"/>
    </xf>
    <xf numFmtId="0" fontId="25" fillId="12" borderId="26" xfId="0" applyFont="1" applyFill="1" applyBorder="1" applyAlignment="1">
      <alignment horizontal="center" vertical="center" wrapText="1"/>
    </xf>
    <xf numFmtId="167" fontId="6" fillId="13" borderId="0" xfId="0" applyNumberFormat="1" applyFont="1" applyFill="1" applyAlignment="1">
      <alignment horizontal="left"/>
    </xf>
    <xf numFmtId="0" fontId="29" fillId="9" borderId="9" xfId="9" applyFont="1" applyFill="1" applyBorder="1"/>
    <xf numFmtId="9" fontId="0" fillId="0" borderId="0" xfId="3" applyNumberFormat="1" applyFont="1" applyAlignment="1">
      <alignment horizontal="center"/>
    </xf>
    <xf numFmtId="9" fontId="0" fillId="5" borderId="9" xfId="3" applyNumberFormat="1" applyFont="1" applyFill="1" applyBorder="1" applyAlignment="1">
      <alignment horizontal="center" vertical="center" wrapText="1"/>
    </xf>
    <xf numFmtId="0" fontId="0" fillId="5" borderId="19" xfId="0" applyFill="1" applyBorder="1" applyAlignment="1">
      <alignment horizontal="left" vertical="center" wrapText="1"/>
    </xf>
    <xf numFmtId="0" fontId="29" fillId="9" borderId="9" xfId="9" applyFont="1" applyFill="1" applyBorder="1" applyAlignment="1">
      <alignment horizontal="center"/>
    </xf>
    <xf numFmtId="9" fontId="0" fillId="0" borderId="9" xfId="0" applyNumberFormat="1" applyBorder="1" applyAlignment="1">
      <alignment horizontal="center" vertical="center" wrapText="1"/>
    </xf>
    <xf numFmtId="0" fontId="0" fillId="0" borderId="27" xfId="0" applyBorder="1" applyAlignment="1">
      <alignment vertical="center" wrapText="1"/>
    </xf>
    <xf numFmtId="2" fontId="29" fillId="5" borderId="9" xfId="9" applyNumberFormat="1" applyFill="1" applyBorder="1" applyAlignment="1">
      <alignment horizontal="center"/>
    </xf>
    <xf numFmtId="0" fontId="30" fillId="0" borderId="0" xfId="9" applyFont="1" applyAlignment="1">
      <alignment wrapText="1"/>
    </xf>
    <xf numFmtId="39" fontId="25" fillId="0" borderId="9" xfId="1" applyNumberFormat="1" applyFont="1" applyFill="1" applyBorder="1" applyAlignment="1">
      <alignment horizontal="center" vertical="center" wrapText="1"/>
    </xf>
    <xf numFmtId="39" fontId="76" fillId="0" borderId="9" xfId="1" applyNumberFormat="1" applyFont="1" applyFill="1" applyBorder="1" applyAlignment="1">
      <alignment horizontal="center" vertical="center" wrapText="1"/>
    </xf>
    <xf numFmtId="9" fontId="76" fillId="0" borderId="9" xfId="3" applyFont="1" applyFill="1" applyBorder="1" applyAlignment="1">
      <alignment horizontal="center" vertical="center" wrapText="1"/>
    </xf>
    <xf numFmtId="0" fontId="30" fillId="0" borderId="9" xfId="9" applyFont="1" applyBorder="1" applyAlignment="1">
      <alignment wrapText="1"/>
    </xf>
    <xf numFmtId="0" fontId="30" fillId="0" borderId="9" xfId="9" applyFont="1" applyBorder="1"/>
    <xf numFmtId="37" fontId="25" fillId="0" borderId="9" xfId="1" applyNumberFormat="1" applyFont="1" applyFill="1" applyBorder="1" applyAlignment="1">
      <alignment horizontal="center" vertical="center" wrapText="1"/>
    </xf>
    <xf numFmtId="37" fontId="76" fillId="0" borderId="9" xfId="1" applyNumberFormat="1" applyFont="1" applyFill="1" applyBorder="1" applyAlignment="1">
      <alignment horizontal="center" vertical="center" wrapText="1"/>
    </xf>
    <xf numFmtId="171" fontId="76" fillId="0" borderId="9" xfId="0" applyNumberFormat="1" applyFont="1" applyFill="1" applyBorder="1" applyAlignment="1">
      <alignment horizontal="center" vertical="center" wrapText="1"/>
    </xf>
    <xf numFmtId="165" fontId="30" fillId="0" borderId="9" xfId="9" applyNumberFormat="1" applyFont="1" applyBorder="1" applyAlignment="1">
      <alignment horizontal="center"/>
    </xf>
    <xf numFmtId="0" fontId="1" fillId="5" borderId="9" xfId="7" applyFont="1" applyFill="1" applyBorder="1"/>
    <xf numFmtId="171" fontId="25" fillId="5" borderId="9" xfId="14" applyNumberFormat="1" applyFont="1" applyFill="1" applyBorder="1" applyAlignment="1">
      <alignment horizontal="center" vertical="center"/>
    </xf>
    <xf numFmtId="0" fontId="25" fillId="5" borderId="14" xfId="7" applyFont="1" applyFill="1" applyBorder="1" applyAlignment="1">
      <alignment horizontal="left"/>
    </xf>
    <xf numFmtId="171" fontId="25" fillId="5" borderId="14" xfId="14" applyNumberFormat="1" applyFont="1" applyFill="1" applyBorder="1" applyAlignment="1">
      <alignment horizontal="center" vertical="center"/>
    </xf>
    <xf numFmtId="0" fontId="5" fillId="5" borderId="0" xfId="7" applyFont="1" applyFill="1" applyAlignment="1">
      <alignment horizontal="center"/>
    </xf>
    <xf numFmtId="0" fontId="1" fillId="5" borderId="0" xfId="7" applyFill="1" applyAlignment="1">
      <alignment horizontal="center"/>
    </xf>
    <xf numFmtId="0" fontId="25" fillId="0" borderId="9" xfId="7" applyFont="1" applyFill="1" applyBorder="1" applyAlignment="1">
      <alignment horizontal="center"/>
    </xf>
    <xf numFmtId="2" fontId="25" fillId="0" borderId="9" xfId="7" applyNumberFormat="1" applyFont="1" applyFill="1" applyBorder="1"/>
    <xf numFmtId="37" fontId="5" fillId="0" borderId="9" xfId="1" applyNumberFormat="1" applyFont="1" applyFill="1" applyBorder="1" applyAlignment="1">
      <alignment horizontal="center" vertical="center" wrapText="1"/>
    </xf>
    <xf numFmtId="0" fontId="1" fillId="0" borderId="9" xfId="7" applyFill="1" applyBorder="1" applyAlignment="1">
      <alignment horizontal="center"/>
    </xf>
    <xf numFmtId="165" fontId="59" fillId="0" borderId="9" xfId="7" applyNumberFormat="1" applyFont="1" applyFill="1" applyBorder="1" applyAlignment="1">
      <alignment horizontal="left" vertical="center" wrapText="1"/>
    </xf>
    <xf numFmtId="0" fontId="5" fillId="5" borderId="9" xfId="7" applyFont="1" applyFill="1" applyBorder="1" applyAlignment="1">
      <alignment horizontal="center"/>
    </xf>
    <xf numFmtId="165" fontId="25" fillId="5" borderId="9" xfId="7" applyNumberFormat="1" applyFont="1" applyFill="1" applyBorder="1" applyAlignment="1">
      <alignment horizontal="center" vertical="center" wrapText="1"/>
    </xf>
    <xf numFmtId="165" fontId="1" fillId="5" borderId="9" xfId="7" applyNumberFormat="1" applyFont="1" applyFill="1" applyBorder="1" applyAlignment="1">
      <alignment horizontal="left" vertical="center" wrapText="1"/>
    </xf>
    <xf numFmtId="165" fontId="5" fillId="5" borderId="9" xfId="7" applyNumberFormat="1" applyFont="1" applyFill="1" applyBorder="1" applyAlignment="1">
      <alignment horizontal="center" vertical="center" wrapText="1"/>
    </xf>
    <xf numFmtId="9" fontId="1" fillId="0" borderId="14" xfId="3" applyFont="1" applyFill="1" applyBorder="1" applyAlignment="1">
      <alignment horizontal="left" vertical="center" wrapText="1"/>
    </xf>
    <xf numFmtId="9" fontId="25" fillId="0" borderId="14" xfId="3" applyFont="1" applyFill="1" applyBorder="1" applyAlignment="1">
      <alignment horizontal="center" vertical="center" wrapText="1"/>
    </xf>
    <xf numFmtId="0" fontId="25" fillId="0" borderId="9" xfId="7" applyFont="1" applyFill="1" applyBorder="1" applyAlignment="1"/>
    <xf numFmtId="165" fontId="25" fillId="0" borderId="23" xfId="7" applyNumberFormat="1" applyFont="1" applyFill="1" applyBorder="1" applyAlignment="1">
      <alignment horizontal="center" vertical="center"/>
    </xf>
    <xf numFmtId="0" fontId="18" fillId="5" borderId="0" xfId="6" applyFont="1" applyFill="1" applyBorder="1" applyAlignment="1">
      <alignment vertical="center" wrapText="1"/>
    </xf>
    <xf numFmtId="0" fontId="37" fillId="5" borderId="0" xfId="0" applyFont="1" applyFill="1" applyBorder="1" applyAlignment="1">
      <alignment vertical="center" wrapText="1"/>
    </xf>
    <xf numFmtId="0" fontId="0" fillId="0" borderId="0" xfId="0" applyBorder="1" applyAlignment="1">
      <alignment vertical="center" wrapText="1"/>
    </xf>
    <xf numFmtId="0" fontId="38" fillId="0" borderId="9" xfId="13" applyFont="1" applyBorder="1" applyAlignment="1">
      <alignment horizontal="center"/>
    </xf>
    <xf numFmtId="165" fontId="0" fillId="0" borderId="9" xfId="0" applyNumberFormat="1" applyBorder="1" applyAlignment="1">
      <alignment horizontal="center" vertical="center" wrapText="1"/>
    </xf>
    <xf numFmtId="43" fontId="0" fillId="0" borderId="16" xfId="1" applyFont="1" applyBorder="1"/>
    <xf numFmtId="0" fontId="77" fillId="5" borderId="0" xfId="6" applyFont="1" applyFill="1" applyBorder="1" applyAlignment="1">
      <alignment vertical="center" wrapText="1"/>
    </xf>
    <xf numFmtId="0" fontId="25" fillId="0" borderId="0" xfId="7" applyFont="1" applyBorder="1" applyAlignment="1">
      <alignment horizontal="left" vertical="center" wrapText="1"/>
    </xf>
    <xf numFmtId="1" fontId="0" fillId="0" borderId="9" xfId="14" applyNumberFormat="1" applyFont="1" applyFill="1" applyBorder="1" applyAlignment="1">
      <alignment horizontal="center" vertical="center" wrapText="1"/>
    </xf>
    <xf numFmtId="165" fontId="0" fillId="0" borderId="9" xfId="14" applyNumberFormat="1" applyFont="1" applyFill="1" applyBorder="1" applyAlignment="1">
      <alignment horizontal="center" vertical="center" wrapText="1"/>
    </xf>
    <xf numFmtId="0" fontId="25" fillId="0" borderId="9" xfId="9" applyFont="1" applyBorder="1" applyAlignment="1">
      <alignment horizontal="left" wrapText="1"/>
    </xf>
    <xf numFmtId="0" fontId="78" fillId="0" borderId="0" xfId="0" applyFont="1" applyAlignment="1">
      <alignment horizontal="left"/>
    </xf>
    <xf numFmtId="201" fontId="25" fillId="0" borderId="9" xfId="9" applyNumberFormat="1" applyFont="1" applyBorder="1" applyAlignment="1">
      <alignment horizontal="center"/>
    </xf>
    <xf numFmtId="39" fontId="25" fillId="0" borderId="9" xfId="0" applyNumberFormat="1" applyFont="1" applyFill="1" applyBorder="1" applyAlignment="1">
      <alignment horizontal="center" vertical="center" wrapText="1"/>
    </xf>
    <xf numFmtId="1" fontId="0" fillId="0" borderId="9" xfId="3" applyNumberFormat="1" applyFont="1" applyBorder="1" applyAlignment="1">
      <alignment horizontal="center"/>
    </xf>
    <xf numFmtId="0" fontId="56" fillId="0" borderId="9" xfId="9" applyFont="1" applyBorder="1" applyAlignment="1">
      <alignment horizontal="left" vertical="center"/>
    </xf>
    <xf numFmtId="1" fontId="0" fillId="5" borderId="9" xfId="3" applyNumberFormat="1" applyFont="1" applyFill="1" applyBorder="1" applyAlignment="1">
      <alignment horizontal="center"/>
    </xf>
    <xf numFmtId="2" fontId="0" fillId="0" borderId="9" xfId="3" applyNumberFormat="1" applyFont="1" applyBorder="1" applyAlignment="1">
      <alignment horizontal="center"/>
    </xf>
    <xf numFmtId="1" fontId="25" fillId="0" borderId="9" xfId="3" applyNumberFormat="1" applyFont="1" applyBorder="1" applyAlignment="1">
      <alignment horizontal="center"/>
    </xf>
    <xf numFmtId="0" fontId="25" fillId="0" borderId="9" xfId="9" applyFont="1" applyBorder="1"/>
    <xf numFmtId="0" fontId="25" fillId="0" borderId="9" xfId="14" applyFont="1" applyBorder="1" applyAlignment="1">
      <alignment horizontal="center"/>
    </xf>
    <xf numFmtId="165" fontId="29" fillId="5" borderId="9" xfId="9" applyNumberFormat="1" applyFill="1" applyBorder="1" applyAlignment="1">
      <alignment horizontal="center"/>
    </xf>
    <xf numFmtId="165" fontId="30" fillId="5" borderId="9" xfId="9" applyNumberFormat="1" applyFont="1" applyFill="1" applyBorder="1" applyAlignment="1">
      <alignment horizontal="center"/>
    </xf>
    <xf numFmtId="0" fontId="30" fillId="5" borderId="0" xfId="9" applyFont="1" applyFill="1" applyBorder="1" applyAlignment="1">
      <alignment horizontal="left"/>
    </xf>
    <xf numFmtId="0" fontId="43" fillId="0" borderId="9" xfId="9" applyFont="1" applyBorder="1" applyAlignment="1">
      <alignment horizontal="left" vertical="center"/>
    </xf>
    <xf numFmtId="2" fontId="29" fillId="0" borderId="9" xfId="3" applyNumberFormat="1" applyFont="1" applyBorder="1" applyAlignment="1">
      <alignment horizontal="center"/>
    </xf>
    <xf numFmtId="0" fontId="43" fillId="0" borderId="19" xfId="9" applyFont="1" applyBorder="1" applyAlignment="1">
      <alignment horizontal="left" vertical="center"/>
    </xf>
    <xf numFmtId="169" fontId="25" fillId="5" borderId="9" xfId="2" applyNumberFormat="1" applyFont="1" applyFill="1" applyBorder="1" applyAlignment="1">
      <alignment horizontal="center"/>
    </xf>
    <xf numFmtId="0" fontId="40" fillId="5" borderId="9" xfId="14" applyFont="1" applyFill="1" applyBorder="1" applyAlignment="1">
      <alignment horizontal="center"/>
    </xf>
    <xf numFmtId="0" fontId="30" fillId="5" borderId="0" xfId="9" applyFont="1" applyFill="1" applyAlignment="1">
      <alignment horizontal="left"/>
    </xf>
    <xf numFmtId="178" fontId="25" fillId="5" borderId="0" xfId="2" applyNumberFormat="1" applyFont="1" applyFill="1" applyBorder="1" applyAlignment="1">
      <alignment horizontal="center"/>
    </xf>
    <xf numFmtId="0" fontId="30" fillId="5" borderId="9" xfId="9" applyFont="1" applyFill="1" applyBorder="1" applyAlignment="1">
      <alignment wrapText="1"/>
    </xf>
    <xf numFmtId="0" fontId="25" fillId="0" borderId="9" xfId="0" applyFont="1" applyBorder="1" applyAlignment="1">
      <alignment horizontal="left"/>
    </xf>
    <xf numFmtId="2" fontId="30" fillId="5" borderId="9" xfId="3" applyNumberFormat="1" applyFont="1" applyFill="1" applyBorder="1" applyAlignment="1">
      <alignment horizontal="center"/>
    </xf>
    <xf numFmtId="2" fontId="29" fillId="5" borderId="9" xfId="3" applyNumberFormat="1" applyFont="1" applyFill="1" applyBorder="1" applyAlignment="1">
      <alignment horizontal="center"/>
    </xf>
    <xf numFmtId="9" fontId="5" fillId="5" borderId="9" xfId="3" applyNumberFormat="1" applyFont="1" applyFill="1" applyBorder="1" applyAlignment="1">
      <alignment horizontal="center"/>
    </xf>
    <xf numFmtId="0" fontId="30" fillId="0" borderId="0" xfId="9" applyFont="1" applyFill="1" applyAlignment="1">
      <alignment horizontal="center"/>
    </xf>
    <xf numFmtId="165" fontId="30" fillId="5" borderId="9" xfId="3" applyNumberFormat="1" applyFont="1" applyFill="1" applyBorder="1" applyAlignment="1">
      <alignment horizontal="center"/>
    </xf>
    <xf numFmtId="44" fontId="25" fillId="0" borderId="9" xfId="2" applyFont="1" applyFill="1" applyBorder="1"/>
    <xf numFmtId="165" fontId="29" fillId="5" borderId="9" xfId="3" applyNumberFormat="1" applyFont="1" applyFill="1" applyBorder="1" applyAlignment="1">
      <alignment horizontal="center"/>
    </xf>
    <xf numFmtId="9" fontId="30" fillId="5" borderId="23" xfId="3" applyFont="1" applyFill="1" applyBorder="1" applyAlignment="1">
      <alignment horizontal="center"/>
    </xf>
    <xf numFmtId="44" fontId="30" fillId="0" borderId="0" xfId="9" applyNumberFormat="1" applyFont="1" applyFill="1"/>
    <xf numFmtId="170" fontId="25" fillId="0" borderId="9" xfId="1" applyNumberFormat="1" applyFont="1" applyBorder="1" applyAlignment="1">
      <alignment horizontal="center"/>
    </xf>
    <xf numFmtId="171" fontId="25" fillId="0" borderId="9" xfId="3" applyNumberFormat="1" applyFont="1" applyBorder="1" applyAlignment="1">
      <alignment horizontal="center"/>
    </xf>
    <xf numFmtId="171" fontId="5" fillId="0" borderId="9" xfId="3" applyNumberFormat="1" applyFont="1" applyBorder="1" applyAlignment="1">
      <alignment horizontal="center"/>
    </xf>
    <xf numFmtId="165" fontId="0" fillId="0" borderId="9" xfId="0" applyNumberFormat="1" applyFont="1" applyBorder="1" applyAlignment="1">
      <alignment horizontal="center"/>
    </xf>
    <xf numFmtId="0" fontId="40" fillId="0" borderId="0" xfId="13" applyFont="1" applyFill="1" applyBorder="1" applyAlignment="1">
      <alignment horizontal="center"/>
    </xf>
    <xf numFmtId="168" fontId="25" fillId="0" borderId="9" xfId="6" applyNumberFormat="1" applyFont="1" applyBorder="1" applyAlignment="1">
      <alignment horizontal="left" vertical="center"/>
    </xf>
    <xf numFmtId="2" fontId="0" fillId="5" borderId="9" xfId="0" applyNumberFormat="1" applyFont="1" applyFill="1" applyBorder="1" applyAlignment="1">
      <alignment horizontal="center"/>
    </xf>
    <xf numFmtId="0" fontId="25" fillId="5" borderId="9" xfId="0" applyFont="1" applyFill="1" applyBorder="1" applyAlignment="1">
      <alignment horizontal="center"/>
    </xf>
    <xf numFmtId="10" fontId="25" fillId="5" borderId="9" xfId="8" applyNumberFormat="1" applyFont="1" applyFill="1" applyBorder="1" applyAlignment="1">
      <alignment horizontal="center" vertical="center" wrapText="1"/>
    </xf>
    <xf numFmtId="10" fontId="48" fillId="5" borderId="9" xfId="8" applyNumberFormat="1" applyFont="1" applyFill="1" applyBorder="1" applyAlignment="1">
      <alignment horizontal="center" vertical="center" wrapText="1"/>
    </xf>
    <xf numFmtId="9" fontId="25" fillId="5" borderId="9" xfId="8" applyFont="1" applyFill="1" applyBorder="1" applyAlignment="1">
      <alignment horizontal="center" vertical="center" wrapText="1"/>
    </xf>
    <xf numFmtId="0" fontId="76" fillId="0" borderId="9" xfId="0" applyFont="1" applyFill="1" applyBorder="1" applyAlignment="1">
      <alignment horizontal="center" vertical="center"/>
    </xf>
    <xf numFmtId="201" fontId="76" fillId="0" borderId="9" xfId="9" applyNumberFormat="1" applyFont="1" applyBorder="1" applyAlignment="1">
      <alignment horizontal="center"/>
    </xf>
    <xf numFmtId="0" fontId="25" fillId="0" borderId="0" xfId="0" applyFont="1" applyAlignment="1">
      <alignment horizontal="left" wrapText="1"/>
    </xf>
    <xf numFmtId="2" fontId="0" fillId="0" borderId="0" xfId="0" applyNumberFormat="1" applyAlignment="1">
      <alignment horizontal="center" wrapText="1"/>
    </xf>
    <xf numFmtId="0" fontId="30" fillId="0" borderId="39" xfId="9" applyFont="1" applyBorder="1"/>
    <xf numFmtId="190" fontId="30" fillId="0" borderId="0" xfId="9" applyNumberFormat="1" applyFont="1"/>
    <xf numFmtId="2" fontId="30" fillId="0" borderId="0" xfId="9" applyNumberFormat="1" applyFont="1" applyAlignment="1">
      <alignment horizontal="center"/>
    </xf>
    <xf numFmtId="179" fontId="0" fillId="5" borderId="9" xfId="0" applyNumberFormat="1" applyFont="1" applyFill="1" applyBorder="1" applyAlignment="1">
      <alignment horizontal="center" vertical="center" wrapText="1"/>
    </xf>
    <xf numFmtId="0" fontId="25" fillId="0" borderId="0" xfId="0" applyFont="1" applyFill="1" applyBorder="1" applyAlignment="1">
      <alignment horizontal="left" vertical="center" wrapText="1"/>
    </xf>
    <xf numFmtId="0" fontId="79" fillId="0" borderId="0" xfId="0" applyFont="1" applyBorder="1" applyAlignment="1">
      <alignment horizontal="left" vertical="center" wrapText="1"/>
    </xf>
    <xf numFmtId="165" fontId="80" fillId="0" borderId="9" xfId="9" applyNumberFormat="1" applyFont="1" applyBorder="1" applyAlignment="1">
      <alignment horizontal="left" vertical="center"/>
    </xf>
    <xf numFmtId="179" fontId="25" fillId="0" borderId="9" xfId="1" applyNumberFormat="1" applyFont="1" applyBorder="1" applyAlignment="1">
      <alignment horizontal="left"/>
    </xf>
    <xf numFmtId="171" fontId="25" fillId="0" borderId="9" xfId="2" applyNumberFormat="1" applyFont="1" applyBorder="1" applyAlignment="1">
      <alignment horizontal="left"/>
    </xf>
    <xf numFmtId="170" fontId="25" fillId="0" borderId="9" xfId="0" applyNumberFormat="1" applyFont="1" applyFill="1" applyBorder="1" applyAlignment="1">
      <alignment horizontal="center" vertical="center" wrapText="1"/>
    </xf>
    <xf numFmtId="2" fontId="0" fillId="5" borderId="9" xfId="1" applyNumberFormat="1" applyFont="1" applyFill="1" applyBorder="1" applyAlignment="1">
      <alignment horizontal="center"/>
    </xf>
    <xf numFmtId="0" fontId="25" fillId="0" borderId="22" xfId="0" applyFont="1" applyFill="1" applyBorder="1" applyAlignment="1">
      <alignment horizontal="center" vertical="center" wrapText="1"/>
    </xf>
    <xf numFmtId="39" fontId="76" fillId="5" borderId="9" xfId="1" applyNumberFormat="1" applyFont="1" applyFill="1" applyBorder="1" applyAlignment="1">
      <alignment horizontal="center" vertical="center" wrapText="1"/>
    </xf>
    <xf numFmtId="39" fontId="0" fillId="0" borderId="9" xfId="1" applyNumberFormat="1" applyFont="1" applyFill="1" applyBorder="1" applyAlignment="1">
      <alignment horizontal="center" vertical="center" wrapText="1"/>
    </xf>
    <xf numFmtId="0" fontId="25" fillId="0" borderId="18" xfId="9" applyFont="1" applyBorder="1" applyAlignment="1">
      <alignment horizontal="left" wrapText="1"/>
    </xf>
    <xf numFmtId="37" fontId="0" fillId="0" borderId="9" xfId="1" applyNumberFormat="1" applyFont="1" applyFill="1" applyBorder="1" applyAlignment="1">
      <alignment horizontal="center" vertical="center" wrapText="1"/>
    </xf>
    <xf numFmtId="2" fontId="0" fillId="0" borderId="9" xfId="0" applyNumberFormat="1" applyBorder="1" applyAlignment="1">
      <alignment horizontal="center" vertical="center" wrapText="1"/>
    </xf>
    <xf numFmtId="0" fontId="0" fillId="0" borderId="9" xfId="7" applyFont="1" applyBorder="1"/>
    <xf numFmtId="168" fontId="0" fillId="0" borderId="9" xfId="6" applyNumberFormat="1" applyFont="1" applyBorder="1" applyAlignment="1">
      <alignment horizontal="left" vertical="center" wrapText="1"/>
    </xf>
    <xf numFmtId="2" fontId="0" fillId="0" borderId="9" xfId="0" applyNumberFormat="1" applyBorder="1" applyAlignment="1">
      <alignment wrapText="1"/>
    </xf>
    <xf numFmtId="165" fontId="0" fillId="0" borderId="9" xfId="0" applyNumberFormat="1" applyBorder="1" applyAlignment="1">
      <alignment vertical="center" wrapText="1"/>
    </xf>
    <xf numFmtId="2" fontId="0" fillId="0" borderId="9" xfId="0" applyNumberFormat="1" applyBorder="1" applyAlignment="1">
      <alignment vertical="center" wrapText="1"/>
    </xf>
    <xf numFmtId="0" fontId="0" fillId="0" borderId="9" xfId="0" applyBorder="1" applyAlignment="1"/>
    <xf numFmtId="2" fontId="0" fillId="0" borderId="9" xfId="0" applyNumberFormat="1" applyBorder="1" applyAlignment="1">
      <alignment horizontal="center" wrapText="1"/>
    </xf>
    <xf numFmtId="9" fontId="0" fillId="0" borderId="9" xfId="3" applyNumberFormat="1" applyFont="1" applyBorder="1" applyAlignment="1">
      <alignment horizontal="center" wrapText="1"/>
    </xf>
    <xf numFmtId="43" fontId="0" fillId="0" borderId="9" xfId="1" applyNumberFormat="1" applyFont="1" applyBorder="1" applyAlignment="1">
      <alignment horizontal="center" wrapText="1"/>
    </xf>
    <xf numFmtId="39" fontId="0" fillId="0" borderId="9" xfId="1" applyNumberFormat="1" applyFont="1" applyBorder="1" applyAlignment="1"/>
    <xf numFmtId="39" fontId="25" fillId="0" borderId="9" xfId="0" applyNumberFormat="1" applyFont="1" applyFill="1" applyBorder="1" applyAlignment="1">
      <alignment vertical="center" wrapText="1"/>
    </xf>
    <xf numFmtId="0" fontId="40" fillId="5" borderId="0" xfId="0" applyFont="1" applyFill="1"/>
    <xf numFmtId="204" fontId="0" fillId="0" borderId="0" xfId="0" applyNumberFormat="1"/>
    <xf numFmtId="0" fontId="0" fillId="19" borderId="16" xfId="0" applyFill="1" applyBorder="1"/>
    <xf numFmtId="166" fontId="0" fillId="19" borderId="18" xfId="0" applyNumberFormat="1" applyFill="1" applyBorder="1"/>
    <xf numFmtId="0" fontId="38" fillId="5" borderId="9" xfId="13" applyFont="1" applyFill="1" applyBorder="1"/>
    <xf numFmtId="166" fontId="0" fillId="5" borderId="9" xfId="0" applyNumberFormat="1" applyFill="1" applyBorder="1"/>
    <xf numFmtId="0" fontId="38" fillId="15" borderId="16" xfId="13" applyFont="1" applyFill="1" applyBorder="1"/>
    <xf numFmtId="166" fontId="0" fillId="15" borderId="18" xfId="0" applyNumberFormat="1" applyFill="1" applyBorder="1"/>
    <xf numFmtId="204" fontId="0" fillId="0" borderId="9" xfId="0" applyNumberFormat="1" applyBorder="1"/>
    <xf numFmtId="166" fontId="0" fillId="0" borderId="0" xfId="0" applyNumberFormat="1"/>
    <xf numFmtId="205" fontId="0" fillId="5" borderId="0" xfId="3" applyNumberFormat="1" applyFont="1" applyFill="1"/>
    <xf numFmtId="0" fontId="38" fillId="5" borderId="0" xfId="19" applyFill="1"/>
    <xf numFmtId="0" fontId="81" fillId="5" borderId="0" xfId="19" applyFont="1" applyFill="1"/>
    <xf numFmtId="0" fontId="7" fillId="5" borderId="0" xfId="0" applyFont="1" applyFill="1"/>
    <xf numFmtId="0" fontId="38" fillId="5" borderId="0" xfId="19" applyFont="1" applyFill="1"/>
    <xf numFmtId="0" fontId="82" fillId="5" borderId="0" xfId="19" applyFont="1" applyFill="1"/>
    <xf numFmtId="0" fontId="59" fillId="5" borderId="0" xfId="0" applyFont="1" applyFill="1"/>
    <xf numFmtId="170" fontId="25" fillId="9" borderId="9" xfId="6" applyNumberFormat="1" applyFont="1" applyFill="1" applyBorder="1" applyAlignment="1">
      <alignment horizontal="center"/>
    </xf>
    <xf numFmtId="0" fontId="25" fillId="0" borderId="27" xfId="9" applyFont="1" applyBorder="1" applyAlignment="1">
      <alignment horizontal="center"/>
    </xf>
    <xf numFmtId="169" fontId="25" fillId="0" borderId="27" xfId="2" applyNumberFormat="1" applyFont="1" applyBorder="1"/>
    <xf numFmtId="0" fontId="0" fillId="0" borderId="27" xfId="0" applyBorder="1"/>
    <xf numFmtId="170" fontId="25" fillId="5" borderId="27" xfId="1" applyNumberFormat="1" applyFont="1" applyFill="1" applyBorder="1" applyAlignment="1">
      <alignment horizontal="center"/>
    </xf>
    <xf numFmtId="170" fontId="25" fillId="5" borderId="27" xfId="0" applyNumberFormat="1" applyFont="1" applyFill="1" applyBorder="1" applyAlignment="1">
      <alignment horizontal="center" vertical="center" wrapText="1"/>
    </xf>
    <xf numFmtId="0" fontId="5" fillId="0" borderId="27" xfId="0" applyFont="1" applyBorder="1" applyAlignment="1">
      <alignment horizontal="center"/>
    </xf>
    <xf numFmtId="0" fontId="25" fillId="12" borderId="20" xfId="6" applyFont="1" applyFill="1" applyBorder="1" applyAlignment="1">
      <alignment horizontal="center" vertical="center" wrapText="1"/>
    </xf>
    <xf numFmtId="168" fontId="25" fillId="5" borderId="9" xfId="6" applyNumberFormat="1" applyFont="1" applyFill="1" applyBorder="1" applyAlignment="1">
      <alignment horizontal="left" vertical="center" wrapText="1"/>
    </xf>
    <xf numFmtId="168" fontId="25" fillId="0" borderId="9" xfId="6" applyNumberFormat="1" applyFont="1" applyBorder="1" applyAlignment="1">
      <alignment horizontal="left" vertical="center" wrapText="1"/>
    </xf>
    <xf numFmtId="168" fontId="25" fillId="0" borderId="9" xfId="6" applyNumberFormat="1" applyFont="1" applyBorder="1" applyAlignment="1">
      <alignment horizontal="left" vertical="top" wrapText="1"/>
    </xf>
    <xf numFmtId="0" fontId="25" fillId="11" borderId="16" xfId="0" applyFont="1" applyFill="1" applyBorder="1" applyAlignment="1">
      <alignment horizontal="left"/>
    </xf>
    <xf numFmtId="0" fontId="25" fillId="11" borderId="17" xfId="0" applyFont="1" applyFill="1" applyBorder="1" applyAlignment="1">
      <alignment horizontal="left"/>
    </xf>
    <xf numFmtId="0" fontId="25" fillId="12" borderId="19" xfId="6" applyFont="1" applyFill="1" applyBorder="1" applyAlignment="1">
      <alignment horizontal="center" vertical="center" wrapText="1"/>
    </xf>
    <xf numFmtId="0" fontId="25" fillId="0" borderId="0" xfId="0" applyFont="1" applyBorder="1" applyAlignment="1">
      <alignment wrapText="1"/>
    </xf>
    <xf numFmtId="0" fontId="25" fillId="0" borderId="9" xfId="7" applyFont="1" applyFill="1" applyBorder="1" applyAlignment="1">
      <alignment wrapText="1"/>
    </xf>
    <xf numFmtId="0" fontId="25" fillId="12" borderId="9" xfId="0" applyFont="1" applyFill="1" applyBorder="1" applyAlignment="1">
      <alignment horizontal="center" vertical="center" wrapText="1"/>
    </xf>
    <xf numFmtId="0" fontId="25" fillId="0" borderId="9" xfId="0" applyFont="1" applyFill="1" applyBorder="1" applyAlignment="1">
      <alignment horizontal="left" vertical="center" wrapText="1"/>
    </xf>
    <xf numFmtId="165" fontId="25" fillId="0" borderId="9" xfId="7" applyNumberFormat="1" applyFont="1" applyFill="1" applyBorder="1" applyAlignment="1">
      <alignment horizontal="left" vertical="center" wrapText="1"/>
    </xf>
    <xf numFmtId="0" fontId="25" fillId="0" borderId="9" xfId="0" applyFont="1" applyFill="1" applyBorder="1" applyAlignment="1">
      <alignment wrapText="1"/>
    </xf>
    <xf numFmtId="0" fontId="25" fillId="12" borderId="16" xfId="0" applyFont="1" applyFill="1" applyBorder="1" applyAlignment="1">
      <alignment horizontal="center" vertical="center" wrapText="1"/>
    </xf>
    <xf numFmtId="0" fontId="25" fillId="12" borderId="18" xfId="0" applyFont="1" applyFill="1" applyBorder="1" applyAlignment="1">
      <alignment horizontal="center" vertical="center" wrapText="1"/>
    </xf>
    <xf numFmtId="165" fontId="25" fillId="0" borderId="9" xfId="9" applyNumberFormat="1" applyFont="1" applyFill="1" applyBorder="1" applyAlignment="1">
      <alignment horizontal="center"/>
    </xf>
    <xf numFmtId="7" fontId="25" fillId="0" borderId="9" xfId="2" applyNumberFormat="1" applyFont="1" applyFill="1" applyBorder="1" applyAlignment="1">
      <alignment horizontal="center"/>
    </xf>
    <xf numFmtId="0" fontId="25" fillId="12" borderId="17" xfId="0" applyFont="1" applyFill="1" applyBorder="1" applyAlignment="1">
      <alignment horizontal="center" vertical="center" wrapText="1"/>
    </xf>
    <xf numFmtId="165" fontId="25" fillId="0" borderId="18" xfId="14" applyNumberFormat="1" applyFont="1" applyFill="1" applyBorder="1" applyAlignment="1">
      <alignment horizontal="left" vertical="center" wrapText="1"/>
    </xf>
    <xf numFmtId="3" fontId="25" fillId="0" borderId="16" xfId="0" applyNumberFormat="1" applyFont="1" applyFill="1" applyBorder="1" applyAlignment="1">
      <alignment horizontal="center" vertical="center" wrapText="1"/>
    </xf>
    <xf numFmtId="0" fontId="25" fillId="0" borderId="23" xfId="0" applyFont="1" applyFill="1" applyBorder="1" applyAlignment="1">
      <alignment horizontal="left"/>
    </xf>
    <xf numFmtId="0" fontId="43" fillId="0" borderId="9" xfId="9" applyFont="1" applyFill="1" applyBorder="1" applyAlignment="1">
      <alignment horizontal="left" vertical="center"/>
    </xf>
    <xf numFmtId="0" fontId="25" fillId="17" borderId="9" xfId="0" applyFont="1" applyFill="1" applyBorder="1" applyAlignment="1">
      <alignment vertical="top" wrapText="1"/>
    </xf>
    <xf numFmtId="0" fontId="25" fillId="17" borderId="14" xfId="0" applyFont="1" applyFill="1" applyBorder="1" applyAlignment="1">
      <alignment vertical="top" wrapText="1"/>
    </xf>
    <xf numFmtId="0" fontId="25" fillId="17" borderId="4" xfId="0" applyFont="1" applyFill="1" applyBorder="1" applyAlignment="1">
      <alignment vertical="top" wrapText="1"/>
    </xf>
    <xf numFmtId="0" fontId="25" fillId="17" borderId="16" xfId="0" applyFont="1" applyFill="1" applyBorder="1" applyAlignment="1">
      <alignment vertical="top" wrapText="1"/>
    </xf>
    <xf numFmtId="0" fontId="25" fillId="5" borderId="16" xfId="0" applyFont="1" applyFill="1" applyBorder="1" applyAlignment="1">
      <alignment vertical="top" wrapText="1"/>
    </xf>
    <xf numFmtId="0" fontId="25" fillId="12" borderId="19" xfId="0" applyFont="1" applyFill="1" applyBorder="1" applyAlignment="1">
      <alignment horizontal="center" vertical="center" wrapText="1"/>
    </xf>
    <xf numFmtId="0" fontId="25" fillId="5" borderId="16" xfId="0" applyFont="1" applyFill="1" applyBorder="1" applyAlignment="1">
      <alignment horizontal="left" vertical="top" wrapText="1"/>
    </xf>
    <xf numFmtId="0" fontId="25" fillId="5" borderId="17" xfId="0" applyFont="1" applyFill="1" applyBorder="1" applyAlignment="1">
      <alignment horizontal="left" vertical="top" wrapText="1"/>
    </xf>
    <xf numFmtId="0" fontId="25" fillId="5" borderId="18" xfId="0" applyFont="1" applyFill="1" applyBorder="1" applyAlignment="1">
      <alignment horizontal="left" vertical="top" wrapText="1"/>
    </xf>
    <xf numFmtId="0" fontId="25" fillId="5" borderId="9" xfId="0" applyFont="1" applyFill="1" applyBorder="1" applyAlignment="1">
      <alignment horizontal="left" vertical="top" wrapText="1"/>
    </xf>
    <xf numFmtId="0" fontId="25" fillId="5" borderId="37" xfId="0" applyFont="1" applyFill="1" applyBorder="1" applyAlignment="1">
      <alignment horizontal="left" vertical="top" wrapText="1"/>
    </xf>
    <xf numFmtId="0" fontId="25" fillId="5" borderId="35" xfId="0" applyFont="1" applyFill="1" applyBorder="1" applyAlignment="1">
      <alignment horizontal="left" vertical="top" wrapText="1"/>
    </xf>
    <xf numFmtId="0" fontId="25" fillId="0" borderId="9" xfId="0" applyFont="1" applyBorder="1" applyAlignment="1">
      <alignment horizontal="left" vertical="center" wrapText="1"/>
    </xf>
    <xf numFmtId="0" fontId="25" fillId="5" borderId="4" xfId="0" applyFont="1" applyFill="1" applyBorder="1" applyAlignment="1">
      <alignment horizontal="left" vertical="top" wrapText="1"/>
    </xf>
    <xf numFmtId="0" fontId="25" fillId="17" borderId="9" xfId="0" applyFont="1" applyFill="1" applyBorder="1" applyAlignment="1">
      <alignment horizontal="left" vertical="top" wrapText="1"/>
    </xf>
    <xf numFmtId="0" fontId="25" fillId="17" borderId="4" xfId="0" applyFont="1" applyFill="1" applyBorder="1" applyAlignment="1">
      <alignment horizontal="left" vertical="top" wrapText="1"/>
    </xf>
    <xf numFmtId="0" fontId="25" fillId="5" borderId="9" xfId="9" applyFont="1" applyFill="1" applyBorder="1" applyAlignment="1">
      <alignment horizontal="left"/>
    </xf>
    <xf numFmtId="0" fontId="25" fillId="11" borderId="18" xfId="0" applyFont="1" applyFill="1" applyBorder="1" applyAlignment="1">
      <alignment horizontal="left"/>
    </xf>
    <xf numFmtId="0" fontId="25" fillId="5" borderId="9" xfId="9" applyFont="1" applyFill="1" applyBorder="1" applyAlignment="1">
      <alignment horizontal="center"/>
    </xf>
    <xf numFmtId="0" fontId="25" fillId="5" borderId="4" xfId="9" applyFont="1" applyFill="1" applyBorder="1" applyAlignment="1">
      <alignment horizontal="left" vertical="center"/>
    </xf>
    <xf numFmtId="0" fontId="25" fillId="5" borderId="9" xfId="9" applyFont="1" applyFill="1" applyBorder="1" applyAlignment="1">
      <alignment horizontal="left" vertical="center"/>
    </xf>
    <xf numFmtId="0" fontId="25" fillId="5" borderId="14" xfId="9" applyFont="1" applyFill="1" applyBorder="1" applyAlignment="1">
      <alignment horizontal="left" vertical="center"/>
    </xf>
    <xf numFmtId="0" fontId="25" fillId="16" borderId="9" xfId="0" applyFont="1" applyFill="1" applyBorder="1" applyAlignment="1">
      <alignment horizontal="center" vertical="center" wrapText="1"/>
    </xf>
    <xf numFmtId="0" fontId="25" fillId="12" borderId="19" xfId="6" applyFont="1" applyFill="1" applyBorder="1" applyAlignment="1">
      <alignment horizontal="left" vertical="center" wrapText="1"/>
    </xf>
    <xf numFmtId="0" fontId="25" fillId="12" borderId="9" xfId="6" applyFont="1" applyFill="1" applyBorder="1" applyAlignment="1">
      <alignment horizontal="center" vertical="center" wrapText="1"/>
    </xf>
    <xf numFmtId="0" fontId="25" fillId="0" borderId="9" xfId="9" applyFont="1" applyFill="1" applyBorder="1" applyAlignment="1">
      <alignment wrapText="1"/>
    </xf>
    <xf numFmtId="3" fontId="25" fillId="0" borderId="9" xfId="0" applyNumberFormat="1" applyFont="1" applyFill="1" applyBorder="1" applyAlignment="1">
      <alignment horizontal="left" vertical="center" wrapText="1"/>
    </xf>
    <xf numFmtId="165" fontId="25" fillId="0" borderId="9" xfId="0" applyNumberFormat="1" applyFont="1" applyFill="1" applyBorder="1" applyAlignment="1">
      <alignment horizontal="left" vertical="center" wrapText="1"/>
    </xf>
    <xf numFmtId="165" fontId="25" fillId="0" borderId="9" xfId="14" applyNumberFormat="1" applyFont="1" applyFill="1" applyBorder="1" applyAlignment="1">
      <alignment vertical="center" wrapText="1"/>
    </xf>
    <xf numFmtId="0" fontId="25" fillId="12" borderId="9" xfId="0" applyFont="1" applyFill="1" applyBorder="1" applyAlignment="1">
      <alignment vertical="center" wrapText="1"/>
    </xf>
    <xf numFmtId="0" fontId="25" fillId="0" borderId="18" xfId="0" applyFont="1" applyFill="1" applyBorder="1" applyAlignment="1">
      <alignment horizontal="left" vertical="center" wrapText="1"/>
    </xf>
    <xf numFmtId="165" fontId="25" fillId="0" borderId="9" xfId="14" applyNumberFormat="1" applyFont="1" applyFill="1" applyBorder="1" applyAlignment="1">
      <alignment horizontal="left" vertical="center" wrapText="1"/>
    </xf>
    <xf numFmtId="0" fontId="25" fillId="0" borderId="9" xfId="9" applyFont="1" applyFill="1" applyBorder="1" applyAlignment="1">
      <alignment horizontal="left" vertical="center" wrapText="1"/>
    </xf>
    <xf numFmtId="0" fontId="25" fillId="0" borderId="19" xfId="0" applyFont="1" applyFill="1" applyBorder="1" applyAlignment="1">
      <alignment horizontal="left" vertical="center" wrapText="1"/>
    </xf>
    <xf numFmtId="0" fontId="25" fillId="12" borderId="21" xfId="0" applyFont="1" applyFill="1" applyBorder="1" applyAlignment="1">
      <alignment horizontal="center" vertical="center" wrapText="1"/>
    </xf>
    <xf numFmtId="165" fontId="25" fillId="0" borderId="19" xfId="14" applyNumberFormat="1" applyFont="1" applyFill="1" applyBorder="1" applyAlignment="1">
      <alignment horizontal="left" vertical="center" wrapText="1"/>
    </xf>
    <xf numFmtId="165" fontId="25" fillId="0" borderId="30" xfId="14" applyNumberFormat="1" applyFont="1" applyFill="1" applyBorder="1" applyAlignment="1">
      <alignment horizontal="left" vertical="center" wrapText="1"/>
    </xf>
    <xf numFmtId="165" fontId="25" fillId="0" borderId="16" xfId="14" applyNumberFormat="1" applyFont="1" applyFill="1" applyBorder="1" applyAlignment="1">
      <alignment horizontal="center" vertical="center" wrapText="1"/>
    </xf>
    <xf numFmtId="165" fontId="25" fillId="0" borderId="9" xfId="14" applyNumberFormat="1" applyFont="1" applyFill="1" applyBorder="1" applyAlignment="1">
      <alignment horizontal="center" vertical="center" wrapText="1"/>
    </xf>
    <xf numFmtId="165" fontId="25" fillId="0" borderId="17" xfId="14" applyNumberFormat="1" applyFont="1" applyFill="1" applyBorder="1" applyAlignment="1">
      <alignment horizontal="center" vertical="center" wrapText="1"/>
    </xf>
    <xf numFmtId="165" fontId="25" fillId="0" borderId="18" xfId="14" applyNumberFormat="1" applyFont="1" applyFill="1" applyBorder="1" applyAlignment="1">
      <alignment horizontal="center" vertical="center" wrapText="1"/>
    </xf>
    <xf numFmtId="0" fontId="25" fillId="0" borderId="9" xfId="9" applyFont="1" applyFill="1" applyBorder="1" applyAlignment="1">
      <alignment horizontal="left" vertical="center"/>
    </xf>
    <xf numFmtId="0" fontId="56" fillId="0" borderId="9" xfId="9" applyFont="1" applyFill="1" applyBorder="1" applyAlignment="1">
      <alignment horizontal="left" vertical="center"/>
    </xf>
    <xf numFmtId="0" fontId="25" fillId="0" borderId="9" xfId="0" applyFont="1" applyFill="1" applyBorder="1" applyAlignment="1">
      <alignment vertical="center" wrapText="1"/>
    </xf>
    <xf numFmtId="0" fontId="56" fillId="5" borderId="19" xfId="9" applyFont="1" applyFill="1" applyBorder="1" applyAlignment="1">
      <alignment horizontal="left" vertical="center"/>
    </xf>
    <xf numFmtId="0" fontId="25" fillId="0" borderId="9"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25" fillId="12" borderId="9" xfId="0" applyFont="1" applyFill="1" applyBorder="1" applyAlignment="1">
      <alignment horizontal="left" vertical="center" wrapText="1"/>
    </xf>
    <xf numFmtId="0" fontId="25" fillId="0" borderId="30" xfId="0" applyFont="1" applyBorder="1" applyAlignment="1">
      <alignment horizontal="left" vertical="center" wrapText="1"/>
    </xf>
    <xf numFmtId="0" fontId="25" fillId="0" borderId="23" xfId="0" applyFont="1" applyBorder="1" applyAlignment="1">
      <alignment horizontal="left" vertical="center" wrapText="1"/>
    </xf>
    <xf numFmtId="0" fontId="25" fillId="5" borderId="9" xfId="9" applyFont="1" applyFill="1" applyBorder="1" applyAlignment="1">
      <alignment horizontal="left" vertical="center" wrapText="1"/>
    </xf>
    <xf numFmtId="0" fontId="25" fillId="0" borderId="9" xfId="0" applyFont="1" applyBorder="1" applyAlignment="1">
      <alignment horizontal="left" wrapText="1"/>
    </xf>
    <xf numFmtId="0" fontId="30" fillId="5" borderId="9" xfId="9" applyFont="1" applyFill="1" applyBorder="1" applyAlignment="1">
      <alignment horizontal="left"/>
    </xf>
    <xf numFmtId="0" fontId="43" fillId="5" borderId="9" xfId="9" applyFont="1" applyFill="1" applyBorder="1" applyAlignment="1">
      <alignment horizontal="left" vertical="center"/>
    </xf>
    <xf numFmtId="165" fontId="56" fillId="0" borderId="9" xfId="9" applyNumberFormat="1" applyFont="1" applyBorder="1" applyAlignment="1">
      <alignment horizontal="left" vertical="center"/>
    </xf>
    <xf numFmtId="0" fontId="56" fillId="0" borderId="9" xfId="9" applyFont="1" applyBorder="1" applyAlignment="1">
      <alignment horizontal="left" vertical="center"/>
    </xf>
    <xf numFmtId="0" fontId="56" fillId="0" borderId="19" xfId="9" applyFont="1" applyBorder="1" applyAlignment="1">
      <alignment horizontal="left" vertical="center"/>
    </xf>
    <xf numFmtId="165" fontId="56" fillId="0" borderId="19" xfId="9" applyNumberFormat="1" applyFont="1" applyFill="1" applyBorder="1" applyAlignment="1">
      <alignment horizontal="left" vertical="center"/>
    </xf>
    <xf numFmtId="0" fontId="25" fillId="0" borderId="23" xfId="0" applyFont="1" applyBorder="1" applyAlignment="1">
      <alignment horizontal="left" vertical="center"/>
    </xf>
    <xf numFmtId="0" fontId="25" fillId="0" borderId="19" xfId="9" applyFont="1" applyBorder="1" applyAlignment="1">
      <alignment horizontal="left" vertical="center" wrapText="1"/>
    </xf>
    <xf numFmtId="4" fontId="30" fillId="0" borderId="14" xfId="9" applyNumberFormat="1" applyFont="1" applyFill="1" applyBorder="1" applyAlignment="1">
      <alignment horizontal="center"/>
    </xf>
    <xf numFmtId="0" fontId="45" fillId="7" borderId="0" xfId="0" applyFont="1" applyFill="1" applyAlignment="1">
      <alignment horizontal="center"/>
    </xf>
    <xf numFmtId="0" fontId="40" fillId="0" borderId="0" xfId="6" applyFont="1"/>
    <xf numFmtId="0" fontId="25" fillId="0" borderId="0" xfId="0" applyFont="1" applyFill="1" applyAlignment="1"/>
    <xf numFmtId="0" fontId="44" fillId="0" borderId="0" xfId="6" applyFont="1"/>
    <xf numFmtId="0" fontId="25" fillId="0" borderId="0" xfId="6" applyFont="1"/>
    <xf numFmtId="0" fontId="45" fillId="5" borderId="0" xfId="7" applyFont="1" applyFill="1" applyAlignment="1">
      <alignment horizontal="left" vertical="center"/>
    </xf>
    <xf numFmtId="0" fontId="44" fillId="5" borderId="0" xfId="7" applyFont="1" applyFill="1" applyAlignment="1">
      <alignment horizontal="left" vertical="center"/>
    </xf>
    <xf numFmtId="166" fontId="44" fillId="5" borderId="0" xfId="7" applyNumberFormat="1" applyFont="1" applyFill="1" applyAlignment="1">
      <alignment horizontal="center" vertical="center"/>
    </xf>
    <xf numFmtId="0" fontId="25" fillId="5" borderId="0" xfId="7" applyFont="1" applyFill="1"/>
    <xf numFmtId="0" fontId="51" fillId="0" borderId="0" xfId="7" applyFont="1"/>
    <xf numFmtId="166" fontId="25" fillId="0" borderId="0" xfId="6" applyNumberFormat="1" applyFont="1" applyAlignment="1">
      <alignment horizontal="center"/>
    </xf>
    <xf numFmtId="0" fontId="40" fillId="0" borderId="0" xfId="7" applyFont="1" applyFill="1" applyBorder="1"/>
    <xf numFmtId="0" fontId="40" fillId="0" borderId="9" xfId="6" applyNumberFormat="1" applyFont="1" applyFill="1" applyBorder="1"/>
    <xf numFmtId="168" fontId="25" fillId="0" borderId="9" xfId="6" applyNumberFormat="1" applyFont="1" applyBorder="1" applyAlignment="1">
      <alignment horizontal="center"/>
    </xf>
    <xf numFmtId="168" fontId="25" fillId="0" borderId="9" xfId="6" applyNumberFormat="1" applyFont="1" applyBorder="1" applyAlignment="1">
      <alignment wrapText="1"/>
    </xf>
    <xf numFmtId="168" fontId="25" fillId="0" borderId="9" xfId="6" applyNumberFormat="1" applyFont="1" applyFill="1" applyBorder="1" applyAlignment="1">
      <alignment horizontal="center"/>
    </xf>
    <xf numFmtId="166" fontId="25" fillId="0" borderId="9" xfId="6" applyNumberFormat="1" applyFont="1" applyFill="1" applyBorder="1" applyAlignment="1">
      <alignment horizontal="center"/>
    </xf>
    <xf numFmtId="169" fontId="25" fillId="5" borderId="9" xfId="6" applyNumberFormat="1" applyFont="1" applyFill="1" applyBorder="1" applyAlignment="1">
      <alignment horizontal="center"/>
    </xf>
    <xf numFmtId="171" fontId="25" fillId="8" borderId="9" xfId="6" applyNumberFormat="1" applyFont="1" applyFill="1" applyBorder="1" applyAlignment="1">
      <alignment horizontal="center" vertical="center" wrapText="1"/>
    </xf>
    <xf numFmtId="165" fontId="25" fillId="5" borderId="9" xfId="7" applyNumberFormat="1" applyFont="1" applyFill="1" applyBorder="1" applyAlignment="1">
      <alignment horizontal="left" vertical="center" wrapText="1" indent="3"/>
    </xf>
    <xf numFmtId="168" fontId="40" fillId="0" borderId="0" xfId="6" applyNumberFormat="1" applyFont="1"/>
    <xf numFmtId="4" fontId="25" fillId="0" borderId="0" xfId="6" applyNumberFormat="1" applyFont="1"/>
    <xf numFmtId="9" fontId="33" fillId="0" borderId="0" xfId="8" applyFont="1">
      <alignment horizontal="right" vertical="center" wrapText="1" readingOrder="1"/>
    </xf>
    <xf numFmtId="169" fontId="25" fillId="0" borderId="0" xfId="6" applyNumberFormat="1" applyFont="1"/>
    <xf numFmtId="172" fontId="33" fillId="0" borderId="0" xfId="8" applyNumberFormat="1" applyFont="1">
      <alignment horizontal="right" vertical="center" wrapText="1" readingOrder="1"/>
    </xf>
    <xf numFmtId="168" fontId="25" fillId="0" borderId="9" xfId="6" applyNumberFormat="1" applyFont="1" applyFill="1" applyBorder="1" applyAlignment="1">
      <alignment wrapText="1"/>
    </xf>
    <xf numFmtId="166" fontId="25" fillId="0" borderId="0" xfId="6" applyNumberFormat="1" applyFont="1" applyAlignment="1">
      <alignment horizontal="center" wrapText="1"/>
    </xf>
    <xf numFmtId="0" fontId="45" fillId="0" borderId="0" xfId="6" applyFont="1"/>
    <xf numFmtId="166" fontId="40" fillId="0" borderId="0" xfId="6" applyNumberFormat="1" applyFont="1" applyAlignment="1">
      <alignment horizontal="center" wrapText="1"/>
    </xf>
    <xf numFmtId="173" fontId="40" fillId="5" borderId="0" xfId="2" applyNumberFormat="1" applyFont="1" applyFill="1"/>
    <xf numFmtId="0" fontId="25" fillId="5" borderId="0" xfId="6" applyFont="1" applyFill="1"/>
    <xf numFmtId="10" fontId="40" fillId="5" borderId="0" xfId="3" applyNumberFormat="1" applyFont="1" applyFill="1"/>
    <xf numFmtId="168" fontId="25" fillId="5" borderId="9" xfId="6" applyNumberFormat="1" applyFont="1" applyFill="1" applyBorder="1" applyAlignment="1">
      <alignment horizontal="center" vertical="center"/>
    </xf>
    <xf numFmtId="168" fontId="25" fillId="5" borderId="9" xfId="6" applyNumberFormat="1" applyFont="1" applyFill="1" applyBorder="1" applyAlignment="1">
      <alignment horizontal="left" vertical="center"/>
    </xf>
    <xf numFmtId="0" fontId="40" fillId="0" borderId="0" xfId="7" applyFont="1" applyAlignment="1">
      <alignment horizontal="right"/>
    </xf>
    <xf numFmtId="3" fontId="40" fillId="0" borderId="0" xfId="7" applyNumberFormat="1" applyFont="1" applyAlignment="1">
      <alignment horizontal="right"/>
    </xf>
    <xf numFmtId="0" fontId="40" fillId="0" borderId="0" xfId="6" applyFont="1" applyAlignment="1">
      <alignment horizontal="right"/>
    </xf>
    <xf numFmtId="3" fontId="40" fillId="0" borderId="0" xfId="6" applyNumberFormat="1" applyFont="1" applyAlignment="1">
      <alignment horizontal="right"/>
    </xf>
    <xf numFmtId="168" fontId="25" fillId="0" borderId="0" xfId="6" applyNumberFormat="1" applyFont="1" applyBorder="1"/>
    <xf numFmtId="168" fontId="25" fillId="0" borderId="9" xfId="6" applyNumberFormat="1" applyFont="1" applyBorder="1"/>
    <xf numFmtId="0" fontId="25" fillId="0" borderId="9" xfId="6" applyNumberFormat="1" applyFont="1" applyFill="1" applyBorder="1" applyAlignment="1">
      <alignment horizontal="center"/>
    </xf>
    <xf numFmtId="171" fontId="25" fillId="8" borderId="9" xfId="6" applyNumberFormat="1" applyFont="1" applyFill="1" applyBorder="1" applyAlignment="1">
      <alignment horizontal="center"/>
    </xf>
    <xf numFmtId="39" fontId="25" fillId="8" borderId="9" xfId="6" applyNumberFormat="1" applyFont="1" applyFill="1" applyBorder="1" applyAlignment="1">
      <alignment horizontal="center"/>
    </xf>
    <xf numFmtId="1" fontId="25" fillId="8" borderId="9" xfId="3" applyNumberFormat="1" applyFont="1" applyFill="1" applyBorder="1" applyAlignment="1">
      <alignment horizontal="center"/>
    </xf>
    <xf numFmtId="9" fontId="25" fillId="8" borderId="9" xfId="3" applyFont="1" applyFill="1" applyBorder="1" applyAlignment="1">
      <alignment horizontal="center"/>
    </xf>
    <xf numFmtId="168" fontId="25" fillId="5" borderId="0" xfId="6" applyNumberFormat="1" applyFont="1" applyFill="1" applyBorder="1" applyAlignment="1">
      <alignment horizontal="left" vertical="center"/>
    </xf>
    <xf numFmtId="39" fontId="25" fillId="0" borderId="0" xfId="6" applyNumberFormat="1" applyFont="1" applyFill="1" applyBorder="1" applyAlignment="1">
      <alignment horizontal="center"/>
    </xf>
    <xf numFmtId="37" fontId="25" fillId="0" borderId="0" xfId="6" applyNumberFormat="1" applyFont="1" applyFill="1" applyBorder="1" applyAlignment="1">
      <alignment horizontal="center"/>
    </xf>
    <xf numFmtId="0" fontId="40" fillId="0" borderId="9" xfId="6" applyFont="1" applyFill="1" applyBorder="1"/>
    <xf numFmtId="165" fontId="25" fillId="0" borderId="29" xfId="7" applyNumberFormat="1" applyFont="1" applyFill="1" applyBorder="1" applyAlignment="1">
      <alignment horizontal="center"/>
    </xf>
    <xf numFmtId="165" fontId="25" fillId="0" borderId="9" xfId="6" applyNumberFormat="1" applyFont="1" applyFill="1" applyBorder="1" applyAlignment="1">
      <alignment horizontal="center"/>
    </xf>
    <xf numFmtId="7" fontId="40" fillId="0" borderId="22" xfId="6" applyNumberFormat="1" applyFont="1" applyBorder="1" applyAlignment="1">
      <alignment wrapText="1"/>
    </xf>
    <xf numFmtId="168" fontId="25" fillId="0" borderId="9" xfId="6" applyNumberFormat="1" applyFont="1" applyFill="1" applyBorder="1"/>
    <xf numFmtId="168" fontId="25" fillId="5" borderId="9" xfId="6" applyNumberFormat="1" applyFont="1" applyFill="1" applyBorder="1"/>
    <xf numFmtId="0" fontId="40" fillId="0" borderId="0" xfId="6" applyFont="1" applyAlignment="1">
      <alignment wrapText="1"/>
    </xf>
    <xf numFmtId="0" fontId="40" fillId="5" borderId="9" xfId="6" applyFont="1" applyFill="1" applyBorder="1"/>
    <xf numFmtId="0" fontId="40" fillId="0" borderId="0" xfId="6" applyFont="1" applyBorder="1"/>
    <xf numFmtId="166" fontId="40" fillId="0" borderId="0" xfId="6" applyNumberFormat="1" applyFont="1" applyBorder="1" applyAlignment="1">
      <alignment horizontal="center" wrapText="1"/>
    </xf>
    <xf numFmtId="174" fontId="25" fillId="8" borderId="9" xfId="10" applyNumberFormat="1" applyFont="1" applyFill="1" applyBorder="1" applyAlignment="1">
      <alignment horizontal="center" vertical="center"/>
    </xf>
    <xf numFmtId="174" fontId="25" fillId="0" borderId="9" xfId="10" applyNumberFormat="1" applyFont="1" applyFill="1" applyBorder="1" applyAlignment="1">
      <alignment horizontal="center" vertical="center"/>
    </xf>
    <xf numFmtId="174" fontId="25" fillId="0" borderId="9" xfId="10" applyNumberFormat="1" applyFont="1" applyFill="1" applyBorder="1" applyAlignment="1">
      <alignment horizontal="center"/>
    </xf>
    <xf numFmtId="174" fontId="25" fillId="0" borderId="9" xfId="10" applyNumberFormat="1" applyFont="1" applyFill="1" applyBorder="1" applyAlignment="1">
      <alignment horizontal="center" vertical="center" wrapText="1"/>
    </xf>
    <xf numFmtId="168" fontId="25" fillId="6" borderId="9" xfId="6" applyNumberFormat="1" applyFont="1" applyFill="1" applyBorder="1" applyAlignment="1">
      <alignment horizontal="center" vertical="center"/>
    </xf>
    <xf numFmtId="174" fontId="25" fillId="6" borderId="9" xfId="10" applyNumberFormat="1" applyFont="1" applyFill="1" applyBorder="1" applyAlignment="1">
      <alignment horizontal="center" vertical="center"/>
    </xf>
    <xf numFmtId="174" fontId="25" fillId="0" borderId="9" xfId="10" applyNumberFormat="1" applyFont="1" applyFill="1" applyBorder="1" applyAlignment="1">
      <alignment horizontal="center" vertical="top" wrapText="1"/>
    </xf>
    <xf numFmtId="7" fontId="25" fillId="8" borderId="9" xfId="11" applyNumberFormat="1" applyFont="1" applyFill="1" applyBorder="1" applyAlignment="1">
      <alignment horizontal="center"/>
    </xf>
    <xf numFmtId="2" fontId="25" fillId="0" borderId="9" xfId="6" applyNumberFormat="1" applyFont="1" applyFill="1" applyBorder="1" applyAlignment="1">
      <alignment horizontal="center" vertical="center"/>
    </xf>
    <xf numFmtId="175" fontId="25" fillId="8" borderId="9" xfId="10" applyNumberFormat="1" applyFont="1" applyFill="1" applyBorder="1" applyAlignment="1">
      <alignment horizontal="center" vertical="center"/>
    </xf>
    <xf numFmtId="172" fontId="25" fillId="8" borderId="9" xfId="12" applyNumberFormat="1" applyFont="1" applyFill="1" applyBorder="1" applyAlignment="1">
      <alignment horizontal="center" vertical="center"/>
    </xf>
    <xf numFmtId="175" fontId="25" fillId="0" borderId="9" xfId="10" applyNumberFormat="1" applyFont="1" applyFill="1" applyBorder="1" applyAlignment="1">
      <alignment horizontal="center"/>
    </xf>
    <xf numFmtId="176" fontId="25" fillId="0" borderId="9" xfId="10" applyNumberFormat="1" applyFont="1" applyFill="1" applyBorder="1" applyAlignment="1">
      <alignment horizontal="center"/>
    </xf>
    <xf numFmtId="168" fontId="25" fillId="0" borderId="9" xfId="6" applyNumberFormat="1" applyFont="1" applyFill="1" applyBorder="1" applyAlignment="1">
      <alignment horizontal="center" vertical="center"/>
    </xf>
    <xf numFmtId="175" fontId="25" fillId="6" borderId="9" xfId="10" applyNumberFormat="1" applyFont="1" applyFill="1" applyBorder="1" applyAlignment="1">
      <alignment horizontal="center" vertical="center"/>
    </xf>
    <xf numFmtId="172" fontId="25" fillId="6" borderId="9" xfId="12" applyNumberFormat="1" applyFont="1" applyFill="1" applyBorder="1" applyAlignment="1">
      <alignment horizontal="center" vertical="center"/>
    </xf>
    <xf numFmtId="9" fontId="25" fillId="8" borderId="9" xfId="12" applyFont="1" applyFill="1" applyBorder="1" applyAlignment="1">
      <alignment horizontal="center" vertical="center"/>
    </xf>
    <xf numFmtId="168" fontId="25" fillId="8" borderId="9" xfId="1" applyNumberFormat="1" applyFont="1" applyFill="1" applyBorder="1" applyAlignment="1">
      <alignment horizontal="center" vertical="center"/>
    </xf>
    <xf numFmtId="1" fontId="25" fillId="8" borderId="9" xfId="12" applyNumberFormat="1" applyFont="1" applyFill="1" applyBorder="1" applyAlignment="1">
      <alignment horizontal="center" vertical="center"/>
    </xf>
    <xf numFmtId="175" fontId="25" fillId="8" borderId="9" xfId="10" applyNumberFormat="1" applyFont="1" applyFill="1" applyBorder="1" applyAlignment="1">
      <alignment horizontal="center"/>
    </xf>
    <xf numFmtId="177" fontId="25" fillId="0" borderId="9" xfId="10" applyNumberFormat="1" applyFont="1" applyFill="1" applyBorder="1" applyAlignment="1">
      <alignment horizontal="center"/>
    </xf>
    <xf numFmtId="176" fontId="25" fillId="9" borderId="9" xfId="10" applyNumberFormat="1" applyFont="1" applyFill="1" applyBorder="1" applyAlignment="1">
      <alignment horizontal="center"/>
    </xf>
    <xf numFmtId="9" fontId="25" fillId="0" borderId="9" xfId="12" applyFont="1" applyFill="1" applyBorder="1" applyAlignment="1">
      <alignment horizontal="center" vertical="center"/>
    </xf>
    <xf numFmtId="166" fontId="40" fillId="0" borderId="0" xfId="6" applyNumberFormat="1" applyFont="1" applyAlignment="1">
      <alignment horizontal="center"/>
    </xf>
    <xf numFmtId="0" fontId="40" fillId="0" borderId="0" xfId="6" applyFont="1" applyFill="1" applyBorder="1"/>
    <xf numFmtId="0" fontId="25" fillId="0" borderId="0" xfId="6" applyFont="1" applyBorder="1"/>
    <xf numFmtId="2" fontId="25" fillId="5" borderId="9" xfId="11" applyNumberFormat="1" applyFont="1" applyFill="1" applyBorder="1" applyAlignment="1">
      <alignment horizontal="center"/>
    </xf>
    <xf numFmtId="0" fontId="47" fillId="0" borderId="0" xfId="6" applyFont="1"/>
    <xf numFmtId="2" fontId="25" fillId="9" borderId="9" xfId="6" applyNumberFormat="1" applyFont="1" applyFill="1" applyBorder="1" applyAlignment="1">
      <alignment horizontal="center" vertical="center"/>
    </xf>
    <xf numFmtId="172" fontId="25" fillId="0" borderId="9" xfId="12" applyNumberFormat="1" applyFont="1" applyFill="1" applyBorder="1" applyAlignment="1">
      <alignment horizontal="center" vertical="center"/>
    </xf>
    <xf numFmtId="9" fontId="25" fillId="8" borderId="9" xfId="12" applyFont="1" applyFill="1" applyBorder="1" applyAlignment="1">
      <alignment horizontal="center"/>
    </xf>
    <xf numFmtId="2" fontId="25" fillId="8" borderId="9" xfId="6" applyNumberFormat="1" applyFont="1" applyFill="1" applyBorder="1" applyAlignment="1">
      <alignment horizontal="center" vertical="center"/>
    </xf>
    <xf numFmtId="2" fontId="25" fillId="0" borderId="9" xfId="11" applyNumberFormat="1" applyFont="1" applyFill="1" applyBorder="1" applyAlignment="1">
      <alignment horizontal="center"/>
    </xf>
    <xf numFmtId="0" fontId="45" fillId="0" borderId="0" xfId="6" applyFont="1" applyFill="1"/>
    <xf numFmtId="1" fontId="25" fillId="0" borderId="9" xfId="6" applyNumberFormat="1" applyFont="1" applyFill="1" applyBorder="1" applyAlignment="1">
      <alignment horizontal="center" vertical="center"/>
    </xf>
    <xf numFmtId="1" fontId="25" fillId="8" borderId="9" xfId="6" applyNumberFormat="1" applyFont="1" applyFill="1" applyBorder="1" applyAlignment="1">
      <alignment horizontal="center" vertical="center"/>
    </xf>
    <xf numFmtId="165" fontId="25" fillId="0" borderId="0" xfId="7" applyNumberFormat="1" applyFont="1" applyFill="1" applyBorder="1" applyAlignment="1">
      <alignment horizontal="center"/>
    </xf>
    <xf numFmtId="168" fontId="25" fillId="9" borderId="9" xfId="6" applyNumberFormat="1" applyFont="1" applyFill="1" applyBorder="1" applyAlignment="1">
      <alignment horizontal="center" vertical="center"/>
    </xf>
    <xf numFmtId="2" fontId="25" fillId="9" borderId="9" xfId="12" applyNumberFormat="1" applyFont="1" applyFill="1" applyBorder="1" applyAlignment="1">
      <alignment horizontal="center" vertical="center"/>
    </xf>
    <xf numFmtId="2" fontId="25" fillId="8" borderId="9" xfId="12" applyNumberFormat="1" applyFont="1" applyFill="1" applyBorder="1" applyAlignment="1">
      <alignment horizontal="center" vertical="center"/>
    </xf>
    <xf numFmtId="1" fontId="25" fillId="0" borderId="9" xfId="12" applyNumberFormat="1" applyFont="1" applyFill="1" applyBorder="1" applyAlignment="1">
      <alignment horizontal="center" vertical="center"/>
    </xf>
    <xf numFmtId="176" fontId="25" fillId="8" borderId="9" xfId="10" applyNumberFormat="1" applyFont="1" applyFill="1" applyBorder="1" applyAlignment="1">
      <alignment horizontal="center"/>
    </xf>
    <xf numFmtId="0" fontId="25" fillId="0" borderId="9" xfId="6" applyFont="1" applyFill="1" applyBorder="1" applyAlignment="1">
      <alignment horizontal="center"/>
    </xf>
    <xf numFmtId="1" fontId="25" fillId="9" borderId="9" xfId="12" applyNumberFormat="1" applyFont="1" applyFill="1" applyBorder="1" applyAlignment="1">
      <alignment horizontal="center" vertical="center"/>
    </xf>
    <xf numFmtId="1" fontId="25" fillId="9" borderId="9" xfId="12" applyNumberFormat="1" applyFont="1" applyFill="1" applyBorder="1" applyAlignment="1">
      <alignment horizontal="center"/>
    </xf>
    <xf numFmtId="1" fontId="25" fillId="8" borderId="9" xfId="12" applyNumberFormat="1" applyFont="1" applyFill="1" applyBorder="1" applyAlignment="1">
      <alignment horizontal="center"/>
    </xf>
    <xf numFmtId="173" fontId="40" fillId="0" borderId="0" xfId="2" applyNumberFormat="1" applyFont="1"/>
    <xf numFmtId="173" fontId="40" fillId="0" borderId="0" xfId="2" applyNumberFormat="1" applyFont="1" applyFill="1" applyBorder="1"/>
    <xf numFmtId="168" fontId="25" fillId="0" borderId="9" xfId="6" applyNumberFormat="1" applyFont="1" applyBorder="1" applyAlignment="1">
      <alignment horizontal="left"/>
    </xf>
    <xf numFmtId="169" fontId="25" fillId="0" borderId="9" xfId="6" applyNumberFormat="1" applyFont="1" applyFill="1" applyBorder="1" applyAlignment="1">
      <alignment horizontal="center"/>
    </xf>
    <xf numFmtId="165" fontId="25" fillId="8" borderId="9" xfId="6" applyNumberFormat="1" applyFont="1" applyFill="1" applyBorder="1" applyAlignment="1">
      <alignment horizontal="center" vertical="center"/>
    </xf>
    <xf numFmtId="3" fontId="25" fillId="0" borderId="9" xfId="1" applyNumberFormat="1" applyFont="1" applyFill="1" applyBorder="1" applyAlignment="1">
      <alignment horizontal="center" vertical="center"/>
    </xf>
    <xf numFmtId="178" fontId="25" fillId="8" borderId="9" xfId="6" applyNumberFormat="1" applyFont="1" applyFill="1" applyBorder="1" applyAlignment="1">
      <alignment horizontal="center" vertical="center"/>
    </xf>
    <xf numFmtId="168" fontId="25" fillId="0" borderId="9" xfId="6" applyNumberFormat="1" applyFont="1" applyFill="1" applyBorder="1" applyAlignment="1">
      <alignment horizontal="left"/>
    </xf>
    <xf numFmtId="1" fontId="25" fillId="0" borderId="9" xfId="7" applyNumberFormat="1" applyFont="1" applyFill="1" applyBorder="1" applyAlignment="1">
      <alignment horizontal="center" vertical="center" wrapText="1"/>
    </xf>
    <xf numFmtId="7" fontId="25" fillId="0" borderId="0" xfId="6" applyNumberFormat="1" applyFont="1"/>
    <xf numFmtId="9" fontId="25" fillId="8" borderId="9" xfId="3" applyFont="1" applyFill="1" applyBorder="1" applyAlignment="1">
      <alignment horizontal="center" vertical="center"/>
    </xf>
    <xf numFmtId="0" fontId="40" fillId="15" borderId="3" xfId="6" applyFont="1" applyFill="1" applyBorder="1"/>
    <xf numFmtId="0" fontId="40" fillId="15" borderId="5" xfId="6" applyFont="1" applyFill="1" applyBorder="1"/>
    <xf numFmtId="0" fontId="40" fillId="0" borderId="8" xfId="6" applyFont="1" applyBorder="1"/>
    <xf numFmtId="0" fontId="40" fillId="0" borderId="10" xfId="6" applyFont="1" applyBorder="1"/>
    <xf numFmtId="0" fontId="40" fillId="0" borderId="8" xfId="6" applyFont="1" applyBorder="1" applyAlignment="1">
      <alignment horizontal="right"/>
    </xf>
    <xf numFmtId="0" fontId="40" fillId="0" borderId="13" xfId="6" applyFont="1" applyBorder="1" applyAlignment="1">
      <alignment horizontal="right"/>
    </xf>
    <xf numFmtId="0" fontId="40" fillId="0" borderId="15" xfId="6" applyFont="1" applyBorder="1"/>
    <xf numFmtId="172" fontId="25" fillId="0" borderId="9" xfId="3" applyNumberFormat="1" applyFont="1" applyFill="1" applyBorder="1" applyAlignment="1">
      <alignment horizontal="center" vertical="center"/>
    </xf>
    <xf numFmtId="0" fontId="40" fillId="0" borderId="0" xfId="6" applyFont="1" applyAlignment="1"/>
    <xf numFmtId="0" fontId="40" fillId="0" borderId="0" xfId="7" applyFont="1" applyFill="1" applyBorder="1" applyAlignment="1"/>
    <xf numFmtId="0" fontId="40" fillId="0" borderId="0" xfId="6" applyFont="1" applyAlignment="1">
      <alignment horizontal="center" vertical="center"/>
    </xf>
    <xf numFmtId="174" fontId="25" fillId="8" borderId="9" xfId="10" applyNumberFormat="1" applyFont="1" applyFill="1" applyBorder="1" applyAlignment="1">
      <alignment horizontal="center"/>
    </xf>
    <xf numFmtId="175" fontId="25" fillId="0" borderId="9" xfId="10" applyNumberFormat="1" applyFont="1" applyFill="1" applyBorder="1" applyAlignment="1">
      <alignment horizontal="left" vertical="center"/>
    </xf>
    <xf numFmtId="168" fontId="25" fillId="8" borderId="9" xfId="6" applyNumberFormat="1" applyFont="1" applyFill="1" applyBorder="1" applyAlignment="1">
      <alignment horizontal="center" vertical="center"/>
    </xf>
    <xf numFmtId="2" fontId="25" fillId="0" borderId="9" xfId="12" applyNumberFormat="1" applyFont="1" applyFill="1" applyBorder="1" applyAlignment="1">
      <alignment horizontal="center" vertical="center"/>
    </xf>
    <xf numFmtId="44" fontId="40" fillId="0" borderId="0" xfId="2" applyNumberFormat="1" applyFont="1"/>
    <xf numFmtId="179" fontId="25" fillId="8" borderId="9" xfId="1" applyNumberFormat="1" applyFont="1" applyFill="1" applyBorder="1" applyAlignment="1">
      <alignment horizontal="center" vertical="center"/>
    </xf>
    <xf numFmtId="179" fontId="25" fillId="0" borderId="9" xfId="1" applyNumberFormat="1" applyFont="1" applyFill="1" applyBorder="1" applyAlignment="1">
      <alignment horizontal="center" vertical="center"/>
    </xf>
    <xf numFmtId="3" fontId="25" fillId="8" borderId="9" xfId="1" applyNumberFormat="1" applyFont="1" applyFill="1" applyBorder="1" applyAlignment="1">
      <alignment horizontal="center" vertical="center"/>
    </xf>
    <xf numFmtId="4" fontId="25" fillId="0" borderId="9" xfId="1" applyNumberFormat="1" applyFont="1" applyFill="1" applyBorder="1" applyAlignment="1">
      <alignment horizontal="center" vertical="center"/>
    </xf>
    <xf numFmtId="181" fontId="25" fillId="0" borderId="9" xfId="1" applyNumberFormat="1" applyFont="1" applyFill="1" applyBorder="1" applyAlignment="1">
      <alignment horizontal="center" vertical="center"/>
    </xf>
    <xf numFmtId="180" fontId="25" fillId="0" borderId="9" xfId="3" applyNumberFormat="1" applyFont="1" applyFill="1" applyBorder="1" applyAlignment="1">
      <alignment horizontal="center" vertical="center"/>
    </xf>
    <xf numFmtId="165" fontId="25" fillId="0" borderId="19" xfId="7" applyNumberFormat="1" applyFont="1" applyFill="1" applyBorder="1" applyAlignment="1">
      <alignment horizontal="center"/>
    </xf>
    <xf numFmtId="165" fontId="25" fillId="0" borderId="9" xfId="12" applyNumberFormat="1" applyFont="1" applyFill="1" applyBorder="1" applyAlignment="1">
      <alignment horizontal="center" vertical="center"/>
    </xf>
    <xf numFmtId="165" fontId="25" fillId="0" borderId="9" xfId="3" applyNumberFormat="1" applyFont="1" applyFill="1" applyBorder="1" applyAlignment="1">
      <alignment horizontal="center" vertical="center"/>
    </xf>
    <xf numFmtId="9" fontId="25" fillId="9" borderId="9" xfId="3" applyFont="1" applyFill="1" applyBorder="1" applyAlignment="1">
      <alignment horizontal="center"/>
    </xf>
    <xf numFmtId="168" fontId="25" fillId="5" borderId="0" xfId="6" applyNumberFormat="1" applyFont="1" applyFill="1" applyBorder="1" applyAlignment="1">
      <alignment horizontal="center" vertical="center"/>
    </xf>
    <xf numFmtId="165" fontId="25" fillId="5" borderId="0" xfId="12" applyNumberFormat="1" applyFont="1" applyFill="1" applyBorder="1" applyAlignment="1">
      <alignment horizontal="center" vertical="center"/>
    </xf>
    <xf numFmtId="9" fontId="25" fillId="5" borderId="0" xfId="3" applyFont="1" applyFill="1" applyBorder="1" applyAlignment="1">
      <alignment horizontal="center" vertical="center"/>
    </xf>
    <xf numFmtId="165" fontId="25" fillId="5" borderId="0" xfId="3" applyNumberFormat="1" applyFont="1" applyFill="1" applyBorder="1" applyAlignment="1">
      <alignment horizontal="center" vertical="center"/>
    </xf>
    <xf numFmtId="9" fontId="25" fillId="5" borderId="0" xfId="3" applyFont="1" applyFill="1" applyBorder="1" applyAlignment="1">
      <alignment horizontal="center"/>
    </xf>
    <xf numFmtId="175" fontId="25" fillId="5" borderId="0" xfId="10" applyNumberFormat="1" applyFont="1" applyFill="1" applyBorder="1" applyAlignment="1">
      <alignment horizontal="center"/>
    </xf>
    <xf numFmtId="1" fontId="25" fillId="5" borderId="0" xfId="12" applyNumberFormat="1" applyFont="1" applyFill="1" applyBorder="1" applyAlignment="1">
      <alignment horizontal="center" vertical="center"/>
    </xf>
    <xf numFmtId="175" fontId="25" fillId="5" borderId="0" xfId="10" applyNumberFormat="1" applyFont="1" applyFill="1" applyBorder="1" applyAlignment="1">
      <alignment horizontal="center" vertical="center"/>
    </xf>
    <xf numFmtId="175" fontId="25" fillId="9" borderId="9" xfId="10" applyNumberFormat="1" applyFont="1" applyFill="1" applyBorder="1" applyAlignment="1">
      <alignment horizontal="center" vertical="center"/>
    </xf>
    <xf numFmtId="1" fontId="25" fillId="0" borderId="9" xfId="3" applyNumberFormat="1" applyFont="1" applyFill="1" applyBorder="1" applyAlignment="1">
      <alignment horizontal="center" vertical="center"/>
    </xf>
    <xf numFmtId="9" fontId="25" fillId="0" borderId="9" xfId="3" applyNumberFormat="1" applyFont="1" applyFill="1" applyBorder="1" applyAlignment="1">
      <alignment horizontal="center"/>
    </xf>
    <xf numFmtId="9" fontId="25" fillId="8" borderId="9" xfId="3" applyNumberFormat="1" applyFont="1" applyFill="1" applyBorder="1" applyAlignment="1">
      <alignment horizontal="center"/>
    </xf>
    <xf numFmtId="2" fontId="25" fillId="8" borderId="9" xfId="3" applyNumberFormat="1" applyFont="1" applyFill="1" applyBorder="1" applyAlignment="1">
      <alignment horizontal="center" vertical="center"/>
    </xf>
    <xf numFmtId="10" fontId="25" fillId="0" borderId="9" xfId="6" applyNumberFormat="1" applyFont="1" applyFill="1" applyBorder="1" applyAlignment="1">
      <alignment horizontal="center" vertical="center"/>
    </xf>
    <xf numFmtId="2" fontId="25" fillId="9" borderId="9" xfId="3" applyNumberFormat="1" applyFont="1" applyFill="1" applyBorder="1" applyAlignment="1">
      <alignment horizontal="center" vertical="center"/>
    </xf>
    <xf numFmtId="9" fontId="25" fillId="8" borderId="9" xfId="3" applyNumberFormat="1" applyFont="1" applyFill="1" applyBorder="1" applyAlignment="1">
      <alignment horizontal="center" vertical="center"/>
    </xf>
    <xf numFmtId="0" fontId="45" fillId="5" borderId="0" xfId="6" applyFont="1" applyFill="1"/>
    <xf numFmtId="180" fontId="25" fillId="0" borderId="9" xfId="12" applyNumberFormat="1" applyFont="1" applyFill="1" applyBorder="1" applyAlignment="1">
      <alignment horizontal="center" vertical="center"/>
    </xf>
    <xf numFmtId="178" fontId="25" fillId="0" borderId="16" xfId="6" applyNumberFormat="1" applyFont="1" applyFill="1" applyBorder="1" applyAlignment="1">
      <alignment horizontal="center"/>
    </xf>
    <xf numFmtId="180" fontId="25" fillId="0" borderId="16" xfId="6" applyNumberFormat="1" applyFont="1" applyFill="1" applyBorder="1" applyAlignment="1">
      <alignment horizontal="center"/>
    </xf>
    <xf numFmtId="165" fontId="25" fillId="8" borderId="9" xfId="3" applyNumberFormat="1" applyFont="1" applyFill="1" applyBorder="1" applyAlignment="1">
      <alignment horizontal="center" vertical="center"/>
    </xf>
    <xf numFmtId="165" fontId="25" fillId="8" borderId="9" xfId="3" applyNumberFormat="1" applyFont="1" applyFill="1" applyBorder="1" applyAlignment="1">
      <alignment horizontal="center"/>
    </xf>
    <xf numFmtId="0" fontId="25" fillId="0" borderId="0" xfId="6" applyFont="1" applyFill="1"/>
    <xf numFmtId="178" fontId="25" fillId="9" borderId="9" xfId="12" applyNumberFormat="1" applyFont="1" applyFill="1" applyBorder="1" applyAlignment="1">
      <alignment horizontal="center" vertical="center"/>
    </xf>
    <xf numFmtId="183" fontId="25" fillId="0" borderId="9" xfId="1" applyNumberFormat="1" applyFont="1" applyBorder="1" applyAlignment="1">
      <alignment horizontal="center"/>
    </xf>
    <xf numFmtId="184" fontId="25" fillId="0" borderId="9" xfId="1" applyNumberFormat="1" applyFont="1" applyBorder="1" applyAlignment="1">
      <alignment horizontal="center"/>
    </xf>
    <xf numFmtId="185" fontId="30" fillId="0" borderId="9" xfId="2" applyNumberFormat="1" applyFont="1" applyBorder="1"/>
    <xf numFmtId="0" fontId="25" fillId="0" borderId="27" xfId="0" applyFont="1" applyBorder="1" applyAlignment="1">
      <alignment horizontal="left" wrapText="1"/>
    </xf>
    <xf numFmtId="2" fontId="25" fillId="0" borderId="0" xfId="0" applyNumberFormat="1" applyFont="1"/>
    <xf numFmtId="0" fontId="25" fillId="5" borderId="0" xfId="14" applyFont="1" applyFill="1" applyAlignment="1"/>
    <xf numFmtId="0" fontId="25" fillId="0" borderId="32" xfId="0" applyFont="1" applyBorder="1" applyAlignment="1">
      <alignment wrapText="1"/>
    </xf>
    <xf numFmtId="0" fontId="25" fillId="0" borderId="18" xfId="0" applyFont="1" applyBorder="1" applyAlignment="1">
      <alignment wrapText="1"/>
    </xf>
    <xf numFmtId="0" fontId="25" fillId="0" borderId="34" xfId="0" applyFont="1" applyBorder="1" applyAlignment="1">
      <alignment wrapText="1"/>
    </xf>
    <xf numFmtId="168" fontId="25" fillId="0" borderId="25" xfId="6" applyNumberFormat="1" applyFont="1" applyBorder="1" applyAlignment="1">
      <alignment horizontal="center" vertical="center"/>
    </xf>
    <xf numFmtId="0" fontId="25" fillId="0" borderId="23" xfId="0" applyFont="1" applyBorder="1" applyAlignment="1">
      <alignment vertical="center"/>
    </xf>
    <xf numFmtId="168" fontId="25" fillId="0" borderId="26" xfId="6" applyNumberFormat="1" applyFont="1" applyBorder="1" applyAlignment="1">
      <alignment horizontal="center" vertical="center" wrapText="1"/>
    </xf>
    <xf numFmtId="0" fontId="25" fillId="0" borderId="9" xfId="0" applyFont="1" applyBorder="1" applyAlignment="1">
      <alignment vertical="center" wrapText="1"/>
    </xf>
    <xf numFmtId="181" fontId="25" fillId="0" borderId="0" xfId="7" applyNumberFormat="1" applyFont="1" applyFill="1"/>
    <xf numFmtId="9" fontId="25" fillId="0" borderId="0" xfId="3" applyFont="1" applyFill="1"/>
    <xf numFmtId="0" fontId="77" fillId="7" borderId="0" xfId="6" applyFont="1" applyFill="1" applyAlignment="1">
      <alignment vertical="center"/>
    </xf>
    <xf numFmtId="4" fontId="25" fillId="0" borderId="0" xfId="7" applyNumberFormat="1" applyFont="1"/>
    <xf numFmtId="2" fontId="40" fillId="0" borderId="0" xfId="7" applyNumberFormat="1" applyFont="1"/>
    <xf numFmtId="0" fontId="40" fillId="0" borderId="0" xfId="7" applyFont="1" applyFill="1"/>
    <xf numFmtId="0" fontId="25" fillId="5" borderId="9" xfId="14" applyFont="1" applyFill="1" applyBorder="1" applyAlignment="1">
      <alignment horizontal="left" wrapText="1"/>
    </xf>
    <xf numFmtId="165" fontId="25" fillId="5" borderId="23" xfId="14" applyNumberFormat="1" applyFont="1" applyFill="1" applyBorder="1" applyAlignment="1">
      <alignment vertical="center" wrapText="1"/>
    </xf>
    <xf numFmtId="0" fontId="30" fillId="0" borderId="39" xfId="9" applyFont="1" applyFill="1" applyBorder="1"/>
    <xf numFmtId="0" fontId="30" fillId="5" borderId="40" xfId="9" applyFont="1" applyFill="1" applyBorder="1"/>
    <xf numFmtId="0" fontId="40" fillId="0" borderId="9" xfId="7" applyFont="1" applyBorder="1" applyAlignment="1">
      <alignment horizontal="center"/>
    </xf>
    <xf numFmtId="0" fontId="25" fillId="0" borderId="0" xfId="14" applyFont="1" applyFill="1" applyAlignment="1">
      <alignment wrapText="1"/>
    </xf>
    <xf numFmtId="0" fontId="30" fillId="0" borderId="39" xfId="9" applyFont="1" applyFill="1" applyBorder="1" applyAlignment="1">
      <alignment wrapText="1"/>
    </xf>
    <xf numFmtId="9" fontId="25" fillId="0" borderId="9" xfId="16" applyFont="1" applyFill="1" applyBorder="1"/>
    <xf numFmtId="10" fontId="30" fillId="5" borderId="9" xfId="9" applyNumberFormat="1" applyFont="1" applyFill="1" applyBorder="1" applyAlignment="1">
      <alignment vertical="top" wrapText="1"/>
    </xf>
    <xf numFmtId="180" fontId="25" fillId="0" borderId="0" xfId="7" applyNumberFormat="1" applyFont="1" applyFill="1"/>
    <xf numFmtId="39" fontId="30" fillId="5" borderId="9" xfId="1" applyNumberFormat="1" applyFont="1" applyFill="1" applyBorder="1" applyAlignment="1">
      <alignment horizontal="center"/>
    </xf>
    <xf numFmtId="0" fontId="25" fillId="0" borderId="0" xfId="14" applyFont="1" applyFill="1" applyBorder="1"/>
    <xf numFmtId="165" fontId="25" fillId="0" borderId="0" xfId="7" applyNumberFormat="1" applyFont="1" applyFill="1" applyBorder="1" applyAlignment="1">
      <alignment horizontal="center" vertical="center" wrapText="1"/>
    </xf>
    <xf numFmtId="0" fontId="25" fillId="0" borderId="0" xfId="7" applyFont="1" applyFill="1" applyBorder="1"/>
    <xf numFmtId="9" fontId="25" fillId="0" borderId="0" xfId="3" applyFont="1" applyFill="1" applyBorder="1" applyAlignment="1">
      <alignment horizontal="center" vertical="center" wrapText="1"/>
    </xf>
    <xf numFmtId="0" fontId="25" fillId="0" borderId="0" xfId="0" applyFont="1" applyAlignment="1">
      <alignment vertical="center"/>
    </xf>
    <xf numFmtId="9" fontId="25" fillId="0" borderId="0" xfId="3" applyFont="1" applyFill="1" applyBorder="1" applyAlignment="1">
      <alignment horizontal="left"/>
    </xf>
    <xf numFmtId="0" fontId="25" fillId="0" borderId="0" xfId="7" applyFont="1" applyFill="1" applyBorder="1" applyAlignment="1">
      <alignment horizontal="center"/>
    </xf>
    <xf numFmtId="0" fontId="40" fillId="0" borderId="0" xfId="7" applyFont="1" applyAlignment="1"/>
    <xf numFmtId="180" fontId="25" fillId="0" borderId="0" xfId="7" applyNumberFormat="1" applyFont="1" applyFill="1" applyBorder="1"/>
    <xf numFmtId="181" fontId="25" fillId="0" borderId="0" xfId="7" applyNumberFormat="1" applyFont="1" applyFill="1" applyBorder="1"/>
    <xf numFmtId="0" fontId="25" fillId="0" borderId="0" xfId="7" applyFont="1" applyFill="1" applyBorder="1" applyAlignment="1">
      <alignment vertical="center"/>
    </xf>
    <xf numFmtId="0" fontId="57" fillId="0" borderId="0" xfId="0" applyFont="1" applyFill="1" applyBorder="1" applyAlignment="1">
      <alignment horizontal="center" vertical="center" wrapText="1"/>
    </xf>
    <xf numFmtId="3" fontId="57" fillId="0" borderId="0" xfId="0" applyNumberFormat="1" applyFont="1" applyFill="1" applyBorder="1" applyAlignment="1">
      <alignment horizontal="center" vertical="center" wrapText="1"/>
    </xf>
    <xf numFmtId="0" fontId="40" fillId="0" borderId="0" xfId="7" applyFont="1" applyAlignment="1">
      <alignment wrapText="1"/>
    </xf>
    <xf numFmtId="3" fontId="25" fillId="0" borderId="0" xfId="0" applyNumberFormat="1" applyFont="1" applyFill="1" applyBorder="1" applyAlignment="1">
      <alignment horizontal="left" vertical="center"/>
    </xf>
    <xf numFmtId="0" fontId="40" fillId="0" borderId="0" xfId="6" applyFont="1" applyFill="1" applyAlignment="1">
      <alignment wrapText="1"/>
    </xf>
    <xf numFmtId="0" fontId="30" fillId="0" borderId="41" xfId="9" applyFont="1" applyBorder="1"/>
    <xf numFmtId="0" fontId="25" fillId="0" borderId="9" xfId="9" applyFont="1" applyBorder="1" applyAlignment="1">
      <alignment horizontal="center"/>
    </xf>
    <xf numFmtId="2" fontId="25" fillId="0" borderId="9" xfId="9" applyNumberFormat="1" applyFont="1" applyBorder="1" applyAlignment="1">
      <alignment horizontal="center"/>
    </xf>
    <xf numFmtId="39" fontId="25" fillId="0" borderId="18" xfId="1" applyNumberFormat="1" applyFont="1" applyBorder="1" applyAlignment="1">
      <alignment horizontal="center"/>
    </xf>
    <xf numFmtId="39" fontId="25" fillId="0" borderId="0" xfId="1" applyNumberFormat="1" applyFont="1" applyBorder="1" applyAlignment="1">
      <alignment horizontal="center"/>
    </xf>
    <xf numFmtId="0" fontId="25" fillId="5" borderId="0" xfId="9" applyFont="1" applyFill="1" applyBorder="1" applyAlignment="1">
      <alignment horizontal="center"/>
    </xf>
    <xf numFmtId="182" fontId="25" fillId="5" borderId="0" xfId="1" applyNumberFormat="1" applyFont="1" applyFill="1" applyBorder="1" applyAlignment="1">
      <alignment horizontal="center"/>
    </xf>
    <xf numFmtId="2" fontId="25" fillId="0" borderId="0" xfId="9" applyNumberFormat="1" applyFont="1" applyBorder="1" applyAlignment="1">
      <alignment horizontal="center"/>
    </xf>
    <xf numFmtId="2" fontId="25" fillId="0" borderId="0" xfId="9" applyNumberFormat="1" applyFont="1" applyBorder="1"/>
    <xf numFmtId="2" fontId="25" fillId="0" borderId="0" xfId="2" applyNumberFormat="1" applyFont="1" applyBorder="1"/>
    <xf numFmtId="1" fontId="25" fillId="5" borderId="0" xfId="9" applyNumberFormat="1" applyFont="1" applyFill="1" applyBorder="1"/>
    <xf numFmtId="44" fontId="25" fillId="5" borderId="0" xfId="2" applyFont="1" applyFill="1" applyBorder="1" applyAlignment="1">
      <alignment wrapText="1"/>
    </xf>
    <xf numFmtId="39" fontId="25" fillId="0" borderId="0" xfId="1" applyNumberFormat="1" applyFont="1" applyAlignment="1">
      <alignment horizontal="center"/>
    </xf>
    <xf numFmtId="0" fontId="30" fillId="5" borderId="0" xfId="9" applyFont="1" applyFill="1" applyAlignment="1">
      <alignment wrapText="1"/>
    </xf>
    <xf numFmtId="0" fontId="40" fillId="0" borderId="43" xfId="0" applyFont="1" applyBorder="1" applyAlignment="1">
      <alignment horizontal="center" vertical="center" wrapText="1"/>
    </xf>
    <xf numFmtId="0" fontId="40" fillId="0" borderId="9" xfId="0" applyFont="1" applyFill="1" applyBorder="1" applyAlignment="1">
      <alignment horizontal="center" vertical="center" wrapText="1"/>
    </xf>
    <xf numFmtId="0" fontId="25" fillId="0" borderId="9" xfId="0" applyFont="1" applyFill="1" applyBorder="1" applyAlignment="1">
      <alignment horizontal="center"/>
    </xf>
    <xf numFmtId="0" fontId="56" fillId="0" borderId="0" xfId="0" applyFont="1" applyAlignment="1"/>
    <xf numFmtId="0" fontId="25" fillId="5" borderId="0" xfId="0" applyFont="1" applyFill="1" applyAlignment="1">
      <alignment wrapText="1"/>
    </xf>
    <xf numFmtId="0" fontId="25" fillId="0" borderId="0" xfId="0" applyFont="1" applyBorder="1" applyAlignment="1">
      <alignment vertical="center"/>
    </xf>
    <xf numFmtId="0" fontId="25" fillId="0" borderId="0" xfId="0" applyFont="1" applyBorder="1" applyAlignment="1">
      <alignment horizontal="left" vertical="center"/>
    </xf>
    <xf numFmtId="0" fontId="40" fillId="0" borderId="9" xfId="0" applyFont="1" applyFill="1" applyBorder="1" applyAlignment="1">
      <alignment horizontal="left" vertical="center" wrapText="1"/>
    </xf>
    <xf numFmtId="3" fontId="25" fillId="0" borderId="23" xfId="0" applyNumberFormat="1" applyFont="1" applyFill="1" applyBorder="1" applyAlignment="1">
      <alignment horizontal="left" vertical="center" wrapText="1"/>
    </xf>
    <xf numFmtId="9" fontId="25" fillId="0" borderId="0" xfId="3" applyFont="1" applyFill="1" applyBorder="1" applyAlignment="1">
      <alignment horizontal="center"/>
    </xf>
    <xf numFmtId="9" fontId="25" fillId="0" borderId="0" xfId="3" applyFont="1" applyBorder="1" applyAlignment="1">
      <alignment horizontal="center"/>
    </xf>
    <xf numFmtId="165" fontId="40" fillId="0" borderId="0" xfId="0" applyNumberFormat="1" applyFont="1" applyBorder="1" applyAlignment="1">
      <alignment horizontal="center" vertical="center" wrapText="1"/>
    </xf>
    <xf numFmtId="0" fontId="40" fillId="0" borderId="0" xfId="0" applyFont="1" applyBorder="1" applyAlignment="1">
      <alignment horizontal="center" vertical="center" wrapText="1"/>
    </xf>
    <xf numFmtId="166" fontId="40" fillId="0" borderId="0" xfId="0" applyNumberFormat="1" applyFont="1" applyBorder="1" applyAlignment="1">
      <alignment horizontal="center" vertical="center" wrapText="1"/>
    </xf>
    <xf numFmtId="180" fontId="40" fillId="0" borderId="0" xfId="0" applyNumberFormat="1" applyFont="1" applyBorder="1" applyAlignment="1">
      <alignment horizontal="center" vertical="center" wrapText="1"/>
    </xf>
    <xf numFmtId="0" fontId="25" fillId="0" borderId="0" xfId="0" applyFont="1" applyAlignment="1">
      <alignment horizontal="center" wrapText="1"/>
    </xf>
    <xf numFmtId="0" fontId="40" fillId="5" borderId="0" xfId="0" applyFont="1" applyFill="1" applyBorder="1" applyAlignment="1">
      <alignment horizontal="center" vertical="center"/>
    </xf>
    <xf numFmtId="165" fontId="25" fillId="5" borderId="0" xfId="0" applyNumberFormat="1" applyFont="1" applyFill="1" applyBorder="1" applyAlignment="1">
      <alignment horizontal="center" vertical="center"/>
    </xf>
    <xf numFmtId="178" fontId="25" fillId="5" borderId="0" xfId="0" applyNumberFormat="1" applyFont="1" applyFill="1" applyBorder="1" applyAlignment="1">
      <alignment horizontal="center" vertical="center"/>
    </xf>
    <xf numFmtId="181" fontId="25" fillId="5" borderId="0" xfId="0" applyNumberFormat="1" applyFont="1" applyFill="1" applyBorder="1" applyAlignment="1">
      <alignment horizontal="center" vertical="center" wrapText="1"/>
    </xf>
    <xf numFmtId="4" fontId="25" fillId="5" borderId="0" xfId="0" applyNumberFormat="1" applyFont="1" applyFill="1" applyBorder="1" applyAlignment="1">
      <alignment horizontal="center" vertical="center" wrapText="1"/>
    </xf>
    <xf numFmtId="191" fontId="25" fillId="5" borderId="0" xfId="0" applyNumberFormat="1" applyFont="1" applyFill="1" applyBorder="1" applyAlignment="1">
      <alignment horizontal="center" vertical="center" wrapText="1"/>
    </xf>
    <xf numFmtId="10" fontId="25" fillId="5" borderId="0" xfId="0" applyNumberFormat="1" applyFont="1" applyFill="1" applyBorder="1" applyAlignment="1">
      <alignment horizontal="center" vertical="center" wrapText="1"/>
    </xf>
    <xf numFmtId="189" fontId="25" fillId="0" borderId="9" xfId="0" applyNumberFormat="1" applyFont="1" applyFill="1" applyBorder="1" applyAlignment="1">
      <alignment horizontal="center" vertical="center" wrapText="1"/>
    </xf>
    <xf numFmtId="2" fontId="25" fillId="0" borderId="9" xfId="0" applyNumberFormat="1" applyFont="1" applyBorder="1" applyAlignment="1">
      <alignment horizontal="center" vertical="center" wrapText="1"/>
    </xf>
    <xf numFmtId="0" fontId="56" fillId="0" borderId="0" xfId="0" applyFont="1"/>
    <xf numFmtId="0" fontId="25" fillId="0" borderId="44" xfId="0" applyFont="1" applyFill="1" applyBorder="1" applyAlignment="1">
      <alignment horizontal="left" vertical="center" wrapText="1"/>
    </xf>
    <xf numFmtId="0" fontId="56" fillId="0" borderId="0" xfId="0" applyFont="1" applyFill="1"/>
    <xf numFmtId="0" fontId="25" fillId="0" borderId="45" xfId="0" applyFont="1" applyBorder="1" applyAlignment="1">
      <alignment horizontal="center" vertical="center" wrapText="1"/>
    </xf>
    <xf numFmtId="0" fontId="25" fillId="0" borderId="45" xfId="0" applyFont="1" applyFill="1" applyBorder="1" applyAlignment="1">
      <alignment horizontal="left" vertical="center" wrapText="1"/>
    </xf>
    <xf numFmtId="0" fontId="25" fillId="0" borderId="9" xfId="0" applyFont="1" applyFill="1" applyBorder="1" applyAlignment="1">
      <alignment horizontal="center" wrapText="1"/>
    </xf>
    <xf numFmtId="0" fontId="45" fillId="0" borderId="0" xfId="0" applyFont="1" applyFill="1"/>
    <xf numFmtId="0" fontId="25" fillId="0" borderId="22" xfId="0" applyFont="1" applyFill="1" applyBorder="1" applyAlignment="1">
      <alignment wrapText="1"/>
    </xf>
    <xf numFmtId="165" fontId="25" fillId="5" borderId="9" xfId="0" applyNumberFormat="1" applyFont="1" applyFill="1" applyBorder="1" applyAlignment="1">
      <alignment horizontal="left" vertical="center" wrapText="1"/>
    </xf>
    <xf numFmtId="0" fontId="89" fillId="0" borderId="0" xfId="0" applyFont="1" applyFill="1"/>
    <xf numFmtId="0" fontId="25" fillId="9" borderId="9" xfId="0" applyFont="1" applyFill="1" applyBorder="1" applyAlignment="1">
      <alignment horizontal="center" vertical="center" wrapText="1"/>
    </xf>
    <xf numFmtId="9" fontId="25" fillId="9" borderId="9" xfId="3" applyFont="1" applyFill="1" applyBorder="1" applyAlignment="1">
      <alignment horizontal="center" vertical="center" wrapText="1"/>
    </xf>
    <xf numFmtId="9" fontId="25" fillId="9" borderId="9" xfId="0" applyNumberFormat="1" applyFont="1" applyFill="1" applyBorder="1" applyAlignment="1">
      <alignment horizontal="center" vertical="center" wrapText="1"/>
    </xf>
    <xf numFmtId="43" fontId="25" fillId="5" borderId="9" xfId="1" applyFont="1" applyFill="1" applyBorder="1"/>
    <xf numFmtId="43" fontId="25" fillId="5" borderId="9" xfId="1" applyNumberFormat="1" applyFont="1" applyFill="1" applyBorder="1" applyAlignment="1">
      <alignment horizontal="center"/>
    </xf>
    <xf numFmtId="0" fontId="30" fillId="5" borderId="39" xfId="9" applyFont="1" applyFill="1" applyBorder="1"/>
    <xf numFmtId="43" fontId="25" fillId="0" borderId="0" xfId="1" applyFont="1"/>
    <xf numFmtId="39" fontId="30" fillId="5" borderId="0" xfId="1" applyNumberFormat="1" applyFont="1" applyFill="1" applyAlignment="1">
      <alignment horizontal="center"/>
    </xf>
    <xf numFmtId="0" fontId="30" fillId="5" borderId="0" xfId="9" applyFont="1" applyFill="1" applyAlignment="1">
      <alignment horizontal="center"/>
    </xf>
    <xf numFmtId="0" fontId="90" fillId="5" borderId="0" xfId="0" applyFont="1" applyFill="1"/>
    <xf numFmtId="0" fontId="91" fillId="5" borderId="0" xfId="0" applyFont="1" applyFill="1"/>
    <xf numFmtId="0" fontId="92" fillId="5" borderId="0" xfId="0" applyFont="1" applyFill="1"/>
    <xf numFmtId="0" fontId="25" fillId="5" borderId="3" xfId="9" applyFont="1" applyFill="1" applyBorder="1" applyAlignment="1">
      <alignment horizontal="left" vertical="center" wrapText="1"/>
    </xf>
    <xf numFmtId="165" fontId="25" fillId="5" borderId="51" xfId="3" applyNumberFormat="1" applyFont="1" applyFill="1" applyBorder="1" applyAlignment="1">
      <alignment horizontal="center"/>
    </xf>
    <xf numFmtId="0" fontId="25" fillId="5" borderId="14" xfId="9" applyFont="1" applyFill="1" applyBorder="1" applyAlignment="1"/>
    <xf numFmtId="1" fontId="25" fillId="5" borderId="23" xfId="3" applyNumberFormat="1" applyFont="1" applyFill="1" applyBorder="1" applyAlignment="1">
      <alignment horizontal="center"/>
    </xf>
    <xf numFmtId="2" fontId="25" fillId="5" borderId="19" xfId="3" applyNumberFormat="1" applyFont="1" applyFill="1" applyBorder="1" applyAlignment="1">
      <alignment horizontal="center"/>
    </xf>
    <xf numFmtId="2" fontId="25" fillId="5" borderId="23" xfId="3" applyNumberFormat="1" applyFont="1" applyFill="1" applyBorder="1" applyAlignment="1">
      <alignment horizontal="center"/>
    </xf>
    <xf numFmtId="0" fontId="25" fillId="5" borderId="19" xfId="9" applyFont="1" applyFill="1" applyBorder="1" applyAlignment="1"/>
    <xf numFmtId="0" fontId="30" fillId="0" borderId="41" xfId="9" applyFont="1" applyFill="1" applyBorder="1" applyAlignment="1">
      <alignment horizontal="center"/>
    </xf>
    <xf numFmtId="0" fontId="25" fillId="5" borderId="8" xfId="9" applyFont="1" applyFill="1" applyBorder="1" applyAlignment="1">
      <alignment horizontal="left" vertical="center" wrapText="1"/>
    </xf>
    <xf numFmtId="0" fontId="93" fillId="0" borderId="0" xfId="9" applyFont="1" applyFill="1" applyAlignment="1">
      <alignment horizontal="center"/>
    </xf>
    <xf numFmtId="0" fontId="25" fillId="5" borderId="13" xfId="9" applyFont="1" applyFill="1" applyBorder="1" applyAlignment="1">
      <alignment horizontal="left" vertical="center" wrapText="1"/>
    </xf>
    <xf numFmtId="165" fontId="25" fillId="5" borderId="14" xfId="3" applyNumberFormat="1" applyFont="1" applyFill="1" applyBorder="1" applyAlignment="1">
      <alignment horizontal="center"/>
    </xf>
    <xf numFmtId="9" fontId="25" fillId="0" borderId="4" xfId="3" applyFont="1" applyBorder="1" applyAlignment="1">
      <alignment horizontal="center"/>
    </xf>
    <xf numFmtId="9" fontId="25" fillId="0" borderId="23" xfId="3" applyFont="1" applyBorder="1" applyAlignment="1">
      <alignment horizontal="center"/>
    </xf>
    <xf numFmtId="9" fontId="25" fillId="0" borderId="19" xfId="3" applyFont="1" applyBorder="1" applyAlignment="1">
      <alignment horizontal="center"/>
    </xf>
    <xf numFmtId="9" fontId="25" fillId="0" borderId="14" xfId="3" applyFont="1" applyBorder="1" applyAlignment="1">
      <alignment horizontal="center"/>
    </xf>
    <xf numFmtId="170" fontId="25" fillId="0" borderId="4" xfId="1" applyNumberFormat="1" applyFont="1" applyBorder="1" applyAlignment="1">
      <alignment horizontal="center"/>
    </xf>
    <xf numFmtId="170" fontId="25" fillId="0" borderId="23" xfId="1" applyNumberFormat="1" applyFont="1" applyBorder="1" applyAlignment="1">
      <alignment horizontal="center"/>
    </xf>
    <xf numFmtId="0" fontId="25" fillId="16" borderId="16" xfId="0" applyFont="1" applyFill="1" applyBorder="1"/>
    <xf numFmtId="170" fontId="25" fillId="0" borderId="19" xfId="1" applyNumberFormat="1" applyFont="1" applyBorder="1" applyAlignment="1">
      <alignment horizontal="center"/>
    </xf>
    <xf numFmtId="170" fontId="25" fillId="0" borderId="14" xfId="1" applyNumberFormat="1" applyFont="1" applyBorder="1" applyAlignment="1">
      <alignment horizontal="center"/>
    </xf>
    <xf numFmtId="171" fontId="25" fillId="0" borderId="4" xfId="3" applyNumberFormat="1" applyFont="1" applyBorder="1" applyAlignment="1">
      <alignment horizontal="center"/>
    </xf>
    <xf numFmtId="0" fontId="94" fillId="0" borderId="0" xfId="18" applyFont="1"/>
    <xf numFmtId="171" fontId="25" fillId="0" borderId="23" xfId="3" applyNumberFormat="1" applyFont="1" applyBorder="1" applyAlignment="1">
      <alignment horizontal="center"/>
    </xf>
    <xf numFmtId="44" fontId="94" fillId="0" borderId="0" xfId="18" applyNumberFormat="1" applyFont="1" applyFill="1"/>
    <xf numFmtId="8" fontId="30" fillId="0" borderId="0" xfId="9" applyNumberFormat="1" applyFont="1"/>
    <xf numFmtId="171" fontId="25" fillId="0" borderId="19" xfId="3" applyNumberFormat="1" applyFont="1" applyBorder="1" applyAlignment="1">
      <alignment horizontal="center"/>
    </xf>
    <xf numFmtId="171" fontId="25" fillId="0" borderId="14" xfId="3" applyNumberFormat="1" applyFont="1" applyBorder="1" applyAlignment="1">
      <alignment horizontal="center"/>
    </xf>
    <xf numFmtId="194" fontId="25" fillId="0" borderId="9" xfId="0" applyNumberFormat="1" applyFont="1" applyBorder="1" applyAlignment="1">
      <alignment horizontal="center"/>
    </xf>
    <xf numFmtId="168" fontId="25" fillId="0" borderId="9" xfId="0" applyNumberFormat="1" applyFont="1" applyFill="1" applyBorder="1" applyAlignment="1">
      <alignment horizontal="center"/>
    </xf>
    <xf numFmtId="7" fontId="25" fillId="0" borderId="0" xfId="0" applyNumberFormat="1" applyFont="1"/>
    <xf numFmtId="170" fontId="25" fillId="0" borderId="0" xfId="0" applyNumberFormat="1" applyFont="1"/>
    <xf numFmtId="0" fontId="25" fillId="0" borderId="0" xfId="0" applyFont="1" applyFill="1" applyBorder="1" applyAlignment="1">
      <alignment horizontal="center"/>
    </xf>
    <xf numFmtId="168" fontId="56" fillId="0" borderId="0" xfId="0" applyNumberFormat="1" applyFont="1" applyBorder="1" applyAlignment="1">
      <alignment horizontal="left" vertical="top"/>
    </xf>
    <xf numFmtId="168" fontId="56" fillId="0" borderId="0" xfId="0" applyNumberFormat="1" applyFont="1" applyBorder="1" applyAlignment="1">
      <alignment horizontal="left"/>
    </xf>
    <xf numFmtId="37" fontId="25" fillId="0" borderId="0" xfId="1" quotePrefix="1" applyNumberFormat="1" applyFont="1" applyFill="1" applyBorder="1" applyAlignment="1">
      <alignment horizontal="center" vertical="center" wrapText="1"/>
    </xf>
    <xf numFmtId="168" fontId="25" fillId="0" borderId="0" xfId="0" applyNumberFormat="1" applyFont="1" applyBorder="1" applyAlignment="1">
      <alignment horizontal="left"/>
    </xf>
    <xf numFmtId="195" fontId="25" fillId="0" borderId="0" xfId="0" applyNumberFormat="1" applyFont="1" applyBorder="1" applyAlignment="1">
      <alignment horizontal="center"/>
    </xf>
    <xf numFmtId="43" fontId="25" fillId="0" borderId="0" xfId="0" applyNumberFormat="1" applyFont="1" applyBorder="1" applyAlignment="1">
      <alignment horizontal="center"/>
    </xf>
    <xf numFmtId="196" fontId="25" fillId="0" borderId="0" xfId="0" applyNumberFormat="1" applyFont="1" applyBorder="1" applyAlignment="1">
      <alignment horizontal="center"/>
    </xf>
    <xf numFmtId="184" fontId="25" fillId="0" borderId="0" xfId="0" applyNumberFormat="1" applyFont="1" applyBorder="1" applyAlignment="1">
      <alignment horizontal="center"/>
    </xf>
    <xf numFmtId="197" fontId="25" fillId="0" borderId="0" xfId="0" applyNumberFormat="1" applyFont="1"/>
    <xf numFmtId="0" fontId="25" fillId="5" borderId="0" xfId="0" applyFont="1" applyFill="1" applyAlignment="1">
      <alignment horizontal="center"/>
    </xf>
    <xf numFmtId="9" fontId="25" fillId="0" borderId="0" xfId="3" applyFont="1" applyAlignment="1">
      <alignment horizontal="left"/>
    </xf>
    <xf numFmtId="0" fontId="25" fillId="5" borderId="0" xfId="0" applyFont="1" applyFill="1" applyBorder="1" applyAlignment="1">
      <alignment horizontal="left" vertical="top" wrapText="1"/>
    </xf>
    <xf numFmtId="0" fontId="25" fillId="0" borderId="18" xfId="0" applyFont="1" applyBorder="1" applyAlignment="1">
      <alignment horizontal="center"/>
    </xf>
    <xf numFmtId="0" fontId="25" fillId="0" borderId="16" xfId="0" applyFont="1" applyBorder="1"/>
    <xf numFmtId="0" fontId="25" fillId="5" borderId="48" xfId="0" applyFont="1" applyFill="1" applyBorder="1" applyAlignment="1">
      <alignment horizontal="left" vertical="top" wrapText="1"/>
    </xf>
    <xf numFmtId="2" fontId="25" fillId="0" borderId="0" xfId="0" applyNumberFormat="1" applyFont="1" applyBorder="1" applyAlignment="1">
      <alignment wrapText="1"/>
    </xf>
    <xf numFmtId="2" fontId="25" fillId="0" borderId="0" xfId="0" applyNumberFormat="1" applyFont="1" applyFill="1" applyBorder="1" applyAlignment="1">
      <alignment wrapText="1"/>
    </xf>
    <xf numFmtId="2" fontId="25" fillId="5" borderId="14" xfId="0" applyNumberFormat="1" applyFont="1" applyFill="1" applyBorder="1" applyAlignment="1">
      <alignment horizontal="center"/>
    </xf>
    <xf numFmtId="0" fontId="25" fillId="5" borderId="0" xfId="0" applyFont="1" applyFill="1" applyAlignment="1"/>
    <xf numFmtId="39" fontId="25" fillId="5" borderId="19" xfId="1" applyNumberFormat="1" applyFont="1" applyFill="1" applyBorder="1" applyAlignment="1">
      <alignment horizontal="left" vertical="top"/>
    </xf>
    <xf numFmtId="7" fontId="25" fillId="5" borderId="4" xfId="2" applyNumberFormat="1" applyFont="1" applyFill="1" applyBorder="1" applyAlignment="1">
      <alignment horizontal="center"/>
    </xf>
    <xf numFmtId="7" fontId="25" fillId="5" borderId="0" xfId="0" applyNumberFormat="1" applyFont="1" applyFill="1" applyBorder="1" applyAlignment="1">
      <alignment horizontal="center"/>
    </xf>
    <xf numFmtId="7" fontId="25" fillId="5" borderId="14" xfId="2" applyNumberFormat="1" applyFont="1" applyFill="1" applyBorder="1" applyAlignment="1">
      <alignment horizontal="center"/>
    </xf>
    <xf numFmtId="0" fontId="25" fillId="18" borderId="17" xfId="0" applyFont="1" applyFill="1" applyBorder="1" applyAlignment="1"/>
    <xf numFmtId="0" fontId="25" fillId="18" borderId="18" xfId="0" applyFont="1" applyFill="1" applyBorder="1" applyAlignment="1"/>
    <xf numFmtId="168" fontId="25" fillId="0" borderId="9" xfId="0" applyNumberFormat="1" applyFont="1" applyBorder="1" applyAlignment="1">
      <alignment horizontal="center"/>
    </xf>
    <xf numFmtId="169" fontId="25" fillId="0" borderId="9" xfId="0" applyNumberFormat="1" applyFont="1" applyFill="1" applyBorder="1" applyAlignment="1">
      <alignment horizontal="center" vertical="center" wrapText="1"/>
    </xf>
    <xf numFmtId="43" fontId="25" fillId="0" borderId="0" xfId="0" applyNumberFormat="1" applyFont="1"/>
    <xf numFmtId="194" fontId="25" fillId="0" borderId="0" xfId="0" applyNumberFormat="1" applyFont="1"/>
    <xf numFmtId="0" fontId="25" fillId="0" borderId="19" xfId="0" applyFont="1" applyFill="1" applyBorder="1" applyAlignment="1">
      <alignment horizontal="center"/>
    </xf>
    <xf numFmtId="168" fontId="25" fillId="0" borderId="19" xfId="0" applyNumberFormat="1" applyFont="1" applyFill="1" applyBorder="1" applyAlignment="1">
      <alignment horizontal="center"/>
    </xf>
    <xf numFmtId="9" fontId="25" fillId="0" borderId="19" xfId="3" applyFont="1" applyFill="1" applyBorder="1" applyAlignment="1">
      <alignment horizontal="center" vertical="center"/>
    </xf>
    <xf numFmtId="182" fontId="25" fillId="5" borderId="19" xfId="1" applyNumberFormat="1" applyFont="1" applyFill="1" applyBorder="1" applyAlignment="1">
      <alignment horizontal="center"/>
    </xf>
    <xf numFmtId="169" fontId="25" fillId="0" borderId="19" xfId="0" applyNumberFormat="1" applyFont="1" applyFill="1" applyBorder="1" applyAlignment="1">
      <alignment horizontal="center" vertical="center" wrapText="1"/>
    </xf>
    <xf numFmtId="170" fontId="25" fillId="5" borderId="19" xfId="1" applyNumberFormat="1" applyFont="1" applyFill="1" applyBorder="1" applyAlignment="1">
      <alignment horizontal="center"/>
    </xf>
    <xf numFmtId="2" fontId="25" fillId="0" borderId="0" xfId="3" applyNumberFormat="1" applyFont="1" applyFill="1"/>
    <xf numFmtId="182" fontId="25" fillId="5" borderId="4" xfId="1" applyNumberFormat="1" applyFont="1" applyFill="1" applyBorder="1" applyAlignment="1">
      <alignment horizontal="center"/>
    </xf>
    <xf numFmtId="0" fontId="25" fillId="5" borderId="23" xfId="0" applyFont="1" applyFill="1" applyBorder="1" applyAlignment="1">
      <alignment horizontal="center"/>
    </xf>
    <xf numFmtId="168" fontId="25" fillId="0" borderId="23" xfId="0" applyNumberFormat="1" applyFont="1" applyFill="1" applyBorder="1" applyAlignment="1">
      <alignment horizontal="center"/>
    </xf>
    <xf numFmtId="7" fontId="25" fillId="5" borderId="23" xfId="2" applyNumberFormat="1" applyFont="1" applyFill="1" applyBorder="1" applyAlignment="1">
      <alignment horizontal="center"/>
    </xf>
    <xf numFmtId="39" fontId="25" fillId="5" borderId="23" xfId="1" quotePrefix="1" applyNumberFormat="1" applyFont="1" applyFill="1" applyBorder="1" applyAlignment="1">
      <alignment horizontal="center" vertical="center" wrapText="1"/>
    </xf>
    <xf numFmtId="9" fontId="25" fillId="0" borderId="23" xfId="3" applyFont="1" applyFill="1" applyBorder="1" applyAlignment="1">
      <alignment horizontal="center" vertical="center" wrapText="1"/>
    </xf>
    <xf numFmtId="182" fontId="25" fillId="5" borderId="23" xfId="1" applyNumberFormat="1" applyFont="1" applyFill="1" applyBorder="1" applyAlignment="1">
      <alignment horizontal="center"/>
    </xf>
    <xf numFmtId="169" fontId="25" fillId="0" borderId="23" xfId="0" applyNumberFormat="1" applyFont="1" applyFill="1" applyBorder="1" applyAlignment="1">
      <alignment horizontal="center" vertical="center" wrapText="1"/>
    </xf>
    <xf numFmtId="170" fontId="25" fillId="5" borderId="23" xfId="1" applyNumberFormat="1" applyFont="1" applyFill="1" applyBorder="1" applyAlignment="1">
      <alignment horizontal="center"/>
    </xf>
    <xf numFmtId="0" fontId="25" fillId="0" borderId="0" xfId="0" applyFont="1" applyFill="1" applyBorder="1" applyAlignment="1">
      <alignment horizontal="left" vertical="top" wrapText="1"/>
    </xf>
    <xf numFmtId="2" fontId="25" fillId="0" borderId="15" xfId="0" applyNumberFormat="1" applyFont="1" applyFill="1" applyBorder="1" applyAlignment="1"/>
    <xf numFmtId="0" fontId="25" fillId="6" borderId="9" xfId="0" applyFont="1" applyFill="1" applyBorder="1" applyAlignment="1">
      <alignment horizontal="left" vertical="top" wrapText="1"/>
    </xf>
    <xf numFmtId="0" fontId="25" fillId="0" borderId="0" xfId="0" applyFont="1" applyFill="1" applyBorder="1" applyAlignment="1">
      <alignment horizontal="left" vertical="top"/>
    </xf>
    <xf numFmtId="0" fontId="25" fillId="0" borderId="0" xfId="0" applyFont="1" applyFill="1" applyBorder="1" applyAlignment="1">
      <alignment vertical="top"/>
    </xf>
    <xf numFmtId="0" fontId="25" fillId="0" borderId="48" xfId="0" applyFont="1" applyBorder="1" applyAlignment="1">
      <alignment wrapText="1"/>
    </xf>
    <xf numFmtId="0" fontId="25" fillId="5" borderId="9" xfId="0" applyFont="1" applyFill="1" applyBorder="1" applyAlignment="1">
      <alignment horizontal="center" wrapText="1"/>
    </xf>
    <xf numFmtId="0" fontId="56" fillId="0" borderId="0" xfId="0" applyFont="1" applyAlignment="1">
      <alignment horizontal="left"/>
    </xf>
    <xf numFmtId="0" fontId="25" fillId="17" borderId="0" xfId="0" applyFont="1" applyFill="1" applyBorder="1" applyAlignment="1">
      <alignment horizontal="left" vertical="center" wrapText="1"/>
    </xf>
    <xf numFmtId="2" fontId="25" fillId="5" borderId="0" xfId="0" applyNumberFormat="1" applyFont="1" applyFill="1" applyBorder="1" applyAlignment="1">
      <alignment wrapText="1"/>
    </xf>
    <xf numFmtId="171" fontId="25" fillId="5" borderId="9" xfId="0" applyNumberFormat="1" applyFont="1" applyFill="1" applyBorder="1" applyAlignment="1">
      <alignment horizontal="center"/>
    </xf>
    <xf numFmtId="168" fontId="25" fillId="5" borderId="9" xfId="0" applyNumberFormat="1" applyFont="1" applyFill="1" applyBorder="1" applyAlignment="1">
      <alignment horizontal="center"/>
    </xf>
    <xf numFmtId="44" fontId="25" fillId="5" borderId="9" xfId="2" applyFont="1" applyFill="1" applyBorder="1" applyAlignment="1">
      <alignment horizontal="center" vertical="center" wrapText="1"/>
    </xf>
    <xf numFmtId="9" fontId="25" fillId="5" borderId="9" xfId="3" applyFont="1" applyFill="1" applyBorder="1" applyAlignment="1">
      <alignment horizontal="center" vertical="center"/>
    </xf>
    <xf numFmtId="0" fontId="25" fillId="0" borderId="0" xfId="0" applyFont="1" applyAlignment="1">
      <alignment horizontal="left" vertical="center"/>
    </xf>
    <xf numFmtId="0" fontId="25" fillId="5" borderId="35" xfId="0" applyFont="1" applyFill="1" applyBorder="1"/>
    <xf numFmtId="0" fontId="25" fillId="0" borderId="0" xfId="0" applyFont="1" applyBorder="1" applyAlignment="1">
      <alignment horizontal="center" wrapText="1"/>
    </xf>
    <xf numFmtId="0" fontId="25" fillId="5" borderId="25" xfId="0" applyFont="1" applyFill="1" applyBorder="1" applyAlignment="1">
      <alignment horizontal="left" vertical="top" wrapText="1"/>
    </xf>
    <xf numFmtId="0" fontId="25" fillId="5" borderId="25" xfId="0" applyFont="1" applyFill="1" applyBorder="1"/>
    <xf numFmtId="0" fontId="25" fillId="0" borderId="0" xfId="0" applyFont="1" applyFill="1" applyBorder="1" applyAlignment="1">
      <alignment horizontal="center" vertical="center"/>
    </xf>
    <xf numFmtId="0" fontId="25" fillId="0" borderId="0" xfId="0" applyFont="1" applyFill="1" applyBorder="1" applyAlignment="1">
      <alignment vertical="center"/>
    </xf>
    <xf numFmtId="184" fontId="25" fillId="0" borderId="0" xfId="0" applyNumberFormat="1" applyFont="1"/>
    <xf numFmtId="2" fontId="25" fillId="0" borderId="0" xfId="1" applyNumberFormat="1" applyFont="1"/>
    <xf numFmtId="0" fontId="25" fillId="0" borderId="19" xfId="0" applyFont="1" applyBorder="1" applyAlignment="1">
      <alignment horizontal="left" vertical="center" wrapText="1"/>
    </xf>
    <xf numFmtId="0" fontId="89" fillId="0" borderId="0" xfId="0" applyFont="1" applyAlignment="1">
      <alignment horizontal="center"/>
    </xf>
    <xf numFmtId="2" fontId="25" fillId="0" borderId="24" xfId="0" applyNumberFormat="1" applyFont="1" applyBorder="1"/>
    <xf numFmtId="0" fontId="25" fillId="0" borderId="19" xfId="0" applyFont="1" applyFill="1" applyBorder="1" applyAlignment="1">
      <alignment horizontal="left" vertical="top"/>
    </xf>
    <xf numFmtId="0" fontId="25" fillId="0" borderId="23" xfId="0" applyFont="1" applyFill="1" applyBorder="1" applyAlignment="1">
      <alignment horizontal="left" vertical="top"/>
    </xf>
    <xf numFmtId="169" fontId="25" fillId="5" borderId="9" xfId="0" applyNumberFormat="1" applyFont="1" applyFill="1" applyBorder="1" applyAlignment="1">
      <alignment horizontal="center" vertical="center" wrapText="1"/>
    </xf>
    <xf numFmtId="39" fontId="25" fillId="0" borderId="0" xfId="0" applyNumberFormat="1" applyFont="1"/>
    <xf numFmtId="171" fontId="25" fillId="5" borderId="0" xfId="0" applyNumberFormat="1" applyFont="1" applyFill="1" applyBorder="1"/>
    <xf numFmtId="6" fontId="25" fillId="5" borderId="0" xfId="0" applyNumberFormat="1" applyFont="1" applyFill="1" applyBorder="1" applyAlignment="1">
      <alignment wrapText="1"/>
    </xf>
    <xf numFmtId="171" fontId="25" fillId="0" borderId="9" xfId="0" applyNumberFormat="1" applyFont="1" applyBorder="1" applyAlignment="1"/>
    <xf numFmtId="9" fontId="25" fillId="5" borderId="0" xfId="3" applyFont="1" applyFill="1" applyBorder="1" applyAlignment="1">
      <alignment horizontal="left"/>
    </xf>
    <xf numFmtId="171" fontId="25" fillId="0" borderId="9" xfId="0" applyNumberFormat="1" applyFont="1" applyBorder="1"/>
    <xf numFmtId="0" fontId="25" fillId="17" borderId="25" xfId="0" applyFont="1" applyFill="1" applyBorder="1" applyAlignment="1">
      <alignment vertical="top" wrapText="1"/>
    </xf>
    <xf numFmtId="0" fontId="25" fillId="0" borderId="10" xfId="0" applyFont="1" applyBorder="1" applyAlignment="1">
      <alignment horizontal="center" vertical="center"/>
    </xf>
    <xf numFmtId="0" fontId="25" fillId="5" borderId="57" xfId="0" applyFont="1" applyFill="1" applyBorder="1"/>
    <xf numFmtId="0" fontId="25" fillId="5" borderId="5" xfId="0" applyFont="1" applyFill="1" applyBorder="1" applyAlignment="1">
      <alignment horizontal="left" vertical="top"/>
    </xf>
    <xf numFmtId="0" fontId="25" fillId="5" borderId="10" xfId="0" applyFont="1" applyFill="1" applyBorder="1" applyAlignment="1">
      <alignment horizontal="left" vertical="top"/>
    </xf>
    <xf numFmtId="2" fontId="25" fillId="9" borderId="4" xfId="0" applyNumberFormat="1" applyFont="1" applyFill="1" applyBorder="1" applyAlignment="1">
      <alignment horizontal="right"/>
    </xf>
    <xf numFmtId="2" fontId="25" fillId="9" borderId="9" xfId="0" applyNumberFormat="1" applyFont="1" applyFill="1" applyBorder="1" applyAlignment="1">
      <alignment horizontal="right"/>
    </xf>
    <xf numFmtId="2" fontId="25" fillId="9" borderId="14" xfId="0" applyNumberFormat="1" applyFont="1" applyFill="1" applyBorder="1" applyAlignment="1">
      <alignment horizontal="right"/>
    </xf>
    <xf numFmtId="0" fontId="25" fillId="17" borderId="57" xfId="0" applyFont="1" applyFill="1" applyBorder="1" applyAlignment="1">
      <alignment horizontal="left" vertical="top" wrapText="1"/>
    </xf>
    <xf numFmtId="9" fontId="25" fillId="5" borderId="4" xfId="3" applyFont="1" applyFill="1" applyBorder="1"/>
    <xf numFmtId="9" fontId="25" fillId="5" borderId="9" xfId="3" applyFont="1" applyFill="1" applyBorder="1"/>
    <xf numFmtId="9" fontId="25" fillId="5" borderId="14" xfId="3" applyFont="1" applyFill="1" applyBorder="1"/>
    <xf numFmtId="2" fontId="25" fillId="0" borderId="27" xfId="0" applyNumberFormat="1" applyFont="1" applyBorder="1" applyAlignment="1"/>
    <xf numFmtId="2" fontId="25" fillId="0" borderId="9" xfId="14" applyNumberFormat="1" applyFont="1" applyBorder="1" applyAlignment="1">
      <alignment horizontal="center"/>
    </xf>
    <xf numFmtId="180" fontId="45" fillId="0" borderId="0" xfId="7" applyNumberFormat="1" applyFont="1"/>
    <xf numFmtId="179" fontId="25" fillId="0" borderId="0" xfId="10" applyNumberFormat="1" applyFont="1" applyFill="1" applyBorder="1" applyAlignment="1">
      <alignment horizontal="center" vertical="center" wrapText="1"/>
    </xf>
    <xf numFmtId="0" fontId="57" fillId="0" borderId="0" xfId="0" applyFont="1" applyAlignment="1">
      <alignment horizontal="left" vertical="center"/>
    </xf>
    <xf numFmtId="165" fontId="25" fillId="0" borderId="9" xfId="7" applyNumberFormat="1" applyFont="1" applyFill="1" applyBorder="1" applyAlignment="1"/>
    <xf numFmtId="0" fontId="25" fillId="0" borderId="39" xfId="9" applyFont="1" applyBorder="1"/>
    <xf numFmtId="0" fontId="25" fillId="5" borderId="9" xfId="0" applyFont="1" applyFill="1" applyBorder="1" applyAlignment="1">
      <alignment horizontal="left"/>
    </xf>
    <xf numFmtId="0" fontId="30" fillId="0" borderId="67" xfId="9" applyFont="1" applyBorder="1" applyAlignment="1">
      <alignment horizontal="left"/>
    </xf>
    <xf numFmtId="0" fontId="30" fillId="0" borderId="68" xfId="9" applyFont="1" applyBorder="1" applyAlignment="1">
      <alignment horizontal="left"/>
    </xf>
    <xf numFmtId="0" fontId="30" fillId="0" borderId="68" xfId="9" applyFont="1" applyBorder="1"/>
    <xf numFmtId="0" fontId="30" fillId="0" borderId="70" xfId="9" applyFont="1" applyBorder="1" applyAlignment="1">
      <alignment horizontal="left"/>
    </xf>
    <xf numFmtId="0" fontId="30" fillId="0" borderId="71" xfId="9" applyFont="1" applyBorder="1" applyAlignment="1">
      <alignment horizontal="left"/>
    </xf>
    <xf numFmtId="0" fontId="30" fillId="0" borderId="71" xfId="9" applyFont="1" applyBorder="1"/>
    <xf numFmtId="0" fontId="30" fillId="0" borderId="73" xfId="9" applyFont="1" applyBorder="1" applyAlignment="1">
      <alignment horizontal="left"/>
    </xf>
    <xf numFmtId="180" fontId="25" fillId="0" borderId="9" xfId="9" applyNumberFormat="1" applyFont="1" applyBorder="1" applyAlignment="1">
      <alignment horizontal="center"/>
    </xf>
    <xf numFmtId="180" fontId="25" fillId="0" borderId="9" xfId="9" applyNumberFormat="1" applyFont="1" applyFill="1" applyBorder="1" applyAlignment="1">
      <alignment horizontal="center"/>
    </xf>
    <xf numFmtId="180" fontId="25" fillId="5" borderId="9" xfId="9" applyNumberFormat="1" applyFont="1" applyFill="1" applyBorder="1" applyAlignment="1">
      <alignment horizontal="center"/>
    </xf>
    <xf numFmtId="0" fontId="25" fillId="0" borderId="40" xfId="9" applyFont="1" applyBorder="1" applyAlignment="1">
      <alignment horizontal="left"/>
    </xf>
    <xf numFmtId="0" fontId="25" fillId="5" borderId="40" xfId="9" applyFont="1" applyFill="1" applyBorder="1"/>
    <xf numFmtId="0" fontId="25" fillId="0" borderId="22" xfId="9" applyFont="1" applyBorder="1" applyAlignment="1">
      <alignment horizontal="left"/>
    </xf>
    <xf numFmtId="0" fontId="25" fillId="0" borderId="19" xfId="9" applyFont="1" applyBorder="1" applyAlignment="1">
      <alignment horizontal="center"/>
    </xf>
    <xf numFmtId="165" fontId="25" fillId="0" borderId="19" xfId="9" applyNumberFormat="1" applyFont="1" applyBorder="1" applyAlignment="1">
      <alignment horizontal="center"/>
    </xf>
    <xf numFmtId="2" fontId="25" fillId="0" borderId="19" xfId="9" applyNumberFormat="1" applyFont="1" applyBorder="1" applyAlignment="1">
      <alignment horizontal="center"/>
    </xf>
    <xf numFmtId="0" fontId="25" fillId="0" borderId="42" xfId="9" applyFont="1" applyBorder="1"/>
    <xf numFmtId="0" fontId="25" fillId="0" borderId="27" xfId="9" applyFont="1" applyBorder="1" applyAlignment="1">
      <alignment horizontal="left"/>
    </xf>
    <xf numFmtId="39" fontId="25" fillId="0" borderId="27" xfId="1" applyNumberFormat="1" applyFont="1" applyBorder="1" applyAlignment="1">
      <alignment horizontal="center"/>
    </xf>
    <xf numFmtId="199" fontId="25" fillId="0" borderId="27" xfId="1" applyNumberFormat="1" applyFont="1" applyBorder="1" applyAlignment="1">
      <alignment horizontal="center"/>
    </xf>
    <xf numFmtId="2" fontId="25" fillId="0" borderId="27" xfId="9" applyNumberFormat="1" applyFont="1" applyBorder="1" applyAlignment="1">
      <alignment horizontal="center"/>
    </xf>
    <xf numFmtId="2" fontId="25" fillId="0" borderId="27" xfId="9" applyNumberFormat="1" applyFont="1" applyBorder="1"/>
    <xf numFmtId="165" fontId="25" fillId="0" borderId="27" xfId="9" applyNumberFormat="1" applyFont="1" applyBorder="1" applyAlignment="1">
      <alignment horizontal="center"/>
    </xf>
    <xf numFmtId="44" fontId="25" fillId="0" borderId="27" xfId="2" applyFont="1" applyBorder="1"/>
    <xf numFmtId="0" fontId="25" fillId="0" borderId="27" xfId="9" applyFont="1" applyBorder="1"/>
    <xf numFmtId="0" fontId="25" fillId="0" borderId="41" xfId="9" applyFont="1" applyBorder="1"/>
    <xf numFmtId="0" fontId="25" fillId="0" borderId="25" xfId="9" applyFont="1" applyBorder="1" applyAlignment="1">
      <alignment horizontal="left"/>
    </xf>
    <xf numFmtId="1" fontId="25" fillId="0" borderId="21" xfId="3" applyNumberFormat="1" applyFont="1" applyBorder="1" applyAlignment="1">
      <alignment horizontal="center"/>
    </xf>
    <xf numFmtId="1" fontId="25" fillId="0" borderId="19" xfId="3" applyNumberFormat="1" applyFont="1" applyBorder="1" applyAlignment="1">
      <alignment horizontal="center"/>
    </xf>
    <xf numFmtId="165" fontId="56" fillId="0" borderId="30" xfId="9" applyNumberFormat="1" applyFont="1" applyFill="1" applyBorder="1" applyAlignment="1">
      <alignment horizontal="left" vertical="center"/>
    </xf>
    <xf numFmtId="0" fontId="25" fillId="0" borderId="19" xfId="9" applyFont="1" applyFill="1" applyBorder="1" applyAlignment="1">
      <alignment horizontal="left"/>
    </xf>
    <xf numFmtId="0" fontId="25" fillId="0" borderId="25" xfId="9" applyFont="1" applyFill="1" applyBorder="1" applyAlignment="1">
      <alignment horizontal="left"/>
    </xf>
    <xf numFmtId="172" fontId="25" fillId="0" borderId="0" xfId="3" applyNumberFormat="1" applyFont="1" applyBorder="1"/>
    <xf numFmtId="9" fontId="25" fillId="0" borderId="0" xfId="3" applyFont="1" applyBorder="1"/>
    <xf numFmtId="165" fontId="25" fillId="0" borderId="9" xfId="9" applyNumberFormat="1" applyFont="1" applyFill="1" applyBorder="1" applyAlignment="1">
      <alignment horizontal="left"/>
    </xf>
    <xf numFmtId="0" fontId="25" fillId="5" borderId="9" xfId="9" applyFont="1" applyFill="1" applyBorder="1" applyAlignment="1">
      <alignment horizontal="left" wrapText="1"/>
    </xf>
    <xf numFmtId="169" fontId="25" fillId="5" borderId="9" xfId="9" applyNumberFormat="1" applyFont="1" applyFill="1" applyBorder="1" applyAlignment="1">
      <alignment horizontal="center"/>
    </xf>
    <xf numFmtId="0" fontId="25" fillId="5" borderId="0" xfId="9" applyFont="1" applyFill="1" applyAlignment="1">
      <alignment horizontal="left"/>
    </xf>
    <xf numFmtId="0" fontId="25" fillId="5" borderId="0" xfId="9" applyFont="1" applyFill="1" applyBorder="1" applyAlignment="1">
      <alignment horizontal="left"/>
    </xf>
    <xf numFmtId="0" fontId="25" fillId="5" borderId="0" xfId="9" applyFont="1" applyFill="1" applyBorder="1" applyAlignment="1">
      <alignment horizontal="right"/>
    </xf>
    <xf numFmtId="165" fontId="25" fillId="0" borderId="19" xfId="14" applyNumberFormat="1" applyFont="1" applyFill="1" applyBorder="1" applyAlignment="1">
      <alignment horizontal="center" vertical="center" wrapText="1"/>
    </xf>
    <xf numFmtId="0" fontId="25" fillId="0" borderId="9" xfId="9" applyFont="1" applyFill="1" applyBorder="1" applyAlignment="1">
      <alignment horizontal="center" vertical="center" wrapText="1"/>
    </xf>
    <xf numFmtId="165" fontId="25" fillId="0" borderId="9" xfId="9" applyNumberFormat="1" applyFont="1" applyFill="1" applyBorder="1" applyAlignment="1">
      <alignment horizontal="center" vertical="center" wrapText="1"/>
    </xf>
    <xf numFmtId="165" fontId="25" fillId="0" borderId="16" xfId="9" applyNumberFormat="1" applyFont="1" applyFill="1" applyBorder="1" applyAlignment="1">
      <alignment horizontal="center" vertical="center" wrapText="1"/>
    </xf>
    <xf numFmtId="0" fontId="25" fillId="0" borderId="9" xfId="9" applyFont="1" applyBorder="1" applyAlignment="1">
      <alignment horizontal="left" vertical="center" wrapText="1"/>
    </xf>
    <xf numFmtId="1" fontId="25" fillId="0" borderId="9" xfId="14" applyNumberFormat="1" applyFont="1" applyFill="1" applyBorder="1" applyAlignment="1">
      <alignment horizontal="center" vertical="center" wrapText="1"/>
    </xf>
    <xf numFmtId="0" fontId="25" fillId="5" borderId="0" xfId="9" applyFont="1" applyFill="1" applyAlignment="1">
      <alignment wrapText="1"/>
    </xf>
    <xf numFmtId="10" fontId="25" fillId="0" borderId="9" xfId="14" applyNumberFormat="1" applyFont="1" applyFill="1" applyBorder="1" applyAlignment="1">
      <alignment horizontal="center" vertical="center" wrapText="1"/>
    </xf>
    <xf numFmtId="3" fontId="25" fillId="0" borderId="9" xfId="9" applyNumberFormat="1" applyFont="1" applyBorder="1" applyAlignment="1">
      <alignment horizontal="left" vertical="center" wrapText="1"/>
    </xf>
    <xf numFmtId="9" fontId="25" fillId="0" borderId="9" xfId="14" applyNumberFormat="1" applyFont="1" applyFill="1" applyBorder="1" applyAlignment="1">
      <alignment horizontal="left" vertical="center" wrapText="1"/>
    </xf>
    <xf numFmtId="9" fontId="25" fillId="0" borderId="9" xfId="14" applyNumberFormat="1" applyFont="1" applyFill="1" applyBorder="1" applyAlignment="1">
      <alignment horizontal="center" vertical="center" wrapText="1"/>
    </xf>
    <xf numFmtId="0" fontId="25" fillId="0" borderId="9" xfId="9" applyFont="1" applyFill="1" applyBorder="1" applyAlignment="1">
      <alignment vertical="center" wrapText="1"/>
    </xf>
    <xf numFmtId="0" fontId="25" fillId="0" borderId="0" xfId="9" applyFont="1" applyAlignment="1">
      <alignment horizontal="left" wrapText="1"/>
    </xf>
    <xf numFmtId="0" fontId="25" fillId="0" borderId="0" xfId="9" applyFont="1" applyAlignment="1">
      <alignment wrapText="1"/>
    </xf>
    <xf numFmtId="2" fontId="25" fillId="0" borderId="9" xfId="9" applyNumberFormat="1" applyFont="1" applyFill="1" applyBorder="1" applyAlignment="1">
      <alignment horizontal="center" wrapText="1"/>
    </xf>
    <xf numFmtId="0" fontId="25" fillId="0" borderId="30" xfId="9" applyFont="1" applyBorder="1" applyAlignment="1">
      <alignment horizontal="left" vertical="center" wrapText="1"/>
    </xf>
    <xf numFmtId="165" fontId="78" fillId="0" borderId="19" xfId="14" applyNumberFormat="1" applyFont="1" applyFill="1" applyBorder="1" applyAlignment="1">
      <alignment horizontal="left" vertical="center" wrapText="1"/>
    </xf>
    <xf numFmtId="2" fontId="25" fillId="0" borderId="9" xfId="1" applyNumberFormat="1" applyFont="1" applyBorder="1" applyAlignment="1">
      <alignment horizontal="center"/>
    </xf>
    <xf numFmtId="1" fontId="25" fillId="0" borderId="9" xfId="9" applyNumberFormat="1" applyFont="1" applyFill="1" applyBorder="1" applyAlignment="1">
      <alignment horizontal="center"/>
    </xf>
    <xf numFmtId="44" fontId="25" fillId="0" borderId="9" xfId="2" applyFont="1" applyBorder="1" applyAlignment="1">
      <alignment horizontal="center"/>
    </xf>
    <xf numFmtId="39" fontId="30" fillId="0" borderId="0" xfId="1" applyNumberFormat="1" applyFont="1" applyAlignment="1">
      <alignment horizontal="left"/>
    </xf>
    <xf numFmtId="0" fontId="56" fillId="5" borderId="30" xfId="9" applyFont="1" applyFill="1" applyBorder="1" applyAlignment="1">
      <alignment horizontal="left" vertical="center"/>
    </xf>
    <xf numFmtId="0" fontId="40" fillId="0" borderId="0" xfId="14" applyFont="1" applyFill="1" applyBorder="1"/>
    <xf numFmtId="0" fontId="25" fillId="0" borderId="23" xfId="9" applyFont="1" applyBorder="1" applyAlignment="1">
      <alignment horizontal="left"/>
    </xf>
    <xf numFmtId="0" fontId="25" fillId="0" borderId="0" xfId="14" applyFont="1" applyBorder="1" applyAlignment="1">
      <alignment horizontal="center"/>
    </xf>
    <xf numFmtId="178" fontId="25" fillId="0" borderId="0" xfId="14" applyNumberFormat="1" applyFont="1" applyFill="1" applyBorder="1" applyAlignment="1">
      <alignment horizontal="center"/>
    </xf>
    <xf numFmtId="169" fontId="25" fillId="0" borderId="9" xfId="9" applyNumberFormat="1" applyFont="1" applyFill="1" applyBorder="1" applyAlignment="1">
      <alignment horizontal="center"/>
    </xf>
    <xf numFmtId="2" fontId="25" fillId="0" borderId="9" xfId="1" applyNumberFormat="1" applyFont="1" applyFill="1" applyBorder="1" applyAlignment="1">
      <alignment horizontal="center" wrapText="1"/>
    </xf>
    <xf numFmtId="39" fontId="30" fillId="5" borderId="0" xfId="1" applyNumberFormat="1" applyFont="1" applyFill="1" applyAlignment="1">
      <alignment horizontal="center" wrapText="1"/>
    </xf>
    <xf numFmtId="166" fontId="30" fillId="5" borderId="0" xfId="9" applyNumberFormat="1" applyFont="1" applyFill="1" applyBorder="1"/>
    <xf numFmtId="0" fontId="30" fillId="5" borderId="0" xfId="9" applyFont="1" applyFill="1" applyBorder="1"/>
    <xf numFmtId="166" fontId="30" fillId="5" borderId="0" xfId="9" applyNumberFormat="1" applyFont="1" applyFill="1"/>
    <xf numFmtId="0" fontId="30" fillId="5" borderId="67" xfId="9" applyFont="1" applyFill="1" applyBorder="1" applyAlignment="1">
      <alignment horizontal="left"/>
    </xf>
    <xf numFmtId="0" fontId="30" fillId="5" borderId="68" xfId="9" applyFont="1" applyFill="1" applyBorder="1" applyAlignment="1">
      <alignment horizontal="left"/>
    </xf>
    <xf numFmtId="0" fontId="30" fillId="5" borderId="68" xfId="9" applyFont="1" applyFill="1" applyBorder="1"/>
    <xf numFmtId="0" fontId="30" fillId="5" borderId="70" xfId="9" applyFont="1" applyFill="1" applyBorder="1" applyAlignment="1">
      <alignment horizontal="left"/>
    </xf>
    <xf numFmtId="0" fontId="30" fillId="5" borderId="71" xfId="9" applyFont="1" applyFill="1" applyBorder="1" applyAlignment="1">
      <alignment horizontal="left"/>
    </xf>
    <xf numFmtId="0" fontId="30" fillId="5" borderId="71" xfId="9" applyFont="1" applyFill="1" applyBorder="1"/>
    <xf numFmtId="0" fontId="30" fillId="0" borderId="75" xfId="9" applyFont="1" applyBorder="1" applyAlignment="1">
      <alignment horizontal="left"/>
    </xf>
    <xf numFmtId="0" fontId="30" fillId="0" borderId="75" xfId="9" applyFont="1" applyBorder="1"/>
    <xf numFmtId="0" fontId="30" fillId="0" borderId="0" xfId="9" applyFont="1" applyBorder="1" applyAlignment="1">
      <alignment horizontal="left"/>
    </xf>
    <xf numFmtId="186" fontId="25" fillId="0" borderId="9" xfId="0" applyNumberFormat="1" applyFont="1" applyFill="1" applyBorder="1" applyAlignment="1">
      <alignment horizontal="center" vertical="center" wrapText="1"/>
    </xf>
    <xf numFmtId="0" fontId="30" fillId="0" borderId="9" xfId="9" applyFont="1" applyBorder="1" applyAlignment="1">
      <alignment horizontal="left" vertical="center" wrapText="1"/>
    </xf>
    <xf numFmtId="180" fontId="30" fillId="0" borderId="9" xfId="9" applyNumberFormat="1" applyFont="1" applyBorder="1" applyAlignment="1">
      <alignment horizontal="center"/>
    </xf>
    <xf numFmtId="0" fontId="30" fillId="0" borderId="9" xfId="9" applyFont="1" applyBorder="1" applyAlignment="1">
      <alignment horizontal="left" vertical="center"/>
    </xf>
    <xf numFmtId="9" fontId="25" fillId="0" borderId="9" xfId="3" applyFont="1" applyBorder="1" applyAlignment="1">
      <alignment horizontal="center" wrapText="1"/>
    </xf>
    <xf numFmtId="0" fontId="30" fillId="0" borderId="67" xfId="9" applyFont="1" applyBorder="1"/>
    <xf numFmtId="43" fontId="25" fillId="0" borderId="0" xfId="1" applyFont="1" applyFill="1" applyBorder="1" applyAlignment="1">
      <alignment horizontal="center" vertical="center" wrapText="1"/>
    </xf>
    <xf numFmtId="0" fontId="30" fillId="0" borderId="0" xfId="9" applyFont="1" applyFill="1" applyBorder="1"/>
    <xf numFmtId="1" fontId="30" fillId="5" borderId="0" xfId="9" applyNumberFormat="1" applyFont="1" applyFill="1"/>
    <xf numFmtId="0" fontId="30" fillId="5" borderId="69" xfId="9" applyFont="1" applyFill="1" applyBorder="1"/>
    <xf numFmtId="0" fontId="30" fillId="5" borderId="72" xfId="9" applyFont="1" applyFill="1" applyBorder="1"/>
    <xf numFmtId="170" fontId="25" fillId="0" borderId="9" xfId="2" applyNumberFormat="1" applyFont="1" applyFill="1" applyBorder="1" applyAlignment="1">
      <alignment horizontal="center" vertical="center" wrapText="1"/>
    </xf>
    <xf numFmtId="0" fontId="25" fillId="5" borderId="68" xfId="9" applyFont="1" applyFill="1" applyBorder="1" applyAlignment="1">
      <alignment horizontal="left"/>
    </xf>
    <xf numFmtId="0" fontId="25" fillId="5" borderId="68" xfId="9" applyFont="1" applyFill="1" applyBorder="1"/>
    <xf numFmtId="0" fontId="25" fillId="5" borderId="70" xfId="9" applyFont="1" applyFill="1" applyBorder="1" applyAlignment="1">
      <alignment horizontal="left"/>
    </xf>
    <xf numFmtId="0" fontId="25" fillId="5" borderId="71" xfId="9" applyFont="1" applyFill="1" applyBorder="1" applyAlignment="1">
      <alignment horizontal="left"/>
    </xf>
    <xf numFmtId="0" fontId="25" fillId="5" borderId="71" xfId="9" applyFont="1" applyFill="1" applyBorder="1"/>
    <xf numFmtId="0" fontId="25" fillId="0" borderId="70" xfId="9" applyFont="1" applyBorder="1" applyAlignment="1">
      <alignment horizontal="left"/>
    </xf>
    <xf numFmtId="0" fontId="25" fillId="0" borderId="71" xfId="9" applyFont="1" applyBorder="1" applyAlignment="1">
      <alignment horizontal="left"/>
    </xf>
    <xf numFmtId="0" fontId="25" fillId="0" borderId="71" xfId="9" applyFont="1" applyBorder="1"/>
    <xf numFmtId="0" fontId="25" fillId="0" borderId="75" xfId="9" applyFont="1" applyBorder="1"/>
    <xf numFmtId="3" fontId="25" fillId="0" borderId="9" xfId="0" applyNumberFormat="1" applyFont="1" applyBorder="1" applyAlignment="1">
      <alignment horizontal="left" vertical="center"/>
    </xf>
    <xf numFmtId="7" fontId="25" fillId="5" borderId="9" xfId="2" applyNumberFormat="1" applyFont="1" applyFill="1" applyBorder="1" applyAlignment="1">
      <alignment horizontal="center" wrapText="1"/>
    </xf>
    <xf numFmtId="0" fontId="25" fillId="0" borderId="19" xfId="9" applyFont="1" applyBorder="1" applyAlignment="1">
      <alignment horizontal="left" wrapText="1"/>
    </xf>
    <xf numFmtId="0" fontId="25" fillId="0" borderId="23" xfId="9" applyFont="1" applyBorder="1" applyAlignment="1">
      <alignment horizontal="left" wrapText="1"/>
    </xf>
    <xf numFmtId="0" fontId="43" fillId="0" borderId="0" xfId="9" applyFont="1" applyBorder="1" applyAlignment="1">
      <alignment horizontal="left" vertical="center"/>
    </xf>
    <xf numFmtId="9" fontId="30" fillId="0" borderId="0" xfId="3" applyFont="1" applyBorder="1" applyAlignment="1">
      <alignment horizontal="center"/>
    </xf>
    <xf numFmtId="0" fontId="30" fillId="0" borderId="0" xfId="9" applyFont="1" applyBorder="1" applyAlignment="1">
      <alignment wrapText="1"/>
    </xf>
    <xf numFmtId="0" fontId="96" fillId="5" borderId="0" xfId="9" applyFont="1" applyFill="1"/>
    <xf numFmtId="39" fontId="25" fillId="0" borderId="16" xfId="1" applyNumberFormat="1" applyFont="1" applyBorder="1" applyAlignment="1">
      <alignment horizontal="center" wrapText="1"/>
    </xf>
    <xf numFmtId="190" fontId="25" fillId="0" borderId="16" xfId="1" applyNumberFormat="1" applyFont="1" applyFill="1" applyBorder="1" applyAlignment="1">
      <alignment horizontal="center" wrapText="1"/>
    </xf>
    <xf numFmtId="0" fontId="25" fillId="0" borderId="9" xfId="9" applyFont="1" applyBorder="1" applyAlignment="1">
      <alignment horizontal="left" vertical="center"/>
    </xf>
    <xf numFmtId="166" fontId="25" fillId="0" borderId="0" xfId="9" applyNumberFormat="1" applyFont="1" applyBorder="1"/>
    <xf numFmtId="39" fontId="25" fillId="0" borderId="0" xfId="1" applyNumberFormat="1" applyFont="1" applyAlignment="1">
      <alignment horizontal="center" wrapText="1"/>
    </xf>
    <xf numFmtId="166" fontId="25" fillId="0" borderId="0" xfId="9" applyNumberFormat="1" applyFont="1"/>
    <xf numFmtId="0" fontId="25" fillId="0" borderId="67" xfId="9" applyFont="1" applyBorder="1" applyAlignment="1">
      <alignment horizontal="left"/>
    </xf>
    <xf numFmtId="0" fontId="25" fillId="0" borderId="68" xfId="9" applyFont="1" applyBorder="1" applyAlignment="1">
      <alignment horizontal="left"/>
    </xf>
    <xf numFmtId="0" fontId="25" fillId="0" borderId="68" xfId="9" applyFont="1" applyBorder="1"/>
    <xf numFmtId="171" fontId="25" fillId="0" borderId="9" xfId="9" applyNumberFormat="1" applyFont="1" applyBorder="1" applyAlignment="1">
      <alignment horizontal="center"/>
    </xf>
    <xf numFmtId="1" fontId="25" fillId="0" borderId="0" xfId="9" applyNumberFormat="1" applyFont="1"/>
    <xf numFmtId="0" fontId="25" fillId="0" borderId="69" xfId="9" applyFont="1" applyBorder="1"/>
    <xf numFmtId="0" fontId="25" fillId="0" borderId="72" xfId="9" applyFont="1" applyBorder="1"/>
    <xf numFmtId="37" fontId="25" fillId="0" borderId="16" xfId="1" applyNumberFormat="1" applyFont="1" applyBorder="1" applyAlignment="1">
      <alignment horizontal="center" wrapText="1"/>
    </xf>
    <xf numFmtId="190" fontId="25" fillId="0" borderId="16" xfId="1" applyNumberFormat="1" applyFont="1" applyBorder="1" applyAlignment="1">
      <alignment horizontal="center" wrapText="1"/>
    </xf>
    <xf numFmtId="190" fontId="25" fillId="0" borderId="0" xfId="1" applyNumberFormat="1" applyFont="1" applyBorder="1" applyAlignment="1">
      <alignment horizontal="center" wrapText="1"/>
    </xf>
    <xf numFmtId="0" fontId="25" fillId="0" borderId="0" xfId="9" applyFont="1" applyBorder="1" applyAlignment="1">
      <alignment wrapText="1"/>
    </xf>
    <xf numFmtId="183" fontId="25" fillId="5" borderId="9" xfId="1" applyNumberFormat="1" applyFont="1" applyFill="1" applyBorder="1" applyAlignment="1">
      <alignment horizontal="center"/>
    </xf>
    <xf numFmtId="183" fontId="25" fillId="0" borderId="0" xfId="1" applyNumberFormat="1" applyFont="1" applyBorder="1" applyAlignment="1">
      <alignment horizontal="center"/>
    </xf>
    <xf numFmtId="178" fontId="25" fillId="0" borderId="0" xfId="0" applyNumberFormat="1" applyFont="1" applyBorder="1" applyAlignment="1">
      <alignment horizontal="center" vertical="center" wrapText="1"/>
    </xf>
    <xf numFmtId="165" fontId="25" fillId="0" borderId="0" xfId="0" applyNumberFormat="1" applyFont="1" applyFill="1" applyBorder="1" applyAlignment="1">
      <alignment horizontal="center" vertical="center" wrapText="1"/>
    </xf>
    <xf numFmtId="171" fontId="30" fillId="0" borderId="0" xfId="2" applyNumberFormat="1" applyFont="1" applyBorder="1" applyAlignment="1">
      <alignment horizontal="center"/>
    </xf>
    <xf numFmtId="171" fontId="30" fillId="0" borderId="0" xfId="2" applyNumberFormat="1" applyFont="1" applyBorder="1"/>
    <xf numFmtId="1" fontId="25" fillId="0" borderId="0" xfId="0" applyNumberFormat="1" applyFont="1" applyBorder="1" applyAlignment="1">
      <alignment horizontal="center" vertical="center" wrapText="1"/>
    </xf>
    <xf numFmtId="1" fontId="25" fillId="0" borderId="0" xfId="0" applyNumberFormat="1" applyFont="1" applyFill="1" applyBorder="1" applyAlignment="1">
      <alignment horizontal="center" vertical="center" wrapText="1"/>
    </xf>
    <xf numFmtId="44" fontId="30" fillId="0" borderId="0" xfId="2" applyFont="1" applyBorder="1"/>
    <xf numFmtId="166" fontId="25" fillId="5" borderId="0" xfId="0" applyNumberFormat="1" applyFont="1" applyFill="1" applyBorder="1" applyAlignment="1">
      <alignment horizontal="center" vertical="center" wrapText="1"/>
    </xf>
    <xf numFmtId="171" fontId="30" fillId="0" borderId="9" xfId="2" applyNumberFormat="1" applyFont="1" applyFill="1" applyBorder="1" applyAlignment="1">
      <alignment horizontal="center"/>
    </xf>
    <xf numFmtId="168" fontId="25" fillId="0" borderId="16" xfId="6" applyNumberFormat="1" applyFont="1" applyFill="1" applyBorder="1" applyAlignment="1">
      <alignment horizontal="left" vertical="top" wrapText="1"/>
    </xf>
    <xf numFmtId="0" fontId="25" fillId="0" borderId="18" xfId="0" applyFont="1" applyFill="1" applyBorder="1" applyAlignment="1"/>
    <xf numFmtId="168" fontId="25" fillId="0" borderId="0" xfId="6" applyNumberFormat="1" applyFont="1" applyAlignment="1">
      <alignment horizontal="left" vertical="center"/>
    </xf>
    <xf numFmtId="194" fontId="25" fillId="0" borderId="0" xfId="6" applyNumberFormat="1" applyFont="1" applyAlignment="1">
      <alignment horizontal="center"/>
    </xf>
    <xf numFmtId="168" fontId="25" fillId="0" borderId="0" xfId="6" applyNumberFormat="1" applyFont="1" applyAlignment="1">
      <alignment horizontal="left" vertical="center" wrapText="1"/>
    </xf>
    <xf numFmtId="0" fontId="30" fillId="0" borderId="0" xfId="9" applyFont="1" applyAlignment="1">
      <alignment vertical="center"/>
    </xf>
    <xf numFmtId="1" fontId="25" fillId="5" borderId="0" xfId="0" applyNumberFormat="1" applyFont="1" applyFill="1" applyBorder="1" applyAlignment="1">
      <alignment horizontal="center" vertical="center" wrapText="1"/>
    </xf>
    <xf numFmtId="9" fontId="25" fillId="0" borderId="0" xfId="3" applyNumberFormat="1" applyFont="1" applyFill="1" applyAlignment="1">
      <alignment horizontal="center"/>
    </xf>
    <xf numFmtId="9" fontId="25" fillId="0" borderId="9" xfId="3" applyNumberFormat="1" applyFont="1" applyFill="1" applyBorder="1" applyAlignment="1">
      <alignment horizontal="center" vertical="center" wrapText="1"/>
    </xf>
    <xf numFmtId="0" fontId="25" fillId="0" borderId="27" xfId="0" applyFont="1" applyBorder="1" applyAlignment="1">
      <alignment horizontal="left" vertical="center"/>
    </xf>
    <xf numFmtId="0" fontId="25" fillId="0" borderId="27" xfId="0" applyFont="1" applyBorder="1" applyAlignment="1">
      <alignment vertical="center" wrapText="1"/>
    </xf>
    <xf numFmtId="2" fontId="30" fillId="5" borderId="9" xfId="9" applyNumberFormat="1" applyFont="1" applyFill="1" applyBorder="1" applyAlignment="1">
      <alignment horizontal="center"/>
    </xf>
    <xf numFmtId="2" fontId="30" fillId="5" borderId="9" xfId="1" applyNumberFormat="1" applyFont="1" applyFill="1" applyBorder="1" applyAlignment="1">
      <alignment horizontal="center"/>
    </xf>
    <xf numFmtId="0" fontId="30" fillId="0" borderId="9" xfId="9" applyFont="1" applyBorder="1" applyAlignment="1">
      <alignment horizontal="left" wrapText="1"/>
    </xf>
    <xf numFmtId="0" fontId="25" fillId="5" borderId="9" xfId="0" applyNumberFormat="1" applyFont="1" applyFill="1" applyBorder="1" applyAlignment="1">
      <alignment horizontal="center"/>
    </xf>
    <xf numFmtId="0" fontId="25" fillId="5" borderId="9" xfId="7" applyFont="1" applyFill="1" applyBorder="1" applyAlignment="1">
      <alignment horizontal="center"/>
    </xf>
    <xf numFmtId="0" fontId="25" fillId="5" borderId="14" xfId="0" applyNumberFormat="1" applyFont="1" applyFill="1" applyBorder="1" applyAlignment="1">
      <alignment horizontal="center"/>
    </xf>
    <xf numFmtId="0" fontId="25" fillId="5" borderId="14" xfId="0" applyFont="1" applyFill="1" applyBorder="1" applyAlignment="1">
      <alignment horizontal="center" vertical="center" wrapText="1"/>
    </xf>
    <xf numFmtId="182" fontId="25" fillId="5" borderId="14" xfId="1" applyNumberFormat="1" applyFont="1" applyFill="1" applyBorder="1" applyAlignment="1">
      <alignment horizontal="center"/>
    </xf>
    <xf numFmtId="194" fontId="25" fillId="0" borderId="14" xfId="0" applyNumberFormat="1" applyFont="1" applyBorder="1" applyAlignment="1">
      <alignment horizontal="center"/>
    </xf>
    <xf numFmtId="165" fontId="25" fillId="0" borderId="14" xfId="7" applyNumberFormat="1" applyFont="1" applyFill="1" applyBorder="1" applyAlignment="1">
      <alignment horizontal="center"/>
    </xf>
    <xf numFmtId="0" fontId="25" fillId="5" borderId="14" xfId="7" applyFont="1" applyFill="1" applyBorder="1" applyAlignment="1">
      <alignment horizontal="center"/>
    </xf>
    <xf numFmtId="0" fontId="25" fillId="5" borderId="4" xfId="0" applyNumberFormat="1" applyFont="1" applyFill="1" applyBorder="1" applyAlignment="1">
      <alignment horizontal="center"/>
    </xf>
    <xf numFmtId="0" fontId="25" fillId="5" borderId="4" xfId="7" applyFont="1" applyFill="1" applyBorder="1" applyAlignment="1">
      <alignment horizontal="left"/>
    </xf>
    <xf numFmtId="4" fontId="30" fillId="0" borderId="4" xfId="9" applyNumberFormat="1" applyFont="1" applyFill="1" applyBorder="1" applyAlignment="1">
      <alignment horizontal="center"/>
    </xf>
    <xf numFmtId="0" fontId="25" fillId="5" borderId="4" xfId="0" applyFont="1" applyFill="1" applyBorder="1" applyAlignment="1">
      <alignment horizontal="center" vertical="center" wrapText="1"/>
    </xf>
    <xf numFmtId="194" fontId="25" fillId="0" borderId="4" xfId="0" applyNumberFormat="1" applyFont="1" applyBorder="1" applyAlignment="1">
      <alignment horizontal="center"/>
    </xf>
    <xf numFmtId="165" fontId="25" fillId="0" borderId="4" xfId="7" applyNumberFormat="1" applyFont="1" applyFill="1" applyBorder="1" applyAlignment="1">
      <alignment horizontal="center"/>
    </xf>
    <xf numFmtId="171" fontId="25" fillId="5" borderId="4" xfId="14" applyNumberFormat="1" applyFont="1" applyFill="1" applyBorder="1" applyAlignment="1">
      <alignment horizontal="center" vertical="center"/>
    </xf>
    <xf numFmtId="0" fontId="25" fillId="5" borderId="4" xfId="7" applyFont="1" applyFill="1" applyBorder="1" applyAlignment="1">
      <alignment horizontal="center"/>
    </xf>
    <xf numFmtId="0" fontId="25" fillId="5" borderId="0" xfId="9" applyFont="1" applyFill="1" applyAlignment="1">
      <alignment horizontal="center"/>
    </xf>
    <xf numFmtId="200" fontId="25" fillId="0" borderId="9" xfId="0" applyNumberFormat="1" applyFont="1" applyBorder="1" applyAlignment="1">
      <alignment horizontal="center" vertical="center" wrapText="1"/>
    </xf>
    <xf numFmtId="0" fontId="87" fillId="5" borderId="0" xfId="0" applyFont="1" applyFill="1" applyBorder="1" applyAlignment="1">
      <alignment vertical="center" wrapText="1"/>
    </xf>
    <xf numFmtId="0" fontId="25" fillId="0" borderId="0" xfId="0" applyFont="1" applyBorder="1" applyAlignment="1">
      <alignment vertical="center" wrapText="1"/>
    </xf>
    <xf numFmtId="0" fontId="25" fillId="0" borderId="9" xfId="14" applyFont="1" applyBorder="1" applyAlignment="1">
      <alignment horizontal="left"/>
    </xf>
    <xf numFmtId="0" fontId="78" fillId="0" borderId="0" xfId="0" applyFont="1"/>
    <xf numFmtId="0" fontId="78" fillId="0" borderId="0" xfId="0" applyFont="1" applyAlignment="1">
      <alignment horizontal="center"/>
    </xf>
    <xf numFmtId="39" fontId="30" fillId="5" borderId="0" xfId="1" applyNumberFormat="1" applyFont="1" applyFill="1" applyBorder="1" applyAlignment="1">
      <alignment horizontal="center"/>
    </xf>
    <xf numFmtId="2" fontId="30" fillId="5" borderId="0" xfId="9" applyNumberFormat="1" applyFont="1" applyFill="1" applyBorder="1" applyAlignment="1">
      <alignment horizontal="center"/>
    </xf>
    <xf numFmtId="2" fontId="30" fillId="5" borderId="0" xfId="9" applyNumberFormat="1" applyFont="1" applyFill="1" applyBorder="1"/>
    <xf numFmtId="1" fontId="30" fillId="0" borderId="0" xfId="9" applyNumberFormat="1" applyFont="1" applyBorder="1"/>
    <xf numFmtId="2" fontId="30" fillId="0" borderId="0" xfId="2" applyNumberFormat="1" applyFont="1" applyBorder="1"/>
    <xf numFmtId="39" fontId="25" fillId="5" borderId="0" xfId="1" applyNumberFormat="1" applyFont="1" applyFill="1" applyAlignment="1">
      <alignment horizontal="center"/>
    </xf>
    <xf numFmtId="9" fontId="25" fillId="5" borderId="19" xfId="3" applyFont="1" applyFill="1" applyBorder="1" applyAlignment="1">
      <alignment horizontal="center"/>
    </xf>
    <xf numFmtId="1" fontId="30" fillId="5" borderId="9" xfId="3" applyNumberFormat="1" applyFont="1" applyFill="1" applyBorder="1" applyAlignment="1">
      <alignment horizontal="center" vertical="center"/>
    </xf>
    <xf numFmtId="202" fontId="25" fillId="5" borderId="0" xfId="1" applyNumberFormat="1" applyFont="1" applyFill="1" applyBorder="1" applyAlignment="1">
      <alignment horizontal="center"/>
    </xf>
    <xf numFmtId="178" fontId="25" fillId="5" borderId="9" xfId="0" applyNumberFormat="1" applyFont="1" applyFill="1" applyBorder="1" applyAlignment="1">
      <alignment horizontal="left" vertical="center" wrapText="1"/>
    </xf>
    <xf numFmtId="4" fontId="25" fillId="0" borderId="9" xfId="0" applyNumberFormat="1" applyFont="1" applyFill="1" applyBorder="1" applyAlignment="1">
      <alignment horizontal="center" vertical="center" wrapText="1"/>
    </xf>
    <xf numFmtId="3" fontId="25" fillId="0" borderId="9" xfId="0" applyNumberFormat="1" applyFont="1" applyBorder="1" applyAlignment="1">
      <alignment horizontal="left" vertical="center" wrapText="1"/>
    </xf>
    <xf numFmtId="0" fontId="97" fillId="0" borderId="0" xfId="0" applyFont="1"/>
    <xf numFmtId="0" fontId="78" fillId="0" borderId="0" xfId="0" applyFont="1" applyAlignment="1">
      <alignment wrapText="1"/>
    </xf>
    <xf numFmtId="0" fontId="78" fillId="0" borderId="0" xfId="0" applyFont="1" applyAlignment="1">
      <alignment horizontal="center" wrapText="1"/>
    </xf>
    <xf numFmtId="3" fontId="25" fillId="0" borderId="0" xfId="0" applyNumberFormat="1" applyFont="1" applyFill="1" applyBorder="1" applyAlignment="1">
      <alignment horizontal="left" vertical="center" wrapText="1"/>
    </xf>
    <xf numFmtId="3" fontId="78" fillId="0" borderId="0" xfId="0" applyNumberFormat="1" applyFont="1" applyFill="1" applyBorder="1" applyAlignment="1">
      <alignment horizontal="left" vertical="center" wrapText="1"/>
    </xf>
    <xf numFmtId="0" fontId="79" fillId="0" borderId="0" xfId="0" applyFont="1" applyBorder="1" applyAlignment="1">
      <alignment horizontal="center" vertical="center" wrapText="1"/>
    </xf>
    <xf numFmtId="165" fontId="79" fillId="0" borderId="0" xfId="0" applyNumberFormat="1" applyFont="1" applyBorder="1" applyAlignment="1">
      <alignment horizontal="center" vertical="center" wrapText="1"/>
    </xf>
    <xf numFmtId="166" fontId="79" fillId="0" borderId="0" xfId="0" applyNumberFormat="1" applyFont="1" applyBorder="1" applyAlignment="1">
      <alignment horizontal="center" vertical="center" wrapText="1"/>
    </xf>
    <xf numFmtId="180" fontId="79" fillId="0" borderId="0" xfId="0" applyNumberFormat="1" applyFont="1" applyBorder="1" applyAlignment="1">
      <alignment horizontal="center" vertical="center" wrapText="1"/>
    </xf>
    <xf numFmtId="0" fontId="25" fillId="0" borderId="0" xfId="0" applyFont="1" applyFill="1" applyBorder="1" applyAlignment="1">
      <alignment wrapText="1"/>
    </xf>
    <xf numFmtId="3" fontId="25" fillId="0" borderId="0" xfId="0" applyNumberFormat="1" applyFont="1" applyFill="1" applyBorder="1" applyAlignment="1">
      <alignment horizontal="center" vertical="center" wrapText="1"/>
    </xf>
    <xf numFmtId="9" fontId="25" fillId="0" borderId="0" xfId="3" applyFont="1" applyAlignment="1">
      <alignment horizontal="center"/>
    </xf>
    <xf numFmtId="178" fontId="25" fillId="0" borderId="9" xfId="0" applyNumberFormat="1" applyFont="1" applyBorder="1"/>
    <xf numFmtId="9" fontId="25" fillId="0" borderId="9" xfId="0" applyNumberFormat="1" applyFont="1" applyFill="1" applyBorder="1" applyAlignment="1">
      <alignment horizontal="left" vertical="center" wrapText="1"/>
    </xf>
    <xf numFmtId="0" fontId="78" fillId="0" borderId="0" xfId="0" applyFont="1" applyFill="1" applyBorder="1" applyAlignment="1">
      <alignment horizontal="left" vertical="center" wrapText="1"/>
    </xf>
    <xf numFmtId="9" fontId="78" fillId="0" borderId="0" xfId="0" applyNumberFormat="1" applyFont="1" applyFill="1" applyBorder="1" applyAlignment="1">
      <alignment horizontal="center" vertical="center" wrapText="1"/>
    </xf>
    <xf numFmtId="2" fontId="25" fillId="5" borderId="9" xfId="1" applyNumberFormat="1" applyFont="1" applyFill="1" applyBorder="1" applyAlignment="1">
      <alignment horizontal="center"/>
    </xf>
    <xf numFmtId="0" fontId="25" fillId="0" borderId="30" xfId="9" applyFont="1" applyFill="1" applyBorder="1" applyAlignment="1">
      <alignment wrapText="1"/>
    </xf>
    <xf numFmtId="0" fontId="25" fillId="0" borderId="0" xfId="9" applyFont="1" applyFill="1" applyBorder="1" applyAlignment="1">
      <alignment wrapText="1"/>
    </xf>
    <xf numFmtId="0" fontId="98" fillId="0" borderId="0" xfId="0" applyFont="1"/>
    <xf numFmtId="0" fontId="45" fillId="0" borderId="0" xfId="0" applyFont="1"/>
    <xf numFmtId="9" fontId="25" fillId="0" borderId="9" xfId="3" applyNumberFormat="1" applyFont="1" applyBorder="1" applyAlignment="1">
      <alignment wrapText="1"/>
    </xf>
    <xf numFmtId="43" fontId="25" fillId="0" borderId="9" xfId="1" applyNumberFormat="1" applyFont="1" applyBorder="1" applyAlignment="1">
      <alignment wrapText="1"/>
    </xf>
    <xf numFmtId="168" fontId="25" fillId="0" borderId="0" xfId="6" applyNumberFormat="1" applyFont="1" applyBorder="1" applyAlignment="1">
      <alignment horizontal="left" vertical="center" wrapText="1"/>
    </xf>
    <xf numFmtId="0" fontId="25" fillId="0" borderId="0" xfId="0" applyFont="1" applyBorder="1" applyAlignment="1">
      <alignment horizontal="left" wrapText="1"/>
    </xf>
    <xf numFmtId="43" fontId="25" fillId="0" borderId="0" xfId="1" applyNumberFormat="1" applyFont="1" applyBorder="1" applyAlignment="1">
      <alignment wrapText="1"/>
    </xf>
    <xf numFmtId="168" fontId="25" fillId="0" borderId="0" xfId="6" applyNumberFormat="1" applyFont="1" applyBorder="1" applyAlignment="1">
      <alignment horizontal="left" vertical="top" wrapText="1"/>
    </xf>
    <xf numFmtId="203" fontId="25" fillId="0" borderId="0" xfId="0" applyNumberFormat="1" applyFont="1" applyBorder="1" applyAlignment="1">
      <alignment horizontal="center" vertical="center" wrapText="1"/>
    </xf>
    <xf numFmtId="0" fontId="30" fillId="0" borderId="9" xfId="9" applyFont="1" applyBorder="1" applyAlignment="1">
      <alignment horizontal="center" vertical="center"/>
    </xf>
    <xf numFmtId="178" fontId="25" fillId="5" borderId="9" xfId="0" applyNumberFormat="1" applyFont="1" applyFill="1" applyBorder="1" applyAlignment="1">
      <alignment horizontal="center" vertical="center" wrapText="1"/>
    </xf>
    <xf numFmtId="0" fontId="99" fillId="0" borderId="0" xfId="0" applyFont="1"/>
    <xf numFmtId="0" fontId="76" fillId="0" borderId="0" xfId="0" applyFont="1"/>
    <xf numFmtId="0" fontId="100" fillId="0" borderId="0" xfId="0" applyFont="1"/>
    <xf numFmtId="0" fontId="101" fillId="0" borderId="0" xfId="0" applyFont="1"/>
    <xf numFmtId="0" fontId="102" fillId="0" borderId="0" xfId="0" applyFont="1"/>
    <xf numFmtId="201" fontId="5" fillId="0" borderId="9" xfId="9" applyNumberFormat="1" applyFont="1" applyBorder="1" applyAlignment="1">
      <alignment horizontal="center"/>
    </xf>
    <xf numFmtId="39" fontId="5" fillId="0" borderId="9" xfId="0" applyNumberFormat="1" applyFont="1" applyFill="1" applyBorder="1" applyAlignment="1">
      <alignment horizontal="center" vertical="center" wrapText="1"/>
    </xf>
    <xf numFmtId="0" fontId="77" fillId="7" borderId="0" xfId="6" applyFont="1" applyFill="1" applyAlignment="1">
      <alignment vertical="center"/>
    </xf>
    <xf numFmtId="0" fontId="25" fillId="12" borderId="9" xfId="0" applyFont="1" applyFill="1" applyBorder="1" applyAlignment="1">
      <alignment horizontal="center" vertical="center" wrapText="1"/>
    </xf>
    <xf numFmtId="165" fontId="25" fillId="0" borderId="9" xfId="7" applyNumberFormat="1" applyFont="1" applyFill="1" applyBorder="1" applyAlignment="1">
      <alignment horizontal="left" vertical="center" wrapText="1"/>
    </xf>
    <xf numFmtId="0" fontId="43" fillId="0" borderId="19" xfId="9" applyFont="1" applyFill="1" applyBorder="1" applyAlignment="1">
      <alignment horizontal="left" vertical="center"/>
    </xf>
    <xf numFmtId="165" fontId="25" fillId="5" borderId="23" xfId="14" applyNumberFormat="1" applyFont="1" applyFill="1" applyBorder="1" applyAlignment="1">
      <alignment horizontal="left" vertical="center" wrapText="1"/>
    </xf>
    <xf numFmtId="165" fontId="25" fillId="5" borderId="9" xfId="14" applyNumberFormat="1" applyFont="1" applyFill="1" applyBorder="1" applyAlignment="1">
      <alignment horizontal="left" vertical="center" wrapText="1"/>
    </xf>
    <xf numFmtId="0" fontId="25" fillId="12" borderId="18" xfId="0" applyFont="1" applyFill="1" applyBorder="1" applyAlignment="1">
      <alignment horizontal="center" vertical="center" wrapText="1"/>
    </xf>
    <xf numFmtId="0" fontId="25" fillId="5" borderId="9" xfId="0" applyFont="1" applyFill="1" applyBorder="1" applyAlignment="1">
      <alignment horizontal="left" vertical="center" wrapText="1"/>
    </xf>
    <xf numFmtId="0" fontId="43" fillId="0" borderId="9" xfId="9" applyFont="1" applyFill="1" applyBorder="1" applyAlignment="1">
      <alignment horizontal="left" vertical="center"/>
    </xf>
    <xf numFmtId="0" fontId="25" fillId="12" borderId="19" xfId="0" applyFont="1" applyFill="1" applyBorder="1" applyAlignment="1">
      <alignment horizontal="center" vertical="center" wrapText="1"/>
    </xf>
    <xf numFmtId="0" fontId="25" fillId="0" borderId="9" xfId="0" applyFont="1" applyBorder="1" applyAlignment="1">
      <alignment horizontal="left" vertical="center" wrapText="1"/>
    </xf>
    <xf numFmtId="0" fontId="25" fillId="5" borderId="9" xfId="9" applyFont="1" applyFill="1" applyBorder="1" applyAlignment="1">
      <alignment horizontal="left"/>
    </xf>
    <xf numFmtId="0" fontId="25" fillId="0" borderId="0" xfId="0" applyFont="1" applyAlignment="1">
      <alignment vertical="center"/>
    </xf>
    <xf numFmtId="165" fontId="57" fillId="0" borderId="16" xfId="0" applyNumberFormat="1" applyFont="1" applyFill="1" applyBorder="1" applyAlignment="1">
      <alignment horizontal="center" vertical="center" wrapText="1"/>
    </xf>
    <xf numFmtId="171" fontId="57" fillId="0" borderId="16" xfId="0" applyNumberFormat="1" applyFont="1" applyFill="1" applyBorder="1" applyAlignment="1">
      <alignment horizontal="center" vertical="center" wrapText="1"/>
    </xf>
    <xf numFmtId="0" fontId="25" fillId="0" borderId="23" xfId="0" applyFont="1" applyBorder="1" applyAlignment="1">
      <alignment horizontal="left" vertical="center" wrapText="1"/>
    </xf>
    <xf numFmtId="0" fontId="25" fillId="0" borderId="23" xfId="0" applyFont="1" applyBorder="1" applyAlignment="1">
      <alignment horizontal="center" vertical="center" wrapText="1"/>
    </xf>
    <xf numFmtId="0" fontId="25" fillId="12" borderId="9" xfId="0" applyFont="1" applyFill="1" applyBorder="1" applyAlignment="1">
      <alignment vertical="center" wrapText="1"/>
    </xf>
    <xf numFmtId="165" fontId="56" fillId="0" borderId="9" xfId="9" applyNumberFormat="1" applyFont="1" applyFill="1" applyBorder="1" applyAlignment="1">
      <alignment horizontal="left" vertical="center"/>
    </xf>
    <xf numFmtId="165" fontId="25" fillId="0" borderId="9" xfId="14" applyNumberFormat="1" applyFont="1" applyFill="1" applyBorder="1" applyAlignment="1">
      <alignment horizontal="center" vertical="center" wrapText="1"/>
    </xf>
    <xf numFmtId="0" fontId="25" fillId="5" borderId="9" xfId="0" applyFont="1" applyFill="1" applyBorder="1" applyAlignment="1">
      <alignment horizontal="center" vertical="center" wrapText="1"/>
    </xf>
    <xf numFmtId="0" fontId="25" fillId="12" borderId="9" xfId="0" applyFont="1" applyFill="1" applyBorder="1" applyAlignment="1">
      <alignment horizontal="left" vertical="center" wrapText="1"/>
    </xf>
    <xf numFmtId="0" fontId="62" fillId="20" borderId="19" xfId="0" applyFont="1" applyFill="1" applyBorder="1" applyAlignment="1">
      <alignment horizontal="center" wrapText="1"/>
    </xf>
    <xf numFmtId="0" fontId="45" fillId="20" borderId="9" xfId="0" applyFont="1" applyFill="1" applyBorder="1" applyAlignment="1">
      <alignment horizontal="center" wrapText="1"/>
    </xf>
    <xf numFmtId="206" fontId="0" fillId="0" borderId="0" xfId="0" applyNumberFormat="1"/>
    <xf numFmtId="0" fontId="25" fillId="0" borderId="0" xfId="0" applyFont="1" applyAlignment="1">
      <alignment vertical="center"/>
    </xf>
    <xf numFmtId="0" fontId="0" fillId="0" borderId="0" xfId="0" applyAlignment="1">
      <alignment vertical="center"/>
    </xf>
    <xf numFmtId="206" fontId="0" fillId="27" borderId="0" xfId="0" applyNumberFormat="1" applyFill="1"/>
    <xf numFmtId="43" fontId="5" fillId="0" borderId="0" xfId="0" applyNumberFormat="1" applyFont="1"/>
    <xf numFmtId="0" fontId="6" fillId="0" borderId="0" xfId="0" applyFont="1" applyAlignment="1">
      <alignment horizontal="center"/>
    </xf>
    <xf numFmtId="2" fontId="0" fillId="21" borderId="16" xfId="1" applyNumberFormat="1" applyFont="1" applyFill="1" applyBorder="1" applyAlignment="1">
      <alignment horizontal="center"/>
    </xf>
    <xf numFmtId="44" fontId="0" fillId="21" borderId="18" xfId="2" applyFont="1" applyFill="1" applyBorder="1"/>
    <xf numFmtId="206" fontId="0" fillId="29" borderId="0" xfId="0" applyNumberFormat="1" applyFill="1"/>
    <xf numFmtId="43" fontId="6" fillId="0" borderId="0" xfId="1" applyFont="1"/>
    <xf numFmtId="43" fontId="0" fillId="0" borderId="0" xfId="1" applyFont="1"/>
    <xf numFmtId="43" fontId="6" fillId="0" borderId="0" xfId="1" applyFont="1" applyAlignment="1">
      <alignment horizontal="center"/>
    </xf>
    <xf numFmtId="207" fontId="0" fillId="0" borderId="0" xfId="0" applyNumberFormat="1"/>
    <xf numFmtId="208" fontId="0" fillId="0" borderId="0" xfId="0" applyNumberFormat="1"/>
    <xf numFmtId="2" fontId="0" fillId="21" borderId="25" xfId="1" applyNumberFormat="1" applyFont="1" applyFill="1" applyBorder="1" applyAlignment="1">
      <alignment horizontal="center"/>
    </xf>
    <xf numFmtId="2" fontId="0" fillId="21" borderId="20" xfId="1" applyNumberFormat="1" applyFont="1" applyFill="1" applyBorder="1" applyAlignment="1">
      <alignment horizontal="center"/>
    </xf>
    <xf numFmtId="2" fontId="0" fillId="21" borderId="22" xfId="1" applyNumberFormat="1" applyFont="1" applyFill="1" applyBorder="1" applyAlignment="1">
      <alignment horizontal="center"/>
    </xf>
    <xf numFmtId="206" fontId="0" fillId="26" borderId="0" xfId="0" applyNumberFormat="1" applyFill="1"/>
    <xf numFmtId="207" fontId="0" fillId="26" borderId="0" xfId="0" applyNumberFormat="1" applyFill="1"/>
    <xf numFmtId="0" fontId="5" fillId="26" borderId="0" xfId="0" applyFont="1" applyFill="1"/>
    <xf numFmtId="7" fontId="0" fillId="0" borderId="0" xfId="1" applyNumberFormat="1" applyFont="1"/>
    <xf numFmtId="171" fontId="0" fillId="0" borderId="0" xfId="0" applyNumberFormat="1" applyAlignment="1">
      <alignment horizontal="center"/>
    </xf>
    <xf numFmtId="171" fontId="0" fillId="0" borderId="0" xfId="2" applyNumberFormat="1" applyFont="1" applyAlignment="1">
      <alignment horizontal="center"/>
    </xf>
    <xf numFmtId="171" fontId="0" fillId="31" borderId="0" xfId="0" applyNumberFormat="1" applyFill="1" applyAlignment="1">
      <alignment horizontal="center"/>
    </xf>
    <xf numFmtId="171" fontId="0" fillId="31" borderId="0" xfId="2" applyNumberFormat="1" applyFont="1" applyFill="1" applyAlignment="1">
      <alignment horizontal="center"/>
    </xf>
    <xf numFmtId="44" fontId="13" fillId="0" borderId="0" xfId="6" applyNumberFormat="1"/>
    <xf numFmtId="193" fontId="0" fillId="0" borderId="0" xfId="0" applyNumberFormat="1" applyAlignment="1">
      <alignment horizontal="center"/>
    </xf>
    <xf numFmtId="0" fontId="0" fillId="29" borderId="0" xfId="0" applyFill="1"/>
    <xf numFmtId="0" fontId="7" fillId="29" borderId="0" xfId="0" applyFont="1" applyFill="1"/>
    <xf numFmtId="0" fontId="45" fillId="20" borderId="30" xfId="0" applyFont="1" applyFill="1" applyBorder="1" applyAlignment="1">
      <alignment horizontal="center" wrapText="1"/>
    </xf>
    <xf numFmtId="43" fontId="103" fillId="23" borderId="30" xfId="1" applyFont="1" applyFill="1" applyBorder="1" applyAlignment="1">
      <alignment horizontal="center" wrapText="1"/>
    </xf>
    <xf numFmtId="0" fontId="104" fillId="28" borderId="30" xfId="0" applyFont="1" applyFill="1" applyBorder="1" applyAlignment="1">
      <alignment horizontal="center" wrapText="1"/>
    </xf>
    <xf numFmtId="0" fontId="103" fillId="24" borderId="30" xfId="0" applyFont="1" applyFill="1" applyBorder="1" applyAlignment="1">
      <alignment horizontal="center" wrapText="1"/>
    </xf>
    <xf numFmtId="0" fontId="45" fillId="22" borderId="9" xfId="0" applyFont="1" applyFill="1" applyBorder="1" applyAlignment="1">
      <alignment horizontal="center" wrapText="1"/>
    </xf>
    <xf numFmtId="0" fontId="0" fillId="20" borderId="9" xfId="0" applyFill="1" applyBorder="1" applyAlignment="1">
      <alignment horizontal="center" wrapText="1"/>
    </xf>
    <xf numFmtId="43" fontId="103" fillId="23" borderId="9" xfId="1" applyFont="1" applyFill="1" applyBorder="1" applyAlignment="1">
      <alignment horizontal="center" wrapText="1"/>
    </xf>
    <xf numFmtId="0" fontId="104" fillId="28" borderId="9" xfId="0" applyFont="1" applyFill="1" applyBorder="1" applyAlignment="1">
      <alignment horizontal="center" wrapText="1"/>
    </xf>
    <xf numFmtId="0" fontId="103" fillId="24" borderId="9" xfId="0" applyFont="1" applyFill="1" applyBorder="1" applyAlignment="1">
      <alignment horizontal="center" wrapText="1"/>
    </xf>
    <xf numFmtId="0" fontId="103" fillId="25" borderId="9" xfId="0" applyFont="1" applyFill="1" applyBorder="1" applyAlignment="1">
      <alignment horizontal="center" wrapText="1"/>
    </xf>
    <xf numFmtId="0" fontId="103" fillId="14" borderId="9" xfId="0" applyFont="1" applyFill="1" applyBorder="1" applyAlignment="1">
      <alignment horizontal="center" wrapText="1"/>
    </xf>
    <xf numFmtId="171" fontId="77" fillId="14" borderId="9" xfId="0" applyNumberFormat="1" applyFont="1" applyFill="1" applyBorder="1" applyAlignment="1">
      <alignment horizontal="center" wrapText="1"/>
    </xf>
    <xf numFmtId="171" fontId="77" fillId="14" borderId="9" xfId="2" applyNumberFormat="1" applyFont="1" applyFill="1" applyBorder="1" applyAlignment="1">
      <alignment horizontal="center" wrapText="1"/>
    </xf>
    <xf numFmtId="43" fontId="6" fillId="0" borderId="9" xfId="1" applyFont="1" applyBorder="1"/>
    <xf numFmtId="206" fontId="6" fillId="0" borderId="9" xfId="0" applyNumberFormat="1" applyFont="1" applyBorder="1"/>
    <xf numFmtId="206" fontId="0" fillId="0" borderId="9" xfId="0" applyNumberFormat="1" applyFont="1" applyBorder="1"/>
    <xf numFmtId="206" fontId="0" fillId="27" borderId="9" xfId="0" applyNumberFormat="1" applyFill="1" applyBorder="1"/>
    <xf numFmtId="43" fontId="0" fillId="0" borderId="9" xfId="0" applyNumberFormat="1" applyBorder="1" applyAlignment="1">
      <alignment horizontal="center"/>
    </xf>
    <xf numFmtId="185" fontId="0" fillId="0" borderId="9" xfId="2" applyNumberFormat="1" applyFont="1" applyBorder="1" applyAlignment="1">
      <alignment horizontal="center"/>
    </xf>
    <xf numFmtId="171" fontId="0" fillId="30" borderId="9" xfId="2" applyNumberFormat="1" applyFont="1" applyFill="1" applyBorder="1" applyAlignment="1">
      <alignment horizontal="center"/>
    </xf>
    <xf numFmtId="44" fontId="0" fillId="0" borderId="9" xfId="2" applyNumberFormat="1" applyFont="1" applyBorder="1" applyAlignment="1">
      <alignment horizontal="center"/>
    </xf>
    <xf numFmtId="171" fontId="0" fillId="28" borderId="9" xfId="2" applyNumberFormat="1" applyFont="1" applyFill="1" applyBorder="1" applyAlignment="1">
      <alignment horizontal="center"/>
    </xf>
    <xf numFmtId="7" fontId="0" fillId="0" borderId="9" xfId="0" applyNumberFormat="1" applyBorder="1" applyAlignment="1">
      <alignment horizontal="center"/>
    </xf>
    <xf numFmtId="43" fontId="105" fillId="0" borderId="9" xfId="1" applyFont="1" applyBorder="1"/>
    <xf numFmtId="206" fontId="105" fillId="0" borderId="9" xfId="0" applyNumberFormat="1" applyFont="1" applyBorder="1"/>
    <xf numFmtId="0" fontId="0" fillId="27" borderId="9" xfId="0" applyFill="1" applyBorder="1"/>
    <xf numFmtId="43" fontId="0" fillId="26" borderId="9" xfId="0" applyNumberFormat="1" applyFill="1" applyBorder="1" applyAlignment="1">
      <alignment horizontal="center"/>
    </xf>
    <xf numFmtId="206" fontId="59" fillId="27" borderId="9" xfId="0" applyNumberFormat="1" applyFont="1" applyFill="1" applyBorder="1"/>
    <xf numFmtId="9" fontId="0" fillId="0" borderId="9" xfId="0" applyNumberFormat="1" applyBorder="1"/>
    <xf numFmtId="206" fontId="0" fillId="6" borderId="9" xfId="0" applyNumberFormat="1" applyFont="1" applyFill="1" applyBorder="1"/>
    <xf numFmtId="171" fontId="0" fillId="24" borderId="9" xfId="2" applyNumberFormat="1" applyFont="1" applyFill="1" applyBorder="1" applyAlignment="1">
      <alignment horizontal="center"/>
    </xf>
    <xf numFmtId="2" fontId="0" fillId="6" borderId="9" xfId="0" applyNumberFormat="1" applyFill="1" applyBorder="1" applyAlignment="1">
      <alignment horizontal="center"/>
    </xf>
    <xf numFmtId="43" fontId="0" fillId="6" borderId="9" xfId="0" applyNumberFormat="1" applyFill="1" applyBorder="1" applyAlignment="1">
      <alignment horizontal="center"/>
    </xf>
    <xf numFmtId="206" fontId="76" fillId="27" borderId="9" xfId="0" applyNumberFormat="1" applyFont="1" applyFill="1" applyBorder="1"/>
    <xf numFmtId="171" fontId="0" fillId="18" borderId="9" xfId="2" applyNumberFormat="1" applyFont="1" applyFill="1" applyBorder="1" applyAlignment="1">
      <alignment horizontal="center"/>
    </xf>
    <xf numFmtId="2" fontId="0" fillId="9" borderId="9" xfId="0" applyNumberFormat="1" applyFill="1" applyBorder="1" applyAlignment="1">
      <alignment horizontal="center"/>
    </xf>
    <xf numFmtId="171" fontId="0" fillId="18" borderId="9" xfId="0" applyNumberFormat="1" applyFill="1" applyBorder="1" applyAlignment="1">
      <alignment horizontal="center"/>
    </xf>
    <xf numFmtId="0" fontId="0" fillId="0" borderId="0" xfId="0" applyAlignment="1">
      <alignment vertical="center" wrapText="1"/>
    </xf>
    <xf numFmtId="0" fontId="106" fillId="0" borderId="0" xfId="0" applyFont="1" applyAlignment="1">
      <alignment horizontal="center"/>
    </xf>
    <xf numFmtId="0" fontId="106" fillId="0" borderId="0" xfId="0" applyFont="1"/>
    <xf numFmtId="0" fontId="106" fillId="31" borderId="0" xfId="0" applyFont="1" applyFill="1" applyAlignment="1">
      <alignment horizontal="center"/>
    </xf>
    <xf numFmtId="0" fontId="106" fillId="31" borderId="0" xfId="0" applyFont="1" applyFill="1"/>
    <xf numFmtId="0" fontId="37" fillId="14" borderId="9" xfId="0" applyFont="1" applyFill="1" applyBorder="1" applyAlignment="1">
      <alignment horizontal="center" wrapText="1"/>
    </xf>
    <xf numFmtId="0" fontId="106" fillId="0" borderId="9" xfId="0" applyFont="1" applyBorder="1"/>
    <xf numFmtId="43" fontId="106" fillId="0" borderId="9" xfId="0" applyNumberFormat="1" applyFont="1" applyBorder="1" applyAlignment="1">
      <alignment horizontal="center"/>
    </xf>
    <xf numFmtId="7" fontId="106" fillId="0" borderId="9" xfId="0" applyNumberFormat="1" applyFont="1" applyBorder="1" applyAlignment="1">
      <alignment horizontal="center"/>
    </xf>
    <xf numFmtId="7" fontId="106" fillId="0" borderId="9" xfId="1" applyNumberFormat="1" applyFont="1" applyBorder="1"/>
    <xf numFmtId="43" fontId="107" fillId="0" borderId="9" xfId="1" applyFont="1" applyBorder="1"/>
    <xf numFmtId="43" fontId="106" fillId="0" borderId="9" xfId="1" applyFont="1" applyBorder="1"/>
    <xf numFmtId="2" fontId="106" fillId="0" borderId="9" xfId="0" applyNumberFormat="1" applyFont="1" applyBorder="1" applyAlignment="1">
      <alignment horizontal="center"/>
    </xf>
    <xf numFmtId="7" fontId="107" fillId="0" borderId="9" xfId="1" applyNumberFormat="1" applyFont="1" applyBorder="1"/>
    <xf numFmtId="2" fontId="106" fillId="6" borderId="9" xfId="0" applyNumberFormat="1" applyFont="1" applyFill="1" applyBorder="1" applyAlignment="1">
      <alignment horizontal="center"/>
    </xf>
    <xf numFmtId="43" fontId="106" fillId="6" borderId="9" xfId="0" applyNumberFormat="1" applyFont="1" applyFill="1" applyBorder="1" applyAlignment="1">
      <alignment horizontal="center"/>
    </xf>
    <xf numFmtId="43" fontId="1" fillId="0" borderId="0" xfId="1" applyFont="1"/>
    <xf numFmtId="43" fontId="1" fillId="0" borderId="0" xfId="1" applyFont="1" applyAlignment="1">
      <alignment horizontal="center"/>
    </xf>
    <xf numFmtId="43" fontId="1" fillId="0" borderId="9" xfId="1" applyFont="1" applyBorder="1"/>
    <xf numFmtId="43" fontId="1" fillId="26" borderId="9" xfId="1" applyFont="1" applyFill="1" applyBorder="1"/>
    <xf numFmtId="43" fontId="1" fillId="6" borderId="9" xfId="1" applyFont="1" applyFill="1" applyBorder="1"/>
    <xf numFmtId="39" fontId="0" fillId="0" borderId="9" xfId="0" applyNumberFormat="1" applyFont="1" applyBorder="1"/>
    <xf numFmtId="43" fontId="77" fillId="28" borderId="20" xfId="1" applyFont="1" applyFill="1" applyBorder="1" applyAlignment="1">
      <alignment horizontal="center" wrapText="1"/>
    </xf>
    <xf numFmtId="165" fontId="0" fillId="0" borderId="0" xfId="0" applyNumberFormat="1" applyAlignment="1">
      <alignment horizontal="center"/>
    </xf>
    <xf numFmtId="165" fontId="103" fillId="14" borderId="30" xfId="0" applyNumberFormat="1" applyFont="1" applyFill="1" applyBorder="1" applyAlignment="1">
      <alignment horizontal="center" wrapText="1"/>
    </xf>
    <xf numFmtId="165" fontId="103" fillId="14" borderId="9" xfId="0" applyNumberFormat="1" applyFont="1" applyFill="1" applyBorder="1" applyAlignment="1">
      <alignment horizontal="center" wrapText="1"/>
    </xf>
    <xf numFmtId="165" fontId="0" fillId="0" borderId="9" xfId="0" applyNumberFormat="1" applyBorder="1" applyAlignment="1">
      <alignment horizontal="center"/>
    </xf>
    <xf numFmtId="43" fontId="77" fillId="31" borderId="20" xfId="1" applyFont="1" applyFill="1" applyBorder="1" applyAlignment="1">
      <alignment horizontal="center" wrapText="1"/>
    </xf>
    <xf numFmtId="43" fontId="104" fillId="31" borderId="30" xfId="1" applyFont="1" applyFill="1" applyBorder="1" applyAlignment="1">
      <alignment horizontal="center" wrapText="1"/>
    </xf>
    <xf numFmtId="43" fontId="104" fillId="31" borderId="9" xfId="1" applyFont="1" applyFill="1" applyBorder="1" applyAlignment="1">
      <alignment horizontal="center" wrapText="1"/>
    </xf>
    <xf numFmtId="0" fontId="25" fillId="0" borderId="0" xfId="0" applyFont="1" applyAlignment="1">
      <alignment vertical="center" wrapText="1"/>
    </xf>
    <xf numFmtId="44" fontId="0" fillId="21" borderId="17" xfId="2" applyFont="1" applyFill="1" applyBorder="1"/>
    <xf numFmtId="0" fontId="25" fillId="17" borderId="46" xfId="0" applyFont="1" applyFill="1" applyBorder="1" applyAlignment="1">
      <alignment horizontal="left" vertical="center" wrapText="1"/>
    </xf>
    <xf numFmtId="0" fontId="25" fillId="17" borderId="47" xfId="0" applyFont="1" applyFill="1" applyBorder="1" applyAlignment="1">
      <alignment horizontal="left" vertical="center" wrapText="1"/>
    </xf>
    <xf numFmtId="0" fontId="25" fillId="17" borderId="50" xfId="0" applyFont="1" applyFill="1" applyBorder="1" applyAlignment="1">
      <alignment horizontal="left" vertical="center" wrapText="1"/>
    </xf>
    <xf numFmtId="0" fontId="0" fillId="0" borderId="50" xfId="0" applyBorder="1" applyAlignment="1">
      <alignment horizontal="left" vertical="center" wrapText="1"/>
    </xf>
    <xf numFmtId="0" fontId="25" fillId="5" borderId="9" xfId="0" applyFont="1" applyFill="1" applyBorder="1" applyAlignment="1">
      <alignment horizontal="left" vertical="top" wrapText="1"/>
    </xf>
    <xf numFmtId="0" fontId="25" fillId="5" borderId="4" xfId="0" applyFont="1" applyFill="1" applyBorder="1" applyAlignment="1">
      <alignment horizontal="left" vertical="top" wrapText="1"/>
    </xf>
    <xf numFmtId="0" fontId="25" fillId="5" borderId="14" xfId="0" applyFont="1" applyFill="1" applyBorder="1" applyAlignment="1">
      <alignment horizontal="left" vertical="top" wrapText="1"/>
    </xf>
    <xf numFmtId="0" fontId="0" fillId="0" borderId="47" xfId="0" applyBorder="1" applyAlignment="1">
      <alignment horizontal="left" vertical="center" wrapText="1"/>
    </xf>
    <xf numFmtId="0" fontId="25" fillId="17" borderId="49" xfId="0" applyFont="1" applyFill="1" applyBorder="1" applyAlignment="1">
      <alignment horizontal="left" vertical="top" wrapText="1"/>
    </xf>
    <xf numFmtId="0" fontId="25" fillId="17" borderId="9" xfId="0" applyFont="1" applyFill="1" applyBorder="1" applyAlignment="1">
      <alignment horizontal="left" vertical="top" wrapText="1"/>
    </xf>
    <xf numFmtId="0" fontId="25" fillId="17" borderId="55" xfId="0" applyFont="1" applyFill="1" applyBorder="1" applyAlignment="1">
      <alignment horizontal="left" vertical="center" wrapText="1"/>
    </xf>
    <xf numFmtId="0" fontId="25" fillId="17" borderId="4" xfId="0" applyFont="1" applyFill="1" applyBorder="1" applyAlignment="1">
      <alignment horizontal="left" vertical="top" wrapText="1"/>
    </xf>
    <xf numFmtId="0" fontId="25" fillId="5" borderId="9" xfId="9" applyFont="1" applyFill="1" applyBorder="1" applyAlignment="1">
      <alignment horizontal="left"/>
    </xf>
    <xf numFmtId="0" fontId="25" fillId="5" borderId="9" xfId="9" applyFont="1" applyFill="1" applyBorder="1" applyAlignment="1">
      <alignment horizontal="center"/>
    </xf>
    <xf numFmtId="0" fontId="25" fillId="5" borderId="9" xfId="0" applyFont="1" applyFill="1" applyBorder="1" applyAlignment="1">
      <alignment horizontal="center" vertical="center" wrapText="1"/>
    </xf>
    <xf numFmtId="0" fontId="25" fillId="0" borderId="9" xfId="0" applyFont="1" applyFill="1" applyBorder="1" applyAlignment="1">
      <alignment horizontal="center" vertical="center" wrapText="1"/>
    </xf>
    <xf numFmtId="7" fontId="25" fillId="0" borderId="0" xfId="2" applyNumberFormat="1" applyFont="1" applyFill="1" applyBorder="1" applyAlignment="1">
      <alignment horizontal="center"/>
    </xf>
    <xf numFmtId="0" fontId="5" fillId="0" borderId="9" xfId="14" applyFont="1" applyBorder="1" applyAlignment="1">
      <alignment horizontal="center"/>
    </xf>
    <xf numFmtId="0" fontId="5" fillId="0" borderId="9" xfId="9" applyFont="1" applyBorder="1" applyAlignment="1">
      <alignment horizontal="left"/>
    </xf>
    <xf numFmtId="0" fontId="5" fillId="0" borderId="9" xfId="9" applyFont="1" applyBorder="1" applyAlignment="1">
      <alignment horizontal="center"/>
    </xf>
    <xf numFmtId="182" fontId="5" fillId="5" borderId="9" xfId="1" applyNumberFormat="1" applyFont="1" applyFill="1" applyBorder="1" applyAlignment="1">
      <alignment horizontal="center"/>
    </xf>
    <xf numFmtId="165" fontId="5" fillId="0" borderId="9" xfId="9" applyNumberFormat="1" applyFont="1" applyBorder="1" applyAlignment="1">
      <alignment horizontal="center"/>
    </xf>
    <xf numFmtId="169" fontId="5" fillId="0" borderId="9" xfId="2" applyNumberFormat="1" applyFont="1" applyBorder="1" applyAlignment="1">
      <alignment horizontal="center"/>
    </xf>
    <xf numFmtId="165" fontId="5" fillId="0" borderId="9" xfId="9" applyNumberFormat="1" applyFont="1" applyFill="1" applyBorder="1" applyAlignment="1">
      <alignment horizontal="center"/>
    </xf>
    <xf numFmtId="0" fontId="5" fillId="0" borderId="9" xfId="9" applyFont="1" applyBorder="1" applyAlignment="1">
      <alignment wrapText="1"/>
    </xf>
    <xf numFmtId="2" fontId="5" fillId="0" borderId="9" xfId="9" applyNumberFormat="1" applyFont="1" applyBorder="1" applyAlignment="1">
      <alignment horizontal="center"/>
    </xf>
    <xf numFmtId="44" fontId="25" fillId="0" borderId="0" xfId="0" applyNumberFormat="1" applyFont="1"/>
    <xf numFmtId="0" fontId="5" fillId="0" borderId="0" xfId="0" applyFont="1" applyFill="1"/>
    <xf numFmtId="0" fontId="5" fillId="0" borderId="9" xfId="0" applyFont="1" applyBorder="1" applyAlignment="1">
      <alignment horizontal="center"/>
    </xf>
    <xf numFmtId="0" fontId="5" fillId="5" borderId="9" xfId="0" applyFont="1" applyFill="1" applyBorder="1" applyAlignment="1">
      <alignment horizontal="center"/>
    </xf>
    <xf numFmtId="0" fontId="5" fillId="5" borderId="19" xfId="0" applyFont="1" applyFill="1" applyBorder="1" applyAlignment="1">
      <alignment horizontal="left" vertical="center" wrapText="1"/>
    </xf>
    <xf numFmtId="0" fontId="5" fillId="5" borderId="23" xfId="0" applyFont="1" applyFill="1" applyBorder="1" applyAlignment="1">
      <alignment horizontal="left" vertical="center" wrapText="1"/>
    </xf>
    <xf numFmtId="168" fontId="5" fillId="0" borderId="9" xfId="0" applyNumberFormat="1" applyFont="1" applyFill="1" applyBorder="1" applyAlignment="1">
      <alignment horizontal="center"/>
    </xf>
    <xf numFmtId="0" fontId="25" fillId="12" borderId="24" xfId="0" applyFont="1" applyFill="1" applyBorder="1" applyAlignment="1">
      <alignment horizontal="left" vertical="center" wrapText="1"/>
    </xf>
    <xf numFmtId="0" fontId="25" fillId="12" borderId="30" xfId="0" applyFont="1" applyFill="1" applyBorder="1" applyAlignment="1">
      <alignment horizontal="left" vertical="center" wrapText="1"/>
    </xf>
    <xf numFmtId="0" fontId="25" fillId="12" borderId="22" xfId="0" applyFont="1" applyFill="1" applyBorder="1" applyAlignment="1">
      <alignment horizontal="center" vertical="center" wrapText="1"/>
    </xf>
    <xf numFmtId="0" fontId="25" fillId="12" borderId="0" xfId="0" applyFont="1" applyFill="1" applyBorder="1" applyAlignment="1">
      <alignment horizontal="center" vertical="center" wrapText="1"/>
    </xf>
    <xf numFmtId="0" fontId="25" fillId="12" borderId="24" xfId="0" applyFont="1" applyFill="1" applyBorder="1" applyAlignment="1">
      <alignment horizontal="center" vertical="center" wrapText="1"/>
    </xf>
    <xf numFmtId="0" fontId="25" fillId="12" borderId="30" xfId="0" applyFont="1" applyFill="1" applyBorder="1" applyAlignment="1">
      <alignment horizontal="center" vertical="center" wrapText="1"/>
    </xf>
    <xf numFmtId="0" fontId="25" fillId="17" borderId="56" xfId="0" applyFont="1" applyFill="1" applyBorder="1" applyAlignment="1">
      <alignment horizontal="left" vertical="center" wrapText="1"/>
    </xf>
    <xf numFmtId="0" fontId="25" fillId="17" borderId="57" xfId="0" applyFont="1" applyFill="1" applyBorder="1" applyAlignment="1">
      <alignment horizontal="left" vertical="center" wrapText="1"/>
    </xf>
    <xf numFmtId="168" fontId="5" fillId="5" borderId="9" xfId="0" applyNumberFormat="1" applyFont="1" applyFill="1" applyBorder="1" applyAlignment="1">
      <alignment horizontal="left"/>
    </xf>
    <xf numFmtId="7" fontId="25" fillId="0" borderId="0" xfId="0" applyNumberFormat="1" applyFont="1" applyFill="1" applyBorder="1"/>
    <xf numFmtId="2" fontId="25" fillId="0" borderId="0" xfId="0" applyNumberFormat="1" applyFont="1" applyFill="1" applyBorder="1" applyAlignment="1"/>
    <xf numFmtId="2" fontId="25" fillId="0" borderId="0" xfId="0" applyNumberFormat="1" applyFont="1" applyFill="1" applyBorder="1" applyAlignment="1">
      <alignment horizontal="left" wrapText="1"/>
    </xf>
    <xf numFmtId="44" fontId="25" fillId="0" borderId="0" xfId="2" applyNumberFormat="1" applyFont="1" applyFill="1" applyBorder="1"/>
    <xf numFmtId="44" fontId="25" fillId="0" borderId="0" xfId="0" applyNumberFormat="1" applyFont="1" applyFill="1" applyBorder="1"/>
    <xf numFmtId="191" fontId="25" fillId="0" borderId="0" xfId="3" applyNumberFormat="1" applyFont="1" applyFill="1" applyBorder="1"/>
    <xf numFmtId="8" fontId="25" fillId="0" borderId="0" xfId="0" applyNumberFormat="1" applyFont="1" applyFill="1" applyBorder="1" applyAlignment="1">
      <alignment horizontal="left"/>
    </xf>
    <xf numFmtId="196" fontId="25" fillId="0" borderId="0" xfId="0" applyNumberFormat="1" applyFont="1" applyFill="1" applyBorder="1" applyAlignment="1">
      <alignment horizontal="center"/>
    </xf>
    <xf numFmtId="0" fontId="0" fillId="0" borderId="0" xfId="0" applyBorder="1" applyAlignment="1">
      <alignment horizontal="left" vertical="center" wrapText="1"/>
    </xf>
    <xf numFmtId="5" fontId="5" fillId="5" borderId="9" xfId="2" applyNumberFormat="1" applyFont="1" applyFill="1" applyBorder="1" applyAlignment="1">
      <alignment horizontal="center"/>
    </xf>
    <xf numFmtId="169" fontId="5" fillId="5" borderId="9" xfId="0" applyNumberFormat="1" applyFont="1" applyFill="1" applyBorder="1" applyAlignment="1">
      <alignment horizontal="center" vertical="center" wrapText="1"/>
    </xf>
    <xf numFmtId="6" fontId="25" fillId="5" borderId="0" xfId="0" applyNumberFormat="1" applyFont="1" applyFill="1" applyBorder="1"/>
    <xf numFmtId="0" fontId="25" fillId="5" borderId="80" xfId="9" quotePrefix="1" applyFont="1" applyFill="1" applyBorder="1" applyAlignment="1">
      <alignment wrapText="1"/>
    </xf>
    <xf numFmtId="0" fontId="25" fillId="5" borderId="49" xfId="9" applyFont="1" applyFill="1" applyBorder="1" applyAlignment="1"/>
    <xf numFmtId="0" fontId="25" fillId="5" borderId="15" xfId="9" applyFont="1" applyFill="1" applyBorder="1" applyAlignment="1"/>
    <xf numFmtId="0" fontId="25" fillId="5" borderId="23" xfId="0" applyFont="1" applyFill="1" applyBorder="1"/>
    <xf numFmtId="0" fontId="5" fillId="5" borderId="10" xfId="0" applyFont="1" applyFill="1" applyBorder="1" applyAlignment="1">
      <alignment horizontal="left" vertical="top" wrapText="1"/>
    </xf>
    <xf numFmtId="0" fontId="25" fillId="0" borderId="15" xfId="0" applyFont="1" applyFill="1" applyBorder="1"/>
    <xf numFmtId="0" fontId="25" fillId="5" borderId="49" xfId="0" applyFont="1" applyFill="1" applyBorder="1" applyAlignment="1">
      <alignment horizontal="left" vertical="top" wrapText="1"/>
    </xf>
    <xf numFmtId="0" fontId="5" fillId="0" borderId="0" xfId="0" applyFont="1" applyFill="1" applyBorder="1"/>
    <xf numFmtId="0" fontId="5" fillId="0" borderId="0" xfId="0" applyFont="1" applyFill="1" applyBorder="1" applyAlignment="1">
      <alignment horizontal="center" vertical="center" wrapText="1"/>
    </xf>
    <xf numFmtId="2" fontId="5" fillId="0" borderId="0" xfId="0" applyNumberFormat="1" applyFont="1" applyFill="1" applyBorder="1" applyAlignment="1">
      <alignment wrapText="1"/>
    </xf>
    <xf numFmtId="7" fontId="5" fillId="0" borderId="0" xfId="2" applyNumberFormat="1" applyFont="1" applyFill="1" applyBorder="1" applyAlignment="1">
      <alignment horizontal="center"/>
    </xf>
    <xf numFmtId="2" fontId="5" fillId="0" borderId="0" xfId="0" applyNumberFormat="1" applyFont="1" applyFill="1" applyBorder="1" applyAlignment="1"/>
    <xf numFmtId="0" fontId="5" fillId="0" borderId="0" xfId="0" applyFont="1" applyFill="1" applyBorder="1" applyAlignment="1">
      <alignment horizontal="center"/>
    </xf>
    <xf numFmtId="2" fontId="5" fillId="0" borderId="0" xfId="0" applyNumberFormat="1" applyFont="1" applyFill="1" applyBorder="1" applyAlignment="1">
      <alignment horizontal="left" wrapText="1"/>
    </xf>
    <xf numFmtId="44" fontId="5" fillId="0" borderId="0" xfId="2" applyNumberFormat="1" applyFont="1" applyFill="1" applyBorder="1"/>
    <xf numFmtId="191" fontId="5" fillId="0" borderId="0" xfId="3" applyNumberFormat="1" applyFont="1" applyFill="1" applyBorder="1"/>
    <xf numFmtId="8" fontId="5" fillId="0" borderId="0" xfId="0" applyNumberFormat="1" applyFont="1" applyFill="1" applyBorder="1" applyAlignment="1">
      <alignment horizontal="left"/>
    </xf>
    <xf numFmtId="0" fontId="5" fillId="0" borderId="0" xfId="0" applyFont="1" applyFill="1" applyBorder="1" applyAlignment="1">
      <alignment horizontal="left"/>
    </xf>
    <xf numFmtId="2" fontId="5" fillId="0" borderId="0" xfId="0" applyNumberFormat="1" applyFont="1" applyFill="1" applyBorder="1" applyAlignment="1">
      <alignment horizontal="left"/>
    </xf>
    <xf numFmtId="2" fontId="0" fillId="5" borderId="16" xfId="1" applyNumberFormat="1" applyFont="1" applyFill="1" applyBorder="1" applyAlignment="1">
      <alignment horizontal="center"/>
    </xf>
    <xf numFmtId="7" fontId="0" fillId="5" borderId="17" xfId="0" applyNumberFormat="1" applyFont="1" applyFill="1" applyBorder="1"/>
    <xf numFmtId="44" fontId="0" fillId="5" borderId="18" xfId="2" applyFont="1" applyFill="1" applyBorder="1"/>
    <xf numFmtId="2" fontId="5" fillId="5" borderId="16" xfId="1" applyNumberFormat="1" applyFont="1" applyFill="1" applyBorder="1" applyAlignment="1">
      <alignment horizontal="center"/>
    </xf>
    <xf numFmtId="0" fontId="5" fillId="5" borderId="9" xfId="14" applyFont="1" applyFill="1" applyBorder="1" applyAlignment="1">
      <alignment horizontal="center"/>
    </xf>
    <xf numFmtId="0" fontId="5" fillId="5" borderId="9" xfId="9" applyFont="1" applyFill="1" applyBorder="1" applyAlignment="1">
      <alignment horizontal="center"/>
    </xf>
    <xf numFmtId="0" fontId="5" fillId="5" borderId="9" xfId="9" applyFont="1" applyFill="1" applyBorder="1" applyAlignment="1">
      <alignment horizontal="left"/>
    </xf>
    <xf numFmtId="2" fontId="5" fillId="5" borderId="22" xfId="1" applyNumberFormat="1" applyFont="1" applyFill="1" applyBorder="1"/>
    <xf numFmtId="0" fontId="0" fillId="0" borderId="22" xfId="0" applyBorder="1" applyAlignment="1">
      <alignment horizontal="left" vertical="center" wrapText="1"/>
    </xf>
    <xf numFmtId="0" fontId="0" fillId="0" borderId="63" xfId="0" applyBorder="1" applyAlignment="1">
      <alignment horizontal="left" vertical="center" wrapText="1"/>
    </xf>
    <xf numFmtId="0" fontId="25" fillId="17" borderId="60" xfId="0" applyFont="1" applyFill="1" applyBorder="1" applyAlignment="1">
      <alignment horizontal="left" vertical="center" wrapText="1"/>
    </xf>
    <xf numFmtId="0" fontId="0" fillId="0" borderId="56" xfId="0" applyBorder="1" applyAlignment="1">
      <alignment horizontal="left" vertical="center" wrapText="1"/>
    </xf>
    <xf numFmtId="0" fontId="0" fillId="0" borderId="57" xfId="0" applyBorder="1" applyAlignment="1">
      <alignment horizontal="left" vertical="center" wrapText="1"/>
    </xf>
    <xf numFmtId="0" fontId="25" fillId="17" borderId="77" xfId="0" applyFont="1" applyFill="1" applyBorder="1" applyAlignment="1">
      <alignment horizontal="left" vertical="center" wrapText="1"/>
    </xf>
    <xf numFmtId="0" fontId="0" fillId="0" borderId="78" xfId="0" applyBorder="1" applyAlignment="1">
      <alignment horizontal="left" vertical="center" wrapText="1"/>
    </xf>
    <xf numFmtId="0" fontId="0" fillId="0" borderId="79" xfId="0" applyBorder="1" applyAlignment="1">
      <alignment horizontal="left" vertical="center" wrapText="1"/>
    </xf>
    <xf numFmtId="0" fontId="25" fillId="17" borderId="19" xfId="0" applyFont="1" applyFill="1" applyBorder="1" applyAlignment="1">
      <alignment horizontal="left" vertical="top" wrapText="1"/>
    </xf>
    <xf numFmtId="0" fontId="25" fillId="5" borderId="20" xfId="0" applyFont="1" applyFill="1" applyBorder="1"/>
    <xf numFmtId="0" fontId="25" fillId="17" borderId="61" xfId="0" applyFont="1" applyFill="1" applyBorder="1" applyAlignment="1">
      <alignment horizontal="left" vertical="center" wrapText="1"/>
    </xf>
    <xf numFmtId="0" fontId="0" fillId="0" borderId="64" xfId="0" applyBorder="1" applyAlignment="1">
      <alignment horizontal="left" vertical="center" wrapText="1"/>
    </xf>
    <xf numFmtId="165" fontId="108" fillId="0" borderId="8" xfId="0" applyNumberFormat="1" applyFont="1" applyBorder="1" applyAlignment="1">
      <alignment horizontal="center" vertical="center" wrapText="1"/>
    </xf>
    <xf numFmtId="165" fontId="108" fillId="0" borderId="9" xfId="0" applyNumberFormat="1" applyFont="1" applyBorder="1" applyAlignment="1">
      <alignment horizontal="center" vertical="center" wrapText="1"/>
    </xf>
    <xf numFmtId="0" fontId="108" fillId="0" borderId="10" xfId="0" applyFont="1" applyBorder="1" applyAlignment="1">
      <alignment horizontal="left" vertical="center" wrapText="1"/>
    </xf>
    <xf numFmtId="39" fontId="5" fillId="0" borderId="9" xfId="0" applyNumberFormat="1" applyFont="1" applyBorder="1"/>
    <xf numFmtId="206" fontId="5" fillId="0" borderId="9" xfId="0" applyNumberFormat="1" applyFont="1" applyBorder="1"/>
    <xf numFmtId="168" fontId="5" fillId="0" borderId="9" xfId="0" applyNumberFormat="1" applyFont="1" applyBorder="1" applyAlignment="1">
      <alignment horizontal="left"/>
    </xf>
    <xf numFmtId="194" fontId="5" fillId="0" borderId="9" xfId="0" applyNumberFormat="1" applyFont="1" applyBorder="1" applyAlignment="1">
      <alignment horizontal="center"/>
    </xf>
    <xf numFmtId="37" fontId="5" fillId="0" borderId="9" xfId="0" applyNumberFormat="1" applyFont="1" applyBorder="1" applyAlignment="1">
      <alignment horizontal="center"/>
    </xf>
    <xf numFmtId="37" fontId="5" fillId="5" borderId="9" xfId="0" applyNumberFormat="1" applyFont="1" applyFill="1" applyBorder="1" applyAlignment="1">
      <alignment horizontal="center"/>
    </xf>
    <xf numFmtId="0" fontId="25" fillId="5" borderId="9" xfId="0" applyFont="1" applyFill="1" applyBorder="1" applyAlignment="1">
      <alignment vertical="center"/>
    </xf>
    <xf numFmtId="0" fontId="0" fillId="22" borderId="0" xfId="0" applyFill="1" applyAlignment="1">
      <alignment horizontal="center" vertical="center"/>
    </xf>
    <xf numFmtId="0" fontId="0" fillId="22" borderId="0" xfId="0" applyFill="1" applyAlignment="1">
      <alignment horizontal="left" vertical="center" wrapText="1"/>
    </xf>
    <xf numFmtId="0" fontId="25" fillId="0" borderId="16" xfId="9" applyFont="1" applyBorder="1" applyAlignment="1">
      <alignment horizontal="center"/>
    </xf>
    <xf numFmtId="0" fontId="25" fillId="5" borderId="19" xfId="0" applyFont="1" applyFill="1" applyBorder="1" applyAlignment="1">
      <alignment horizontal="center" vertical="center" wrapText="1"/>
    </xf>
    <xf numFmtId="0" fontId="5" fillId="0" borderId="40" xfId="9" applyFont="1" applyBorder="1" applyAlignment="1">
      <alignment horizontal="left"/>
    </xf>
    <xf numFmtId="7" fontId="25" fillId="0" borderId="9" xfId="2" applyNumberFormat="1" applyFont="1" applyFill="1" applyBorder="1" applyAlignment="1">
      <alignment horizontal="center"/>
    </xf>
    <xf numFmtId="0" fontId="25" fillId="5" borderId="9" xfId="0" applyFont="1" applyFill="1" applyBorder="1" applyAlignment="1">
      <alignment vertical="center" wrapText="1"/>
    </xf>
    <xf numFmtId="0" fontId="25" fillId="5" borderId="9" xfId="0" applyFont="1" applyFill="1" applyBorder="1" applyAlignment="1">
      <alignment horizontal="left" vertical="top" wrapText="1"/>
    </xf>
    <xf numFmtId="0" fontId="25" fillId="5" borderId="4" xfId="0" applyFont="1" applyFill="1" applyBorder="1" applyAlignment="1">
      <alignment horizontal="left" vertical="top" wrapText="1"/>
    </xf>
    <xf numFmtId="0" fontId="25" fillId="5" borderId="14" xfId="0" applyFont="1" applyFill="1" applyBorder="1" applyAlignment="1">
      <alignment horizontal="left" vertical="top" wrapText="1"/>
    </xf>
    <xf numFmtId="0" fontId="106" fillId="5" borderId="0" xfId="0" applyFont="1" applyFill="1" applyAlignment="1">
      <alignment horizontal="center"/>
    </xf>
    <xf numFmtId="9" fontId="5" fillId="5" borderId="19" xfId="0" applyNumberFormat="1" applyFont="1" applyFill="1" applyBorder="1" applyAlignment="1">
      <alignment horizontal="left" vertical="top"/>
    </xf>
    <xf numFmtId="9" fontId="5" fillId="5" borderId="30" xfId="0" applyNumberFormat="1" applyFont="1" applyFill="1" applyBorder="1" applyAlignment="1">
      <alignment horizontal="left" vertical="top"/>
    </xf>
    <xf numFmtId="39" fontId="25" fillId="5" borderId="23" xfId="1" applyNumberFormat="1" applyFont="1" applyFill="1" applyBorder="1" applyAlignment="1">
      <alignment horizontal="center" vertical="top"/>
    </xf>
    <xf numFmtId="39" fontId="5" fillId="5" borderId="23" xfId="1" applyNumberFormat="1" applyFont="1" applyFill="1" applyBorder="1" applyAlignment="1">
      <alignment horizontal="center" vertical="top"/>
    </xf>
    <xf numFmtId="39" fontId="5" fillId="5" borderId="19" xfId="1" applyNumberFormat="1" applyFont="1" applyFill="1" applyBorder="1" applyAlignment="1">
      <alignment horizontal="center" vertical="top"/>
    </xf>
    <xf numFmtId="39" fontId="5" fillId="5" borderId="14" xfId="1" applyNumberFormat="1" applyFont="1" applyFill="1" applyBorder="1" applyAlignment="1">
      <alignment horizontal="center" vertical="top"/>
    </xf>
    <xf numFmtId="5" fontId="25" fillId="5" borderId="4" xfId="2" applyNumberFormat="1" applyFont="1" applyFill="1" applyBorder="1" applyAlignment="1">
      <alignment horizontal="center"/>
    </xf>
    <xf numFmtId="198" fontId="5" fillId="5" borderId="4" xfId="2" applyNumberFormat="1" applyFont="1" applyFill="1" applyBorder="1" applyAlignment="1">
      <alignment horizontal="center"/>
    </xf>
    <xf numFmtId="5" fontId="5" fillId="5" borderId="4" xfId="2" applyNumberFormat="1" applyFont="1" applyFill="1" applyBorder="1" applyAlignment="1">
      <alignment horizontal="center"/>
    </xf>
    <xf numFmtId="198" fontId="25" fillId="0" borderId="0" xfId="0" applyNumberFormat="1" applyFont="1" applyBorder="1" applyAlignment="1"/>
    <xf numFmtId="198" fontId="5" fillId="5" borderId="0" xfId="0" applyNumberFormat="1" applyFont="1" applyFill="1" applyBorder="1" applyAlignment="1"/>
    <xf numFmtId="5" fontId="5" fillId="5" borderId="19" xfId="2" applyNumberFormat="1" applyFont="1" applyFill="1" applyBorder="1" applyAlignment="1">
      <alignment horizontal="center"/>
    </xf>
    <xf numFmtId="7" fontId="5" fillId="5" borderId="23" xfId="2" applyNumberFormat="1" applyFont="1" applyFill="1" applyBorder="1" applyAlignment="1">
      <alignment horizontal="center"/>
    </xf>
    <xf numFmtId="7" fontId="5" fillId="5" borderId="0" xfId="0" applyNumberFormat="1" applyFont="1" applyFill="1" applyBorder="1" applyAlignment="1">
      <alignment horizontal="center"/>
    </xf>
    <xf numFmtId="7" fontId="5" fillId="5" borderId="19" xfId="2" applyNumberFormat="1" applyFont="1" applyFill="1" applyBorder="1" applyAlignment="1">
      <alignment horizontal="center"/>
    </xf>
    <xf numFmtId="7" fontId="5" fillId="5" borderId="14" xfId="2" applyNumberFormat="1" applyFont="1" applyFill="1" applyBorder="1" applyAlignment="1">
      <alignment horizontal="center"/>
    </xf>
    <xf numFmtId="14" fontId="12" fillId="0" borderId="9" xfId="0" applyNumberFormat="1" applyFont="1" applyBorder="1" applyAlignment="1">
      <alignment horizontal="center" vertical="center" wrapText="1"/>
    </xf>
    <xf numFmtId="14" fontId="108" fillId="0" borderId="9" xfId="0" applyNumberFormat="1" applyFont="1" applyBorder="1" applyAlignment="1">
      <alignment horizontal="center" vertical="center" wrapText="1"/>
    </xf>
    <xf numFmtId="0" fontId="0" fillId="5" borderId="9" xfId="0" applyFill="1" applyBorder="1"/>
    <xf numFmtId="168" fontId="25" fillId="0" borderId="23" xfId="0" applyNumberFormat="1" applyFont="1" applyBorder="1" applyAlignment="1">
      <alignment horizontal="center"/>
    </xf>
    <xf numFmtId="0" fontId="4" fillId="5" borderId="0" xfId="0" applyFont="1" applyFill="1" applyAlignment="1">
      <alignment horizontal="center"/>
    </xf>
    <xf numFmtId="0" fontId="0" fillId="5" borderId="0" xfId="0" applyFill="1" applyAlignment="1"/>
    <xf numFmtId="0" fontId="8" fillId="0" borderId="0" xfId="0" applyFont="1" applyAlignment="1">
      <alignment horizontal="center" wrapText="1"/>
    </xf>
    <xf numFmtId="164" fontId="9" fillId="0" borderId="0" xfId="0" applyNumberFormat="1" applyFont="1" applyAlignment="1">
      <alignment horizontal="center" wrapText="1"/>
    </xf>
    <xf numFmtId="164" fontId="0" fillId="0" borderId="0" xfId="0" applyNumberFormat="1" applyAlignment="1">
      <alignment horizontal="center" wrapText="1"/>
    </xf>
    <xf numFmtId="0" fontId="10" fillId="6" borderId="2" xfId="0" applyFont="1" applyFill="1" applyBorder="1" applyAlignment="1">
      <alignment horizontal="center" vertical="center" wrapText="1"/>
    </xf>
    <xf numFmtId="0" fontId="0" fillId="6" borderId="6" xfId="0" applyFill="1" applyBorder="1" applyAlignment="1">
      <alignment wrapText="1"/>
    </xf>
    <xf numFmtId="0" fontId="0" fillId="6" borderId="7" xfId="0" applyFill="1" applyBorder="1" applyAlignment="1">
      <alignment horizontal="center" vertical="center" wrapText="1"/>
    </xf>
    <xf numFmtId="0" fontId="0" fillId="6" borderId="12" xfId="0" applyFill="1" applyBorder="1" applyAlignment="1">
      <alignment horizontal="center" vertical="center" wrapText="1"/>
    </xf>
    <xf numFmtId="0" fontId="10" fillId="6" borderId="3" xfId="0" applyFont="1" applyFill="1" applyBorder="1" applyAlignment="1">
      <alignment horizontal="center" vertical="center"/>
    </xf>
    <xf numFmtId="0" fontId="0" fillId="6" borderId="4" xfId="0" applyFill="1" applyBorder="1" applyAlignment="1">
      <alignment horizontal="center" vertical="center"/>
    </xf>
    <xf numFmtId="0" fontId="0" fillId="6" borderId="5" xfId="0" applyFill="1" applyBorder="1" applyAlignment="1">
      <alignment horizontal="center" vertical="center"/>
    </xf>
    <xf numFmtId="0" fontId="25" fillId="11" borderId="16" xfId="6" applyFont="1" applyFill="1" applyBorder="1" applyAlignment="1">
      <alignment horizontal="left"/>
    </xf>
    <xf numFmtId="0" fontId="25" fillId="11" borderId="17" xfId="6" applyFont="1" applyFill="1" applyBorder="1" applyAlignment="1">
      <alignment horizontal="left"/>
    </xf>
    <xf numFmtId="0" fontId="1" fillId="0" borderId="17" xfId="7" applyBorder="1" applyAlignment="1"/>
    <xf numFmtId="0" fontId="0" fillId="0" borderId="17" xfId="0" applyBorder="1" applyAlignment="1"/>
    <xf numFmtId="0" fontId="0" fillId="0" borderId="18" xfId="0" applyBorder="1" applyAlignment="1"/>
    <xf numFmtId="0" fontId="45" fillId="7" borderId="0" xfId="0" applyFont="1" applyFill="1" applyAlignment="1">
      <alignment horizontal="center"/>
    </xf>
    <xf numFmtId="0" fontId="25" fillId="7" borderId="0" xfId="0" applyFont="1" applyFill="1" applyAlignment="1"/>
    <xf numFmtId="0" fontId="44" fillId="8" borderId="9" xfId="6" applyFont="1" applyFill="1" applyBorder="1" applyAlignment="1">
      <alignment horizontal="center" vertical="center" wrapText="1"/>
    </xf>
    <xf numFmtId="0" fontId="83" fillId="0" borderId="9" xfId="0" applyFont="1" applyBorder="1" applyAlignment="1">
      <alignment wrapText="1"/>
    </xf>
    <xf numFmtId="166" fontId="44" fillId="9" borderId="9" xfId="6" applyNumberFormat="1" applyFont="1" applyFill="1" applyBorder="1" applyAlignment="1">
      <alignment horizontal="center" vertical="center" wrapText="1"/>
    </xf>
    <xf numFmtId="0" fontId="77" fillId="0" borderId="0" xfId="6" applyFont="1" applyFill="1" applyBorder="1" applyAlignment="1">
      <alignment vertical="center" wrapText="1"/>
    </xf>
    <xf numFmtId="0" fontId="25" fillId="12" borderId="20" xfId="6" applyFont="1" applyFill="1" applyBorder="1" applyAlignment="1">
      <alignment horizontal="center" vertical="center" wrapText="1"/>
    </xf>
    <xf numFmtId="0" fontId="25" fillId="0" borderId="21" xfId="7" applyFont="1" applyBorder="1" applyAlignment="1">
      <alignment horizontal="center" vertical="center" wrapText="1"/>
    </xf>
    <xf numFmtId="0" fontId="25" fillId="12" borderId="25" xfId="6" applyFont="1" applyFill="1" applyBorder="1" applyAlignment="1">
      <alignment horizontal="center" vertical="center" wrapText="1"/>
    </xf>
    <xf numFmtId="0" fontId="25" fillId="0" borderId="26" xfId="7" applyFont="1" applyBorder="1" applyAlignment="1">
      <alignment horizontal="center" vertical="center" wrapText="1"/>
    </xf>
    <xf numFmtId="0" fontId="40" fillId="0" borderId="0" xfId="6" applyFont="1" applyBorder="1" applyAlignment="1">
      <alignment horizontal="left" vertical="top" wrapText="1"/>
    </xf>
    <xf numFmtId="0" fontId="40" fillId="0" borderId="0" xfId="6" applyFont="1" applyAlignment="1">
      <alignment horizontal="center" vertical="center" wrapText="1"/>
    </xf>
    <xf numFmtId="0" fontId="40" fillId="0" borderId="0" xfId="6" applyFont="1" applyBorder="1" applyAlignment="1">
      <alignment horizontal="center" vertical="center" wrapText="1"/>
    </xf>
    <xf numFmtId="0" fontId="83" fillId="0" borderId="0" xfId="6" applyFont="1" applyFill="1" applyAlignment="1">
      <alignment horizontal="center" wrapText="1"/>
    </xf>
    <xf numFmtId="0" fontId="40" fillId="0" borderId="0" xfId="6" applyFont="1" applyAlignment="1">
      <alignment horizontal="center"/>
    </xf>
    <xf numFmtId="0" fontId="25" fillId="0" borderId="0" xfId="0" applyFont="1" applyBorder="1" applyAlignment="1">
      <alignment wrapText="1"/>
    </xf>
    <xf numFmtId="0" fontId="36" fillId="7" borderId="0" xfId="6" applyFont="1" applyFill="1" applyAlignment="1">
      <alignment vertical="center"/>
    </xf>
    <xf numFmtId="0" fontId="88" fillId="0" borderId="0" xfId="0" applyFont="1" applyAlignment="1">
      <alignment vertical="center"/>
    </xf>
    <xf numFmtId="0" fontId="77" fillId="7" borderId="0" xfId="6" applyFont="1" applyFill="1" applyAlignment="1">
      <alignment vertical="center"/>
    </xf>
    <xf numFmtId="0" fontId="87" fillId="0" borderId="0" xfId="0" applyFont="1" applyAlignment="1">
      <alignment vertical="center"/>
    </xf>
    <xf numFmtId="0" fontId="87" fillId="0" borderId="0" xfId="0" applyFont="1" applyFill="1" applyBorder="1" applyAlignment="1">
      <alignment vertical="center" wrapText="1"/>
    </xf>
    <xf numFmtId="0" fontId="25" fillId="0" borderId="0" xfId="0" applyFont="1" applyFill="1" applyBorder="1" applyAlignment="1">
      <alignment vertical="center" wrapText="1"/>
    </xf>
    <xf numFmtId="0" fontId="25" fillId="11" borderId="16" xfId="0" applyFont="1" applyFill="1" applyBorder="1" applyAlignment="1">
      <alignment horizontal="left"/>
    </xf>
    <xf numFmtId="0" fontId="25" fillId="11" borderId="17" xfId="0" applyFont="1" applyFill="1" applyBorder="1" applyAlignment="1">
      <alignment horizontal="left"/>
    </xf>
    <xf numFmtId="0" fontId="25" fillId="0" borderId="17" xfId="0" applyFont="1" applyBorder="1" applyAlignment="1"/>
    <xf numFmtId="0" fontId="25" fillId="0" borderId="18" xfId="0" applyFont="1" applyBorder="1" applyAlignment="1"/>
    <xf numFmtId="0" fontId="25" fillId="12" borderId="19" xfId="6" applyFont="1" applyFill="1" applyBorder="1" applyAlignment="1">
      <alignment horizontal="center" vertical="center" wrapText="1"/>
    </xf>
    <xf numFmtId="168" fontId="25" fillId="0" borderId="31" xfId="6" applyNumberFormat="1" applyFont="1" applyBorder="1" applyAlignment="1">
      <alignment horizontal="center" vertical="center"/>
    </xf>
    <xf numFmtId="168" fontId="25" fillId="0" borderId="30" xfId="6" applyNumberFormat="1" applyFont="1" applyBorder="1" applyAlignment="1">
      <alignment horizontal="center" vertical="center"/>
    </xf>
    <xf numFmtId="0" fontId="25" fillId="0" borderId="30" xfId="0" applyFont="1" applyBorder="1" applyAlignment="1">
      <alignment horizontal="center" vertical="center"/>
    </xf>
    <xf numFmtId="0" fontId="25" fillId="0" borderId="33" xfId="0" applyFont="1" applyBorder="1" applyAlignment="1">
      <alignment horizontal="center" vertical="center"/>
    </xf>
    <xf numFmtId="0" fontId="25" fillId="0" borderId="31" xfId="0" applyFont="1" applyBorder="1" applyAlignment="1">
      <alignment horizontal="center" vertical="center"/>
    </xf>
    <xf numFmtId="168" fontId="25" fillId="0" borderId="4" xfId="6" applyNumberFormat="1" applyFont="1" applyBorder="1" applyAlignment="1">
      <alignment horizontal="left" vertical="center" wrapText="1"/>
    </xf>
    <xf numFmtId="168" fontId="0" fillId="0" borderId="31" xfId="6" applyNumberFormat="1" applyFont="1" applyBorder="1" applyAlignment="1">
      <alignment horizontal="center" vertical="center"/>
    </xf>
    <xf numFmtId="168" fontId="0" fillId="0" borderId="30" xfId="6" applyNumberFormat="1" applyFont="1"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168" fontId="25" fillId="0" borderId="9" xfId="6" applyNumberFormat="1" applyFont="1" applyBorder="1" applyAlignment="1">
      <alignment horizontal="left" vertical="top" wrapText="1"/>
    </xf>
    <xf numFmtId="168" fontId="25" fillId="0" borderId="9" xfId="6" applyNumberFormat="1" applyFont="1" applyBorder="1" applyAlignment="1">
      <alignment horizontal="left" vertical="center" wrapText="1"/>
    </xf>
    <xf numFmtId="2" fontId="25" fillId="0" borderId="16" xfId="0" applyNumberFormat="1" applyFont="1" applyBorder="1" applyAlignment="1"/>
    <xf numFmtId="168" fontId="25" fillId="0" borderId="35" xfId="6" applyNumberFormat="1" applyFont="1" applyBorder="1" applyAlignment="1">
      <alignment horizontal="left" vertical="top" wrapText="1"/>
    </xf>
    <xf numFmtId="168" fontId="25" fillId="0" borderId="36" xfId="6" applyNumberFormat="1" applyFont="1" applyBorder="1" applyAlignment="1">
      <alignment horizontal="left" vertical="top" wrapText="1"/>
    </xf>
    <xf numFmtId="168" fontId="25" fillId="0" borderId="34" xfId="6" applyNumberFormat="1" applyFont="1" applyBorder="1" applyAlignment="1">
      <alignment horizontal="left" vertical="top" wrapText="1"/>
    </xf>
    <xf numFmtId="168" fontId="25" fillId="0" borderId="37" xfId="6" applyNumberFormat="1" applyFont="1" applyBorder="1" applyAlignment="1">
      <alignment horizontal="left" vertical="top" wrapText="1"/>
    </xf>
    <xf numFmtId="168" fontId="25" fillId="0" borderId="38" xfId="6" applyNumberFormat="1" applyFont="1" applyBorder="1" applyAlignment="1">
      <alignment horizontal="left" vertical="top" wrapText="1"/>
    </xf>
    <xf numFmtId="168" fontId="25" fillId="0" borderId="32" xfId="6" applyNumberFormat="1" applyFont="1" applyBorder="1" applyAlignment="1">
      <alignment horizontal="left" vertical="top" wrapText="1"/>
    </xf>
    <xf numFmtId="168" fontId="25" fillId="0" borderId="16" xfId="6" applyNumberFormat="1" applyFont="1" applyBorder="1" applyAlignment="1">
      <alignment horizontal="left" vertical="top" wrapText="1"/>
    </xf>
    <xf numFmtId="168" fontId="25" fillId="0" borderId="17" xfId="6" applyNumberFormat="1" applyFont="1" applyBorder="1" applyAlignment="1">
      <alignment horizontal="left" vertical="top" wrapText="1"/>
    </xf>
    <xf numFmtId="168" fontId="25" fillId="0" borderId="18" xfId="6" applyNumberFormat="1" applyFont="1" applyBorder="1" applyAlignment="1">
      <alignment horizontal="left" vertical="top" wrapText="1"/>
    </xf>
    <xf numFmtId="168" fontId="25" fillId="0" borderId="14" xfId="6" applyNumberFormat="1" applyFont="1" applyBorder="1" applyAlignment="1">
      <alignment horizontal="left" vertical="center" wrapText="1"/>
    </xf>
    <xf numFmtId="168" fontId="25" fillId="0" borderId="23" xfId="6" applyNumberFormat="1" applyFont="1" applyBorder="1" applyAlignment="1">
      <alignment horizontal="left" vertical="center" wrapText="1"/>
    </xf>
    <xf numFmtId="168" fontId="25" fillId="5" borderId="9" xfId="6" applyNumberFormat="1" applyFont="1" applyFill="1" applyBorder="1" applyAlignment="1">
      <alignment horizontal="left" vertical="center" wrapText="1"/>
    </xf>
    <xf numFmtId="0" fontId="25" fillId="12" borderId="9" xfId="0" applyFont="1" applyFill="1" applyBorder="1" applyAlignment="1">
      <alignment horizontal="center" vertical="center" wrapText="1"/>
    </xf>
    <xf numFmtId="165" fontId="25" fillId="5" borderId="9" xfId="14" applyNumberFormat="1" applyFont="1" applyFill="1" applyBorder="1" applyAlignment="1">
      <alignment horizontal="left" vertical="center" wrapText="1"/>
    </xf>
    <xf numFmtId="0" fontId="0" fillId="5" borderId="19" xfId="14" applyFont="1" applyFill="1" applyBorder="1" applyAlignment="1">
      <alignment horizontal="left" vertical="center" wrapText="1"/>
    </xf>
    <xf numFmtId="0" fontId="0" fillId="5" borderId="30" xfId="14" applyFont="1" applyFill="1" applyBorder="1" applyAlignment="1">
      <alignment horizontal="left" vertical="center" wrapText="1"/>
    </xf>
    <xf numFmtId="0" fontId="0" fillId="5" borderId="23" xfId="14" applyFont="1" applyFill="1" applyBorder="1" applyAlignment="1">
      <alignment horizontal="left" vertical="center" wrapText="1"/>
    </xf>
    <xf numFmtId="165" fontId="25" fillId="5" borderId="14" xfId="14" applyNumberFormat="1" applyFont="1" applyFill="1" applyBorder="1" applyAlignment="1">
      <alignment horizontal="left" vertical="center" wrapText="1"/>
    </xf>
    <xf numFmtId="165" fontId="25" fillId="5" borderId="19" xfId="14" applyNumberFormat="1" applyFont="1" applyFill="1" applyBorder="1" applyAlignment="1">
      <alignment vertical="center" wrapText="1"/>
    </xf>
    <xf numFmtId="0" fontId="25" fillId="0" borderId="30" xfId="0" applyFont="1" applyBorder="1" applyAlignment="1">
      <alignment vertical="center" wrapText="1"/>
    </xf>
    <xf numFmtId="0" fontId="25" fillId="0" borderId="23" xfId="0" applyFont="1" applyBorder="1" applyAlignment="1">
      <alignment vertical="center" wrapText="1"/>
    </xf>
    <xf numFmtId="0" fontId="25" fillId="5" borderId="19" xfId="14" applyFont="1" applyFill="1" applyBorder="1" applyAlignment="1">
      <alignment horizontal="left" vertical="center" wrapText="1"/>
    </xf>
    <xf numFmtId="0" fontId="25" fillId="5" borderId="30" xfId="14" applyFont="1" applyFill="1" applyBorder="1" applyAlignment="1">
      <alignment horizontal="left" vertical="center" wrapText="1"/>
    </xf>
    <xf numFmtId="0" fontId="25" fillId="5" borderId="33" xfId="14" applyFont="1" applyFill="1" applyBorder="1" applyAlignment="1">
      <alignment horizontal="left" vertical="center" wrapText="1"/>
    </xf>
    <xf numFmtId="0" fontId="43" fillId="0" borderId="19" xfId="9" applyFont="1" applyFill="1" applyBorder="1" applyAlignment="1">
      <alignment horizontal="left" vertical="center"/>
    </xf>
    <xf numFmtId="0" fontId="43" fillId="0" borderId="30" xfId="9" applyFont="1" applyFill="1" applyBorder="1" applyAlignment="1">
      <alignment horizontal="left" vertical="center"/>
    </xf>
    <xf numFmtId="0" fontId="25" fillId="0" borderId="23" xfId="0" applyFont="1" applyBorder="1" applyAlignment="1">
      <alignment horizontal="left" vertical="center"/>
    </xf>
    <xf numFmtId="0" fontId="0" fillId="0" borderId="23" xfId="0" applyBorder="1" applyAlignment="1">
      <alignment horizontal="left" vertical="center"/>
    </xf>
    <xf numFmtId="0" fontId="30" fillId="0" borderId="19" xfId="9" applyFont="1" applyFill="1" applyBorder="1" applyAlignment="1">
      <alignment wrapText="1"/>
    </xf>
    <xf numFmtId="0" fontId="25" fillId="0" borderId="23" xfId="0" applyFont="1" applyBorder="1" applyAlignment="1">
      <alignment wrapText="1"/>
    </xf>
    <xf numFmtId="165" fontId="25" fillId="5" borderId="23" xfId="14" applyNumberFormat="1" applyFont="1" applyFill="1" applyBorder="1" applyAlignment="1">
      <alignment horizontal="left" vertical="center" wrapText="1"/>
    </xf>
    <xf numFmtId="0" fontId="30" fillId="0" borderId="19" xfId="9" applyFont="1" applyFill="1" applyBorder="1" applyAlignment="1">
      <alignment vertical="center" wrapText="1"/>
    </xf>
    <xf numFmtId="0" fontId="25" fillId="0" borderId="30" xfId="0" applyFont="1" applyBorder="1" applyAlignment="1">
      <alignment horizontal="left" vertical="center"/>
    </xf>
    <xf numFmtId="0" fontId="30" fillId="0" borderId="30" xfId="9" applyFont="1" applyFill="1" applyBorder="1" applyAlignment="1">
      <alignment vertical="center" wrapText="1"/>
    </xf>
    <xf numFmtId="0" fontId="0" fillId="0" borderId="30" xfId="0" applyBorder="1" applyAlignment="1">
      <alignment horizontal="left" vertical="center"/>
    </xf>
    <xf numFmtId="165" fontId="25" fillId="0" borderId="9" xfId="7" applyNumberFormat="1" applyFont="1" applyFill="1" applyBorder="1" applyAlignment="1">
      <alignment horizontal="left" vertical="center" wrapText="1"/>
    </xf>
    <xf numFmtId="165" fontId="25" fillId="5" borderId="9" xfId="7" applyNumberFormat="1" applyFont="1" applyFill="1" applyBorder="1" applyAlignment="1">
      <alignment horizontal="left" vertical="center" wrapText="1"/>
    </xf>
    <xf numFmtId="0" fontId="25" fillId="0" borderId="9" xfId="0" applyFont="1" applyBorder="1" applyAlignment="1">
      <alignment wrapText="1"/>
    </xf>
    <xf numFmtId="165" fontId="25" fillId="0" borderId="16" xfId="7" applyNumberFormat="1" applyFont="1" applyFill="1" applyBorder="1" applyAlignment="1">
      <alignment horizontal="left" vertical="center" wrapText="1"/>
    </xf>
    <xf numFmtId="165" fontId="25" fillId="0" borderId="18" xfId="7" applyNumberFormat="1" applyFont="1" applyFill="1" applyBorder="1" applyAlignment="1">
      <alignment horizontal="left" vertical="center" wrapText="1"/>
    </xf>
    <xf numFmtId="0" fontId="25" fillId="0" borderId="9" xfId="0" applyFont="1" applyFill="1" applyBorder="1" applyAlignment="1">
      <alignment wrapText="1"/>
    </xf>
    <xf numFmtId="0" fontId="25" fillId="0" borderId="4" xfId="0" applyFont="1" applyFill="1" applyBorder="1" applyAlignment="1">
      <alignment horizontal="left" vertical="center" wrapText="1"/>
    </xf>
    <xf numFmtId="0" fontId="25" fillId="0" borderId="9" xfId="0" applyFont="1" applyFill="1" applyBorder="1" applyAlignment="1">
      <alignment horizontal="left" vertical="center" wrapText="1"/>
    </xf>
    <xf numFmtId="0" fontId="25" fillId="0" borderId="14" xfId="0" applyFont="1" applyFill="1" applyBorder="1" applyAlignment="1">
      <alignment horizontal="left" vertical="center" wrapText="1"/>
    </xf>
    <xf numFmtId="0" fontId="25" fillId="0" borderId="4" xfId="7" applyFont="1" applyFill="1" applyBorder="1" applyAlignment="1">
      <alignment horizontal="left" vertical="center" wrapText="1"/>
    </xf>
    <xf numFmtId="0" fontId="25" fillId="0" borderId="9" xfId="7" applyFont="1" applyFill="1" applyBorder="1" applyAlignment="1">
      <alignment horizontal="left" vertical="center" wrapText="1"/>
    </xf>
    <xf numFmtId="0" fontId="25" fillId="0" borderId="19" xfId="7"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0" borderId="13" xfId="0" applyFont="1" applyFill="1" applyBorder="1" applyAlignment="1">
      <alignment horizontal="left" vertical="center" wrapText="1"/>
    </xf>
    <xf numFmtId="0" fontId="25" fillId="0" borderId="14" xfId="7" applyFont="1" applyFill="1" applyBorder="1" applyAlignment="1">
      <alignment horizontal="left" vertical="center" wrapText="1"/>
    </xf>
    <xf numFmtId="0" fontId="25" fillId="0" borderId="9" xfId="7" applyFont="1" applyFill="1" applyBorder="1" applyAlignment="1">
      <alignment wrapText="1"/>
    </xf>
    <xf numFmtId="0" fontId="25" fillId="0" borderId="9" xfId="0" applyFont="1" applyBorder="1" applyAlignment="1"/>
    <xf numFmtId="0" fontId="7" fillId="0" borderId="0" xfId="0" applyFont="1" applyAlignment="1">
      <alignment vertical="center"/>
    </xf>
    <xf numFmtId="0" fontId="25" fillId="0" borderId="19" xfId="0" applyFont="1" applyFill="1" applyBorder="1" applyAlignment="1">
      <alignment horizontal="left" vertical="center"/>
    </xf>
    <xf numFmtId="0" fontId="25" fillId="0" borderId="30" xfId="0" applyFont="1" applyFill="1" applyBorder="1" applyAlignment="1">
      <alignment horizontal="left"/>
    </xf>
    <xf numFmtId="0" fontId="25" fillId="0" borderId="23" xfId="0" applyFont="1" applyFill="1" applyBorder="1" applyAlignment="1">
      <alignment horizontal="left"/>
    </xf>
    <xf numFmtId="0" fontId="25" fillId="0" borderId="30" xfId="0" applyFont="1" applyFill="1" applyBorder="1" applyAlignment="1">
      <alignment horizontal="left" vertical="center"/>
    </xf>
    <xf numFmtId="0" fontId="25" fillId="0" borderId="23" xfId="0" applyFont="1" applyFill="1" applyBorder="1" applyAlignment="1">
      <alignment horizontal="left" vertical="center"/>
    </xf>
    <xf numFmtId="0" fontId="0" fillId="0" borderId="19" xfId="0" applyFont="1" applyBorder="1" applyAlignment="1">
      <alignment horizontal="left" vertical="center"/>
    </xf>
    <xf numFmtId="0" fontId="0" fillId="0" borderId="30" xfId="0" applyBorder="1" applyAlignment="1">
      <alignment horizontal="left"/>
    </xf>
    <xf numFmtId="0" fontId="0" fillId="0" borderId="23" xfId="0" applyBorder="1" applyAlignment="1">
      <alignment horizontal="left"/>
    </xf>
    <xf numFmtId="0" fontId="43" fillId="0" borderId="9" xfId="9" applyFont="1" applyFill="1" applyBorder="1" applyAlignment="1">
      <alignment horizontal="left" vertical="center"/>
    </xf>
    <xf numFmtId="165" fontId="25" fillId="0" borderId="16" xfId="14" applyNumberFormat="1" applyFont="1" applyFill="1" applyBorder="1" applyAlignment="1">
      <alignment horizontal="left" vertical="center" wrapText="1"/>
    </xf>
    <xf numFmtId="165" fontId="25" fillId="0" borderId="18" xfId="14" applyNumberFormat="1" applyFont="1" applyFill="1" applyBorder="1" applyAlignment="1">
      <alignment horizontal="left" vertical="center" wrapText="1"/>
    </xf>
    <xf numFmtId="0" fontId="25" fillId="12" borderId="16" xfId="0" applyFont="1" applyFill="1" applyBorder="1" applyAlignment="1">
      <alignment horizontal="center" vertical="center" wrapText="1"/>
    </xf>
    <xf numFmtId="0" fontId="25" fillId="12" borderId="18" xfId="0" applyFont="1" applyFill="1" applyBorder="1" applyAlignment="1">
      <alignment horizontal="center" vertical="center" wrapText="1"/>
    </xf>
    <xf numFmtId="3" fontId="25" fillId="0" borderId="16" xfId="0" applyNumberFormat="1" applyFont="1" applyFill="1" applyBorder="1" applyAlignment="1">
      <alignment horizontal="center" vertical="center" wrapText="1"/>
    </xf>
    <xf numFmtId="3" fontId="25" fillId="0" borderId="18" xfId="0" applyNumberFormat="1" applyFont="1" applyFill="1" applyBorder="1" applyAlignment="1">
      <alignment horizontal="center" vertical="center" wrapText="1"/>
    </xf>
    <xf numFmtId="0" fontId="25" fillId="0" borderId="18" xfId="0" applyFont="1" applyBorder="1" applyAlignment="1">
      <alignment horizontal="center" vertical="center" wrapText="1"/>
    </xf>
    <xf numFmtId="0" fontId="25" fillId="12" borderId="17" xfId="0" applyFont="1" applyFill="1" applyBorder="1" applyAlignment="1">
      <alignment horizontal="center" vertical="center" wrapText="1"/>
    </xf>
    <xf numFmtId="0" fontId="25" fillId="5" borderId="9" xfId="0" applyFont="1" applyFill="1" applyBorder="1" applyAlignment="1">
      <alignment vertical="center" wrapText="1"/>
    </xf>
    <xf numFmtId="0" fontId="25" fillId="5" borderId="9" xfId="0" applyFont="1" applyFill="1" applyBorder="1" applyAlignment="1">
      <alignment horizontal="left" vertical="center" wrapText="1"/>
    </xf>
    <xf numFmtId="165" fontId="25" fillId="0" borderId="9" xfId="9" applyNumberFormat="1" applyFont="1" applyFill="1" applyBorder="1" applyAlignment="1">
      <alignment horizontal="center"/>
    </xf>
    <xf numFmtId="0" fontId="25" fillId="0" borderId="9" xfId="0" applyFont="1" applyFill="1" applyBorder="1" applyAlignment="1"/>
    <xf numFmtId="7" fontId="25" fillId="0" borderId="9" xfId="2" applyNumberFormat="1" applyFont="1" applyFill="1" applyBorder="1" applyAlignment="1">
      <alignment horizontal="center"/>
    </xf>
    <xf numFmtId="0" fontId="25" fillId="0" borderId="0" xfId="0" applyFont="1" applyAlignment="1">
      <alignment vertical="center"/>
    </xf>
    <xf numFmtId="0" fontId="25" fillId="11" borderId="18" xfId="0" applyFont="1" applyFill="1" applyBorder="1" applyAlignment="1">
      <alignment horizontal="left"/>
    </xf>
    <xf numFmtId="0" fontId="25" fillId="12" borderId="19" xfId="0" applyFont="1" applyFill="1" applyBorder="1" applyAlignment="1">
      <alignment horizontal="center" vertical="center" wrapText="1"/>
    </xf>
    <xf numFmtId="0" fontId="25" fillId="5" borderId="4" xfId="9" applyFont="1" applyFill="1" applyBorder="1" applyAlignment="1">
      <alignment horizontal="center"/>
    </xf>
    <xf numFmtId="0" fontId="25" fillId="5" borderId="14" xfId="9" applyFont="1" applyFill="1" applyBorder="1" applyAlignment="1">
      <alignment horizontal="center"/>
    </xf>
    <xf numFmtId="0" fontId="56" fillId="5" borderId="46" xfId="9" applyFont="1" applyFill="1" applyBorder="1" applyAlignment="1">
      <alignment horizontal="left" vertical="center" wrapText="1"/>
    </xf>
    <xf numFmtId="0" fontId="56" fillId="5" borderId="47" xfId="9" applyFont="1" applyFill="1" applyBorder="1" applyAlignment="1">
      <alignment horizontal="left" vertical="center" wrapText="1"/>
    </xf>
    <xf numFmtId="0" fontId="56" fillId="5" borderId="50" xfId="9" applyFont="1" applyFill="1" applyBorder="1" applyAlignment="1">
      <alignment horizontal="left" vertical="center" wrapText="1"/>
    </xf>
    <xf numFmtId="0" fontId="25" fillId="5" borderId="4" xfId="9" applyFont="1" applyFill="1" applyBorder="1" applyAlignment="1">
      <alignment horizontal="left" vertical="center"/>
    </xf>
    <xf numFmtId="0" fontId="25" fillId="5" borderId="23" xfId="9" applyFont="1" applyFill="1" applyBorder="1" applyAlignment="1">
      <alignment horizontal="left" vertical="center"/>
    </xf>
    <xf numFmtId="0" fontId="25" fillId="5" borderId="9" xfId="9" applyFont="1" applyFill="1" applyBorder="1" applyAlignment="1">
      <alignment horizontal="left" vertical="center"/>
    </xf>
    <xf numFmtId="0" fontId="25" fillId="5" borderId="19" xfId="9" applyFont="1" applyFill="1" applyBorder="1" applyAlignment="1">
      <alignment horizontal="left" vertical="center"/>
    </xf>
    <xf numFmtId="0" fontId="25" fillId="5" borderId="14" xfId="9" applyFont="1" applyFill="1" applyBorder="1" applyAlignment="1">
      <alignment horizontal="left" vertical="center"/>
    </xf>
    <xf numFmtId="0" fontId="25" fillId="5" borderId="4" xfId="9" applyFont="1" applyFill="1" applyBorder="1" applyAlignment="1">
      <alignment horizontal="left"/>
    </xf>
    <xf numFmtId="0" fontId="25" fillId="5" borderId="9" xfId="9" applyFont="1" applyFill="1" applyBorder="1" applyAlignment="1">
      <alignment horizontal="left"/>
    </xf>
    <xf numFmtId="0" fontId="25" fillId="5" borderId="14" xfId="9" applyFont="1" applyFill="1" applyBorder="1" applyAlignment="1">
      <alignment horizontal="left"/>
    </xf>
    <xf numFmtId="0" fontId="25" fillId="5" borderId="8" xfId="9" applyFont="1" applyFill="1" applyBorder="1" applyAlignment="1">
      <alignment horizontal="left" vertical="center" wrapText="1"/>
    </xf>
    <xf numFmtId="0" fontId="25" fillId="5" borderId="9" xfId="9" applyFont="1" applyFill="1" applyBorder="1" applyAlignment="1">
      <alignment horizontal="left" vertical="center" wrapText="1"/>
    </xf>
    <xf numFmtId="0" fontId="25" fillId="5" borderId="9" xfId="9" applyFont="1" applyFill="1" applyBorder="1" applyAlignment="1">
      <alignment horizontal="center"/>
    </xf>
    <xf numFmtId="0" fontId="25" fillId="5" borderId="19" xfId="9" quotePrefix="1" applyFont="1" applyFill="1" applyBorder="1" applyAlignment="1">
      <alignment wrapText="1"/>
    </xf>
    <xf numFmtId="0" fontId="25" fillId="5" borderId="0" xfId="0" applyFont="1" applyFill="1" applyBorder="1" applyAlignment="1">
      <alignment wrapText="1"/>
    </xf>
    <xf numFmtId="168" fontId="25" fillId="5" borderId="37" xfId="0" applyNumberFormat="1" applyFont="1" applyFill="1" applyBorder="1" applyAlignment="1">
      <alignment horizontal="center" vertical="top"/>
    </xf>
    <xf numFmtId="168" fontId="25" fillId="5" borderId="38" xfId="0" applyNumberFormat="1" applyFont="1" applyFill="1" applyBorder="1" applyAlignment="1">
      <alignment horizontal="center" vertical="top"/>
    </xf>
    <xf numFmtId="168" fontId="25" fillId="5" borderId="32" xfId="0" applyNumberFormat="1" applyFont="1" applyFill="1" applyBorder="1" applyAlignment="1">
      <alignment horizontal="center" vertical="top"/>
    </xf>
    <xf numFmtId="168" fontId="25" fillId="5" borderId="16" xfId="0" applyNumberFormat="1" applyFont="1" applyFill="1" applyBorder="1" applyAlignment="1">
      <alignment horizontal="center" vertical="top"/>
    </xf>
    <xf numFmtId="168" fontId="25" fillId="5" borderId="17" xfId="0" applyNumberFormat="1" applyFont="1" applyFill="1" applyBorder="1" applyAlignment="1">
      <alignment horizontal="center" vertical="top"/>
    </xf>
    <xf numFmtId="168" fontId="25" fillId="5" borderId="18" xfId="0" applyNumberFormat="1" applyFont="1" applyFill="1" applyBorder="1" applyAlignment="1">
      <alignment horizontal="center" vertical="top"/>
    </xf>
    <xf numFmtId="0" fontId="25" fillId="5" borderId="46" xfId="9" applyFont="1" applyFill="1" applyBorder="1" applyAlignment="1">
      <alignment horizontal="left" vertical="center" wrapText="1"/>
    </xf>
    <xf numFmtId="0" fontId="25" fillId="5" borderId="47" xfId="9" applyFont="1" applyFill="1" applyBorder="1" applyAlignment="1">
      <alignment horizontal="left" vertical="center" wrapText="1"/>
    </xf>
    <xf numFmtId="0" fontId="25" fillId="5" borderId="50" xfId="9" applyFont="1" applyFill="1" applyBorder="1" applyAlignment="1">
      <alignment horizontal="left" vertical="center" wrapText="1"/>
    </xf>
    <xf numFmtId="2" fontId="25" fillId="0" borderId="16" xfId="0" applyNumberFormat="1" applyFont="1" applyFill="1" applyBorder="1" applyAlignment="1">
      <alignment horizontal="left" wrapText="1"/>
    </xf>
    <xf numFmtId="2" fontId="25" fillId="0" borderId="18" xfId="0" applyNumberFormat="1" applyFont="1" applyFill="1" applyBorder="1" applyAlignment="1">
      <alignment horizontal="left" wrapText="1"/>
    </xf>
    <xf numFmtId="0" fontId="25" fillId="5" borderId="31" xfId="9" applyFont="1" applyFill="1" applyBorder="1" applyAlignment="1">
      <alignment horizontal="left" vertical="center" wrapText="1"/>
    </xf>
    <xf numFmtId="0" fontId="25" fillId="5" borderId="30" xfId="9" applyFont="1" applyFill="1" applyBorder="1" applyAlignment="1">
      <alignment horizontal="left" vertical="center" wrapText="1"/>
    </xf>
    <xf numFmtId="0" fontId="25" fillId="5" borderId="33" xfId="9" applyFont="1" applyFill="1" applyBorder="1" applyAlignment="1">
      <alignment horizontal="left" vertical="center" wrapText="1"/>
    </xf>
    <xf numFmtId="2" fontId="25" fillId="0" borderId="16" xfId="0" applyNumberFormat="1" applyFont="1" applyFill="1" applyBorder="1" applyAlignment="1">
      <alignment wrapText="1"/>
    </xf>
    <xf numFmtId="2" fontId="25" fillId="0" borderId="18" xfId="0" applyNumberFormat="1" applyFont="1" applyFill="1" applyBorder="1" applyAlignment="1">
      <alignment wrapText="1"/>
    </xf>
    <xf numFmtId="0" fontId="25" fillId="0" borderId="17" xfId="0" applyFont="1" applyBorder="1" applyAlignment="1">
      <alignment horizontal="center" vertical="center" wrapText="1"/>
    </xf>
    <xf numFmtId="0" fontId="25" fillId="0" borderId="17" xfId="0" applyFont="1" applyBorder="1" applyAlignment="1">
      <alignment wrapText="1"/>
    </xf>
    <xf numFmtId="0" fontId="25" fillId="0" borderId="18" xfId="0" applyFont="1" applyBorder="1" applyAlignment="1">
      <alignment wrapText="1"/>
    </xf>
    <xf numFmtId="2" fontId="25" fillId="0" borderId="27" xfId="0" applyNumberFormat="1" applyFont="1" applyFill="1" applyBorder="1" applyAlignment="1">
      <alignment wrapText="1"/>
    </xf>
    <xf numFmtId="8" fontId="25" fillId="0" borderId="16" xfId="0" applyNumberFormat="1" applyFont="1" applyFill="1" applyBorder="1" applyAlignment="1">
      <alignment horizontal="left"/>
    </xf>
    <xf numFmtId="8" fontId="25" fillId="0" borderId="18" xfId="0" applyNumberFormat="1" applyFont="1" applyFill="1" applyBorder="1" applyAlignment="1">
      <alignment horizontal="left"/>
    </xf>
    <xf numFmtId="168" fontId="25" fillId="17" borderId="37" xfId="0" applyNumberFormat="1" applyFont="1" applyFill="1" applyBorder="1" applyAlignment="1">
      <alignment horizontal="center" vertical="top"/>
    </xf>
    <xf numFmtId="168" fontId="25" fillId="17" borderId="38" xfId="0" applyNumberFormat="1" applyFont="1" applyFill="1" applyBorder="1" applyAlignment="1">
      <alignment horizontal="center" vertical="top"/>
    </xf>
    <xf numFmtId="168" fontId="25" fillId="17" borderId="32" xfId="0" applyNumberFormat="1" applyFont="1" applyFill="1" applyBorder="1" applyAlignment="1">
      <alignment horizontal="center" vertical="top"/>
    </xf>
    <xf numFmtId="168" fontId="25" fillId="5" borderId="9" xfId="0" applyNumberFormat="1" applyFont="1" applyFill="1" applyBorder="1" applyAlignment="1">
      <alignment horizontal="center" vertical="top"/>
    </xf>
    <xf numFmtId="168" fontId="5" fillId="5" borderId="16" xfId="0" applyNumberFormat="1" applyFont="1" applyFill="1" applyBorder="1" applyAlignment="1">
      <alignment horizontal="center" vertical="top"/>
    </xf>
    <xf numFmtId="168" fontId="5" fillId="5" borderId="17" xfId="0" applyNumberFormat="1" applyFont="1" applyFill="1" applyBorder="1" applyAlignment="1">
      <alignment horizontal="center" vertical="top"/>
    </xf>
    <xf numFmtId="168" fontId="5" fillId="5" borderId="18" xfId="0" applyNumberFormat="1" applyFont="1" applyFill="1" applyBorder="1" applyAlignment="1">
      <alignment horizontal="center" vertical="top"/>
    </xf>
    <xf numFmtId="168" fontId="25" fillId="17" borderId="16" xfId="0" applyNumberFormat="1" applyFont="1" applyFill="1" applyBorder="1" applyAlignment="1">
      <alignment horizontal="center" vertical="top"/>
    </xf>
    <xf numFmtId="168" fontId="25" fillId="17" borderId="17" xfId="0" applyNumberFormat="1" applyFont="1" applyFill="1" applyBorder="1" applyAlignment="1">
      <alignment horizontal="center" vertical="top"/>
    </xf>
    <xf numFmtId="168" fontId="25" fillId="17" borderId="18" xfId="0" applyNumberFormat="1" applyFont="1" applyFill="1" applyBorder="1" applyAlignment="1">
      <alignment horizontal="center" vertical="top"/>
    </xf>
    <xf numFmtId="168" fontId="5" fillId="5" borderId="9" xfId="0" applyNumberFormat="1" applyFont="1" applyFill="1" applyBorder="1" applyAlignment="1">
      <alignment horizontal="center" vertical="top"/>
    </xf>
    <xf numFmtId="168" fontId="5" fillId="5" borderId="35" xfId="0" applyNumberFormat="1" applyFont="1" applyFill="1" applyBorder="1" applyAlignment="1">
      <alignment horizontal="center" vertical="top"/>
    </xf>
    <xf numFmtId="168" fontId="5" fillId="5" borderId="36" xfId="0" applyNumberFormat="1" applyFont="1" applyFill="1" applyBorder="1" applyAlignment="1">
      <alignment horizontal="center" vertical="top"/>
    </xf>
    <xf numFmtId="168" fontId="5" fillId="5" borderId="34" xfId="0" applyNumberFormat="1" applyFont="1" applyFill="1" applyBorder="1" applyAlignment="1">
      <alignment horizontal="center" vertical="top"/>
    </xf>
    <xf numFmtId="168" fontId="5" fillId="17" borderId="16" xfId="0" applyNumberFormat="1" applyFont="1" applyFill="1" applyBorder="1" applyAlignment="1">
      <alignment horizontal="center" vertical="top"/>
    </xf>
    <xf numFmtId="168" fontId="5" fillId="17" borderId="17" xfId="0" applyNumberFormat="1" applyFont="1" applyFill="1" applyBorder="1" applyAlignment="1">
      <alignment horizontal="center" vertical="top"/>
    </xf>
    <xf numFmtId="168" fontId="5" fillId="17" borderId="18" xfId="0" applyNumberFormat="1" applyFont="1" applyFill="1" applyBorder="1" applyAlignment="1">
      <alignment horizontal="center" vertical="top"/>
    </xf>
    <xf numFmtId="0" fontId="25" fillId="0" borderId="55" xfId="0" applyFont="1" applyFill="1" applyBorder="1" applyAlignment="1">
      <alignment horizontal="center" vertical="center" wrapText="1"/>
    </xf>
    <xf numFmtId="0" fontId="25" fillId="0" borderId="56" xfId="0" applyFont="1"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25" fillId="17" borderId="9" xfId="0" applyFont="1" applyFill="1" applyBorder="1" applyAlignment="1">
      <alignment horizontal="left" vertical="top" wrapText="1"/>
    </xf>
    <xf numFmtId="0" fontId="25" fillId="5" borderId="9" xfId="0" applyFont="1" applyFill="1" applyBorder="1" applyAlignment="1">
      <alignment horizontal="left" vertical="top" wrapText="1"/>
    </xf>
    <xf numFmtId="0" fontId="5" fillId="0" borderId="0" xfId="0" applyFont="1" applyFill="1" applyBorder="1" applyAlignment="1">
      <alignment horizontal="center" vertical="center" wrapText="1"/>
    </xf>
    <xf numFmtId="0" fontId="5" fillId="0" borderId="0" xfId="0" applyFont="1" applyFill="1" applyBorder="1" applyAlignment="1">
      <alignment wrapText="1"/>
    </xf>
    <xf numFmtId="0" fontId="25" fillId="17" borderId="2" xfId="0" applyFont="1" applyFill="1" applyBorder="1" applyAlignment="1">
      <alignment horizontal="left" vertical="center" wrapText="1"/>
    </xf>
    <xf numFmtId="0" fontId="25" fillId="17" borderId="7" xfId="0" applyFont="1" applyFill="1" applyBorder="1" applyAlignment="1">
      <alignment horizontal="left" vertical="center" wrapText="1"/>
    </xf>
    <xf numFmtId="0" fontId="25" fillId="0" borderId="7" xfId="0" applyFont="1" applyBorder="1" applyAlignment="1">
      <alignment horizontal="left" vertical="center" wrapText="1"/>
    </xf>
    <xf numFmtId="0" fontId="25" fillId="0" borderId="12" xfId="0" applyFont="1" applyBorder="1" applyAlignment="1">
      <alignment horizontal="left" vertical="center" wrapText="1"/>
    </xf>
    <xf numFmtId="0" fontId="25" fillId="17" borderId="46" xfId="0" applyFont="1" applyFill="1" applyBorder="1" applyAlignment="1">
      <alignment horizontal="left" vertical="center" wrapText="1"/>
    </xf>
    <xf numFmtId="0" fontId="25" fillId="17" borderId="47" xfId="0" applyFont="1" applyFill="1" applyBorder="1" applyAlignment="1">
      <alignment horizontal="left" vertical="center" wrapText="1"/>
    </xf>
    <xf numFmtId="0" fontId="25" fillId="0" borderId="47" xfId="0" applyFont="1" applyBorder="1" applyAlignment="1">
      <alignment horizontal="left" vertical="center" wrapText="1"/>
    </xf>
    <xf numFmtId="0" fontId="25" fillId="0" borderId="50" xfId="0" applyFont="1" applyBorder="1" applyAlignment="1">
      <alignment horizontal="left" vertical="center" wrapText="1"/>
    </xf>
    <xf numFmtId="0" fontId="25" fillId="17" borderId="4" xfId="0" applyFont="1" applyFill="1" applyBorder="1" applyAlignment="1">
      <alignment horizontal="left" vertical="top" wrapText="1"/>
    </xf>
    <xf numFmtId="0" fontId="5" fillId="0" borderId="0" xfId="0" applyFont="1" applyFill="1" applyBorder="1" applyAlignment="1"/>
    <xf numFmtId="0" fontId="49" fillId="17" borderId="2" xfId="0" applyFont="1" applyFill="1" applyBorder="1" applyAlignment="1">
      <alignment horizontal="left" vertical="center" wrapText="1"/>
    </xf>
    <xf numFmtId="0" fontId="49" fillId="17" borderId="7" xfId="0" applyFont="1" applyFill="1"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left" vertical="center" wrapText="1"/>
    </xf>
    <xf numFmtId="0" fontId="25" fillId="17" borderId="55" xfId="0" applyFont="1" applyFill="1" applyBorder="1" applyAlignment="1">
      <alignment horizontal="center" vertical="center" wrapText="1"/>
    </xf>
    <xf numFmtId="0" fontId="25" fillId="0" borderId="57" xfId="0" applyFont="1" applyBorder="1" applyAlignment="1">
      <alignment horizontal="center" vertical="center" wrapText="1"/>
    </xf>
    <xf numFmtId="0" fontId="25" fillId="17" borderId="49" xfId="0" applyFont="1" applyFill="1" applyBorder="1" applyAlignment="1">
      <alignment horizontal="left" vertical="top" wrapText="1"/>
    </xf>
    <xf numFmtId="0" fontId="25" fillId="0" borderId="56" xfId="0" applyFont="1" applyBorder="1" applyAlignment="1">
      <alignment horizontal="left" vertical="top" wrapText="1"/>
    </xf>
    <xf numFmtId="0" fontId="25" fillId="0" borderId="48" xfId="0" applyFont="1" applyBorder="1" applyAlignment="1">
      <alignment horizontal="left" vertical="top" wrapText="1"/>
    </xf>
    <xf numFmtId="0" fontId="25" fillId="17" borderId="37" xfId="0" applyFont="1" applyFill="1" applyBorder="1" applyAlignment="1">
      <alignment horizontal="left" vertical="top" wrapText="1"/>
    </xf>
    <xf numFmtId="0" fontId="25" fillId="17" borderId="38" xfId="0" applyFont="1" applyFill="1" applyBorder="1" applyAlignment="1">
      <alignment horizontal="left" vertical="top" wrapText="1"/>
    </xf>
    <xf numFmtId="0" fontId="25" fillId="17" borderId="32" xfId="0" applyFont="1" applyFill="1" applyBorder="1" applyAlignment="1">
      <alignment horizontal="left" vertical="top" wrapText="1"/>
    </xf>
    <xf numFmtId="0" fontId="25" fillId="17" borderId="12" xfId="0" applyFont="1" applyFill="1" applyBorder="1" applyAlignment="1">
      <alignment horizontal="left" vertical="center" wrapText="1"/>
    </xf>
    <xf numFmtId="0" fontId="25" fillId="17" borderId="50" xfId="0" applyFont="1" applyFill="1" applyBorder="1" applyAlignment="1">
      <alignment horizontal="left" vertical="center" wrapText="1"/>
    </xf>
    <xf numFmtId="0" fontId="25" fillId="17" borderId="16" xfId="0" applyFont="1" applyFill="1" applyBorder="1" applyAlignment="1">
      <alignment horizontal="left" vertical="top" wrapText="1"/>
    </xf>
    <xf numFmtId="0" fontId="25" fillId="17" borderId="17" xfId="0" applyFont="1" applyFill="1" applyBorder="1" applyAlignment="1">
      <alignment horizontal="left" vertical="top" wrapText="1"/>
    </xf>
    <xf numFmtId="0" fontId="25" fillId="17" borderId="18" xfId="0" applyFont="1" applyFill="1" applyBorder="1" applyAlignment="1">
      <alignment horizontal="left" vertical="top" wrapText="1"/>
    </xf>
    <xf numFmtId="0" fontId="49" fillId="17" borderId="12" xfId="0" applyFont="1" applyFill="1" applyBorder="1" applyAlignment="1">
      <alignment horizontal="left" vertical="center" wrapText="1"/>
    </xf>
    <xf numFmtId="0" fontId="25" fillId="0" borderId="56" xfId="0" applyFont="1" applyBorder="1" applyAlignment="1">
      <alignment wrapText="1"/>
    </xf>
    <xf numFmtId="0" fontId="25" fillId="0" borderId="48" xfId="0" applyFont="1" applyBorder="1" applyAlignment="1">
      <alignment wrapText="1"/>
    </xf>
    <xf numFmtId="0" fontId="25" fillId="17" borderId="55" xfId="0" applyFont="1" applyFill="1" applyBorder="1" applyAlignment="1">
      <alignment horizontal="left" vertical="center" wrapText="1"/>
    </xf>
    <xf numFmtId="0" fontId="25" fillId="0" borderId="56" xfId="0" applyFont="1" applyBorder="1" applyAlignment="1">
      <alignment vertical="center" wrapText="1"/>
    </xf>
    <xf numFmtId="0" fontId="25" fillId="0" borderId="48" xfId="0" applyFont="1" applyBorder="1" applyAlignment="1">
      <alignment vertical="center" wrapText="1"/>
    </xf>
    <xf numFmtId="0" fontId="25" fillId="17" borderId="22" xfId="0" applyFont="1" applyFill="1" applyBorder="1" applyAlignment="1">
      <alignment horizontal="center" vertical="top"/>
    </xf>
    <xf numFmtId="0" fontId="25" fillId="17" borderId="0" xfId="0" applyFont="1" applyFill="1" applyBorder="1" applyAlignment="1">
      <alignment horizontal="center" vertical="top"/>
    </xf>
    <xf numFmtId="0" fontId="25" fillId="17" borderId="24" xfId="0" applyFont="1" applyFill="1" applyBorder="1" applyAlignment="1">
      <alignment horizontal="center" vertical="top"/>
    </xf>
    <xf numFmtId="0" fontId="25" fillId="17" borderId="25" xfId="0" applyFont="1" applyFill="1" applyBorder="1" applyAlignment="1">
      <alignment horizontal="center" vertical="top"/>
    </xf>
    <xf numFmtId="0" fontId="25" fillId="17" borderId="28" xfId="0" applyFont="1" applyFill="1" applyBorder="1" applyAlignment="1">
      <alignment horizontal="center" vertical="top"/>
    </xf>
    <xf numFmtId="0" fontId="25" fillId="17" borderId="26" xfId="0" applyFont="1" applyFill="1" applyBorder="1" applyAlignment="1">
      <alignment horizontal="center" vertical="top"/>
    </xf>
    <xf numFmtId="0" fontId="25" fillId="17" borderId="20" xfId="0" applyFont="1" applyFill="1" applyBorder="1" applyAlignment="1">
      <alignment horizontal="center" vertical="top"/>
    </xf>
    <xf numFmtId="0" fontId="25" fillId="17" borderId="27" xfId="0" applyFont="1" applyFill="1" applyBorder="1" applyAlignment="1">
      <alignment horizontal="center" vertical="top"/>
    </xf>
    <xf numFmtId="0" fontId="25" fillId="17" borderId="21" xfId="0" applyFont="1" applyFill="1" applyBorder="1" applyAlignment="1">
      <alignment horizontal="center" vertical="top"/>
    </xf>
    <xf numFmtId="0" fontId="25" fillId="0" borderId="57" xfId="0" applyFont="1" applyBorder="1" applyAlignment="1">
      <alignment horizontal="left" vertical="top" wrapText="1"/>
    </xf>
    <xf numFmtId="0" fontId="25" fillId="17" borderId="16" xfId="0" applyFont="1" applyFill="1" applyBorder="1" applyAlignment="1">
      <alignment horizontal="center" vertical="top"/>
    </xf>
    <xf numFmtId="0" fontId="25" fillId="17" borderId="17" xfId="0" applyFont="1" applyFill="1" applyBorder="1" applyAlignment="1">
      <alignment horizontal="center" vertical="top"/>
    </xf>
    <xf numFmtId="0" fontId="25" fillId="17" borderId="18" xfId="0" applyFont="1" applyFill="1" applyBorder="1" applyAlignment="1">
      <alignment horizontal="center" vertical="top"/>
    </xf>
    <xf numFmtId="0" fontId="0" fillId="0" borderId="47" xfId="0" applyBorder="1" applyAlignment="1">
      <alignment horizontal="left" vertical="center" wrapText="1"/>
    </xf>
    <xf numFmtId="0" fontId="0" fillId="0" borderId="50" xfId="0" applyBorder="1" applyAlignment="1">
      <alignment horizontal="left" vertical="center" wrapText="1"/>
    </xf>
    <xf numFmtId="0" fontId="25" fillId="17" borderId="60" xfId="0" applyFont="1" applyFill="1" applyBorder="1" applyAlignment="1">
      <alignment horizontal="center" vertical="top"/>
    </xf>
    <xf numFmtId="0" fontId="25" fillId="17" borderId="61" xfId="0" applyFont="1" applyFill="1" applyBorder="1" applyAlignment="1">
      <alignment horizontal="center" vertical="top"/>
    </xf>
    <xf numFmtId="0" fontId="25" fillId="17" borderId="62" xfId="0" applyFont="1" applyFill="1" applyBorder="1" applyAlignment="1">
      <alignment horizontal="center" vertical="top"/>
    </xf>
    <xf numFmtId="0" fontId="25" fillId="17" borderId="55" xfId="0" applyFont="1" applyFill="1" applyBorder="1" applyAlignment="1">
      <alignment horizontal="left" vertical="top"/>
    </xf>
    <xf numFmtId="0" fontId="25" fillId="0" borderId="56" xfId="0" applyFont="1" applyBorder="1" applyAlignment="1">
      <alignment horizontal="left" vertical="top"/>
    </xf>
    <xf numFmtId="0" fontId="25" fillId="0" borderId="48" xfId="0" applyFont="1" applyBorder="1" applyAlignment="1">
      <alignment horizontal="left" vertical="top"/>
    </xf>
    <xf numFmtId="0" fontId="25" fillId="17" borderId="31" xfId="0" applyFont="1" applyFill="1" applyBorder="1" applyAlignment="1">
      <alignment horizontal="left" vertical="center" wrapText="1"/>
    </xf>
    <xf numFmtId="0" fontId="25" fillId="17" borderId="30" xfId="0" applyFont="1" applyFill="1" applyBorder="1" applyAlignment="1">
      <alignment horizontal="left" vertical="center" wrapText="1"/>
    </xf>
    <xf numFmtId="0" fontId="25" fillId="0" borderId="30" xfId="0" applyFont="1" applyBorder="1" applyAlignment="1">
      <alignment horizontal="left" vertical="center" wrapText="1"/>
    </xf>
    <xf numFmtId="0" fontId="25" fillId="0" borderId="33" xfId="0" applyFont="1" applyBorder="1" applyAlignment="1">
      <alignment horizontal="left" vertical="center" wrapText="1"/>
    </xf>
    <xf numFmtId="0" fontId="25" fillId="17" borderId="83" xfId="0" applyFont="1" applyFill="1" applyBorder="1" applyAlignment="1">
      <alignment horizontal="left" vertical="top" wrapText="1"/>
    </xf>
    <xf numFmtId="0" fontId="25" fillId="17" borderId="36" xfId="0" applyFont="1" applyFill="1" applyBorder="1" applyAlignment="1">
      <alignment horizontal="left" vertical="top" wrapText="1"/>
    </xf>
    <xf numFmtId="0" fontId="25" fillId="17" borderId="34" xfId="0" applyFont="1" applyFill="1" applyBorder="1" applyAlignment="1">
      <alignment horizontal="left" vertical="top" wrapText="1"/>
    </xf>
    <xf numFmtId="0" fontId="25" fillId="17" borderId="82" xfId="0" applyFont="1" applyFill="1" applyBorder="1" applyAlignment="1">
      <alignment horizontal="left" vertical="top" wrapText="1"/>
    </xf>
    <xf numFmtId="0" fontId="25" fillId="17" borderId="63" xfId="0" applyFont="1" applyFill="1" applyBorder="1" applyAlignment="1">
      <alignment horizontal="center" vertical="top"/>
    </xf>
    <xf numFmtId="0" fontId="25" fillId="17" borderId="64" xfId="0" applyFont="1" applyFill="1" applyBorder="1" applyAlignment="1">
      <alignment horizontal="center" vertical="top"/>
    </xf>
    <xf numFmtId="0" fontId="25" fillId="17" borderId="65" xfId="0" applyFont="1" applyFill="1" applyBorder="1" applyAlignment="1">
      <alignment horizontal="center" vertical="top"/>
    </xf>
    <xf numFmtId="0" fontId="49" fillId="17" borderId="47" xfId="0" applyFont="1" applyFill="1" applyBorder="1" applyAlignment="1">
      <alignment horizontal="left" vertical="center" wrapText="1"/>
    </xf>
    <xf numFmtId="0" fontId="49" fillId="17" borderId="46" xfId="0" applyFont="1" applyFill="1" applyBorder="1" applyAlignment="1">
      <alignment horizontal="left" vertical="center" wrapText="1"/>
    </xf>
    <xf numFmtId="0" fontId="25" fillId="17" borderId="81" xfId="0" applyFont="1" applyFill="1" applyBorder="1" applyAlignment="1">
      <alignment horizontal="left" vertical="top" wrapText="1"/>
    </xf>
    <xf numFmtId="0" fontId="25" fillId="17" borderId="27" xfId="0" applyFont="1" applyFill="1" applyBorder="1" applyAlignment="1">
      <alignment horizontal="left" vertical="top" wrapText="1"/>
    </xf>
    <xf numFmtId="0" fontId="25" fillId="17" borderId="21" xfId="0" applyFont="1" applyFill="1" applyBorder="1" applyAlignment="1">
      <alignment horizontal="left" vertical="top" wrapText="1"/>
    </xf>
    <xf numFmtId="0" fontId="25" fillId="17" borderId="84" xfId="0" applyFont="1" applyFill="1" applyBorder="1" applyAlignment="1">
      <alignment horizontal="left" vertical="top" wrapText="1"/>
    </xf>
    <xf numFmtId="0" fontId="25" fillId="17" borderId="28" xfId="0" applyFont="1" applyFill="1" applyBorder="1" applyAlignment="1">
      <alignment horizontal="left" vertical="top" wrapText="1"/>
    </xf>
    <xf numFmtId="0" fontId="25" fillId="17" borderId="26" xfId="0" applyFont="1" applyFill="1" applyBorder="1" applyAlignment="1">
      <alignment horizontal="left" vertical="top" wrapText="1"/>
    </xf>
    <xf numFmtId="0" fontId="25" fillId="5" borderId="14" xfId="0" applyFont="1" applyFill="1" applyBorder="1" applyAlignment="1">
      <alignment horizontal="left" vertical="top" wrapText="1"/>
    </xf>
    <xf numFmtId="0" fontId="25" fillId="17" borderId="58" xfId="0" applyFont="1" applyFill="1" applyBorder="1" applyAlignment="1">
      <alignment horizontal="left" vertical="center" wrapText="1"/>
    </xf>
    <xf numFmtId="0" fontId="25" fillId="17" borderId="29" xfId="0" applyFont="1" applyFill="1" applyBorder="1" applyAlignment="1">
      <alignment horizontal="left" vertical="center" wrapText="1"/>
    </xf>
    <xf numFmtId="0" fontId="25" fillId="17" borderId="59" xfId="0" applyFont="1" applyFill="1" applyBorder="1" applyAlignment="1">
      <alignment horizontal="left" vertical="center" wrapText="1"/>
    </xf>
    <xf numFmtId="0" fontId="25" fillId="5" borderId="37" xfId="0" applyFont="1" applyFill="1" applyBorder="1" applyAlignment="1">
      <alignment horizontal="left" vertical="top" wrapText="1"/>
    </xf>
    <xf numFmtId="0" fontId="25" fillId="5" borderId="38" xfId="0" applyFont="1" applyFill="1" applyBorder="1" applyAlignment="1">
      <alignment horizontal="left" vertical="top" wrapText="1"/>
    </xf>
    <xf numFmtId="0" fontId="25" fillId="5" borderId="32" xfId="0" applyFont="1" applyFill="1" applyBorder="1" applyAlignment="1">
      <alignment horizontal="left" vertical="top" wrapText="1"/>
    </xf>
    <xf numFmtId="0" fontId="25" fillId="5" borderId="55" xfId="0" applyFont="1" applyFill="1" applyBorder="1" applyAlignment="1">
      <alignment vertical="center" wrapText="1"/>
    </xf>
    <xf numFmtId="0" fontId="25" fillId="0" borderId="57" xfId="0" applyFont="1" applyBorder="1" applyAlignment="1">
      <alignment vertical="center" wrapText="1"/>
    </xf>
    <xf numFmtId="0" fontId="49" fillId="17" borderId="50" xfId="0" applyFont="1" applyFill="1" applyBorder="1" applyAlignment="1">
      <alignment horizontal="left" vertical="center" wrapText="1"/>
    </xf>
    <xf numFmtId="0" fontId="25" fillId="5" borderId="16" xfId="0" applyFont="1" applyFill="1" applyBorder="1" applyAlignment="1">
      <alignment horizontal="left" vertical="top" wrapText="1"/>
    </xf>
    <xf numFmtId="0" fontId="25" fillId="5" borderId="17" xfId="0" applyFont="1" applyFill="1" applyBorder="1" applyAlignment="1">
      <alignment horizontal="left" vertical="top" wrapText="1"/>
    </xf>
    <xf numFmtId="0" fontId="25" fillId="5" borderId="18" xfId="0" applyFont="1" applyFill="1" applyBorder="1" applyAlignment="1">
      <alignment horizontal="left" vertical="top" wrapText="1"/>
    </xf>
    <xf numFmtId="0" fontId="25" fillId="5" borderId="35" xfId="0" applyFont="1" applyFill="1" applyBorder="1" applyAlignment="1">
      <alignment horizontal="left" vertical="top" wrapText="1"/>
    </xf>
    <xf numFmtId="0" fontId="25" fillId="5" borderId="36" xfId="0" applyFont="1" applyFill="1" applyBorder="1" applyAlignment="1">
      <alignment horizontal="left" vertical="top" wrapText="1"/>
    </xf>
    <xf numFmtId="0" fontId="25" fillId="5" borderId="34" xfId="0" applyFont="1" applyFill="1" applyBorder="1" applyAlignment="1">
      <alignment horizontal="left" vertical="top" wrapText="1"/>
    </xf>
    <xf numFmtId="0" fontId="25" fillId="17" borderId="33" xfId="0" applyFont="1" applyFill="1" applyBorder="1" applyAlignment="1">
      <alignment horizontal="left" vertical="center" wrapText="1"/>
    </xf>
    <xf numFmtId="0" fontId="25" fillId="5" borderId="4" xfId="0" applyFont="1" applyFill="1" applyBorder="1" applyAlignment="1">
      <alignment horizontal="left" vertical="top" wrapText="1"/>
    </xf>
    <xf numFmtId="0" fontId="25" fillId="0" borderId="0" xfId="0" applyFont="1" applyFill="1" applyBorder="1" applyAlignment="1">
      <alignment horizontal="center" vertical="center" wrapText="1"/>
    </xf>
    <xf numFmtId="0" fontId="25" fillId="0" borderId="0" xfId="0" applyFont="1" applyFill="1" applyBorder="1" applyAlignment="1">
      <alignment wrapText="1"/>
    </xf>
    <xf numFmtId="0" fontId="25" fillId="5" borderId="25" xfId="0" applyFont="1" applyFill="1" applyBorder="1" applyAlignment="1">
      <alignment horizontal="left" vertical="top" wrapText="1"/>
    </xf>
    <xf numFmtId="0" fontId="25" fillId="5" borderId="28" xfId="0" applyFont="1" applyFill="1" applyBorder="1" applyAlignment="1">
      <alignment horizontal="left" vertical="top" wrapText="1"/>
    </xf>
    <xf numFmtId="0" fontId="25" fillId="5" borderId="26" xfId="0" applyFont="1" applyFill="1" applyBorder="1" applyAlignment="1">
      <alignment horizontal="left" vertical="top" wrapText="1"/>
    </xf>
    <xf numFmtId="0" fontId="25" fillId="0" borderId="57" xfId="0" applyFont="1" applyBorder="1" applyAlignment="1">
      <alignment wrapText="1"/>
    </xf>
    <xf numFmtId="0" fontId="25" fillId="5" borderId="49" xfId="0" applyFont="1" applyFill="1" applyBorder="1" applyAlignment="1">
      <alignment vertical="center" wrapText="1"/>
    </xf>
    <xf numFmtId="0" fontId="25" fillId="0" borderId="0" xfId="0" applyFont="1" applyFill="1" applyBorder="1" applyAlignment="1"/>
    <xf numFmtId="0" fontId="25" fillId="17" borderId="4" xfId="0" applyFont="1" applyFill="1" applyBorder="1" applyAlignment="1">
      <alignment horizontal="left" vertical="center" wrapText="1"/>
    </xf>
    <xf numFmtId="0" fontId="25" fillId="0" borderId="9" xfId="0" applyFont="1" applyBorder="1" applyAlignment="1">
      <alignment horizontal="left" vertical="center" wrapText="1"/>
    </xf>
    <xf numFmtId="0" fontId="25" fillId="17" borderId="66" xfId="0" applyFont="1" applyFill="1" applyBorder="1" applyAlignment="1">
      <alignment horizontal="left" vertical="center" wrapText="1"/>
    </xf>
    <xf numFmtId="0" fontId="49" fillId="17" borderId="66" xfId="0" applyFont="1" applyFill="1" applyBorder="1" applyAlignment="1">
      <alignment horizontal="left" vertical="center" wrapText="1"/>
    </xf>
    <xf numFmtId="0" fontId="25" fillId="17" borderId="9" xfId="0" applyFont="1" applyFill="1" applyBorder="1" applyAlignment="1">
      <alignment horizontal="left" vertical="center" wrapText="1"/>
    </xf>
    <xf numFmtId="0" fontId="25" fillId="17" borderId="4" xfId="0" applyFont="1" applyFill="1" applyBorder="1" applyAlignment="1">
      <alignment vertical="top" wrapText="1"/>
    </xf>
    <xf numFmtId="1" fontId="25" fillId="5" borderId="55" xfId="0" applyNumberFormat="1" applyFont="1" applyFill="1" applyBorder="1" applyAlignment="1">
      <alignment horizontal="center" vertical="center" wrapText="1"/>
    </xf>
    <xf numFmtId="0" fontId="25" fillId="0" borderId="48" xfId="0" applyFont="1" applyBorder="1" applyAlignment="1">
      <alignment horizontal="center" vertical="center" wrapText="1"/>
    </xf>
    <xf numFmtId="0" fontId="25" fillId="17" borderId="16" xfId="0" applyFont="1" applyFill="1" applyBorder="1" applyAlignment="1">
      <alignment vertical="top" wrapText="1"/>
    </xf>
    <xf numFmtId="0" fontId="25" fillId="17" borderId="17" xfId="0" applyFont="1" applyFill="1" applyBorder="1" applyAlignment="1">
      <alignment vertical="top" wrapText="1"/>
    </xf>
    <xf numFmtId="0" fontId="25" fillId="17" borderId="18" xfId="0" applyFont="1" applyFill="1" applyBorder="1" applyAlignment="1">
      <alignment vertical="top" wrapText="1"/>
    </xf>
    <xf numFmtId="0" fontId="25" fillId="5" borderId="16" xfId="0" applyFont="1" applyFill="1" applyBorder="1" applyAlignment="1">
      <alignment vertical="top" wrapText="1"/>
    </xf>
    <xf numFmtId="0" fontId="25" fillId="5" borderId="17" xfId="0" applyFont="1" applyFill="1" applyBorder="1" applyAlignment="1">
      <alignment vertical="top" wrapText="1"/>
    </xf>
    <xf numFmtId="0" fontId="25" fillId="5" borderId="18" xfId="0" applyFont="1" applyFill="1" applyBorder="1" applyAlignment="1">
      <alignment vertical="top" wrapText="1"/>
    </xf>
    <xf numFmtId="0" fontId="25" fillId="0" borderId="55" xfId="0" applyFont="1" applyBorder="1" applyAlignment="1">
      <alignment horizontal="center" vertical="center"/>
    </xf>
    <xf numFmtId="0" fontId="25" fillId="0" borderId="56" xfId="0" applyFont="1" applyBorder="1" applyAlignment="1">
      <alignment horizontal="center" vertical="center"/>
    </xf>
    <xf numFmtId="0" fontId="25" fillId="0" borderId="48" xfId="0" applyFont="1" applyBorder="1" applyAlignment="1">
      <alignment horizontal="center" vertical="center"/>
    </xf>
    <xf numFmtId="0" fontId="25" fillId="17" borderId="9" xfId="0" applyFont="1" applyFill="1" applyBorder="1" applyAlignment="1">
      <alignment vertical="top" wrapText="1"/>
    </xf>
    <xf numFmtId="0" fontId="25" fillId="17" borderId="14" xfId="0" applyFont="1" applyFill="1" applyBorder="1" applyAlignment="1">
      <alignment vertical="top" wrapText="1"/>
    </xf>
    <xf numFmtId="168" fontId="5" fillId="5" borderId="25" xfId="0" applyNumberFormat="1" applyFont="1" applyFill="1" applyBorder="1" applyAlignment="1">
      <alignment horizontal="center" vertical="top"/>
    </xf>
    <xf numFmtId="168" fontId="5" fillId="5" borderId="28" xfId="0" applyNumberFormat="1" applyFont="1" applyFill="1" applyBorder="1" applyAlignment="1">
      <alignment horizontal="center" vertical="top"/>
    </xf>
    <xf numFmtId="168" fontId="5" fillId="5" borderId="26" xfId="0" applyNumberFormat="1" applyFont="1" applyFill="1" applyBorder="1" applyAlignment="1">
      <alignment horizontal="center" vertical="top"/>
    </xf>
    <xf numFmtId="0" fontId="0" fillId="0" borderId="30" xfId="0" applyBorder="1" applyAlignment="1">
      <alignment horizontal="left" vertical="center" wrapText="1"/>
    </xf>
    <xf numFmtId="0" fontId="0" fillId="0" borderId="33" xfId="0" applyBorder="1" applyAlignment="1">
      <alignment horizontal="left" vertical="center" wrapText="1"/>
    </xf>
    <xf numFmtId="0" fontId="25" fillId="5" borderId="55" xfId="0" applyFont="1" applyFill="1" applyBorder="1" applyAlignment="1">
      <alignment horizontal="center" vertical="center" wrapText="1"/>
    </xf>
    <xf numFmtId="0" fontId="25" fillId="17" borderId="62" xfId="0" applyFont="1" applyFill="1" applyBorder="1" applyAlignment="1">
      <alignment horizontal="left" vertical="center" wrapText="1"/>
    </xf>
    <xf numFmtId="0" fontId="25" fillId="17" borderId="24" xfId="0" applyFont="1" applyFill="1" applyBorder="1" applyAlignment="1">
      <alignment horizontal="left" vertical="center" wrapText="1"/>
    </xf>
    <xf numFmtId="0" fontId="25" fillId="0" borderId="24" xfId="0" applyFont="1" applyBorder="1" applyAlignment="1">
      <alignment horizontal="left" vertical="center" wrapText="1"/>
    </xf>
    <xf numFmtId="0" fontId="0" fillId="0" borderId="24" xfId="0" applyBorder="1" applyAlignment="1">
      <alignment horizontal="left" vertical="center" wrapText="1"/>
    </xf>
    <xf numFmtId="0" fontId="0" fillId="0" borderId="65" xfId="0" applyBorder="1" applyAlignment="1">
      <alignment horizontal="left" vertical="center" wrapText="1"/>
    </xf>
    <xf numFmtId="0" fontId="25" fillId="11" borderId="9" xfId="0" applyFont="1" applyFill="1" applyBorder="1" applyAlignment="1">
      <alignment horizontal="left"/>
    </xf>
    <xf numFmtId="165" fontId="25" fillId="0" borderId="19" xfId="14" applyNumberFormat="1" applyFont="1" applyFill="1" applyBorder="1" applyAlignment="1">
      <alignment horizontal="left" vertical="center" wrapText="1"/>
    </xf>
    <xf numFmtId="165" fontId="25" fillId="0" borderId="23" xfId="14" applyNumberFormat="1" applyFont="1" applyFill="1" applyBorder="1" applyAlignment="1">
      <alignment horizontal="left" vertical="center" wrapText="1"/>
    </xf>
    <xf numFmtId="165" fontId="25" fillId="0" borderId="16" xfId="14" applyNumberFormat="1" applyFont="1" applyFill="1" applyBorder="1" applyAlignment="1">
      <alignment horizontal="center" vertical="center" wrapText="1"/>
    </xf>
    <xf numFmtId="165" fontId="25" fillId="0" borderId="17" xfId="14" applyNumberFormat="1" applyFont="1" applyFill="1" applyBorder="1" applyAlignment="1">
      <alignment horizontal="center" vertical="center" wrapText="1"/>
    </xf>
    <xf numFmtId="165" fontId="25" fillId="0" borderId="18" xfId="14" applyNumberFormat="1" applyFont="1" applyFill="1" applyBorder="1" applyAlignment="1">
      <alignment horizontal="center" vertical="center" wrapText="1"/>
    </xf>
    <xf numFmtId="165" fontId="25" fillId="0" borderId="9" xfId="14" applyNumberFormat="1" applyFont="1" applyFill="1" applyBorder="1" applyAlignment="1">
      <alignment horizontal="center" vertical="center" wrapText="1"/>
    </xf>
    <xf numFmtId="165" fontId="1" fillId="0" borderId="19" xfId="14" applyNumberFormat="1" applyFont="1" applyFill="1" applyBorder="1" applyAlignment="1">
      <alignment horizontal="left" vertical="center" wrapText="1"/>
    </xf>
    <xf numFmtId="165" fontId="1" fillId="0" borderId="23" xfId="14" applyNumberFormat="1" applyFont="1" applyFill="1" applyBorder="1" applyAlignment="1">
      <alignment horizontal="left" vertical="center" wrapText="1"/>
    </xf>
    <xf numFmtId="0" fontId="25" fillId="0" borderId="23" xfId="0" applyFont="1" applyBorder="1" applyAlignment="1">
      <alignment horizontal="left" vertical="center" wrapText="1"/>
    </xf>
    <xf numFmtId="165" fontId="25" fillId="0" borderId="20" xfId="14" applyNumberFormat="1" applyFont="1" applyFill="1" applyBorder="1" applyAlignment="1">
      <alignment horizontal="center" vertical="center" wrapText="1"/>
    </xf>
    <xf numFmtId="0" fontId="25" fillId="0" borderId="27"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6" xfId="0" applyFont="1" applyBorder="1" applyAlignment="1">
      <alignment horizontal="center" vertical="center" wrapText="1"/>
    </xf>
    <xf numFmtId="0" fontId="0" fillId="0" borderId="23" xfId="0" applyBorder="1" applyAlignment="1">
      <alignment horizontal="left" vertical="center" wrapText="1"/>
    </xf>
    <xf numFmtId="165" fontId="25" fillId="0" borderId="9" xfId="14" applyNumberFormat="1" applyFont="1" applyFill="1" applyBorder="1" applyAlignment="1">
      <alignment horizontal="left" vertical="center" wrapText="1"/>
    </xf>
    <xf numFmtId="165" fontId="25" fillId="0" borderId="30" xfId="14" applyNumberFormat="1" applyFont="1" applyFill="1" applyBorder="1" applyAlignment="1">
      <alignment horizontal="left" vertical="center" wrapText="1"/>
    </xf>
    <xf numFmtId="165" fontId="1" fillId="0" borderId="30" xfId="14" applyNumberFormat="1" applyFont="1" applyFill="1" applyBorder="1" applyAlignment="1">
      <alignment horizontal="left" vertical="center" wrapText="1"/>
    </xf>
    <xf numFmtId="165" fontId="0" fillId="0" borderId="19" xfId="14" applyNumberFormat="1" applyFont="1" applyFill="1" applyBorder="1" applyAlignment="1">
      <alignment horizontal="left" vertical="center" wrapText="1"/>
    </xf>
    <xf numFmtId="0" fontId="25" fillId="5" borderId="9" xfId="0" applyFont="1" applyFill="1" applyBorder="1" applyAlignment="1">
      <alignment horizontal="center" vertical="center" wrapText="1"/>
    </xf>
    <xf numFmtId="0" fontId="25" fillId="5" borderId="16"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56" fillId="0" borderId="19" xfId="9" applyFont="1" applyBorder="1" applyAlignment="1">
      <alignment horizontal="left" vertical="center"/>
    </xf>
    <xf numFmtId="0" fontId="56" fillId="0" borderId="30" xfId="9" applyFont="1" applyBorder="1" applyAlignment="1">
      <alignment horizontal="left" vertical="center"/>
    </xf>
    <xf numFmtId="0" fontId="60" fillId="0" borderId="19" xfId="9" applyFont="1" applyBorder="1" applyAlignment="1">
      <alignment horizontal="left" vertical="center"/>
    </xf>
    <xf numFmtId="0" fontId="60" fillId="0" borderId="30" xfId="9" applyFont="1" applyBorder="1" applyAlignment="1">
      <alignment horizontal="left" vertical="center"/>
    </xf>
    <xf numFmtId="0" fontId="25" fillId="0" borderId="74" xfId="9" applyFont="1" applyBorder="1" applyAlignment="1">
      <alignment horizontal="center" vertical="center" wrapText="1"/>
    </xf>
    <xf numFmtId="0" fontId="25" fillId="0" borderId="42" xfId="9" applyFont="1" applyBorder="1" applyAlignment="1">
      <alignment horizontal="center" vertical="center" wrapText="1"/>
    </xf>
    <xf numFmtId="0" fontId="0" fillId="0" borderId="30" xfId="0" applyFill="1" applyBorder="1" applyAlignment="1">
      <alignment horizontal="left" vertical="center" wrapText="1"/>
    </xf>
    <xf numFmtId="0" fontId="0" fillId="0" borderId="23" xfId="0" applyFill="1" applyBorder="1" applyAlignment="1">
      <alignment horizontal="left" vertical="center" wrapText="1"/>
    </xf>
    <xf numFmtId="0" fontId="25" fillId="0" borderId="30" xfId="0" applyFont="1" applyFill="1" applyBorder="1" applyAlignment="1">
      <alignment horizontal="left" vertical="center" wrapText="1"/>
    </xf>
    <xf numFmtId="0" fontId="25" fillId="0" borderId="23" xfId="0" applyFont="1" applyFill="1" applyBorder="1" applyAlignment="1">
      <alignment horizontal="left" vertical="center" wrapText="1"/>
    </xf>
    <xf numFmtId="0" fontId="60" fillId="0" borderId="23" xfId="9" applyFont="1" applyBorder="1" applyAlignment="1">
      <alignment horizontal="left" vertical="center"/>
    </xf>
    <xf numFmtId="0" fontId="25" fillId="0" borderId="19" xfId="9" applyFont="1" applyFill="1" applyBorder="1" applyAlignment="1">
      <alignment vertical="center" wrapText="1"/>
    </xf>
    <xf numFmtId="0" fontId="25" fillId="0" borderId="0" xfId="9" applyFont="1" applyBorder="1" applyAlignment="1">
      <alignment horizontal="center" vertical="center" wrapText="1"/>
    </xf>
    <xf numFmtId="0" fontId="56" fillId="0" borderId="22" xfId="9" applyFont="1" applyBorder="1" applyAlignment="1">
      <alignment horizontal="left" vertical="center"/>
    </xf>
    <xf numFmtId="0" fontId="56" fillId="0" borderId="23" xfId="9" applyFont="1" applyBorder="1" applyAlignment="1">
      <alignment horizontal="left" vertical="center"/>
    </xf>
    <xf numFmtId="0" fontId="30" fillId="5" borderId="19" xfId="9" applyFont="1" applyFill="1" applyBorder="1" applyAlignment="1">
      <alignment horizontal="left" vertical="center" wrapText="1"/>
    </xf>
    <xf numFmtId="0" fontId="56" fillId="0" borderId="19" xfId="9" applyFont="1" applyFill="1" applyBorder="1" applyAlignment="1">
      <alignment horizontal="left" vertical="center"/>
    </xf>
    <xf numFmtId="0" fontId="56" fillId="0" borderId="30" xfId="9" applyFont="1" applyFill="1" applyBorder="1" applyAlignment="1">
      <alignment horizontal="left" vertical="center"/>
    </xf>
    <xf numFmtId="0" fontId="56" fillId="0" borderId="22" xfId="9" applyFont="1" applyFill="1" applyBorder="1" applyAlignment="1">
      <alignment horizontal="left" vertical="center"/>
    </xf>
    <xf numFmtId="0" fontId="56" fillId="0" borderId="23" xfId="9" applyFont="1" applyFill="1" applyBorder="1" applyAlignment="1">
      <alignment horizontal="left" vertical="center"/>
    </xf>
    <xf numFmtId="0" fontId="25" fillId="0" borderId="30" xfId="0" applyFont="1" applyBorder="1" applyAlignment="1"/>
    <xf numFmtId="0" fontId="25" fillId="0" borderId="23" xfId="0" applyFont="1" applyBorder="1" applyAlignment="1"/>
    <xf numFmtId="0" fontId="60" fillId="5" borderId="19" xfId="9" applyFont="1" applyFill="1" applyBorder="1" applyAlignment="1">
      <alignment horizontal="left" vertical="center"/>
    </xf>
    <xf numFmtId="0" fontId="60" fillId="5" borderId="30" xfId="9" applyFont="1" applyFill="1" applyBorder="1" applyAlignment="1">
      <alignment horizontal="left" vertical="center"/>
    </xf>
    <xf numFmtId="0" fontId="60" fillId="5" borderId="23" xfId="9" applyFont="1" applyFill="1" applyBorder="1" applyAlignment="1">
      <alignment horizontal="left" vertical="center"/>
    </xf>
    <xf numFmtId="0" fontId="25" fillId="0" borderId="19" xfId="9" applyFont="1" applyBorder="1" applyAlignment="1">
      <alignment horizontal="left" vertical="center"/>
    </xf>
    <xf numFmtId="0" fontId="25" fillId="0" borderId="30" xfId="9" applyFont="1" applyBorder="1" applyAlignment="1">
      <alignment horizontal="left" vertical="center"/>
    </xf>
    <xf numFmtId="0" fontId="25" fillId="0" borderId="19" xfId="9" applyFont="1" applyBorder="1" applyAlignment="1">
      <alignment wrapText="1"/>
    </xf>
    <xf numFmtId="0" fontId="25" fillId="0" borderId="30" xfId="0" applyFont="1" applyBorder="1" applyAlignment="1">
      <alignment wrapText="1"/>
    </xf>
    <xf numFmtId="0" fontId="25" fillId="0" borderId="19" xfId="9" applyFont="1" applyBorder="1" applyAlignment="1"/>
    <xf numFmtId="0" fontId="25" fillId="0" borderId="0" xfId="9" applyFont="1" applyBorder="1" applyAlignment="1">
      <alignment horizontal="left" vertical="center" wrapText="1"/>
    </xf>
    <xf numFmtId="0" fontId="25" fillId="0" borderId="9" xfId="9" applyFont="1" applyFill="1" applyBorder="1" applyAlignment="1">
      <alignment wrapText="1"/>
    </xf>
    <xf numFmtId="0" fontId="25" fillId="0" borderId="16" xfId="9" applyFont="1" applyFill="1" applyBorder="1" applyAlignment="1">
      <alignment wrapText="1"/>
    </xf>
    <xf numFmtId="0" fontId="56" fillId="5" borderId="19" xfId="9" applyFont="1" applyFill="1" applyBorder="1" applyAlignment="1">
      <alignment horizontal="left" vertical="center"/>
    </xf>
    <xf numFmtId="0" fontId="60" fillId="0" borderId="19" xfId="9" applyFont="1" applyFill="1" applyBorder="1" applyAlignment="1">
      <alignment horizontal="left" vertical="center"/>
    </xf>
    <xf numFmtId="165" fontId="78" fillId="0" borderId="23" xfId="14" applyNumberFormat="1" applyFont="1" applyFill="1" applyBorder="1" applyAlignment="1">
      <alignment horizontal="left" vertical="center" wrapText="1"/>
    </xf>
    <xf numFmtId="165" fontId="25" fillId="0" borderId="25" xfId="14" applyNumberFormat="1" applyFont="1" applyFill="1" applyBorder="1" applyAlignment="1">
      <alignment horizontal="left" vertical="center" wrapText="1"/>
    </xf>
    <xf numFmtId="165" fontId="78" fillId="0" borderId="9" xfId="14" applyNumberFormat="1" applyFont="1" applyFill="1" applyBorder="1" applyAlignment="1">
      <alignment vertical="center" wrapText="1"/>
    </xf>
    <xf numFmtId="0" fontId="25" fillId="5" borderId="9" xfId="9" applyFont="1" applyFill="1" applyBorder="1" applyAlignment="1">
      <alignment wrapText="1"/>
    </xf>
    <xf numFmtId="0" fontId="25" fillId="5" borderId="16" xfId="9" applyFont="1" applyFill="1" applyBorder="1" applyAlignment="1">
      <alignment wrapText="1"/>
    </xf>
    <xf numFmtId="165" fontId="25" fillId="0" borderId="9" xfId="14" applyNumberFormat="1" applyFont="1" applyFill="1" applyBorder="1" applyAlignment="1">
      <alignment vertical="center" wrapText="1"/>
    </xf>
    <xf numFmtId="0" fontId="25" fillId="0" borderId="16" xfId="0" applyFont="1" applyFill="1" applyBorder="1" applyAlignment="1">
      <alignment horizontal="left" vertical="center" wrapText="1"/>
    </xf>
    <xf numFmtId="0" fontId="25" fillId="0" borderId="19" xfId="9" applyFont="1" applyBorder="1" applyAlignment="1">
      <alignment horizontal="left" vertical="center" wrapText="1"/>
    </xf>
    <xf numFmtId="0" fontId="25" fillId="0" borderId="23" xfId="9" applyFont="1" applyBorder="1" applyAlignment="1">
      <alignment horizontal="left" vertical="center" wrapText="1"/>
    </xf>
    <xf numFmtId="0" fontId="25" fillId="0" borderId="20" xfId="9" applyFont="1" applyFill="1" applyBorder="1" applyAlignment="1">
      <alignment wrapText="1"/>
    </xf>
    <xf numFmtId="0" fontId="25" fillId="0" borderId="27" xfId="9" applyFont="1" applyFill="1" applyBorder="1" applyAlignment="1">
      <alignment wrapText="1"/>
    </xf>
    <xf numFmtId="0" fontId="25" fillId="0" borderId="18" xfId="9" applyFont="1" applyFill="1" applyBorder="1" applyAlignment="1">
      <alignment wrapText="1"/>
    </xf>
    <xf numFmtId="0" fontId="25" fillId="0" borderId="16" xfId="0" applyFont="1" applyBorder="1" applyAlignment="1">
      <alignment horizontal="left" vertical="center" wrapText="1"/>
    </xf>
    <xf numFmtId="0" fontId="25" fillId="0" borderId="9" xfId="0" applyFont="1" applyFill="1" applyBorder="1" applyAlignment="1">
      <alignment vertical="center" wrapText="1"/>
    </xf>
    <xf numFmtId="3" fontId="25" fillId="0" borderId="9" xfId="0" applyNumberFormat="1" applyFont="1" applyFill="1" applyBorder="1" applyAlignment="1">
      <alignment horizontal="left" vertical="center" wrapText="1"/>
    </xf>
    <xf numFmtId="3" fontId="25" fillId="0" borderId="16" xfId="0" applyNumberFormat="1" applyFont="1" applyFill="1" applyBorder="1" applyAlignment="1">
      <alignment horizontal="left" vertical="center" wrapText="1"/>
    </xf>
    <xf numFmtId="0" fontId="25" fillId="0" borderId="30" xfId="9" applyFont="1" applyBorder="1" applyAlignment="1">
      <alignment horizontal="left" vertical="center" wrapText="1"/>
    </xf>
    <xf numFmtId="0" fontId="25" fillId="0" borderId="21" xfId="9" applyFont="1" applyFill="1" applyBorder="1" applyAlignment="1">
      <alignment wrapText="1"/>
    </xf>
    <xf numFmtId="0" fontId="25" fillId="0" borderId="22" xfId="0" applyFont="1" applyBorder="1" applyAlignment="1">
      <alignment wrapText="1"/>
    </xf>
    <xf numFmtId="0" fontId="25" fillId="0" borderId="0" xfId="0" applyFont="1" applyAlignment="1">
      <alignment wrapText="1"/>
    </xf>
    <xf numFmtId="0" fontId="25" fillId="0" borderId="24" xfId="0" applyFont="1" applyBorder="1" applyAlignment="1">
      <alignment wrapText="1"/>
    </xf>
    <xf numFmtId="0" fontId="25" fillId="0" borderId="25" xfId="0" applyFont="1" applyBorder="1" applyAlignment="1">
      <alignment wrapText="1"/>
    </xf>
    <xf numFmtId="0" fontId="25" fillId="0" borderId="28" xfId="0" applyFont="1" applyBorder="1" applyAlignment="1">
      <alignment wrapText="1"/>
    </xf>
    <xf numFmtId="0" fontId="25" fillId="0" borderId="26" xfId="0" applyFont="1" applyBorder="1" applyAlignment="1">
      <alignment wrapText="1"/>
    </xf>
    <xf numFmtId="0" fontId="0" fillId="0" borderId="19" xfId="9" applyFont="1" applyBorder="1" applyAlignment="1">
      <alignment horizontal="left" vertical="center" wrapText="1"/>
    </xf>
    <xf numFmtId="0" fontId="1" fillId="0" borderId="30" xfId="9" applyFont="1" applyBorder="1" applyAlignment="1">
      <alignment horizontal="left" vertical="center" wrapText="1"/>
    </xf>
    <xf numFmtId="0" fontId="78" fillId="0" borderId="9" xfId="9" applyFont="1" applyFill="1" applyBorder="1" applyAlignment="1">
      <alignment wrapText="1"/>
    </xf>
    <xf numFmtId="0" fontId="0" fillId="0" borderId="30" xfId="9" applyFont="1" applyBorder="1" applyAlignment="1">
      <alignment horizontal="left" vertical="center" wrapText="1"/>
    </xf>
    <xf numFmtId="0" fontId="0" fillId="0" borderId="23" xfId="9" applyFont="1" applyBorder="1" applyAlignment="1">
      <alignment horizontal="left" vertical="center" wrapText="1"/>
    </xf>
    <xf numFmtId="0" fontId="56" fillId="0" borderId="9" xfId="9" applyFont="1" applyFill="1" applyBorder="1" applyAlignment="1">
      <alignment horizontal="left" vertical="center"/>
    </xf>
    <xf numFmtId="0" fontId="25" fillId="0" borderId="19" xfId="9" applyFont="1" applyFill="1" applyBorder="1" applyAlignment="1">
      <alignment horizontal="left" vertical="center"/>
    </xf>
    <xf numFmtId="0" fontId="25" fillId="0" borderId="30" xfId="9" applyFont="1" applyFill="1" applyBorder="1" applyAlignment="1">
      <alignment horizontal="left" vertical="center"/>
    </xf>
    <xf numFmtId="0" fontId="25" fillId="0" borderId="23" xfId="9" applyFont="1" applyFill="1" applyBorder="1" applyAlignment="1">
      <alignment horizontal="left" vertical="center"/>
    </xf>
    <xf numFmtId="0" fontId="25" fillId="0" borderId="9" xfId="9" applyFont="1" applyFill="1" applyBorder="1" applyAlignment="1">
      <alignment horizontal="left" vertical="center"/>
    </xf>
    <xf numFmtId="0" fontId="25" fillId="0" borderId="21" xfId="0" applyFont="1" applyBorder="1" applyAlignment="1"/>
    <xf numFmtId="0" fontId="25" fillId="0" borderId="25" xfId="0" applyFont="1" applyBorder="1" applyAlignment="1"/>
    <xf numFmtId="0" fontId="25" fillId="0" borderId="26" xfId="0" applyFont="1" applyBorder="1" applyAlignment="1"/>
    <xf numFmtId="0" fontId="30" fillId="5" borderId="49" xfId="9" applyFont="1" applyFill="1" applyBorder="1" applyAlignment="1">
      <alignment wrapText="1"/>
    </xf>
    <xf numFmtId="0" fontId="25" fillId="5" borderId="48" xfId="0" applyFont="1" applyFill="1" applyBorder="1" applyAlignment="1">
      <alignment wrapText="1"/>
    </xf>
    <xf numFmtId="165" fontId="25" fillId="0" borderId="19" xfId="9" applyNumberFormat="1" applyFont="1" applyFill="1" applyBorder="1" applyAlignment="1">
      <alignment horizontal="left" vertical="center"/>
    </xf>
    <xf numFmtId="165" fontId="25" fillId="0" borderId="9" xfId="9" applyNumberFormat="1" applyFont="1" applyFill="1" applyBorder="1" applyAlignment="1">
      <alignment horizontal="left" vertical="center"/>
    </xf>
    <xf numFmtId="165" fontId="25" fillId="0" borderId="20" xfId="14" applyNumberFormat="1" applyFont="1" applyFill="1" applyBorder="1" applyAlignment="1">
      <alignment horizontal="left" vertical="center" wrapText="1"/>
    </xf>
    <xf numFmtId="165" fontId="25" fillId="0" borderId="21" xfId="14" applyNumberFormat="1" applyFont="1" applyFill="1" applyBorder="1" applyAlignment="1">
      <alignment horizontal="left" vertical="center" wrapText="1"/>
    </xf>
    <xf numFmtId="0" fontId="25" fillId="0" borderId="25" xfId="0" applyFont="1" applyBorder="1" applyAlignment="1">
      <alignment horizontal="left" vertical="center" wrapText="1"/>
    </xf>
    <xf numFmtId="0" fontId="25" fillId="0" borderId="26" xfId="0" applyFont="1" applyBorder="1" applyAlignment="1">
      <alignment horizontal="left" vertical="center" wrapText="1"/>
    </xf>
    <xf numFmtId="165" fontId="25" fillId="0" borderId="17" xfId="14" applyNumberFormat="1" applyFont="1" applyFill="1" applyBorder="1" applyAlignment="1">
      <alignment horizontal="left" vertical="center" wrapText="1"/>
    </xf>
    <xf numFmtId="165" fontId="1" fillId="0" borderId="9" xfId="14" applyNumberFormat="1" applyFont="1" applyFill="1" applyBorder="1" applyAlignment="1">
      <alignment horizontal="left" vertical="center" wrapText="1"/>
    </xf>
    <xf numFmtId="9" fontId="25" fillId="0" borderId="9" xfId="3" applyFont="1" applyFill="1" applyBorder="1" applyAlignment="1">
      <alignment horizontal="left" vertical="center" wrapText="1"/>
    </xf>
    <xf numFmtId="0" fontId="25" fillId="0" borderId="18" xfId="0" applyFont="1" applyFill="1" applyBorder="1" applyAlignment="1">
      <alignment horizontal="center" vertical="center" wrapText="1"/>
    </xf>
    <xf numFmtId="0" fontId="25" fillId="0" borderId="17"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5" fillId="12" borderId="27" xfId="0" applyFont="1" applyFill="1" applyBorder="1" applyAlignment="1">
      <alignment horizontal="center" vertical="center" wrapText="1"/>
    </xf>
    <xf numFmtId="0" fontId="25" fillId="12" borderId="21" xfId="0" applyFont="1" applyFill="1" applyBorder="1" applyAlignment="1">
      <alignment horizontal="center" vertical="center" wrapText="1"/>
    </xf>
    <xf numFmtId="3" fontId="25" fillId="0" borderId="18" xfId="0" applyNumberFormat="1" applyFont="1" applyFill="1" applyBorder="1" applyAlignment="1">
      <alignment horizontal="left" vertical="center" wrapText="1"/>
    </xf>
    <xf numFmtId="165" fontId="25" fillId="0" borderId="25" xfId="7" applyNumberFormat="1" applyFont="1" applyFill="1" applyBorder="1" applyAlignment="1">
      <alignment vertical="center" wrapText="1"/>
    </xf>
    <xf numFmtId="165" fontId="25" fillId="0" borderId="28" xfId="7" applyNumberFormat="1" applyFont="1" applyFill="1" applyBorder="1" applyAlignment="1">
      <alignment vertical="center" wrapText="1"/>
    </xf>
    <xf numFmtId="0" fontId="30" fillId="0" borderId="16" xfId="9" applyFont="1" applyBorder="1" applyAlignment="1">
      <alignment wrapText="1"/>
    </xf>
    <xf numFmtId="0" fontId="30" fillId="0" borderId="18" xfId="9" applyFont="1" applyBorder="1" applyAlignment="1">
      <alignment wrapText="1"/>
    </xf>
    <xf numFmtId="165" fontId="25" fillId="0" borderId="16" xfId="7" applyNumberFormat="1" applyFont="1" applyFill="1" applyBorder="1" applyAlignment="1">
      <alignment vertical="center" wrapText="1"/>
    </xf>
    <xf numFmtId="165" fontId="25" fillId="0" borderId="17" xfId="7" applyNumberFormat="1" applyFont="1" applyFill="1" applyBorder="1" applyAlignment="1">
      <alignment vertical="center" wrapText="1"/>
    </xf>
    <xf numFmtId="165" fontId="25" fillId="0" borderId="18" xfId="7" applyNumberFormat="1" applyFont="1" applyFill="1" applyBorder="1" applyAlignment="1">
      <alignment vertical="center" wrapText="1"/>
    </xf>
    <xf numFmtId="0" fontId="25" fillId="0" borderId="18" xfId="0" applyFont="1" applyBorder="1" applyAlignment="1">
      <alignment horizontal="left" vertical="center" wrapText="1"/>
    </xf>
    <xf numFmtId="0" fontId="30" fillId="0" borderId="16" xfId="9" applyFont="1" applyFill="1" applyBorder="1" applyAlignment="1">
      <alignment horizontal="left"/>
    </xf>
    <xf numFmtId="0" fontId="30" fillId="0" borderId="17" xfId="9" applyFont="1" applyFill="1" applyBorder="1" applyAlignment="1">
      <alignment horizontal="left"/>
    </xf>
    <xf numFmtId="0" fontId="30" fillId="0" borderId="18" xfId="9" applyFont="1" applyFill="1" applyBorder="1" applyAlignment="1">
      <alignment horizontal="left"/>
    </xf>
    <xf numFmtId="0" fontId="25" fillId="0" borderId="18" xfId="0" applyFont="1" applyFill="1" applyBorder="1" applyAlignment="1">
      <alignment horizontal="left" vertical="center" wrapText="1"/>
    </xf>
    <xf numFmtId="0" fontId="30" fillId="0" borderId="9" xfId="9" applyFont="1" applyBorder="1" applyAlignment="1">
      <alignment horizontal="left" vertical="center" wrapText="1"/>
    </xf>
    <xf numFmtId="0" fontId="0" fillId="0" borderId="9" xfId="0" applyFont="1" applyFill="1" applyBorder="1" applyAlignment="1">
      <alignment horizontal="left" vertical="center" wrapText="1"/>
    </xf>
    <xf numFmtId="165" fontId="25" fillId="0" borderId="17" xfId="7" applyNumberFormat="1" applyFont="1" applyFill="1" applyBorder="1" applyAlignment="1">
      <alignment horizontal="left" vertical="center" wrapText="1"/>
    </xf>
    <xf numFmtId="165" fontId="0" fillId="0" borderId="9" xfId="0" applyNumberFormat="1" applyFont="1" applyFill="1" applyBorder="1" applyAlignment="1">
      <alignment horizontal="left" vertical="center" wrapText="1"/>
    </xf>
    <xf numFmtId="0" fontId="30" fillId="0" borderId="16" xfId="9" applyFont="1" applyFill="1" applyBorder="1" applyAlignment="1">
      <alignment wrapText="1"/>
    </xf>
    <xf numFmtId="0" fontId="30" fillId="0" borderId="18" xfId="9" applyFont="1" applyFill="1" applyBorder="1" applyAlignment="1">
      <alignment wrapText="1"/>
    </xf>
    <xf numFmtId="165" fontId="56" fillId="0" borderId="9" xfId="9" applyNumberFormat="1" applyFont="1" applyFill="1" applyBorder="1" applyAlignment="1">
      <alignment horizontal="left" vertical="center"/>
    </xf>
    <xf numFmtId="0" fontId="25" fillId="0" borderId="19" xfId="0" applyFont="1" applyFill="1" applyBorder="1" applyAlignment="1">
      <alignment horizontal="left" vertical="center" wrapText="1"/>
    </xf>
    <xf numFmtId="0" fontId="25" fillId="0" borderId="19" xfId="9" applyFont="1" applyFill="1" applyBorder="1" applyAlignment="1">
      <alignment horizontal="left" vertical="center" wrapText="1"/>
    </xf>
    <xf numFmtId="0" fontId="25" fillId="0" borderId="23" xfId="9" applyFont="1" applyFill="1" applyBorder="1" applyAlignment="1">
      <alignment horizontal="left" vertical="center" wrapText="1"/>
    </xf>
    <xf numFmtId="165" fontId="25" fillId="0" borderId="16" xfId="14" applyNumberFormat="1" applyFont="1" applyFill="1" applyBorder="1" applyAlignment="1">
      <alignment vertical="center" wrapText="1"/>
    </xf>
    <xf numFmtId="165" fontId="25" fillId="0" borderId="17" xfId="14" applyNumberFormat="1" applyFont="1" applyFill="1" applyBorder="1" applyAlignment="1">
      <alignment vertical="center" wrapText="1"/>
    </xf>
    <xf numFmtId="165" fontId="25" fillId="0" borderId="18" xfId="14" applyNumberFormat="1" applyFont="1" applyFill="1" applyBorder="1" applyAlignment="1">
      <alignment vertical="center" wrapText="1"/>
    </xf>
    <xf numFmtId="0" fontId="1" fillId="0" borderId="19" xfId="0" applyFont="1" applyFill="1" applyBorder="1" applyAlignment="1">
      <alignment horizontal="left" vertical="center" wrapText="1"/>
    </xf>
    <xf numFmtId="0" fontId="1" fillId="0" borderId="23" xfId="0" applyFont="1" applyFill="1" applyBorder="1" applyAlignment="1">
      <alignment horizontal="left" vertical="center" wrapText="1"/>
    </xf>
    <xf numFmtId="165" fontId="25" fillId="0" borderId="9" xfId="0" applyNumberFormat="1" applyFont="1" applyFill="1" applyBorder="1" applyAlignment="1">
      <alignment horizontal="left" vertical="center" wrapText="1"/>
    </xf>
    <xf numFmtId="0" fontId="1" fillId="0" borderId="9" xfId="0" applyFont="1" applyFill="1" applyBorder="1" applyAlignment="1">
      <alignment horizontal="left" vertical="center" wrapText="1"/>
    </xf>
    <xf numFmtId="0" fontId="0" fillId="0" borderId="9" xfId="0" applyBorder="1" applyAlignment="1">
      <alignment horizontal="left" vertical="center" wrapText="1"/>
    </xf>
    <xf numFmtId="165" fontId="25" fillId="0" borderId="22" xfId="14" applyNumberFormat="1" applyFont="1" applyFill="1" applyBorder="1" applyAlignment="1">
      <alignment vertical="center" wrapText="1"/>
    </xf>
    <xf numFmtId="165" fontId="25" fillId="0" borderId="0" xfId="14" applyNumberFormat="1" applyFont="1" applyFill="1" applyBorder="1" applyAlignment="1">
      <alignment vertical="center" wrapText="1"/>
    </xf>
    <xf numFmtId="0" fontId="25" fillId="0" borderId="9" xfId="9" applyFont="1" applyFill="1" applyBorder="1" applyAlignment="1">
      <alignment horizontal="left" vertical="center" wrapText="1"/>
    </xf>
    <xf numFmtId="0" fontId="25" fillId="5" borderId="18" xfId="9" applyFont="1" applyFill="1" applyBorder="1" applyAlignment="1">
      <alignment wrapText="1"/>
    </xf>
    <xf numFmtId="0" fontId="25" fillId="5" borderId="16" xfId="0" applyFont="1" applyFill="1" applyBorder="1" applyAlignment="1">
      <alignment vertical="center" wrapText="1"/>
    </xf>
    <xf numFmtId="0" fontId="25" fillId="5" borderId="17" xfId="0" applyFont="1" applyFill="1" applyBorder="1" applyAlignment="1">
      <alignment vertical="center" wrapText="1"/>
    </xf>
    <xf numFmtId="0" fontId="25" fillId="5" borderId="18" xfId="0" applyFont="1" applyFill="1" applyBorder="1" applyAlignment="1">
      <alignment vertical="center" wrapText="1"/>
    </xf>
    <xf numFmtId="0" fontId="25" fillId="5" borderId="16" xfId="0" applyFont="1" applyFill="1" applyBorder="1" applyAlignment="1">
      <alignment horizontal="left" vertical="center" wrapText="1"/>
    </xf>
    <xf numFmtId="0" fontId="25" fillId="5" borderId="18" xfId="0" applyFont="1" applyFill="1" applyBorder="1" applyAlignment="1">
      <alignment horizontal="left" vertical="center" wrapText="1"/>
    </xf>
    <xf numFmtId="0" fontId="25" fillId="5" borderId="16" xfId="9" applyFont="1" applyFill="1" applyBorder="1" applyAlignment="1"/>
    <xf numFmtId="0" fontId="25" fillId="5" borderId="18" xfId="9" applyFont="1" applyFill="1" applyBorder="1" applyAlignment="1"/>
    <xf numFmtId="0" fontId="25" fillId="0" borderId="16" xfId="0" applyFont="1" applyFill="1" applyBorder="1" applyAlignment="1">
      <alignment vertical="center" wrapText="1"/>
    </xf>
    <xf numFmtId="0" fontId="25" fillId="0" borderId="17" xfId="0" applyFont="1" applyFill="1" applyBorder="1" applyAlignment="1">
      <alignment vertical="center" wrapText="1"/>
    </xf>
    <xf numFmtId="0" fontId="25" fillId="0" borderId="18" xfId="0" applyFont="1" applyFill="1" applyBorder="1" applyAlignment="1">
      <alignment vertical="center" wrapText="1"/>
    </xf>
    <xf numFmtId="165" fontId="1" fillId="0" borderId="19" xfId="0" applyNumberFormat="1" applyFont="1" applyFill="1" applyBorder="1" applyAlignment="1">
      <alignment horizontal="left" vertical="center" wrapText="1"/>
    </xf>
    <xf numFmtId="0" fontId="25" fillId="12" borderId="9" xfId="0" applyFont="1" applyFill="1" applyBorder="1" applyAlignment="1">
      <alignment vertical="center" wrapText="1"/>
    </xf>
    <xf numFmtId="0" fontId="25" fillId="0" borderId="19" xfId="9" applyFont="1" applyBorder="1" applyAlignment="1">
      <alignment vertical="center" wrapText="1"/>
    </xf>
    <xf numFmtId="0" fontId="25" fillId="0" borderId="9" xfId="9" applyFont="1" applyBorder="1" applyAlignment="1">
      <alignment wrapText="1"/>
    </xf>
    <xf numFmtId="0" fontId="25" fillId="0" borderId="16" xfId="9" applyFont="1" applyBorder="1" applyAlignment="1">
      <alignment wrapText="1"/>
    </xf>
    <xf numFmtId="0" fontId="25" fillId="0" borderId="18" xfId="9" applyFont="1" applyBorder="1" applyAlignment="1">
      <alignment wrapText="1"/>
    </xf>
    <xf numFmtId="0" fontId="25" fillId="0" borderId="9" xfId="9" applyFont="1" applyFill="1" applyBorder="1" applyAlignment="1"/>
    <xf numFmtId="0" fontId="25" fillId="0" borderId="9" xfId="9" applyFont="1" applyBorder="1" applyAlignment="1"/>
    <xf numFmtId="0" fontId="1" fillId="0" borderId="17" xfId="0" applyFont="1" applyBorder="1" applyAlignment="1"/>
    <xf numFmtId="0" fontId="1" fillId="0" borderId="18" xfId="0" applyFont="1" applyBorder="1" applyAlignment="1"/>
    <xf numFmtId="165" fontId="25" fillId="0" borderId="19" xfId="0" applyNumberFormat="1" applyFont="1" applyFill="1" applyBorder="1" applyAlignment="1">
      <alignment horizontal="left" vertical="center" wrapText="1"/>
    </xf>
    <xf numFmtId="165" fontId="25" fillId="0" borderId="23" xfId="0" applyNumberFormat="1" applyFont="1" applyFill="1" applyBorder="1" applyAlignment="1">
      <alignment horizontal="left" vertical="center" wrapText="1"/>
    </xf>
    <xf numFmtId="0" fontId="25" fillId="0" borderId="23" xfId="0" applyFont="1" applyBorder="1" applyAlignment="1">
      <alignment horizontal="center" vertical="center" wrapText="1"/>
    </xf>
    <xf numFmtId="0" fontId="25" fillId="12" borderId="9" xfId="6" applyFont="1" applyFill="1" applyBorder="1" applyAlignment="1">
      <alignment horizontal="center" vertical="center" wrapText="1"/>
    </xf>
    <xf numFmtId="168" fontId="25" fillId="0" borderId="9" xfId="6" applyNumberFormat="1" applyFont="1" applyFill="1" applyBorder="1" applyAlignment="1">
      <alignment horizontal="left" vertical="top" wrapText="1"/>
    </xf>
    <xf numFmtId="168" fontId="25" fillId="0" borderId="19" xfId="6" applyNumberFormat="1" applyFont="1" applyFill="1" applyBorder="1" applyAlignment="1">
      <alignment horizontal="left" vertical="top" wrapText="1"/>
    </xf>
    <xf numFmtId="0" fontId="25" fillId="0" borderId="19" xfId="0" applyFont="1" applyFill="1" applyBorder="1" applyAlignment="1"/>
    <xf numFmtId="168" fontId="25" fillId="0" borderId="4" xfId="6" applyNumberFormat="1" applyFont="1" applyFill="1" applyBorder="1" applyAlignment="1">
      <alignment horizontal="left" vertical="top" wrapText="1"/>
    </xf>
    <xf numFmtId="0" fontId="25" fillId="0" borderId="4" xfId="0" applyFont="1" applyFill="1" applyBorder="1" applyAlignment="1"/>
    <xf numFmtId="168" fontId="25" fillId="0" borderId="16" xfId="6" applyNumberFormat="1" applyFont="1" applyFill="1" applyBorder="1" applyAlignment="1">
      <alignment horizontal="left" vertical="top" wrapText="1"/>
    </xf>
    <xf numFmtId="168" fontId="25" fillId="0" borderId="18" xfId="6" applyNumberFormat="1" applyFont="1" applyFill="1" applyBorder="1" applyAlignment="1">
      <alignment horizontal="left" vertical="top" wrapText="1"/>
    </xf>
    <xf numFmtId="168" fontId="25" fillId="0" borderId="14" xfId="6" applyNumberFormat="1" applyFont="1" applyFill="1" applyBorder="1" applyAlignment="1">
      <alignment horizontal="left" vertical="top" wrapText="1"/>
    </xf>
    <xf numFmtId="0" fontId="25" fillId="0" borderId="14" xfId="0" applyFont="1" applyFill="1" applyBorder="1" applyAlignment="1"/>
    <xf numFmtId="168" fontId="25" fillId="0" borderId="23" xfId="6" applyNumberFormat="1" applyFont="1" applyFill="1" applyBorder="1" applyAlignment="1">
      <alignment horizontal="left" vertical="top" wrapText="1"/>
    </xf>
    <xf numFmtId="0" fontId="25" fillId="0" borderId="23" xfId="0" applyFont="1" applyFill="1" applyBorder="1" applyAlignment="1"/>
    <xf numFmtId="0" fontId="25" fillId="12" borderId="19" xfId="6" applyFont="1" applyFill="1" applyBorder="1" applyAlignment="1">
      <alignment horizontal="left" vertical="center" wrapText="1"/>
    </xf>
    <xf numFmtId="0" fontId="25" fillId="12" borderId="21" xfId="6" applyFont="1" applyFill="1" applyBorder="1" applyAlignment="1">
      <alignment horizontal="left" vertical="center" wrapText="1"/>
    </xf>
    <xf numFmtId="0" fontId="25" fillId="12" borderId="21" xfId="6" applyFont="1" applyFill="1" applyBorder="1" applyAlignment="1">
      <alignment horizontal="center" vertical="center" wrapText="1"/>
    </xf>
    <xf numFmtId="0" fontId="25" fillId="12" borderId="20" xfId="6" applyFont="1" applyFill="1" applyBorder="1" applyAlignment="1">
      <alignment horizontal="left" vertical="center" wrapText="1"/>
    </xf>
    <xf numFmtId="0" fontId="25" fillId="0" borderId="21" xfId="0" applyFont="1" applyBorder="1" applyAlignment="1">
      <alignment horizontal="left" vertical="center" wrapText="1"/>
    </xf>
    <xf numFmtId="165" fontId="1" fillId="0" borderId="9" xfId="0" applyNumberFormat="1" applyFont="1" applyFill="1" applyBorder="1" applyAlignment="1">
      <alignment horizontal="left" vertical="center" wrapText="1"/>
    </xf>
    <xf numFmtId="170" fontId="25" fillId="0" borderId="16" xfId="1" applyNumberFormat="1" applyFont="1" applyFill="1" applyBorder="1" applyAlignment="1">
      <alignment horizontal="center" vertical="center" wrapText="1"/>
    </xf>
    <xf numFmtId="170" fontId="25" fillId="0" borderId="17" xfId="1" applyNumberFormat="1" applyFont="1" applyFill="1" applyBorder="1" applyAlignment="1">
      <alignment horizontal="center" vertical="center" wrapText="1"/>
    </xf>
    <xf numFmtId="170" fontId="25" fillId="0" borderId="18" xfId="1" applyNumberFormat="1" applyFont="1" applyFill="1" applyBorder="1" applyAlignment="1">
      <alignment horizontal="center" vertical="center" wrapText="1"/>
    </xf>
    <xf numFmtId="7" fontId="25" fillId="0" borderId="16" xfId="2" applyNumberFormat="1" applyFont="1" applyFill="1" applyBorder="1" applyAlignment="1">
      <alignment horizontal="center" wrapText="1"/>
    </xf>
    <xf numFmtId="0" fontId="25" fillId="0" borderId="17" xfId="0" applyFont="1" applyFill="1" applyBorder="1" applyAlignment="1">
      <alignment wrapText="1"/>
    </xf>
    <xf numFmtId="0" fontId="25" fillId="0" borderId="18" xfId="0" applyFont="1" applyFill="1" applyBorder="1" applyAlignment="1">
      <alignment wrapText="1"/>
    </xf>
    <xf numFmtId="165" fontId="57" fillId="0" borderId="16" xfId="0" applyNumberFormat="1" applyFont="1" applyFill="1" applyBorder="1" applyAlignment="1">
      <alignment horizontal="center" vertical="center" wrapText="1"/>
    </xf>
    <xf numFmtId="165" fontId="57" fillId="0" borderId="17" xfId="0" applyNumberFormat="1" applyFont="1" applyFill="1" applyBorder="1" applyAlignment="1">
      <alignment horizontal="center" vertical="center" wrapText="1"/>
    </xf>
    <xf numFmtId="165" fontId="57" fillId="0" borderId="18" xfId="0" applyNumberFormat="1" applyFont="1" applyFill="1" applyBorder="1" applyAlignment="1">
      <alignment horizontal="center" vertical="center" wrapText="1"/>
    </xf>
    <xf numFmtId="171" fontId="57" fillId="0" borderId="16" xfId="0" applyNumberFormat="1" applyFont="1" applyFill="1" applyBorder="1" applyAlignment="1">
      <alignment horizontal="center" vertical="center" wrapText="1"/>
    </xf>
    <xf numFmtId="171" fontId="57" fillId="0" borderId="17" xfId="0" applyNumberFormat="1" applyFont="1" applyFill="1" applyBorder="1" applyAlignment="1">
      <alignment horizontal="center" vertical="center" wrapText="1"/>
    </xf>
    <xf numFmtId="171" fontId="57" fillId="0" borderId="18" xfId="0" applyNumberFormat="1" applyFont="1" applyFill="1" applyBorder="1" applyAlignment="1">
      <alignment horizontal="center" vertical="center" wrapText="1"/>
    </xf>
    <xf numFmtId="165" fontId="25" fillId="0" borderId="19" xfId="7" applyNumberFormat="1" applyFont="1" applyFill="1" applyBorder="1" applyAlignment="1">
      <alignment horizontal="left" vertical="center" wrapText="1"/>
    </xf>
    <xf numFmtId="165" fontId="1" fillId="0" borderId="19" xfId="7" applyNumberFormat="1" applyFont="1" applyFill="1" applyBorder="1" applyAlignment="1">
      <alignment horizontal="left" vertical="center" wrapText="1"/>
    </xf>
    <xf numFmtId="0" fontId="25" fillId="0" borderId="19" xfId="9" applyFont="1" applyFill="1" applyBorder="1" applyAlignment="1">
      <alignment horizontal="left" wrapText="1"/>
    </xf>
    <xf numFmtId="0" fontId="25" fillId="0" borderId="23" xfId="0" applyFont="1" applyBorder="1" applyAlignment="1">
      <alignment horizontal="left" wrapText="1"/>
    </xf>
    <xf numFmtId="0" fontId="25" fillId="16" borderId="20" xfId="0" applyFont="1" applyFill="1" applyBorder="1" applyAlignment="1">
      <alignment horizontal="center" vertical="center" wrapText="1"/>
    </xf>
    <xf numFmtId="0" fontId="25" fillId="16" borderId="27" xfId="0" applyFont="1" applyFill="1" applyBorder="1" applyAlignment="1">
      <alignment horizontal="center" vertical="center" wrapText="1"/>
    </xf>
    <xf numFmtId="0" fontId="25" fillId="16" borderId="21" xfId="0" applyFont="1" applyFill="1" applyBorder="1" applyAlignment="1">
      <alignment horizontal="center" vertical="center" wrapText="1"/>
    </xf>
    <xf numFmtId="0" fontId="0" fillId="0" borderId="23" xfId="0" applyBorder="1" applyAlignment="1">
      <alignment horizontal="left" wrapText="1"/>
    </xf>
    <xf numFmtId="0" fontId="25" fillId="16" borderId="9" xfId="0" applyFont="1" applyFill="1" applyBorder="1" applyAlignment="1">
      <alignment horizontal="left" vertical="center" wrapText="1"/>
    </xf>
    <xf numFmtId="0" fontId="25" fillId="16" borderId="9" xfId="0" applyFont="1" applyFill="1" applyBorder="1" applyAlignment="1">
      <alignment horizontal="center" vertical="center" wrapText="1"/>
    </xf>
    <xf numFmtId="0" fontId="25" fillId="16" borderId="16" xfId="0" applyFont="1" applyFill="1" applyBorder="1" applyAlignment="1">
      <alignment horizontal="center" vertical="center" wrapText="1"/>
    </xf>
    <xf numFmtId="0" fontId="25" fillId="16" borderId="17" xfId="0" applyFont="1" applyFill="1" applyBorder="1" applyAlignment="1">
      <alignment horizontal="center" vertical="center" wrapText="1"/>
    </xf>
    <xf numFmtId="0" fontId="25" fillId="16" borderId="17" xfId="0" applyFont="1" applyFill="1" applyBorder="1" applyAlignment="1">
      <alignment vertical="center" wrapText="1"/>
    </xf>
    <xf numFmtId="0" fontId="25" fillId="16" borderId="18" xfId="0" applyFont="1" applyFill="1" applyBorder="1" applyAlignment="1">
      <alignment vertical="center" wrapText="1"/>
    </xf>
    <xf numFmtId="0" fontId="0" fillId="0" borderId="0" xfId="0" applyAlignment="1">
      <alignment vertical="center"/>
    </xf>
    <xf numFmtId="0" fontId="18" fillId="0" borderId="0" xfId="6" applyFont="1" applyFill="1" applyBorder="1" applyAlignment="1">
      <alignment vertical="center" wrapText="1"/>
    </xf>
    <xf numFmtId="0" fontId="37" fillId="0" borderId="0" xfId="0" applyFont="1" applyFill="1" applyBorder="1" applyAlignment="1">
      <alignment vertical="center" wrapText="1"/>
    </xf>
    <xf numFmtId="0" fontId="0" fillId="0" borderId="0" xfId="0" applyFill="1" applyBorder="1" applyAlignment="1">
      <alignment vertical="center" wrapText="1"/>
    </xf>
    <xf numFmtId="165" fontId="56" fillId="0" borderId="19" xfId="9" applyNumberFormat="1" applyFont="1" applyFill="1" applyBorder="1" applyAlignment="1">
      <alignment horizontal="left" vertical="center"/>
    </xf>
    <xf numFmtId="0" fontId="0" fillId="0" borderId="19" xfId="9" applyFont="1" applyBorder="1" applyAlignment="1">
      <alignment horizontal="left" vertical="center"/>
    </xf>
    <xf numFmtId="0" fontId="0" fillId="0" borderId="30" xfId="9" applyFont="1" applyBorder="1" applyAlignment="1">
      <alignment horizontal="left" vertical="center"/>
    </xf>
    <xf numFmtId="0" fontId="25" fillId="0" borderId="19" xfId="9" applyFont="1" applyBorder="1" applyAlignment="1">
      <alignment horizontal="center" vertical="center" wrapText="1"/>
    </xf>
    <xf numFmtId="0" fontId="0" fillId="0" borderId="30" xfId="0" applyBorder="1" applyAlignment="1">
      <alignment horizontal="center" vertical="center" wrapText="1"/>
    </xf>
    <xf numFmtId="0" fontId="0" fillId="0" borderId="23" xfId="0" applyBorder="1" applyAlignment="1">
      <alignment horizontal="center" vertical="center" wrapText="1"/>
    </xf>
    <xf numFmtId="0" fontId="43" fillId="0" borderId="19" xfId="9" applyFont="1" applyBorder="1" applyAlignment="1">
      <alignment horizontal="left" vertical="center"/>
    </xf>
    <xf numFmtId="0" fontId="25" fillId="5" borderId="0" xfId="9" applyFont="1" applyFill="1" applyBorder="1" applyAlignment="1">
      <alignment horizontal="center" vertical="center" wrapText="1"/>
    </xf>
    <xf numFmtId="0" fontId="25" fillId="0" borderId="19" xfId="0" applyFont="1" applyBorder="1" applyAlignment="1"/>
    <xf numFmtId="165" fontId="56" fillId="0" borderId="9" xfId="9" applyNumberFormat="1" applyFont="1" applyBorder="1" applyAlignment="1">
      <alignment horizontal="left" vertical="center"/>
    </xf>
    <xf numFmtId="0" fontId="56" fillId="0" borderId="9" xfId="9" applyFont="1" applyBorder="1" applyAlignment="1">
      <alignment horizontal="left" vertical="center"/>
    </xf>
    <xf numFmtId="0" fontId="43" fillId="5" borderId="9" xfId="9" applyFont="1" applyFill="1" applyBorder="1" applyAlignment="1">
      <alignment horizontal="left" vertical="center" wrapText="1"/>
    </xf>
    <xf numFmtId="0" fontId="30" fillId="5" borderId="9" xfId="9" applyFont="1" applyFill="1" applyBorder="1" applyAlignment="1">
      <alignment horizontal="left"/>
    </xf>
    <xf numFmtId="0" fontId="43" fillId="5" borderId="9" xfId="9" applyFont="1" applyFill="1" applyBorder="1" applyAlignment="1">
      <alignment horizontal="left" vertical="center"/>
    </xf>
    <xf numFmtId="0" fontId="25" fillId="0" borderId="9" xfId="0" applyFont="1" applyBorder="1" applyAlignment="1">
      <alignment horizontal="left" wrapText="1"/>
    </xf>
    <xf numFmtId="0" fontId="30" fillId="5" borderId="16" xfId="9" applyFont="1" applyFill="1" applyBorder="1" applyAlignment="1">
      <alignment horizontal="left" vertical="center"/>
    </xf>
    <xf numFmtId="0" fontId="30" fillId="5" borderId="17" xfId="9" applyFont="1" applyFill="1" applyBorder="1" applyAlignment="1">
      <alignment horizontal="left" vertical="center"/>
    </xf>
    <xf numFmtId="0" fontId="30" fillId="5" borderId="18" xfId="9" applyFont="1" applyFill="1" applyBorder="1" applyAlignment="1">
      <alignment horizontal="left" vertical="center"/>
    </xf>
    <xf numFmtId="0" fontId="30" fillId="5" borderId="16" xfId="9" quotePrefix="1" applyFont="1" applyFill="1" applyBorder="1" applyAlignment="1">
      <alignment vertical="center" wrapText="1"/>
    </xf>
    <xf numFmtId="0" fontId="30" fillId="5" borderId="16" xfId="9" applyFont="1" applyFill="1" applyBorder="1" applyAlignment="1">
      <alignment horizontal="left"/>
    </xf>
    <xf numFmtId="0" fontId="30" fillId="5" borderId="17" xfId="9" applyFont="1" applyFill="1" applyBorder="1" applyAlignment="1">
      <alignment horizontal="left"/>
    </xf>
    <xf numFmtId="0" fontId="30" fillId="5" borderId="18" xfId="9" applyFont="1" applyFill="1" applyBorder="1" applyAlignment="1">
      <alignment horizontal="left"/>
    </xf>
    <xf numFmtId="0" fontId="30" fillId="5" borderId="20" xfId="9" quotePrefix="1" applyFont="1" applyFill="1" applyBorder="1" applyAlignment="1">
      <alignment vertical="center" wrapText="1"/>
    </xf>
    <xf numFmtId="0" fontId="25" fillId="5" borderId="21" xfId="0" applyFont="1" applyFill="1" applyBorder="1" applyAlignment="1">
      <alignment vertical="center" wrapText="1"/>
    </xf>
    <xf numFmtId="0" fontId="25" fillId="0" borderId="19" xfId="0" applyFont="1" applyBorder="1" applyAlignment="1">
      <alignment horizontal="left"/>
    </xf>
    <xf numFmtId="0" fontId="25" fillId="0" borderId="23" xfId="0" applyFont="1" applyBorder="1" applyAlignment="1">
      <alignment horizontal="left"/>
    </xf>
    <xf numFmtId="0" fontId="30" fillId="5" borderId="23" xfId="9" applyFont="1" applyFill="1" applyBorder="1" applyAlignment="1">
      <alignment horizontal="left" vertical="center"/>
    </xf>
    <xf numFmtId="0" fontId="30" fillId="5" borderId="9" xfId="9" applyFont="1" applyFill="1" applyBorder="1" applyAlignment="1">
      <alignment horizontal="left" vertical="center"/>
    </xf>
    <xf numFmtId="165" fontId="25" fillId="5" borderId="9" xfId="9" applyNumberFormat="1" applyFont="1" applyFill="1" applyBorder="1" applyAlignment="1">
      <alignment horizontal="left" vertical="center" wrapText="1"/>
    </xf>
    <xf numFmtId="165" fontId="25" fillId="5" borderId="19" xfId="9" applyNumberFormat="1" applyFont="1" applyFill="1" applyBorder="1" applyAlignment="1">
      <alignment horizontal="left" vertical="center" wrapText="1"/>
    </xf>
    <xf numFmtId="168" fontId="25" fillId="0" borderId="9" xfId="6" applyNumberFormat="1" applyFont="1" applyFill="1" applyBorder="1" applyAlignment="1">
      <alignment horizontal="left" vertical="center" wrapText="1"/>
    </xf>
    <xf numFmtId="0" fontId="43" fillId="0" borderId="19" xfId="9" applyFont="1" applyFill="1" applyBorder="1" applyAlignment="1">
      <alignment horizontal="left" vertical="center" wrapText="1"/>
    </xf>
    <xf numFmtId="3" fontId="25" fillId="0" borderId="9" xfId="0" applyNumberFormat="1" applyFont="1" applyBorder="1" applyAlignment="1">
      <alignment horizontal="left" vertical="center" wrapText="1"/>
    </xf>
    <xf numFmtId="3" fontId="25" fillId="5" borderId="9" xfId="0" applyNumberFormat="1" applyFont="1" applyFill="1" applyBorder="1" applyAlignment="1">
      <alignment horizontal="left" vertical="center" wrapText="1"/>
    </xf>
    <xf numFmtId="0" fontId="25" fillId="0" borderId="18" xfId="0" applyFont="1" applyBorder="1" applyAlignment="1">
      <alignment vertical="center" wrapText="1"/>
    </xf>
    <xf numFmtId="165" fontId="25" fillId="0" borderId="16" xfId="7" applyNumberFormat="1" applyFont="1" applyFill="1" applyBorder="1" applyAlignment="1">
      <alignment horizontal="center"/>
    </xf>
    <xf numFmtId="171" fontId="25" fillId="0" borderId="16" xfId="14" applyNumberFormat="1" applyFont="1" applyFill="1" applyBorder="1" applyAlignment="1">
      <alignment horizontal="center"/>
    </xf>
    <xf numFmtId="0" fontId="25" fillId="12" borderId="18" xfId="0" applyFont="1" applyFill="1" applyBorder="1" applyAlignment="1">
      <alignment horizontal="left" vertical="center" wrapText="1"/>
    </xf>
    <xf numFmtId="0" fontId="25" fillId="12" borderId="9" xfId="0" applyFont="1" applyFill="1" applyBorder="1" applyAlignment="1">
      <alignment horizontal="left" vertical="center" wrapText="1"/>
    </xf>
    <xf numFmtId="0" fontId="25" fillId="0" borderId="27" xfId="0" applyFont="1" applyBorder="1" applyAlignment="1">
      <alignment horizontal="left" vertical="top" wrapText="1" indent="3"/>
    </xf>
    <xf numFmtId="0" fontId="25" fillId="0" borderId="0" xfId="0" applyFont="1" applyAlignment="1">
      <alignment horizontal="left" vertical="top" wrapText="1" indent="3"/>
    </xf>
    <xf numFmtId="0" fontId="25" fillId="0" borderId="0" xfId="0" applyFont="1" applyAlignment="1">
      <alignment horizontal="left" wrapText="1"/>
    </xf>
    <xf numFmtId="0" fontId="18" fillId="23" borderId="19" xfId="0" applyFont="1" applyFill="1" applyBorder="1" applyAlignment="1">
      <alignment horizontal="center" wrapText="1"/>
    </xf>
    <xf numFmtId="0" fontId="37" fillId="23" borderId="30" xfId="0" applyFont="1" applyFill="1" applyBorder="1" applyAlignment="1">
      <alignment horizontal="center" wrapText="1"/>
    </xf>
    <xf numFmtId="171" fontId="77" fillId="14" borderId="19" xfId="0" applyNumberFormat="1" applyFont="1" applyFill="1" applyBorder="1" applyAlignment="1">
      <alignment horizontal="center" wrapText="1"/>
    </xf>
    <xf numFmtId="171" fontId="103" fillId="14" borderId="30" xfId="0" applyNumberFormat="1" applyFont="1" applyFill="1" applyBorder="1" applyAlignment="1">
      <alignment horizontal="center" wrapText="1"/>
    </xf>
    <xf numFmtId="171" fontId="77" fillId="14" borderId="19" xfId="2" applyNumberFormat="1" applyFont="1" applyFill="1" applyBorder="1" applyAlignment="1">
      <alignment horizontal="center" wrapText="1"/>
    </xf>
    <xf numFmtId="171" fontId="103" fillId="14" borderId="30" xfId="2" applyNumberFormat="1" applyFont="1" applyFill="1" applyBorder="1" applyAlignment="1">
      <alignment horizontal="center" wrapText="1"/>
    </xf>
    <xf numFmtId="0" fontId="109" fillId="0" borderId="0" xfId="0" applyFont="1" applyAlignment="1"/>
    <xf numFmtId="0" fontId="62" fillId="20" borderId="21" xfId="0" applyFont="1" applyFill="1" applyBorder="1" applyAlignment="1">
      <alignment horizontal="center" wrapText="1"/>
    </xf>
    <xf numFmtId="0" fontId="0" fillId="0" borderId="26" xfId="0" applyBorder="1" applyAlignment="1">
      <alignment horizontal="center" wrapText="1"/>
    </xf>
    <xf numFmtId="0" fontId="77" fillId="14" borderId="19" xfId="0" applyFont="1" applyFill="1" applyBorder="1" applyAlignment="1">
      <alignment horizontal="center" wrapText="1"/>
    </xf>
    <xf numFmtId="0" fontId="103" fillId="14" borderId="30" xfId="0" applyFont="1" applyFill="1" applyBorder="1" applyAlignment="1">
      <alignment horizontal="center" wrapText="1"/>
    </xf>
    <xf numFmtId="0" fontId="77" fillId="25" borderId="19" xfId="0" applyFont="1" applyFill="1" applyBorder="1" applyAlignment="1">
      <alignment horizontal="center" wrapText="1"/>
    </xf>
    <xf numFmtId="0" fontId="103" fillId="25" borderId="30" xfId="0" applyFont="1" applyFill="1" applyBorder="1" applyAlignment="1">
      <alignment horizontal="center" wrapText="1"/>
    </xf>
    <xf numFmtId="165" fontId="77" fillId="14" borderId="20" xfId="0" applyNumberFormat="1" applyFont="1" applyFill="1" applyBorder="1" applyAlignment="1">
      <alignment horizontal="center" wrapText="1"/>
    </xf>
    <xf numFmtId="165" fontId="0" fillId="0" borderId="27" xfId="0" applyNumberFormat="1" applyBorder="1" applyAlignment="1">
      <alignment horizontal="center" wrapText="1"/>
    </xf>
    <xf numFmtId="165" fontId="0" fillId="0" borderId="21" xfId="0" applyNumberFormat="1" applyBorder="1" applyAlignment="1">
      <alignment horizontal="center" wrapText="1"/>
    </xf>
    <xf numFmtId="0" fontId="44" fillId="20" borderId="19" xfId="0" applyFont="1" applyFill="1" applyBorder="1" applyAlignment="1">
      <alignment horizontal="center" wrapText="1"/>
    </xf>
    <xf numFmtId="0" fontId="0" fillId="0" borderId="30" xfId="0" applyBorder="1" applyAlignment="1">
      <alignment horizontal="center" wrapText="1"/>
    </xf>
    <xf numFmtId="0" fontId="62" fillId="20" borderId="20" xfId="0" applyFont="1" applyFill="1" applyBorder="1" applyAlignment="1">
      <alignment horizontal="center" wrapText="1"/>
    </xf>
    <xf numFmtId="0" fontId="0" fillId="0" borderId="27" xfId="0" applyBorder="1" applyAlignment="1">
      <alignment horizontal="center" wrapText="1"/>
    </xf>
    <xf numFmtId="0" fontId="0" fillId="0" borderId="21" xfId="0" applyBorder="1" applyAlignment="1">
      <alignment horizontal="center" wrapText="1"/>
    </xf>
    <xf numFmtId="43" fontId="87" fillId="23" borderId="20" xfId="1" applyFont="1" applyFill="1" applyBorder="1" applyAlignment="1">
      <alignment horizontal="center" wrapText="1"/>
    </xf>
    <xf numFmtId="0" fontId="0" fillId="23" borderId="27" xfId="0" applyFont="1" applyFill="1" applyBorder="1" applyAlignment="1">
      <alignment horizontal="center" wrapText="1"/>
    </xf>
    <xf numFmtId="0" fontId="0" fillId="23" borderId="21" xfId="0" applyFont="1" applyFill="1" applyBorder="1" applyAlignment="1">
      <alignment horizontal="center" wrapText="1"/>
    </xf>
    <xf numFmtId="43" fontId="87" fillId="24" borderId="20" xfId="1" applyFont="1" applyFill="1" applyBorder="1" applyAlignment="1">
      <alignment horizontal="center" wrapText="1"/>
    </xf>
    <xf numFmtId="0" fontId="0" fillId="24" borderId="27" xfId="0" applyFont="1" applyFill="1" applyBorder="1" applyAlignment="1">
      <alignment horizontal="center" wrapText="1"/>
    </xf>
    <xf numFmtId="0" fontId="0" fillId="24" borderId="21" xfId="0" applyFont="1" applyFill="1" applyBorder="1" applyAlignment="1">
      <alignment horizontal="center" wrapText="1"/>
    </xf>
    <xf numFmtId="0" fontId="18" fillId="8" borderId="19" xfId="0" applyFont="1" applyFill="1" applyBorder="1" applyAlignment="1">
      <alignment horizontal="center" wrapText="1"/>
    </xf>
    <xf numFmtId="0" fontId="37" fillId="8" borderId="30" xfId="0" applyFont="1" applyFill="1" applyBorder="1" applyAlignment="1">
      <alignment horizontal="center" wrapText="1"/>
    </xf>
    <xf numFmtId="0" fontId="0" fillId="5" borderId="0" xfId="0" applyFill="1" applyAlignment="1">
      <alignment horizontal="center"/>
    </xf>
  </cellXfs>
  <cellStyles count="20">
    <cellStyle name="Bad" xfId="4" builtinId="27"/>
    <cellStyle name="Comma" xfId="1" builtinId="3"/>
    <cellStyle name="Comma 2 4" xfId="10"/>
    <cellStyle name="Currency" xfId="2" builtinId="4"/>
    <cellStyle name="Currency 2 2 2 5" xfId="11"/>
    <cellStyle name="Hyperlink" xfId="18" builtinId="8"/>
    <cellStyle name="Input" xfId="5" builtinId="20"/>
    <cellStyle name="Neutral 2" xfId="15"/>
    <cellStyle name="Normal" xfId="0" builtinId="0"/>
    <cellStyle name="Normal 2 2 2 2 33" xfId="14"/>
    <cellStyle name="Normal 2 4 21" xfId="7"/>
    <cellStyle name="Normal 20 11" xfId="6"/>
    <cellStyle name="Normal 3 40" xfId="13"/>
    <cellStyle name="Normal 3 56" xfId="9"/>
    <cellStyle name="Normal_Avoided Cost Benefits" xfId="19"/>
    <cellStyle name="Percent" xfId="3" builtinId="5"/>
    <cellStyle name="Percent 2 2" xfId="12"/>
    <cellStyle name="Percent 3" xfId="17"/>
    <cellStyle name="Percent 7" xfId="16"/>
    <cellStyle name="Percent 8 12" xfId="8"/>
  </cellStyles>
  <dxfs count="15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99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8</xdr:col>
      <xdr:colOff>585108</xdr:colOff>
      <xdr:row>4</xdr:row>
      <xdr:rowOff>136071</xdr:rowOff>
    </xdr:from>
    <xdr:ext cx="7623133" cy="7276190"/>
    <xdr:pic>
      <xdr:nvPicPr>
        <xdr:cNvPr id="2" name="Picture 1"/>
        <xdr:cNvPicPr>
          <a:picLocks noChangeAspect="1"/>
        </xdr:cNvPicPr>
      </xdr:nvPicPr>
      <xdr:blipFill>
        <a:blip xmlns:r="http://schemas.openxmlformats.org/officeDocument/2006/relationships" r:embed="rId1"/>
        <a:stretch>
          <a:fillRect/>
        </a:stretch>
      </xdr:blipFill>
      <xdr:spPr>
        <a:xfrm>
          <a:off x="5461908" y="898071"/>
          <a:ext cx="7623133" cy="7276190"/>
        </a:xfrm>
        <a:prstGeom prst="rect">
          <a:avLst/>
        </a:prstGeom>
      </xdr:spPr>
    </xdr:pic>
    <xdr:clientData/>
  </xdr:oneCellAnchor>
  <xdr:twoCellAnchor>
    <xdr:from>
      <xdr:col>8</xdr:col>
      <xdr:colOff>435430</xdr:colOff>
      <xdr:row>4</xdr:row>
      <xdr:rowOff>81643</xdr:rowOff>
    </xdr:from>
    <xdr:to>
      <xdr:col>13</xdr:col>
      <xdr:colOff>421822</xdr:colOff>
      <xdr:row>44</xdr:row>
      <xdr:rowOff>13607</xdr:rowOff>
    </xdr:to>
    <xdr:sp macro="" textlink="">
      <xdr:nvSpPr>
        <xdr:cNvPr id="3" name="Rectangle 2"/>
        <xdr:cNvSpPr/>
      </xdr:nvSpPr>
      <xdr:spPr>
        <a:xfrm>
          <a:off x="5312230" y="843643"/>
          <a:ext cx="3034392" cy="7551964"/>
        </a:xfrm>
        <a:prstGeom prst="rect">
          <a:avLst/>
        </a:prstGeom>
        <a:noFill/>
        <a:ln w="603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40822</xdr:colOff>
      <xdr:row>4</xdr:row>
      <xdr:rowOff>81643</xdr:rowOff>
    </xdr:from>
    <xdr:to>
      <xdr:col>19</xdr:col>
      <xdr:colOff>27215</xdr:colOff>
      <xdr:row>44</xdr:row>
      <xdr:rowOff>13607</xdr:rowOff>
    </xdr:to>
    <xdr:sp macro="" textlink="">
      <xdr:nvSpPr>
        <xdr:cNvPr id="4" name="Rectangle 3"/>
        <xdr:cNvSpPr/>
      </xdr:nvSpPr>
      <xdr:spPr>
        <a:xfrm>
          <a:off x="8575222" y="843643"/>
          <a:ext cx="3034393"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244928</xdr:colOff>
      <xdr:row>4</xdr:row>
      <xdr:rowOff>81643</xdr:rowOff>
    </xdr:from>
    <xdr:to>
      <xdr:col>22</xdr:col>
      <xdr:colOff>285750</xdr:colOff>
      <xdr:row>44</xdr:row>
      <xdr:rowOff>13607</xdr:rowOff>
    </xdr:to>
    <xdr:sp macro="" textlink="">
      <xdr:nvSpPr>
        <xdr:cNvPr id="5" name="Rectangle 4"/>
        <xdr:cNvSpPr/>
      </xdr:nvSpPr>
      <xdr:spPr>
        <a:xfrm>
          <a:off x="11827328" y="843643"/>
          <a:ext cx="1869622"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299357</xdr:colOff>
      <xdr:row>7</xdr:row>
      <xdr:rowOff>40822</xdr:rowOff>
    </xdr:from>
    <xdr:to>
      <xdr:col>9</xdr:col>
      <xdr:colOff>40821</xdr:colOff>
      <xdr:row>11</xdr:row>
      <xdr:rowOff>136071</xdr:rowOff>
    </xdr:to>
    <xdr:cxnSp macro="">
      <xdr:nvCxnSpPr>
        <xdr:cNvPr id="6" name="Straight Connector 5"/>
        <xdr:cNvCxnSpPr/>
      </xdr:nvCxnSpPr>
      <xdr:spPr>
        <a:xfrm flipV="1">
          <a:off x="4566557" y="1374322"/>
          <a:ext cx="960664" cy="85724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11</xdr:row>
      <xdr:rowOff>163285</xdr:rowOff>
    </xdr:from>
    <xdr:to>
      <xdr:col>7</xdr:col>
      <xdr:colOff>285750</xdr:colOff>
      <xdr:row>11</xdr:row>
      <xdr:rowOff>163285</xdr:rowOff>
    </xdr:to>
    <xdr:cxnSp macro="">
      <xdr:nvCxnSpPr>
        <xdr:cNvPr id="7" name="Straight Connector 6"/>
        <xdr:cNvCxnSpPr/>
      </xdr:nvCxnSpPr>
      <xdr:spPr>
        <a:xfrm>
          <a:off x="3725636" y="225878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68035</xdr:rowOff>
    </xdr:from>
    <xdr:to>
      <xdr:col>7</xdr:col>
      <xdr:colOff>285750</xdr:colOff>
      <xdr:row>6</xdr:row>
      <xdr:rowOff>68035</xdr:rowOff>
    </xdr:to>
    <xdr:cxnSp macro="">
      <xdr:nvCxnSpPr>
        <xdr:cNvPr id="8" name="Straight Connector 7"/>
        <xdr:cNvCxnSpPr/>
      </xdr:nvCxnSpPr>
      <xdr:spPr>
        <a:xfrm>
          <a:off x="3725636" y="121103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258536</xdr:colOff>
      <xdr:row>6</xdr:row>
      <xdr:rowOff>81642</xdr:rowOff>
    </xdr:from>
    <xdr:to>
      <xdr:col>7</xdr:col>
      <xdr:colOff>272143</xdr:colOff>
      <xdr:row>11</xdr:row>
      <xdr:rowOff>163285</xdr:rowOff>
    </xdr:to>
    <xdr:cxnSp macro="">
      <xdr:nvCxnSpPr>
        <xdr:cNvPr id="9" name="Straight Connector 8"/>
        <xdr:cNvCxnSpPr/>
      </xdr:nvCxnSpPr>
      <xdr:spPr>
        <a:xfrm>
          <a:off x="45257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272142</xdr:colOff>
      <xdr:row>6</xdr:row>
      <xdr:rowOff>54428</xdr:rowOff>
    </xdr:from>
    <xdr:to>
      <xdr:col>9</xdr:col>
      <xdr:colOff>27214</xdr:colOff>
      <xdr:row>6</xdr:row>
      <xdr:rowOff>163285</xdr:rowOff>
    </xdr:to>
    <xdr:cxnSp macro="">
      <xdr:nvCxnSpPr>
        <xdr:cNvPr id="10" name="Straight Connector 9"/>
        <xdr:cNvCxnSpPr/>
      </xdr:nvCxnSpPr>
      <xdr:spPr>
        <a:xfrm>
          <a:off x="4539342" y="1197428"/>
          <a:ext cx="974272" cy="10885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81642</xdr:rowOff>
    </xdr:from>
    <xdr:to>
      <xdr:col>6</xdr:col>
      <xdr:colOff>81643</xdr:colOff>
      <xdr:row>11</xdr:row>
      <xdr:rowOff>163285</xdr:rowOff>
    </xdr:to>
    <xdr:cxnSp macro="">
      <xdr:nvCxnSpPr>
        <xdr:cNvPr id="11" name="Straight Connector 10"/>
        <xdr:cNvCxnSpPr/>
      </xdr:nvCxnSpPr>
      <xdr:spPr>
        <a:xfrm>
          <a:off x="37256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81643</xdr:colOff>
      <xdr:row>6</xdr:row>
      <xdr:rowOff>81644</xdr:rowOff>
    </xdr:from>
    <xdr:ext cx="761999" cy="1183822"/>
    <xdr:pic>
      <xdr:nvPicPr>
        <xdr:cNvPr id="12" name="Picture 11"/>
        <xdr:cNvPicPr>
          <a:picLocks noChangeAspect="1"/>
        </xdr:cNvPicPr>
      </xdr:nvPicPr>
      <xdr:blipFill rotWithShape="1">
        <a:blip xmlns:r="http://schemas.openxmlformats.org/officeDocument/2006/relationships" r:embed="rId2"/>
        <a:srcRect t="9302" r="23367"/>
        <a:stretch/>
      </xdr:blipFill>
      <xdr:spPr>
        <a:xfrm>
          <a:off x="3739243" y="1224644"/>
          <a:ext cx="761999" cy="1183822"/>
        </a:xfrm>
        <a:prstGeom prst="rect">
          <a:avLst/>
        </a:prstGeom>
      </xdr:spPr>
    </xdr:pic>
    <xdr:clientData/>
  </xdr:oneCellAnchor>
  <xdr:twoCellAnchor>
    <xdr:from>
      <xdr:col>7</xdr:col>
      <xdr:colOff>231322</xdr:colOff>
      <xdr:row>15</xdr:row>
      <xdr:rowOff>176894</xdr:rowOff>
    </xdr:from>
    <xdr:to>
      <xdr:col>9</xdr:col>
      <xdr:colOff>136072</xdr:colOff>
      <xdr:row>15</xdr:row>
      <xdr:rowOff>176894</xdr:rowOff>
    </xdr:to>
    <xdr:cxnSp macro="">
      <xdr:nvCxnSpPr>
        <xdr:cNvPr id="13" name="Straight Arrow Connector 12"/>
        <xdr:cNvCxnSpPr/>
      </xdr:nvCxnSpPr>
      <xdr:spPr>
        <a:xfrm>
          <a:off x="4498522" y="3034394"/>
          <a:ext cx="1123950" cy="0"/>
        </a:xfrm>
        <a:prstGeom prst="straightConnector1">
          <a:avLst/>
        </a:prstGeom>
        <a:ln w="793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16</xdr:row>
      <xdr:rowOff>108858</xdr:rowOff>
    </xdr:from>
    <xdr:to>
      <xdr:col>9</xdr:col>
      <xdr:colOff>571500</xdr:colOff>
      <xdr:row>16</xdr:row>
      <xdr:rowOff>122464</xdr:rowOff>
    </xdr:to>
    <xdr:cxnSp macro="">
      <xdr:nvCxnSpPr>
        <xdr:cNvPr id="14" name="Straight Arrow Connector 13"/>
        <xdr:cNvCxnSpPr/>
      </xdr:nvCxnSpPr>
      <xdr:spPr>
        <a:xfrm flipV="1">
          <a:off x="4797879" y="3156858"/>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17</xdr:row>
      <xdr:rowOff>163286</xdr:rowOff>
    </xdr:from>
    <xdr:to>
      <xdr:col>9</xdr:col>
      <xdr:colOff>571500</xdr:colOff>
      <xdr:row>17</xdr:row>
      <xdr:rowOff>176892</xdr:rowOff>
    </xdr:to>
    <xdr:cxnSp macro="">
      <xdr:nvCxnSpPr>
        <xdr:cNvPr id="15" name="Straight Arrow Connector 14"/>
        <xdr:cNvCxnSpPr/>
      </xdr:nvCxnSpPr>
      <xdr:spPr>
        <a:xfrm flipV="1">
          <a:off x="4797879" y="3401786"/>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xdr:row>
      <xdr:rowOff>0</xdr:rowOff>
    </xdr:from>
    <xdr:ext cx="65" cy="172227"/>
    <xdr:sp macro="" textlink="">
      <xdr:nvSpPr>
        <xdr:cNvPr id="4" name="TextBox 3">
          <a:extLst>
            <a:ext uri="{FF2B5EF4-FFF2-40B4-BE49-F238E27FC236}">
              <a16:creationId xmlns:a16="http://schemas.microsoft.com/office/drawing/2014/main" id="{B01B875B-1655-4FF7-85B9-92B8594200DF}"/>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xdr:row>
      <xdr:rowOff>0</xdr:rowOff>
    </xdr:from>
    <xdr:ext cx="65" cy="172227"/>
    <xdr:sp macro="" textlink="">
      <xdr:nvSpPr>
        <xdr:cNvPr id="5" name="TextBox 4">
          <a:extLst>
            <a:ext uri="{FF2B5EF4-FFF2-40B4-BE49-F238E27FC236}">
              <a16:creationId xmlns:a16="http://schemas.microsoft.com/office/drawing/2014/main" id="{72077759-98AD-4E78-AE84-11633BD394DA}"/>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35</xdr:row>
      <xdr:rowOff>0</xdr:rowOff>
    </xdr:from>
    <xdr:ext cx="65" cy="172227"/>
    <xdr:sp macro="" textlink="">
      <xdr:nvSpPr>
        <xdr:cNvPr id="6" name="TextBox 5">
          <a:extLst>
            <a:ext uri="{FF2B5EF4-FFF2-40B4-BE49-F238E27FC236}">
              <a16:creationId xmlns:a16="http://schemas.microsoft.com/office/drawing/2014/main" id="{3E66A867-CF61-4730-B242-BED8DD4BFB9E}"/>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35</xdr:row>
      <xdr:rowOff>0</xdr:rowOff>
    </xdr:from>
    <xdr:ext cx="65" cy="172227"/>
    <xdr:sp macro="" textlink="">
      <xdr:nvSpPr>
        <xdr:cNvPr id="7" name="TextBox 6">
          <a:extLst>
            <a:ext uri="{FF2B5EF4-FFF2-40B4-BE49-F238E27FC236}">
              <a16:creationId xmlns:a16="http://schemas.microsoft.com/office/drawing/2014/main" id="{678C4720-5D7F-4EB7-9B91-CFE462B9C78D}"/>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238125</xdr:colOff>
      <xdr:row>42</xdr:row>
      <xdr:rowOff>123825</xdr:rowOff>
    </xdr:from>
    <xdr:to>
      <xdr:col>7</xdr:col>
      <xdr:colOff>256543</xdr:colOff>
      <xdr:row>47</xdr:row>
      <xdr:rowOff>28468</xdr:rowOff>
    </xdr:to>
    <xdr:pic>
      <xdr:nvPicPr>
        <xdr:cNvPr id="8" name="Picture 7">
          <a:extLst>
            <a:ext uri="{FF2B5EF4-FFF2-40B4-BE49-F238E27FC236}">
              <a16:creationId xmlns:a16="http://schemas.microsoft.com/office/drawing/2014/main" id="{26CCDEFA-3EED-4DDB-A8F1-4D08E54BA059}"/>
            </a:ext>
          </a:extLst>
        </xdr:cNvPr>
        <xdr:cNvPicPr>
          <a:picLocks noChangeAspect="1"/>
        </xdr:cNvPicPr>
      </xdr:nvPicPr>
      <xdr:blipFill>
        <a:blip xmlns:r="http://schemas.openxmlformats.org/officeDocument/2006/relationships" r:embed="rId1"/>
        <a:stretch>
          <a:fillRect/>
        </a:stretch>
      </xdr:blipFill>
      <xdr:spPr>
        <a:xfrm>
          <a:off x="4286250" y="5114925"/>
          <a:ext cx="5057143" cy="0"/>
        </a:xfrm>
        <a:prstGeom prst="rect">
          <a:avLst/>
        </a:prstGeom>
      </xdr:spPr>
    </xdr:pic>
    <xdr:clientData/>
  </xdr:twoCellAnchor>
  <xdr:twoCellAnchor>
    <xdr:from>
      <xdr:col>7</xdr:col>
      <xdr:colOff>800100</xdr:colOff>
      <xdr:row>43</xdr:row>
      <xdr:rowOff>171450</xdr:rowOff>
    </xdr:from>
    <xdr:to>
      <xdr:col>9</xdr:col>
      <xdr:colOff>561770</xdr:colOff>
      <xdr:row>45</xdr:row>
      <xdr:rowOff>66640</xdr:rowOff>
    </xdr:to>
    <xdr:pic>
      <xdr:nvPicPr>
        <xdr:cNvPr id="9" name="Picture 8">
          <a:extLst>
            <a:ext uri="{FF2B5EF4-FFF2-40B4-BE49-F238E27FC236}">
              <a16:creationId xmlns:a16="http://schemas.microsoft.com/office/drawing/2014/main" id="{FB0C7CB2-51F2-4CD0-B13F-2A14302D1096}"/>
            </a:ext>
          </a:extLst>
        </xdr:cNvPr>
        <xdr:cNvPicPr>
          <a:picLocks noChangeAspect="1"/>
        </xdr:cNvPicPr>
      </xdr:nvPicPr>
      <xdr:blipFill>
        <a:blip xmlns:r="http://schemas.openxmlformats.org/officeDocument/2006/relationships" r:embed="rId2"/>
        <a:stretch>
          <a:fillRect/>
        </a:stretch>
      </xdr:blipFill>
      <xdr:spPr>
        <a:xfrm>
          <a:off x="9886950" y="5114925"/>
          <a:ext cx="1742870" cy="0"/>
        </a:xfrm>
        <a:prstGeom prst="rect">
          <a:avLst/>
        </a:prstGeom>
      </xdr:spPr>
    </xdr:pic>
    <xdr:clientData/>
  </xdr:twoCellAnchor>
  <xdr:twoCellAnchor>
    <xdr:from>
      <xdr:col>3</xdr:col>
      <xdr:colOff>200025</xdr:colOff>
      <xdr:row>67</xdr:row>
      <xdr:rowOff>133350</xdr:rowOff>
    </xdr:from>
    <xdr:to>
      <xdr:col>4</xdr:col>
      <xdr:colOff>2254081</xdr:colOff>
      <xdr:row>68</xdr:row>
      <xdr:rowOff>162013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A713EEAF-4622-4EBF-B2C3-A2AD689FE21F}"/>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n-US" sz="1000" i="0">
                      <a:latin typeface="Cambria Math" panose="02040503050406030204" pitchFamily="18" charset="0"/>
                      <a:ea typeface="Cambria Math" panose="02040503050406030204" pitchFamily="18" charset="0"/>
                    </a:rPr>
                    <m:t>D</m:t>
                  </m:r>
                  <m:r>
                    <m:rPr>
                      <m:sty m:val="p"/>
                    </m:rPr>
                    <a:rPr lang="en-US" sz="1000" b="0" i="0">
                      <a:latin typeface="Cambria Math" panose="02040503050406030204" pitchFamily="18" charset="0"/>
                      <a:ea typeface="Cambria Math" panose="02040503050406030204" pitchFamily="18" charset="0"/>
                    </a:rPr>
                    <m:t>eemed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Value</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per</m:t>
                  </m:r>
                  <m:r>
                    <a:rPr lang="en-US" sz="1000" b="0" i="0">
                      <a:latin typeface="Cambria Math" panose="02040503050406030204" pitchFamily="18" charset="0"/>
                      <a:ea typeface="Cambria Math" panose="02040503050406030204" pitchFamily="18" charset="0"/>
                    </a:rPr>
                    <m:t> 2018 </m:t>
                  </m:r>
                  <m:r>
                    <m:rPr>
                      <m:sty m:val="p"/>
                    </m:rPr>
                    <a:rPr lang="en-US" sz="1000" b="0" i="0">
                      <a:latin typeface="Cambria Math" panose="02040503050406030204" pitchFamily="18" charset="0"/>
                      <a:ea typeface="Cambria Math" panose="02040503050406030204" pitchFamily="18" charset="0"/>
                    </a:rPr>
                    <m:t>MEMD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Database</m:t>
                  </m:r>
                </m:oMath>
              </a14:m>
              <a:r>
                <a:rPr lang="en-US" sz="1000" i="0">
                  <a:latin typeface="+mn-lt"/>
                </a:rPr>
                <a:t> </a:t>
              </a:r>
            </a:p>
          </xdr:txBody>
        </xdr:sp>
      </mc:Choice>
      <mc:Fallback xmlns="">
        <xdr:sp macro="" textlink="">
          <xdr:nvSpPr>
            <xdr:cNvPr id="10" name="TextBox 9">
              <a:extLst>
                <a:ext uri="{FF2B5EF4-FFF2-40B4-BE49-F238E27FC236}">
                  <a16:creationId xmlns:a16="http://schemas.microsoft.com/office/drawing/2014/main" id="{A713EEAF-4622-4EBF-B2C3-A2AD689FE21F}"/>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000" i="0">
                  <a:latin typeface="Cambria Math" panose="02040503050406030204" pitchFamily="18" charset="0"/>
                  <a:ea typeface="Cambria Math" panose="02040503050406030204" pitchFamily="18" charset="0"/>
                </a:rPr>
                <a:t>D</a:t>
              </a:r>
              <a:r>
                <a:rPr lang="en-US" sz="1000" b="0" i="0">
                  <a:latin typeface="Cambria Math" panose="02040503050406030204" pitchFamily="18" charset="0"/>
                  <a:ea typeface="Cambria Math" panose="02040503050406030204" pitchFamily="18" charset="0"/>
                </a:rPr>
                <a:t>eemed Value, per 2018 MEMD Database</a:t>
              </a:r>
              <a:r>
                <a:rPr lang="en-US" sz="1000" i="0">
                  <a:latin typeface="+mn-lt"/>
                </a:rPr>
                <a:t> </a:t>
              </a:r>
            </a:p>
          </xdr:txBody>
        </xdr:sp>
      </mc:Fallback>
    </mc:AlternateContent>
    <xdr:clientData/>
  </xdr:twoCellAnchor>
  <xdr:twoCellAnchor>
    <xdr:from>
      <xdr:col>3</xdr:col>
      <xdr:colOff>9525</xdr:colOff>
      <xdr:row>10</xdr:row>
      <xdr:rowOff>152400</xdr:rowOff>
    </xdr:from>
    <xdr:to>
      <xdr:col>12</xdr:col>
      <xdr:colOff>155682</xdr:colOff>
      <xdr:row>12</xdr:row>
      <xdr:rowOff>14543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1876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kWhUnit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1" name="TextBox 10">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1876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"∆kWhUnit " </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5</xdr:col>
      <xdr:colOff>2269331</xdr:colOff>
      <xdr:row>15</xdr:row>
      <xdr:rowOff>453627</xdr:rowOff>
    </xdr:from>
    <xdr:ext cx="65" cy="172227"/>
    <xdr:sp macro="" textlink="">
      <xdr:nvSpPr>
        <xdr:cNvPr id="12" name="TextBox 11">
          <a:extLst>
            <a:ext uri="{FF2B5EF4-FFF2-40B4-BE49-F238E27FC236}">
              <a16:creationId xmlns:a16="http://schemas.microsoft.com/office/drawing/2014/main" id="{6D10CC00-0055-429C-9172-BC9FFA925EED}"/>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13" name="TextBox 12">
          <a:extLst>
            <a:ext uri="{FF2B5EF4-FFF2-40B4-BE49-F238E27FC236}">
              <a16:creationId xmlns:a16="http://schemas.microsoft.com/office/drawing/2014/main" id="{6D10CC00-0055-429C-9172-BC9FFA925EED}"/>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14" name="TextBox 13">
          <a:extLst>
            <a:ext uri="{FF2B5EF4-FFF2-40B4-BE49-F238E27FC236}">
              <a16:creationId xmlns:a16="http://schemas.microsoft.com/office/drawing/2014/main" id="{8ACDBCF3-DC86-4460-9426-07067DCAF324}"/>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453627</xdr:rowOff>
    </xdr:from>
    <xdr:to>
      <xdr:col>6</xdr:col>
      <xdr:colOff>7209</xdr:colOff>
      <xdr:row>16</xdr:row>
      <xdr:rowOff>173417</xdr:rowOff>
    </xdr:to>
    <xdr:sp macro="" textlink="">
      <xdr:nvSpPr>
        <xdr:cNvPr id="15" name="TextBox 14">
          <a:extLst>
            <a:ext uri="{FF2B5EF4-FFF2-40B4-BE49-F238E27FC236}">
              <a16:creationId xmlns:a16="http://schemas.microsoft.com/office/drawing/2014/main" id="{6D10CC00-0055-429C-9172-BC9FFA925EED}"/>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453627</xdr:rowOff>
    </xdr:from>
    <xdr:to>
      <xdr:col>6</xdr:col>
      <xdr:colOff>7209</xdr:colOff>
      <xdr:row>16</xdr:row>
      <xdr:rowOff>173417</xdr:rowOff>
    </xdr:to>
    <xdr:sp macro="" textlink="">
      <xdr:nvSpPr>
        <xdr:cNvPr id="16" name="TextBox 15">
          <a:extLst>
            <a:ext uri="{FF2B5EF4-FFF2-40B4-BE49-F238E27FC236}">
              <a16:creationId xmlns:a16="http://schemas.microsoft.com/office/drawing/2014/main" id="{8ACDBCF3-DC86-4460-9426-07067DCAF324}"/>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31</xdr:row>
      <xdr:rowOff>453627</xdr:rowOff>
    </xdr:from>
    <xdr:ext cx="65" cy="172227"/>
    <xdr:sp macro="" textlink="">
      <xdr:nvSpPr>
        <xdr:cNvPr id="17" name="TextBox 16">
          <a:extLst>
            <a:ext uri="{FF2B5EF4-FFF2-40B4-BE49-F238E27FC236}">
              <a16:creationId xmlns:a16="http://schemas.microsoft.com/office/drawing/2014/main" id="{6D10CC00-0055-429C-9172-BC9FFA925EED}"/>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31</xdr:row>
      <xdr:rowOff>453627</xdr:rowOff>
    </xdr:from>
    <xdr:ext cx="65" cy="172227"/>
    <xdr:sp macro="" textlink="">
      <xdr:nvSpPr>
        <xdr:cNvPr id="18" name="TextBox 17">
          <a:extLst>
            <a:ext uri="{FF2B5EF4-FFF2-40B4-BE49-F238E27FC236}">
              <a16:creationId xmlns:a16="http://schemas.microsoft.com/office/drawing/2014/main" id="{6D10CC00-0055-429C-9172-BC9FFA925EED}"/>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31</xdr:row>
      <xdr:rowOff>453627</xdr:rowOff>
    </xdr:from>
    <xdr:ext cx="65" cy="172227"/>
    <xdr:sp macro="" textlink="">
      <xdr:nvSpPr>
        <xdr:cNvPr id="19" name="TextBox 18">
          <a:extLst>
            <a:ext uri="{FF2B5EF4-FFF2-40B4-BE49-F238E27FC236}">
              <a16:creationId xmlns:a16="http://schemas.microsoft.com/office/drawing/2014/main" id="{8ACDBCF3-DC86-4460-9426-07067DCAF324}"/>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31</xdr:row>
      <xdr:rowOff>453627</xdr:rowOff>
    </xdr:from>
    <xdr:to>
      <xdr:col>6</xdr:col>
      <xdr:colOff>7209</xdr:colOff>
      <xdr:row>32</xdr:row>
      <xdr:rowOff>173417</xdr:rowOff>
    </xdr:to>
    <xdr:sp macro="" textlink="">
      <xdr:nvSpPr>
        <xdr:cNvPr id="20" name="TextBox 19">
          <a:extLst>
            <a:ext uri="{FF2B5EF4-FFF2-40B4-BE49-F238E27FC236}">
              <a16:creationId xmlns:a16="http://schemas.microsoft.com/office/drawing/2014/main" id="{6D10CC00-0055-429C-9172-BC9FFA925EED}"/>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31</xdr:row>
      <xdr:rowOff>453627</xdr:rowOff>
    </xdr:from>
    <xdr:to>
      <xdr:col>6</xdr:col>
      <xdr:colOff>7209</xdr:colOff>
      <xdr:row>32</xdr:row>
      <xdr:rowOff>173417</xdr:rowOff>
    </xdr:to>
    <xdr:sp macro="" textlink="">
      <xdr:nvSpPr>
        <xdr:cNvPr id="21" name="TextBox 20">
          <a:extLst>
            <a:ext uri="{FF2B5EF4-FFF2-40B4-BE49-F238E27FC236}">
              <a16:creationId xmlns:a16="http://schemas.microsoft.com/office/drawing/2014/main" id="{8ACDBCF3-DC86-4460-9426-07067DCAF324}"/>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3</xdr:col>
      <xdr:colOff>9525</xdr:colOff>
      <xdr:row>26</xdr:row>
      <xdr:rowOff>114300</xdr:rowOff>
    </xdr:from>
    <xdr:to>
      <xdr:col>12</xdr:col>
      <xdr:colOff>155682</xdr:colOff>
      <xdr:row>27</xdr:row>
      <xdr:rowOff>166943</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3400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kWhUnit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3400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"∆kWhUnit " </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2269331</xdr:colOff>
      <xdr:row>3</xdr:row>
      <xdr:rowOff>0</xdr:rowOff>
    </xdr:from>
    <xdr:ext cx="65" cy="172227"/>
    <xdr:sp macro="" textlink="">
      <xdr:nvSpPr>
        <xdr:cNvPr id="23" name="TextBox 22">
          <a:extLst>
            <a:ext uri="{FF2B5EF4-FFF2-40B4-BE49-F238E27FC236}">
              <a16:creationId xmlns:a16="http://schemas.microsoft.com/office/drawing/2014/main" id="{6A85CCD3-9CE8-4F1D-A6E1-71E1121F1F1B}"/>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4" name="TextBox 23">
          <a:extLst>
            <a:ext uri="{FF2B5EF4-FFF2-40B4-BE49-F238E27FC236}">
              <a16:creationId xmlns:a16="http://schemas.microsoft.com/office/drawing/2014/main" id="{C98CAA05-1DBF-4691-93F9-3AB08514FFE1}"/>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5" name="TextBox 24">
          <a:extLst>
            <a:ext uri="{FF2B5EF4-FFF2-40B4-BE49-F238E27FC236}">
              <a16:creationId xmlns:a16="http://schemas.microsoft.com/office/drawing/2014/main" id="{6A85CCD3-9CE8-4F1D-A6E1-71E1121F1F1B}"/>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6" name="TextBox 25">
          <a:extLst>
            <a:ext uri="{FF2B5EF4-FFF2-40B4-BE49-F238E27FC236}">
              <a16:creationId xmlns:a16="http://schemas.microsoft.com/office/drawing/2014/main" id="{C98CAA05-1DBF-4691-93F9-3AB08514FFE1}"/>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7" name="TextBox 26">
          <a:extLst>
            <a:ext uri="{FF2B5EF4-FFF2-40B4-BE49-F238E27FC236}">
              <a16:creationId xmlns:a16="http://schemas.microsoft.com/office/drawing/2014/main" id="{6A85CCD3-9CE8-4F1D-A6E1-71E1121F1F1B}"/>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8" name="TextBox 27">
          <a:extLst>
            <a:ext uri="{FF2B5EF4-FFF2-40B4-BE49-F238E27FC236}">
              <a16:creationId xmlns:a16="http://schemas.microsoft.com/office/drawing/2014/main" id="{C98CAA05-1DBF-4691-93F9-3AB08514FFE1}"/>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9" name="TextBox 28">
          <a:extLst>
            <a:ext uri="{FF2B5EF4-FFF2-40B4-BE49-F238E27FC236}">
              <a16:creationId xmlns:a16="http://schemas.microsoft.com/office/drawing/2014/main" id="{6A85CCD3-9CE8-4F1D-A6E1-71E1121F1F1B}"/>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30" name="TextBox 29">
          <a:extLst>
            <a:ext uri="{FF2B5EF4-FFF2-40B4-BE49-F238E27FC236}">
              <a16:creationId xmlns:a16="http://schemas.microsoft.com/office/drawing/2014/main" id="{C98CAA05-1DBF-4691-93F9-3AB08514FFE1}"/>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1" name="TextBox 30">
          <a:extLst>
            <a:ext uri="{FF2B5EF4-FFF2-40B4-BE49-F238E27FC236}">
              <a16:creationId xmlns:a16="http://schemas.microsoft.com/office/drawing/2014/main" id="{6A85CCD3-9CE8-4F1D-A6E1-71E1121F1F1B}"/>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2" name="TextBox 31">
          <a:extLst>
            <a:ext uri="{FF2B5EF4-FFF2-40B4-BE49-F238E27FC236}">
              <a16:creationId xmlns:a16="http://schemas.microsoft.com/office/drawing/2014/main" id="{C98CAA05-1DBF-4691-93F9-3AB08514FFE1}"/>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3" name="TextBox 32">
          <a:extLst>
            <a:ext uri="{FF2B5EF4-FFF2-40B4-BE49-F238E27FC236}">
              <a16:creationId xmlns:a16="http://schemas.microsoft.com/office/drawing/2014/main" id="{6A85CCD3-9CE8-4F1D-A6E1-71E1121F1F1B}"/>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4" name="TextBox 33">
          <a:extLst>
            <a:ext uri="{FF2B5EF4-FFF2-40B4-BE49-F238E27FC236}">
              <a16:creationId xmlns:a16="http://schemas.microsoft.com/office/drawing/2014/main" id="{C98CAA05-1DBF-4691-93F9-3AB08514FFE1}"/>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5" name="TextBox 34">
          <a:extLst>
            <a:ext uri="{FF2B5EF4-FFF2-40B4-BE49-F238E27FC236}">
              <a16:creationId xmlns:a16="http://schemas.microsoft.com/office/drawing/2014/main" id="{6A85CCD3-9CE8-4F1D-A6E1-71E1121F1F1B}"/>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6" name="TextBox 35">
          <a:extLst>
            <a:ext uri="{FF2B5EF4-FFF2-40B4-BE49-F238E27FC236}">
              <a16:creationId xmlns:a16="http://schemas.microsoft.com/office/drawing/2014/main" id="{C98CAA05-1DBF-4691-93F9-3AB08514FFE1}"/>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7" name="TextBox 36">
          <a:extLst>
            <a:ext uri="{FF2B5EF4-FFF2-40B4-BE49-F238E27FC236}">
              <a16:creationId xmlns:a16="http://schemas.microsoft.com/office/drawing/2014/main" id="{6A85CCD3-9CE8-4F1D-A6E1-71E1121F1F1B}"/>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8" name="TextBox 37">
          <a:extLst>
            <a:ext uri="{FF2B5EF4-FFF2-40B4-BE49-F238E27FC236}">
              <a16:creationId xmlns:a16="http://schemas.microsoft.com/office/drawing/2014/main" id="{C98CAA05-1DBF-4691-93F9-3AB08514FFE1}"/>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6A85CCD3-9CE8-4F1D-A6E1-71E1121F1F1B}"/>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C98CAA05-1DBF-4691-93F9-3AB08514FFE1}"/>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34018</xdr:colOff>
      <xdr:row>30</xdr:row>
      <xdr:rowOff>11453</xdr:rowOff>
    </xdr:from>
    <xdr:to>
      <xdr:col>4</xdr:col>
      <xdr:colOff>4340678</xdr:colOff>
      <xdr:row>33</xdr:row>
      <xdr:rowOff>104320</xdr:rowOff>
    </xdr:to>
    <mc:AlternateContent xmlns:mc="http://schemas.openxmlformats.org/markup-compatibility/2006" xmlns:a14="http://schemas.microsoft.com/office/drawing/2010/main">
      <mc:Choice Requires="a14">
        <xdr:sp macro="" textlink="">
          <xdr:nvSpPr>
            <xdr:cNvPr id="2" name="TextBox 1"/>
            <xdr:cNvSpPr txBox="1"/>
          </xdr:nvSpPr>
          <xdr:spPr>
            <a:xfrm>
              <a:off x="2205718" y="7677150"/>
              <a:ext cx="57830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b="0" i="1" baseline="0">
                                <a:solidFill>
                                  <a:schemeClr val="tx1"/>
                                </a:solidFill>
                                <a:effectLst/>
                                <a:latin typeface="Book Antiqua" panose="02040602050305030304" pitchFamily="18" charset="0"/>
                                <a:ea typeface="+mn-ea"/>
                                <a:cs typeface="+mn-cs"/>
                              </a:rPr>
                              <m:t>Hours</m:t>
                            </m:r>
                            <m:r>
                              <m:rPr>
                                <m:nor/>
                              </m:rPr>
                              <a:rPr lang="en-US" sz="1400" b="0" i="1" baseline="0">
                                <a:solidFill>
                                  <a:schemeClr val="tx1"/>
                                </a:solidFill>
                                <a:effectLst/>
                                <a:latin typeface="Book Antiqua" panose="02040602050305030304" pitchFamily="18" charset="0"/>
                                <a:ea typeface="+mn-ea"/>
                                <a:cs typeface="+mn-cs"/>
                              </a:rPr>
                              <m:t> ∗ </m:t>
                            </m:r>
                            <m:r>
                              <m:rPr>
                                <m:nor/>
                              </m:rPr>
                              <a:rPr lang="en-US" sz="1100" i="1" baseline="0">
                                <a:solidFill>
                                  <a:schemeClr val="tx1"/>
                                </a:solidFill>
                                <a:effectLst/>
                                <a:latin typeface="+mn-lt"/>
                                <a:ea typeface="+mn-ea"/>
                                <a:cs typeface="+mn-cs"/>
                              </a:rPr>
                              <m:t>WHF</m:t>
                            </m:r>
                            <m:r>
                              <m:rPr>
                                <m:nor/>
                              </m:rPr>
                              <a:rPr lang="en-US" sz="1100" b="0" i="1" baseline="0">
                                <a:solidFill>
                                  <a:schemeClr val="tx1"/>
                                </a:solidFill>
                                <a:effectLst/>
                                <a:latin typeface="+mn-lt"/>
                                <a:ea typeface="+mn-ea"/>
                                <a:cs typeface="+mn-cs"/>
                              </a:rPr>
                              <m:t>e</m:t>
                            </m:r>
                            <m:r>
                              <m:rPr>
                                <m:nor/>
                              </m:rPr>
                              <a:rPr lang="en-US" sz="1100" b="0" i="1" baseline="0">
                                <a:solidFill>
                                  <a:schemeClr val="tx1"/>
                                </a:solidFill>
                                <a:effectLst/>
                                <a:latin typeface="+mn-lt"/>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2" name="TextBox 1"/>
            <xdr:cNvSpPr txBox="1"/>
          </xdr:nvSpPr>
          <xdr:spPr>
            <a:xfrm>
              <a:off x="2205718" y="7677150"/>
              <a:ext cx="57830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a:t>
              </a:r>
              <a:r>
                <a:rPr lang="en-US" sz="1400" b="0" i="0" baseline="0">
                  <a:solidFill>
                    <a:schemeClr val="tx1"/>
                  </a:solidFill>
                  <a:effectLst/>
                  <a:latin typeface="Book Antiqua" panose="02040602050305030304" pitchFamily="18" charset="0"/>
                  <a:ea typeface="+mn-ea"/>
                  <a:cs typeface="+mn-cs"/>
                </a:rPr>
                <a:t>Hours ∗ </a:t>
              </a:r>
              <a:r>
                <a:rPr lang="en-US" sz="1100" i="0" baseline="0">
                  <a:solidFill>
                    <a:schemeClr val="tx1"/>
                  </a:solidFill>
                  <a:effectLst/>
                  <a:latin typeface="+mn-lt"/>
                  <a:ea typeface="+mn-ea"/>
                  <a:cs typeface="+mn-cs"/>
                </a:rPr>
                <a:t>WHF</a:t>
              </a:r>
              <a:r>
                <a:rPr lang="en-US" sz="1100" b="0" i="0" baseline="0">
                  <a:solidFill>
                    <a:schemeClr val="tx1"/>
                  </a:solidFill>
                  <a:effectLst/>
                  <a:latin typeface="+mn-lt"/>
                  <a:ea typeface="+mn-ea"/>
                  <a:cs typeface="+mn-cs"/>
                </a:rPr>
                <a:t>e ∗ </a:t>
              </a:r>
              <a:r>
                <a:rPr lang="en-US" sz="1400" i="0" baseline="0">
                  <a:solidFill>
                    <a:schemeClr val="tx1"/>
                  </a:solidFill>
                  <a:effectLst/>
                  <a:latin typeface="Book Antiqua" panose="02040602050305030304" pitchFamily="18" charset="0"/>
                  <a:ea typeface="+mn-ea"/>
                  <a:cs typeface="+mn-cs"/>
                </a:rPr>
                <a:t>ISR </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735013</xdr:colOff>
      <xdr:row>112</xdr:row>
      <xdr:rowOff>142869</xdr:rowOff>
    </xdr:from>
    <xdr:to>
      <xdr:col>5</xdr:col>
      <xdr:colOff>137972</xdr:colOff>
      <xdr:row>114</xdr:row>
      <xdr:rowOff>50255</xdr:rowOff>
    </xdr:to>
    <mc:AlternateContent xmlns:mc="http://schemas.openxmlformats.org/markup-compatibility/2006" xmlns:a14="http://schemas.microsoft.com/office/drawing/2010/main">
      <mc:Choice Requires="a14">
        <xdr:sp macro="" textlink="">
          <xdr:nvSpPr>
            <xdr:cNvPr id="3" name="TextBox 2"/>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3" name="TextBox 2"/>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754824</xdr:colOff>
      <xdr:row>115</xdr:row>
      <xdr:rowOff>95247</xdr:rowOff>
    </xdr:from>
    <xdr:to>
      <xdr:col>6</xdr:col>
      <xdr:colOff>603715</xdr:colOff>
      <xdr:row>117</xdr:row>
      <xdr:rowOff>152572</xdr:rowOff>
    </xdr:to>
    <mc:AlternateContent xmlns:mc="http://schemas.openxmlformats.org/markup-compatibility/2006" xmlns:a14="http://schemas.microsoft.com/office/drawing/2010/main">
      <mc:Choice Requires="a14">
        <xdr:sp macro="" textlink="">
          <xdr:nvSpPr>
            <xdr:cNvPr id="4" name="TextBox 3"/>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 name="TextBox 3"/>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90149</xdr:colOff>
      <xdr:row>33</xdr:row>
      <xdr:rowOff>115661</xdr:rowOff>
    </xdr:from>
    <xdr:to>
      <xdr:col>5</xdr:col>
      <xdr:colOff>932461</xdr:colOff>
      <xdr:row>35</xdr:row>
      <xdr:rowOff>172986</xdr:rowOff>
    </xdr:to>
    <mc:AlternateContent xmlns:mc="http://schemas.openxmlformats.org/markup-compatibility/2006" xmlns:a14="http://schemas.microsoft.com/office/drawing/2010/main">
      <mc:Choice Requires="a14">
        <xdr:sp macro="" textlink="">
          <xdr:nvSpPr>
            <xdr:cNvPr id="5" name="TextBox 4"/>
            <xdr:cNvSpPr txBox="1"/>
          </xdr:nvSpPr>
          <xdr:spPr>
            <a:xfrm>
              <a:off x="2261849" y="7677150"/>
              <a:ext cx="713833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 name="TextBox 4"/>
            <xdr:cNvSpPr txBox="1"/>
          </xdr:nvSpPr>
          <xdr:spPr>
            <a:xfrm>
              <a:off x="2261849" y="7677150"/>
              <a:ext cx="713833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145</xdr:row>
      <xdr:rowOff>95247</xdr:rowOff>
    </xdr:from>
    <xdr:to>
      <xdr:col>6</xdr:col>
      <xdr:colOff>603715</xdr:colOff>
      <xdr:row>147</xdr:row>
      <xdr:rowOff>152572</xdr:rowOff>
    </xdr:to>
    <mc:AlternateContent xmlns:mc="http://schemas.openxmlformats.org/markup-compatibility/2006" xmlns:a14="http://schemas.microsoft.com/office/drawing/2010/main">
      <mc:Choice Requires="a14">
        <xdr:sp macro="" textlink="">
          <xdr:nvSpPr>
            <xdr:cNvPr id="6" name="TextBox 5"/>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719417</xdr:colOff>
      <xdr:row>143</xdr:row>
      <xdr:rowOff>69476</xdr:rowOff>
    </xdr:from>
    <xdr:to>
      <xdr:col>4</xdr:col>
      <xdr:colOff>4615571</xdr:colOff>
      <xdr:row>144</xdr:row>
      <xdr:rowOff>129889</xdr:rowOff>
    </xdr:to>
    <mc:AlternateContent xmlns:mc="http://schemas.openxmlformats.org/markup-compatibility/2006" xmlns:a14="http://schemas.microsoft.com/office/drawing/2010/main">
      <mc:Choice Requires="a14">
        <xdr:sp macro="" textlink="">
          <xdr:nvSpPr>
            <xdr:cNvPr id="7" name="TextBox 6"/>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754824</xdr:colOff>
      <xdr:row>168</xdr:row>
      <xdr:rowOff>95247</xdr:rowOff>
    </xdr:from>
    <xdr:to>
      <xdr:col>6</xdr:col>
      <xdr:colOff>603715</xdr:colOff>
      <xdr:row>170</xdr:row>
      <xdr:rowOff>152572</xdr:rowOff>
    </xdr:to>
    <mc:AlternateContent xmlns:mc="http://schemas.openxmlformats.org/markup-compatibility/2006" xmlns:a14="http://schemas.microsoft.com/office/drawing/2010/main">
      <mc:Choice Requires="a14">
        <xdr:sp macro="" textlink="">
          <xdr:nvSpPr>
            <xdr:cNvPr id="8" name="TextBox 7"/>
            <xdr:cNvSpPr txBox="1"/>
          </xdr:nvSpPr>
          <xdr:spPr>
            <a:xfrm>
              <a:off x="2926524" y="1890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xdr:cNvSpPr txBox="1"/>
          </xdr:nvSpPr>
          <xdr:spPr>
            <a:xfrm>
              <a:off x="2926524" y="1890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165</xdr:row>
      <xdr:rowOff>67236</xdr:rowOff>
    </xdr:from>
    <xdr:to>
      <xdr:col>4</xdr:col>
      <xdr:colOff>5304864</xdr:colOff>
      <xdr:row>168</xdr:row>
      <xdr:rowOff>62754</xdr:rowOff>
    </xdr:to>
    <xdr:pic>
      <xdr:nvPicPr>
        <xdr:cNvPr id="9" name="Picture 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11288" y="18907125"/>
          <a:ext cx="555587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894362</xdr:colOff>
      <xdr:row>165</xdr:row>
      <xdr:rowOff>27214</xdr:rowOff>
    </xdr:from>
    <xdr:to>
      <xdr:col>11</xdr:col>
      <xdr:colOff>1003591</xdr:colOff>
      <xdr:row>170</xdr:row>
      <xdr:rowOff>17689</xdr:rowOff>
    </xdr:to>
    <xdr:pic>
      <xdr:nvPicPr>
        <xdr:cNvPr id="10" name="Picture 9"/>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610112" y="18907125"/>
          <a:ext cx="5024129"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164</xdr:row>
      <xdr:rowOff>176894</xdr:rowOff>
    </xdr:from>
    <xdr:to>
      <xdr:col>19</xdr:col>
      <xdr:colOff>20410</xdr:colOff>
      <xdr:row>170</xdr:row>
      <xdr:rowOff>24494</xdr:rowOff>
    </xdr:to>
    <xdr:pic>
      <xdr:nvPicPr>
        <xdr:cNvPr id="11" name="Picture 10"/>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533053" y="18907125"/>
          <a:ext cx="5461907"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754824</xdr:colOff>
      <xdr:row>189</xdr:row>
      <xdr:rowOff>95247</xdr:rowOff>
    </xdr:from>
    <xdr:to>
      <xdr:col>6</xdr:col>
      <xdr:colOff>603715</xdr:colOff>
      <xdr:row>191</xdr:row>
      <xdr:rowOff>152572</xdr:rowOff>
    </xdr:to>
    <mc:AlternateContent xmlns:mc="http://schemas.openxmlformats.org/markup-compatibility/2006" xmlns:a14="http://schemas.microsoft.com/office/drawing/2010/main">
      <mc:Choice Requires="a14">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719418</xdr:colOff>
      <xdr:row>185</xdr:row>
      <xdr:rowOff>28655</xdr:rowOff>
    </xdr:from>
    <xdr:to>
      <xdr:col>4</xdr:col>
      <xdr:colOff>3196400</xdr:colOff>
      <xdr:row>189</xdr:row>
      <xdr:rowOff>122873</xdr:rowOff>
    </xdr:to>
    <mc:AlternateContent xmlns:mc="http://schemas.openxmlformats.org/markup-compatibility/2006" xmlns:a14="http://schemas.microsoft.com/office/drawing/2010/main">
      <mc:Choice Requires="a14">
        <xdr:sp macro="" textlink="">
          <xdr:nvSpPr>
            <xdr:cNvPr id="13" name="TextBox 12"/>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𝑄</m:t>
                        </m:r>
                      </m:e>
                      <m:sub>
                        <m:r>
                          <a:rPr lang="en-US" sz="1600" b="0" i="1">
                            <a:latin typeface="Cambria Math" panose="02040503050406030204" pitchFamily="18" charset="0"/>
                            <a:ea typeface="Cambria Math" panose="02040503050406030204" pitchFamily="18" charset="0"/>
                          </a:rPr>
                          <m:t>𝑃𝑜𝑜𝑙𝐻𝑒𝑎𝑡𝑖𝑛𝑔</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eqArr>
                          <m:eqArrPr>
                            <m:ctrlPr>
                              <a:rPr lang="en-US" sz="1600" b="0" i="1">
                                <a:latin typeface="Cambria Math" panose="02040503050406030204" pitchFamily="18" charset="0"/>
                                <a:ea typeface="Cambria Math" panose="02040503050406030204" pitchFamily="18" charset="0"/>
                              </a:rPr>
                            </m:ctrlPr>
                          </m:eqArrPr>
                          <m:e>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𝐸𝐸</m:t>
                                    </m:r>
                                  </m:sub>
                                </m:sSub>
                              </m:den>
                            </m:f>
                          </m:e>
                          <m:e/>
                        </m:eqArr>
                      </m:e>
                    </m:d>
                  </m:oMath>
                </m:oMathPara>
              </a14:m>
              <a:endParaRPr lang="en-US" sz="1600" b="0"/>
            </a:p>
          </xdr:txBody>
        </xdr:sp>
      </mc:Choice>
      <mc:Fallback xmlns="">
        <xdr:sp macro="" textlink="">
          <xdr:nvSpPr>
            <xdr:cNvPr id="13" name="TextBox 12"/>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b="0" i="0">
                  <a:latin typeface="Cambria Math" panose="02040503050406030204" pitchFamily="18" charset="0"/>
                  <a:ea typeface="Cambria Math" panose="02040503050406030204" pitchFamily="18" charset="0"/>
                </a:rPr>
                <a:t>∆𝑘𝑊ℎ=𝑄_𝑃𝑜𝑜𝑙𝐻𝑒𝑎𝑡𝑖𝑛𝑔∗(█(1/〖𝐸𝑓𝑓〗_𝐵𝑎𝑠𝑒 −1/〖𝐸𝑓𝑓〗_𝐸𝐸 @))</a:t>
              </a:r>
              <a:endParaRPr lang="en-US" sz="1600" b="0"/>
            </a:p>
          </xdr:txBody>
        </xdr:sp>
      </mc:Fallback>
    </mc:AlternateContent>
    <xdr:clientData/>
  </xdr:twoCellAnchor>
  <xdr:twoCellAnchor>
    <xdr:from>
      <xdr:col>3</xdr:col>
      <xdr:colOff>754824</xdr:colOff>
      <xdr:row>206</xdr:row>
      <xdr:rowOff>95247</xdr:rowOff>
    </xdr:from>
    <xdr:to>
      <xdr:col>6</xdr:col>
      <xdr:colOff>603715</xdr:colOff>
      <xdr:row>208</xdr:row>
      <xdr:rowOff>152572</xdr:rowOff>
    </xdr:to>
    <mc:AlternateContent xmlns:mc="http://schemas.openxmlformats.org/markup-compatibility/2006" xmlns:a14="http://schemas.microsoft.com/office/drawing/2010/main">
      <mc:Choice Requires="a14">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203</xdr:row>
      <xdr:rowOff>155121</xdr:rowOff>
    </xdr:from>
    <xdr:to>
      <xdr:col>4</xdr:col>
      <xdr:colOff>923120</xdr:colOff>
      <xdr:row>205</xdr:row>
      <xdr:rowOff>56784</xdr:rowOff>
    </xdr:to>
    <mc:AlternateContent xmlns:mc="http://schemas.openxmlformats.org/markup-compatibility/2006" xmlns:a14="http://schemas.microsoft.com/office/drawing/2010/main">
      <mc:Choice Requires="a14">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754824</xdr:colOff>
      <xdr:row>220</xdr:row>
      <xdr:rowOff>95247</xdr:rowOff>
    </xdr:from>
    <xdr:to>
      <xdr:col>6</xdr:col>
      <xdr:colOff>603715</xdr:colOff>
      <xdr:row>222</xdr:row>
      <xdr:rowOff>152572</xdr:rowOff>
    </xdr:to>
    <mc:AlternateContent xmlns:mc="http://schemas.openxmlformats.org/markup-compatibility/2006" xmlns:a14="http://schemas.microsoft.com/office/drawing/2010/main">
      <mc:Choice Requires="a14">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239</xdr:row>
      <xdr:rowOff>95247</xdr:rowOff>
    </xdr:from>
    <xdr:to>
      <xdr:col>6</xdr:col>
      <xdr:colOff>603715</xdr:colOff>
      <xdr:row>241</xdr:row>
      <xdr:rowOff>152572</xdr:rowOff>
    </xdr:to>
    <mc:AlternateContent xmlns:mc="http://schemas.openxmlformats.org/markup-compatibility/2006" xmlns:a14="http://schemas.microsoft.com/office/drawing/2010/main">
      <mc:Choice Requires="a14">
        <xdr:sp macro="" textlink="">
          <xdr:nvSpPr>
            <xdr:cNvPr id="17" name="TextBox 16"/>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7" name="TextBox 16"/>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761999</xdr:colOff>
      <xdr:row>236</xdr:row>
      <xdr:rowOff>163287</xdr:rowOff>
    </xdr:from>
    <xdr:to>
      <xdr:col>4</xdr:col>
      <xdr:colOff>3637222</xdr:colOff>
      <xdr:row>238</xdr:row>
      <xdr:rowOff>12247</xdr:rowOff>
    </xdr:to>
    <xdr:pic>
      <xdr:nvPicPr>
        <xdr:cNvPr id="18" name="Picture 17"/>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699" y="24622125"/>
          <a:ext cx="4351598"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4503964</xdr:colOff>
      <xdr:row>235</xdr:row>
      <xdr:rowOff>186417</xdr:rowOff>
    </xdr:from>
    <xdr:to>
      <xdr:col>15</xdr:col>
      <xdr:colOff>127918</xdr:colOff>
      <xdr:row>238</xdr:row>
      <xdr:rowOff>84159</xdr:rowOff>
    </xdr:to>
    <mc:AlternateContent xmlns:mc="http://schemas.openxmlformats.org/markup-compatibility/2006" xmlns:a14="http://schemas.microsoft.com/office/drawing/2010/main">
      <mc:Choice Requires="a14">
        <xdr:sp macro="" textlink="">
          <xdr:nvSpPr>
            <xdr:cNvPr id="19" name="TextBox 18"/>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19" name="TextBox 18"/>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4501243</xdr:colOff>
      <xdr:row>239</xdr:row>
      <xdr:rowOff>6123</xdr:rowOff>
    </xdr:from>
    <xdr:to>
      <xdr:col>6</xdr:col>
      <xdr:colOff>743951</xdr:colOff>
      <xdr:row>241</xdr:row>
      <xdr:rowOff>14012</xdr:rowOff>
    </xdr:to>
    <mc:AlternateContent xmlns:mc="http://schemas.openxmlformats.org/markup-compatibility/2006" xmlns:a14="http://schemas.microsoft.com/office/drawing/2010/main">
      <mc:Choice Requires="a14">
        <xdr:sp macro="" textlink="">
          <xdr:nvSpPr>
            <xdr:cNvPr id="20" name="TextBox 19"/>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20" name="TextBox 19"/>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754824</xdr:colOff>
      <xdr:row>260</xdr:row>
      <xdr:rowOff>95247</xdr:rowOff>
    </xdr:from>
    <xdr:to>
      <xdr:col>6</xdr:col>
      <xdr:colOff>603715</xdr:colOff>
      <xdr:row>262</xdr:row>
      <xdr:rowOff>152572</xdr:rowOff>
    </xdr:to>
    <mc:AlternateContent xmlns:mc="http://schemas.openxmlformats.org/markup-compatibility/2006" xmlns:a14="http://schemas.microsoft.com/office/drawing/2010/main">
      <mc:Choice Requires="a14">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258</xdr:row>
      <xdr:rowOff>13607</xdr:rowOff>
    </xdr:from>
    <xdr:to>
      <xdr:col>4</xdr:col>
      <xdr:colOff>4432149</xdr:colOff>
      <xdr:row>259</xdr:row>
      <xdr:rowOff>53068</xdr:rowOff>
    </xdr:to>
    <xdr:pic>
      <xdr:nvPicPr>
        <xdr:cNvPr id="22" name="Picture 21"/>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700" y="26336625"/>
          <a:ext cx="5146524"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278</xdr:row>
      <xdr:rowOff>122461</xdr:rowOff>
    </xdr:from>
    <xdr:to>
      <xdr:col>5</xdr:col>
      <xdr:colOff>1882787</xdr:colOff>
      <xdr:row>281</xdr:row>
      <xdr:rowOff>16500</xdr:rowOff>
    </xdr:to>
    <mc:AlternateContent xmlns:mc="http://schemas.openxmlformats.org/markup-compatibility/2006" xmlns:a14="http://schemas.microsoft.com/office/drawing/2010/main">
      <mc:Choice Requires="a14">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293</xdr:row>
      <xdr:rowOff>95247</xdr:rowOff>
    </xdr:from>
    <xdr:to>
      <xdr:col>6</xdr:col>
      <xdr:colOff>603715</xdr:colOff>
      <xdr:row>295</xdr:row>
      <xdr:rowOff>152572</xdr:rowOff>
    </xdr:to>
    <mc:AlternateContent xmlns:mc="http://schemas.openxmlformats.org/markup-compatibility/2006" xmlns:a14="http://schemas.microsoft.com/office/drawing/2010/main">
      <mc:Choice Requires="a14">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290</xdr:row>
      <xdr:rowOff>148317</xdr:rowOff>
    </xdr:from>
    <xdr:to>
      <xdr:col>6</xdr:col>
      <xdr:colOff>789214</xdr:colOff>
      <xdr:row>293</xdr:row>
      <xdr:rowOff>43633</xdr:rowOff>
    </xdr:to>
    <mc:AlternateContent xmlns:mc="http://schemas.openxmlformats.org/markup-compatibility/2006" xmlns:a14="http://schemas.microsoft.com/office/drawing/2010/main">
      <mc:Choice Requires="a14">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754824</xdr:colOff>
      <xdr:row>308</xdr:row>
      <xdr:rowOff>95248</xdr:rowOff>
    </xdr:from>
    <xdr:to>
      <xdr:col>6</xdr:col>
      <xdr:colOff>603715</xdr:colOff>
      <xdr:row>309</xdr:row>
      <xdr:rowOff>108858</xdr:rowOff>
    </xdr:to>
    <mc:AlternateContent xmlns:mc="http://schemas.openxmlformats.org/markup-compatibility/2006" xmlns:a14="http://schemas.microsoft.com/office/drawing/2010/main">
      <mc:Choice Requires="a14">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304</xdr:row>
      <xdr:rowOff>93890</xdr:rowOff>
    </xdr:from>
    <xdr:to>
      <xdr:col>11</xdr:col>
      <xdr:colOff>979714</xdr:colOff>
      <xdr:row>307</xdr:row>
      <xdr:rowOff>139118</xdr:rowOff>
    </xdr:to>
    <mc:AlternateContent xmlns:mc="http://schemas.openxmlformats.org/markup-compatibility/2006" xmlns:a14="http://schemas.microsoft.com/office/drawing/2010/main">
      <mc:Choice Requires="a14">
        <xdr:sp macro="" textlink="">
          <xdr:nvSpPr>
            <xdr:cNvPr id="27" name="TextBox 26"/>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ea typeface="Cambria Math" panose="02040503050406030204" pitchFamily="18" charset="0"/>
                      </a:rPr>
                      <m:t>∆</m:t>
                    </m:r>
                    <m:sSub>
                      <m:sSubPr>
                        <m:ctrlPr>
                          <a:rPr lang="en-US" sz="160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𝑡𝑜𝑡𝑎𝑙</m:t>
                        </m:r>
                      </m:sub>
                    </m:sSub>
                    <m:r>
                      <a:rPr lang="en-US" sz="1600" b="0" i="1">
                        <a:latin typeface="Cambria Math" panose="02040503050406030204" pitchFamily="18" charset="0"/>
                        <a:ea typeface="Cambria Math" panose="02040503050406030204" pitchFamily="18" charset="0"/>
                      </a:rPr>
                      <m:t>=</m:t>
                    </m:r>
                    <m:d>
                      <m:dPr>
                        <m:begChr m:val="["/>
                        <m:endChr m:val="]"/>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.746∗</m:t>
                            </m:r>
                            <m:r>
                              <a:rPr lang="en-US" sz="1600" b="0" i="1">
                                <a:latin typeface="Cambria Math" panose="02040503050406030204" pitchFamily="18" charset="0"/>
                                <a:ea typeface="Cambria Math" panose="02040503050406030204" pitchFamily="18" charset="0"/>
                              </a:rPr>
                              <m:t>𝐻𝑃</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𝐿𝐹</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𝜂</m:t>
                                    </m:r>
                                  </m:e>
                                  <m:sub>
                                    <m:r>
                                      <a:rPr lang="en-US" sz="1600" b="0" i="1">
                                        <a:latin typeface="Cambria Math" panose="02040503050406030204" pitchFamily="18" charset="0"/>
                                        <a:ea typeface="Cambria Math" panose="02040503050406030204" pitchFamily="18" charset="0"/>
                                      </a:rPr>
                                      <m:t>𝑚𝑜𝑡𝑜𝑟</m:t>
                                    </m:r>
                                  </m:sub>
                                </m:sSub>
                              </m:den>
                            </m:f>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𝑅𝐻𝑅𝑆</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𝐵𝑎𝑠𝑒</m:t>
                            </m:r>
                          </m:sub>
                        </m:sSub>
                        <m:r>
                          <a:rPr lang="en-US" sz="1200" b="0" i="1">
                            <a:solidFill>
                              <a:schemeClr val="tx1"/>
                            </a:solidFill>
                            <a:effectLst/>
                            <a:latin typeface="Cambria Math" panose="02040503050406030204" pitchFamily="18" charset="0"/>
                            <a:ea typeface="+mn-ea"/>
                            <a:cs typeface="+mn-cs"/>
                          </a:rPr>
                          <m:t>)−(</m:t>
                        </m:r>
                        <m:d>
                          <m:dPr>
                            <m:ctrlPr>
                              <a:rPr lang="en-US" sz="1200" b="0" i="1">
                                <a:solidFill>
                                  <a:schemeClr val="tx1"/>
                                </a:solidFill>
                                <a:effectLst/>
                                <a:latin typeface="Cambria Math" panose="02040503050406030204" pitchFamily="18" charset="0"/>
                                <a:ea typeface="+mn-ea"/>
                                <a:cs typeface="+mn-cs"/>
                              </a:rPr>
                            </m:ctrlPr>
                          </m:dPr>
                          <m:e>
                            <m:r>
                              <a:rPr lang="en-US" sz="1200" b="0" i="1">
                                <a:solidFill>
                                  <a:schemeClr val="tx1"/>
                                </a:solidFill>
                                <a:effectLst/>
                                <a:latin typeface="Cambria Math" panose="02040503050406030204" pitchFamily="18" charset="0"/>
                                <a:ea typeface="+mn-ea"/>
                                <a:cs typeface="+mn-cs"/>
                              </a:rPr>
                              <m:t>.746∗</m:t>
                            </m:r>
                            <m:r>
                              <a:rPr lang="en-US" sz="1200" b="0" i="1">
                                <a:solidFill>
                                  <a:schemeClr val="tx1"/>
                                </a:solidFill>
                                <a:effectLst/>
                                <a:latin typeface="Cambria Math" panose="02040503050406030204" pitchFamily="18" charset="0"/>
                                <a:ea typeface="+mn-ea"/>
                                <a:cs typeface="+mn-cs"/>
                              </a:rPr>
                              <m:t>𝐻𝑃</m:t>
                            </m:r>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𝐿𝐹</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𝜂</m:t>
                                    </m:r>
                                  </m:e>
                                  <m:sub>
                                    <m:r>
                                      <a:rPr lang="en-US" sz="1200" b="0" i="1">
                                        <a:solidFill>
                                          <a:schemeClr val="tx1"/>
                                        </a:solidFill>
                                        <a:effectLst/>
                                        <a:latin typeface="Cambria Math" panose="02040503050406030204" pitchFamily="18" charset="0"/>
                                        <a:ea typeface="+mn-ea"/>
                                        <a:cs typeface="+mn-cs"/>
                                      </a:rPr>
                                      <m:t>𝑚𝑜𝑡𝑜𝑟</m:t>
                                    </m:r>
                                  </m:sub>
                                </m:sSub>
                              </m:den>
                            </m:f>
                          </m:e>
                        </m:d>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𝑅𝐻𝑅𝑆</m:t>
                            </m:r>
                          </m:e>
                          <m:sub>
                            <m:r>
                              <a:rPr lang="en-US" sz="1200" b="0" i="1">
                                <a:solidFill>
                                  <a:schemeClr val="tx1"/>
                                </a:solidFill>
                                <a:effectLst/>
                                <a:latin typeface="Cambria Math" panose="02040503050406030204" pitchFamily="18" charset="0"/>
                                <a:ea typeface="+mn-ea"/>
                                <a:cs typeface="+mn-cs"/>
                              </a:rPr>
                              <m:t>𝑏𝑎𝑠𝑒</m:t>
                            </m:r>
                          </m:sub>
                        </m:sSub>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𝐸𝑓𝑓</m:t>
                            </m:r>
                          </m:sub>
                        </m:sSub>
                        <m:r>
                          <a:rPr lang="en-US" sz="1200" b="0" i="1">
                            <a:solidFill>
                              <a:schemeClr val="tx1"/>
                            </a:solidFill>
                            <a:effectLst/>
                            <a:latin typeface="Cambria Math" panose="02040503050406030204" pitchFamily="18" charset="0"/>
                            <a:ea typeface="+mn-ea"/>
                            <a:cs typeface="+mn-cs"/>
                          </a:rPr>
                          <m:t>)</m:t>
                        </m:r>
                      </m:e>
                    </m:d>
                    <m:r>
                      <a:rPr lang="en-US" sz="1600" b="0" i="1">
                        <a:latin typeface="Cambria Math" panose="02040503050406030204" pitchFamily="18" charset="0"/>
                        <a:ea typeface="Cambria Math" panose="02040503050406030204" pitchFamily="18" charset="0"/>
                      </a:rPr>
                      <m:t>∗(1+</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𝐼𝐸</m:t>
                        </m:r>
                      </m:e>
                      <m:sub>
                        <m:r>
                          <a:rPr lang="en-US" sz="1600" b="0" i="1">
                            <a:latin typeface="Cambria Math" panose="02040503050406030204" pitchFamily="18" charset="0"/>
                            <a:ea typeface="Cambria Math" panose="02040503050406030204" pitchFamily="18" charset="0"/>
                          </a:rPr>
                          <m:t>𝑒𝑛𝑒𝑟𝑔𝑦</m:t>
                        </m:r>
                      </m:sub>
                    </m:sSub>
                    <m:r>
                      <a:rPr lang="en-US" sz="16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27" name="TextBox 26"/>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2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6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754824</xdr:colOff>
      <xdr:row>343</xdr:row>
      <xdr:rowOff>13604</xdr:rowOff>
    </xdr:from>
    <xdr:to>
      <xdr:col>6</xdr:col>
      <xdr:colOff>603715</xdr:colOff>
      <xdr:row>344</xdr:row>
      <xdr:rowOff>136071</xdr:rowOff>
    </xdr:to>
    <mc:AlternateContent xmlns:mc="http://schemas.openxmlformats.org/markup-compatibility/2006" xmlns:a14="http://schemas.microsoft.com/office/drawing/2010/main">
      <mc:Choice Requires="a14">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339</xdr:row>
      <xdr:rowOff>175532</xdr:rowOff>
    </xdr:from>
    <xdr:to>
      <xdr:col>4</xdr:col>
      <xdr:colOff>3625824</xdr:colOff>
      <xdr:row>342</xdr:row>
      <xdr:rowOff>119825</xdr:rowOff>
    </xdr:to>
    <mc:AlternateContent xmlns:mc="http://schemas.openxmlformats.org/markup-compatibility/2006" xmlns:a14="http://schemas.microsoft.com/office/drawing/2010/main">
      <mc:Choice Requires="a14">
        <xdr:sp macro="" textlink="">
          <xdr:nvSpPr>
            <xdr:cNvPr id="29" name="TextBox 28"/>
            <xdr:cNvSpPr txBox="1"/>
          </xdr:nvSpPr>
          <xdr:spPr>
            <a:xfrm>
              <a:off x="2952749" y="31489650"/>
              <a:ext cx="43211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xdr:cNvSpPr txBox="1"/>
          </xdr:nvSpPr>
          <xdr:spPr>
            <a:xfrm>
              <a:off x="2952749" y="31489650"/>
              <a:ext cx="43211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122464</xdr:colOff>
      <xdr:row>340</xdr:row>
      <xdr:rowOff>0</xdr:rowOff>
    </xdr:from>
    <xdr:to>
      <xdr:col>7</xdr:col>
      <xdr:colOff>300687</xdr:colOff>
      <xdr:row>342</xdr:row>
      <xdr:rowOff>134793</xdr:rowOff>
    </xdr:to>
    <mc:AlternateContent xmlns:mc="http://schemas.openxmlformats.org/markup-compatibility/2006" xmlns:a14="http://schemas.microsoft.com/office/drawing/2010/main">
      <mc:Choice Requires="a14">
        <xdr:sp macro="" textlink="">
          <xdr:nvSpPr>
            <xdr:cNvPr id="30" name="TextBox 29"/>
            <xdr:cNvSpPr txBox="1"/>
          </xdr:nvSpPr>
          <xdr:spPr>
            <a:xfrm>
              <a:off x="8590189" y="31489650"/>
              <a:ext cx="34262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xdr:cNvSpPr txBox="1"/>
          </xdr:nvSpPr>
          <xdr:spPr>
            <a:xfrm>
              <a:off x="8590189" y="31489650"/>
              <a:ext cx="34262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𝑘𝑊ℎ=(𝑘𝐵𝑡𝑢/ℎ𝑟)∗[(1/〖𝐸𝐸𝑅〗_𝑏𝑎𝑠𝑒 )−(1/〖𝐸𝐸𝑅〗_𝑒𝑒 )]∗𝐸𝐹𝐿𝐻</a:t>
              </a:r>
              <a:endParaRPr lang="en-US" sz="1100"/>
            </a:p>
          </xdr:txBody>
        </xdr:sp>
      </mc:Fallback>
    </mc:AlternateContent>
    <xdr:clientData/>
  </xdr:twoCellAnchor>
  <xdr:twoCellAnchor>
    <xdr:from>
      <xdr:col>3</xdr:col>
      <xdr:colOff>754824</xdr:colOff>
      <xdr:row>365</xdr:row>
      <xdr:rowOff>95247</xdr:rowOff>
    </xdr:from>
    <xdr:to>
      <xdr:col>6</xdr:col>
      <xdr:colOff>603715</xdr:colOff>
      <xdr:row>367</xdr:row>
      <xdr:rowOff>152572</xdr:rowOff>
    </xdr:to>
    <mc:AlternateContent xmlns:mc="http://schemas.openxmlformats.org/markup-compatibility/2006" xmlns:a14="http://schemas.microsoft.com/office/drawing/2010/main">
      <mc:Choice Requires="a14">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384</xdr:row>
      <xdr:rowOff>95247</xdr:rowOff>
    </xdr:from>
    <xdr:to>
      <xdr:col>6</xdr:col>
      <xdr:colOff>603715</xdr:colOff>
      <xdr:row>386</xdr:row>
      <xdr:rowOff>152572</xdr:rowOff>
    </xdr:to>
    <mc:AlternateContent xmlns:mc="http://schemas.openxmlformats.org/markup-compatibility/2006" xmlns:a14="http://schemas.microsoft.com/office/drawing/2010/main">
      <mc:Choice Requires="a14">
        <xdr:sp macro="" textlink="">
          <xdr:nvSpPr>
            <xdr:cNvPr id="32" name="TextBox 31"/>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362</xdr:row>
      <xdr:rowOff>27214</xdr:rowOff>
    </xdr:from>
    <xdr:to>
      <xdr:col>7</xdr:col>
      <xdr:colOff>1041738</xdr:colOff>
      <xdr:row>364</xdr:row>
      <xdr:rowOff>162007</xdr:rowOff>
    </xdr:to>
    <mc:AlternateContent xmlns:mc="http://schemas.openxmlformats.org/markup-compatibility/2006" xmlns:a14="http://schemas.microsoft.com/office/drawing/2010/main">
      <mc:Choice Requires="a14">
        <xdr:sp macro="" textlink="">
          <xdr:nvSpPr>
            <xdr:cNvPr id="33" name="TextBox 32"/>
            <xdr:cNvSpPr txBox="1"/>
          </xdr:nvSpPr>
          <xdr:spPr>
            <a:xfrm>
              <a:off x="8603796" y="33394650"/>
              <a:ext cx="415369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xdr:cNvSpPr txBox="1"/>
          </xdr:nvSpPr>
          <xdr:spPr>
            <a:xfrm>
              <a:off x="8603796" y="33394650"/>
              <a:ext cx="415369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108857</xdr:colOff>
      <xdr:row>364</xdr:row>
      <xdr:rowOff>176893</xdr:rowOff>
    </xdr:from>
    <xdr:to>
      <xdr:col>7</xdr:col>
      <xdr:colOff>1065179</xdr:colOff>
      <xdr:row>367</xdr:row>
      <xdr:rowOff>89436</xdr:rowOff>
    </xdr:to>
    <mc:AlternateContent xmlns:mc="http://schemas.openxmlformats.org/markup-compatibility/2006" xmlns:a14="http://schemas.microsoft.com/office/drawing/2010/main">
      <mc:Choice Requires="a14">
        <xdr:sp macro="" textlink="">
          <xdr:nvSpPr>
            <xdr:cNvPr id="34" name="TextBox 33"/>
            <xdr:cNvSpPr txBox="1"/>
          </xdr:nvSpPr>
          <xdr:spPr>
            <a:xfrm>
              <a:off x="8576582" y="33394650"/>
              <a:ext cx="420434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xdr:cNvSpPr txBox="1"/>
          </xdr:nvSpPr>
          <xdr:spPr>
            <a:xfrm>
              <a:off x="8576582" y="33394650"/>
              <a:ext cx="420434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363</xdr:row>
      <xdr:rowOff>5443</xdr:rowOff>
    </xdr:from>
    <xdr:to>
      <xdr:col>4</xdr:col>
      <xdr:colOff>1847143</xdr:colOff>
      <xdr:row>364</xdr:row>
      <xdr:rowOff>65856</xdr:rowOff>
    </xdr:to>
    <mc:AlternateContent xmlns:mc="http://schemas.openxmlformats.org/markup-compatibility/2006" xmlns:a14="http://schemas.microsoft.com/office/drawing/2010/main">
      <mc:Choice Requires="a14">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362</xdr:row>
      <xdr:rowOff>16328</xdr:rowOff>
    </xdr:from>
    <xdr:to>
      <xdr:col>11</xdr:col>
      <xdr:colOff>1550639</xdr:colOff>
      <xdr:row>364</xdr:row>
      <xdr:rowOff>151121</xdr:rowOff>
    </xdr:to>
    <mc:AlternateContent xmlns:mc="http://schemas.openxmlformats.org/markup-compatibility/2006" xmlns:a14="http://schemas.microsoft.com/office/drawing/2010/main">
      <mc:Choice Requires="a14">
        <xdr:sp macro="" textlink="">
          <xdr:nvSpPr>
            <xdr:cNvPr id="36" name="TextBox 35"/>
            <xdr:cNvSpPr txBox="1"/>
          </xdr:nvSpPr>
          <xdr:spPr>
            <a:xfrm>
              <a:off x="14516100" y="33394650"/>
              <a:ext cx="33699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xdr:cNvSpPr txBox="1"/>
          </xdr:nvSpPr>
          <xdr:spPr>
            <a:xfrm>
              <a:off x="14516100" y="33394650"/>
              <a:ext cx="33699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364</xdr:row>
      <xdr:rowOff>149678</xdr:rowOff>
    </xdr:from>
    <xdr:to>
      <xdr:col>12</xdr:col>
      <xdr:colOff>479023</xdr:colOff>
      <xdr:row>367</xdr:row>
      <xdr:rowOff>62221</xdr:rowOff>
    </xdr:to>
    <mc:AlternateContent xmlns:mc="http://schemas.openxmlformats.org/markup-compatibility/2006" xmlns:a14="http://schemas.microsoft.com/office/drawing/2010/main">
      <mc:Choice Requires="a14">
        <xdr:sp macro="" textlink="">
          <xdr:nvSpPr>
            <xdr:cNvPr id="37" name="TextBox 36"/>
            <xdr:cNvSpPr txBox="1"/>
          </xdr:nvSpPr>
          <xdr:spPr>
            <a:xfrm>
              <a:off x="14499771" y="33394650"/>
              <a:ext cx="38672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xdr:cNvSpPr txBox="1"/>
          </xdr:nvSpPr>
          <xdr:spPr>
            <a:xfrm>
              <a:off x="14499771" y="33394650"/>
              <a:ext cx="38672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3</xdr:col>
      <xdr:colOff>740227</xdr:colOff>
      <xdr:row>381</xdr:row>
      <xdr:rowOff>182336</xdr:rowOff>
    </xdr:from>
    <xdr:to>
      <xdr:col>4</xdr:col>
      <xdr:colOff>2888401</xdr:colOff>
      <xdr:row>383</xdr:row>
      <xdr:rowOff>52249</xdr:rowOff>
    </xdr:to>
    <mc:AlternateContent xmlns:mc="http://schemas.openxmlformats.org/markup-compatibility/2006" xmlns:a14="http://schemas.microsoft.com/office/drawing/2010/main">
      <mc:Choice Requires="a14">
        <xdr:sp macro="" textlink="">
          <xdr:nvSpPr>
            <xdr:cNvPr id="38" name="TextBox 37"/>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5</xdr:col>
      <xdr:colOff>5443</xdr:colOff>
      <xdr:row>187</xdr:row>
      <xdr:rowOff>87086</xdr:rowOff>
    </xdr:from>
    <xdr:to>
      <xdr:col>6</xdr:col>
      <xdr:colOff>1307053</xdr:colOff>
      <xdr:row>188</xdr:row>
      <xdr:rowOff>161605</xdr:rowOff>
    </xdr:to>
    <mc:AlternateContent xmlns:mc="http://schemas.openxmlformats.org/markup-compatibility/2006" xmlns:a14="http://schemas.microsoft.com/office/drawing/2010/main">
      <mc:Choice Requires="a14">
        <xdr:sp macro="" textlink="">
          <xdr:nvSpPr>
            <xdr:cNvPr id="39" name="TextBox 38"/>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53.075∗</m:t>
                        </m:r>
                        <m:r>
                          <a:rPr lang="en-US" sz="1400" b="0" i="1">
                            <a:latin typeface="Cambria Math" panose="02040503050406030204" pitchFamily="18" charset="0"/>
                          </a:rPr>
                          <m:t>𝑆𝑄𝐹𝑇</m:t>
                        </m:r>
                      </m:e>
                    </m:d>
                    <m:r>
                      <a:rPr lang="en-US" sz="1400" b="0" i="1">
                        <a:latin typeface="Cambria Math" panose="02040503050406030204" pitchFamily="18" charset="0"/>
                      </a:rPr>
                      <m:t>+1631.1</m:t>
                    </m:r>
                  </m:oMath>
                </m:oMathPara>
              </a14:m>
              <a:endParaRPr lang="en-US" sz="1100"/>
            </a:p>
          </xdr:txBody>
        </xdr:sp>
      </mc:Choice>
      <mc:Fallback xmlns="">
        <xdr:sp macro="" textlink="">
          <xdr:nvSpPr>
            <xdr:cNvPr id="39" name="TextBox 38"/>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𝑄_𝑃𝑜𝑜𝑙𝐻𝑒𝑎𝑡𝑖𝑛𝑔=[53.075∗𝑆𝑄𝐹𝑇]+1631.1</a:t>
              </a:r>
              <a:endParaRPr lang="en-US" sz="1100"/>
            </a:p>
          </xdr:txBody>
        </xdr:sp>
      </mc:Fallback>
    </mc:AlternateContent>
    <xdr:clientData/>
  </xdr:twoCellAnchor>
  <xdr:twoCellAnchor>
    <xdr:from>
      <xdr:col>7</xdr:col>
      <xdr:colOff>13607</xdr:colOff>
      <xdr:row>187</xdr:row>
      <xdr:rowOff>40822</xdr:rowOff>
    </xdr:from>
    <xdr:to>
      <xdr:col>9</xdr:col>
      <xdr:colOff>691956</xdr:colOff>
      <xdr:row>188</xdr:row>
      <xdr:rowOff>115341</xdr:rowOff>
    </xdr:to>
    <mc:AlternateContent xmlns:mc="http://schemas.openxmlformats.org/markup-compatibility/2006" xmlns:a14="http://schemas.microsoft.com/office/drawing/2010/main">
      <mc:Choice Requires="a14">
        <xdr:sp macro="" textlink="">
          <xdr:nvSpPr>
            <xdr:cNvPr id="40" name="TextBox 39"/>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8.079∗</m:t>
                        </m:r>
                        <m:r>
                          <a:rPr lang="en-US" sz="1400" b="0" i="1">
                            <a:latin typeface="Cambria Math" panose="02040503050406030204" pitchFamily="18" charset="0"/>
                          </a:rPr>
                          <m:t>𝑆𝑄𝐹𝑇</m:t>
                        </m:r>
                      </m:e>
                    </m:d>
                    <m:r>
                      <a:rPr lang="en-US" sz="1400" b="0" i="1">
                        <a:latin typeface="Cambria Math" panose="02040503050406030204" pitchFamily="18" charset="0"/>
                      </a:rPr>
                      <m:t>+1295.4</m:t>
                    </m:r>
                  </m:oMath>
                </m:oMathPara>
              </a14:m>
              <a:endParaRPr lang="en-US" sz="1100"/>
            </a:p>
          </xdr:txBody>
        </xdr:sp>
      </mc:Choice>
      <mc:Fallback xmlns="">
        <xdr:sp macro="" textlink="">
          <xdr:nvSpPr>
            <xdr:cNvPr id="40" name="TextBox 39"/>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𝑄_𝑃𝑜𝑜𝑙𝐻𝑒𝑎𝑡𝑖𝑛𝑔=[8.079∗𝑆𝑄𝐹𝑇]+1295.4</a:t>
              </a:r>
              <a:endParaRPr lang="en-US" sz="1100"/>
            </a:p>
          </xdr:txBody>
        </xdr:sp>
      </mc:Fallback>
    </mc:AlternateContent>
    <xdr:clientData/>
  </xdr:twoCellAnchor>
  <xdr:twoCellAnchor>
    <xdr:from>
      <xdr:col>3</xdr:col>
      <xdr:colOff>726621</xdr:colOff>
      <xdr:row>218</xdr:row>
      <xdr:rowOff>46264</xdr:rowOff>
    </xdr:from>
    <xdr:to>
      <xdr:col>4</xdr:col>
      <xdr:colOff>1316035</xdr:colOff>
      <xdr:row>219</xdr:row>
      <xdr:rowOff>106677</xdr:rowOff>
    </xdr:to>
    <mc:AlternateContent xmlns:mc="http://schemas.openxmlformats.org/markup-compatibility/2006" xmlns:a14="http://schemas.microsoft.com/office/drawing/2010/main">
      <mc:Choice Requires="a14">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5</xdr:col>
      <xdr:colOff>0</xdr:colOff>
      <xdr:row>312</xdr:row>
      <xdr:rowOff>0</xdr:rowOff>
    </xdr:from>
    <xdr:to>
      <xdr:col>5</xdr:col>
      <xdr:colOff>1476375</xdr:colOff>
      <xdr:row>313</xdr:row>
      <xdr:rowOff>0</xdr:rowOff>
    </xdr:to>
    <xdr:pic>
      <xdr:nvPicPr>
        <xdr:cNvPr id="42" name="Picture 41"/>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467725" y="29765625"/>
          <a:ext cx="1304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310</xdr:row>
      <xdr:rowOff>19050</xdr:rowOff>
    </xdr:from>
    <xdr:to>
      <xdr:col>9</xdr:col>
      <xdr:colOff>144173</xdr:colOff>
      <xdr:row>313</xdr:row>
      <xdr:rowOff>48895</xdr:rowOff>
    </xdr:to>
    <mc:AlternateContent xmlns:mc="http://schemas.openxmlformats.org/markup-compatibility/2006" xmlns:a14="http://schemas.microsoft.com/office/drawing/2010/main">
      <mc:Choice Requires="a14">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314</xdr:row>
      <xdr:rowOff>89808</xdr:rowOff>
    </xdr:from>
    <xdr:to>
      <xdr:col>9</xdr:col>
      <xdr:colOff>341962</xdr:colOff>
      <xdr:row>317</xdr:row>
      <xdr:rowOff>135528</xdr:rowOff>
    </xdr:to>
    <mc:AlternateContent xmlns:mc="http://schemas.openxmlformats.org/markup-compatibility/2006" xmlns:a14="http://schemas.microsoft.com/office/drawing/2010/main">
      <mc:Choice Requires="a14">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99674</xdr:colOff>
      <xdr:row>71</xdr:row>
      <xdr:rowOff>142876</xdr:rowOff>
    </xdr:from>
    <xdr:to>
      <xdr:col>4</xdr:col>
      <xdr:colOff>292554</xdr:colOff>
      <xdr:row>73</xdr:row>
      <xdr:rowOff>15876</xdr:rowOff>
    </xdr:to>
    <mc:AlternateContent xmlns:mc="http://schemas.openxmlformats.org/markup-compatibility/2006" xmlns:a14="http://schemas.microsoft.com/office/drawing/2010/main">
      <mc:Choice Requires="a14">
        <xdr:sp macro="" textlink="">
          <xdr:nvSpPr>
            <xdr:cNvPr id="45" name="TextBox 44"/>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5" name="TextBox 44"/>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100692</xdr:colOff>
      <xdr:row>68</xdr:row>
      <xdr:rowOff>182336</xdr:rowOff>
    </xdr:from>
    <xdr:to>
      <xdr:col>4</xdr:col>
      <xdr:colOff>2252265</xdr:colOff>
      <xdr:row>70</xdr:row>
      <xdr:rowOff>20499</xdr:rowOff>
    </xdr:to>
    <mc:AlternateContent xmlns:mc="http://schemas.openxmlformats.org/markup-compatibility/2006" xmlns:a14="http://schemas.microsoft.com/office/drawing/2010/main">
      <mc:Choice Requires="a14">
        <xdr:sp macro="" textlink="">
          <xdr:nvSpPr>
            <xdr:cNvPr id="46" name="TextBox 45"/>
            <xdr:cNvSpPr txBox="1"/>
          </xdr:nvSpPr>
          <xdr:spPr>
            <a:xfrm>
              <a:off x="2272392" y="9496425"/>
              <a:ext cx="3627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𝐶𝑜𝑛𝑡𝑟𝑜𝑙𝑙𝑒𝑑</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𝑊𝐻𝐹𝑒</m:t>
                    </m:r>
                  </m:oMath>
                </m:oMathPara>
              </a14:m>
              <a:endParaRPr lang="en-US" sz="1100"/>
            </a:p>
          </xdr:txBody>
        </xdr:sp>
      </mc:Choice>
      <mc:Fallback xmlns="">
        <xdr:sp macro="" textlink="">
          <xdr:nvSpPr>
            <xdr:cNvPr id="46" name="TextBox 45"/>
            <xdr:cNvSpPr txBox="1"/>
          </xdr:nvSpPr>
          <xdr:spPr>
            <a:xfrm>
              <a:off x="2272392" y="9496425"/>
              <a:ext cx="3627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a:p>
          </xdr:txBody>
        </xdr:sp>
      </mc:Fallback>
    </mc:AlternateContent>
    <xdr:clientData/>
  </xdr:twoCellAnchor>
  <xdr:twoCellAnchor>
    <xdr:from>
      <xdr:col>3</xdr:col>
      <xdr:colOff>20037</xdr:colOff>
      <xdr:row>403</xdr:row>
      <xdr:rowOff>149675</xdr:rowOff>
    </xdr:from>
    <xdr:to>
      <xdr:col>6</xdr:col>
      <xdr:colOff>86643</xdr:colOff>
      <xdr:row>406</xdr:row>
      <xdr:rowOff>43714</xdr:rowOff>
    </xdr:to>
    <mc:AlternateContent xmlns:mc="http://schemas.openxmlformats.org/markup-compatibility/2006" xmlns:a14="http://schemas.microsoft.com/office/drawing/2010/main">
      <mc:Choice Requires="a14">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853621</xdr:colOff>
      <xdr:row>400</xdr:row>
      <xdr:rowOff>67431</xdr:rowOff>
    </xdr:from>
    <xdr:to>
      <xdr:col>10</xdr:col>
      <xdr:colOff>901096</xdr:colOff>
      <xdr:row>403</xdr:row>
      <xdr:rowOff>6220</xdr:rowOff>
    </xdr:to>
    <mc:AlternateContent xmlns:mc="http://schemas.openxmlformats.org/markup-compatibility/2006" xmlns:a14="http://schemas.microsoft.com/office/drawing/2010/main">
      <mc:Choice Requires="a14">
        <xdr:sp macro="" textlink="">
          <xdr:nvSpPr>
            <xdr:cNvPr id="48" name="TextBox 47"/>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27214</xdr:colOff>
      <xdr:row>424</xdr:row>
      <xdr:rowOff>190497</xdr:rowOff>
    </xdr:from>
    <xdr:to>
      <xdr:col>4</xdr:col>
      <xdr:colOff>2292804</xdr:colOff>
      <xdr:row>427</xdr:row>
      <xdr:rowOff>84536</xdr:rowOff>
    </xdr:to>
    <mc:AlternateContent xmlns:mc="http://schemas.openxmlformats.org/markup-compatibility/2006" xmlns:a14="http://schemas.microsoft.com/office/drawing/2010/main">
      <mc:Choice Requires="a14">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421</xdr:row>
      <xdr:rowOff>108253</xdr:rowOff>
    </xdr:from>
    <xdr:to>
      <xdr:col>4</xdr:col>
      <xdr:colOff>4095750</xdr:colOff>
      <xdr:row>424</xdr:row>
      <xdr:rowOff>47042</xdr:rowOff>
    </xdr:to>
    <mc:AlternateContent xmlns:mc="http://schemas.openxmlformats.org/markup-compatibility/2006" xmlns:a14="http://schemas.microsoft.com/office/drawing/2010/main">
      <mc:Choice Requires="a14">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27213</xdr:colOff>
      <xdr:row>450</xdr:row>
      <xdr:rowOff>108855</xdr:rowOff>
    </xdr:from>
    <xdr:to>
      <xdr:col>4</xdr:col>
      <xdr:colOff>2457449</xdr:colOff>
      <xdr:row>453</xdr:row>
      <xdr:rowOff>2894</xdr:rowOff>
    </xdr:to>
    <mc:AlternateContent xmlns:mc="http://schemas.openxmlformats.org/markup-compatibility/2006" xmlns:a14="http://schemas.microsoft.com/office/drawing/2010/main">
      <mc:Choice Requires="a14">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81641</xdr:colOff>
      <xdr:row>447</xdr:row>
      <xdr:rowOff>85575</xdr:rowOff>
    </xdr:from>
    <xdr:to>
      <xdr:col>4</xdr:col>
      <xdr:colOff>4544784</xdr:colOff>
      <xdr:row>450</xdr:row>
      <xdr:rowOff>24364</xdr:rowOff>
    </xdr:to>
    <mc:AlternateContent xmlns:mc="http://schemas.openxmlformats.org/markup-compatibility/2006" xmlns:a14="http://schemas.microsoft.com/office/drawing/2010/main">
      <mc:Choice Requires="a14">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476</xdr:row>
      <xdr:rowOff>122461</xdr:rowOff>
    </xdr:from>
    <xdr:to>
      <xdr:col>4</xdr:col>
      <xdr:colOff>2865664</xdr:colOff>
      <xdr:row>478</xdr:row>
      <xdr:rowOff>179786</xdr:rowOff>
    </xdr:to>
    <mc:AlternateContent xmlns:mc="http://schemas.openxmlformats.org/markup-compatibility/2006" xmlns:a14="http://schemas.microsoft.com/office/drawing/2010/main">
      <mc:Choice Requires="a14">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176893</xdr:colOff>
      <xdr:row>473</xdr:row>
      <xdr:rowOff>96157</xdr:rowOff>
    </xdr:from>
    <xdr:to>
      <xdr:col>5</xdr:col>
      <xdr:colOff>979714</xdr:colOff>
      <xdr:row>476</xdr:row>
      <xdr:rowOff>34946</xdr:rowOff>
    </xdr:to>
    <mc:AlternateContent xmlns:mc="http://schemas.openxmlformats.org/markup-compatibility/2006" xmlns:a14="http://schemas.microsoft.com/office/drawing/2010/main">
      <mc:Choice Requires="a14">
        <xdr:sp macro="" textlink="">
          <xdr:nvSpPr>
            <xdr:cNvPr id="54" name="TextBox 53"/>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4" name="TextBox 53"/>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)∗𝑘𝑊/𝐶𝐹𝑀∗%𝑈𝑠𝑒∗𝐻𝑜𝑢𝑟𝑠</a:t>
              </a:r>
              <a:endParaRPr lang="en-US" sz="1100"/>
            </a:p>
          </xdr:txBody>
        </xdr:sp>
      </mc:Fallback>
    </mc:AlternateContent>
    <xdr:clientData/>
  </xdr:twoCellAnchor>
  <xdr:twoCellAnchor>
    <xdr:from>
      <xdr:col>2</xdr:col>
      <xdr:colOff>0</xdr:colOff>
      <xdr:row>496</xdr:row>
      <xdr:rowOff>95247</xdr:rowOff>
    </xdr:from>
    <xdr:to>
      <xdr:col>2</xdr:col>
      <xdr:colOff>0</xdr:colOff>
      <xdr:row>498</xdr:row>
      <xdr:rowOff>152572</xdr:rowOff>
    </xdr:to>
    <mc:AlternateContent xmlns:mc="http://schemas.openxmlformats.org/markup-compatibility/2006" xmlns:a14="http://schemas.microsoft.com/office/drawing/2010/main">
      <mc:Choice Requires="a14">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68035</xdr:colOff>
      <xdr:row>493</xdr:row>
      <xdr:rowOff>132443</xdr:rowOff>
    </xdr:from>
    <xdr:to>
      <xdr:col>6</xdr:col>
      <xdr:colOff>1224642</xdr:colOff>
      <xdr:row>496</xdr:row>
      <xdr:rowOff>71232</xdr:rowOff>
    </xdr:to>
    <mc:AlternateContent xmlns:mc="http://schemas.openxmlformats.org/markup-compatibility/2006" xmlns:a14="http://schemas.microsoft.com/office/drawing/2010/main">
      <mc:Choice Requires="a14">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515</xdr:row>
      <xdr:rowOff>155864</xdr:rowOff>
    </xdr:from>
    <xdr:to>
      <xdr:col>2</xdr:col>
      <xdr:colOff>0</xdr:colOff>
      <xdr:row>517</xdr:row>
      <xdr:rowOff>103910</xdr:rowOff>
    </xdr:to>
    <mc:AlternateContent xmlns:mc="http://schemas.openxmlformats.org/markup-compatibility/2006" xmlns:a14="http://schemas.microsoft.com/office/drawing/2010/main">
      <mc:Choice Requires="a14">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511</xdr:row>
      <xdr:rowOff>75458</xdr:rowOff>
    </xdr:from>
    <xdr:to>
      <xdr:col>23</xdr:col>
      <xdr:colOff>503464</xdr:colOff>
      <xdr:row>516</xdr:row>
      <xdr:rowOff>95250</xdr:rowOff>
    </xdr:to>
    <mc:AlternateContent xmlns:mc="http://schemas.openxmlformats.org/markup-compatibility/2006" xmlns:a14="http://schemas.microsoft.com/office/drawing/2010/main">
      <mc:Choice Requires="a14">
        <xdr:sp macro="" textlink="">
          <xdr:nvSpPr>
            <xdr:cNvPr id="58" name="TextBox 57"/>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𝐹𝑜𝑜𝑑𝐶𝑜𝑜𝑘𝑒𝑑</m:t>
                                </m:r>
                              </m:e>
                              <m:sub>
                                <m:r>
                                  <a:rPr lang="en-US" sz="1400" b="0" i="1">
                                    <a:latin typeface="Cambria Math" panose="02040503050406030204" pitchFamily="18" charset="0"/>
                                  </a:rPr>
                                  <m:t>𝐸𝑙𝑒𝑐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400" b="0" i="1">
                                <a:latin typeface="Cambria Math" panose="02040503050406030204" pitchFamily="18" charset="0"/>
                              </a:rPr>
                              <m:t>∗%</m:t>
                            </m:r>
                            <m:r>
                              <a:rPr lang="en-US" sz="1400" b="0" i="1">
                                <a:latin typeface="Cambria Math" panose="02040503050406030204" pitchFamily="18" charset="0"/>
                              </a:rPr>
                              <m:t>𝐶𝑜𝑛𝑣</m:t>
                            </m:r>
                          </m:e>
                        </m:d>
                        <m:r>
                          <a:rPr lang="en-US" sz="1400" b="0" i="1">
                            <a:latin typeface="Cambria Math" panose="02040503050406030204" pitchFamily="18" charset="0"/>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58" name="TextBox 57"/>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[(〖𝐹𝑜𝑜𝑑𝐶𝑜𝑜𝑘𝑒𝑑〗_𝐸𝑙𝑒𝑐∗(</a:t>
              </a:r>
              <a:r>
                <a:rPr lang="en-US" sz="1100" b="0" i="0">
                  <a:solidFill>
                    <a:schemeClr val="tx1"/>
                  </a:solidFill>
                  <a:effectLst/>
                  <a:latin typeface="Cambria Math" panose="02040503050406030204" pitchFamily="18" charset="0"/>
                  <a:ea typeface="+mn-ea"/>
                  <a:cs typeface="+mn-cs"/>
                </a:rPr>
                <a:t>〖𝐸𝐹𝑂𝑂𝐷〗_𝐶𝑜𝑛𝑣𝐸𝑙𝑒𝑐/〖𝐸𝑙𝑒𝑐𝐸𝐹𝐹〗_𝐶𝑜𝑛𝑣𝐵𝑎𝑠𝑒 −〖𝐸𝐹𝑂𝑂𝐷〗_𝐶𝑜𝑛𝑣𝐸𝑙𝑒𝑐/〖𝐸𝑙𝑒𝑐𝐸𝐹𝐹〗_𝐶𝑜𝑛𝑣𝐸𝐸 )</a:t>
              </a:r>
              <a:r>
                <a:rPr lang="en-US" sz="1400" b="0" i="0">
                  <a:latin typeface="Cambria Math" panose="02040503050406030204" pitchFamily="18" charset="0"/>
                </a:rPr>
                <a:t>∗%𝐶𝑜𝑛𝑣)+</a:t>
              </a:r>
              <a:r>
                <a:rPr lang="en-US" sz="1100" b="0" i="0">
                  <a:solidFill>
                    <a:schemeClr val="tx1"/>
                  </a:solidFill>
                  <a:effectLst/>
                  <a:latin typeface="Cambria Math" panose="02040503050406030204" pitchFamily="18" charset="0"/>
                  <a:ea typeface="+mn-ea"/>
                  <a:cs typeface="+mn-cs"/>
                </a:rPr>
                <a:t>(〖𝐹𝑜𝑜𝑑𝐶𝑜𝑜𝑘𝑒𝑑〗_𝐸𝑙𝑒𝑐∗(〖𝐸𝐹𝑂𝑂𝐷〗_𝑆𝑡𝑒𝑎𝑚𝐸𝑙𝑒𝑐/〖𝐸𝑙𝑒𝑐𝐸𝐹𝐹〗_𝑆𝑡𝑒𝑎𝑚𝐵𝑎𝑠𝑒 −〖𝐸𝐹𝑂𝑂𝐷〗_𝑆𝑡𝑒𝑎𝑚𝐸𝑙𝑒𝑐/〖𝐸𝑙𝑒𝑐𝐸𝐹𝐹〗_𝑆𝑡𝑒𝑎𝑚𝐸𝐸 )∗%𝑆𝑡𝑒𝑎𝑚)+((〖𝐸𝑙𝑒𝑐𝐼𝐷𝐿𝐸〗_𝐶𝑜𝑛𝑣𝐵𝑎𝑠𝑒∗((𝐻𝑜𝑢𝑟𝑠−〖𝐹𝑜𝑜𝑑𝐶𝑜𝑜𝑘𝑒𝑑〗_𝐸𝑙𝑒𝑐/〖𝐸𝑙𝑒𝑐𝑃𝐶〗_𝐶𝑜𝑛𝑣𝐵𝑎𝑠𝑒 )∗%𝐶𝑜𝑛𝑣))−(〖𝐸𝑙𝑒𝑐𝐼𝐷𝐿𝐸〗_𝐶𝑜𝑛𝑣𝐸𝐸∗((𝐻𝑜𝑢𝑟𝑠−〖𝐹𝑜𝑜𝑑𝐶𝑜𝑜𝑘𝑒𝑑〗_𝐸𝑙𝑒𝑐/〖𝐸𝑙𝑒𝑐𝑃𝐶〗_𝐶𝑜𝑛𝑣𝐸𝐸 )∗%𝐶𝑜𝑛𝑣)))+((〖𝐸𝑙𝑒𝑐𝐼𝐷𝐿𝐸〗_𝑆𝑡𝑒𝑎𝑚𝐵𝑎𝑠𝑒∗((𝐻𝑜𝑢𝑟𝑠−〖𝐹𝑜𝑜𝑑𝐶𝑜𝑜𝑘𝑒𝑑〗_𝐸𝑙𝑒𝑐/〖𝐸𝑙𝑒𝑐𝑃𝐶〗_𝑆𝑡𝑒𝑎𝑚𝐵𝑎𝑠𝑒 )∗%𝑆𝑡𝑒𝑎𝑚))−(〖𝐸𝑙𝑒𝑐𝐼𝐷𝐿𝐸〗_𝑆𝑡𝑒𝑎𝑚𝐸𝐸∗((𝐻𝑜𝑢𝑟𝑠−〖𝐹𝑜𝑜𝑑𝐶𝑜𝑜𝑘𝑒𝑑〗_𝐸𝑙𝑒𝑐/〖𝐸𝑙𝑒𝑐𝑃𝐶〗_𝑆𝑡𝑒𝑎𝑚𝐸𝐸 )∗%𝑆𝑡𝑒𝑎𝑚)))]</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536</xdr:row>
      <xdr:rowOff>95247</xdr:rowOff>
    </xdr:from>
    <xdr:to>
      <xdr:col>2</xdr:col>
      <xdr:colOff>0</xdr:colOff>
      <xdr:row>538</xdr:row>
      <xdr:rowOff>152572</xdr:rowOff>
    </xdr:to>
    <mc:AlternateContent xmlns:mc="http://schemas.openxmlformats.org/markup-compatibility/2006" xmlns:a14="http://schemas.microsoft.com/office/drawing/2010/main">
      <mc:Choice Requires="a14">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1088572</xdr:colOff>
      <xdr:row>534</xdr:row>
      <xdr:rowOff>9072</xdr:rowOff>
    </xdr:from>
    <xdr:to>
      <xdr:col>16</xdr:col>
      <xdr:colOff>476250</xdr:colOff>
      <xdr:row>538</xdr:row>
      <xdr:rowOff>104322</xdr:rowOff>
    </xdr:to>
    <mc:AlternateContent xmlns:mc="http://schemas.openxmlformats.org/markup-compatibility/2006" xmlns:a14="http://schemas.microsoft.com/office/drawing/2010/main">
      <mc:Choice Requires="a14">
        <xdr:sp macro="" textlink="">
          <xdr:nvSpPr>
            <xdr:cNvPr id="60" name="TextBox 59"/>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0" name="TextBox 59"/>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554</xdr:row>
      <xdr:rowOff>95247</xdr:rowOff>
    </xdr:from>
    <xdr:to>
      <xdr:col>2</xdr:col>
      <xdr:colOff>0</xdr:colOff>
      <xdr:row>556</xdr:row>
      <xdr:rowOff>152572</xdr:rowOff>
    </xdr:to>
    <mc:AlternateContent xmlns:mc="http://schemas.openxmlformats.org/markup-compatibility/2006" xmlns:a14="http://schemas.microsoft.com/office/drawing/2010/main">
      <mc:Choice Requires="a14">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1115785</xdr:colOff>
      <xdr:row>551</xdr:row>
      <xdr:rowOff>145143</xdr:rowOff>
    </xdr:from>
    <xdr:to>
      <xdr:col>17</xdr:col>
      <xdr:colOff>421821</xdr:colOff>
      <xdr:row>556</xdr:row>
      <xdr:rowOff>49893</xdr:rowOff>
    </xdr:to>
    <mc:AlternateContent xmlns:mc="http://schemas.openxmlformats.org/markup-compatibility/2006" xmlns:a14="http://schemas.microsoft.com/office/drawing/2010/main">
      <mc:Choice Requires="a14">
        <xdr:sp macro="" textlink="">
          <xdr:nvSpPr>
            <xdr:cNvPr id="62" name="TextBox 61"/>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2" name="TextBox 61"/>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571</xdr:row>
      <xdr:rowOff>95247</xdr:rowOff>
    </xdr:from>
    <xdr:to>
      <xdr:col>2</xdr:col>
      <xdr:colOff>0</xdr:colOff>
      <xdr:row>573</xdr:row>
      <xdr:rowOff>152572</xdr:rowOff>
    </xdr:to>
    <mc:AlternateContent xmlns:mc="http://schemas.openxmlformats.org/markup-compatibility/2006" xmlns:a14="http://schemas.microsoft.com/office/drawing/2010/main">
      <mc:Choice Requires="a14">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86590</xdr:colOff>
      <xdr:row>568</xdr:row>
      <xdr:rowOff>135248</xdr:rowOff>
    </xdr:from>
    <xdr:to>
      <xdr:col>16</xdr:col>
      <xdr:colOff>64201</xdr:colOff>
      <xdr:row>573</xdr:row>
      <xdr:rowOff>112569</xdr:rowOff>
    </xdr:to>
    <mc:AlternateContent xmlns:mc="http://schemas.openxmlformats.org/markup-compatibility/2006" xmlns:a14="http://schemas.microsoft.com/office/drawing/2010/main">
      <mc:Choice Requires="a14">
        <xdr:sp macro="" textlink="">
          <xdr:nvSpPr>
            <xdr:cNvPr id="64" name="TextBox 63"/>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4" name="TextBox 63"/>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[(((〖𝐸𝑙𝑒𝑐𝐼𝑑𝑙𝑒〗_𝐵𝑎𝑠𝑒∗𝑊𝑖𝑑𝑡ℎ∗𝐷𝑒𝑝𝑡ℎ)∗(𝐻𝑜𝑢𝑟𝑠−𝐹𝑜𝑜𝑑𝐶𝑜𝑜𝑘𝑒𝑑/〖𝐸𝑙𝑒𝑐𝑃𝐶〗_𝐵𝑎𝑠𝑒 ))−((〖𝐸𝑙𝑒𝑐𝐼𝑑𝑙𝑒〗_𝐸𝑆𝑇𝐴𝑅∗𝑊𝑖𝑑𝑡ℎ∗𝐷𝑒𝑝𝑡ℎ)∗(𝐻𝑜𝑢𝑟𝑠−𝐹𝑜𝑜𝑑𝐶𝑜𝑜𝑘𝑒𝑑/〖𝐸𝑙𝑒𝑐𝑃𝐶〗_𝐸𝑆𝑇𝐴𝑅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)−(𝐹𝑜𝑜𝑑𝐶𝑜𝑜𝑘𝑒𝑑∗〖𝐸𝐹𝑂𝑂𝐷〗_𝐸𝑙𝑒𝑐/〖𝐸𝑙𝑒𝑐𝐸𝑓𝑓〗_𝐸𝑆𝐴𝑅 ))]∗𝐷𝑎𝑦𝑠/1000</a:t>
              </a:r>
              <a:endParaRPr lang="en-US" sz="1400"/>
            </a:p>
          </xdr:txBody>
        </xdr:sp>
      </mc:Fallback>
    </mc:AlternateContent>
    <xdr:clientData/>
  </xdr:twoCellAnchor>
  <xdr:twoCellAnchor>
    <xdr:from>
      <xdr:col>2</xdr:col>
      <xdr:colOff>0</xdr:colOff>
      <xdr:row>587</xdr:row>
      <xdr:rowOff>95247</xdr:rowOff>
    </xdr:from>
    <xdr:to>
      <xdr:col>2</xdr:col>
      <xdr:colOff>0</xdr:colOff>
      <xdr:row>589</xdr:row>
      <xdr:rowOff>152572</xdr:rowOff>
    </xdr:to>
    <mc:AlternateContent xmlns:mc="http://schemas.openxmlformats.org/markup-compatibility/2006" xmlns:a14="http://schemas.microsoft.com/office/drawing/2010/main">
      <mc:Choice Requires="a14">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54428</xdr:colOff>
      <xdr:row>585</xdr:row>
      <xdr:rowOff>173594</xdr:rowOff>
    </xdr:from>
    <xdr:to>
      <xdr:col>4</xdr:col>
      <xdr:colOff>4104408</xdr:colOff>
      <xdr:row>588</xdr:row>
      <xdr:rowOff>82879</xdr:rowOff>
    </xdr:to>
    <mc:AlternateContent xmlns:mc="http://schemas.openxmlformats.org/markup-compatibility/2006" xmlns:a14="http://schemas.microsoft.com/office/drawing/2010/main">
      <mc:Choice Requires="a14">
        <xdr:sp macro="" textlink="">
          <xdr:nvSpPr>
            <xdr:cNvPr id="66" name="TextBox 65"/>
            <xdr:cNvSpPr txBox="1"/>
          </xdr:nvSpPr>
          <xdr:spPr>
            <a:xfrm>
              <a:off x="2226128" y="50539650"/>
              <a:ext cx="55263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sSub>
                      <m:sSubPr>
                        <m:ctrlPr>
                          <a:rPr lang="en-US" sz="1400" b="0" i="1">
                            <a:latin typeface="Cambria Math" panose="02040503050406030204" pitchFamily="18" charset="0"/>
                          </a:rPr>
                        </m:ctrlPr>
                      </m:sSubPr>
                      <m:e>
                        <m:r>
                          <a:rPr lang="en-US" sz="1400" b="0" i="1">
                            <a:latin typeface="Cambria Math" panose="02040503050406030204" pitchFamily="18" charset="0"/>
                          </a:rPr>
                          <m:t>𝐻𝑃</m:t>
                        </m:r>
                      </m:e>
                      <m:sub>
                        <m:r>
                          <a:rPr lang="en-US" sz="1400" b="0" i="1">
                            <a:latin typeface="Cambria Math" panose="02040503050406030204" pitchFamily="18" charset="0"/>
                          </a:rPr>
                          <m:t>𝑒𝑥h𝑎𝑢𝑠𝑡</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𝑘𝑊</m:t>
                        </m:r>
                      </m:e>
                      <m:sub>
                        <m:r>
                          <a:rPr lang="en-US" sz="1400" b="0" i="1">
                            <a:latin typeface="Cambria Math" panose="02040503050406030204" pitchFamily="18" charset="0"/>
                          </a:rPr>
                          <m:t>𝑆𝑎𝑣𝑖𝑛𝑔𝑠</m:t>
                        </m:r>
                      </m:sub>
                    </m:sSub>
                    <m:r>
                      <a:rPr lang="en-US" sz="1400" b="0" i="1">
                        <a:latin typeface="Cambria Math" panose="02040503050406030204" pitchFamily="18" charset="0"/>
                      </a:rPr>
                      <m:t>∗</m:t>
                    </m:r>
                    <m:r>
                      <a:rPr lang="en-US" sz="1400" b="0" i="1">
                        <a:latin typeface="Cambria Math" panose="02040503050406030204" pitchFamily="18" charset="0"/>
                      </a:rPr>
                      <m:t>𝐻𝑜𝑢𝑟𝑠</m:t>
                    </m:r>
                    <m:r>
                      <a:rPr lang="en-US" sz="1400" b="0" i="1">
                        <a:latin typeface="Cambria Math" panose="02040503050406030204" pitchFamily="18" charset="0"/>
                      </a:rPr>
                      <m:t>∗</m:t>
                    </m:r>
                    <m:r>
                      <a:rPr lang="en-US" sz="1400" b="0" i="1">
                        <a:latin typeface="Cambria Math" panose="02040503050406030204" pitchFamily="18" charset="0"/>
                      </a:rPr>
                      <m:t>𝐷𝑎𝑦𝑠</m:t>
                    </m:r>
                  </m:oMath>
                </m:oMathPara>
              </a14:m>
              <a:endParaRPr lang="en-US" sz="1400"/>
            </a:p>
          </xdr:txBody>
        </xdr:sp>
      </mc:Choice>
      <mc:Fallback xmlns="">
        <xdr:sp macro="" textlink="">
          <xdr:nvSpPr>
            <xdr:cNvPr id="66" name="TextBox 65"/>
            <xdr:cNvSpPr txBox="1"/>
          </xdr:nvSpPr>
          <xdr:spPr>
            <a:xfrm>
              <a:off x="2226128" y="50539650"/>
              <a:ext cx="55263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〖𝐻𝑃〗_𝑒𝑥ℎ𝑎𝑢𝑠𝑡∗〖𝑘𝑊〗_𝑆𝑎𝑣𝑖𝑛𝑔𝑠∗𝐻𝑜𝑢𝑟𝑠∗𝐷𝑎𝑦𝑠</a:t>
              </a:r>
              <a:endParaRPr lang="en-US" sz="1400"/>
            </a:p>
          </xdr:txBody>
        </xdr:sp>
      </mc:Fallback>
    </mc:AlternateContent>
    <xdr:clientData/>
  </xdr:twoCellAnchor>
  <xdr:twoCellAnchor>
    <xdr:from>
      <xdr:col>2</xdr:col>
      <xdr:colOff>0</xdr:colOff>
      <xdr:row>603</xdr:row>
      <xdr:rowOff>95247</xdr:rowOff>
    </xdr:from>
    <xdr:to>
      <xdr:col>2</xdr:col>
      <xdr:colOff>0</xdr:colOff>
      <xdr:row>605</xdr:row>
      <xdr:rowOff>152572</xdr:rowOff>
    </xdr:to>
    <mc:AlternateContent xmlns:mc="http://schemas.openxmlformats.org/markup-compatibility/2006" xmlns:a14="http://schemas.microsoft.com/office/drawing/2010/main">
      <mc:Choice Requires="a14">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4081</xdr:colOff>
      <xdr:row>600</xdr:row>
      <xdr:rowOff>36286</xdr:rowOff>
    </xdr:from>
    <xdr:to>
      <xdr:col>5</xdr:col>
      <xdr:colOff>669470</xdr:colOff>
      <xdr:row>602</xdr:row>
      <xdr:rowOff>136071</xdr:rowOff>
    </xdr:to>
    <mc:AlternateContent xmlns:mc="http://schemas.openxmlformats.org/markup-compatibility/2006" xmlns:a14="http://schemas.microsoft.com/office/drawing/2010/main">
      <mc:Choice Requires="a14">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3</xdr:col>
      <xdr:colOff>24740</xdr:colOff>
      <xdr:row>603</xdr:row>
      <xdr:rowOff>92650</xdr:rowOff>
    </xdr:from>
    <xdr:to>
      <xdr:col>16</xdr:col>
      <xdr:colOff>872201</xdr:colOff>
      <xdr:row>604</xdr:row>
      <xdr:rowOff>150231</xdr:rowOff>
    </xdr:to>
    <mc:AlternateContent xmlns:mc="http://schemas.openxmlformats.org/markup-compatibility/2006" xmlns:a14="http://schemas.microsoft.com/office/drawing/2010/main">
      <mc:Choice Requires="a14">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2</xdr:col>
      <xdr:colOff>0</xdr:colOff>
      <xdr:row>619</xdr:row>
      <xdr:rowOff>95247</xdr:rowOff>
    </xdr:from>
    <xdr:to>
      <xdr:col>2</xdr:col>
      <xdr:colOff>0</xdr:colOff>
      <xdr:row>621</xdr:row>
      <xdr:rowOff>152572</xdr:rowOff>
    </xdr:to>
    <mc:AlternateContent xmlns:mc="http://schemas.openxmlformats.org/markup-compatibility/2006" xmlns:a14="http://schemas.microsoft.com/office/drawing/2010/main">
      <mc:Choice Requires="a14">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51954</xdr:colOff>
      <xdr:row>617</xdr:row>
      <xdr:rowOff>144729</xdr:rowOff>
    </xdr:from>
    <xdr:to>
      <xdr:col>5</xdr:col>
      <xdr:colOff>1056409</xdr:colOff>
      <xdr:row>620</xdr:row>
      <xdr:rowOff>84486</xdr:rowOff>
    </xdr:to>
    <mc:AlternateContent xmlns:mc="http://schemas.openxmlformats.org/markup-compatibility/2006" xmlns:a14="http://schemas.microsoft.com/office/drawing/2010/main">
      <mc:Choice Requires="a14">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6</xdr:col>
      <xdr:colOff>12246</xdr:colOff>
      <xdr:row>617</xdr:row>
      <xdr:rowOff>161924</xdr:rowOff>
    </xdr:from>
    <xdr:to>
      <xdr:col>11</xdr:col>
      <xdr:colOff>1251856</xdr:colOff>
      <xdr:row>619</xdr:row>
      <xdr:rowOff>130534</xdr:rowOff>
    </xdr:to>
    <mc:AlternateContent xmlns:mc="http://schemas.openxmlformats.org/markup-compatibility/2006" xmlns:a14="http://schemas.microsoft.com/office/drawing/2010/main">
      <mc:Choice Requires="a14">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2</xdr:col>
      <xdr:colOff>0</xdr:colOff>
      <xdr:row>635</xdr:row>
      <xdr:rowOff>95247</xdr:rowOff>
    </xdr:from>
    <xdr:to>
      <xdr:col>2</xdr:col>
      <xdr:colOff>0</xdr:colOff>
      <xdr:row>637</xdr:row>
      <xdr:rowOff>152572</xdr:rowOff>
    </xdr:to>
    <mc:AlternateContent xmlns:mc="http://schemas.openxmlformats.org/markup-compatibility/2006" xmlns:a14="http://schemas.microsoft.com/office/drawing/2010/main">
      <mc:Choice Requires="a14">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633</xdr:row>
      <xdr:rowOff>122464</xdr:rowOff>
    </xdr:from>
    <xdr:to>
      <xdr:col>4</xdr:col>
      <xdr:colOff>1428749</xdr:colOff>
      <xdr:row>635</xdr:row>
      <xdr:rowOff>164733</xdr:rowOff>
    </xdr:to>
    <mc:AlternateContent xmlns:mc="http://schemas.openxmlformats.org/markup-compatibility/2006" xmlns:a14="http://schemas.microsoft.com/office/drawing/2010/main">
      <mc:Choice Requires="a14">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651</xdr:row>
      <xdr:rowOff>95247</xdr:rowOff>
    </xdr:from>
    <xdr:to>
      <xdr:col>2</xdr:col>
      <xdr:colOff>0</xdr:colOff>
      <xdr:row>653</xdr:row>
      <xdr:rowOff>152572</xdr:rowOff>
    </xdr:to>
    <mc:AlternateContent xmlns:mc="http://schemas.openxmlformats.org/markup-compatibility/2006" xmlns:a14="http://schemas.microsoft.com/office/drawing/2010/main">
      <mc:Choice Requires="a14">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649</xdr:row>
      <xdr:rowOff>108856</xdr:rowOff>
    </xdr:from>
    <xdr:to>
      <xdr:col>5</xdr:col>
      <xdr:colOff>462643</xdr:colOff>
      <xdr:row>652</xdr:row>
      <xdr:rowOff>9308</xdr:rowOff>
    </xdr:to>
    <mc:AlternateContent xmlns:mc="http://schemas.openxmlformats.org/markup-compatibility/2006" xmlns:a14="http://schemas.microsoft.com/office/drawing/2010/main">
      <mc:Choice Requires="a14">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669</xdr:row>
      <xdr:rowOff>95247</xdr:rowOff>
    </xdr:from>
    <xdr:to>
      <xdr:col>2</xdr:col>
      <xdr:colOff>0</xdr:colOff>
      <xdr:row>671</xdr:row>
      <xdr:rowOff>152572</xdr:rowOff>
    </xdr:to>
    <mc:AlternateContent xmlns:mc="http://schemas.openxmlformats.org/markup-compatibility/2006" xmlns:a14="http://schemas.microsoft.com/office/drawing/2010/main">
      <mc:Choice Requires="a14">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272142</xdr:colOff>
      <xdr:row>667</xdr:row>
      <xdr:rowOff>13003</xdr:rowOff>
    </xdr:from>
    <xdr:to>
      <xdr:col>4</xdr:col>
      <xdr:colOff>4857749</xdr:colOff>
      <xdr:row>669</xdr:row>
      <xdr:rowOff>142292</xdr:rowOff>
    </xdr:to>
    <mc:AlternateContent xmlns:mc="http://schemas.openxmlformats.org/markup-compatibility/2006" xmlns:a14="http://schemas.microsoft.com/office/drawing/2010/main">
      <mc:Choice Requires="a14">
        <xdr:sp macro="" textlink="">
          <xdr:nvSpPr>
            <xdr:cNvPr id="78" name="TextBox 77"/>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687</xdr:row>
      <xdr:rowOff>95247</xdr:rowOff>
    </xdr:from>
    <xdr:to>
      <xdr:col>2</xdr:col>
      <xdr:colOff>0</xdr:colOff>
      <xdr:row>689</xdr:row>
      <xdr:rowOff>152572</xdr:rowOff>
    </xdr:to>
    <mc:AlternateContent xmlns:mc="http://schemas.openxmlformats.org/markup-compatibility/2006" xmlns:a14="http://schemas.microsoft.com/office/drawing/2010/main">
      <mc:Choice Requires="a14">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108857</xdr:colOff>
      <xdr:row>685</xdr:row>
      <xdr:rowOff>40822</xdr:rowOff>
    </xdr:from>
    <xdr:to>
      <xdr:col>5</xdr:col>
      <xdr:colOff>190500</xdr:colOff>
      <xdr:row>687</xdr:row>
      <xdr:rowOff>96941</xdr:rowOff>
    </xdr:to>
    <mc:AlternateContent xmlns:mc="http://schemas.openxmlformats.org/markup-compatibility/2006" xmlns:a14="http://schemas.microsoft.com/office/drawing/2010/main">
      <mc:Choice Requires="a14">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704</xdr:row>
      <xdr:rowOff>95247</xdr:rowOff>
    </xdr:from>
    <xdr:to>
      <xdr:col>2</xdr:col>
      <xdr:colOff>0</xdr:colOff>
      <xdr:row>706</xdr:row>
      <xdr:rowOff>152572</xdr:rowOff>
    </xdr:to>
    <mc:AlternateContent xmlns:mc="http://schemas.openxmlformats.org/markup-compatibility/2006" xmlns:a14="http://schemas.microsoft.com/office/drawing/2010/main">
      <mc:Choice Requires="a14">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700</xdr:row>
      <xdr:rowOff>63500</xdr:rowOff>
    </xdr:from>
    <xdr:to>
      <xdr:col>2</xdr:col>
      <xdr:colOff>0</xdr:colOff>
      <xdr:row>704</xdr:row>
      <xdr:rowOff>158750</xdr:rowOff>
    </xdr:to>
    <mc:AlternateContent xmlns:mc="http://schemas.openxmlformats.org/markup-compatibility/2006" xmlns:a14="http://schemas.microsoft.com/office/drawing/2010/main">
      <mc:Choice Requires="a14">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3</xdr:col>
      <xdr:colOff>40822</xdr:colOff>
      <xdr:row>701</xdr:row>
      <xdr:rowOff>81643</xdr:rowOff>
    </xdr:from>
    <xdr:to>
      <xdr:col>14</xdr:col>
      <xdr:colOff>353787</xdr:colOff>
      <xdr:row>705</xdr:row>
      <xdr:rowOff>108857</xdr:rowOff>
    </xdr:to>
    <mc:AlternateContent xmlns:mc="http://schemas.openxmlformats.org/markup-compatibility/2006" xmlns:a14="http://schemas.microsoft.com/office/drawing/2010/main">
      <mc:Choice Requires="a14">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3</xdr:col>
      <xdr:colOff>122465</xdr:colOff>
      <xdr:row>720</xdr:row>
      <xdr:rowOff>136069</xdr:rowOff>
    </xdr:from>
    <xdr:to>
      <xdr:col>6</xdr:col>
      <xdr:colOff>1006929</xdr:colOff>
      <xdr:row>723</xdr:row>
      <xdr:rowOff>2894</xdr:rowOff>
    </xdr:to>
    <mc:AlternateContent xmlns:mc="http://schemas.openxmlformats.org/markup-compatibility/2006" xmlns:a14="http://schemas.microsoft.com/office/drawing/2010/main">
      <mc:Choice Requires="a14">
        <xdr:sp macro="" textlink="">
          <xdr:nvSpPr>
            <xdr:cNvPr id="84" name="TextBox 83"/>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4" name="TextBox 83"/>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719</xdr:row>
      <xdr:rowOff>145143</xdr:rowOff>
    </xdr:from>
    <xdr:to>
      <xdr:col>2</xdr:col>
      <xdr:colOff>0</xdr:colOff>
      <xdr:row>721</xdr:row>
      <xdr:rowOff>122464</xdr:rowOff>
    </xdr:to>
    <mc:AlternateContent xmlns:mc="http://schemas.openxmlformats.org/markup-compatibility/2006" xmlns:a14="http://schemas.microsoft.com/office/drawing/2010/main">
      <mc:Choice Requires="a14">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2</xdr:col>
      <xdr:colOff>0</xdr:colOff>
      <xdr:row>739</xdr:row>
      <xdr:rowOff>95247</xdr:rowOff>
    </xdr:from>
    <xdr:to>
      <xdr:col>2</xdr:col>
      <xdr:colOff>0</xdr:colOff>
      <xdr:row>741</xdr:row>
      <xdr:rowOff>152572</xdr:rowOff>
    </xdr:to>
    <mc:AlternateContent xmlns:mc="http://schemas.openxmlformats.org/markup-compatibility/2006" xmlns:a14="http://schemas.microsoft.com/office/drawing/2010/main">
      <mc:Choice Requires="a14">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737</xdr:row>
      <xdr:rowOff>122464</xdr:rowOff>
    </xdr:from>
    <xdr:to>
      <xdr:col>4</xdr:col>
      <xdr:colOff>4721678</xdr:colOff>
      <xdr:row>739</xdr:row>
      <xdr:rowOff>96699</xdr:rowOff>
    </xdr:to>
    <mc:AlternateContent xmlns:mc="http://schemas.openxmlformats.org/markup-compatibility/2006" xmlns:a14="http://schemas.microsoft.com/office/drawing/2010/main">
      <mc:Choice Requires="a14">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twoCellAnchor>
    <xdr:from>
      <xdr:col>3</xdr:col>
      <xdr:colOff>95250</xdr:colOff>
      <xdr:row>275</xdr:row>
      <xdr:rowOff>27214</xdr:rowOff>
    </xdr:from>
    <xdr:to>
      <xdr:col>6</xdr:col>
      <xdr:colOff>1008290</xdr:colOff>
      <xdr:row>278</xdr:row>
      <xdr:rowOff>110218</xdr:rowOff>
    </xdr:to>
    <mc:AlternateContent xmlns:mc="http://schemas.openxmlformats.org/markup-compatibility/2006" xmlns:a14="http://schemas.microsoft.com/office/drawing/2010/main">
      <mc:Choice Requires="a14">
        <xdr:sp macro="" textlink="">
          <xdr:nvSpPr>
            <xdr:cNvPr id="88" name="TextBox 87"/>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𝐸𝑓𝑓</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𝐸𝐹𝐿𝐻</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𝐵𝑡𝑢h</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𝐸𝑆𝐹</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e>
                    </m:d>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𝐸𝐹𝐿𝐻</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f>
                          <m:f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𝐵𝑡𝑢h</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num>
                          <m:den>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𝜂</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∗3412</m:t>
                            </m:r>
                          </m:den>
                        </m:f>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𝐸𝑆𝐹</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e>
                    </m:d>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88" name="TextBox 87"/>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1/𝐸𝑓𝑓∗〖𝐸𝐹𝐿𝐻〗_𝐶𝑜𝑜𝑙∗〖𝐵𝑡𝑢ℎ〗_𝐶𝑜𝑜𝑙/1000∗〖𝐸𝑆𝐹〗_𝐶𝑜𝑜𝑙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+(〖𝐸𝐹𝐿𝐻〗_𝐻𝐸𝐴𝑇∗〖𝐵𝑡𝑢ℎ〗_𝐻𝐸𝐴𝑇/(𝜂_𝐻𝐸𝐴𝑇∗3412)∗〖𝐸𝑆𝐹〗_𝐻𝐸𝐴𝑇 )</a:t>
              </a: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6A85CCD3-9CE8-4F1D-A6E1-71E1121F1F1B}"/>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C98CAA05-1DBF-4691-93F9-3AB08514FFE1}"/>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xdr:row>
      <xdr:rowOff>0</xdr:rowOff>
    </xdr:from>
    <xdr:ext cx="65" cy="172227"/>
    <xdr:sp macro="" textlink="">
      <xdr:nvSpPr>
        <xdr:cNvPr id="91" name="TextBox 90">
          <a:extLst>
            <a:ext uri="{FF2B5EF4-FFF2-40B4-BE49-F238E27FC236}">
              <a16:creationId xmlns:a16="http://schemas.microsoft.com/office/drawing/2014/main" id="{6A85CCD3-9CE8-4F1D-A6E1-71E1121F1F1B}"/>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xdr:row>
      <xdr:rowOff>0</xdr:rowOff>
    </xdr:from>
    <xdr:ext cx="65" cy="172227"/>
    <xdr:sp macro="" textlink="">
      <xdr:nvSpPr>
        <xdr:cNvPr id="92" name="TextBox 91">
          <a:extLst>
            <a:ext uri="{FF2B5EF4-FFF2-40B4-BE49-F238E27FC236}">
              <a16:creationId xmlns:a16="http://schemas.microsoft.com/office/drawing/2014/main" id="{C98CAA05-1DBF-4691-93F9-3AB08514FFE1}"/>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135</xdr:row>
      <xdr:rowOff>0</xdr:rowOff>
    </xdr:from>
    <xdr:ext cx="65" cy="172227"/>
    <xdr:sp macro="" textlink="">
      <xdr:nvSpPr>
        <xdr:cNvPr id="93" name="TextBox 92">
          <a:extLst>
            <a:ext uri="{FF2B5EF4-FFF2-40B4-BE49-F238E27FC236}">
              <a16:creationId xmlns:a16="http://schemas.microsoft.com/office/drawing/2014/main" id="{6A85CCD3-9CE8-4F1D-A6E1-71E1121F1F1B}"/>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135</xdr:row>
      <xdr:rowOff>0</xdr:rowOff>
    </xdr:from>
    <xdr:ext cx="65" cy="172227"/>
    <xdr:sp macro="" textlink="">
      <xdr:nvSpPr>
        <xdr:cNvPr id="94" name="TextBox 93">
          <a:extLst>
            <a:ext uri="{FF2B5EF4-FFF2-40B4-BE49-F238E27FC236}">
              <a16:creationId xmlns:a16="http://schemas.microsoft.com/office/drawing/2014/main" id="{C98CAA05-1DBF-4691-93F9-3AB08514FFE1}"/>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155</xdr:row>
      <xdr:rowOff>0</xdr:rowOff>
    </xdr:from>
    <xdr:ext cx="65" cy="172227"/>
    <xdr:sp macro="" textlink="">
      <xdr:nvSpPr>
        <xdr:cNvPr id="95" name="TextBox 94">
          <a:extLst>
            <a:ext uri="{FF2B5EF4-FFF2-40B4-BE49-F238E27FC236}">
              <a16:creationId xmlns:a16="http://schemas.microsoft.com/office/drawing/2014/main" id="{6A85CCD3-9CE8-4F1D-A6E1-71E1121F1F1B}"/>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155</xdr:row>
      <xdr:rowOff>0</xdr:rowOff>
    </xdr:from>
    <xdr:ext cx="65" cy="172227"/>
    <xdr:sp macro="" textlink="">
      <xdr:nvSpPr>
        <xdr:cNvPr id="96" name="TextBox 95">
          <a:extLst>
            <a:ext uri="{FF2B5EF4-FFF2-40B4-BE49-F238E27FC236}">
              <a16:creationId xmlns:a16="http://schemas.microsoft.com/office/drawing/2014/main" id="{C98CAA05-1DBF-4691-93F9-3AB08514FFE1}"/>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179</xdr:row>
      <xdr:rowOff>0</xdr:rowOff>
    </xdr:from>
    <xdr:ext cx="65" cy="172227"/>
    <xdr:sp macro="" textlink="">
      <xdr:nvSpPr>
        <xdr:cNvPr id="97" name="TextBox 96">
          <a:extLst>
            <a:ext uri="{FF2B5EF4-FFF2-40B4-BE49-F238E27FC236}">
              <a16:creationId xmlns:a16="http://schemas.microsoft.com/office/drawing/2014/main" id="{6A85CCD3-9CE8-4F1D-A6E1-71E1121F1F1B}"/>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179</xdr:row>
      <xdr:rowOff>0</xdr:rowOff>
    </xdr:from>
    <xdr:ext cx="65" cy="172227"/>
    <xdr:sp macro="" textlink="">
      <xdr:nvSpPr>
        <xdr:cNvPr id="98" name="TextBox 97">
          <a:extLst>
            <a:ext uri="{FF2B5EF4-FFF2-40B4-BE49-F238E27FC236}">
              <a16:creationId xmlns:a16="http://schemas.microsoft.com/office/drawing/2014/main" id="{C98CAA05-1DBF-4691-93F9-3AB08514FFE1}"/>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197</xdr:row>
      <xdr:rowOff>0</xdr:rowOff>
    </xdr:from>
    <xdr:ext cx="65" cy="172227"/>
    <xdr:sp macro="" textlink="">
      <xdr:nvSpPr>
        <xdr:cNvPr id="99" name="TextBox 98">
          <a:extLst>
            <a:ext uri="{FF2B5EF4-FFF2-40B4-BE49-F238E27FC236}">
              <a16:creationId xmlns:a16="http://schemas.microsoft.com/office/drawing/2014/main" id="{6A85CCD3-9CE8-4F1D-A6E1-71E1121F1F1B}"/>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197</xdr:row>
      <xdr:rowOff>0</xdr:rowOff>
    </xdr:from>
    <xdr:ext cx="65" cy="172227"/>
    <xdr:sp macro="" textlink="">
      <xdr:nvSpPr>
        <xdr:cNvPr id="100" name="TextBox 99">
          <a:extLst>
            <a:ext uri="{FF2B5EF4-FFF2-40B4-BE49-F238E27FC236}">
              <a16:creationId xmlns:a16="http://schemas.microsoft.com/office/drawing/2014/main" id="{C98CAA05-1DBF-4691-93F9-3AB08514FFE1}"/>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227</xdr:row>
      <xdr:rowOff>0</xdr:rowOff>
    </xdr:from>
    <xdr:ext cx="65" cy="172227"/>
    <xdr:sp macro="" textlink="">
      <xdr:nvSpPr>
        <xdr:cNvPr id="101" name="TextBox 100">
          <a:extLst>
            <a:ext uri="{FF2B5EF4-FFF2-40B4-BE49-F238E27FC236}">
              <a16:creationId xmlns:a16="http://schemas.microsoft.com/office/drawing/2014/main" id="{6A85CCD3-9CE8-4F1D-A6E1-71E1121F1F1B}"/>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227</xdr:row>
      <xdr:rowOff>0</xdr:rowOff>
    </xdr:from>
    <xdr:ext cx="65" cy="172227"/>
    <xdr:sp macro="" textlink="">
      <xdr:nvSpPr>
        <xdr:cNvPr id="102" name="TextBox 101">
          <a:extLst>
            <a:ext uri="{FF2B5EF4-FFF2-40B4-BE49-F238E27FC236}">
              <a16:creationId xmlns:a16="http://schemas.microsoft.com/office/drawing/2014/main" id="{C98CAA05-1DBF-4691-93F9-3AB08514FFE1}"/>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249</xdr:row>
      <xdr:rowOff>0</xdr:rowOff>
    </xdr:from>
    <xdr:ext cx="65" cy="172227"/>
    <xdr:sp macro="" textlink="">
      <xdr:nvSpPr>
        <xdr:cNvPr id="103" name="TextBox 102">
          <a:extLst>
            <a:ext uri="{FF2B5EF4-FFF2-40B4-BE49-F238E27FC236}">
              <a16:creationId xmlns:a16="http://schemas.microsoft.com/office/drawing/2014/main" id="{6A85CCD3-9CE8-4F1D-A6E1-71E1121F1F1B}"/>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249</xdr:row>
      <xdr:rowOff>0</xdr:rowOff>
    </xdr:from>
    <xdr:ext cx="65" cy="172227"/>
    <xdr:sp macro="" textlink="">
      <xdr:nvSpPr>
        <xdr:cNvPr id="104" name="TextBox 103">
          <a:extLst>
            <a:ext uri="{FF2B5EF4-FFF2-40B4-BE49-F238E27FC236}">
              <a16:creationId xmlns:a16="http://schemas.microsoft.com/office/drawing/2014/main" id="{C98CAA05-1DBF-4691-93F9-3AB08514FFE1}"/>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269</xdr:row>
      <xdr:rowOff>0</xdr:rowOff>
    </xdr:from>
    <xdr:ext cx="65" cy="172227"/>
    <xdr:sp macro="" textlink="">
      <xdr:nvSpPr>
        <xdr:cNvPr id="105" name="TextBox 104">
          <a:extLst>
            <a:ext uri="{FF2B5EF4-FFF2-40B4-BE49-F238E27FC236}">
              <a16:creationId xmlns:a16="http://schemas.microsoft.com/office/drawing/2014/main" id="{6A85CCD3-9CE8-4F1D-A6E1-71E1121F1F1B}"/>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269</xdr:row>
      <xdr:rowOff>0</xdr:rowOff>
    </xdr:from>
    <xdr:ext cx="65" cy="172227"/>
    <xdr:sp macro="" textlink="">
      <xdr:nvSpPr>
        <xdr:cNvPr id="106" name="TextBox 105">
          <a:extLst>
            <a:ext uri="{FF2B5EF4-FFF2-40B4-BE49-F238E27FC236}">
              <a16:creationId xmlns:a16="http://schemas.microsoft.com/office/drawing/2014/main" id="{C98CAA05-1DBF-4691-93F9-3AB08514FFE1}"/>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391</xdr:row>
      <xdr:rowOff>0</xdr:rowOff>
    </xdr:from>
    <xdr:ext cx="65" cy="172227"/>
    <xdr:sp macro="" textlink="">
      <xdr:nvSpPr>
        <xdr:cNvPr id="107" name="TextBox 106">
          <a:extLst>
            <a:ext uri="{FF2B5EF4-FFF2-40B4-BE49-F238E27FC236}">
              <a16:creationId xmlns:a16="http://schemas.microsoft.com/office/drawing/2014/main" id="{6A85CCD3-9CE8-4F1D-A6E1-71E1121F1F1B}"/>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391</xdr:row>
      <xdr:rowOff>0</xdr:rowOff>
    </xdr:from>
    <xdr:ext cx="65" cy="172227"/>
    <xdr:sp macro="" textlink="">
      <xdr:nvSpPr>
        <xdr:cNvPr id="108" name="TextBox 107">
          <a:extLst>
            <a:ext uri="{FF2B5EF4-FFF2-40B4-BE49-F238E27FC236}">
              <a16:creationId xmlns:a16="http://schemas.microsoft.com/office/drawing/2014/main" id="{C98CAA05-1DBF-4691-93F9-3AB08514FFE1}"/>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09" name="TextBox 108">
          <a:extLst>
            <a:ext uri="{FF2B5EF4-FFF2-40B4-BE49-F238E27FC236}">
              <a16:creationId xmlns:a16="http://schemas.microsoft.com/office/drawing/2014/main" id="{6A85CCD3-9CE8-4F1D-A6E1-71E1121F1F1B}"/>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0" name="TextBox 109">
          <a:extLst>
            <a:ext uri="{FF2B5EF4-FFF2-40B4-BE49-F238E27FC236}">
              <a16:creationId xmlns:a16="http://schemas.microsoft.com/office/drawing/2014/main" id="{C98CAA05-1DBF-4691-93F9-3AB08514FFE1}"/>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503</xdr:row>
      <xdr:rowOff>0</xdr:rowOff>
    </xdr:from>
    <xdr:ext cx="65" cy="172227"/>
    <xdr:sp macro="" textlink="">
      <xdr:nvSpPr>
        <xdr:cNvPr id="111" name="TextBox 110">
          <a:extLst>
            <a:ext uri="{FF2B5EF4-FFF2-40B4-BE49-F238E27FC236}">
              <a16:creationId xmlns:a16="http://schemas.microsoft.com/office/drawing/2014/main" id="{6A85CCD3-9CE8-4F1D-A6E1-71E1121F1F1B}"/>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503</xdr:row>
      <xdr:rowOff>0</xdr:rowOff>
    </xdr:from>
    <xdr:ext cx="65" cy="172227"/>
    <xdr:sp macro="" textlink="">
      <xdr:nvSpPr>
        <xdr:cNvPr id="112" name="TextBox 111">
          <a:extLst>
            <a:ext uri="{FF2B5EF4-FFF2-40B4-BE49-F238E27FC236}">
              <a16:creationId xmlns:a16="http://schemas.microsoft.com/office/drawing/2014/main" id="{C98CAA05-1DBF-4691-93F9-3AB08514FFE1}"/>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526</xdr:row>
      <xdr:rowOff>0</xdr:rowOff>
    </xdr:from>
    <xdr:ext cx="65" cy="172227"/>
    <xdr:sp macro="" textlink="">
      <xdr:nvSpPr>
        <xdr:cNvPr id="113" name="TextBox 112">
          <a:extLst>
            <a:ext uri="{FF2B5EF4-FFF2-40B4-BE49-F238E27FC236}">
              <a16:creationId xmlns:a16="http://schemas.microsoft.com/office/drawing/2014/main" id="{6A85CCD3-9CE8-4F1D-A6E1-71E1121F1F1B}"/>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526</xdr:row>
      <xdr:rowOff>0</xdr:rowOff>
    </xdr:from>
    <xdr:ext cx="65" cy="172227"/>
    <xdr:sp macro="" textlink="">
      <xdr:nvSpPr>
        <xdr:cNvPr id="114" name="TextBox 113">
          <a:extLst>
            <a:ext uri="{FF2B5EF4-FFF2-40B4-BE49-F238E27FC236}">
              <a16:creationId xmlns:a16="http://schemas.microsoft.com/office/drawing/2014/main" id="{C98CAA05-1DBF-4691-93F9-3AB08514FFE1}"/>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544</xdr:row>
      <xdr:rowOff>0</xdr:rowOff>
    </xdr:from>
    <xdr:ext cx="65" cy="172227"/>
    <xdr:sp macro="" textlink="">
      <xdr:nvSpPr>
        <xdr:cNvPr id="115" name="TextBox 114">
          <a:extLst>
            <a:ext uri="{FF2B5EF4-FFF2-40B4-BE49-F238E27FC236}">
              <a16:creationId xmlns:a16="http://schemas.microsoft.com/office/drawing/2014/main" id="{6A85CCD3-9CE8-4F1D-A6E1-71E1121F1F1B}"/>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544</xdr:row>
      <xdr:rowOff>0</xdr:rowOff>
    </xdr:from>
    <xdr:ext cx="65" cy="172227"/>
    <xdr:sp macro="" textlink="">
      <xdr:nvSpPr>
        <xdr:cNvPr id="116" name="TextBox 115">
          <a:extLst>
            <a:ext uri="{FF2B5EF4-FFF2-40B4-BE49-F238E27FC236}">
              <a16:creationId xmlns:a16="http://schemas.microsoft.com/office/drawing/2014/main" id="{C98CAA05-1DBF-4691-93F9-3AB08514FFE1}"/>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562</xdr:row>
      <xdr:rowOff>0</xdr:rowOff>
    </xdr:from>
    <xdr:ext cx="65" cy="172227"/>
    <xdr:sp macro="" textlink="">
      <xdr:nvSpPr>
        <xdr:cNvPr id="117" name="TextBox 116">
          <a:extLst>
            <a:ext uri="{FF2B5EF4-FFF2-40B4-BE49-F238E27FC236}">
              <a16:creationId xmlns:a16="http://schemas.microsoft.com/office/drawing/2014/main" id="{6A85CCD3-9CE8-4F1D-A6E1-71E1121F1F1B}"/>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562</xdr:row>
      <xdr:rowOff>0</xdr:rowOff>
    </xdr:from>
    <xdr:ext cx="65" cy="172227"/>
    <xdr:sp macro="" textlink="">
      <xdr:nvSpPr>
        <xdr:cNvPr id="118" name="TextBox 117">
          <a:extLst>
            <a:ext uri="{FF2B5EF4-FFF2-40B4-BE49-F238E27FC236}">
              <a16:creationId xmlns:a16="http://schemas.microsoft.com/office/drawing/2014/main" id="{C98CAA05-1DBF-4691-93F9-3AB08514FFE1}"/>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578</xdr:row>
      <xdr:rowOff>0</xdr:rowOff>
    </xdr:from>
    <xdr:ext cx="65" cy="172227"/>
    <xdr:sp macro="" textlink="">
      <xdr:nvSpPr>
        <xdr:cNvPr id="119" name="TextBox 118">
          <a:extLst>
            <a:ext uri="{FF2B5EF4-FFF2-40B4-BE49-F238E27FC236}">
              <a16:creationId xmlns:a16="http://schemas.microsoft.com/office/drawing/2014/main" id="{6A85CCD3-9CE8-4F1D-A6E1-71E1121F1F1B}"/>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578</xdr:row>
      <xdr:rowOff>0</xdr:rowOff>
    </xdr:from>
    <xdr:ext cx="65" cy="172227"/>
    <xdr:sp macro="" textlink="">
      <xdr:nvSpPr>
        <xdr:cNvPr id="120" name="TextBox 119">
          <a:extLst>
            <a:ext uri="{FF2B5EF4-FFF2-40B4-BE49-F238E27FC236}">
              <a16:creationId xmlns:a16="http://schemas.microsoft.com/office/drawing/2014/main" id="{C98CAA05-1DBF-4691-93F9-3AB08514FFE1}"/>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594</xdr:row>
      <xdr:rowOff>0</xdr:rowOff>
    </xdr:from>
    <xdr:ext cx="65" cy="172227"/>
    <xdr:sp macro="" textlink="">
      <xdr:nvSpPr>
        <xdr:cNvPr id="121" name="TextBox 120">
          <a:extLst>
            <a:ext uri="{FF2B5EF4-FFF2-40B4-BE49-F238E27FC236}">
              <a16:creationId xmlns:a16="http://schemas.microsoft.com/office/drawing/2014/main" id="{6A85CCD3-9CE8-4F1D-A6E1-71E1121F1F1B}"/>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594</xdr:row>
      <xdr:rowOff>0</xdr:rowOff>
    </xdr:from>
    <xdr:ext cx="65" cy="172227"/>
    <xdr:sp macro="" textlink="">
      <xdr:nvSpPr>
        <xdr:cNvPr id="122" name="TextBox 121">
          <a:extLst>
            <a:ext uri="{FF2B5EF4-FFF2-40B4-BE49-F238E27FC236}">
              <a16:creationId xmlns:a16="http://schemas.microsoft.com/office/drawing/2014/main" id="{C98CAA05-1DBF-4691-93F9-3AB08514FFE1}"/>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610</xdr:row>
      <xdr:rowOff>0</xdr:rowOff>
    </xdr:from>
    <xdr:ext cx="65" cy="172227"/>
    <xdr:sp macro="" textlink="">
      <xdr:nvSpPr>
        <xdr:cNvPr id="123" name="TextBox 122">
          <a:extLst>
            <a:ext uri="{FF2B5EF4-FFF2-40B4-BE49-F238E27FC236}">
              <a16:creationId xmlns:a16="http://schemas.microsoft.com/office/drawing/2014/main" id="{6A85CCD3-9CE8-4F1D-A6E1-71E1121F1F1B}"/>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610</xdr:row>
      <xdr:rowOff>0</xdr:rowOff>
    </xdr:from>
    <xdr:ext cx="65" cy="172227"/>
    <xdr:sp macro="" textlink="">
      <xdr:nvSpPr>
        <xdr:cNvPr id="124" name="TextBox 123">
          <a:extLst>
            <a:ext uri="{FF2B5EF4-FFF2-40B4-BE49-F238E27FC236}">
              <a16:creationId xmlns:a16="http://schemas.microsoft.com/office/drawing/2014/main" id="{C98CAA05-1DBF-4691-93F9-3AB08514FFE1}"/>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626</xdr:row>
      <xdr:rowOff>0</xdr:rowOff>
    </xdr:from>
    <xdr:ext cx="65" cy="172227"/>
    <xdr:sp macro="" textlink="">
      <xdr:nvSpPr>
        <xdr:cNvPr id="125" name="TextBox 124">
          <a:extLst>
            <a:ext uri="{FF2B5EF4-FFF2-40B4-BE49-F238E27FC236}">
              <a16:creationId xmlns:a16="http://schemas.microsoft.com/office/drawing/2014/main" id="{6A85CCD3-9CE8-4F1D-A6E1-71E1121F1F1B}"/>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626</xdr:row>
      <xdr:rowOff>0</xdr:rowOff>
    </xdr:from>
    <xdr:ext cx="65" cy="172227"/>
    <xdr:sp macro="" textlink="">
      <xdr:nvSpPr>
        <xdr:cNvPr id="126" name="TextBox 125">
          <a:extLst>
            <a:ext uri="{FF2B5EF4-FFF2-40B4-BE49-F238E27FC236}">
              <a16:creationId xmlns:a16="http://schemas.microsoft.com/office/drawing/2014/main" id="{C98CAA05-1DBF-4691-93F9-3AB08514FFE1}"/>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7" name="TextBox 126">
          <a:extLst>
            <a:ext uri="{FF2B5EF4-FFF2-40B4-BE49-F238E27FC236}">
              <a16:creationId xmlns:a16="http://schemas.microsoft.com/office/drawing/2014/main" id="{6A85CCD3-9CE8-4F1D-A6E1-71E1121F1F1B}"/>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8" name="TextBox 127">
          <a:extLst>
            <a:ext uri="{FF2B5EF4-FFF2-40B4-BE49-F238E27FC236}">
              <a16:creationId xmlns:a16="http://schemas.microsoft.com/office/drawing/2014/main" id="{C98CAA05-1DBF-4691-93F9-3AB08514FFE1}"/>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658</xdr:row>
      <xdr:rowOff>0</xdr:rowOff>
    </xdr:from>
    <xdr:ext cx="65" cy="172227"/>
    <xdr:sp macro="" textlink="">
      <xdr:nvSpPr>
        <xdr:cNvPr id="129" name="TextBox 128">
          <a:extLst>
            <a:ext uri="{FF2B5EF4-FFF2-40B4-BE49-F238E27FC236}">
              <a16:creationId xmlns:a16="http://schemas.microsoft.com/office/drawing/2014/main" id="{6A85CCD3-9CE8-4F1D-A6E1-71E1121F1F1B}"/>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658</xdr:row>
      <xdr:rowOff>0</xdr:rowOff>
    </xdr:from>
    <xdr:ext cx="65" cy="172227"/>
    <xdr:sp macro="" textlink="">
      <xdr:nvSpPr>
        <xdr:cNvPr id="130" name="TextBox 129">
          <a:extLst>
            <a:ext uri="{FF2B5EF4-FFF2-40B4-BE49-F238E27FC236}">
              <a16:creationId xmlns:a16="http://schemas.microsoft.com/office/drawing/2014/main" id="{C98CAA05-1DBF-4691-93F9-3AB08514FFE1}"/>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678</xdr:row>
      <xdr:rowOff>0</xdr:rowOff>
    </xdr:from>
    <xdr:ext cx="65" cy="172227"/>
    <xdr:sp macro="" textlink="">
      <xdr:nvSpPr>
        <xdr:cNvPr id="131" name="TextBox 130">
          <a:extLst>
            <a:ext uri="{FF2B5EF4-FFF2-40B4-BE49-F238E27FC236}">
              <a16:creationId xmlns:a16="http://schemas.microsoft.com/office/drawing/2014/main" id="{6A85CCD3-9CE8-4F1D-A6E1-71E1121F1F1B}"/>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678</xdr:row>
      <xdr:rowOff>0</xdr:rowOff>
    </xdr:from>
    <xdr:ext cx="65" cy="172227"/>
    <xdr:sp macro="" textlink="">
      <xdr:nvSpPr>
        <xdr:cNvPr id="132" name="TextBox 131">
          <a:extLst>
            <a:ext uri="{FF2B5EF4-FFF2-40B4-BE49-F238E27FC236}">
              <a16:creationId xmlns:a16="http://schemas.microsoft.com/office/drawing/2014/main" id="{C98CAA05-1DBF-4691-93F9-3AB08514FFE1}"/>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694</xdr:row>
      <xdr:rowOff>0</xdr:rowOff>
    </xdr:from>
    <xdr:ext cx="65" cy="172227"/>
    <xdr:sp macro="" textlink="">
      <xdr:nvSpPr>
        <xdr:cNvPr id="133" name="TextBox 132">
          <a:extLst>
            <a:ext uri="{FF2B5EF4-FFF2-40B4-BE49-F238E27FC236}">
              <a16:creationId xmlns:a16="http://schemas.microsoft.com/office/drawing/2014/main" id="{6A85CCD3-9CE8-4F1D-A6E1-71E1121F1F1B}"/>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694</xdr:row>
      <xdr:rowOff>0</xdr:rowOff>
    </xdr:from>
    <xdr:ext cx="65" cy="172227"/>
    <xdr:sp macro="" textlink="">
      <xdr:nvSpPr>
        <xdr:cNvPr id="134" name="TextBox 133">
          <a:extLst>
            <a:ext uri="{FF2B5EF4-FFF2-40B4-BE49-F238E27FC236}">
              <a16:creationId xmlns:a16="http://schemas.microsoft.com/office/drawing/2014/main" id="{C98CAA05-1DBF-4691-93F9-3AB08514FFE1}"/>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712</xdr:row>
      <xdr:rowOff>0</xdr:rowOff>
    </xdr:from>
    <xdr:ext cx="65" cy="172227"/>
    <xdr:sp macro="" textlink="">
      <xdr:nvSpPr>
        <xdr:cNvPr id="135" name="TextBox 134">
          <a:extLst>
            <a:ext uri="{FF2B5EF4-FFF2-40B4-BE49-F238E27FC236}">
              <a16:creationId xmlns:a16="http://schemas.microsoft.com/office/drawing/2014/main" id="{6A85CCD3-9CE8-4F1D-A6E1-71E1121F1F1B}"/>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712</xdr:row>
      <xdr:rowOff>0</xdr:rowOff>
    </xdr:from>
    <xdr:ext cx="65" cy="172227"/>
    <xdr:sp macro="" textlink="">
      <xdr:nvSpPr>
        <xdr:cNvPr id="136" name="TextBox 135">
          <a:extLst>
            <a:ext uri="{FF2B5EF4-FFF2-40B4-BE49-F238E27FC236}">
              <a16:creationId xmlns:a16="http://schemas.microsoft.com/office/drawing/2014/main" id="{C98CAA05-1DBF-4691-93F9-3AB08514FFE1}"/>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730</xdr:row>
      <xdr:rowOff>0</xdr:rowOff>
    </xdr:from>
    <xdr:ext cx="65" cy="172227"/>
    <xdr:sp macro="" textlink="">
      <xdr:nvSpPr>
        <xdr:cNvPr id="137" name="TextBox 136">
          <a:extLst>
            <a:ext uri="{FF2B5EF4-FFF2-40B4-BE49-F238E27FC236}">
              <a16:creationId xmlns:a16="http://schemas.microsoft.com/office/drawing/2014/main" id="{6A85CCD3-9CE8-4F1D-A6E1-71E1121F1F1B}"/>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730</xdr:row>
      <xdr:rowOff>0</xdr:rowOff>
    </xdr:from>
    <xdr:ext cx="65" cy="172227"/>
    <xdr:sp macro="" textlink="">
      <xdr:nvSpPr>
        <xdr:cNvPr id="138" name="TextBox 137">
          <a:extLst>
            <a:ext uri="{FF2B5EF4-FFF2-40B4-BE49-F238E27FC236}">
              <a16:creationId xmlns:a16="http://schemas.microsoft.com/office/drawing/2014/main" id="{C98CAA05-1DBF-4691-93F9-3AB08514FFE1}"/>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747</xdr:row>
      <xdr:rowOff>0</xdr:rowOff>
    </xdr:from>
    <xdr:ext cx="65" cy="172227"/>
    <xdr:sp macro="" textlink="">
      <xdr:nvSpPr>
        <xdr:cNvPr id="139" name="TextBox 138">
          <a:extLst>
            <a:ext uri="{FF2B5EF4-FFF2-40B4-BE49-F238E27FC236}">
              <a16:creationId xmlns:a16="http://schemas.microsoft.com/office/drawing/2014/main" id="{6A85CCD3-9CE8-4F1D-A6E1-71E1121F1F1B}"/>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747</xdr:row>
      <xdr:rowOff>0</xdr:rowOff>
    </xdr:from>
    <xdr:ext cx="65" cy="172227"/>
    <xdr:sp macro="" textlink="">
      <xdr:nvSpPr>
        <xdr:cNvPr id="140" name="TextBox 139">
          <a:extLst>
            <a:ext uri="{FF2B5EF4-FFF2-40B4-BE49-F238E27FC236}">
              <a16:creationId xmlns:a16="http://schemas.microsoft.com/office/drawing/2014/main" id="{C98CAA05-1DBF-4691-93F9-3AB08514FFE1}"/>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4</xdr:col>
      <xdr:colOff>233361</xdr:colOff>
      <xdr:row>34</xdr:row>
      <xdr:rowOff>123825</xdr:rowOff>
    </xdr:from>
    <xdr:to>
      <xdr:col>7</xdr:col>
      <xdr:colOff>247650</xdr:colOff>
      <xdr:row>35</xdr:row>
      <xdr:rowOff>183778</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6782094-3EC5-4E55-83D6-3CE0F9F0B74D}"/>
                </a:ext>
              </a:extLst>
            </xdr:cNvPr>
            <xdr:cNvSpPr txBox="1"/>
          </xdr:nvSpPr>
          <xdr:spPr>
            <a:xfrm>
              <a:off x="3529011" y="7477125"/>
              <a:ext cx="1092993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2" name="TextBox 1">
              <a:extLst>
                <a:ext uri="{FF2B5EF4-FFF2-40B4-BE49-F238E27FC236}">
                  <a16:creationId xmlns:a16="http://schemas.microsoft.com/office/drawing/2014/main" id="{06782094-3EC5-4E55-83D6-3CE0F9F0B74D}"/>
                </a:ext>
              </a:extLst>
            </xdr:cNvPr>
            <xdr:cNvSpPr txBox="1"/>
          </xdr:nvSpPr>
          <xdr:spPr>
            <a:xfrm>
              <a:off x="3529011" y="7477125"/>
              <a:ext cx="1092993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209550</xdr:colOff>
      <xdr:row>36</xdr:row>
      <xdr:rowOff>66675</xdr:rowOff>
    </xdr:from>
    <xdr:to>
      <xdr:col>4</xdr:col>
      <xdr:colOff>1955221</xdr:colOff>
      <xdr:row>37</xdr:row>
      <xdr:rowOff>126628</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E1EC4314-9343-40B5-9831-C2724D63F023}"/>
                </a:ext>
              </a:extLst>
            </xdr:cNvPr>
            <xdr:cNvSpPr txBox="1"/>
          </xdr:nvSpPr>
          <xdr:spPr>
            <a:xfrm>
              <a:off x="3505200" y="780097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 name="TextBox 2">
              <a:extLst>
                <a:ext uri="{FF2B5EF4-FFF2-40B4-BE49-F238E27FC236}">
                  <a16:creationId xmlns:a16="http://schemas.microsoft.com/office/drawing/2014/main" id="{E1EC4314-9343-40B5-9831-C2724D63F023}"/>
                </a:ext>
              </a:extLst>
            </xdr:cNvPr>
            <xdr:cNvSpPr txBox="1"/>
          </xdr:nvSpPr>
          <xdr:spPr>
            <a:xfrm>
              <a:off x="3505200" y="780097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798511</xdr:colOff>
      <xdr:row>30</xdr:row>
      <xdr:rowOff>19050</xdr:rowOff>
    </xdr:from>
    <xdr:to>
      <xdr:col>4</xdr:col>
      <xdr:colOff>4413251</xdr:colOff>
      <xdr:row>31</xdr:row>
      <xdr:rowOff>79003</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2</xdr:col>
      <xdr:colOff>52386</xdr:colOff>
      <xdr:row>32</xdr:row>
      <xdr:rowOff>15875</xdr:rowOff>
    </xdr:from>
    <xdr:to>
      <xdr:col>7</xdr:col>
      <xdr:colOff>508001</xdr:colOff>
      <xdr:row>35</xdr:row>
      <xdr:rowOff>63500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4D9E4E40-B345-40B0-8317-9CC0340BC3E3}"/>
                </a:ext>
              </a:extLst>
            </xdr:cNvPr>
            <xdr:cNvSpPr txBox="1"/>
          </xdr:nvSpPr>
          <xdr:spPr>
            <a:xfrm>
              <a:off x="1052511" y="6988175"/>
              <a:ext cx="13406439" cy="6191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 name="TextBox 4">
              <a:extLst>
                <a:ext uri="{FF2B5EF4-FFF2-40B4-BE49-F238E27FC236}">
                  <a16:creationId xmlns:a16="http://schemas.microsoft.com/office/drawing/2014/main" id="{4D9E4E40-B345-40B0-8317-9CC0340BC3E3}"/>
                </a:ext>
              </a:extLst>
            </xdr:cNvPr>
            <xdr:cNvSpPr txBox="1"/>
          </xdr:nvSpPr>
          <xdr:spPr>
            <a:xfrm>
              <a:off x="1052511" y="6988175"/>
              <a:ext cx="13406439" cy="6191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1</xdr:col>
      <xdr:colOff>74610</xdr:colOff>
      <xdr:row>34</xdr:row>
      <xdr:rowOff>28575</xdr:rowOff>
    </xdr:from>
    <xdr:to>
      <xdr:col>8</xdr:col>
      <xdr:colOff>920750</xdr:colOff>
      <xdr:row>36</xdr:row>
      <xdr:rowOff>47625</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6782094-3EC5-4E55-83D6-3CE0F9F0B74D}"/>
                </a:ext>
              </a:extLst>
            </xdr:cNvPr>
            <xdr:cNvSpPr txBox="1"/>
          </xdr:nvSpPr>
          <xdr:spPr>
            <a:xfrm>
              <a:off x="465135" y="7381875"/>
              <a:ext cx="14914565" cy="4000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6" name="TextBox 5">
              <a:extLst>
                <a:ext uri="{FF2B5EF4-FFF2-40B4-BE49-F238E27FC236}">
                  <a16:creationId xmlns:a16="http://schemas.microsoft.com/office/drawing/2014/main" id="{06782094-3EC5-4E55-83D6-3CE0F9F0B74D}"/>
                </a:ext>
              </a:extLst>
            </xdr:cNvPr>
            <xdr:cNvSpPr txBox="1"/>
          </xdr:nvSpPr>
          <xdr:spPr>
            <a:xfrm>
              <a:off x="465135" y="7381875"/>
              <a:ext cx="14914565" cy="4000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34925</xdr:colOff>
      <xdr:row>36</xdr:row>
      <xdr:rowOff>34925</xdr:rowOff>
    </xdr:from>
    <xdr:to>
      <xdr:col>4</xdr:col>
      <xdr:colOff>843971</xdr:colOff>
      <xdr:row>37</xdr:row>
      <xdr:rowOff>94878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E1EC4314-9343-40B5-9831-C2724D63F023}"/>
                </a:ext>
              </a:extLst>
            </xdr:cNvPr>
            <xdr:cNvSpPr txBox="1"/>
          </xdr:nvSpPr>
          <xdr:spPr>
            <a:xfrm>
              <a:off x="2397125" y="7769225"/>
              <a:ext cx="17424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7" name="TextBox 6">
              <a:extLst>
                <a:ext uri="{FF2B5EF4-FFF2-40B4-BE49-F238E27FC236}">
                  <a16:creationId xmlns:a16="http://schemas.microsoft.com/office/drawing/2014/main" id="{E1EC4314-9343-40B5-9831-C2724D63F023}"/>
                </a:ext>
              </a:extLst>
            </xdr:cNvPr>
            <xdr:cNvSpPr txBox="1"/>
          </xdr:nvSpPr>
          <xdr:spPr>
            <a:xfrm>
              <a:off x="2397125" y="7769225"/>
              <a:ext cx="17424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8" name="TextBox 7">
          <a:extLst>
            <a:ext uri="{FF2B5EF4-FFF2-40B4-BE49-F238E27FC236}">
              <a16:creationId xmlns:a16="http://schemas.microsoft.com/office/drawing/2014/main" id="{6A85CCD3-9CE8-4F1D-A6E1-71E1121F1F1B}"/>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9" name="TextBox 8">
          <a:extLst>
            <a:ext uri="{FF2B5EF4-FFF2-40B4-BE49-F238E27FC236}">
              <a16:creationId xmlns:a16="http://schemas.microsoft.com/office/drawing/2014/main" id="{C98CAA05-1DBF-4691-93F9-3AB08514FFE1}"/>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53</xdr:row>
      <xdr:rowOff>0</xdr:rowOff>
    </xdr:from>
    <xdr:ext cx="65" cy="172227"/>
    <xdr:sp macro="" textlink="">
      <xdr:nvSpPr>
        <xdr:cNvPr id="2" name="TextBox 1">
          <a:extLst>
            <a:ext uri="{FF2B5EF4-FFF2-40B4-BE49-F238E27FC236}">
              <a16:creationId xmlns:a16="http://schemas.microsoft.com/office/drawing/2014/main" id="{00000000-0008-0000-0300-000017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53</xdr:row>
      <xdr:rowOff>0</xdr:rowOff>
    </xdr:from>
    <xdr:ext cx="65" cy="172227"/>
    <xdr:sp macro="" textlink="">
      <xdr:nvSpPr>
        <xdr:cNvPr id="3" name="TextBox 2">
          <a:extLst>
            <a:ext uri="{FF2B5EF4-FFF2-40B4-BE49-F238E27FC236}">
              <a16:creationId xmlns:a16="http://schemas.microsoft.com/office/drawing/2014/main" id="{00000000-0008-0000-0300-000019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198</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198</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287109</xdr:colOff>
      <xdr:row>8</xdr:row>
      <xdr:rowOff>42029</xdr:rowOff>
    </xdr:from>
    <xdr:to>
      <xdr:col>11</xdr:col>
      <xdr:colOff>1605643</xdr:colOff>
      <xdr:row>11</xdr:row>
      <xdr:rowOff>186431</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7DCDC9E7-3AB5-4B92-9738-24C80EBBA30D}"/>
                </a:ext>
                <a:ext uri="{147F2762-F138-4A5C-976F-8EAC2B608ADB}">
                  <a16:predDERef xmlns:a16="http://schemas.microsoft.com/office/drawing/2014/main" pred="{81B71F05-C5D3-4C35-B4EE-96DE281A87C5}"/>
                </a:ext>
              </a:extLst>
            </xdr:cNvPr>
            <xdr:cNvSpPr txBox="1"/>
          </xdr:nvSpPr>
          <xdr:spPr>
            <a:xfrm>
              <a:off x="2725509" y="1566029"/>
              <a:ext cx="4585609" cy="715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f>
                                  <m:fPr>
                                    <m:ctrlPr>
                                      <a:rPr lang="en-US" sz="110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𝐵𝐴𝑆𝐸</m:t>
                                        </m:r>
                                      </m:sub>
                                    </m:sSub>
                                  </m:den>
                                </m:f>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∗1.0</m:t>
                            </m:r>
                          </m:num>
                          <m:den>
                            <m:r>
                              <a:rPr lang="en-US" sz="1400" b="0" i="1">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𝑘𝑊h</m:t>
                    </m:r>
                    <m:r>
                      <a:rPr lang="en-US" sz="1800" b="0" i="1">
                        <a:solidFill>
                          <a:sysClr val="windowText" lastClr="000000"/>
                        </a:solidFill>
                        <a:latin typeface="Cambria Math" panose="02040503050406030204" pitchFamily="18" charset="0"/>
                      </a:rPr>
                      <m:t>_</m:t>
                    </m:r>
                    <m:r>
                      <a:rPr lang="en-US" sz="1800" b="0" i="1">
                        <a:solidFill>
                          <a:sysClr val="windowText" lastClr="000000"/>
                        </a:solidFill>
                        <a:latin typeface="Cambria Math" panose="02040503050406030204" pitchFamily="18" charset="0"/>
                      </a:rPr>
                      <m:t>𝑐𝑜𝑜𝑙</m:t>
                    </m:r>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𝑘𝑊h</m:t>
                    </m:r>
                    <m:r>
                      <a:rPr lang="en-US" sz="1800" b="0" i="1">
                        <a:solidFill>
                          <a:sysClr val="windowText" lastClr="000000"/>
                        </a:solidFill>
                        <a:latin typeface="Cambria Math" panose="02040503050406030204" pitchFamily="18" charset="0"/>
                      </a:rPr>
                      <m:t>_</m:t>
                    </m:r>
                    <m:r>
                      <a:rPr lang="en-US" sz="1800" b="0" i="1">
                        <a:solidFill>
                          <a:sysClr val="windowText" lastClr="000000"/>
                        </a:solidFill>
                        <a:latin typeface="Cambria Math" panose="02040503050406030204" pitchFamily="18" charset="0"/>
                      </a:rPr>
                      <m:t>h𝑒𝑎𝑡</m:t>
                    </m:r>
                  </m:oMath>
                </m:oMathPara>
              </a14:m>
              <a:endParaRPr lang="en-US" sz="11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7DCDC9E7-3AB5-4B92-9738-24C80EBBA30D}"/>
                </a:ext>
                <a:ext uri="{147F2762-F138-4A5C-976F-8EAC2B608ADB}">
                  <a16:predDERef xmlns:a16="http://schemas.microsoft.com/office/drawing/2014/main" pred="{81B71F05-C5D3-4C35-B4EE-96DE281A87C5}"/>
                </a:ext>
              </a:extLst>
            </xdr:cNvPr>
            <xdr:cNvSpPr txBox="1"/>
          </xdr:nvSpPr>
          <xdr:spPr>
            <a:xfrm>
              <a:off x="2725509" y="1566029"/>
              <a:ext cx="4585609" cy="715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b="0" i="0" baseline="0">
                  <a:solidFill>
                    <a:schemeClr val="tx1"/>
                  </a:solidFill>
                  <a:effectLst/>
                  <a:latin typeface="Cambria Math" panose="02040503050406030204" pitchFamily="18" charset="0"/>
                  <a:ea typeface="+mn-ea"/>
                  <a:cs typeface="+mn-cs"/>
                </a:rPr>
                <a:t>1/〖𝐸𝐹〗_𝐵𝐴𝑆𝐸 −1/〖𝐸𝐹〗_𝐸𝐸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latin typeface="Cambria Math" panose="02040503050406030204" pitchFamily="18" charset="0"/>
                </a:rPr>
                <a:t>+𝑘𝑊ℎ_𝑐𝑜𝑜𝑙−𝑘𝑊ℎ_ℎ𝑒𝑎𝑡</a:t>
              </a:r>
              <a:endParaRPr lang="en-US" sz="1100" i="0">
                <a:solidFill>
                  <a:srgbClr val="00B050"/>
                </a:solidFill>
              </a:endParaRPr>
            </a:p>
          </xdr:txBody>
        </xdr:sp>
      </mc:Fallback>
    </mc:AlternateContent>
    <xdr:clientData/>
  </xdr:twoCellAnchor>
  <xdr:twoCellAnchor>
    <xdr:from>
      <xdr:col>4</xdr:col>
      <xdr:colOff>136070</xdr:colOff>
      <xdr:row>12</xdr:row>
      <xdr:rowOff>159053</xdr:rowOff>
    </xdr:from>
    <xdr:to>
      <xdr:col>11</xdr:col>
      <xdr:colOff>1714499</xdr:colOff>
      <xdr:row>16</xdr:row>
      <xdr:rowOff>141616</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86A5BA99-6F06-405B-BF67-12FBAA95758F}"/>
                </a:ext>
                <a:ext uri="{147F2762-F138-4A5C-976F-8EAC2B608ADB}">
                  <a16:predDERef xmlns:a16="http://schemas.microsoft.com/office/drawing/2014/main" pred="{7DCDC9E7-3AB5-4B92-9738-24C80EBBA30D}"/>
                </a:ext>
              </a:extLst>
            </xdr:cNvPr>
            <xdr:cNvSpPr txBox="1"/>
          </xdr:nvSpPr>
          <xdr:spPr>
            <a:xfrm>
              <a:off x="2574470" y="2445053"/>
              <a:ext cx="4740729"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𝑐𝑜𝑜𝑙</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𝑊𝐻𝐹𝐶</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𝐿𝑀</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𝐶𝑂𝑂𝐿</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𝐶𝑜𝑜𝑙</m:t>
                    </m:r>
                  </m:oMath>
                </m:oMathPara>
              </a14:m>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86A5BA99-6F06-405B-BF67-12FBAA95758F}"/>
                </a:ext>
                <a:ext uri="{147F2762-F138-4A5C-976F-8EAC2B608ADB}">
                  <a16:predDERef xmlns:a16="http://schemas.microsoft.com/office/drawing/2014/main" pred="{7DCDC9E7-3AB5-4B92-9738-24C80EBBA30D}"/>
                </a:ext>
              </a:extLst>
            </xdr:cNvPr>
            <xdr:cNvSpPr txBox="1"/>
          </xdr:nvSpPr>
          <xdr:spPr>
            <a:xfrm>
              <a:off x="2574470" y="2445053"/>
              <a:ext cx="4740729"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𝑘𝑊ℎ_𝑐𝑜𝑜𝑙</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∗𝐿𝐹∗𝑊𝐻𝐹𝐶∗𝐿𝑀)/(〖𝐶𝑂𝑃〗_𝐶𝑂𝑂𝐿∗3412))</a:t>
              </a:r>
              <a:r>
                <a:rPr lang="en-US" sz="1800" b="0" i="0">
                  <a:solidFill>
                    <a:sysClr val="windowText" lastClr="000000"/>
                  </a:solidFill>
                  <a:latin typeface="Cambria Math" panose="02040503050406030204" pitchFamily="18" charset="0"/>
                </a:rPr>
                <a:t>∗%𝐶𝑜𝑜𝑙</a:t>
              </a:r>
              <a:endParaRPr lang="en-US" sz="1100" i="0">
                <a:solidFill>
                  <a:srgbClr val="00B050"/>
                </a:solidFill>
              </a:endParaRPr>
            </a:p>
          </xdr:txBody>
        </xdr:sp>
      </mc:Fallback>
    </mc:AlternateContent>
    <xdr:clientData/>
  </xdr:twoCellAnchor>
  <xdr:twoCellAnchor>
    <xdr:from>
      <xdr:col>4</xdr:col>
      <xdr:colOff>311603</xdr:colOff>
      <xdr:row>17</xdr:row>
      <xdr:rowOff>91014</xdr:rowOff>
    </xdr:from>
    <xdr:to>
      <xdr:col>11</xdr:col>
      <xdr:colOff>1986643</xdr:colOff>
      <xdr:row>21</xdr:row>
      <xdr:rowOff>73577</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43B30730-A0D0-4A2F-B4BA-BAF1E448B536}"/>
                </a:ext>
                <a:ext uri="{147F2762-F138-4A5C-976F-8EAC2B608ADB}">
                  <a16:predDERef xmlns:a16="http://schemas.microsoft.com/office/drawing/2014/main" pred="{86A5BA99-6F06-405B-BF67-12FBAA95758F}"/>
                </a:ext>
              </a:extLst>
            </xdr:cNvPr>
            <xdr:cNvSpPr txBox="1"/>
          </xdr:nvSpPr>
          <xdr:spPr>
            <a:xfrm>
              <a:off x="2750003" y="3329514"/>
              <a:ext cx="4561115"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h𝑒𝑎𝑡</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𝑊𝐻𝐹𝐻</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𝐻𝐸𝐴𝑇</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𝐸𝑙𝑒𝑐𝑡𝑟𝑖𝑐𝐻𝑒𝑎𝑡</m:t>
                    </m:r>
                  </m:oMath>
                </m:oMathPara>
              </a14:m>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43B30730-A0D0-4A2F-B4BA-BAF1E448B536}"/>
                </a:ext>
                <a:ext uri="{147F2762-F138-4A5C-976F-8EAC2B608ADB}">
                  <a16:predDERef xmlns:a16="http://schemas.microsoft.com/office/drawing/2014/main" pred="{86A5BA99-6F06-405B-BF67-12FBAA95758F}"/>
                </a:ext>
              </a:extLst>
            </xdr:cNvPr>
            <xdr:cNvSpPr txBox="1"/>
          </xdr:nvSpPr>
          <xdr:spPr>
            <a:xfrm>
              <a:off x="2750003" y="3329514"/>
              <a:ext cx="4561115"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𝑘𝑊ℎ_ℎ𝑒𝑎𝑡"</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∗𝐿𝐹∗𝑊𝐻𝐹𝐻)/(〖𝐶𝑂𝑃〗_𝐻𝐸𝐴𝑇∗3412))</a:t>
              </a:r>
              <a:r>
                <a:rPr lang="en-US" sz="1800" b="0" i="0">
                  <a:solidFill>
                    <a:sysClr val="windowText" lastClr="000000"/>
                  </a:solidFill>
                  <a:latin typeface="Cambria Math" panose="02040503050406030204" pitchFamily="18" charset="0"/>
                </a:rPr>
                <a:t>∗%𝐸𝑙𝑒𝑐𝑡𝑟𝑖𝑐𝐻𝑒𝑎𝑡</a:t>
              </a:r>
              <a:endParaRPr lang="en-US" sz="1100" i="0">
                <a:solidFill>
                  <a:srgbClr val="00B050"/>
                </a:solidFill>
              </a:endParaRPr>
            </a:p>
          </xdr:txBody>
        </xdr:sp>
      </mc:Fallback>
    </mc:AlternateContent>
    <xdr:clientData/>
  </xdr:twoCellAnchor>
  <xdr:twoCellAnchor>
    <xdr:from>
      <xdr:col>4</xdr:col>
      <xdr:colOff>740388</xdr:colOff>
      <xdr:row>22</xdr:row>
      <xdr:rowOff>134470</xdr:rowOff>
    </xdr:from>
    <xdr:to>
      <xdr:col>4</xdr:col>
      <xdr:colOff>2486059</xdr:colOff>
      <xdr:row>24</xdr:row>
      <xdr:rowOff>3923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3045438" y="4325470"/>
              <a:ext cx="25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3045438" y="4325470"/>
              <a:ext cx="25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750795</xdr:colOff>
      <xdr:row>82</xdr:row>
      <xdr:rowOff>170731</xdr:rowOff>
    </xdr:from>
    <xdr:to>
      <xdr:col>8</xdr:col>
      <xdr:colOff>1558636</xdr:colOff>
      <xdr:row>85</xdr:row>
      <xdr:rowOff>103909</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978BC537-B558-46D1-AA4D-49FF6B2EC01F}"/>
                </a:ext>
              </a:extLst>
            </xdr:cNvPr>
            <xdr:cNvSpPr txBox="1"/>
          </xdr:nvSpPr>
          <xdr:spPr>
            <a:xfrm>
              <a:off x="2436720" y="15791731"/>
              <a:ext cx="3046216" cy="5046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sub>
                    </m:sSub>
                    <m:r>
                      <a:rPr lang="en-US" sz="1600" i="1">
                        <a:latin typeface="Cambria Math" panose="02040503050406030204" pitchFamily="18" charset="0"/>
                      </a:rPr>
                      <m:t>=%</m:t>
                    </m:r>
                    <m:r>
                      <a:rPr lang="en-US" sz="1600" i="1">
                        <a:latin typeface="Cambria Math" panose="02040503050406030204" pitchFamily="18" charset="0"/>
                      </a:rPr>
                      <m:t>𝐸𝑙𝑒𝑐𝑡𝑟𝑖𝑐𝐻𝑒𝑎𝑡</m:t>
                    </m:r>
                    <m:r>
                      <a:rPr lang="en-US" sz="1600" i="1">
                        <a:latin typeface="Cambria Math" panose="02040503050406030204" pitchFamily="18" charset="0"/>
                      </a:rPr>
                      <m:t>∗</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𝐸𝑙𝑒𝑐𝑡𝑟𝑖𝑐</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 </m:t>
                    </m:r>
                    <m:r>
                      <a:rPr lang="en-US" sz="1600" i="1">
                        <a:latin typeface="Cambria Math" panose="02040503050406030204" pitchFamily="18" charset="0"/>
                      </a:rPr>
                      <m:t>𝐸𝑓</m:t>
                    </m:r>
                    <m:sSub>
                      <m:sSubPr>
                        <m:ctrlPr>
                          <a:rPr lang="en-US" sz="1600" i="1">
                            <a:latin typeface="Cambria Math" panose="02040503050406030204" pitchFamily="18" charset="0"/>
                          </a:rPr>
                        </m:ctrlPr>
                      </m:sSubPr>
                      <m:e>
                        <m:r>
                          <a:rPr lang="en-US" sz="1600" i="1">
                            <a:latin typeface="Cambria Math" panose="02040503050406030204" pitchFamily="18" charset="0"/>
                          </a:rPr>
                          <m:t>𝑓</m:t>
                        </m:r>
                      </m:e>
                      <m:sub>
                        <m:r>
                          <a:rPr lang="en-US" sz="1600" i="1">
                            <a:latin typeface="Cambria Math" panose="02040503050406030204" pitchFamily="18" charset="0"/>
                          </a:rPr>
                          <m:t>𝐼𝑆𝑅</m:t>
                        </m:r>
                      </m:sub>
                    </m:sSub>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i="1">
                        <a:latin typeface="Cambria Math" panose="02040503050406030204" pitchFamily="18" charset="0"/>
                      </a:rPr>
                      <m:t> ∗ </m:t>
                    </m:r>
                    <m:sSub>
                      <m:sSubPr>
                        <m:ctrlPr>
                          <a:rPr lang="en-US" sz="1600" b="0" i="1">
                            <a:latin typeface="Cambria Math" panose="02040503050406030204" pitchFamily="18" charset="0"/>
                          </a:rPr>
                        </m:ctrlPr>
                      </m:sSubPr>
                      <m:e>
                        <m:r>
                          <a:rPr lang="en-US" sz="1600" i="1">
                            <a:latin typeface="Cambria Math" panose="02040503050406030204" pitchFamily="18" charset="0"/>
                          </a:rPr>
                          <m:t>𝐹</m:t>
                        </m:r>
                      </m:e>
                      <m:sub>
                        <m:r>
                          <a:rPr lang="en-US" sz="1600" i="1">
                            <a:latin typeface="Cambria Math" panose="02040503050406030204" pitchFamily="18" charset="0"/>
                          </a:rPr>
                          <m:t>𝑒</m:t>
                        </m:r>
                      </m:sub>
                    </m:sSub>
                    <m:r>
                      <a:rPr lang="en-US" sz="1600" i="1">
                        <a:latin typeface="Cambria Math" panose="02040503050406030204" pitchFamily="18" charset="0"/>
                      </a:rPr>
                      <m:t> ∗ 29.3)</m:t>
                    </m:r>
                  </m:oMath>
                </m:oMathPara>
              </a14:m>
              <a:endParaRPr lang="en-US" sz="1600"/>
            </a:p>
          </xdr:txBody>
        </xdr:sp>
      </mc:Choice>
      <mc:Fallback xmlns="">
        <xdr:sp macro="" textlink="">
          <xdr:nvSpPr>
            <xdr:cNvPr id="10" name="TextBox 9">
              <a:extLst>
                <a:ext uri="{FF2B5EF4-FFF2-40B4-BE49-F238E27FC236}">
                  <a16:creationId xmlns:a16="http://schemas.microsoft.com/office/drawing/2014/main" id="{978BC537-B558-46D1-AA4D-49FF6B2EC01F}"/>
                </a:ext>
              </a:extLst>
            </xdr:cNvPr>
            <xdr:cNvSpPr txBox="1"/>
          </xdr:nvSpPr>
          <xdr:spPr>
            <a:xfrm>
              <a:off x="2436720" y="15791731"/>
              <a:ext cx="3046216" cy="5046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ℎ𝑒𝑎𝑡𝑖𝑛𝑔=%𝐸𝑙𝑒𝑐𝑡𝑟𝑖𝑐𝐻𝑒𝑎𝑡∗𝐻𝑒𝑎𝑡𝑖𝑛𝑔𝐶𝑜𝑛𝑠𝑢𝑚𝑝𝑡𝑖𝑜𝑛_𝐸𝑙𝑒𝑐𝑡𝑟𝑖𝑐∗𝐻𝐹∗𝐻𝑒𝑎𝑡𝑖𝑛𝑔𝑅𝑒𝑑𝑢𝑐𝑡𝑖𝑜𝑛∗ 𝐸𝑓𝑓_𝐼𝑆𝑅+(∆𝑇ℎ𝑒𝑟𝑚𝑠 ∗ 𝐹</a:t>
              </a:r>
              <a:r>
                <a:rPr lang="en-US" sz="1600" b="0" i="0">
                  <a:latin typeface="Cambria Math" panose="02040503050406030204" pitchFamily="18" charset="0"/>
                </a:rPr>
                <a:t>_</a:t>
              </a:r>
              <a:r>
                <a:rPr lang="en-US" sz="1600" i="0">
                  <a:latin typeface="Cambria Math" panose="02040503050406030204" pitchFamily="18" charset="0"/>
                </a:rPr>
                <a:t>𝑒  ∗ 29.3)</a:t>
              </a:r>
              <a:endParaRPr lang="en-US" sz="1600"/>
            </a:p>
          </xdr:txBody>
        </xdr:sp>
      </mc:Fallback>
    </mc:AlternateContent>
    <xdr:clientData/>
  </xdr:twoCellAnchor>
  <xdr:twoCellAnchor>
    <xdr:from>
      <xdr:col>3</xdr:col>
      <xdr:colOff>739587</xdr:colOff>
      <xdr:row>85</xdr:row>
      <xdr:rowOff>215347</xdr:rowOff>
    </xdr:from>
    <xdr:to>
      <xdr:col>7</xdr:col>
      <xdr:colOff>623454</xdr:colOff>
      <xdr:row>87</xdr:row>
      <xdr:rowOff>480390</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291B616B-05D1-428D-9C04-B77107500247}"/>
                </a:ext>
              </a:extLst>
            </xdr:cNvPr>
            <xdr:cNvSpPr txBox="1"/>
          </xdr:nvSpPr>
          <xdr:spPr>
            <a:xfrm>
              <a:off x="2435037" y="16379272"/>
              <a:ext cx="2446092" cy="3888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𝐴𝐶</m:t>
                    </m:r>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d>
                              <m:dPr>
                                <m:ctrlPr>
                                  <a:rPr lang="en-US" sz="1600" i="1">
                                    <a:latin typeface="Cambria Math" panose="02040503050406030204" pitchFamily="18" charset="0"/>
                                  </a:rPr>
                                </m:ctrlPr>
                              </m:dPr>
                              <m:e>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m:t>
                                    </m:r>
                                  </m:sub>
                                </m:sSub>
                                <m:r>
                                  <a:rPr lang="en-US" sz="1600" i="1">
                                    <a:latin typeface="Cambria Math" panose="02040503050406030204" pitchFamily="18" charset="0"/>
                                  </a:rPr>
                                  <m:t>∗</m:t>
                                </m:r>
                                <m:r>
                                  <a:rPr lang="en-US" sz="1600" i="1">
                                    <a:latin typeface="Cambria Math" panose="02040503050406030204" pitchFamily="18" charset="0"/>
                                  </a:rPr>
                                  <m:t>𝐶𝑎𝑝𝑎𝑐𝑖𝑡𝑦𝐶𝑜𝑜𝑙</m:t>
                                </m:r>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𝑆𝐸𝐸𝑅</m:t>
                                    </m:r>
                                  </m:den>
                                </m:f>
                              </m:e>
                            </m:d>
                          </m:num>
                          <m:den>
                            <m:r>
                              <a:rPr lang="en-US" sz="1600" i="1">
                                <a:latin typeface="Cambria Math" panose="02040503050406030204" pitchFamily="18" charset="0"/>
                              </a:rPr>
                              <m:t>1000</m:t>
                            </m:r>
                          </m:den>
                        </m:f>
                      </m:e>
                    </m:d>
                    <m:r>
                      <a:rPr lang="en-US" sz="1600" i="1">
                        <a:latin typeface="Cambria Math" panose="02040503050406030204" pitchFamily="18" charset="0"/>
                      </a:rPr>
                      <m:t> ∗ </m:t>
                    </m:r>
                    <m:r>
                      <a:rPr lang="en-US" sz="1600" i="1">
                        <a:latin typeface="Cambria Math" panose="02040503050406030204" pitchFamily="18" charset="0"/>
                      </a:rPr>
                      <m:t>𝐶𝑜𝑜𝑙𝑖𝑛𝑔𝑅𝑒𝑑𝑢𝑐𝑡𝑖𝑜𝑛</m:t>
                    </m:r>
                    <m:r>
                      <a:rPr lang="en-US" sz="1600" i="1">
                        <a:latin typeface="Cambria Math" panose="02040503050406030204" pitchFamily="18" charset="0"/>
                      </a:rPr>
                      <m:t> ∗ </m:t>
                    </m:r>
                    <m:r>
                      <a:rPr lang="en-US" sz="1600" i="1">
                        <a:latin typeface="Cambria Math" panose="02040503050406030204" pitchFamily="18" charset="0"/>
                      </a:rPr>
                      <m:t>𝐸𝑓𝑓</m:t>
                    </m:r>
                    <m:r>
                      <a:rPr lang="en-US" sz="1600" i="1">
                        <a:latin typeface="Cambria Math" panose="02040503050406030204" pitchFamily="18" charset="0"/>
                      </a:rPr>
                      <m:t>_</m:t>
                    </m:r>
                    <m:r>
                      <a:rPr lang="en-US" sz="1600" i="1">
                        <a:latin typeface="Cambria Math" panose="02040503050406030204" pitchFamily="18" charset="0"/>
                      </a:rPr>
                      <m:t>𝐼𝑆𝑅</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291B616B-05D1-428D-9C04-B77107500247}"/>
                </a:ext>
              </a:extLst>
            </xdr:cNvPr>
            <xdr:cNvSpPr txBox="1"/>
          </xdr:nvSpPr>
          <xdr:spPr>
            <a:xfrm>
              <a:off x="2435037" y="16379272"/>
              <a:ext cx="2446092" cy="3888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𝑐𝑜𝑜𝑙𝑖𝑛𝑔=%𝐴𝐶∗(((𝐸𝐹𝐿𝐻</a:t>
              </a:r>
              <a:r>
                <a:rPr lang="en-US" sz="1600" b="0" i="0">
                  <a:latin typeface="Cambria Math" panose="02040503050406030204" pitchFamily="18" charset="0"/>
                </a:rPr>
                <a:t>_</a:t>
              </a:r>
              <a:r>
                <a:rPr lang="en-US" sz="1600" i="0">
                  <a:latin typeface="Cambria Math" panose="02040503050406030204" pitchFamily="18" charset="0"/>
                </a:rPr>
                <a:t>𝑐𝑜𝑜𝑙∗𝐶𝑎𝑝𝑎𝑐𝑖𝑡𝑦𝐶𝑜𝑜𝑙∗1/𝑆𝐸𝐸𝑅))/1000)  ∗ 𝐶𝑜𝑜𝑙𝑖𝑛𝑔𝑅𝑒𝑑𝑢𝑐𝑡𝑖𝑜𝑛 ∗ 𝐸𝑓𝑓_𝐼𝑆𝑅</a:t>
              </a:r>
              <a:endParaRPr lang="en-US" sz="1600"/>
            </a:p>
          </xdr:txBody>
        </xdr:sp>
      </mc:Fallback>
    </mc:AlternateContent>
    <xdr:clientData/>
  </xdr:twoCellAnchor>
  <xdr:twoCellAnchor>
    <xdr:from>
      <xdr:col>2</xdr:col>
      <xdr:colOff>403706</xdr:colOff>
      <xdr:row>89</xdr:row>
      <xdr:rowOff>8284</xdr:rowOff>
    </xdr:from>
    <xdr:to>
      <xdr:col>6</xdr:col>
      <xdr:colOff>831274</xdr:colOff>
      <xdr:row>90</xdr:row>
      <xdr:rowOff>215348</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8ABFEAD1-643C-494F-A071-231AD9C7416E}"/>
                </a:ext>
              </a:extLst>
            </xdr:cNvPr>
            <xdr:cNvSpPr txBox="1"/>
          </xdr:nvSpPr>
          <xdr:spPr>
            <a:xfrm>
              <a:off x="1622906" y="16962784"/>
              <a:ext cx="2646893" cy="36898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b="0" i="1">
                        <a:latin typeface="Cambria Math" panose="02040503050406030204" pitchFamily="18" charset="0"/>
                      </a:rPr>
                      <m:t>=</m:t>
                    </m:r>
                    <m:r>
                      <a:rPr lang="en-US" sz="1600" i="1">
                        <a:latin typeface="Cambria Math" panose="02040503050406030204" pitchFamily="18" charset="0"/>
                      </a:rPr>
                      <m:t>%</m:t>
                    </m:r>
                    <m:r>
                      <a:rPr lang="en-US" sz="1600" i="1">
                        <a:latin typeface="Cambria Math" panose="02040503050406030204" pitchFamily="18" charset="0"/>
                      </a:rPr>
                      <m:t>𝐹𝑜𝑠𝑠𝑖𝑙𝐻𝑒𝑎𝑡</m:t>
                    </m:r>
                    <m:r>
                      <a:rPr lang="en-US" sz="1600" i="1">
                        <a:latin typeface="Cambria Math" panose="02040503050406030204" pitchFamily="18" charset="0"/>
                      </a:rPr>
                      <m:t> ∗ </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𝐺𝑎𝑠</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m:t>
                    </m:r>
                    <m:r>
                      <a:rPr lang="en-US" sz="1600" i="1">
                        <a:latin typeface="Cambria Math" panose="02040503050406030204" pitchFamily="18" charset="0"/>
                      </a:rPr>
                      <m:t>𝐸𝑓</m:t>
                    </m:r>
                    <m:sSub>
                      <m:sSubPr>
                        <m:ctrlPr>
                          <a:rPr lang="en-US" sz="1600" i="1">
                            <a:latin typeface="Cambria Math" panose="02040503050406030204" pitchFamily="18" charset="0"/>
                          </a:rPr>
                        </m:ctrlPr>
                      </m:sSubPr>
                      <m:e>
                        <m:r>
                          <a:rPr lang="en-US" sz="1600" i="1">
                            <a:latin typeface="Cambria Math" panose="02040503050406030204" pitchFamily="18" charset="0"/>
                          </a:rPr>
                          <m:t>𝑓</m:t>
                        </m:r>
                      </m:e>
                      <m:sub>
                        <m:r>
                          <a:rPr lang="en-US" sz="1600" i="1">
                            <a:latin typeface="Cambria Math" panose="02040503050406030204" pitchFamily="18" charset="0"/>
                          </a:rPr>
                          <m:t>𝐼𝑆𝑅</m:t>
                        </m:r>
                      </m:sub>
                    </m:sSub>
                    <m:r>
                      <a:rPr lang="en-US" sz="1600" i="1">
                        <a:latin typeface="Cambria Math" panose="02040503050406030204" pitchFamily="18" charset="0"/>
                      </a:rPr>
                      <m:t> </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8ABFEAD1-643C-494F-A071-231AD9C7416E}"/>
                </a:ext>
              </a:extLst>
            </xdr:cNvPr>
            <xdr:cNvSpPr txBox="1"/>
          </xdr:nvSpPr>
          <xdr:spPr>
            <a:xfrm>
              <a:off x="1622906" y="16962784"/>
              <a:ext cx="2646893" cy="36898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rPr>
                <a:t>∆𝑇ℎ𝑒𝑟𝑚𝑠</a:t>
              </a:r>
              <a:r>
                <a:rPr lang="en-US" sz="1600" b="0" i="0">
                  <a:latin typeface="Cambria Math" panose="02040503050406030204" pitchFamily="18" charset="0"/>
                </a:rPr>
                <a:t>=</a:t>
              </a:r>
              <a:r>
                <a:rPr lang="en-US" sz="1600" i="0">
                  <a:latin typeface="Cambria Math" panose="02040503050406030204" pitchFamily="18" charset="0"/>
                </a:rPr>
                <a:t>%𝐹𝑜𝑠𝑠𝑖𝑙𝐻𝑒𝑎𝑡 ∗ 𝐻𝑒𝑎𝑡𝑖𝑛𝑔𝐶𝑜𝑛𝑠𝑢𝑚𝑝𝑡𝑖𝑜𝑛_𝐺𝑎𝑠∗𝐻𝐹∗𝐻𝑒𝑎𝑡𝑖𝑛𝑔𝑅𝑒𝑑𝑢𝑐𝑡𝑖𝑜𝑛∗𝐸𝑓𝑓_𝐼𝑆𝑅  </a:t>
              </a:r>
              <a:endParaRPr lang="en-US" sz="1600"/>
            </a:p>
          </xdr:txBody>
        </xdr:sp>
      </mc:Fallback>
    </mc:AlternateContent>
    <xdr:clientData/>
  </xdr:twoCellAnchor>
  <xdr:twoCellAnchor>
    <xdr:from>
      <xdr:col>3</xdr:col>
      <xdr:colOff>1021977</xdr:colOff>
      <xdr:row>91</xdr:row>
      <xdr:rowOff>19050</xdr:rowOff>
    </xdr:from>
    <xdr:to>
      <xdr:col>4</xdr:col>
      <xdr:colOff>1585397</xdr:colOff>
      <xdr:row>92</xdr:row>
      <xdr:rowOff>95161</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9324AB00-0A68-4B83-A9C3-34FA5740552F}"/>
                </a:ext>
              </a:extLst>
            </xdr:cNvPr>
            <xdr:cNvSpPr txBox="1"/>
          </xdr:nvSpPr>
          <xdr:spPr>
            <a:xfrm>
              <a:off x="2441202" y="17354550"/>
              <a:ext cx="61104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 = </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𝐶𝐹</m:t>
                    </m:r>
                  </m:oMath>
                </m:oMathPara>
              </a14:m>
              <a:endParaRPr lang="en-US" sz="1600"/>
            </a:p>
          </xdr:txBody>
        </xdr:sp>
      </mc:Choice>
      <mc:Fallback xmlns="">
        <xdr:sp macro="" textlink="">
          <xdr:nvSpPr>
            <xdr:cNvPr id="13" name="TextBox 12">
              <a:extLst>
                <a:ext uri="{FF2B5EF4-FFF2-40B4-BE49-F238E27FC236}">
                  <a16:creationId xmlns:a16="http://schemas.microsoft.com/office/drawing/2014/main" id="{9324AB00-0A68-4B83-A9C3-34FA5740552F}"/>
                </a:ext>
              </a:extLst>
            </xdr:cNvPr>
            <xdr:cNvSpPr txBox="1"/>
          </xdr:nvSpPr>
          <xdr:spPr>
            <a:xfrm>
              <a:off x="2441202" y="17354550"/>
              <a:ext cx="61104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 = </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𝑐𝑜𝑜𝑙𝑖𝑛𝑔∗𝐶𝐹</a:t>
              </a:r>
              <a:endParaRPr lang="en-US" sz="1600"/>
            </a:p>
          </xdr:txBody>
        </xdr:sp>
      </mc:Fallback>
    </mc:AlternateContent>
    <xdr:clientData/>
  </xdr:twoCellAnchor>
  <xdr:twoCellAnchor>
    <xdr:from>
      <xdr:col>3</xdr:col>
      <xdr:colOff>1042147</xdr:colOff>
      <xdr:row>93</xdr:row>
      <xdr:rowOff>44201</xdr:rowOff>
    </xdr:from>
    <xdr:to>
      <xdr:col>4</xdr:col>
      <xdr:colOff>1041568</xdr:colOff>
      <xdr:row>94</xdr:row>
      <xdr:rowOff>104154</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654D769-4238-4F1B-8CD4-5708EB74E701}"/>
                </a:ext>
              </a:extLst>
            </xdr:cNvPr>
            <xdr:cNvSpPr txBox="1"/>
          </xdr:nvSpPr>
          <xdr:spPr>
            <a:xfrm>
              <a:off x="2442322" y="17760701"/>
              <a:ext cx="60902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14" name="TextBox 13">
              <a:extLst>
                <a:ext uri="{FF2B5EF4-FFF2-40B4-BE49-F238E27FC236}">
                  <a16:creationId xmlns:a16="http://schemas.microsoft.com/office/drawing/2014/main" id="{0654D769-4238-4F1B-8CD4-5708EB74E701}"/>
                </a:ext>
              </a:extLst>
            </xdr:cNvPr>
            <xdr:cNvSpPr txBox="1"/>
          </xdr:nvSpPr>
          <xdr:spPr>
            <a:xfrm>
              <a:off x="2442322" y="17760701"/>
              <a:ext cx="60902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2</xdr:col>
      <xdr:colOff>796365</xdr:colOff>
      <xdr:row>170</xdr:row>
      <xdr:rowOff>83419</xdr:rowOff>
    </xdr:from>
    <xdr:to>
      <xdr:col>4</xdr:col>
      <xdr:colOff>3571067</xdr:colOff>
      <xdr:row>172</xdr:row>
      <xdr:rowOff>186462</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3CD36860-B7AF-42AB-A472-066956890754}"/>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b="0" i="1">
                      <a:solidFill>
                        <a:sysClr val="windowText" lastClr="000000"/>
                      </a:solidFill>
                      <a:latin typeface="Cambria Math" panose="02040503050406030204" pitchFamily="18" charset="0"/>
                    </a:rPr>
                    <m:t>𝐸𝑛𝑒𝑟𝑔𝑦</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rPr>
                    <m:t>𝑆𝑎𝑣𝑖𝑛𝑔𝑠</m:t>
                  </m:r>
                  <m:r>
                    <a:rPr lang="en-US" sz="1400" b="0" i="1">
                      <a:solidFill>
                        <a:sysClr val="windowText" lastClr="000000"/>
                      </a:solidFill>
                      <a:latin typeface="Cambria Math" panose="02040503050406030204" pitchFamily="18" charset="0"/>
                    </a:rPr>
                    <m:t> </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𝑘𝑊h</m:t>
                          </m:r>
                        </m:num>
                        <m:den>
                          <m:r>
                            <a:rPr lang="en-US" sz="1400" b="0" i="1">
                              <a:solidFill>
                                <a:sysClr val="windowText" lastClr="000000"/>
                              </a:solidFill>
                              <a:latin typeface="Cambria Math" panose="02040503050406030204" pitchFamily="18" charset="0"/>
                            </a:rPr>
                            <m:t>𝑌𝑒𝑎𝑟</m:t>
                          </m:r>
                        </m:den>
                      </m:f>
                    </m:e>
                  </m:d>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𝐷𝑎𝑦</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𝑠</m:t>
                      </m:r>
                    </m:e>
                    <m:sub>
                      <m:r>
                        <a:rPr lang="en-US" sz="1400" b="0" i="1">
                          <a:solidFill>
                            <a:sysClr val="windowText" lastClr="000000"/>
                          </a:solidFill>
                          <a:latin typeface="Cambria Math" panose="02040503050406030204" pitchFamily="18" charset="0"/>
                        </a:rPr>
                        <m:t>𝑜𝑝𝑒𝑟</m:t>
                      </m:r>
                    </m:sub>
                  </m:sSub>
                  <m:r>
                    <a:rPr lang="en-US" sz="1400" b="0" i="1">
                      <a:solidFill>
                        <a:sysClr val="windowText" lastClr="000000"/>
                      </a:solidFill>
                      <a:latin typeface="Cambria Math" panose="02040503050406030204" pitchFamily="18" charset="0"/>
                    </a:rPr>
                    <m:t>∗</m:t>
                  </m:r>
                  <m:d>
                    <m:dPr>
                      <m:begChr m:val="{"/>
                      <m:endChr m:val="}"/>
                      <m:ctrlPr>
                        <a:rPr lang="en-US" sz="1400" b="0" i="1">
                          <a:solidFill>
                            <a:sysClr val="windowText" lastClr="000000"/>
                          </a:solidFill>
                          <a:latin typeface="Cambria Math" panose="02040503050406030204" pitchFamily="18" charset="0"/>
                        </a:rPr>
                      </m:ctrlPr>
                    </m:dPr>
                    <m:e>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𝑠𝑠</m:t>
                                  </m:r>
                                </m:sub>
                              </m:sSub>
                            </m:num>
                            <m:den>
                              <m:r>
                                <a:rPr lang="en-US" sz="1400" b="0" i="1">
                                  <a:solidFill>
                                    <a:sysClr val="windowText" lastClr="000000"/>
                                  </a:solidFill>
                                  <a:latin typeface="Cambria Math" panose="02040503050406030204" pitchFamily="18" charset="0"/>
                                </a:rPr>
                                <m:t>𝐷𝑎𝑦</m:t>
                              </m:r>
                            </m:den>
                          </m:f>
                        </m:e>
                      </m:d>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𝑑𝑠</m:t>
                                  </m:r>
                                </m:sub>
                              </m:sSub>
                            </m:num>
                            <m:den>
                              <m:r>
                                <a:rPr lang="en-US" sz="1400" b="0" i="1">
                                  <a:solidFill>
                                    <a:sysClr val="windowText" lastClr="000000"/>
                                  </a:solidFill>
                                  <a:latin typeface="Cambria Math" panose="02040503050406030204" pitchFamily="18" charset="0"/>
                                </a:rPr>
                                <m:t>𝐷𝑎𝑦</m:t>
                              </m:r>
                            </m:den>
                          </m:f>
                        </m:e>
                      </m:d>
                    </m:e>
                  </m:d>
                </m:oMath>
              </a14:m>
              <a:r>
                <a:rPr lang="en-US" sz="1400">
                  <a:solidFill>
                    <a:sysClr val="windowText" lastClr="000000"/>
                  </a:solidFill>
                </a:rPr>
                <a:t>*ISR</a:t>
              </a:r>
            </a:p>
          </xdr:txBody>
        </xdr:sp>
      </mc:Choice>
      <mc:Fallback xmlns="">
        <xdr:sp macro="" textlink="">
          <xdr:nvSpPr>
            <xdr:cNvPr id="15" name="TextBox 14">
              <a:extLst>
                <a:ext uri="{FF2B5EF4-FFF2-40B4-BE49-F238E27FC236}">
                  <a16:creationId xmlns:a16="http://schemas.microsoft.com/office/drawing/2014/main" id="{3CD36860-B7AF-42AB-A472-066956890754}"/>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b="0" i="0">
                  <a:solidFill>
                    <a:sysClr val="windowText" lastClr="000000"/>
                  </a:solidFill>
                  <a:latin typeface="Cambria Math" panose="02040503050406030204" pitchFamily="18" charset="0"/>
                </a:rPr>
                <a:t>𝐸𝑛𝑒𝑟𝑔𝑦 𝑆𝑎𝑣𝑖𝑛𝑔𝑠 (𝑘𝑊ℎ/𝑌𝑒𝑎𝑟)=𝐷𝑎𝑦𝑠_𝑜𝑝𝑒𝑟∗{((𝑘𝑊ℎ_𝑠𝑠)/𝐷𝑎𝑦)−((𝑘𝑊ℎ_𝑑𝑠)/𝐷𝑎𝑦)}</a:t>
              </a:r>
              <a:r>
                <a:rPr lang="en-US" sz="1400">
                  <a:solidFill>
                    <a:sysClr val="windowText" lastClr="000000"/>
                  </a:solidFill>
                </a:rPr>
                <a:t>*ISR</a:t>
              </a:r>
            </a:p>
          </xdr:txBody>
        </xdr:sp>
      </mc:Fallback>
    </mc:AlternateContent>
    <xdr:clientData/>
  </xdr:twoCellAnchor>
  <xdr:twoCellAnchor>
    <xdr:from>
      <xdr:col>7</xdr:col>
      <xdr:colOff>535079</xdr:colOff>
      <xdr:row>171</xdr:row>
      <xdr:rowOff>66608</xdr:rowOff>
    </xdr:from>
    <xdr:to>
      <xdr:col>10</xdr:col>
      <xdr:colOff>95249</xdr:colOff>
      <xdr:row>173</xdr:row>
      <xdr:rowOff>164661</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4802279" y="32642108"/>
              <a:ext cx="1388970"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4802279" y="32642108"/>
              <a:ext cx="1388970"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3591486</xdr:colOff>
      <xdr:row>171</xdr:row>
      <xdr:rowOff>21414</xdr:rowOff>
    </xdr:from>
    <xdr:to>
      <xdr:col>7</xdr:col>
      <xdr:colOff>571500</xdr:colOff>
      <xdr:row>173</xdr:row>
      <xdr:rowOff>124457</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3048561" y="32596914"/>
              <a:ext cx="179013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3048561" y="32596914"/>
              <a:ext cx="179013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7</xdr:col>
      <xdr:colOff>749995</xdr:colOff>
      <xdr:row>175</xdr:row>
      <xdr:rowOff>115409</xdr:rowOff>
    </xdr:from>
    <xdr:to>
      <xdr:col>9</xdr:col>
      <xdr:colOff>666750</xdr:colOff>
      <xdr:row>178</xdr:row>
      <xdr:rowOff>27952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4874320" y="33452909"/>
              <a:ext cx="122168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4874320" y="33452909"/>
              <a:ext cx="122168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4</xdr:col>
      <xdr:colOff>4084543</xdr:colOff>
      <xdr:row>175</xdr:row>
      <xdr:rowOff>115463</xdr:rowOff>
    </xdr:from>
    <xdr:to>
      <xdr:col>7</xdr:col>
      <xdr:colOff>136491</xdr:colOff>
      <xdr:row>178</xdr:row>
      <xdr:rowOff>28006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3046318" y="33452963"/>
              <a:ext cx="135737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3046318" y="33452963"/>
              <a:ext cx="135737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3</xdr:col>
      <xdr:colOff>33616</xdr:colOff>
      <xdr:row>175</xdr:row>
      <xdr:rowOff>120464</xdr:rowOff>
    </xdr:from>
    <xdr:to>
      <xdr:col>4</xdr:col>
      <xdr:colOff>144162</xdr:colOff>
      <xdr:row>176</xdr:row>
      <xdr:rowOff>180417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1862416" y="33457964"/>
              <a:ext cx="72014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1862416" y="33457964"/>
              <a:ext cx="72014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16623</xdr:colOff>
      <xdr:row>212</xdr:row>
      <xdr:rowOff>176306</xdr:rowOff>
    </xdr:from>
    <xdr:to>
      <xdr:col>4</xdr:col>
      <xdr:colOff>1626722</xdr:colOff>
      <xdr:row>214</xdr:row>
      <xdr:rowOff>45759</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7300B6F1-0E46-41A5-8962-3617188BDDAA}"/>
                </a:ext>
              </a:extLst>
            </xdr:cNvPr>
            <xdr:cNvSpPr txBox="1"/>
          </xdr:nvSpPr>
          <xdr:spPr>
            <a:xfrm>
              <a:off x="1845423" y="40562306"/>
              <a:ext cx="120052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oMath>
                </m:oMathPara>
              </a14:m>
              <a:endParaRPr lang="en-US" sz="1600"/>
            </a:p>
          </xdr:txBody>
        </xdr:sp>
      </mc:Choice>
      <mc:Fallback xmlns="">
        <xdr:sp macro="" textlink="">
          <xdr:nvSpPr>
            <xdr:cNvPr id="21" name="TextBox 20">
              <a:extLst>
                <a:ext uri="{FF2B5EF4-FFF2-40B4-BE49-F238E27FC236}">
                  <a16:creationId xmlns:a16="http://schemas.microsoft.com/office/drawing/2014/main" id="{7300B6F1-0E46-41A5-8962-3617188BDDAA}"/>
                </a:ext>
              </a:extLst>
            </xdr:cNvPr>
            <xdr:cNvSpPr txBox="1"/>
          </xdr:nvSpPr>
          <xdr:spPr>
            <a:xfrm>
              <a:off x="1845423" y="40562306"/>
              <a:ext cx="120052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endParaRPr lang="en-US" sz="1600"/>
            </a:p>
          </xdr:txBody>
        </xdr:sp>
      </mc:Fallback>
    </mc:AlternateContent>
    <xdr:clientData/>
  </xdr:twoCellAnchor>
  <xdr:twoCellAnchor>
    <xdr:from>
      <xdr:col>3</xdr:col>
      <xdr:colOff>1434353</xdr:colOff>
      <xdr:row>235</xdr:row>
      <xdr:rowOff>56029</xdr:rowOff>
    </xdr:from>
    <xdr:to>
      <xdr:col>7</xdr:col>
      <xdr:colOff>377521</xdr:colOff>
      <xdr:row>237</xdr:row>
      <xdr:rowOff>84115</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47A5F19F-9BED-401E-A617-9040139406EC}"/>
                </a:ext>
              </a:extLst>
            </xdr:cNvPr>
            <xdr:cNvSpPr txBox="1"/>
          </xdr:nvSpPr>
          <xdr:spPr>
            <a:xfrm>
              <a:off x="2434478" y="44823529"/>
              <a:ext cx="221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𝑌𝑒𝑎𝑟</m:t>
                          </m:r>
                        </m:sub>
                      </m:sSub>
                    </m:e>
                  </m:d>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𝐶𝐴𝐷𝑅</m:t>
                      </m:r>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1</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𝐵𝐿</m:t>
                              </m:r>
                            </m:sub>
                          </m:sSub>
                          <m:r>
                            <a:rPr lang="en-US" sz="1400" b="0" i="1">
                              <a:latin typeface="Cambria Math" panose="02040503050406030204" pitchFamily="18" charset="0"/>
                            </a:rPr>
                            <m:t>−1</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𝐸𝑆</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𝐵𝐿</m:t>
                              </m:r>
                            </m:sub>
                          </m:sSub>
                          <m:r>
                            <a:rPr lang="en-US" sz="1400" b="0" i="1">
                              <a:latin typeface="Cambria Math" panose="02040503050406030204" pitchFamily="18" charset="0"/>
                            </a:rPr>
                            <m:t>−</m:t>
                          </m:r>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𝐸𝑆</m:t>
                              </m:r>
                            </m:sub>
                          </m:sSub>
                        </m:e>
                      </m:d>
                      <m:r>
                        <a:rPr lang="en-US" sz="1400" b="0" i="1">
                          <a:latin typeface="Cambria Math" panose="02040503050406030204" pitchFamily="18" charset="0"/>
                        </a:rPr>
                        <m:t>∗(24−</m:t>
                      </m:r>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e>
                  </m:d>
                  <m:r>
                    <a:rPr lang="en-US" sz="1400" b="0" i="1">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365</m:t>
                      </m:r>
                    </m:num>
                    <m:den>
                      <m:r>
                        <a:rPr lang="en-US" sz="1400" b="0" i="1">
                          <a:solidFill>
                            <a:sysClr val="windowText" lastClr="000000"/>
                          </a:solidFill>
                          <a:latin typeface="Cambria Math" panose="02040503050406030204" pitchFamily="18" charset="0"/>
                        </a:rPr>
                        <m:t>1000</m:t>
                      </m:r>
                    </m:den>
                  </m:f>
                </m:oMath>
              </a14:m>
              <a:r>
                <a:rPr lang="en-US" sz="1400">
                  <a:solidFill>
                    <a:sysClr val="windowText" lastClr="000000"/>
                  </a:solidFill>
                </a:rPr>
                <a:t>*ISR</a:t>
              </a:r>
              <a:endParaRPr lang="en-US" sz="1400">
                <a:solidFill>
                  <a:srgbClr val="FF0000"/>
                </a:solidFill>
              </a:endParaRPr>
            </a:p>
          </xdr:txBody>
        </xdr:sp>
      </mc:Choice>
      <mc:Fallback xmlns="">
        <xdr:sp macro="" textlink="">
          <xdr:nvSpPr>
            <xdr:cNvPr id="22" name="TextBox 21">
              <a:extLst>
                <a:ext uri="{FF2B5EF4-FFF2-40B4-BE49-F238E27FC236}">
                  <a16:creationId xmlns:a16="http://schemas.microsoft.com/office/drawing/2014/main" id="{47A5F19F-9BED-401E-A617-9040139406EC}"/>
                </a:ext>
              </a:extLst>
            </xdr:cNvPr>
            <xdr:cNvSpPr txBox="1"/>
          </xdr:nvSpPr>
          <xdr:spPr>
            <a:xfrm>
              <a:off x="2434478" y="44823529"/>
              <a:ext cx="221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b="0" i="0">
                  <a:latin typeface="Cambria Math" panose="02040503050406030204" pitchFamily="18" charset="0"/>
                </a:rPr>
                <a:t>𝐸𝑛𝑒𝑟𝑔𝑦 𝑆𝑎𝑣𝑖𝑛𝑔𝑠 (𝑘𝑊ℎ_𝑌𝑒𝑎𝑟 )={𝐶𝐴𝐷𝑅∗(1𝐸𝑓𝑓_𝐵𝐿−1𝐸𝑓𝑓_𝐸𝑆 )∗(𝐻𝑟_𝑜𝑝𝑒𝑟 )+(𝑆𝐵_𝐵𝐿−𝑆𝐵_𝐸𝑆 )∗(24−𝐻𝑟_𝑜𝑝𝑒𝑟)}∗</a:t>
              </a:r>
              <a:r>
                <a:rPr lang="en-US" sz="1400" b="0" i="0">
                  <a:solidFill>
                    <a:sysClr val="windowText" lastClr="000000"/>
                  </a:solidFill>
                  <a:latin typeface="Cambria Math" panose="02040503050406030204" pitchFamily="18" charset="0"/>
                </a:rPr>
                <a:t>365/1000</a:t>
              </a:r>
              <a:r>
                <a:rPr lang="en-US" sz="1400">
                  <a:solidFill>
                    <a:sysClr val="windowText" lastClr="000000"/>
                  </a:solidFill>
                </a:rPr>
                <a:t>*ISR</a:t>
              </a:r>
              <a:endParaRPr lang="en-US" sz="1400">
                <a:solidFill>
                  <a:srgbClr val="FF0000"/>
                </a:solidFill>
              </a:endParaRPr>
            </a:p>
          </xdr:txBody>
        </xdr:sp>
      </mc:Fallback>
    </mc:AlternateContent>
    <xdr:clientData/>
  </xdr:twoCellAnchor>
  <xdr:twoCellAnchor>
    <xdr:from>
      <xdr:col>3</xdr:col>
      <xdr:colOff>1580028</xdr:colOff>
      <xdr:row>238</xdr:row>
      <xdr:rowOff>156882</xdr:rowOff>
    </xdr:from>
    <xdr:to>
      <xdr:col>4</xdr:col>
      <xdr:colOff>1361184</xdr:colOff>
      <xdr:row>239</xdr:row>
      <xdr:rowOff>185545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2437278" y="45495882"/>
              <a:ext cx="6098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2437278" y="45495882"/>
              <a:ext cx="6098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1459006</xdr:colOff>
      <xdr:row>259</xdr:row>
      <xdr:rowOff>119903</xdr:rowOff>
    </xdr:from>
    <xdr:to>
      <xdr:col>6</xdr:col>
      <xdr:colOff>34272</xdr:colOff>
      <xdr:row>260</xdr:row>
      <xdr:rowOff>148566</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2440081" y="49459403"/>
              <a:ext cx="125179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𝐷𝑒𝑒𝑚𝑒𝑑</m:t>
                    </m:r>
                    <m:r>
                      <a:rPr lang="en-US" sz="1400" b="0" i="1">
                        <a:latin typeface="Cambria Math" panose="02040503050406030204" pitchFamily="18" charset="0"/>
                      </a:rPr>
                      <m:t> </m:t>
                    </m:r>
                    <m:r>
                      <a:rPr lang="en-US" sz="1400" b="0" i="1">
                        <a:latin typeface="Cambria Math" panose="02040503050406030204" pitchFamily="18" charset="0"/>
                      </a:rPr>
                      <m:t>𝑣𝑎𝑙𝑢𝑒</m:t>
                    </m:r>
                    <m:r>
                      <a:rPr lang="en-US" sz="1400" b="0" i="1">
                        <a:latin typeface="Cambria Math" panose="02040503050406030204" pitchFamily="18" charset="0"/>
                      </a:rPr>
                      <m:t> </m:t>
                    </m:r>
                    <m:r>
                      <a:rPr lang="en-US" sz="1400" b="0" i="1">
                        <a:latin typeface="Cambria Math" panose="02040503050406030204" pitchFamily="18" charset="0"/>
                      </a:rPr>
                      <m:t>𝑓𝑟𝑜𝑚</m:t>
                    </m:r>
                    <m:r>
                      <a:rPr lang="en-US" sz="1400" b="0" i="1">
                        <a:latin typeface="Cambria Math" panose="02040503050406030204" pitchFamily="18" charset="0"/>
                      </a:rPr>
                      <m:t> </m:t>
                    </m:r>
                    <m:r>
                      <a:rPr lang="en-US" sz="1400" b="0" i="1">
                        <a:latin typeface="Cambria Math" panose="02040503050406030204" pitchFamily="18" charset="0"/>
                      </a:rPr>
                      <m:t>𝑠𝑒𝑐𝑡𝑖𝑜𝑛</m:t>
                    </m:r>
                    <m:r>
                      <a:rPr lang="en-US" sz="1400" b="0" i="1">
                        <a:latin typeface="Cambria Math" panose="02040503050406030204" pitchFamily="18" charset="0"/>
                      </a:rPr>
                      <m:t> 3.1.5 </m:t>
                    </m:r>
                    <m:r>
                      <a:rPr lang="en-US" sz="1400" b="0" i="1">
                        <a:latin typeface="Cambria Math" panose="02040503050406030204" pitchFamily="18" charset="0"/>
                      </a:rPr>
                      <m:t>𝑜𝑓</m:t>
                    </m:r>
                    <m:r>
                      <a:rPr lang="en-US" sz="1400" b="0" i="1">
                        <a:latin typeface="Cambria Math" panose="02040503050406030204" pitchFamily="18" charset="0"/>
                      </a:rPr>
                      <m:t> </m:t>
                    </m:r>
                    <m:r>
                      <a:rPr lang="en-US" sz="1400" b="0" i="1">
                        <a:latin typeface="Cambria Math" panose="02040503050406030204" pitchFamily="18" charset="0"/>
                      </a:rPr>
                      <m:t>𝑀𝑂</m:t>
                    </m:r>
                    <m:r>
                      <a:rPr lang="en-US" sz="1400" b="0" i="1">
                        <a:latin typeface="Cambria Math" panose="02040503050406030204" pitchFamily="18" charset="0"/>
                      </a:rPr>
                      <m:t> </m:t>
                    </m:r>
                    <m:r>
                      <a:rPr lang="en-US" sz="1400" b="0" i="1">
                        <a:latin typeface="Cambria Math" panose="02040503050406030204" pitchFamily="18" charset="0"/>
                      </a:rPr>
                      <m:t>𝑇𝑅𝑀</m:t>
                    </m:r>
                    <m:r>
                      <a:rPr lang="en-US" sz="1400" b="0" i="1">
                        <a:latin typeface="Cambria Math" panose="02040503050406030204" pitchFamily="18" charset="0"/>
                      </a:rPr>
                      <m:t>.  </m:t>
                    </m:r>
                    <m:r>
                      <a:rPr lang="en-US" sz="1400" b="0" i="1">
                        <a:latin typeface="Cambria Math" panose="02040503050406030204" pitchFamily="18" charset="0"/>
                      </a:rPr>
                      <m:t>𝐸𝑞𝑢𝑎𝑡𝑖𝑜𝑛</m:t>
                    </m:r>
                    <m:r>
                      <a:rPr lang="en-US" sz="1400" b="0" i="1">
                        <a:latin typeface="Cambria Math" panose="02040503050406030204" pitchFamily="18" charset="0"/>
                      </a:rPr>
                      <m:t> </m:t>
                    </m:r>
                    <m:r>
                      <a:rPr lang="en-US" sz="1400" b="0" i="1">
                        <a:latin typeface="Cambria Math" panose="02040503050406030204" pitchFamily="18" charset="0"/>
                      </a:rPr>
                      <m:t>𝑖𝑠</m:t>
                    </m:r>
                    <m:r>
                      <a:rPr lang="en-US" sz="1400" b="0" i="1">
                        <a:latin typeface="Cambria Math" panose="02040503050406030204" pitchFamily="18" charset="0"/>
                      </a:rPr>
                      <m:t> </m:t>
                    </m:r>
                    <m:r>
                      <a:rPr lang="en-US" sz="1400" b="0" i="1">
                        <a:latin typeface="Cambria Math" panose="02040503050406030204" pitchFamily="18" charset="0"/>
                      </a:rPr>
                      <m:t>𝑛𝑜𝑡</m:t>
                    </m:r>
                    <m:r>
                      <a:rPr lang="en-US" sz="1400" b="0" i="1">
                        <a:latin typeface="Cambria Math" panose="02040503050406030204" pitchFamily="18" charset="0"/>
                      </a:rPr>
                      <m:t> </m:t>
                    </m:r>
                    <m:r>
                      <a:rPr lang="en-US" sz="1400" b="0" i="1">
                        <a:latin typeface="Cambria Math" panose="02040503050406030204" pitchFamily="18" charset="0"/>
                      </a:rPr>
                      <m:t>𝑢𝑠𝑒𝑑</m:t>
                    </m:r>
                    <m:r>
                      <a:rPr lang="en-US" sz="1400" b="0" i="1">
                        <a:latin typeface="Cambria Math" panose="02040503050406030204" pitchFamily="18" charset="0"/>
                      </a:rPr>
                      <m:t> </m:t>
                    </m:r>
                    <m:r>
                      <a:rPr lang="en-US" sz="1400" b="0" i="1">
                        <a:latin typeface="Cambria Math" panose="02040503050406030204" pitchFamily="18" charset="0"/>
                      </a:rPr>
                      <m:t>𝑖𝑛</m:t>
                    </m:r>
                    <m:r>
                      <a:rPr lang="en-US" sz="1400" b="0" i="1">
                        <a:latin typeface="Cambria Math" panose="02040503050406030204" pitchFamily="18" charset="0"/>
                      </a:rPr>
                      <m:t> </m:t>
                    </m:r>
                    <m:r>
                      <a:rPr lang="en-US" sz="1400" b="0" i="1">
                        <a:latin typeface="Cambria Math" panose="02040503050406030204" pitchFamily="18" charset="0"/>
                      </a:rPr>
                      <m:t>𝑡h𝑒𝑠𝑒</m:t>
                    </m:r>
                    <m:r>
                      <a:rPr lang="en-US" sz="1400" b="0" i="1">
                        <a:latin typeface="Cambria Math" panose="02040503050406030204" pitchFamily="18" charset="0"/>
                      </a:rPr>
                      <m:t> </m:t>
                    </m:r>
                    <m:r>
                      <a:rPr lang="en-US" sz="1400" b="0" i="1">
                        <a:latin typeface="Cambria Math" panose="02040503050406030204" pitchFamily="18" charset="0"/>
                      </a:rPr>
                      <m:t>𝑐𝑎𝑙𝑐𝑢𝑙𝑎𝑡𝑖𝑜𝑛𝑠</m:t>
                    </m:r>
                    <m:r>
                      <a:rPr lang="en-US" sz="1400" b="0" i="1">
                        <a:latin typeface="Cambria Math" panose="02040503050406030204" pitchFamily="18" charset="0"/>
                      </a:rPr>
                      <m:t>. </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2440081" y="49459403"/>
              <a:ext cx="125179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𝐷𝑒𝑒𝑚𝑒𝑑 𝑣𝑎𝑙𝑢𝑒 𝑓𝑟𝑜𝑚 𝑠𝑒𝑐𝑡𝑖𝑜𝑛 3.1.5 𝑜𝑓 𝑀𝑂 𝑇𝑅𝑀.  𝐸𝑞𝑢𝑎𝑡𝑖𝑜𝑛 𝑖𝑠 𝑛𝑜𝑡 𝑢𝑠𝑒𝑑 𝑖𝑛 𝑡ℎ𝑒𝑠𝑒 𝑐𝑎𝑙𝑐𝑢𝑙𝑎𝑡𝑖𝑜𝑛𝑠. </a:t>
              </a:r>
              <a:endParaRPr lang="en-US" sz="1400"/>
            </a:p>
          </xdr:txBody>
        </xdr:sp>
      </mc:Fallback>
    </mc:AlternateContent>
    <xdr:clientData/>
  </xdr:twoCellAnchor>
  <xdr:twoCellAnchor>
    <xdr:from>
      <xdr:col>4</xdr:col>
      <xdr:colOff>62753</xdr:colOff>
      <xdr:row>287</xdr:row>
      <xdr:rowOff>17930</xdr:rowOff>
    </xdr:from>
    <xdr:to>
      <xdr:col>5</xdr:col>
      <xdr:colOff>571334</xdr:colOff>
      <xdr:row>290</xdr:row>
      <xdr:rowOff>131874</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2501153" y="54691430"/>
              <a:ext cx="11181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2501153" y="54691430"/>
              <a:ext cx="11181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292</xdr:row>
      <xdr:rowOff>26894</xdr:rowOff>
    </xdr:from>
    <xdr:to>
      <xdr:col>4</xdr:col>
      <xdr:colOff>1538611</xdr:colOff>
      <xdr:row>293</xdr:row>
      <xdr:rowOff>55557</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2449605" y="55652894"/>
              <a:ext cx="59395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2449605" y="55652894"/>
              <a:ext cx="59395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198</xdr:row>
      <xdr:rowOff>0</xdr:rowOff>
    </xdr:from>
    <xdr:ext cx="65" cy="172227"/>
    <xdr:sp macro="" textlink="">
      <xdr:nvSpPr>
        <xdr:cNvPr id="27" name="TextBox 26">
          <a:extLst>
            <a:ext uri="{FF2B5EF4-FFF2-40B4-BE49-F238E27FC236}">
              <a16:creationId xmlns:a16="http://schemas.microsoft.com/office/drawing/2014/main" id="{6A85CCD3-9CE8-4F1D-A6E1-71E1121F1F1B}"/>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198</xdr:row>
      <xdr:rowOff>0</xdr:rowOff>
    </xdr:from>
    <xdr:ext cx="65" cy="172227"/>
    <xdr:sp macro="" textlink="">
      <xdr:nvSpPr>
        <xdr:cNvPr id="28" name="TextBox 27">
          <a:extLst>
            <a:ext uri="{FF2B5EF4-FFF2-40B4-BE49-F238E27FC236}">
              <a16:creationId xmlns:a16="http://schemas.microsoft.com/office/drawing/2014/main" id="{C98CAA05-1DBF-4691-93F9-3AB08514FFE1}"/>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230</xdr:row>
      <xdr:rowOff>0</xdr:rowOff>
    </xdr:from>
    <xdr:ext cx="65" cy="172227"/>
    <xdr:sp macro="" textlink="">
      <xdr:nvSpPr>
        <xdr:cNvPr id="29" name="TextBox 28">
          <a:extLst>
            <a:ext uri="{FF2B5EF4-FFF2-40B4-BE49-F238E27FC236}">
              <a16:creationId xmlns:a16="http://schemas.microsoft.com/office/drawing/2014/main" id="{6A85CCD3-9CE8-4F1D-A6E1-71E1121F1F1B}"/>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230</xdr:row>
      <xdr:rowOff>0</xdr:rowOff>
    </xdr:from>
    <xdr:ext cx="65" cy="172227"/>
    <xdr:sp macro="" textlink="">
      <xdr:nvSpPr>
        <xdr:cNvPr id="30" name="TextBox 29">
          <a:extLst>
            <a:ext uri="{FF2B5EF4-FFF2-40B4-BE49-F238E27FC236}">
              <a16:creationId xmlns:a16="http://schemas.microsoft.com/office/drawing/2014/main" id="{C98CAA05-1DBF-4691-93F9-3AB08514FFE1}"/>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254</xdr:row>
      <xdr:rowOff>0</xdr:rowOff>
    </xdr:from>
    <xdr:ext cx="65" cy="172227"/>
    <xdr:sp macro="" textlink="">
      <xdr:nvSpPr>
        <xdr:cNvPr id="31" name="TextBox 30">
          <a:extLst>
            <a:ext uri="{FF2B5EF4-FFF2-40B4-BE49-F238E27FC236}">
              <a16:creationId xmlns:a16="http://schemas.microsoft.com/office/drawing/2014/main" id="{6A85CCD3-9CE8-4F1D-A6E1-71E1121F1F1B}"/>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254</xdr:row>
      <xdr:rowOff>0</xdr:rowOff>
    </xdr:from>
    <xdr:ext cx="65" cy="172227"/>
    <xdr:sp macro="" textlink="">
      <xdr:nvSpPr>
        <xdr:cNvPr id="32" name="TextBox 31">
          <a:extLst>
            <a:ext uri="{FF2B5EF4-FFF2-40B4-BE49-F238E27FC236}">
              <a16:creationId xmlns:a16="http://schemas.microsoft.com/office/drawing/2014/main" id="{C98CAA05-1DBF-4691-93F9-3AB08514FFE1}"/>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281</xdr:row>
      <xdr:rowOff>0</xdr:rowOff>
    </xdr:from>
    <xdr:ext cx="65" cy="172227"/>
    <xdr:sp macro="" textlink="">
      <xdr:nvSpPr>
        <xdr:cNvPr id="33" name="TextBox 32">
          <a:extLst>
            <a:ext uri="{FF2B5EF4-FFF2-40B4-BE49-F238E27FC236}">
              <a16:creationId xmlns:a16="http://schemas.microsoft.com/office/drawing/2014/main" id="{6A85CCD3-9CE8-4F1D-A6E1-71E1121F1F1B}"/>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281</xdr:row>
      <xdr:rowOff>0</xdr:rowOff>
    </xdr:from>
    <xdr:ext cx="65" cy="172227"/>
    <xdr:sp macro="" textlink="">
      <xdr:nvSpPr>
        <xdr:cNvPr id="34" name="TextBox 33">
          <a:extLst>
            <a:ext uri="{FF2B5EF4-FFF2-40B4-BE49-F238E27FC236}">
              <a16:creationId xmlns:a16="http://schemas.microsoft.com/office/drawing/2014/main" id="{C98CAA05-1DBF-4691-93F9-3AB08514FFE1}"/>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162</xdr:row>
      <xdr:rowOff>0</xdr:rowOff>
    </xdr:from>
    <xdr:ext cx="65" cy="172227"/>
    <xdr:sp macro="" textlink="">
      <xdr:nvSpPr>
        <xdr:cNvPr id="35" name="TextBox 34">
          <a:extLst>
            <a:ext uri="{FF2B5EF4-FFF2-40B4-BE49-F238E27FC236}">
              <a16:creationId xmlns:a16="http://schemas.microsoft.com/office/drawing/2014/main" id="{6A85CCD3-9CE8-4F1D-A6E1-71E1121F1F1B}"/>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162</xdr:row>
      <xdr:rowOff>0</xdr:rowOff>
    </xdr:from>
    <xdr:ext cx="65" cy="172227"/>
    <xdr:sp macro="" textlink="">
      <xdr:nvSpPr>
        <xdr:cNvPr id="36" name="TextBox 35">
          <a:extLst>
            <a:ext uri="{FF2B5EF4-FFF2-40B4-BE49-F238E27FC236}">
              <a16:creationId xmlns:a16="http://schemas.microsoft.com/office/drawing/2014/main" id="{C98CAA05-1DBF-4691-93F9-3AB08514FFE1}"/>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7" name="TextBox 36">
          <a:extLst>
            <a:ext uri="{FF2B5EF4-FFF2-40B4-BE49-F238E27FC236}">
              <a16:creationId xmlns:a16="http://schemas.microsoft.com/office/drawing/2014/main" id="{6A85CCD3-9CE8-4F1D-A6E1-71E1121F1F1B}"/>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8" name="TextBox 37">
          <a:extLst>
            <a:ext uri="{FF2B5EF4-FFF2-40B4-BE49-F238E27FC236}">
              <a16:creationId xmlns:a16="http://schemas.microsoft.com/office/drawing/2014/main" id="{C98CAA05-1DBF-4691-93F9-3AB08514FFE1}"/>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6A85CCD3-9CE8-4F1D-A6E1-71E1121F1F1B}"/>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C98CAA05-1DBF-4691-93F9-3AB08514FFE1}"/>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2269331</xdr:colOff>
      <xdr:row>37</xdr:row>
      <xdr:rowOff>0</xdr:rowOff>
    </xdr:from>
    <xdr:ext cx="65" cy="172227"/>
    <xdr:sp macro="" textlink="">
      <xdr:nvSpPr>
        <xdr:cNvPr id="2" name="TextBox 1">
          <a:extLst>
            <a:ext uri="{FF2B5EF4-FFF2-40B4-BE49-F238E27FC236}">
              <a16:creationId xmlns:a16="http://schemas.microsoft.com/office/drawing/2014/main" id="{30FBB255-41C8-4939-9CF1-2BBF263A2A42}"/>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37</xdr:row>
      <xdr:rowOff>0</xdr:rowOff>
    </xdr:from>
    <xdr:ext cx="65" cy="172227"/>
    <xdr:sp macro="" textlink="">
      <xdr:nvSpPr>
        <xdr:cNvPr id="3" name="TextBox 2">
          <a:extLst>
            <a:ext uri="{FF2B5EF4-FFF2-40B4-BE49-F238E27FC236}">
              <a16:creationId xmlns:a16="http://schemas.microsoft.com/office/drawing/2014/main" id="{6BBF3B43-DDC8-4702-9686-FC008571120C}"/>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317500</xdr:colOff>
      <xdr:row>46</xdr:row>
      <xdr:rowOff>0</xdr:rowOff>
    </xdr:from>
    <xdr:to>
      <xdr:col>7</xdr:col>
      <xdr:colOff>952500</xdr:colOff>
      <xdr:row>47</xdr:row>
      <xdr:rowOff>95250</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B4E1B86-21DC-4F3A-9EF9-62B6BFD62C4C}"/>
                </a:ext>
              </a:extLst>
            </xdr:cNvPr>
            <xdr:cNvSpPr txBox="1"/>
          </xdr:nvSpPr>
          <xdr:spPr>
            <a:xfrm>
              <a:off x="4946650" y="10077450"/>
              <a:ext cx="8693150"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r>
                    <m:rPr>
                      <m:nor/>
                    </m:rPr>
                    <a:rPr lang="en-US" sz="1400" i="1" baseline="0">
                      <a:solidFill>
                        <a:schemeClr val="tx1"/>
                      </a:solidFill>
                      <a:effectLst/>
                      <a:latin typeface="+mn-lt"/>
                      <a:ea typeface="+mn-ea"/>
                      <a:cs typeface="+mn-cs"/>
                    </a:rPr>
                    <m:t>Res</m:t>
                  </m:r>
                </m:oMath>
              </a14:m>
              <a:r>
                <a:rPr lang="en-US" sz="1400" i="1">
                  <a:solidFill>
                    <a:schemeClr val="tx1"/>
                  </a:solidFill>
                  <a:effectLst/>
                  <a:latin typeface="+mn-lt"/>
                  <a:ea typeface="+mn-ea"/>
                  <a:cs typeface="+mn-cs"/>
                </a:rPr>
                <a:t> * ∆kWh</a:t>
              </a:r>
              <a:r>
                <a:rPr lang="en-US" sz="1400" i="1" baseline="-25000">
                  <a:solidFill>
                    <a:schemeClr val="tx1"/>
                  </a:solidFill>
                  <a:effectLst/>
                  <a:latin typeface="+mn-lt"/>
                  <a:ea typeface="+mn-ea"/>
                  <a:cs typeface="+mn-cs"/>
                </a:rPr>
                <a:t>RES</a:t>
              </a:r>
              <a:r>
                <a:rPr lang="en-US" sz="1400" i="1">
                  <a:solidFill>
                    <a:schemeClr val="tx1"/>
                  </a:solidFill>
                  <a:effectLst/>
                  <a:latin typeface="+mn-lt"/>
                  <a:ea typeface="+mn-ea"/>
                  <a:cs typeface="+mn-cs"/>
                </a:rPr>
                <a:t>) + ((1-%Res) * ∆kWh</a:t>
              </a:r>
              <a:r>
                <a:rPr lang="en-US" sz="1400" i="1" baseline="-25000">
                  <a:solidFill>
                    <a:schemeClr val="tx1"/>
                  </a:solidFill>
                  <a:effectLst/>
                  <a:latin typeface="+mn-lt"/>
                  <a:ea typeface="+mn-ea"/>
                  <a:cs typeface="+mn-cs"/>
                </a:rPr>
                <a:t>NRES</a:t>
              </a:r>
              <a:r>
                <a:rPr lang="en-US" sz="1400" i="1" baseline="0">
                  <a:solidFill>
                    <a:schemeClr val="tx1"/>
                  </a:solidFill>
                  <a:effectLst/>
                  <a:latin typeface="+mn-lt"/>
                  <a:ea typeface="+mn-ea"/>
                  <a:cs typeface="+mn-cs"/>
                </a:rPr>
                <a:t>)</a:t>
              </a:r>
              <a:endParaRPr lang="en-US" sz="1400">
                <a:effectLst/>
              </a:endParaRPr>
            </a:p>
          </xdr:txBody>
        </xdr:sp>
      </mc:Choice>
      <mc:Fallback xmlns="">
        <xdr:sp macro="" textlink="">
          <xdr:nvSpPr>
            <xdr:cNvPr id="4" name="TextBox 3">
              <a:extLst>
                <a:ext uri="{FF2B5EF4-FFF2-40B4-BE49-F238E27FC236}">
                  <a16:creationId xmlns:a16="http://schemas.microsoft.com/office/drawing/2014/main" id="{0B4E1B86-21DC-4F3A-9EF9-62B6BFD62C4C}"/>
                </a:ext>
              </a:extLst>
            </xdr:cNvPr>
            <xdr:cNvSpPr txBox="1"/>
          </xdr:nvSpPr>
          <xdr:spPr>
            <a:xfrm>
              <a:off x="4946650" y="10077450"/>
              <a:ext cx="8693150"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"(%Res</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 * ∆kWh</a:t>
              </a:r>
              <a:r>
                <a:rPr lang="en-US" sz="1400" i="1" baseline="-25000">
                  <a:solidFill>
                    <a:schemeClr val="tx1"/>
                  </a:solidFill>
                  <a:effectLst/>
                  <a:latin typeface="+mn-lt"/>
                  <a:ea typeface="+mn-ea"/>
                  <a:cs typeface="+mn-cs"/>
                </a:rPr>
                <a:t>RES</a:t>
              </a:r>
              <a:r>
                <a:rPr lang="en-US" sz="1400" i="1">
                  <a:solidFill>
                    <a:schemeClr val="tx1"/>
                  </a:solidFill>
                  <a:effectLst/>
                  <a:latin typeface="+mn-lt"/>
                  <a:ea typeface="+mn-ea"/>
                  <a:cs typeface="+mn-cs"/>
                </a:rPr>
                <a:t>) + ((1-%Res) * ∆kWh</a:t>
              </a:r>
              <a:r>
                <a:rPr lang="en-US" sz="1400" i="1" baseline="-25000">
                  <a:solidFill>
                    <a:schemeClr val="tx1"/>
                  </a:solidFill>
                  <a:effectLst/>
                  <a:latin typeface="+mn-lt"/>
                  <a:ea typeface="+mn-ea"/>
                  <a:cs typeface="+mn-cs"/>
                </a:rPr>
                <a:t>NRES</a:t>
              </a:r>
              <a:r>
                <a:rPr lang="en-US" sz="1400" i="1" baseline="0">
                  <a:solidFill>
                    <a:schemeClr val="tx1"/>
                  </a:solidFill>
                  <a:effectLst/>
                  <a:latin typeface="+mn-lt"/>
                  <a:ea typeface="+mn-ea"/>
                  <a:cs typeface="+mn-cs"/>
                </a:rPr>
                <a:t>)</a:t>
              </a:r>
              <a:endParaRPr lang="en-US" sz="1400">
                <a:effectLst/>
              </a:endParaRPr>
            </a:p>
          </xdr:txBody>
        </xdr:sp>
      </mc:Fallback>
    </mc:AlternateContent>
    <xdr:clientData/>
  </xdr:twoCellAnchor>
  <xdr:twoCellAnchor>
    <xdr:from>
      <xdr:col>2</xdr:col>
      <xdr:colOff>777875</xdr:colOff>
      <xdr:row>48</xdr:row>
      <xdr:rowOff>31750</xdr:rowOff>
    </xdr:from>
    <xdr:to>
      <xdr:col>7</xdr:col>
      <xdr:colOff>555625</xdr:colOff>
      <xdr:row>51</xdr:row>
      <xdr:rowOff>50989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562CA11F-16EE-4E4E-ABFA-981CE3632414}"/>
                </a:ext>
              </a:extLst>
            </xdr:cNvPr>
            <xdr:cNvSpPr txBox="1"/>
          </xdr:nvSpPr>
          <xdr:spPr>
            <a:xfrm>
              <a:off x="2968625" y="10490200"/>
              <a:ext cx="10274300"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 (1−</m:t>
                            </m:r>
                            <m:r>
                              <m:rPr>
                                <m:nor/>
                              </m:rPr>
                              <a:rPr lang="en-US" sz="1400" i="1" baseline="0">
                                <a:solidFill>
                                  <a:schemeClr val="tx1"/>
                                </a:solidFill>
                                <a:effectLst/>
                                <a:latin typeface="Book Antiqua" panose="02040602050305030304" pitchFamily="18" charset="0"/>
                                <a:ea typeface="+mn-ea"/>
                                <a:cs typeface="+mn-cs"/>
                              </a:rPr>
                              <m:t>Lkg</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HoursRes</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WHFRes</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5" name="TextBox 4">
              <a:extLst>
                <a:ext uri="{FF2B5EF4-FFF2-40B4-BE49-F238E27FC236}">
                  <a16:creationId xmlns:a16="http://schemas.microsoft.com/office/drawing/2014/main" id="{562CA11F-16EE-4E4E-ABFA-981CE3632414}"/>
                </a:ext>
              </a:extLst>
            </xdr:cNvPr>
            <xdr:cNvSpPr txBox="1"/>
          </xdr:nvSpPr>
          <xdr:spPr>
            <a:xfrm>
              <a:off x="2968625" y="10490200"/>
              <a:ext cx="10274300"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ISR ∗ (1−Lkg) ∗ HoursRes ∗ WHFRes</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24946</xdr:colOff>
      <xdr:row>51</xdr:row>
      <xdr:rowOff>15875</xdr:rowOff>
    </xdr:from>
    <xdr:to>
      <xdr:col>7</xdr:col>
      <xdr:colOff>936625</xdr:colOff>
      <xdr:row>54</xdr:row>
      <xdr:rowOff>35114</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425DA7B8-E11F-4474-AFB5-A965BC87FA51}"/>
                </a:ext>
              </a:extLst>
            </xdr:cNvPr>
            <xdr:cNvSpPr txBox="1"/>
          </xdr:nvSpPr>
          <xdr:spPr>
            <a:xfrm>
              <a:off x="3558721" y="11045825"/>
              <a:ext cx="10065204"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kWhNRES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 (1−</m:t>
                            </m:r>
                            <m:r>
                              <m:rPr>
                                <m:nor/>
                              </m:rPr>
                              <a:rPr lang="en-US" sz="1400" i="1" baseline="0">
                                <a:solidFill>
                                  <a:schemeClr val="tx1"/>
                                </a:solidFill>
                                <a:effectLst/>
                                <a:latin typeface="Book Antiqua" panose="02040602050305030304" pitchFamily="18" charset="0"/>
                                <a:ea typeface="+mn-ea"/>
                                <a:cs typeface="+mn-cs"/>
                              </a:rPr>
                              <m:t>Lkg</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HoursNRES</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WHFNRES</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6" name="TextBox 5">
              <a:extLst>
                <a:ext uri="{FF2B5EF4-FFF2-40B4-BE49-F238E27FC236}">
                  <a16:creationId xmlns:a16="http://schemas.microsoft.com/office/drawing/2014/main" id="{425DA7B8-E11F-4474-AFB5-A965BC87FA51}"/>
                </a:ext>
              </a:extLst>
            </xdr:cNvPr>
            <xdr:cNvSpPr txBox="1"/>
          </xdr:nvSpPr>
          <xdr:spPr>
            <a:xfrm>
              <a:off x="3558721" y="11045825"/>
              <a:ext cx="10065204"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"∆kWhNRES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ISR ∗ (1−Lkg) ∗ HoursNRES ∗ WHFNRES</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678088</xdr:colOff>
      <xdr:row>53</xdr:row>
      <xdr:rowOff>176893</xdr:rowOff>
    </xdr:from>
    <xdr:to>
      <xdr:col>7</xdr:col>
      <xdr:colOff>206374</xdr:colOff>
      <xdr:row>56</xdr:row>
      <xdr:rowOff>43718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7D8D7647-5729-4ADE-9A2B-069A2102023C}"/>
                </a:ext>
              </a:extLst>
            </xdr:cNvPr>
            <xdr:cNvSpPr txBox="1"/>
          </xdr:nvSpPr>
          <xdr:spPr>
            <a:xfrm>
              <a:off x="4211863" y="11587843"/>
              <a:ext cx="868181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𝑘𝑊</m:t>
                    </m:r>
                    <m:r>
                      <a:rPr lang="en-US" sz="1400" i="1">
                        <a:latin typeface="Cambria Math" panose="02040503050406030204" pitchFamily="18" charset="0"/>
                      </a:rPr>
                      <m:t>=</m:t>
                    </m:r>
                    <m:d>
                      <m:dPr>
                        <m:ctrlPr>
                          <a:rPr lang="en-US" sz="1400" b="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mn-lt"/>
                            <a:ea typeface="+mn-ea"/>
                            <a:cs typeface="+mn-cs"/>
                          </a:rPr>
                          <m:t>∆</m:t>
                        </m:r>
                        <m:r>
                          <a:rPr lang="en-US" sz="1400" b="0" i="1">
                            <a:solidFill>
                              <a:schemeClr val="tx1"/>
                            </a:solidFill>
                            <a:effectLst/>
                            <a:latin typeface="Cambria Math" panose="02040503050406030204" pitchFamily="18" charset="0"/>
                            <a:ea typeface="+mn-ea"/>
                            <a:cs typeface="+mn-cs"/>
                          </a:rPr>
                          <m:t>𝑘𝑊h𝑅𝑒𝑠</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𝐶𝑃𝐷𝐹𝑅𝑒𝑠</m:t>
                        </m:r>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𝑅𝑒𝑠</m:t>
                        </m:r>
                      </m:e>
                    </m:d>
                    <m:r>
                      <a:rPr lang="en-US" sz="1400" b="0" i="0">
                        <a:solidFill>
                          <a:schemeClr val="tx1"/>
                        </a:solidFill>
                        <a:effectLst/>
                        <a:latin typeface="Cambria Math" panose="02040503050406030204" pitchFamily="18" charset="0"/>
                        <a:ea typeface="+mn-ea"/>
                        <a:cs typeface="+mn-cs"/>
                      </a:rPr>
                      <m:t>+(</m:t>
                    </m:r>
                    <m:r>
                      <m:rPr>
                        <m:nor/>
                      </m:rPr>
                      <a:rPr lang="en-US" sz="1400" i="1">
                        <a:solidFill>
                          <a:schemeClr val="tx1"/>
                        </a:solidFill>
                        <a:effectLst/>
                        <a:latin typeface="+mn-lt"/>
                        <a:ea typeface="+mn-ea"/>
                        <a:cs typeface="+mn-cs"/>
                      </a:rPr>
                      <m:t>∆</m:t>
                    </m:r>
                    <m:r>
                      <a:rPr lang="en-US" sz="1400" b="0" i="1">
                        <a:solidFill>
                          <a:schemeClr val="tx1"/>
                        </a:solidFill>
                        <a:effectLst/>
                        <a:latin typeface="Cambria Math" panose="02040503050406030204" pitchFamily="18" charset="0"/>
                        <a:ea typeface="+mn-ea"/>
                        <a:cs typeface="+mn-cs"/>
                      </a:rPr>
                      <m:t>𝑘𝑊h𝑁𝑅𝐸𝑆</m:t>
                    </m:r>
                    <m:r>
                      <a:rPr lang="en-US" sz="1400" b="0" i="1">
                        <a:solidFill>
                          <a:schemeClr val="tx1"/>
                        </a:solidFill>
                        <a:effectLst/>
                        <a:latin typeface="Cambria Math" panose="02040503050406030204" pitchFamily="18" charset="0"/>
                        <a:ea typeface="+mn-ea"/>
                        <a:cs typeface="+mn-cs"/>
                      </a:rPr>
                      <m:t> ∗</m:t>
                    </m:r>
                    <m:r>
                      <m:rPr>
                        <m:sty m:val="p"/>
                      </m:rPr>
                      <a:rPr lang="en-US" sz="1400" b="0" i="0">
                        <a:solidFill>
                          <a:schemeClr val="tx1"/>
                        </a:solidFill>
                        <a:effectLst/>
                        <a:latin typeface="Cambria Math" panose="02040503050406030204" pitchFamily="18" charset="0"/>
                        <a:ea typeface="+mn-ea"/>
                        <a:cs typeface="+mn-cs"/>
                      </a:rPr>
                      <m:t>CPDFNRES</m:t>
                    </m:r>
                    <m:r>
                      <a:rPr lang="en-US" sz="1400" b="0" i="1">
                        <a:solidFill>
                          <a:schemeClr val="tx1"/>
                        </a:solidFill>
                        <a:effectLst/>
                        <a:latin typeface="Cambria Math" panose="02040503050406030204" pitchFamily="18" charset="0"/>
                        <a:ea typeface="+mn-ea"/>
                        <a:cs typeface="+mn-cs"/>
                      </a:rPr>
                      <m:t>∗</m:t>
                    </m:r>
                    <m:d>
                      <m:dPr>
                        <m:ctrlPr>
                          <a:rPr lang="en-US" sz="1400" b="0" i="1" baseline="-25000">
                            <a:solidFill>
                              <a:schemeClr val="tx1"/>
                            </a:solidFill>
                            <a:effectLst/>
                            <a:latin typeface="Cambria Math" panose="02040503050406030204" pitchFamily="18" charset="0"/>
                            <a:ea typeface="+mn-ea"/>
                            <a:cs typeface="+mn-cs"/>
                          </a:rPr>
                        </m:ctrlPr>
                      </m:dPr>
                      <m:e>
                        <m:r>
                          <a:rPr lang="en-US" sz="1400" b="0" i="1">
                            <a:solidFill>
                              <a:schemeClr val="tx1"/>
                            </a:solidFill>
                            <a:effectLst/>
                            <a:latin typeface="Cambria Math" panose="02040503050406030204" pitchFamily="18" charset="0"/>
                            <a:ea typeface="+mn-ea"/>
                            <a:cs typeface="+mn-cs"/>
                          </a:rPr>
                          <m:t>1−%</m:t>
                        </m:r>
                        <m:r>
                          <a:rPr lang="en-US" sz="1400" b="0" i="1">
                            <a:solidFill>
                              <a:schemeClr val="tx1"/>
                            </a:solidFill>
                            <a:effectLst/>
                            <a:latin typeface="Cambria Math" panose="02040503050406030204" pitchFamily="18" charset="0"/>
                            <a:ea typeface="+mn-ea"/>
                            <a:cs typeface="+mn-cs"/>
                          </a:rPr>
                          <m:t>𝑅𝑒𝑠</m:t>
                        </m:r>
                      </m:e>
                    </m:d>
                    <m:r>
                      <a:rPr lang="en-US" sz="1400" b="0" i="1">
                        <a:solidFill>
                          <a:schemeClr val="tx1"/>
                        </a:solidFill>
                        <a:effectLst/>
                        <a:latin typeface="Cambria Math" panose="02040503050406030204" pitchFamily="18" charset="0"/>
                        <a:ea typeface="+mn-ea"/>
                        <a:cs typeface="+mn-cs"/>
                      </a:rPr>
                      <m:t>)</m:t>
                    </m:r>
                  </m:oMath>
                </m:oMathPara>
              </a14:m>
              <a:endParaRPr lang="en-US" sz="1400">
                <a:effectLst/>
              </a:endParaRPr>
            </a:p>
            <a:p>
              <a:pPr algn="l"/>
              <a:endParaRPr lang="en-US" sz="1400"/>
            </a:p>
          </xdr:txBody>
        </xdr:sp>
      </mc:Choice>
      <mc:Fallback xmlns="">
        <xdr:sp macro="" textlink="">
          <xdr:nvSpPr>
            <xdr:cNvPr id="7" name="TextBox 6">
              <a:extLst>
                <a:ext uri="{FF2B5EF4-FFF2-40B4-BE49-F238E27FC236}">
                  <a16:creationId xmlns:a16="http://schemas.microsoft.com/office/drawing/2014/main" id="{7D8D7647-5729-4ADE-9A2B-069A2102023C}"/>
                </a:ext>
              </a:extLst>
            </xdr:cNvPr>
            <xdr:cNvSpPr txBox="1"/>
          </xdr:nvSpPr>
          <xdr:spPr>
            <a:xfrm>
              <a:off x="4211863" y="11587843"/>
              <a:ext cx="868181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a:t>
              </a:r>
              <a:r>
                <a:rPr lang="en-US" sz="1400" b="0" i="0">
                  <a:solidFill>
                    <a:schemeClr val="tx1"/>
                  </a:solidFill>
                  <a:effectLst/>
                  <a:latin typeface="Cambria Math" panose="02040503050406030204" pitchFamily="18" charset="0"/>
                  <a:ea typeface="+mn-ea"/>
                  <a:cs typeface="+mn-cs"/>
                </a:rPr>
                <a:t>" 𝑘𝑊ℎ𝑅𝑒𝑠 ∗𝐶𝑃𝐷𝐹𝑅𝑒𝑠∗%𝑅𝑒𝑠)+("</a:t>
              </a:r>
              <a:r>
                <a:rPr lang="en-US" sz="1400" i="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 𝑘𝑊ℎ𝑁𝑅𝐸𝑆 ∗CPDFNRES∗</a:t>
              </a:r>
              <a:r>
                <a:rPr lang="en-US" sz="1400" b="0" i="0" baseline="-2500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1−%𝑅𝑒𝑠))</a:t>
              </a:r>
              <a:endParaRPr lang="en-US" sz="1400">
                <a:effectLst/>
              </a:endParaRPr>
            </a:p>
            <a:p>
              <a:pPr algn="l"/>
              <a:endParaRPr lang="en-US" sz="1400"/>
            </a:p>
          </xdr:txBody>
        </xdr:sp>
      </mc:Fallback>
    </mc:AlternateContent>
    <xdr:clientData/>
  </xdr:twoCellAnchor>
  <xdr:twoCellAnchor>
    <xdr:from>
      <xdr:col>4</xdr:col>
      <xdr:colOff>372649</xdr:colOff>
      <xdr:row>149</xdr:row>
      <xdr:rowOff>118809</xdr:rowOff>
    </xdr:from>
    <xdr:to>
      <xdr:col>9</xdr:col>
      <xdr:colOff>1492249</xdr:colOff>
      <xdr:row>153</xdr:row>
      <xdr:rowOff>24043</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2ECEA5B1-2BCB-4539-8E03-91F931B24D42}"/>
                </a:ext>
              </a:extLst>
            </xdr:cNvPr>
            <xdr:cNvSpPr txBox="1"/>
          </xdr:nvSpPr>
          <xdr:spPr>
            <a:xfrm>
              <a:off x="5001799" y="43381359"/>
              <a:ext cx="13587825"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2ECEA5B1-2BCB-4539-8E03-91F931B24D42}"/>
                </a:ext>
              </a:extLst>
            </xdr:cNvPr>
            <xdr:cNvSpPr txBox="1"/>
          </xdr:nvSpPr>
          <xdr:spPr>
            <a:xfrm>
              <a:off x="5001799" y="43381359"/>
              <a:ext cx="13587825"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88900</xdr:colOff>
      <xdr:row>153</xdr:row>
      <xdr:rowOff>107580</xdr:rowOff>
    </xdr:from>
    <xdr:to>
      <xdr:col>7</xdr:col>
      <xdr:colOff>682625</xdr:colOff>
      <xdr:row>155</xdr:row>
      <xdr:rowOff>176893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B0376334-D1AB-4C72-A136-B75D42984029}"/>
                </a:ext>
              </a:extLst>
            </xdr:cNvPr>
            <xdr:cNvSpPr txBox="1"/>
          </xdr:nvSpPr>
          <xdr:spPr>
            <a:xfrm>
              <a:off x="4718050" y="44132130"/>
              <a:ext cx="8651875" cy="5646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B0376334-D1AB-4C72-A136-B75D42984029}"/>
                </a:ext>
              </a:extLst>
            </xdr:cNvPr>
            <xdr:cNvSpPr txBox="1"/>
          </xdr:nvSpPr>
          <xdr:spPr>
            <a:xfrm>
              <a:off x="4718050" y="44132130"/>
              <a:ext cx="8651875" cy="5646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1202307</xdr:colOff>
      <xdr:row>79</xdr:row>
      <xdr:rowOff>92528</xdr:rowOff>
    </xdr:from>
    <xdr:to>
      <xdr:col>10</xdr:col>
      <xdr:colOff>63500</xdr:colOff>
      <xdr:row>82</xdr:row>
      <xdr:rowOff>127000</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D12657D9-0D8B-4094-9DAB-737CBBBEA46A}"/>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D12657D9-0D8B-4094-9DAB-737CBBBEA46A}"/>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1002843</xdr:colOff>
      <xdr:row>83</xdr:row>
      <xdr:rowOff>8274</xdr:rowOff>
    </xdr:from>
    <xdr:to>
      <xdr:col>8</xdr:col>
      <xdr:colOff>587375</xdr:colOff>
      <xdr:row>85</xdr:row>
      <xdr:rowOff>130175</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859BA2D-D371-40ED-B227-16740E271D75}"/>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1" name="TextBox 10">
              <a:extLst>
                <a:ext uri="{FF2B5EF4-FFF2-40B4-BE49-F238E27FC236}">
                  <a16:creationId xmlns:a16="http://schemas.microsoft.com/office/drawing/2014/main" id="{1859BA2D-D371-40ED-B227-16740E271D75}"/>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1196866</xdr:colOff>
      <xdr:row>115</xdr:row>
      <xdr:rowOff>54428</xdr:rowOff>
    </xdr:from>
    <xdr:to>
      <xdr:col>9</xdr:col>
      <xdr:colOff>460374</xdr:colOff>
      <xdr:row>118</xdr:row>
      <xdr:rowOff>150162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1BCD91C5-C535-440D-9460-E3841DB8D532}"/>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1BCD91C5-C535-440D-9460-E3841DB8D532}"/>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1006928</xdr:colOff>
      <xdr:row>118</xdr:row>
      <xdr:rowOff>97174</xdr:rowOff>
    </xdr:from>
    <xdr:to>
      <xdr:col>6</xdr:col>
      <xdr:colOff>3871310</xdr:colOff>
      <xdr:row>122</xdr:row>
      <xdr:rowOff>15104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3F1521A1-CDA2-4595-944F-8A165714410E}"/>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3" name="TextBox 12">
              <a:extLst>
                <a:ext uri="{FF2B5EF4-FFF2-40B4-BE49-F238E27FC236}">
                  <a16:creationId xmlns:a16="http://schemas.microsoft.com/office/drawing/2014/main" id="{3F1521A1-CDA2-4595-944F-8A165714410E}"/>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191</xdr:row>
      <xdr:rowOff>453627</xdr:rowOff>
    </xdr:from>
    <xdr:ext cx="65" cy="172227"/>
    <xdr:sp macro="" textlink="">
      <xdr:nvSpPr>
        <xdr:cNvPr id="14" name="TextBox 13">
          <a:extLst>
            <a:ext uri="{FF2B5EF4-FFF2-40B4-BE49-F238E27FC236}">
              <a16:creationId xmlns:a16="http://schemas.microsoft.com/office/drawing/2014/main" id="{2CB19294-4C31-4CE5-8C06-7780A8204429}"/>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191</xdr:row>
      <xdr:rowOff>453627</xdr:rowOff>
    </xdr:from>
    <xdr:ext cx="65" cy="172227"/>
    <xdr:sp macro="" textlink="">
      <xdr:nvSpPr>
        <xdr:cNvPr id="15" name="TextBox 14">
          <a:extLst>
            <a:ext uri="{FF2B5EF4-FFF2-40B4-BE49-F238E27FC236}">
              <a16:creationId xmlns:a16="http://schemas.microsoft.com/office/drawing/2014/main" id="{2CB19294-4C31-4CE5-8C06-7780A8204429}"/>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1357449</xdr:colOff>
      <xdr:row>9</xdr:row>
      <xdr:rowOff>187234</xdr:rowOff>
    </xdr:from>
    <xdr:to>
      <xdr:col>6</xdr:col>
      <xdr:colOff>3034393</xdr:colOff>
      <xdr:row>11</xdr:row>
      <xdr:rowOff>27215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416CBAAC-2A6A-4347-A97D-E205D33438E1}"/>
                </a:ext>
              </a:extLst>
            </xdr:cNvPr>
            <xdr:cNvSpPr txBox="1"/>
          </xdr:nvSpPr>
          <xdr:spPr>
            <a:xfrm>
              <a:off x="4624524" y="2568484"/>
              <a:ext cx="8001544" cy="2209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6" name="TextBox 15">
              <a:extLst>
                <a:ext uri="{FF2B5EF4-FFF2-40B4-BE49-F238E27FC236}">
                  <a16:creationId xmlns:a16="http://schemas.microsoft.com/office/drawing/2014/main" id="{416CBAAC-2A6A-4347-A97D-E205D33438E1}"/>
                </a:ext>
              </a:extLst>
            </xdr:cNvPr>
            <xdr:cNvSpPr txBox="1"/>
          </xdr:nvSpPr>
          <xdr:spPr>
            <a:xfrm>
              <a:off x="4624524" y="2568484"/>
              <a:ext cx="8001544" cy="2209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4</xdr:col>
      <xdr:colOff>99060</xdr:colOff>
      <xdr:row>14</xdr:row>
      <xdr:rowOff>815</xdr:rowOff>
    </xdr:from>
    <xdr:to>
      <xdr:col>5</xdr:col>
      <xdr:colOff>100853</xdr:colOff>
      <xdr:row>15</xdr:row>
      <xdr:rowOff>89646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EB11E571-A857-405F-BF70-51D00E25CBD4}"/>
                </a:ext>
              </a:extLst>
            </xdr:cNvPr>
            <xdr:cNvSpPr txBox="1"/>
          </xdr:nvSpPr>
          <xdr:spPr>
            <a:xfrm>
              <a:off x="4728210" y="3334565"/>
              <a:ext cx="2202068" cy="2793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7" name="TextBox 16">
              <a:extLst>
                <a:ext uri="{FF2B5EF4-FFF2-40B4-BE49-F238E27FC236}">
                  <a16:creationId xmlns:a16="http://schemas.microsoft.com/office/drawing/2014/main" id="{EB11E571-A857-405F-BF70-51D00E25CBD4}"/>
                </a:ext>
              </a:extLst>
            </xdr:cNvPr>
            <xdr:cNvSpPr txBox="1"/>
          </xdr:nvSpPr>
          <xdr:spPr>
            <a:xfrm>
              <a:off x="4728210" y="3334565"/>
              <a:ext cx="2202068" cy="2793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725533</xdr:colOff>
      <xdr:row>11</xdr:row>
      <xdr:rowOff>185600</xdr:rowOff>
    </xdr:from>
    <xdr:to>
      <xdr:col>6</xdr:col>
      <xdr:colOff>3238500</xdr:colOff>
      <xdr:row>13</xdr:row>
      <xdr:rowOff>122463</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9EA4689E-2A0E-4D40-BEBC-6FF7DC8F7718}"/>
                </a:ext>
              </a:extLst>
            </xdr:cNvPr>
            <xdr:cNvSpPr txBox="1"/>
          </xdr:nvSpPr>
          <xdr:spPr>
            <a:xfrm>
              <a:off x="4259308" y="2947850"/>
              <a:ext cx="8427992"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8" name="TextBox 17">
              <a:extLst>
                <a:ext uri="{FF2B5EF4-FFF2-40B4-BE49-F238E27FC236}">
                  <a16:creationId xmlns:a16="http://schemas.microsoft.com/office/drawing/2014/main" id="{9EA4689E-2A0E-4D40-BEBC-6FF7DC8F7718}"/>
                </a:ext>
              </a:extLst>
            </xdr:cNvPr>
            <xdr:cNvSpPr txBox="1"/>
          </xdr:nvSpPr>
          <xdr:spPr>
            <a:xfrm>
              <a:off x="4259308" y="2947850"/>
              <a:ext cx="8427992"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3</xdr:col>
      <xdr:colOff>122464</xdr:colOff>
      <xdr:row>220</xdr:row>
      <xdr:rowOff>30207</xdr:rowOff>
    </xdr:from>
    <xdr:to>
      <xdr:col>6</xdr:col>
      <xdr:colOff>2300504</xdr:colOff>
      <xdr:row>221</xdr:row>
      <xdr:rowOff>87788</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7BC8A929-4C31-42C3-BEB4-0C9C653FB64B}"/>
                </a:ext>
              </a:extLst>
            </xdr:cNvPr>
            <xdr:cNvSpPr txBox="1"/>
          </xdr:nvSpPr>
          <xdr:spPr>
            <a:xfrm>
              <a:off x="3656239" y="68800707"/>
              <a:ext cx="8235940"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𝑂𝑓𝑓𝑖𝑐𝑒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9" name="TextBox 18">
              <a:extLst>
                <a:ext uri="{FF2B5EF4-FFF2-40B4-BE49-F238E27FC236}">
                  <a16:creationId xmlns:a16="http://schemas.microsoft.com/office/drawing/2014/main" id="{7BC8A929-4C31-42C3-BEB4-0C9C653FB64B}"/>
                </a:ext>
              </a:extLst>
            </xdr:cNvPr>
            <xdr:cNvSpPr txBox="1"/>
          </xdr:nvSpPr>
          <xdr:spPr>
            <a:xfrm>
              <a:off x="3656239" y="68800707"/>
              <a:ext cx="8235940"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400"/>
            </a:p>
          </xdr:txBody>
        </xdr:sp>
      </mc:Fallback>
    </mc:AlternateContent>
    <xdr:clientData/>
  </xdr:twoCellAnchor>
  <xdr:twoCellAnchor>
    <xdr:from>
      <xdr:col>4</xdr:col>
      <xdr:colOff>737054</xdr:colOff>
      <xdr:row>184</xdr:row>
      <xdr:rowOff>102053</xdr:rowOff>
    </xdr:from>
    <xdr:to>
      <xdr:col>6</xdr:col>
      <xdr:colOff>2809875</xdr:colOff>
      <xdr:row>188</xdr:row>
      <xdr:rowOff>61982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B69F5647-72FC-42E6-8B1B-5D4C687C8BEB}"/>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a14:m>
              <a:r>
                <a:rPr lang="en-US" sz="1400">
                  <a:solidFill>
                    <a:sysClr val="windowText" lastClr="000000"/>
                  </a:solidFill>
                </a:rPr>
                <a:t>*ISR</a:t>
              </a:r>
            </a:p>
          </xdr:txBody>
        </xdr:sp>
      </mc:Choice>
      <mc:Fallback xmlns="">
        <xdr:sp macro="" textlink="">
          <xdr:nvSpPr>
            <xdr:cNvPr id="20" name="TextBox 19">
              <a:extLst>
                <a:ext uri="{FF2B5EF4-FFF2-40B4-BE49-F238E27FC236}">
                  <a16:creationId xmlns:a16="http://schemas.microsoft.com/office/drawing/2014/main" id="{B69F5647-72FC-42E6-8B1B-5D4C687C8BEB}"/>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)∗𝐿∗∆𝑇∗𝐻𝑜𝑢𝑟𝑠))/(𝜂𝐷𝐻𝑊_𝐸𝑙𝑒𝑐∗3,412)</a:t>
              </a:r>
              <a:r>
                <a:rPr lang="en-US" sz="1400">
                  <a:solidFill>
                    <a:sysClr val="windowText" lastClr="000000"/>
                  </a:solidFill>
                </a:rPr>
                <a:t>*ISR</a:t>
              </a:r>
            </a:p>
          </xdr:txBody>
        </xdr:sp>
      </mc:Fallback>
    </mc:AlternateContent>
    <xdr:clientData/>
  </xdr:twoCellAnchor>
  <xdr:twoCellAnchor>
    <xdr:from>
      <xdr:col>12</xdr:col>
      <xdr:colOff>638735</xdr:colOff>
      <xdr:row>199</xdr:row>
      <xdr:rowOff>40821</xdr:rowOff>
    </xdr:from>
    <xdr:to>
      <xdr:col>13</xdr:col>
      <xdr:colOff>720379</xdr:colOff>
      <xdr:row>202</xdr:row>
      <xdr:rowOff>149679</xdr:rowOff>
    </xdr:to>
    <xdr:sp macro="" textlink="">
      <xdr:nvSpPr>
        <xdr:cNvPr id="21" name="Oval 20"/>
        <xdr:cNvSpPr/>
      </xdr:nvSpPr>
      <xdr:spPr>
        <a:xfrm>
          <a:off x="21422285" y="62905821"/>
          <a:ext cx="1177019" cy="1061358"/>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0"/>
            <a:t>Pipe</a:t>
          </a:r>
          <a:endParaRPr lang="en-US" sz="1100" b="0"/>
        </a:p>
      </xdr:txBody>
    </xdr:sp>
    <xdr:clientData/>
  </xdr:twoCellAnchor>
  <xdr:twoCellAnchor>
    <xdr:from>
      <xdr:col>12</xdr:col>
      <xdr:colOff>231322</xdr:colOff>
      <xdr:row>198</xdr:row>
      <xdr:rowOff>81643</xdr:rowOff>
    </xdr:from>
    <xdr:to>
      <xdr:col>14</xdr:col>
      <xdr:colOff>22412</xdr:colOff>
      <xdr:row>203</xdr:row>
      <xdr:rowOff>136072</xdr:rowOff>
    </xdr:to>
    <xdr:sp macro="" textlink="">
      <xdr:nvSpPr>
        <xdr:cNvPr id="22" name="Oval 21"/>
        <xdr:cNvSpPr/>
      </xdr:nvSpPr>
      <xdr:spPr>
        <a:xfrm>
          <a:off x="21014872" y="62565643"/>
          <a:ext cx="1981840" cy="176892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638735</xdr:colOff>
      <xdr:row>200</xdr:row>
      <xdr:rowOff>190500</xdr:rowOff>
    </xdr:from>
    <xdr:to>
      <xdr:col>13</xdr:col>
      <xdr:colOff>720379</xdr:colOff>
      <xdr:row>200</xdr:row>
      <xdr:rowOff>190500</xdr:rowOff>
    </xdr:to>
    <xdr:cxnSp macro="">
      <xdr:nvCxnSpPr>
        <xdr:cNvPr id="23" name="Straight Arrow Connector 22"/>
        <xdr:cNvCxnSpPr>
          <a:stCxn id="21" idx="2"/>
          <a:endCxn id="21" idx="6"/>
        </xdr:cNvCxnSpPr>
      </xdr:nvCxnSpPr>
      <xdr:spPr>
        <a:xfrm>
          <a:off x="21422285" y="63436500"/>
          <a:ext cx="1177019"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666750</xdr:colOff>
      <xdr:row>200</xdr:row>
      <xdr:rowOff>217713</xdr:rowOff>
    </xdr:from>
    <xdr:to>
      <xdr:col>13</xdr:col>
      <xdr:colOff>612322</xdr:colOff>
      <xdr:row>201</xdr:row>
      <xdr:rowOff>40820</xdr:rowOff>
    </xdr:to>
    <xdr:sp macro="" textlink="">
      <xdr:nvSpPr>
        <xdr:cNvPr id="24" name="TextBox 23"/>
        <xdr:cNvSpPr txBox="1"/>
      </xdr:nvSpPr>
      <xdr:spPr>
        <a:xfrm>
          <a:off x="21450300" y="63463713"/>
          <a:ext cx="1040947"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.75"</a:t>
          </a:r>
        </a:p>
      </xdr:txBody>
    </xdr:sp>
    <xdr:clientData/>
  </xdr:twoCellAnchor>
  <xdr:twoCellAnchor>
    <xdr:from>
      <xdr:col>13</xdr:col>
      <xdr:colOff>721180</xdr:colOff>
      <xdr:row>200</xdr:row>
      <xdr:rowOff>190500</xdr:rowOff>
    </xdr:from>
    <xdr:to>
      <xdr:col>14</xdr:col>
      <xdr:colOff>27215</xdr:colOff>
      <xdr:row>200</xdr:row>
      <xdr:rowOff>190500</xdr:rowOff>
    </xdr:to>
    <xdr:cxnSp macro="">
      <xdr:nvCxnSpPr>
        <xdr:cNvPr id="25" name="Straight Arrow Connector 24"/>
        <xdr:cNvCxnSpPr/>
      </xdr:nvCxnSpPr>
      <xdr:spPr>
        <a:xfrm>
          <a:off x="22600105" y="63436500"/>
          <a:ext cx="401410"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367393</xdr:colOff>
      <xdr:row>199</xdr:row>
      <xdr:rowOff>312963</xdr:rowOff>
    </xdr:from>
    <xdr:to>
      <xdr:col>14</xdr:col>
      <xdr:colOff>381000</xdr:colOff>
      <xdr:row>200</xdr:row>
      <xdr:rowOff>136070</xdr:rowOff>
    </xdr:to>
    <xdr:sp macro="" textlink="">
      <xdr:nvSpPr>
        <xdr:cNvPr id="26" name="TextBox 25"/>
        <xdr:cNvSpPr txBox="1"/>
      </xdr:nvSpPr>
      <xdr:spPr>
        <a:xfrm>
          <a:off x="22246318" y="63177963"/>
          <a:ext cx="1108982"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0.5"</a:t>
          </a:r>
        </a:p>
      </xdr:txBody>
    </xdr:sp>
    <xdr:clientData/>
  </xdr:twoCellAnchor>
  <xdr:twoCellAnchor>
    <xdr:from>
      <xdr:col>14</xdr:col>
      <xdr:colOff>54427</xdr:colOff>
      <xdr:row>199</xdr:row>
      <xdr:rowOff>312963</xdr:rowOff>
    </xdr:from>
    <xdr:to>
      <xdr:col>15</xdr:col>
      <xdr:colOff>95249</xdr:colOff>
      <xdr:row>200</xdr:row>
      <xdr:rowOff>163286</xdr:rowOff>
    </xdr:to>
    <xdr:sp macro="" textlink="">
      <xdr:nvSpPr>
        <xdr:cNvPr id="27" name="TextBox 26"/>
        <xdr:cNvSpPr txBox="1"/>
      </xdr:nvSpPr>
      <xdr:spPr>
        <a:xfrm>
          <a:off x="23028727" y="63177963"/>
          <a:ext cx="1136197" cy="231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Pipe</a:t>
          </a:r>
          <a:r>
            <a:rPr lang="en-US" sz="1100" baseline="0"/>
            <a:t> wrap width</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7</xdr:col>
      <xdr:colOff>2269331</xdr:colOff>
      <xdr:row>3157</xdr:row>
      <xdr:rowOff>0</xdr:rowOff>
    </xdr:from>
    <xdr:ext cx="65" cy="172227"/>
    <xdr:sp macro="" textlink="">
      <xdr:nvSpPr>
        <xdr:cNvPr id="2" name="TextBox 1">
          <a:extLst>
            <a:ext uri="{FF2B5EF4-FFF2-40B4-BE49-F238E27FC236}">
              <a16:creationId xmlns:a16="http://schemas.microsoft.com/office/drawing/2014/main" id="{284AF605-86A5-48DA-94CC-83D9805059D7}"/>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3157</xdr:row>
      <xdr:rowOff>0</xdr:rowOff>
    </xdr:from>
    <xdr:ext cx="65" cy="172227"/>
    <xdr:sp macro="" textlink="">
      <xdr:nvSpPr>
        <xdr:cNvPr id="3" name="TextBox 2">
          <a:extLst>
            <a:ext uri="{FF2B5EF4-FFF2-40B4-BE49-F238E27FC236}">
              <a16:creationId xmlns:a16="http://schemas.microsoft.com/office/drawing/2014/main" id="{E1043BCC-A9A0-4ABE-8A7E-70A074A1D954}"/>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3157</xdr:row>
      <xdr:rowOff>0</xdr:rowOff>
    </xdr:from>
    <xdr:ext cx="65" cy="172227"/>
    <xdr:sp macro="" textlink="">
      <xdr:nvSpPr>
        <xdr:cNvPr id="4" name="TextBox 3">
          <a:extLst>
            <a:ext uri="{FF2B5EF4-FFF2-40B4-BE49-F238E27FC236}">
              <a16:creationId xmlns:a16="http://schemas.microsoft.com/office/drawing/2014/main" id="{51434429-61D6-4A13-8B9D-E02613F45F8F}"/>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3157</xdr:row>
      <xdr:rowOff>0</xdr:rowOff>
    </xdr:from>
    <xdr:ext cx="65" cy="172227"/>
    <xdr:sp macro="" textlink="">
      <xdr:nvSpPr>
        <xdr:cNvPr id="5" name="TextBox 4">
          <a:extLst>
            <a:ext uri="{FF2B5EF4-FFF2-40B4-BE49-F238E27FC236}">
              <a16:creationId xmlns:a16="http://schemas.microsoft.com/office/drawing/2014/main" id="{284AF605-86A5-48DA-94CC-83D9805059D7}"/>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3157</xdr:row>
      <xdr:rowOff>0</xdr:rowOff>
    </xdr:from>
    <xdr:ext cx="65" cy="172227"/>
    <xdr:sp macro="" textlink="">
      <xdr:nvSpPr>
        <xdr:cNvPr id="6" name="TextBox 5">
          <a:extLst>
            <a:ext uri="{FF2B5EF4-FFF2-40B4-BE49-F238E27FC236}">
              <a16:creationId xmlns:a16="http://schemas.microsoft.com/office/drawing/2014/main" id="{E1043BCC-A9A0-4ABE-8A7E-70A074A1D954}"/>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3157</xdr:row>
      <xdr:rowOff>0</xdr:rowOff>
    </xdr:from>
    <xdr:ext cx="65" cy="172227"/>
    <xdr:sp macro="" textlink="">
      <xdr:nvSpPr>
        <xdr:cNvPr id="7" name="TextBox 6">
          <a:extLst>
            <a:ext uri="{FF2B5EF4-FFF2-40B4-BE49-F238E27FC236}">
              <a16:creationId xmlns:a16="http://schemas.microsoft.com/office/drawing/2014/main" id="{51434429-61D6-4A13-8B9D-E02613F45F8F}"/>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9</xdr:col>
      <xdr:colOff>265648</xdr:colOff>
      <xdr:row>24</xdr:row>
      <xdr:rowOff>108339</xdr:rowOff>
    </xdr:from>
    <xdr:to>
      <xdr:col>17</xdr:col>
      <xdr:colOff>1166812</xdr:colOff>
      <xdr:row>30</xdr:row>
      <xdr:rowOff>23812</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AAB50A15-039E-49AC-AEFF-F692FD86E577}"/>
                </a:ext>
              </a:extLst>
            </xdr:cNvPr>
            <xdr:cNvSpPr txBox="1"/>
          </xdr:nvSpPr>
          <xdr:spPr>
            <a:xfrm>
              <a:off x="17658298" y="3714750"/>
              <a:ext cx="153982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a:latin typeface="Cambria Math" panose="02040503050406030204" pitchFamily="18" charset="0"/>
                          </a:rPr>
                          <m:t>𝑐𝑜𝑛𝑡𝑖𝑛𝑢𝑜𝑢𝑠</m:t>
                        </m:r>
                        <m:r>
                          <a:rPr lang="en-US" sz="1600" b="0" i="1">
                            <a:latin typeface="Cambria Math" panose="02040503050406030204" pitchFamily="18" charset="0"/>
                          </a:rPr>
                          <m:t> </m:t>
                        </m:r>
                        <m:r>
                          <a:rPr lang="en-US" sz="1600" b="0" i="1">
                            <a:latin typeface="Cambria Math" panose="02040503050406030204" pitchFamily="18" charset="0"/>
                          </a:rPr>
                          <m:t>𝑐𝑖𝑟𝑐𝑢𝑙𝑎𝑡𝑖𝑜𝑛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𝑅𝑇</m:t>
                        </m:r>
                        <m:r>
                          <a:rPr lang="en-US" sz="1600" i="1">
                            <a:latin typeface="Cambria Math" panose="02040503050406030204" pitchFamily="18" charset="0"/>
                          </a:rPr>
                          <m:t>−30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oMath>
                </m:oMathPara>
              </a14:m>
              <a:endParaRPr lang="en-US" sz="1600"/>
            </a:p>
          </xdr:txBody>
        </xdr:sp>
      </mc:Choice>
      <mc:Fallback xmlns="">
        <xdr:sp macro="" textlink="">
          <xdr:nvSpPr>
            <xdr:cNvPr id="8" name="TextBox 7">
              <a:extLst>
                <a:ext uri="{FF2B5EF4-FFF2-40B4-BE49-F238E27FC236}">
                  <a16:creationId xmlns:a16="http://schemas.microsoft.com/office/drawing/2014/main" id="{AAB50A15-039E-49AC-AEFF-F692FD86E577}"/>
                </a:ext>
              </a:extLst>
            </xdr:cNvPr>
            <xdr:cNvSpPr txBox="1"/>
          </xdr:nvSpPr>
          <xdr:spPr>
            <a:xfrm>
              <a:off x="17658298" y="3714750"/>
              <a:ext cx="153982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_(𝑐𝑜𝑛𝑡𝑖𝑛𝑢𝑜𝑢𝑠 𝑐𝑖𝑟𝑐𝑢𝑙𝑎𝑡𝑖𝑜𝑛)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a:t>
              </a:r>
              <a:r>
                <a:rPr lang="en-US" sz="1600" b="0" i="0">
                  <a:solidFill>
                    <a:sysClr val="windowText" lastClr="000000"/>
                  </a:solidFill>
                  <a:latin typeface="Cambria Math" panose="02040503050406030204" pitchFamily="18" charset="0"/>
                </a:rPr>
                <a:t>∗𝑅𝑇</a:t>
              </a:r>
              <a:r>
                <a:rPr lang="en-US" sz="1600" i="0">
                  <a:latin typeface="Cambria Math" panose="02040503050406030204" pitchFamily="18" charset="0"/>
                </a:rPr>
                <a:t>−30 𝑘𝑊ℎ/𝑦𝑟)  ∗ 𝐻𝐹</a:t>
              </a:r>
              <a:endParaRPr lang="en-US" sz="1600"/>
            </a:p>
          </xdr:txBody>
        </xdr:sp>
      </mc:Fallback>
    </mc:AlternateContent>
    <xdr:clientData/>
  </xdr:twoCellAnchor>
  <xdr:twoCellAnchor>
    <xdr:from>
      <xdr:col>4</xdr:col>
      <xdr:colOff>341539</xdr:colOff>
      <xdr:row>28</xdr:row>
      <xdr:rowOff>240454</xdr:rowOff>
    </xdr:from>
    <xdr:to>
      <xdr:col>4</xdr:col>
      <xdr:colOff>2475139</xdr:colOff>
      <xdr:row>29</xdr:row>
      <xdr:rowOff>228794</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1303DF3C-9BD0-4613-9C5C-C6EFB058D044}"/>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l-GR" sz="1400" i="1">
                        <a:latin typeface="Cambria Math" panose="02040503050406030204" pitchFamily="18" charset="0"/>
                      </a:rPr>
                      <m:t>𝛥</m:t>
                    </m:r>
                    <m:r>
                      <a:rPr lang="en-US" sz="1400" i="1">
                        <a:latin typeface="Cambria Math" panose="02040503050406030204" pitchFamily="18" charset="0"/>
                      </a:rPr>
                      <m:t>𝑘𝑊</m:t>
                    </m:r>
                    <m:sSub>
                      <m:sSubPr>
                        <m:ctrlPr>
                          <a:rPr lang="en-US" sz="1400" b="0" i="1">
                            <a:latin typeface="Cambria Math" panose="02040503050406030204" pitchFamily="18" charset="0"/>
                          </a:rPr>
                        </m:ctrlPr>
                      </m:sSubPr>
                      <m:e>
                        <m:r>
                          <a:rPr lang="en-US" sz="1400" i="1">
                            <a:latin typeface="Cambria Math" panose="02040503050406030204" pitchFamily="18" charset="0"/>
                          </a:rPr>
                          <m:t>h</m:t>
                        </m:r>
                      </m:e>
                      <m:sub>
                        <m:r>
                          <a:rPr lang="en-US" sz="1400" b="0" i="1">
                            <a:latin typeface="Cambria Math" panose="02040503050406030204" pitchFamily="18" charset="0"/>
                          </a:rPr>
                          <m:t>𝑐𝑜𝑜𝑙𝑖𝑛𝑔</m:t>
                        </m:r>
                      </m:sub>
                    </m:sSub>
                    <m:r>
                      <a:rPr lang="en-US" sz="1400" b="0" i="1">
                        <a:latin typeface="Cambria Math" panose="02040503050406030204" pitchFamily="18" charset="0"/>
                      </a:rPr>
                      <m:t>∗</m:t>
                    </m:r>
                    <m:r>
                      <a:rPr lang="en-US" sz="1400" b="0" i="1">
                        <a:latin typeface="Cambria Math" panose="02040503050406030204" pitchFamily="18" charset="0"/>
                      </a:rPr>
                      <m:t>𝐶𝐹</m:t>
                    </m:r>
                  </m:oMath>
                </m:oMathPara>
              </a14:m>
              <a:endParaRPr lang="en-US" sz="1400"/>
            </a:p>
          </xdr:txBody>
        </xdr:sp>
      </mc:Choice>
      <mc:Fallback xmlns="">
        <xdr:sp macro="" textlink="">
          <xdr:nvSpPr>
            <xdr:cNvPr id="9" name="TextBox 8">
              <a:extLst>
                <a:ext uri="{FF2B5EF4-FFF2-40B4-BE49-F238E27FC236}">
                  <a16:creationId xmlns:a16="http://schemas.microsoft.com/office/drawing/2014/main" id="{1303DF3C-9BD0-4613-9C5C-C6EFB058D044}"/>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rPr>
                <a:t>𝛥</a:t>
              </a:r>
              <a:r>
                <a:rPr lang="en-US" sz="1400" i="0">
                  <a:latin typeface="Cambria Math" panose="02040503050406030204" pitchFamily="18" charset="0"/>
                </a:rPr>
                <a:t>𝑘𝑊ℎ</a:t>
              </a:r>
              <a:r>
                <a:rPr lang="en-US" sz="1400" b="0" i="0">
                  <a:latin typeface="Cambria Math" panose="02040503050406030204" pitchFamily="18" charset="0"/>
                </a:rPr>
                <a:t>_𝑐𝑜𝑜𝑙𝑖𝑛𝑔∗𝐶𝐹</a:t>
              </a:r>
              <a:endParaRPr lang="en-US" sz="1400"/>
            </a:p>
          </xdr:txBody>
        </xdr:sp>
      </mc:Fallback>
    </mc:AlternateContent>
    <xdr:clientData/>
  </xdr:twoCellAnchor>
  <xdr:twoCellAnchor>
    <xdr:from>
      <xdr:col>4</xdr:col>
      <xdr:colOff>299630</xdr:colOff>
      <xdr:row>19</xdr:row>
      <xdr:rowOff>176892</xdr:rowOff>
    </xdr:from>
    <xdr:to>
      <xdr:col>7</xdr:col>
      <xdr:colOff>450273</xdr:colOff>
      <xdr:row>23</xdr:row>
      <xdr:rowOff>51954</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2515C0F-9241-481F-81C5-045F365A984C}"/>
                </a:ext>
              </a:extLst>
            </xdr:cNvPr>
            <xdr:cNvSpPr txBox="1"/>
          </xdr:nvSpPr>
          <xdr:spPr>
            <a:xfrm>
              <a:off x="3614330" y="3714750"/>
              <a:ext cx="1165684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r>
                          <a:rPr lang="en-US" sz="1600" b="0" i="1">
                            <a:latin typeface="Cambria Math" panose="02040503050406030204" pitchFamily="18" charset="0"/>
                          </a:rPr>
                          <m:t> </m:t>
                        </m:r>
                        <m:r>
                          <a:rPr lang="en-US" sz="1600" i="1">
                            <a:latin typeface="Cambria Math" panose="02040503050406030204" pitchFamily="18" charset="0"/>
                          </a:rPr>
                          <m:t>𝑚𝑜𝑑𝑒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i="1">
                            <a:latin typeface="Cambria Math" panose="02040503050406030204" pitchFamily="18" charset="0"/>
                          </a:rPr>
                          <m:t>𝐴𝑆𝐻𝑃</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400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oMath>
                </m:oMathPara>
              </a14:m>
              <a:endParaRPr lang="en-US" sz="1600"/>
            </a:p>
          </xdr:txBody>
        </xdr:sp>
      </mc:Choice>
      <mc:Fallback xmlns="">
        <xdr:sp macro="" textlink="">
          <xdr:nvSpPr>
            <xdr:cNvPr id="10" name="TextBox 9">
              <a:extLst>
                <a:ext uri="{FF2B5EF4-FFF2-40B4-BE49-F238E27FC236}">
                  <a16:creationId xmlns:a16="http://schemas.microsoft.com/office/drawing/2014/main" id="{02515C0F-9241-481F-81C5-045F365A984C}"/>
                </a:ext>
              </a:extLst>
            </xdr:cNvPr>
            <xdr:cNvSpPr txBox="1"/>
          </xdr:nvSpPr>
          <xdr:spPr>
            <a:xfrm>
              <a:off x="3614330" y="3714750"/>
              <a:ext cx="1165684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a:t>
              </a:r>
              <a:r>
                <a:rPr lang="en-US" sz="1600" b="0" i="0">
                  <a:latin typeface="Cambria Math" panose="02040503050406030204" pitchFamily="18" charset="0"/>
                </a:rPr>
                <a:t> </a:t>
              </a:r>
              <a:r>
                <a:rPr lang="en-US" sz="1600" i="0">
                  <a:latin typeface="Cambria Math" panose="02040503050406030204" pitchFamily="18" charset="0"/>
                </a:rPr>
                <a:t>𝑚𝑜𝑑𝑒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𝐴𝑆𝐻𝑃 )∗ ( 400 𝑘𝑊ℎ/𝑦𝑟∗(𝐸𝐹𝐿𝐻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 ))∗𝐻𝐹</a:t>
              </a:r>
              <a:endParaRPr lang="en-US" sz="1600"/>
            </a:p>
          </xdr:txBody>
        </xdr:sp>
      </mc:Fallback>
    </mc:AlternateContent>
    <xdr:clientData/>
  </xdr:twoCellAnchor>
  <xdr:twoCellAnchor>
    <xdr:from>
      <xdr:col>3</xdr:col>
      <xdr:colOff>934218</xdr:colOff>
      <xdr:row>23</xdr:row>
      <xdr:rowOff>206979</xdr:rowOff>
    </xdr:from>
    <xdr:to>
      <xdr:col>8</xdr:col>
      <xdr:colOff>119062</xdr:colOff>
      <xdr:row>28</xdr:row>
      <xdr:rowOff>173181</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499FCC7-BD95-4C6D-802A-4F18A898ADA7}"/>
                </a:ext>
              </a:extLst>
            </xdr:cNvPr>
            <xdr:cNvSpPr txBox="1"/>
          </xdr:nvSpPr>
          <xdr:spPr>
            <a:xfrm>
              <a:off x="3039243" y="3714750"/>
              <a:ext cx="1303419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a:latin typeface="Cambria Math" panose="02040503050406030204" pitchFamily="18" charset="0"/>
                          </a:rPr>
                          <m:t>𝑐𝑜𝑜𝑙𝑖𝑛𝑔</m:t>
                        </m:r>
                        <m:r>
                          <a:rPr lang="en-US" sz="1600" b="0" i="1">
                            <a:latin typeface="Cambria Math" panose="02040503050406030204" pitchFamily="18" charset="0"/>
                          </a:rPr>
                          <m:t> </m:t>
                        </m:r>
                        <m:r>
                          <a:rPr lang="en-US" sz="1600" i="1">
                            <a:latin typeface="Cambria Math" panose="02040503050406030204" pitchFamily="18" charset="0"/>
                          </a:rPr>
                          <m:t>𝑚𝑜𝑑𝑒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b="0" i="1">
                            <a:latin typeface="Cambria Math" panose="02040503050406030204" pitchFamily="18" charset="0"/>
                          </a:rPr>
                          <m:t>𝐶𝑒𝑛𝑡𝑟𝑎𝑙</m:t>
                        </m:r>
                        <m:r>
                          <a:rPr lang="en-US" sz="1600" b="0" i="1">
                            <a:latin typeface="Cambria Math" panose="02040503050406030204" pitchFamily="18" charset="0"/>
                          </a:rPr>
                          <m:t> </m:t>
                        </m:r>
                        <m:r>
                          <a:rPr lang="en-US" sz="1600" b="0" i="1">
                            <a:latin typeface="Cambria Math" panose="02040503050406030204" pitchFamily="18" charset="0"/>
                          </a:rPr>
                          <m:t>𝐶𝑜𝑜𝑙𝑖𝑛𝑔</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b="0" i="1">
                            <a:latin typeface="Cambria Math" panose="02040503050406030204" pitchFamily="18" charset="0"/>
                          </a:rPr>
                        </m:ctrlPr>
                      </m:dPr>
                      <m:e>
                        <m:r>
                          <a:rPr lang="en-US" sz="1600" b="0" i="1">
                            <a:latin typeface="Cambria Math" panose="02040503050406030204" pitchFamily="18" charset="0"/>
                          </a:rPr>
                          <m:t>7</m:t>
                        </m:r>
                        <m:r>
                          <a:rPr lang="en-US" sz="1600" i="1">
                            <a:latin typeface="Cambria Math" panose="02040503050406030204" pitchFamily="18" charset="0"/>
                          </a:rPr>
                          <m:t>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1499FCC7-BD95-4C6D-802A-4F18A898ADA7}"/>
                </a:ext>
              </a:extLst>
            </xdr:cNvPr>
            <xdr:cNvSpPr txBox="1"/>
          </xdr:nvSpPr>
          <xdr:spPr>
            <a:xfrm>
              <a:off x="3039243" y="3714750"/>
              <a:ext cx="1303419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_(𝑐𝑜𝑜𝑙𝑖𝑛𝑔 </a:t>
              </a:r>
              <a:r>
                <a:rPr lang="en-US" sz="1600" i="0">
                  <a:latin typeface="Cambria Math" panose="02040503050406030204" pitchFamily="18" charset="0"/>
                </a:rPr>
                <a:t>𝑚𝑜𝑑𝑒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a:t>
              </a:r>
              <a:r>
                <a:rPr lang="en-US" sz="1600" b="0" i="0">
                  <a:latin typeface="Cambria Math" panose="02040503050406030204" pitchFamily="18" charset="0"/>
                </a:rPr>
                <a:t>𝐶𝑒𝑛𝑡𝑟𝑎𝑙 𝐶𝑜𝑜𝑙𝑖𝑛𝑔</a:t>
              </a:r>
              <a:r>
                <a:rPr lang="en-US" sz="1600" i="0">
                  <a:latin typeface="Cambria Math" panose="02040503050406030204" pitchFamily="18" charset="0"/>
                </a:rPr>
                <a:t> )∗ </a:t>
              </a:r>
              <a:r>
                <a:rPr lang="en-US" sz="1600" b="0" i="0">
                  <a:latin typeface="Cambria Math" panose="02040503050406030204" pitchFamily="18" charset="0"/>
                </a:rPr>
                <a:t>(7</a:t>
              </a:r>
              <a:r>
                <a:rPr lang="en-US" sz="1600" i="0">
                  <a:latin typeface="Cambria Math" panose="02040503050406030204" pitchFamily="18" charset="0"/>
                </a:rPr>
                <a:t>0 𝑘𝑊ℎ/𝑦𝑟∗(𝐸𝐹𝐿𝐻</a:t>
              </a:r>
              <a:r>
                <a:rPr lang="en-US" sz="1600" b="0" i="0">
                  <a:latin typeface="Cambria Math" panose="02040503050406030204" pitchFamily="18" charset="0"/>
                </a:rPr>
                <a:t>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_𝑐𝑜𝑜𝑙𝑖𝑛𝑔 ))</a:t>
              </a:r>
              <a:r>
                <a:rPr lang="en-US" sz="1600" i="0">
                  <a:latin typeface="Cambria Math" panose="02040503050406030204" pitchFamily="18" charset="0"/>
                </a:rPr>
                <a:t>∗𝐻𝐹</a:t>
              </a:r>
              <a:endParaRPr lang="en-US" sz="1600"/>
            </a:p>
          </xdr:txBody>
        </xdr:sp>
      </mc:Fallback>
    </mc:AlternateContent>
    <xdr:clientData/>
  </xdr:twoCellAnchor>
  <xdr:twoCellAnchor>
    <xdr:from>
      <xdr:col>9</xdr:col>
      <xdr:colOff>649704</xdr:colOff>
      <xdr:row>20</xdr:row>
      <xdr:rowOff>-1</xdr:rowOff>
    </xdr:from>
    <xdr:to>
      <xdr:col>17</xdr:col>
      <xdr:colOff>1143000</xdr:colOff>
      <xdr:row>24</xdr:row>
      <xdr:rowOff>67083</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7C110DA6-4A3E-4AD4-B372-6ED792A72562}"/>
                </a:ext>
              </a:extLst>
            </xdr:cNvPr>
            <xdr:cNvSpPr txBox="1"/>
          </xdr:nvSpPr>
          <xdr:spPr>
            <a:xfrm>
              <a:off x="18042354" y="3714750"/>
              <a:ext cx="1499034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𝑎𝑢𝑡𝑜</m:t>
                        </m:r>
                        <m:r>
                          <a:rPr lang="en-US" sz="1600" b="0" i="1">
                            <a:latin typeface="Cambria Math" panose="02040503050406030204" pitchFamily="18" charset="0"/>
                          </a:rPr>
                          <m:t> </m:t>
                        </m:r>
                        <m:r>
                          <a:rPr lang="en-US" sz="1600" b="0" i="1">
                            <a:latin typeface="Cambria Math" panose="02040503050406030204" pitchFamily="18" charset="0"/>
                          </a:rPr>
                          <m:t>𝑐𝑖𝑟𝑐𝑢𝑙𝑎𝑡𝑖𝑜𝑛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600" i="1">
                            <a:latin typeface="Cambria Math" panose="02040503050406030204" pitchFamily="18" charset="0"/>
                          </a:rPr>
                          <m:t>−30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7C110DA6-4A3E-4AD4-B372-6ED792A72562}"/>
                </a:ext>
              </a:extLst>
            </xdr:cNvPr>
            <xdr:cNvSpPr txBox="1"/>
          </xdr:nvSpPr>
          <xdr:spPr>
            <a:xfrm>
              <a:off x="18042354" y="3714750"/>
              <a:ext cx="1499034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𝑎𝑢𝑡𝑜</a:t>
              </a:r>
              <a:r>
                <a:rPr lang="en-US" sz="1600" b="0" i="0">
                  <a:latin typeface="Cambria Math" panose="02040503050406030204" pitchFamily="18" charset="0"/>
                </a:rPr>
                <a:t> 𝑐𝑖𝑟𝑐𝑢𝑙𝑎𝑡𝑖𝑜𝑛)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600" i="0">
                  <a:latin typeface="Cambria Math" panose="02040503050406030204" pitchFamily="18" charset="0"/>
                </a:rPr>
                <a:t>−30 𝑘𝑊ℎ/𝑦𝑟)  ∗ 𝐻𝐹</a:t>
              </a:r>
              <a:endParaRPr lang="en-US" sz="1600"/>
            </a:p>
          </xdr:txBody>
        </xdr:sp>
      </mc:Fallback>
    </mc:AlternateContent>
    <xdr:clientData/>
  </xdr:twoCellAnchor>
  <xdr:twoCellAnchor>
    <xdr:from>
      <xdr:col>4</xdr:col>
      <xdr:colOff>190500</xdr:colOff>
      <xdr:row>182</xdr:row>
      <xdr:rowOff>47625</xdr:rowOff>
    </xdr:from>
    <xdr:to>
      <xdr:col>5</xdr:col>
      <xdr:colOff>2490107</xdr:colOff>
      <xdr:row>186</xdr:row>
      <xdr:rowOff>111579</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EFB3D3CC-AB80-4603-91D3-0715D42FEB90}"/>
                </a:ext>
              </a:extLst>
            </xdr:cNvPr>
            <xdr:cNvSpPr txBox="1"/>
          </xdr:nvSpPr>
          <xdr:spPr>
            <a:xfrm>
              <a:off x="3505200" y="11906250"/>
              <a:ext cx="83194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𝑒𝑥𝑖𝑠𝑡</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a:t>
              </a:r>
            </a:p>
          </xdr:txBody>
        </xdr:sp>
      </mc:Choice>
      <mc:Fallback xmlns="">
        <xdr:sp macro="" textlink="">
          <xdr:nvSpPr>
            <xdr:cNvPr id="13" name="TextBox 12">
              <a:extLst>
                <a:ext uri="{FF2B5EF4-FFF2-40B4-BE49-F238E27FC236}">
                  <a16:creationId xmlns:a16="http://schemas.microsoft.com/office/drawing/2014/main" id="{EFB3D3CC-AB80-4603-91D3-0715D42FEB90}"/>
                </a:ext>
              </a:extLst>
            </xdr:cNvPr>
            <xdr:cNvSpPr txBox="1"/>
          </xdr:nvSpPr>
          <xdr:spPr>
            <a:xfrm>
              <a:off x="3505200" y="11906250"/>
              <a:ext cx="83194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a:t>
              </a:r>
              <a:r>
                <a:rPr lang="en-US" sz="1600" i="0">
                  <a:latin typeface="Cambria Math" panose="02040503050406030204" pitchFamily="18" charset="0"/>
                </a:rPr>
                <a:t>𝑒𝑥𝑖𝑠𝑡 )−1/(𝑆𝐸𝐸𝑅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ysClr val="windowText" lastClr="000000"/>
                  </a:solidFill>
                  <a:latin typeface="Cambria Math" panose="02040503050406030204" pitchFamily="18" charset="0"/>
                </a:rPr>
                <a:t>*HF</a:t>
              </a:r>
            </a:p>
          </xdr:txBody>
        </xdr:sp>
      </mc:Fallback>
    </mc:AlternateContent>
    <xdr:clientData/>
  </xdr:twoCellAnchor>
  <xdr:twoCellAnchor>
    <xdr:from>
      <xdr:col>5</xdr:col>
      <xdr:colOff>3304060</xdr:colOff>
      <xdr:row>182</xdr:row>
      <xdr:rowOff>4949</xdr:rowOff>
    </xdr:from>
    <xdr:to>
      <xdr:col>11</xdr:col>
      <xdr:colOff>831272</xdr:colOff>
      <xdr:row>186</xdr:row>
      <xdr:rowOff>182967</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CFF966EC-0774-40B0-A93A-469DCE1A4F72}"/>
                </a:ext>
              </a:extLst>
            </xdr:cNvPr>
            <xdr:cNvSpPr txBox="1"/>
          </xdr:nvSpPr>
          <xdr:spPr>
            <a:xfrm>
              <a:off x="12638560" y="11906250"/>
              <a:ext cx="894768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b="0" i="1">
                                          <a:latin typeface="Cambria Math" panose="02040503050406030204" pitchFamily="18" charset="0"/>
                                        </a:rPr>
                                        <m:t>𝑏𝑎𝑠𝑒</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a:t>
              </a:r>
            </a:p>
          </xdr:txBody>
        </xdr:sp>
      </mc:Choice>
      <mc:Fallback xmlns="">
        <xdr:sp macro="" textlink="">
          <xdr:nvSpPr>
            <xdr:cNvPr id="14" name="TextBox 13">
              <a:extLst>
                <a:ext uri="{FF2B5EF4-FFF2-40B4-BE49-F238E27FC236}">
                  <a16:creationId xmlns:a16="http://schemas.microsoft.com/office/drawing/2014/main" id="{CFF966EC-0774-40B0-A93A-469DCE1A4F72}"/>
                </a:ext>
              </a:extLst>
            </xdr:cNvPr>
            <xdr:cNvSpPr txBox="1"/>
          </xdr:nvSpPr>
          <xdr:spPr>
            <a:xfrm>
              <a:off x="12638560" y="11906250"/>
              <a:ext cx="894768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_𝑏𝑎𝑠𝑒 )</a:t>
              </a:r>
              <a:r>
                <a:rPr lang="en-US" sz="1600" i="0">
                  <a:latin typeface="Cambria Math" panose="02040503050406030204" pitchFamily="18" charset="0"/>
                </a:rPr>
                <a:t>−1/(𝑆𝐸𝐸𝑅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ysClr val="windowText" lastClr="000000"/>
                  </a:solidFill>
                  <a:latin typeface="Cambria Math" panose="02040503050406030204" pitchFamily="18" charset="0"/>
                </a:rPr>
                <a:t>*HF</a:t>
              </a:r>
            </a:p>
          </xdr:txBody>
        </xdr:sp>
      </mc:Fallback>
    </mc:AlternateContent>
    <xdr:clientData/>
  </xdr:twoCellAnchor>
  <xdr:twoCellAnchor>
    <xdr:from>
      <xdr:col>4</xdr:col>
      <xdr:colOff>14286</xdr:colOff>
      <xdr:row>189</xdr:row>
      <xdr:rowOff>19050</xdr:rowOff>
    </xdr:from>
    <xdr:to>
      <xdr:col>4</xdr:col>
      <xdr:colOff>2271193</xdr:colOff>
      <xdr:row>190</xdr:row>
      <xdr:rowOff>95161</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1C0DAD24-FB49-4A8D-8E47-4269B1B10DE9}"/>
                </a:ext>
              </a:extLst>
            </xdr:cNvPr>
            <xdr:cNvSpPr txBox="1"/>
          </xdr:nvSpPr>
          <xdr:spPr>
            <a:xfrm>
              <a:off x="3328986" y="11906250"/>
              <a:ext cx="22569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5" name="TextBox 14">
              <a:extLst>
                <a:ext uri="{FF2B5EF4-FFF2-40B4-BE49-F238E27FC236}">
                  <a16:creationId xmlns:a16="http://schemas.microsoft.com/office/drawing/2014/main" id="{1C0DAD24-FB49-4A8D-8E47-4269B1B10DE9}"/>
                </a:ext>
              </a:extLst>
            </xdr:cNvPr>
            <xdr:cNvSpPr txBox="1"/>
          </xdr:nvSpPr>
          <xdr:spPr>
            <a:xfrm>
              <a:off x="3328986" y="11906250"/>
              <a:ext cx="22569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198684</xdr:colOff>
      <xdr:row>828</xdr:row>
      <xdr:rowOff>104775</xdr:rowOff>
    </xdr:from>
    <xdr:to>
      <xdr:col>11</xdr:col>
      <xdr:colOff>258536</xdr:colOff>
      <xdr:row>832</xdr:row>
      <xdr:rowOff>126195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1B6D5873-0788-490E-9394-CC97126C6B3F}"/>
                </a:ext>
              </a:extLst>
            </xdr:cNvPr>
            <xdr:cNvSpPr txBox="1"/>
          </xdr:nvSpPr>
          <xdr:spPr>
            <a:xfrm>
              <a:off x="2303709" y="23498175"/>
              <a:ext cx="18709802"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endParaRPr lang="en-US" sz="1600" i="1">
                <a:solidFill>
                  <a:srgbClr val="FF0000"/>
                </a:solidFill>
                <a:latin typeface="Cambria Math" panose="02040503050406030204" pitchFamily="18" charset="0"/>
              </a:endParaRPr>
            </a:p>
          </xdr:txBody>
        </xdr:sp>
      </mc:Choice>
      <mc:Fallback xmlns="">
        <xdr:sp macro="" textlink="">
          <xdr:nvSpPr>
            <xdr:cNvPr id="16" name="TextBox 15">
              <a:extLst>
                <a:ext uri="{FF2B5EF4-FFF2-40B4-BE49-F238E27FC236}">
                  <a16:creationId xmlns:a16="http://schemas.microsoft.com/office/drawing/2014/main" id="{1B6D5873-0788-490E-9394-CC97126C6B3F}"/>
                </a:ext>
              </a:extLst>
            </xdr:cNvPr>
            <xdr:cNvSpPr txBox="1"/>
          </xdr:nvSpPr>
          <xdr:spPr>
            <a:xfrm>
              <a:off x="2303709" y="23498175"/>
              <a:ext cx="18709802"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840</xdr:row>
      <xdr:rowOff>173181</xdr:rowOff>
    </xdr:from>
    <xdr:to>
      <xdr:col>4</xdr:col>
      <xdr:colOff>1333500</xdr:colOff>
      <xdr:row>842</xdr:row>
      <xdr:rowOff>104686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2C4B6C36-3000-4C90-BCC0-D06B8827C3A7}"/>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7" name="TextBox 16">
              <a:extLst>
                <a:ext uri="{FF2B5EF4-FFF2-40B4-BE49-F238E27FC236}">
                  <a16:creationId xmlns:a16="http://schemas.microsoft.com/office/drawing/2014/main" id="{2C4B6C36-3000-4C90-BCC0-D06B8827C3A7}"/>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142875</xdr:colOff>
      <xdr:row>834</xdr:row>
      <xdr:rowOff>85725</xdr:rowOff>
    </xdr:from>
    <xdr:to>
      <xdr:col>22</xdr:col>
      <xdr:colOff>138545</xdr:colOff>
      <xdr:row>838</xdr:row>
      <xdr:rowOff>107145</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8C6A869D-AB4D-4535-A7B2-57DCB14EDF23}"/>
                </a:ext>
              </a:extLst>
            </xdr:cNvPr>
            <xdr:cNvSpPr txBox="1"/>
          </xdr:nvSpPr>
          <xdr:spPr>
            <a:xfrm>
              <a:off x="2247900" y="24622125"/>
              <a:ext cx="3992447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𝐻𝐹</m:t>
                    </m:r>
                  </m:oMath>
                </m:oMathPara>
              </a14:m>
              <a:endParaRPr lang="en-US" sz="1600" i="1">
                <a:solidFill>
                  <a:srgbClr val="FF0000"/>
                </a:solidFill>
                <a:latin typeface="Cambria Math" panose="02040503050406030204" pitchFamily="18" charset="0"/>
              </a:endParaRPr>
            </a:p>
          </xdr:txBody>
        </xdr:sp>
      </mc:Choice>
      <mc:Fallback xmlns="">
        <xdr:sp macro="" textlink="">
          <xdr:nvSpPr>
            <xdr:cNvPr id="18" name="TextBox 17">
              <a:extLst>
                <a:ext uri="{FF2B5EF4-FFF2-40B4-BE49-F238E27FC236}">
                  <a16:creationId xmlns:a16="http://schemas.microsoft.com/office/drawing/2014/main" id="{8C6A869D-AB4D-4535-A7B2-57DCB14EDF23}"/>
                </a:ext>
              </a:extLst>
            </xdr:cNvPr>
            <xdr:cNvSpPr txBox="1"/>
          </xdr:nvSpPr>
          <xdr:spPr>
            <a:xfrm>
              <a:off x="2247900" y="24622125"/>
              <a:ext cx="3992447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 </a:t>
              </a:r>
              <a:r>
                <a:rPr lang="en-US" sz="1600" b="0" i="0">
                  <a:solidFill>
                    <a:sysClr val="windowText" lastClr="000000"/>
                  </a:solidFill>
                  <a:latin typeface="Cambria Math" panose="02040503050406030204" pitchFamily="18" charset="0"/>
                </a:rPr>
                <a:t> ∗𝐻𝐹</a:t>
              </a:r>
              <a:endParaRPr lang="en-US" sz="1600" i="1">
                <a:solidFill>
                  <a:srgbClr val="FF0000"/>
                </a:solidFill>
                <a:latin typeface="Cambria Math" panose="02040503050406030204" pitchFamily="18" charset="0"/>
              </a:endParaRPr>
            </a:p>
          </xdr:txBody>
        </xdr:sp>
      </mc:Fallback>
    </mc:AlternateContent>
    <xdr:clientData/>
  </xdr:twoCellAnchor>
  <xdr:twoCellAnchor>
    <xdr:from>
      <xdr:col>1</xdr:col>
      <xdr:colOff>77458</xdr:colOff>
      <xdr:row>1194</xdr:row>
      <xdr:rowOff>866</xdr:rowOff>
    </xdr:from>
    <xdr:to>
      <xdr:col>11</xdr:col>
      <xdr:colOff>917864</xdr:colOff>
      <xdr:row>1198</xdr:row>
      <xdr:rowOff>22286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3101BC59-1564-4A47-BEA6-74B703C674D8}"/>
                </a:ext>
              </a:extLst>
            </xdr:cNvPr>
            <xdr:cNvSpPr txBox="1"/>
          </xdr:nvSpPr>
          <xdr:spPr>
            <a:xfrm>
              <a:off x="296533" y="93068775"/>
              <a:ext cx="213763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19" name="TextBox 18">
              <a:extLst>
                <a:ext uri="{FF2B5EF4-FFF2-40B4-BE49-F238E27FC236}">
                  <a16:creationId xmlns:a16="http://schemas.microsoft.com/office/drawing/2014/main" id="{3101BC59-1564-4A47-BEA6-74B703C674D8}"/>
                </a:ext>
              </a:extLst>
            </xdr:cNvPr>
            <xdr:cNvSpPr txBox="1"/>
          </xdr:nvSpPr>
          <xdr:spPr>
            <a:xfrm>
              <a:off x="296533" y="93068775"/>
              <a:ext cx="213763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1207</xdr:row>
      <xdr:rowOff>28575</xdr:rowOff>
    </xdr:from>
    <xdr:to>
      <xdr:col>4</xdr:col>
      <xdr:colOff>3169228</xdr:colOff>
      <xdr:row>1208</xdr:row>
      <xdr:rowOff>155864</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4FE25D60-6ABE-4197-A387-A617711E2344}"/>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4FE25D60-6ABE-4197-A387-A617711E2344}"/>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1200</xdr:row>
      <xdr:rowOff>85725</xdr:rowOff>
    </xdr:from>
    <xdr:to>
      <xdr:col>13</xdr:col>
      <xdr:colOff>415636</xdr:colOff>
      <xdr:row>1204</xdr:row>
      <xdr:rowOff>107145</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C34D1A5B-4015-445C-B5BA-34F9BE1C6E57}"/>
                </a:ext>
              </a:extLst>
            </xdr:cNvPr>
            <xdr:cNvSpPr txBox="1"/>
          </xdr:nvSpPr>
          <xdr:spPr>
            <a:xfrm>
              <a:off x="2247901" y="93068775"/>
              <a:ext cx="258759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C34D1A5B-4015-445C-B5BA-34F9BE1C6E57}"/>
                </a:ext>
              </a:extLst>
            </xdr:cNvPr>
            <xdr:cNvSpPr txBox="1"/>
          </xdr:nvSpPr>
          <xdr:spPr>
            <a:xfrm>
              <a:off x="2247901" y="93068775"/>
              <a:ext cx="258759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198684</xdr:colOff>
      <xdr:row>1299</xdr:row>
      <xdr:rowOff>104775</xdr:rowOff>
    </xdr:from>
    <xdr:to>
      <xdr:col>12</xdr:col>
      <xdr:colOff>259772</xdr:colOff>
      <xdr:row>1303</xdr:row>
      <xdr:rowOff>126195</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D8356CBF-D9F1-4A83-8E1E-155779AA4B9C}"/>
                </a:ext>
              </a:extLst>
            </xdr:cNvPr>
            <xdr:cNvSpPr txBox="1"/>
          </xdr:nvSpPr>
          <xdr:spPr>
            <a:xfrm>
              <a:off x="2303709" y="96688275"/>
              <a:ext cx="2242578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𝑒𝑥𝑖𝑠𝑡</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𝑒𝑥𝑖𝑠𝑡</m:t>
                                        </m:r>
                                      </m:sub>
                                    </m:sSub>
                                  </m:den>
                                </m:f>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𝑒𝑒</m:t>
                                        </m:r>
                                      </m:sub>
                                    </m:sSub>
                                  </m:den>
                                </m:f>
                              </m:e>
                            </m:d>
                          </m:e>
                        </m:d>
                      </m:num>
                      <m:den>
                        <m:r>
                          <a:rPr lang="en-US" sz="1600" b="0" i="1">
                            <a:latin typeface="Cambria Math" panose="02040503050406030204" pitchFamily="18" charset="0"/>
                          </a:rPr>
                          <m:t>1000</m:t>
                        </m:r>
                      </m:den>
                    </m:f>
                  </m:oMath>
                </m:oMathPara>
              </a14:m>
              <a:endParaRPr lang="en-US" sz="1600" i="1">
                <a:latin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D8356CBF-D9F1-4A83-8E1E-155779AA4B9C}"/>
                </a:ext>
              </a:extLst>
            </xdr:cNvPr>
            <xdr:cNvSpPr txBox="1"/>
          </xdr:nvSpPr>
          <xdr:spPr>
            <a:xfrm>
              <a:off x="2303709" y="96688275"/>
              <a:ext cx="2242578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chemeClr val="tx1"/>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𝑒𝑥𝑖𝑠𝑡 )−1/(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+((𝐸𝐹𝐿𝐻_𝑐𝑜𝑜𝑙∗𝐶𝑎𝑝𝑎𝑐𝑖𝑡𝑦_𝑐𝑜𝑜𝑙∗(1/(𝑆𝐸𝐸𝑅_𝑒𝑥𝑖𝑠𝑡 )−1/(𝑆𝐸𝐸𝑅_𝑒𝑒 ))))/1000</a:t>
              </a:r>
              <a:endParaRPr lang="en-US" sz="1600" i="1">
                <a:latin typeface="Cambria Math" panose="02040503050406030204" pitchFamily="18" charset="0"/>
              </a:endParaRPr>
            </a:p>
          </xdr:txBody>
        </xdr:sp>
      </mc:Fallback>
    </mc:AlternateContent>
    <xdr:clientData/>
  </xdr:twoCellAnchor>
  <xdr:twoCellAnchor>
    <xdr:from>
      <xdr:col>3</xdr:col>
      <xdr:colOff>14286</xdr:colOff>
      <xdr:row>1312</xdr:row>
      <xdr:rowOff>28575</xdr:rowOff>
    </xdr:from>
    <xdr:to>
      <xdr:col>4</xdr:col>
      <xdr:colOff>128823</xdr:colOff>
      <xdr:row>1313</xdr:row>
      <xdr:rowOff>104686</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49D05959-632D-43B1-B529-EF1160AEA192}"/>
                </a:ext>
              </a:extLst>
            </xdr:cNvPr>
            <xdr:cNvSpPr txBox="1"/>
          </xdr:nvSpPr>
          <xdr:spPr>
            <a:xfrm>
              <a:off x="2119311" y="96688275"/>
              <a:ext cx="1324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3" name="TextBox 22">
              <a:extLst>
                <a:ext uri="{FF2B5EF4-FFF2-40B4-BE49-F238E27FC236}">
                  <a16:creationId xmlns:a16="http://schemas.microsoft.com/office/drawing/2014/main" id="{49D05959-632D-43B1-B529-EF1160AEA192}"/>
                </a:ext>
              </a:extLst>
            </xdr:cNvPr>
            <xdr:cNvSpPr txBox="1"/>
          </xdr:nvSpPr>
          <xdr:spPr>
            <a:xfrm>
              <a:off x="2119311" y="96688275"/>
              <a:ext cx="1324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1305</xdr:row>
      <xdr:rowOff>85725</xdr:rowOff>
    </xdr:from>
    <xdr:to>
      <xdr:col>11</xdr:col>
      <xdr:colOff>1437409</xdr:colOff>
      <xdr:row>1309</xdr:row>
      <xdr:rowOff>107145</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60005997-C8D2-4537-8E4E-68010E715C98}"/>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b="0" i="1">
                                            <a:solidFill>
                                              <a:schemeClr val="tx1"/>
                                            </a:solidFill>
                                            <a:effectLst/>
                                            <a:latin typeface="Cambria Math" panose="02040503050406030204" pitchFamily="18" charset="0"/>
                                            <a:ea typeface="+mn-ea"/>
                                            <a:cs typeface="+mn-cs"/>
                                          </a:rPr>
                                          <m:t>𝑏𝑎𝑠𝑒</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𝑏𝑎𝑠𝑒</m:t>
                                        </m:r>
                                      </m:sub>
                                    </m:sSub>
                                  </m:den>
                                </m:f>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𝑒𝑒</m:t>
                                        </m:r>
                                      </m:sub>
                                    </m:sSub>
                                  </m:den>
                                </m:f>
                              </m:e>
                            </m:d>
                          </m:e>
                        </m:d>
                      </m:num>
                      <m:den>
                        <m:r>
                          <a:rPr lang="en-US" sz="1600" b="0" i="1">
                            <a:latin typeface="Cambria Math" panose="02040503050406030204" pitchFamily="18" charset="0"/>
                          </a:rPr>
                          <m:t>1000</m:t>
                        </m:r>
                      </m:den>
                    </m:f>
                  </m:oMath>
                </m:oMathPara>
              </a14:m>
              <a:endParaRPr lang="en-US" sz="1600" i="1">
                <a:latin typeface="Cambria Math" panose="02040503050406030204" pitchFamily="18" charset="0"/>
              </a:endParaRPr>
            </a:p>
          </xdr:txBody>
        </xdr:sp>
      </mc:Choice>
      <mc:Fallback xmlns="">
        <xdr:sp macro="" textlink="">
          <xdr:nvSpPr>
            <xdr:cNvPr id="24" name="TextBox 23">
              <a:extLst>
                <a:ext uri="{FF2B5EF4-FFF2-40B4-BE49-F238E27FC236}">
                  <a16:creationId xmlns:a16="http://schemas.microsoft.com/office/drawing/2014/main" id="{60005997-C8D2-4537-8E4E-68010E715C98}"/>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chemeClr val="tx1"/>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𝐻𝑆𝑃𝐹_𝑏𝑎𝑠𝑒 )</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+((𝐸𝐹𝐿𝐻_𝑐𝑜𝑜𝑙∗𝐶𝑎𝑝𝑎𝑐𝑖𝑡𝑦_𝑐𝑜𝑜𝑙∗(1/(𝑆𝐸𝐸𝑅_𝑏𝑎𝑠𝑒 )−1/(𝑆𝐸𝐸𝑅_𝑒𝑒 ))))/1000</a:t>
              </a:r>
              <a:endParaRPr lang="en-US" sz="1600" i="1">
                <a:latin typeface="Cambria Math" panose="02040503050406030204" pitchFamily="18" charset="0"/>
              </a:endParaRPr>
            </a:p>
          </xdr:txBody>
        </xdr:sp>
      </mc:Fallback>
    </mc:AlternateContent>
    <xdr:clientData/>
  </xdr:twoCellAnchor>
  <xdr:twoCellAnchor>
    <xdr:from>
      <xdr:col>3</xdr:col>
      <xdr:colOff>198684</xdr:colOff>
      <xdr:row>1646</xdr:row>
      <xdr:rowOff>104775</xdr:rowOff>
    </xdr:from>
    <xdr:to>
      <xdr:col>15</xdr:col>
      <xdr:colOff>173182</xdr:colOff>
      <xdr:row>1650</xdr:row>
      <xdr:rowOff>126195</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2AE15A4-443B-4392-9011-8865A7DFD7AF}"/>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5" name="TextBox 24">
              <a:extLst>
                <a:ext uri="{FF2B5EF4-FFF2-40B4-BE49-F238E27FC236}">
                  <a16:creationId xmlns:a16="http://schemas.microsoft.com/office/drawing/2014/main" id="{D2AE15A4-443B-4392-9011-8865A7DFD7AF}"/>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14285</xdr:colOff>
      <xdr:row>1659</xdr:row>
      <xdr:rowOff>86591</xdr:rowOff>
    </xdr:from>
    <xdr:to>
      <xdr:col>4</xdr:col>
      <xdr:colOff>1766454</xdr:colOff>
      <xdr:row>1660</xdr:row>
      <xdr:rowOff>104686</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44A0617D-3F86-4E49-8BCE-593310FCCC36}"/>
                </a:ext>
              </a:extLst>
            </xdr:cNvPr>
            <xdr:cNvSpPr txBox="1"/>
          </xdr:nvSpPr>
          <xdr:spPr>
            <a:xfrm>
              <a:off x="2119310" y="146789775"/>
              <a:ext cx="296184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44A0617D-3F86-4E49-8BCE-593310FCCC36}"/>
                </a:ext>
              </a:extLst>
            </xdr:cNvPr>
            <xdr:cNvSpPr txBox="1"/>
          </xdr:nvSpPr>
          <xdr:spPr>
            <a:xfrm>
              <a:off x="2119310" y="146789775"/>
              <a:ext cx="296184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1652</xdr:row>
      <xdr:rowOff>85725</xdr:rowOff>
    </xdr:from>
    <xdr:to>
      <xdr:col>15</xdr:col>
      <xdr:colOff>277091</xdr:colOff>
      <xdr:row>1656</xdr:row>
      <xdr:rowOff>107145</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869ED037-139C-43C2-ACD3-3876A2FEF4C1}"/>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7" name="TextBox 26">
              <a:extLst>
                <a:ext uri="{FF2B5EF4-FFF2-40B4-BE49-F238E27FC236}">
                  <a16:creationId xmlns:a16="http://schemas.microsoft.com/office/drawing/2014/main" id="{869ED037-139C-43C2-ACD3-3876A2FEF4C1}"/>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18</xdr:col>
      <xdr:colOff>447675</xdr:colOff>
      <xdr:row>1668</xdr:row>
      <xdr:rowOff>19050</xdr:rowOff>
    </xdr:from>
    <xdr:to>
      <xdr:col>18</xdr:col>
      <xdr:colOff>676275</xdr:colOff>
      <xdr:row>1672</xdr:row>
      <xdr:rowOff>47625</xdr:rowOff>
    </xdr:to>
    <xdr:sp macro="" textlink="">
      <xdr:nvSpPr>
        <xdr:cNvPr id="28" name="Right Brace 27"/>
        <xdr:cNvSpPr/>
      </xdr:nvSpPr>
      <xdr:spPr>
        <a:xfrm>
          <a:off x="33794700" y="259975350"/>
          <a:ext cx="228600" cy="7905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18</xdr:col>
      <xdr:colOff>390525</xdr:colOff>
      <xdr:row>197</xdr:row>
      <xdr:rowOff>9525</xdr:rowOff>
    </xdr:from>
    <xdr:to>
      <xdr:col>18</xdr:col>
      <xdr:colOff>619125</xdr:colOff>
      <xdr:row>201</xdr:row>
      <xdr:rowOff>76200</xdr:rowOff>
    </xdr:to>
    <xdr:sp macro="" textlink="">
      <xdr:nvSpPr>
        <xdr:cNvPr id="32" name="Right Brace 31"/>
        <xdr:cNvSpPr/>
      </xdr:nvSpPr>
      <xdr:spPr>
        <a:xfrm>
          <a:off x="33737550" y="34280475"/>
          <a:ext cx="228600" cy="7905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editAs="oneCell">
    <xdr:from>
      <xdr:col>12</xdr:col>
      <xdr:colOff>1661278</xdr:colOff>
      <xdr:row>1140</xdr:row>
      <xdr:rowOff>134472</xdr:rowOff>
    </xdr:from>
    <xdr:to>
      <xdr:col>19</xdr:col>
      <xdr:colOff>2503189</xdr:colOff>
      <xdr:row>1291</xdr:row>
      <xdr:rowOff>118931</xdr:rowOff>
    </xdr:to>
    <xdr:pic>
      <xdr:nvPicPr>
        <xdr:cNvPr id="29" name="Picture 28"/>
        <xdr:cNvPicPr>
          <a:picLocks noChangeAspect="1"/>
        </xdr:cNvPicPr>
      </xdr:nvPicPr>
      <xdr:blipFill>
        <a:blip xmlns:r="http://schemas.openxmlformats.org/officeDocument/2006/relationships" r:embed="rId1"/>
        <a:stretch>
          <a:fillRect/>
        </a:stretch>
      </xdr:blipFill>
      <xdr:spPr>
        <a:xfrm>
          <a:off x="26134925" y="105357707"/>
          <a:ext cx="10669470" cy="640303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1CA3160D-9BDB-4575-B632-7B1C064DCE51}"/>
            </a:ext>
          </a:extLst>
        </xdr:cNvPr>
        <xdr:cNvSpPr txBox="1"/>
      </xdr:nvSpPr>
      <xdr:spPr>
        <a:xfrm>
          <a:off x="184523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644</xdr:row>
      <xdr:rowOff>0</xdr:rowOff>
    </xdr:from>
    <xdr:ext cx="65" cy="172227"/>
    <xdr:sp macro="" textlink="">
      <xdr:nvSpPr>
        <xdr:cNvPr id="3" name="TextBox 2">
          <a:extLst>
            <a:ext uri="{FF2B5EF4-FFF2-40B4-BE49-F238E27FC236}">
              <a16:creationId xmlns:a16="http://schemas.microsoft.com/office/drawing/2014/main" id="{C5BB5102-D9F1-463D-BAA9-08D2DB821553}"/>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644</xdr:row>
      <xdr:rowOff>0</xdr:rowOff>
    </xdr:from>
    <xdr:ext cx="65" cy="172227"/>
    <xdr:sp macro="" textlink="">
      <xdr:nvSpPr>
        <xdr:cNvPr id="4" name="TextBox 3">
          <a:extLst>
            <a:ext uri="{FF2B5EF4-FFF2-40B4-BE49-F238E27FC236}">
              <a16:creationId xmlns:a16="http://schemas.microsoft.com/office/drawing/2014/main" id="{02CD82D6-F56C-4BD0-B8EB-E25FF08C7C7E}"/>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1414579</xdr:colOff>
      <xdr:row>713</xdr:row>
      <xdr:rowOff>27215</xdr:rowOff>
    </xdr:from>
    <xdr:to>
      <xdr:col>7</xdr:col>
      <xdr:colOff>1205669</xdr:colOff>
      <xdr:row>716</xdr:row>
      <xdr:rowOff>122949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1B1D9994-0077-4C11-86A5-D904201EE065}"/>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5" name="TextBox 4">
              <a:extLst>
                <a:ext uri="{FF2B5EF4-FFF2-40B4-BE49-F238E27FC236}">
                  <a16:creationId xmlns:a16="http://schemas.microsoft.com/office/drawing/2014/main" id="{1B1D9994-0077-4C11-86A5-D904201EE065}"/>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7</xdr:col>
      <xdr:colOff>544286</xdr:colOff>
      <xdr:row>713</xdr:row>
      <xdr:rowOff>110783</xdr:rowOff>
    </xdr:from>
    <xdr:to>
      <xdr:col>11</xdr:col>
      <xdr:colOff>2347311</xdr:colOff>
      <xdr:row>717</xdr:row>
      <xdr:rowOff>28713</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241BA4C2-BC08-4019-800D-2DF887D0096E}"/>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241BA4C2-BC08-4019-800D-2DF887D0096E}"/>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3</xdr:col>
      <xdr:colOff>964186</xdr:colOff>
      <xdr:row>753</xdr:row>
      <xdr:rowOff>68036</xdr:rowOff>
    </xdr:from>
    <xdr:to>
      <xdr:col>7</xdr:col>
      <xdr:colOff>736226</xdr:colOff>
      <xdr:row>756</xdr:row>
      <xdr:rowOff>163770</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51943087-583B-4A67-AD80-CC76FE092EFE}"/>
                </a:ext>
              </a:extLst>
            </xdr:cNvPr>
            <xdr:cNvSpPr txBox="1"/>
          </xdr:nvSpPr>
          <xdr:spPr>
            <a:xfrm>
              <a:off x="3459736" y="33728025"/>
              <a:ext cx="1389761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ysClr val="windowText" lastClr="000000"/>
                        </a:solidFill>
                        <a:effectLst/>
                        <a:latin typeface="Book Antiqua" panose="02040602050305030304" pitchFamily="18" charset="0"/>
                        <a:ea typeface="+mn-ea"/>
                        <a:cs typeface="+mn-cs"/>
                      </a:rPr>
                      <m:t>∆</m:t>
                    </m:r>
                    <m:r>
                      <m:rPr>
                        <m:nor/>
                      </m:rPr>
                      <a:rPr lang="en-US" sz="1400" i="1">
                        <a:solidFill>
                          <a:sysClr val="windowText" lastClr="000000"/>
                        </a:solidFill>
                        <a:effectLst/>
                        <a:latin typeface="Book Antiqua" panose="02040602050305030304" pitchFamily="18" charset="0"/>
                        <a:ea typeface="+mn-ea"/>
                        <a:cs typeface="+mn-cs"/>
                      </a:rPr>
                      <m:t>kWh</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d>
                      <m:dPr>
                        <m:ctrlPr>
                          <a:rPr lang="en-US" sz="1400" i="1">
                            <a:solidFill>
                              <a:sysClr val="windowText" lastClr="000000"/>
                            </a:solidFill>
                            <a:latin typeface="Cambria Math" panose="02040503050406030204" pitchFamily="18" charset="0"/>
                          </a:rPr>
                        </m:ctrlPr>
                      </m:dPr>
                      <m:e>
                        <m:f>
                          <m:fPr>
                            <m:ctrlPr>
                              <a:rPr lang="en-US" sz="1100" i="1" baseline="0">
                                <a:solidFill>
                                  <a:sysClr val="windowText" lastClr="000000"/>
                                </a:solidFill>
                                <a:effectLst/>
                                <a:latin typeface="Cambria Math" panose="02040503050406030204" pitchFamily="18" charset="0"/>
                                <a:ea typeface="+mn-ea"/>
                                <a:cs typeface="+mn-cs"/>
                              </a:rPr>
                            </m:ctrlPr>
                          </m:fPr>
                          <m:num>
                            <m:r>
                              <m:rPr>
                                <m:nor/>
                              </m:rPr>
                              <a:rPr lang="en-US" sz="1100" b="0" i="1" baseline="0">
                                <a:solidFill>
                                  <a:sysClr val="windowText" lastClr="000000"/>
                                </a:solidFill>
                                <a:effectLst/>
                                <a:latin typeface="+mn-lt"/>
                                <a:ea typeface="+mn-ea"/>
                                <a:cs typeface="+mn-cs"/>
                              </a:rPr>
                              <m:t>%</m:t>
                            </m:r>
                            <m:r>
                              <m:rPr>
                                <m:nor/>
                              </m:rPr>
                              <a:rPr lang="en-US" sz="1100" b="0" i="1" baseline="0">
                                <a:solidFill>
                                  <a:sysClr val="windowText" lastClr="000000"/>
                                </a:solidFill>
                                <a:effectLst/>
                                <a:latin typeface="+mn-lt"/>
                                <a:ea typeface="+mn-ea"/>
                                <a:cs typeface="+mn-cs"/>
                              </a:rPr>
                              <m:t>ElectricDHW</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GPM</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base</m:t>
                            </m:r>
                            <m:r>
                              <m:rPr>
                                <m:nor/>
                              </m:rPr>
                              <a:rPr lang="en-US" sz="110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L</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base</m:t>
                            </m:r>
                            <m:r>
                              <m:rPr>
                                <m:nor/>
                              </m:rPr>
                              <a:rPr lang="en-US" sz="1100" b="0" i="1" baseline="-2500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GPM</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low</m:t>
                            </m:r>
                            <m:r>
                              <m:rPr>
                                <m:nor/>
                              </m:rPr>
                              <a:rPr lang="en-US" sz="1100" b="0" i="1" baseline="-2500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L</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low</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Household</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SPCD</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365.25 </m:t>
                            </m:r>
                          </m:num>
                          <m:den>
                            <m:r>
                              <a:rPr lang="en-US" sz="1100" b="0" i="1">
                                <a:solidFill>
                                  <a:sysClr val="windowText" lastClr="000000"/>
                                </a:solidFill>
                                <a:effectLst/>
                                <a:latin typeface="Cambria Math" panose="02040503050406030204" pitchFamily="18" charset="0"/>
                                <a:ea typeface="+mn-ea"/>
                                <a:cs typeface="+mn-cs"/>
                              </a:rPr>
                              <m:t>𝑆𝑃𝐻</m:t>
                            </m:r>
                          </m:den>
                        </m:f>
                      </m:e>
                    </m:d>
                    <m:r>
                      <a:rPr lang="en-US" sz="1400" b="0" i="1">
                        <a:solidFill>
                          <a:sysClr val="windowText" lastClr="000000"/>
                        </a:solidFill>
                        <a:latin typeface="Cambria Math" panose="02040503050406030204" pitchFamily="18" charset="0"/>
                      </a:rPr>
                      <m:t>𝑥𝐸𝑃𝐺</m:t>
                    </m:r>
                    <m:r>
                      <a:rPr lang="en-US" sz="1400" b="0" i="1">
                        <a:solidFill>
                          <a:sysClr val="windowText" lastClr="000000"/>
                        </a:solidFill>
                        <a:latin typeface="Cambria Math" panose="02040503050406030204" pitchFamily="18" charset="0"/>
                      </a:rPr>
                      <m:t>_</m:t>
                    </m:r>
                    <m:r>
                      <a:rPr lang="en-US" sz="1400" b="0" i="1" baseline="0">
                        <a:solidFill>
                          <a:sysClr val="windowText" lastClr="000000"/>
                        </a:solidFill>
                        <a:latin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rPr>
                      <m:t> </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𝑥</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51943087-583B-4A67-AD80-CC76FE092EFE}"/>
                </a:ext>
              </a:extLst>
            </xdr:cNvPr>
            <xdr:cNvSpPr txBox="1"/>
          </xdr:nvSpPr>
          <xdr:spPr>
            <a:xfrm>
              <a:off x="3459736" y="33728025"/>
              <a:ext cx="1389761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mn-ea"/>
                  <a:cs typeface="+mn-cs"/>
                </a:rPr>
                <a:t>"∆kWh "</a:t>
              </a:r>
              <a:r>
                <a:rPr lang="en-US" sz="1400" i="0">
                  <a:solidFill>
                    <a:sysClr val="windowText" lastClr="000000"/>
                  </a:solidFill>
                  <a:latin typeface="Cambria Math" panose="02040503050406030204" pitchFamily="18" charset="0"/>
                </a:rPr>
                <a:t>=(</a:t>
              </a:r>
              <a:r>
                <a:rPr lang="en-US" sz="1100" b="0" i="0" baseline="0">
                  <a:solidFill>
                    <a:sysClr val="windowText" lastClr="000000"/>
                  </a:solidFill>
                  <a:effectLst/>
                  <a:latin typeface="+mn-lt"/>
                  <a:ea typeface="+mn-ea"/>
                  <a:cs typeface="+mn-cs"/>
                </a:rPr>
                <a:t>"%ElectricDHW x ((GPM_base</a:t>
              </a:r>
              <a:r>
                <a:rPr lang="en-US" sz="1100" i="0" baseline="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x L_base</a:t>
              </a:r>
              <a:r>
                <a:rPr lang="en-US" sz="1100" b="0" i="0" baseline="-2500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GPM_low</a:t>
              </a:r>
              <a:r>
                <a:rPr lang="en-US" sz="1100" b="0" i="0" baseline="-2500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x L_low</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Household</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SPCD</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365.25 </a:t>
              </a:r>
              <a:r>
                <a:rPr lang="en-US" sz="1100" b="0" i="0" baseline="0">
                  <a:solidFill>
                    <a:sysClr val="windowText" lastClr="000000"/>
                  </a:solidFill>
                  <a:effectLst/>
                  <a:latin typeface="Cambria Math" panose="02040503050406030204" pitchFamily="18" charset="0"/>
                  <a:ea typeface="+mn-ea"/>
                  <a:cs typeface="+mn-cs"/>
                </a:rPr>
                <a:t>" /</a:t>
              </a:r>
              <a:r>
                <a:rPr lang="en-US" sz="1100" b="0" i="0">
                  <a:solidFill>
                    <a:sysClr val="windowText" lastClr="000000"/>
                  </a:solidFill>
                  <a:effectLst/>
                  <a:latin typeface="Cambria Math" panose="02040503050406030204" pitchFamily="18" charset="0"/>
                  <a:ea typeface="+mn-ea"/>
                  <a:cs typeface="+mn-cs"/>
                </a:rPr>
                <a:t>𝑆𝑃𝐻)</a:t>
              </a:r>
              <a:r>
                <a:rPr lang="en-US" sz="1400" b="0" i="0">
                  <a:solidFill>
                    <a:sysClr val="windowText" lastClr="000000"/>
                  </a:solidFill>
                  <a:latin typeface="Cambria Math" panose="02040503050406030204" pitchFamily="18" charset="0"/>
                </a:rPr>
                <a:t>𝑥𝐸𝑃𝐺_</a:t>
              </a:r>
              <a:r>
                <a:rPr lang="en-US" sz="1400" b="0" i="0" baseline="0">
                  <a:solidFill>
                    <a:sysClr val="windowText" lastClr="000000"/>
                  </a:solidFill>
                  <a:latin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rPr>
                <a:t> </a:t>
              </a:r>
              <a:r>
                <a:rPr lang="en-US" sz="11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762001</xdr:colOff>
      <xdr:row>753</xdr:row>
      <xdr:rowOff>69960</xdr:rowOff>
    </xdr:from>
    <xdr:to>
      <xdr:col>11</xdr:col>
      <xdr:colOff>741669</xdr:colOff>
      <xdr:row>756</xdr:row>
      <xdr:rowOff>178390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E4717BCF-39C7-4A9A-AC0A-CA91FC25DFF2}"/>
                </a:ext>
              </a:extLst>
            </xdr:cNvPr>
            <xdr:cNvSpPr txBox="1"/>
          </xdr:nvSpPr>
          <xdr:spPr>
            <a:xfrm>
              <a:off x="14620876" y="33728025"/>
              <a:ext cx="82854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b="0" i="1">
                        <a:solidFill>
                          <a:sysClr val="windowText" lastClr="000000"/>
                        </a:solidFill>
                        <a:effectLst/>
                        <a:latin typeface="Book Antiqua" panose="02040602050305030304" pitchFamily="18" charset="0"/>
                        <a:ea typeface="+mn-ea"/>
                        <a:cs typeface="+mn-cs"/>
                      </a:rPr>
                      <m:t>EPG</m:t>
                    </m:r>
                    <m:r>
                      <m:rPr>
                        <m:nor/>
                      </m:rPr>
                      <a:rPr lang="en-US" sz="1400" b="0" i="1">
                        <a:solidFill>
                          <a:sysClr val="windowText" lastClr="000000"/>
                        </a:solidFill>
                        <a:effectLst/>
                        <a:latin typeface="Book Antiqua" panose="02040602050305030304" pitchFamily="18" charset="0"/>
                        <a:ea typeface="+mn-ea"/>
                        <a:cs typeface="+mn-cs"/>
                      </a:rPr>
                      <m:t>_</m:t>
                    </m:r>
                    <m:r>
                      <m:rPr>
                        <m:nor/>
                      </m:rPr>
                      <a:rPr lang="en-US" sz="1400" b="0" i="1">
                        <a:solidFill>
                          <a:sysClr val="windowText" lastClr="000000"/>
                        </a:solidFill>
                        <a:effectLst/>
                        <a:latin typeface="Book Antiqua" panose="02040602050305030304" pitchFamily="18" charset="0"/>
                        <a:ea typeface="+mn-ea"/>
                        <a:cs typeface="+mn-cs"/>
                      </a:rPr>
                      <m:t>electric</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f>
                      <m:fPr>
                        <m:ctrlPr>
                          <a:rPr lang="en-US" sz="1400" i="1">
                            <a:solidFill>
                              <a:sysClr val="windowText" lastClr="000000"/>
                            </a:solidFill>
                            <a:latin typeface="Cambria Math" panose="02040503050406030204" pitchFamily="18" charset="0"/>
                          </a:rPr>
                        </m:ctrlPr>
                      </m:fPr>
                      <m:num>
                        <m:r>
                          <a:rPr lang="en-US" sz="1100" b="0" i="1">
                            <a:solidFill>
                              <a:schemeClr val="tx1"/>
                            </a:solidFill>
                            <a:effectLst/>
                            <a:latin typeface="Cambria Math" panose="02040503050406030204" pitchFamily="18" charset="0"/>
                            <a:ea typeface="+mn-ea"/>
                            <a:cs typeface="+mn-cs"/>
                          </a:rPr>
                          <m:t>8.33∗1.0∗(</m:t>
                        </m:r>
                        <m:r>
                          <a:rPr lang="en-US" sz="1100" b="0" i="1">
                            <a:solidFill>
                              <a:schemeClr val="tx1"/>
                            </a:solidFill>
                            <a:effectLst/>
                            <a:latin typeface="Cambria Math" panose="02040503050406030204" pitchFamily="18" charset="0"/>
                            <a:ea typeface="+mn-ea"/>
                            <a:cs typeface="+mn-cs"/>
                          </a:rPr>
                          <m:t>𝑆h𝑜𝑤𝑒𝑟𝑇𝑒𝑚𝑝</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𝑆𝑢𝑝𝑝𝑙𝑦𝑇𝑒𝑚𝑝</m:t>
                        </m:r>
                      </m:num>
                      <m:den>
                        <m:r>
                          <a:rPr lang="en-US" sz="1100" b="0" i="1">
                            <a:solidFill>
                              <a:schemeClr val="tx1"/>
                            </a:solidFill>
                            <a:effectLst/>
                            <a:latin typeface="Cambria Math" panose="02040503050406030204" pitchFamily="18" charset="0"/>
                            <a:ea typeface="+mn-ea"/>
                            <a:cs typeface="+mn-cs"/>
                          </a:rPr>
                          <m:t>𝑅𝐸</m:t>
                        </m:r>
                        <m:r>
                          <a:rPr lang="en-US" sz="1100" b="0" i="1">
                            <a:solidFill>
                              <a:schemeClr val="tx1"/>
                            </a:solidFill>
                            <a:effectLst/>
                            <a:latin typeface="Cambria Math" panose="02040503050406030204" pitchFamily="18" charset="0"/>
                            <a:ea typeface="+mn-ea"/>
                            <a:cs typeface="+mn-cs"/>
                          </a:rPr>
                          <m:t>_</m:t>
                        </m:r>
                        <m:r>
                          <a:rPr lang="en-US" sz="1100" b="0" i="1">
                            <a:solidFill>
                              <a:schemeClr val="tx1"/>
                            </a:solidFill>
                            <a:effectLst/>
                            <a:latin typeface="Cambria Math" panose="02040503050406030204" pitchFamily="18" charset="0"/>
                            <a:ea typeface="+mn-ea"/>
                            <a:cs typeface="+mn-cs"/>
                          </a:rPr>
                          <m:t>𝑒𝑙𝑒𝑐𝑡𝑟𝑖𝑐</m:t>
                        </m:r>
                        <m:r>
                          <a:rPr lang="en-US" sz="11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E4717BCF-39C7-4A9A-AC0A-CA91FC25DFF2}"/>
                </a:ext>
              </a:extLst>
            </xdr:cNvPr>
            <xdr:cNvSpPr txBox="1"/>
          </xdr:nvSpPr>
          <xdr:spPr>
            <a:xfrm>
              <a:off x="14620876" y="33728025"/>
              <a:ext cx="82854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mn-ea"/>
                  <a:cs typeface="+mn-cs"/>
                </a:rPr>
                <a:t>"EPG_electric</a:t>
              </a:r>
              <a:r>
                <a:rPr lang="en-US" sz="1400" i="0">
                  <a:solidFill>
                    <a:sysClr val="windowText" lastClr="000000"/>
                  </a:solidFill>
                  <a:effectLst/>
                  <a:latin typeface="Cambria Math" panose="02040503050406030204" pitchFamily="18" charset="0"/>
                  <a:ea typeface="+mn-ea"/>
                  <a:cs typeface="+mn-cs"/>
                </a:rPr>
                <a:t> "</a:t>
              </a:r>
              <a:r>
                <a:rPr lang="en-US" sz="1400" i="0">
                  <a:solidFill>
                    <a:sysClr val="windowText" lastClr="000000"/>
                  </a:solidFill>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ysClr val="windowText" lastClr="000000"/>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𝑅𝐸_𝑒𝑙𝑒𝑐𝑡𝑟𝑖𝑐∗3412</a:t>
              </a:r>
              <a:r>
                <a:rPr lang="en-US" sz="14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1156293</xdr:colOff>
      <xdr:row>910</xdr:row>
      <xdr:rowOff>19793</xdr:rowOff>
    </xdr:from>
    <xdr:to>
      <xdr:col>7</xdr:col>
      <xdr:colOff>947383</xdr:colOff>
      <xdr:row>913</xdr:row>
      <xdr:rowOff>115527</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4CF029DB-09AE-4E4A-8379-97FE868DBA83}"/>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S</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showerdevice</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4CF029DB-09AE-4E4A-8379-97FE868DBA83}"/>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((GPM_base_S</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L_showerdevice</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997033</xdr:colOff>
      <xdr:row>910</xdr:row>
      <xdr:rowOff>82332</xdr:rowOff>
    </xdr:from>
    <xdr:to>
      <xdr:col>12</xdr:col>
      <xdr:colOff>0</xdr:colOff>
      <xdr:row>914</xdr:row>
      <xdr:rowOff>262</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C207C2EE-4E1A-4C50-855D-B74980899337}"/>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C207C2EE-4E1A-4C50-855D-B74980899337}"/>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1405059</xdr:colOff>
      <xdr:row>969</xdr:row>
      <xdr:rowOff>84367</xdr:rowOff>
    </xdr:from>
    <xdr:to>
      <xdr:col>6</xdr:col>
      <xdr:colOff>1213757</xdr:colOff>
      <xdr:row>973</xdr:row>
      <xdr:rowOff>116943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5284C9A-23CF-4B53-88D3-190F178E7DA2}"/>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r>
                      <a:rPr lang="en-US" sz="1800" b="0" i="1">
                        <a:solidFill>
                          <a:sysClr val="windowText" lastClr="000000"/>
                        </a:solidFill>
                        <a:latin typeface="Cambria Math" panose="02040503050406030204" pitchFamily="18" charset="0"/>
                        <a:ea typeface="Cambria Math" panose="02040503050406030204" pitchFamily="18" charset="0"/>
                      </a:rPr>
                      <m:t>%</m:t>
                    </m:r>
                    <m:r>
                      <a:rPr lang="en-US" sz="18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800" b="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num>
                          <m:den>
                            <m:r>
                              <a:rPr lang="en-US" sz="1400" b="0" i="1">
                                <a:solidFill>
                                  <a:sysClr val="windowText" lastClr="000000"/>
                                </a:solidFill>
                                <a:effectLst/>
                                <a:latin typeface="Cambria Math" panose="02040503050406030204" pitchFamily="18" charset="0"/>
                                <a:ea typeface="+mn-ea"/>
                                <a:cs typeface="+mn-cs"/>
                              </a:rPr>
                              <m:t>𝐺𝑃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𝑀</m:t>
                                </m:r>
                              </m:e>
                              <m:sub>
                                <m:r>
                                  <a:rPr lang="en-US" sz="1400" b="0" i="1">
                                    <a:solidFill>
                                      <a:sysClr val="windowText" lastClr="000000"/>
                                    </a:solidFill>
                                    <a:effectLst/>
                                    <a:latin typeface="Cambria Math" panose="02040503050406030204" pitchFamily="18" charset="0"/>
                                    <a:ea typeface="+mn-ea"/>
                                    <a:cs typeface="+mn-cs"/>
                                  </a:rPr>
                                  <m:t>𝑏𝑎𝑠𝑒</m:t>
                                </m:r>
                              </m:sub>
                            </m:sSub>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𝑈𝑠𝑎𝑔𝑒</m:t>
                    </m:r>
                    <m:r>
                      <a:rPr lang="en-US" sz="1800" b="0" i="1">
                        <a:solidFill>
                          <a:sysClr val="windowText" lastClr="000000"/>
                        </a:solidFill>
                        <a:latin typeface="Cambria Math" panose="02040503050406030204" pitchFamily="18" charset="0"/>
                      </a:rPr>
                      <m:t> ∗</m:t>
                    </m:r>
                    <m:r>
                      <a:rPr lang="en-US" sz="1800" b="0" i="1">
                        <a:solidFill>
                          <a:sysClr val="windowText" lastClr="000000"/>
                        </a:solidFill>
                        <a:latin typeface="Cambria Math" panose="02040503050406030204" pitchFamily="18" charset="0"/>
                      </a:rPr>
                      <m:t>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a:solidFill>
                              <a:sysClr val="windowText" lastClr="000000"/>
                            </a:solidFill>
                            <a:latin typeface="Cambria Math" panose="02040503050406030204" pitchFamily="18" charset="0"/>
                          </a:rPr>
                          <m:t>𝑒𝑙𝑒𝑐𝑡𝑟𝑖𝑐</m:t>
                        </m:r>
                      </m:sub>
                    </m:sSub>
                    <m:r>
                      <a:rPr lang="en-US" sz="1800" b="0" i="1">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1" name="TextBox 10">
              <a:extLst>
                <a:ext uri="{FF2B5EF4-FFF2-40B4-BE49-F238E27FC236}">
                  <a16:creationId xmlns:a16="http://schemas.microsoft.com/office/drawing/2014/main" id="{15284C9A-23CF-4B53-88D3-190F178E7DA2}"/>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800" b="0" i="0">
                  <a:solidFill>
                    <a:sysClr val="windowText" lastClr="000000"/>
                  </a:solidFill>
                  <a:latin typeface="Cambria Math" panose="02040503050406030204" pitchFamily="18" charset="0"/>
                  <a:ea typeface="Cambria Math" panose="02040503050406030204" pitchFamily="18" charset="0"/>
                </a:rPr>
                <a:t>%𝐸𝑙𝑒𝑐𝑡𝑟𝑖𝑐𝐷𝐻𝑊∗</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 GPM_low</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𝐺𝑃𝑀_𝑏𝑎𝑠𝑒 </a:t>
              </a:r>
              <a:r>
                <a:rPr lang="en-US" sz="1400" b="0" i="0" baseline="0">
                  <a:solidFill>
                    <a:sysClr val="windowText" lastClr="000000"/>
                  </a:solidFill>
                  <a:effectLst/>
                  <a:latin typeface="Cambria Math" panose="02040503050406030204" pitchFamily="18" charset="0"/>
                  <a:ea typeface="+mn-ea"/>
                  <a:cs typeface="+mn-cs"/>
                </a:rPr>
                <a:t>))</a:t>
              </a:r>
              <a:r>
                <a:rPr lang="en-US" sz="1800" b="0" i="0">
                  <a:solidFill>
                    <a:sysClr val="windowText" lastClr="000000"/>
                  </a:solidFill>
                  <a:latin typeface="Cambria Math" panose="02040503050406030204" pitchFamily="18" charset="0"/>
                </a:rPr>
                <a:t>∗𝑈𝑠𝑎𝑔𝑒 ∗𝐸𝑃𝐺_𝑒𝑙𝑒𝑐𝑡𝑟𝑖𝑐  ∗</a:t>
              </a:r>
              <a:r>
                <a:rPr lang="en-US" sz="1400" b="0" i="0">
                  <a:solidFill>
                    <a:sysClr val="windowText" lastClr="000000"/>
                  </a:solidFill>
                  <a:effectLst/>
                  <a:latin typeface="Cambria Math" panose="02040503050406030204" pitchFamily="18" charset="0"/>
                  <a:ea typeface="+mn-ea"/>
                  <a:cs typeface="+mn-cs"/>
                </a:rPr>
                <a:t>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1224643</xdr:colOff>
      <xdr:row>969</xdr:row>
      <xdr:rowOff>176892</xdr:rowOff>
    </xdr:from>
    <xdr:to>
      <xdr:col>11</xdr:col>
      <xdr:colOff>1013811</xdr:colOff>
      <xdr:row>973</xdr:row>
      <xdr:rowOff>94822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C125002D-56F9-4A0F-95DC-27B4327F8B3A}"/>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C125002D-56F9-4A0F-95DC-27B4327F8B3A}"/>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301518</xdr:colOff>
      <xdr:row>1001</xdr:row>
      <xdr:rowOff>95251</xdr:rowOff>
    </xdr:from>
    <xdr:to>
      <xdr:col>7</xdr:col>
      <xdr:colOff>1106261</xdr:colOff>
      <xdr:row>1002</xdr:row>
      <xdr:rowOff>147894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797068" y="47177325"/>
              <a:ext cx="149303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𝑁𝑆𝑃𝐷</m:t>
                        </m:r>
                        <m:r>
                          <a:rPr lang="en-US" sz="1600" b="0" i="1">
                            <a:solidFill>
                              <a:sysClr val="windowText" lastClr="000000"/>
                            </a:solidFill>
                            <a:latin typeface="Cambria Math" panose="02040503050406030204" pitchFamily="18" charset="0"/>
                            <a:ea typeface="Cambria Math" panose="02040503050406030204" pitchFamily="18" charset="0"/>
                          </a:rPr>
                          <m:t>∗365.25</m:t>
                        </m:r>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baseline="0">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baseline="0">
                        <a:solidFill>
                          <a:sysClr val="windowText" lastClr="000000"/>
                        </a:solidFill>
                        <a:latin typeface="Cambria Math" panose="02040503050406030204" pitchFamily="18" charset="0"/>
                        <a:ea typeface="Cambria Math" panose="02040503050406030204" pitchFamily="18" charset="0"/>
                      </a:rPr>
                      <m:t>∗</m:t>
                    </m:r>
                    <m:r>
                      <a:rPr lang="en-US" sz="1600" b="0" i="1" baseline="0">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3" name="TextBox 12">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797068" y="47177325"/>
              <a:ext cx="149303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%𝐸𝑙𝑒𝑐𝑡𝑟𝑖𝑐𝐷𝐻𝑊∗((𝐺𝑃𝑀_𝑏𝑎𝑠𝑒∗𝐿_𝑏𝑎𝑠𝑒−𝐺𝑃𝑀_𝑙𝑜𝑤∗𝐿_𝑙𝑜𝑤 )∗𝑁𝑆𝑃𝐷∗365.25)∗𝐸𝑃𝐺_</a:t>
              </a:r>
              <a:r>
                <a:rPr lang="en-US" sz="1600" b="0" i="0" baseline="0">
                  <a:solidFill>
                    <a:sysClr val="windowText" lastClr="000000"/>
                  </a:solidFill>
                  <a:latin typeface="Cambria Math" panose="02040503050406030204" pitchFamily="18" charset="0"/>
                  <a:ea typeface="Cambria Math" panose="02040503050406030204" pitchFamily="18" charset="0"/>
                </a:rPr>
                <a:t>𝑒𝑙𝑒𝑐𝑡𝑟𝑖𝑐∗𝐼𝑆𝑅</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2337955</xdr:colOff>
      <xdr:row>1000</xdr:row>
      <xdr:rowOff>151603</xdr:rowOff>
    </xdr:from>
    <xdr:to>
      <xdr:col>11</xdr:col>
      <xdr:colOff>1000205</xdr:colOff>
      <xdr:row>1004</xdr:row>
      <xdr:rowOff>119546</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49B062CD-B962-437A-88B5-AE4A79C60D3C}"/>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chemeClr val="tx1"/>
                            </a:solidFill>
                            <a:effectLst/>
                            <a:latin typeface="Cambria Math" panose="02040503050406030204" pitchFamily="18" charset="0"/>
                            <a:ea typeface="+mn-ea"/>
                            <a:cs typeface="+mn-cs"/>
                          </a:rPr>
                          <m:t>8.33∗1.0∗(</m:t>
                        </m:r>
                        <m:r>
                          <a:rPr lang="en-US" sz="1200" b="0" i="1">
                            <a:solidFill>
                              <a:schemeClr val="tx1"/>
                            </a:solidFill>
                            <a:effectLst/>
                            <a:latin typeface="Cambria Math" panose="02040503050406030204" pitchFamily="18" charset="0"/>
                            <a:ea typeface="+mn-ea"/>
                            <a:cs typeface="+mn-cs"/>
                          </a:rPr>
                          <m:t>𝑆h𝑜𝑤𝑒𝑟𝑇𝑒𝑚𝑝</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𝑆𝑢𝑝𝑝𝑙𝑦𝑇𝑒𝑚𝑝</m:t>
                        </m:r>
                      </m:num>
                      <m:den>
                        <m:r>
                          <a:rPr lang="en-US" sz="1200" b="0" i="1">
                            <a:solidFill>
                              <a:schemeClr val="tx1"/>
                            </a:solidFill>
                            <a:effectLst/>
                            <a:latin typeface="Cambria Math" panose="02040503050406030204" pitchFamily="18" charset="0"/>
                            <a:ea typeface="+mn-ea"/>
                            <a:cs typeface="+mn-cs"/>
                          </a:rPr>
                          <m:t>𝑅𝐸</m:t>
                        </m:r>
                        <m:r>
                          <a:rPr lang="en-US" sz="1200" b="0" i="1">
                            <a:solidFill>
                              <a:schemeClr val="tx1"/>
                            </a:solidFill>
                            <a:effectLst/>
                            <a:latin typeface="Cambria Math" panose="02040503050406030204" pitchFamily="18" charset="0"/>
                            <a:ea typeface="+mn-ea"/>
                            <a:cs typeface="+mn-cs"/>
                          </a:rPr>
                          <m:t>_</m:t>
                        </m:r>
                        <m:r>
                          <a:rPr lang="en-US" sz="1200" b="0" i="1">
                            <a:solidFill>
                              <a:schemeClr val="tx1"/>
                            </a:solidFill>
                            <a:effectLst/>
                            <a:latin typeface="Cambria Math" panose="02040503050406030204" pitchFamily="18" charset="0"/>
                            <a:ea typeface="+mn-ea"/>
                            <a:cs typeface="+mn-cs"/>
                          </a:rPr>
                          <m:t>𝑒𝑙𝑒𝑐𝑡𝑟𝑖𝑐</m:t>
                        </m:r>
                        <m:r>
                          <a:rPr lang="en-US" sz="12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14" name="TextBox 13">
              <a:extLst>
                <a:ext uri="{FF2B5EF4-FFF2-40B4-BE49-F238E27FC236}">
                  <a16:creationId xmlns:a16="http://schemas.microsoft.com/office/drawing/2014/main" id="{49B062CD-B962-437A-88B5-AE4A79C60D3C}"/>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1CA3160D-9BDB-4575-B632-7B1C064DCE51}"/>
            </a:ext>
          </a:extLst>
        </xdr:cNvPr>
        <xdr:cNvSpPr txBox="1"/>
      </xdr:nvSpPr>
      <xdr:spPr>
        <a:xfrm>
          <a:off x="1845750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644</xdr:row>
      <xdr:rowOff>0</xdr:rowOff>
    </xdr:from>
    <xdr:ext cx="65" cy="172227"/>
    <xdr:sp macro="" textlink="">
      <xdr:nvSpPr>
        <xdr:cNvPr id="16" name="TextBox 15">
          <a:extLst>
            <a:ext uri="{FF2B5EF4-FFF2-40B4-BE49-F238E27FC236}">
              <a16:creationId xmlns:a16="http://schemas.microsoft.com/office/drawing/2014/main" id="{C5BB5102-D9F1-463D-BAA9-08D2DB821553}"/>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644</xdr:row>
      <xdr:rowOff>0</xdr:rowOff>
    </xdr:from>
    <xdr:ext cx="65" cy="172227"/>
    <xdr:sp macro="" textlink="">
      <xdr:nvSpPr>
        <xdr:cNvPr id="17" name="TextBox 16">
          <a:extLst>
            <a:ext uri="{FF2B5EF4-FFF2-40B4-BE49-F238E27FC236}">
              <a16:creationId xmlns:a16="http://schemas.microsoft.com/office/drawing/2014/main" id="{02CD82D6-F56C-4BD0-B8EB-E25FF08C7C7E}"/>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1751997</xdr:colOff>
      <xdr:row>551</xdr:row>
      <xdr:rowOff>160263</xdr:rowOff>
    </xdr:from>
    <xdr:to>
      <xdr:col>8</xdr:col>
      <xdr:colOff>1791476</xdr:colOff>
      <xdr:row>553</xdr:row>
      <xdr:rowOff>79282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A23063F1-0162-4DDF-AC70-C645B2AD9C13}"/>
                </a:ext>
              </a:extLst>
            </xdr:cNvPr>
            <xdr:cNvSpPr txBox="1"/>
          </xdr:nvSpPr>
          <xdr:spPr>
            <a:xfrm>
              <a:off x="15610872" y="20669250"/>
              <a:ext cx="45924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𝐻𝑒𝑎𝑡𝑖𝑛𝑔𝐺𝑎𝑠</m:t>
                        </m:r>
                      </m:sub>
                    </m:sSub>
                    <m:r>
                      <a:rPr lang="en-US" sz="1800" b="0" i="1">
                        <a:latin typeface="Cambria Math" panose="02040503050406030204" pitchFamily="18" charset="0"/>
                        <a:ea typeface="Cambria Math" panose="02040503050406030204" pitchFamily="18" charset="0"/>
                      </a:rPr>
                      <m:t>=</m:t>
                    </m:r>
                    <m:r>
                      <m:rPr>
                        <m:sty m:val="p"/>
                      </m:rPr>
                      <a:rPr lang="el-GR" sz="1800" b="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𝐹𝑒</m:t>
                    </m:r>
                    <m:r>
                      <a:rPr lang="en-US" sz="1800" b="0" i="1">
                        <a:latin typeface="Cambria Math" panose="02040503050406030204" pitchFamily="18" charset="0"/>
                        <a:ea typeface="Cambria Math" panose="02040503050406030204" pitchFamily="18" charset="0"/>
                      </a:rPr>
                      <m:t>∗29.3</m:t>
                    </m:r>
                  </m:oMath>
                </m:oMathPara>
              </a14:m>
              <a:endParaRPr lang="en-US" sz="1800"/>
            </a:p>
          </xdr:txBody>
        </xdr:sp>
      </mc:Choice>
      <mc:Fallback xmlns="">
        <xdr:sp macro="" textlink="">
          <xdr:nvSpPr>
            <xdr:cNvPr id="18" name="TextBox 17">
              <a:extLst>
                <a:ext uri="{FF2B5EF4-FFF2-40B4-BE49-F238E27FC236}">
                  <a16:creationId xmlns:a16="http://schemas.microsoft.com/office/drawing/2014/main" id="{A23063F1-0162-4DDF-AC70-C645B2AD9C13}"/>
                </a:ext>
              </a:extLst>
            </xdr:cNvPr>
            <xdr:cNvSpPr txBox="1"/>
          </xdr:nvSpPr>
          <xdr:spPr>
            <a:xfrm>
              <a:off x="15610872" y="20669250"/>
              <a:ext cx="45924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𝑘𝑊ℎ_𝐻𝑒𝑎𝑡𝑖𝑛𝑔𝐺𝑎𝑠=</a:t>
              </a:r>
              <a:r>
                <a:rPr lang="el-GR" sz="1800" b="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𝑇ℎ𝑒𝑟𝑚𝑠∗𝐹𝑒∗29.3</a:t>
              </a:r>
              <a:endParaRPr lang="en-US" sz="1800"/>
            </a:p>
          </xdr:txBody>
        </xdr:sp>
      </mc:Fallback>
    </mc:AlternateContent>
    <xdr:clientData/>
  </xdr:twoCellAnchor>
  <xdr:twoCellAnchor>
    <xdr:from>
      <xdr:col>6</xdr:col>
      <xdr:colOff>1688195</xdr:colOff>
      <xdr:row>553</xdr:row>
      <xdr:rowOff>146958</xdr:rowOff>
    </xdr:from>
    <xdr:to>
      <xdr:col>9</xdr:col>
      <xdr:colOff>268941</xdr:colOff>
      <xdr:row>555</xdr:row>
      <xdr:rowOff>65977</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CCAFA92A-F51F-4C3A-B167-AA6327B1426B}"/>
                </a:ext>
              </a:extLst>
            </xdr:cNvPr>
            <xdr:cNvSpPr txBox="1"/>
          </xdr:nvSpPr>
          <xdr:spPr>
            <a:xfrm>
              <a:off x="15547070" y="20669250"/>
              <a:ext cx="49243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19" name="TextBox 18">
              <a:extLst>
                <a:ext uri="{FF2B5EF4-FFF2-40B4-BE49-F238E27FC236}">
                  <a16:creationId xmlns:a16="http://schemas.microsoft.com/office/drawing/2014/main" id="{CCAFA92A-F51F-4C3A-B167-AA6327B1426B}"/>
                </a:ext>
              </a:extLst>
            </xdr:cNvPr>
            <xdr:cNvSpPr txBox="1"/>
          </xdr:nvSpPr>
          <xdr:spPr>
            <a:xfrm>
              <a:off x="15547070" y="20669250"/>
              <a:ext cx="49243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𝑇ℎ𝑒𝑟𝑚𝑠=𝐻𝑒𝑎𝑡 𝑆𝑎𝑣𝑖𝑛𝑔𝑠 𝑝𝑒𝑟 𝑈𝑛𝑖𝑡∗𝐷𝑢𝑐𝑡_𝑙𝑒𝑛𝑔𝑡ℎ</a:t>
              </a:r>
              <a:endParaRPr lang="en-US" sz="1800"/>
            </a:p>
          </xdr:txBody>
        </xdr:sp>
      </mc:Fallback>
    </mc:AlternateContent>
    <xdr:clientData/>
  </xdr:twoCellAnchor>
  <xdr:twoCellAnchor>
    <xdr:from>
      <xdr:col>3</xdr:col>
      <xdr:colOff>1390046</xdr:colOff>
      <xdr:row>551</xdr:row>
      <xdr:rowOff>186721</xdr:rowOff>
    </xdr:from>
    <xdr:to>
      <xdr:col>5</xdr:col>
      <xdr:colOff>1057740</xdr:colOff>
      <xdr:row>553</xdr:row>
      <xdr:rowOff>105740</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4A5E17EA-B011-47E3-8054-7CE648A4BF4F}"/>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800" b="0" i="1">
                        <a:latin typeface="Cambria Math" panose="02040503050406030204" pitchFamily="18" charset="0"/>
                        <a:ea typeface="Cambria Math" panose="02040503050406030204" pitchFamily="18" charset="0"/>
                      </a:rPr>
                      <m:t> </m:t>
                    </m:r>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𝐻𝑒𝑎𝑡𝑖𝑛𝑔𝐸𝑙𝑒𝑐𝑡𝑟𝑖𝑐</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0" name="TextBox 19">
              <a:extLst>
                <a:ext uri="{FF2B5EF4-FFF2-40B4-BE49-F238E27FC236}">
                  <a16:creationId xmlns:a16="http://schemas.microsoft.com/office/drawing/2014/main" id="{4A5E17EA-B011-47E3-8054-7CE648A4BF4F}"/>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 </a:t>
              </a: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𝑘𝑊ℎ_𝐻𝑒𝑎𝑡𝑖𝑛𝑔𝐸𝑙𝑒𝑐𝑡𝑟𝑖𝑐=𝐻𝑒𝑎𝑡 𝑆𝑎𝑣𝑖𝑛𝑔𝑠 𝑝𝑒𝑟 𝑈𝑛𝑖𝑡∗𝐷𝑢𝑐𝑡_𝑙𝑒𝑛𝑔𝑡ℎ</a:t>
              </a:r>
              <a:endParaRPr lang="en-US" sz="1800"/>
            </a:p>
          </xdr:txBody>
        </xdr:sp>
      </mc:Fallback>
    </mc:AlternateContent>
    <xdr:clientData/>
  </xdr:twoCellAnchor>
  <xdr:twoCellAnchor>
    <xdr:from>
      <xdr:col>4</xdr:col>
      <xdr:colOff>68037</xdr:colOff>
      <xdr:row>549</xdr:row>
      <xdr:rowOff>44148</xdr:rowOff>
    </xdr:from>
    <xdr:to>
      <xdr:col>5</xdr:col>
      <xdr:colOff>365083</xdr:colOff>
      <xdr:row>550</xdr:row>
      <xdr:rowOff>153667</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B01FC2F8-6D85-4E80-BCE7-0347E2558DE5}"/>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𝐶𝑜𝑜𝑙𝑖𝑛𝑔</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𝐶𝑜𝑜𝑙</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1" name="TextBox 20">
              <a:extLst>
                <a:ext uri="{FF2B5EF4-FFF2-40B4-BE49-F238E27FC236}">
                  <a16:creationId xmlns:a16="http://schemas.microsoft.com/office/drawing/2014/main" id="{B01FC2F8-6D85-4E80-BCE7-0347E2558DE5}"/>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𝑘𝑊ℎ_𝐶𝑜𝑜𝑙𝑖𝑛𝑔=𝐶𝑜𝑜𝑙 𝑆𝑎𝑣𝑖𝑛𝑔𝑠 𝑝𝑒𝑟 𝑈𝑛𝑖𝑡∗𝐷𝑢𝑐𝑡_𝑙𝑒𝑛𝑔𝑡ℎ</a:t>
              </a:r>
              <a:endParaRPr lang="en-US" sz="1800"/>
            </a:p>
          </xdr:txBody>
        </xdr:sp>
      </mc:Fallback>
    </mc:AlternateContent>
    <xdr:clientData/>
  </xdr:twoCellAnchor>
  <xdr:twoCellAnchor>
    <xdr:from>
      <xdr:col>4</xdr:col>
      <xdr:colOff>130933</xdr:colOff>
      <xdr:row>546</xdr:row>
      <xdr:rowOff>176893</xdr:rowOff>
    </xdr:from>
    <xdr:to>
      <xdr:col>4</xdr:col>
      <xdr:colOff>3214854</xdr:colOff>
      <xdr:row>548</xdr:row>
      <xdr:rowOff>88089</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r>
                      <m:rPr>
                        <m:sty m:val="p"/>
                      </m:rPr>
                      <a:rPr lang="el-GR" sz="1400" b="0" i="1">
                        <a:solidFill>
                          <a:schemeClr val="tx1"/>
                        </a:solidFill>
                        <a:effectLst/>
                        <a:latin typeface="Cambria Math" panose="02040503050406030204" pitchFamily="18" charset="0"/>
                        <a:ea typeface="+mn-ea"/>
                        <a:cs typeface="+mn-cs"/>
                      </a:rPr>
                      <m:t>Δ</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𝐶𝑜𝑜𝑙𝑖𝑛𝑔</m:t>
                        </m:r>
                      </m:sub>
                    </m:sSub>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𝐻𝑒𝑎𝑡𝑖𝑛𝑔</m:t>
                        </m:r>
                      </m:sub>
                    </m:sSub>
                  </m:oMath>
                </m:oMathPara>
              </a14:m>
              <a:endParaRPr lang="en-US" sz="1800"/>
            </a:p>
          </xdr:txBody>
        </xdr:sp>
      </mc:Choice>
      <mc:Fallback xmlns="">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a:t>
              </a:r>
              <a:r>
                <a:rPr lang="el-GR" sz="1400" b="0" i="0">
                  <a:solidFill>
                    <a:schemeClr val="tx1"/>
                  </a:solidFill>
                  <a:effectLst/>
                  <a:latin typeface="Cambria Math" panose="02040503050406030204" pitchFamily="18" charset="0"/>
                  <a:ea typeface="+mn-ea"/>
                  <a:cs typeface="+mn-cs"/>
                </a:rPr>
                <a:t>Δ</a:t>
              </a:r>
              <a:r>
                <a:rPr lang="en-US" sz="1400" b="0" i="0">
                  <a:solidFill>
                    <a:schemeClr val="tx1"/>
                  </a:solidFill>
                  <a:effectLst/>
                  <a:latin typeface="Cambria Math" panose="02040503050406030204" pitchFamily="18" charset="0"/>
                  <a:ea typeface="+mn-ea"/>
                  <a:cs typeface="+mn-cs"/>
                </a:rPr>
                <a:t>𝑘𝑊ℎ_𝐶𝑜𝑜𝑙𝑖𝑛𝑔+𝑘𝑊ℎ_𝐻𝑒𝑎𝑡𝑖𝑛𝑔</a:t>
              </a:r>
              <a:endParaRPr lang="en-US" sz="1800"/>
            </a:p>
          </xdr:txBody>
        </xdr:sp>
      </mc:Fallback>
    </mc:AlternateContent>
    <xdr:clientData/>
  </xdr:twoCellAnchor>
  <xdr:twoCellAnchor>
    <xdr:from>
      <xdr:col>4</xdr:col>
      <xdr:colOff>96097</xdr:colOff>
      <xdr:row>591</xdr:row>
      <xdr:rowOff>95250</xdr:rowOff>
    </xdr:from>
    <xdr:to>
      <xdr:col>6</xdr:col>
      <xdr:colOff>133257</xdr:colOff>
      <xdr:row>593</xdr:row>
      <xdr:rowOff>203102</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BFD7E6C-98D1-4F41-8555-B2D108EDD8A2}"/>
                </a:ext>
              </a:extLst>
            </xdr:cNvPr>
            <xdr:cNvSpPr txBox="1"/>
          </xdr:nvSpPr>
          <xdr:spPr>
            <a:xfrm>
              <a:off x="4191847" y="24098250"/>
              <a:ext cx="98002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CBFD7E6C-98D1-4F41-8555-B2D108EDD8A2}"/>
                </a:ext>
              </a:extLst>
            </xdr:cNvPr>
            <xdr:cNvSpPr txBox="1"/>
          </xdr:nvSpPr>
          <xdr:spPr>
            <a:xfrm>
              <a:off x="4191847" y="24098250"/>
              <a:ext cx="98002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𝑘𝑊ℎ_𝐻𝑒𝑎𝑡𝑖𝑛𝑔𝑀𝑜𝑑𝑒=(1−% 𝑤𝑖𝑡ℎ 𝑛𝑒𝑤 𝐴𝑆𝐻𝑃)∗(400 𝑘𝑊ℎ/𝑦𝑟∗(𝐸𝐹𝐿𝐻_𝐻𝑒𝑎𝑡𝑖𝑛𝑔)/(𝑊𝐼 𝐸𝐹𝐿𝐻_𝐻𝑒𝑎𝑡𝑖𝑛𝑔 ))∗𝐻𝐹</a:t>
              </a:r>
              <a:endParaRPr lang="en-US" sz="1400"/>
            </a:p>
          </xdr:txBody>
        </xdr:sp>
      </mc:Fallback>
    </mc:AlternateContent>
    <xdr:clientData/>
  </xdr:twoCellAnchor>
  <xdr:twoCellAnchor>
    <xdr:from>
      <xdr:col>4</xdr:col>
      <xdr:colOff>25159</xdr:colOff>
      <xdr:row>594</xdr:row>
      <xdr:rowOff>164736</xdr:rowOff>
    </xdr:from>
    <xdr:to>
      <xdr:col>6</xdr:col>
      <xdr:colOff>750456</xdr:colOff>
      <xdr:row>596</xdr:row>
      <xdr:rowOff>68480</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5820CF24-943F-4001-BA16-FD3BAB9399C8}"/>
                </a:ext>
              </a:extLst>
            </xdr:cNvPr>
            <xdr:cNvSpPr txBox="1"/>
          </xdr:nvSpPr>
          <xdr:spPr>
            <a:xfrm>
              <a:off x="4120909" y="24098250"/>
              <a:ext cx="1048842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5820CF24-943F-4001-BA16-FD3BAB9399C8}"/>
                </a:ext>
              </a:extLst>
            </xdr:cNvPr>
            <xdr:cNvSpPr txBox="1"/>
          </xdr:nvSpPr>
          <xdr:spPr>
            <a:xfrm>
              <a:off x="4120909" y="24098250"/>
              <a:ext cx="1048842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𝑘𝑊ℎ_𝐶𝑜𝑜𝑙𝑖𝑛𝑔𝑀𝑜𝑑𝑒=(1−% 𝑤𝑖𝑡ℎ 𝑁𝑒𝑤 𝐶𝑒𝑛𝑡𝑟𝑎𝑙 𝐶𝑜𝑜𝑙𝑖𝑛𝑔)∗(70 𝑘𝑊ℎ/𝑦𝑟∗(𝐸𝐹𝐿𝐻_𝑐𝑜𝑜𝑙𝑖𝑛𝑔)/(𝑊𝐼 𝐸𝐹𝐿𝐻_𝑐𝑜𝑜𝑙𝑖𝑛𝑔 ))∗𝐻𝐹</a:t>
              </a:r>
              <a:endParaRPr lang="en-US" sz="1400"/>
            </a:p>
          </xdr:txBody>
        </xdr:sp>
      </mc:Fallback>
    </mc:AlternateContent>
    <xdr:clientData/>
  </xdr:twoCellAnchor>
  <xdr:twoCellAnchor>
    <xdr:from>
      <xdr:col>11</xdr:col>
      <xdr:colOff>707572</xdr:colOff>
      <xdr:row>592</xdr:row>
      <xdr:rowOff>15419</xdr:rowOff>
    </xdr:from>
    <xdr:to>
      <xdr:col>19</xdr:col>
      <xdr:colOff>152588</xdr:colOff>
      <xdr:row>594</xdr:row>
      <xdr:rowOff>150417</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1734B644-45C4-4E6C-B74B-3F49979A2A8F}"/>
                </a:ext>
              </a:extLst>
            </xdr:cNvPr>
            <xdr:cNvSpPr txBox="1"/>
          </xdr:nvSpPr>
          <xdr:spPr>
            <a:xfrm>
              <a:off x="22872247" y="24098250"/>
              <a:ext cx="7160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5" name="TextBox 24">
              <a:extLst>
                <a:ext uri="{FF2B5EF4-FFF2-40B4-BE49-F238E27FC236}">
                  <a16:creationId xmlns:a16="http://schemas.microsoft.com/office/drawing/2014/main" id="{1734B644-45C4-4E6C-B74B-3F49979A2A8F}"/>
                </a:ext>
              </a:extLst>
            </xdr:cNvPr>
            <xdr:cNvSpPr txBox="1"/>
          </xdr:nvSpPr>
          <xdr:spPr>
            <a:xfrm>
              <a:off x="22872247" y="24098250"/>
              <a:ext cx="7160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𝑘𝑊ℎ_𝐴𝑢𝑡𝑜𝐶𝑖𝑟𝑐𝑢𝑙𝑎𝑡𝑖𝑜𝑛=((25 𝑘𝑊ℎ/𝑦𝑟∗(𝐸𝐹𝐿𝐻_𝑐𝑜𝑜𝑙𝑖𝑛𝑔)/(𝑊𝐼 𝐸𝐹𝐿𝐻_𝑐𝑜𝑜𝑙𝑖𝑛𝑔 ))+2960 𝑘𝑊ℎ/𝑦𝑒𝑎𝑟∗</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400" b="0" i="0">
                  <a:latin typeface="Cambria Math" panose="02040503050406030204" pitchFamily="18" charset="0"/>
                  <a:ea typeface="Cambria Math" panose="02040503050406030204" pitchFamily="18" charset="0"/>
                </a:rPr>
                <a:t>−30 𝑘𝑊ℎ/𝑦𝑒𝑎𝑟)∗𝐻𝐹</a:t>
              </a:r>
              <a:endParaRPr lang="en-US" sz="1400"/>
            </a:p>
          </xdr:txBody>
        </xdr:sp>
      </mc:Fallback>
    </mc:AlternateContent>
    <xdr:clientData/>
  </xdr:twoCellAnchor>
  <xdr:twoCellAnchor>
    <xdr:from>
      <xdr:col>6</xdr:col>
      <xdr:colOff>1123164</xdr:colOff>
      <xdr:row>591</xdr:row>
      <xdr:rowOff>98817</xdr:rowOff>
    </xdr:from>
    <xdr:to>
      <xdr:col>10</xdr:col>
      <xdr:colOff>323462</xdr:colOff>
      <xdr:row>594</xdr:row>
      <xdr:rowOff>43315</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92ED0FC2-13DD-46A4-8E93-D28A55EE137B}"/>
                </a:ext>
              </a:extLst>
            </xdr:cNvPr>
            <xdr:cNvSpPr txBox="1"/>
          </xdr:nvSpPr>
          <xdr:spPr>
            <a:xfrm>
              <a:off x="14982039" y="24098250"/>
              <a:ext cx="6686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100" b="0" i="1">
                            <a:solidFill>
                              <a:sysClr val="windowText" lastClr="000000"/>
                            </a:solidFill>
                            <a:effectLst/>
                            <a:latin typeface="Cambria Math" panose="02040503050406030204" pitchFamily="18" charset="0"/>
                            <a:ea typeface="+mn-ea"/>
                            <a:cs typeface="+mn-cs"/>
                          </a:rPr>
                          <m:t>∗</m:t>
                        </m:r>
                        <m:r>
                          <a:rPr lang="en-US" sz="1100" b="0" i="1" baseline="0">
                            <a:solidFill>
                              <a:sysClr val="windowText" lastClr="000000"/>
                            </a:solidFill>
                            <a:effectLst/>
                            <a:latin typeface="Cambria Math" panose="02040503050406030204" pitchFamily="18" charset="0"/>
                            <a:ea typeface="+mn-ea"/>
                            <a:cs typeface="+mn-cs"/>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92ED0FC2-13DD-46A4-8E93-D28A55EE137B}"/>
                </a:ext>
              </a:extLst>
            </xdr:cNvPr>
            <xdr:cNvSpPr txBox="1"/>
          </xdr:nvSpPr>
          <xdr:spPr>
            <a:xfrm>
              <a:off x="14982039" y="24098250"/>
              <a:ext cx="6686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𝑘𝑊ℎ_𝐶𝑜𝑛𝑡𝑖𝑛𝑢𝑜𝑢𝑠𝐶𝑖𝑟𝑐𝑢𝑙𝑎𝑡𝑖𝑜𝑛=((25 𝑘𝑊ℎ/𝑦𝑟∗(𝐸𝐹𝐿𝐻_𝑐𝑜𝑜𝑙𝑖𝑛𝑔)/(𝑊𝐼 𝐸𝐹𝐿𝐻_𝑐𝑜𝑜𝑙𝑖𝑛𝑔 ))+2960 𝑘𝑊ℎ/𝑦𝑒𝑎𝑟</a:t>
              </a:r>
              <a:r>
                <a:rPr lang="en-US" sz="1100" b="0" i="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𝑅𝑇</a:t>
              </a:r>
              <a:r>
                <a:rPr lang="en-US" sz="1400" b="0" i="0">
                  <a:latin typeface="Cambria Math" panose="02040503050406030204" pitchFamily="18" charset="0"/>
                  <a:ea typeface="Cambria Math" panose="02040503050406030204" pitchFamily="18" charset="0"/>
                </a:rPr>
                <a:t>−30 𝑘𝑊ℎ/𝑦𝑒𝑎𝑟)∗𝐻𝐹</a:t>
              </a:r>
              <a:endParaRPr lang="en-US" sz="1400"/>
            </a:p>
          </xdr:txBody>
        </xdr:sp>
      </mc:Fallback>
    </mc:AlternateContent>
    <xdr:clientData/>
  </xdr:twoCellAnchor>
  <xdr:twoCellAnchor>
    <xdr:from>
      <xdr:col>6</xdr:col>
      <xdr:colOff>1210945</xdr:colOff>
      <xdr:row>594</xdr:row>
      <xdr:rowOff>299597</xdr:rowOff>
    </xdr:from>
    <xdr:to>
      <xdr:col>9</xdr:col>
      <xdr:colOff>1102178</xdr:colOff>
      <xdr:row>596</xdr:row>
      <xdr:rowOff>62461</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4AEE3F38-B14F-437A-9894-B3F632E5BE9D}"/>
                </a:ext>
              </a:extLst>
            </xdr:cNvPr>
            <xdr:cNvSpPr txBox="1"/>
          </xdr:nvSpPr>
          <xdr:spPr>
            <a:xfrm>
              <a:off x="15069820" y="24098250"/>
              <a:ext cx="623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∗0.03412</m:t>
                            </m:r>
                          </m:num>
                          <m:den>
                            <m:r>
                              <a:rPr lang="en-US" sz="1400" b="0" i="1">
                                <a:latin typeface="Cambria Math" panose="02040503050406030204" pitchFamily="18" charset="0"/>
                                <a:ea typeface="Cambria Math" panose="02040503050406030204" pitchFamily="18" charset="0"/>
                              </a:rPr>
                              <m:t>𝐴𝐹𝑈𝐸</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7" name="TextBox 26">
              <a:extLst>
                <a:ext uri="{FF2B5EF4-FFF2-40B4-BE49-F238E27FC236}">
                  <a16:creationId xmlns:a16="http://schemas.microsoft.com/office/drawing/2014/main" id="{4AEE3F38-B14F-437A-9894-B3F632E5BE9D}"/>
                </a:ext>
              </a:extLst>
            </xdr:cNvPr>
            <xdr:cNvSpPr txBox="1"/>
          </xdr:nvSpPr>
          <xdr:spPr>
            <a:xfrm>
              <a:off x="15069820" y="24098250"/>
              <a:ext cx="623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𝑇ℎ𝑒𝑟𝑚𝑠=((−𝐻𝑒𝑎𝑡𝑖𝑛𝑔 𝑆𝑎𝑣𝑖𝑛𝑔𝑠∗0.03412)/𝐴𝐹𝑈𝐸)∗𝐻𝐹</a:t>
              </a:r>
              <a:endParaRPr lang="en-US" sz="1400"/>
            </a:p>
          </xdr:txBody>
        </xdr:sp>
      </mc:Fallback>
    </mc:AlternateContent>
    <xdr:clientData/>
  </xdr:twoCellAnchor>
  <xdr:twoCellAnchor>
    <xdr:from>
      <xdr:col>4</xdr:col>
      <xdr:colOff>145747</xdr:colOff>
      <xdr:row>596</xdr:row>
      <xdr:rowOff>54065</xdr:rowOff>
    </xdr:from>
    <xdr:to>
      <xdr:col>4</xdr:col>
      <xdr:colOff>2171110</xdr:colOff>
      <xdr:row>597</xdr:row>
      <xdr:rowOff>96834</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258535</xdr:colOff>
      <xdr:row>18</xdr:row>
      <xdr:rowOff>68036</xdr:rowOff>
    </xdr:from>
    <xdr:to>
      <xdr:col>7</xdr:col>
      <xdr:colOff>872974</xdr:colOff>
      <xdr:row>21</xdr:row>
      <xdr:rowOff>181980</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44E6FDD0-CF5C-4AE2-B33B-D63F9ED2EFB1}"/>
                </a:ext>
              </a:extLst>
            </xdr:cNvPr>
            <xdr:cNvSpPr txBox="1"/>
          </xdr:nvSpPr>
          <xdr:spPr>
            <a:xfrm>
              <a:off x="4354285" y="3714750"/>
              <a:ext cx="131398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𝑘𝑊h𝐶𝑒𝑛𝑡𝑟𝑎𝑙</m:t>
                    </m:r>
                    <m:r>
                      <a:rPr lang="en-US" sz="1400" i="1" baseline="-25000">
                        <a:solidFill>
                          <a:schemeClr val="tx1"/>
                        </a:solidFill>
                        <a:effectLst/>
                        <a:latin typeface="Cambria Math" panose="02040503050406030204" pitchFamily="18" charset="0"/>
                        <a:ea typeface="+mn-ea"/>
                        <a:cs typeface="+mn-cs"/>
                      </a:rPr>
                      <m:t> </m:t>
                    </m:r>
                    <m:r>
                      <a:rPr lang="en-US" sz="1400" i="1" baseline="-25000">
                        <a:solidFill>
                          <a:schemeClr val="tx1"/>
                        </a:solidFill>
                        <a:effectLst/>
                        <a:latin typeface="Cambria Math" panose="02040503050406030204" pitchFamily="18" charset="0"/>
                        <a:ea typeface="+mn-ea"/>
                        <a:cs typeface="+mn-cs"/>
                      </a:rPr>
                      <m:t>𝐴𝐶</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𝐸𝐹𝐿𝐻𝑐𝑜𝑜𝑙</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𝐶𝑎𝑝𝑎𝑐𝑖𝑡𝑦𝑐𝑜𝑜𝑙</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400">
                <a:solidFill>
                  <a:schemeClr val="tx1"/>
                </a:solidFill>
                <a:effectLst/>
                <a:latin typeface="+mn-lt"/>
                <a:ea typeface="+mn-ea"/>
                <a:cs typeface="+mn-cs"/>
              </a:endParaRPr>
            </a:p>
          </xdr:txBody>
        </xdr:sp>
      </mc:Choice>
      <mc:Fallback xmlns="">
        <xdr:sp macro="" textlink="">
          <xdr:nvSpPr>
            <xdr:cNvPr id="29" name="TextBox 28">
              <a:extLst>
                <a:ext uri="{FF2B5EF4-FFF2-40B4-BE49-F238E27FC236}">
                  <a16:creationId xmlns:a16="http://schemas.microsoft.com/office/drawing/2014/main" id="{44E6FDD0-CF5C-4AE2-B33B-D63F9ED2EFB1}"/>
                </a:ext>
              </a:extLst>
            </xdr:cNvPr>
            <xdr:cNvSpPr txBox="1"/>
          </xdr:nvSpPr>
          <xdr:spPr>
            <a:xfrm>
              <a:off x="4354285" y="3714750"/>
              <a:ext cx="131398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Δ𝑘𝑊ℎ𝐶𝑒𝑛𝑡𝑟𝑎𝑙</a:t>
              </a:r>
              <a:r>
                <a:rPr lang="en-US" sz="1400" i="0" baseline="-25000">
                  <a:solidFill>
                    <a:schemeClr val="tx1"/>
                  </a:solidFill>
                  <a:effectLst/>
                  <a:latin typeface="Cambria Math" panose="02040503050406030204" pitchFamily="18" charset="0"/>
                  <a:ea typeface="+mn-ea"/>
                  <a:cs typeface="+mn-cs"/>
                </a:rPr>
                <a:t> 𝐴𝐶</a:t>
              </a:r>
              <a:r>
                <a:rPr lang="en-US" sz="1400" i="0">
                  <a:solidFill>
                    <a:schemeClr val="tx1"/>
                  </a:solidFill>
                  <a:effectLst/>
                  <a:latin typeface="Cambria Math" panose="02040503050406030204" pitchFamily="18" charset="0"/>
                  <a:ea typeface="+mn-ea"/>
                  <a:cs typeface="+mn-cs"/>
                </a:rPr>
                <a:t> =((𝐸𝐹𝐿𝐻𝑐𝑜𝑜𝑙 ∗ 𝐶𝑎𝑝𝑎𝑐𝑖𝑡𝑦𝑐𝑜𝑜𝑙 ∗ (1/(𝑆𝐸𝐸𝑅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𝐼𝑛 )</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a:t>
              </a:r>
              <a:endParaRPr lang="en-US" sz="1400">
                <a:solidFill>
                  <a:schemeClr val="tx1"/>
                </a:solidFill>
                <a:effectLst/>
                <a:latin typeface="+mn-lt"/>
                <a:ea typeface="+mn-ea"/>
                <a:cs typeface="+mn-cs"/>
              </a:endParaRPr>
            </a:p>
          </xdr:txBody>
        </xdr:sp>
      </mc:Fallback>
    </mc:AlternateContent>
    <xdr:clientData/>
  </xdr:two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1CA3160D-9BDB-4575-B632-7B1C064DCE51}"/>
            </a:ext>
          </a:extLst>
        </xdr:cNvPr>
        <xdr:cNvSpPr txBox="1"/>
      </xdr:nvSpPr>
      <xdr:spPr>
        <a:xfrm>
          <a:off x="18452306" y="1047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25400</xdr:colOff>
      <xdr:row>61</xdr:row>
      <xdr:rowOff>0</xdr:rowOff>
    </xdr:from>
    <xdr:to>
      <xdr:col>4</xdr:col>
      <xdr:colOff>2876886</xdr:colOff>
      <xdr:row>62</xdr:row>
      <xdr:rowOff>42769</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82577D3-F719-405A-BFBA-CF62BABA4166}"/>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1" name="TextBox 30">
              <a:extLst>
                <a:ext uri="{FF2B5EF4-FFF2-40B4-BE49-F238E27FC236}">
                  <a16:creationId xmlns:a16="http://schemas.microsoft.com/office/drawing/2014/main" id="{082577D3-F719-405A-BFBA-CF62BABA4166}"/>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𝑘𝑊ℎ_ℎ𝑒𝑎𝑡𝑖𝑛𝑔=𝐷𝑒𝑓𝑎𝑢𝑙𝑡_ℎ𝑒𝑎𝑡∗𝑆𝑞.𝑓𝑡.</a:t>
              </a:r>
              <a:endParaRPr lang="en-US" sz="1400"/>
            </a:p>
          </xdr:txBody>
        </xdr:sp>
      </mc:Fallback>
    </mc:AlternateContent>
    <xdr:clientData/>
  </xdr:twoCellAnchor>
  <xdr:twoCellAnchor>
    <xdr:from>
      <xdr:col>4</xdr:col>
      <xdr:colOff>13607</xdr:colOff>
      <xdr:row>63</xdr:row>
      <xdr:rowOff>179918</xdr:rowOff>
    </xdr:from>
    <xdr:to>
      <xdr:col>4</xdr:col>
      <xdr:colOff>2830788</xdr:colOff>
      <xdr:row>64</xdr:row>
      <xdr:rowOff>222687</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DF60F2AF-0129-457B-896C-C69B292B7881}"/>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DF60F2AF-0129-457B-896C-C69B292B7881}"/>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𝑘𝑊ℎ_𝑐𝑜𝑜𝑙𝑖𝑛𝑔=𝐷𝑒𝑓𝑎𝑢𝑙𝑡_𝑐𝑜𝑜𝑙∗𝑆𝑞.𝑓𝑡.</a:t>
              </a:r>
              <a:endParaRPr lang="en-US" sz="1400"/>
            </a:p>
          </xdr:txBody>
        </xdr:sp>
      </mc:Fallback>
    </mc:AlternateContent>
    <xdr:clientData/>
  </xdr:twoCellAnchor>
  <xdr:twoCellAnchor>
    <xdr:from>
      <xdr:col>4</xdr:col>
      <xdr:colOff>4523174</xdr:colOff>
      <xdr:row>61</xdr:row>
      <xdr:rowOff>12700</xdr:rowOff>
    </xdr:from>
    <xdr:to>
      <xdr:col>6</xdr:col>
      <xdr:colOff>139573</xdr:colOff>
      <xdr:row>62</xdr:row>
      <xdr:rowOff>55469</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𝑘𝑊∗𝐶𝐹</a:t>
              </a:r>
              <a:endParaRPr lang="en-US" sz="1400"/>
            </a:p>
          </xdr:txBody>
        </xdr:sp>
      </mc:Fallback>
    </mc:AlternateContent>
    <xdr:clientData/>
  </xdr:twoCellAnchor>
  <xdr:twoCellAnchor>
    <xdr:from>
      <xdr:col>4</xdr:col>
      <xdr:colOff>4449999</xdr:colOff>
      <xdr:row>64</xdr:row>
      <xdr:rowOff>58058</xdr:rowOff>
    </xdr:from>
    <xdr:to>
      <xdr:col>6</xdr:col>
      <xdr:colOff>328584</xdr:colOff>
      <xdr:row>64</xdr:row>
      <xdr:rowOff>277221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7087E119-EFF1-4B9B-8531-5270DE87F757}"/>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4" name="TextBox 33">
              <a:extLst>
                <a:ext uri="{FF2B5EF4-FFF2-40B4-BE49-F238E27FC236}">
                  <a16:creationId xmlns:a16="http://schemas.microsoft.com/office/drawing/2014/main" id="{7087E119-EFF1-4B9B-8531-5270DE87F757}"/>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𝑇ℎ𝑒𝑟𝑚𝑠=𝐷𝑒𝑓𝑎𝑢𝑙𝑡∗𝑆𝑞.𝑓𝑡.</a:t>
              </a:r>
              <a:endParaRPr lang="en-US" sz="1400"/>
            </a:p>
          </xdr:txBody>
        </xdr:sp>
      </mc:Fallback>
    </mc:AlternateContent>
    <xdr:clientData/>
  </xdr:twoCellAnchor>
  <xdr:twoCellAnchor>
    <xdr:from>
      <xdr:col>3</xdr:col>
      <xdr:colOff>1258657</xdr:colOff>
      <xdr:row>146</xdr:row>
      <xdr:rowOff>120576</xdr:rowOff>
    </xdr:from>
    <xdr:to>
      <xdr:col>13</xdr:col>
      <xdr:colOff>536862</xdr:colOff>
      <xdr:row>149</xdr:row>
      <xdr:rowOff>190499</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547490B7-02C5-4392-805C-E59DACAF5837}"/>
                </a:ext>
              </a:extLst>
            </xdr:cNvPr>
            <xdr:cNvSpPr txBox="1"/>
          </xdr:nvSpPr>
          <xdr:spPr>
            <a:xfrm>
              <a:off x="3754207" y="13620750"/>
              <a:ext cx="216905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35" name="TextBox 34">
              <a:extLst>
                <a:ext uri="{FF2B5EF4-FFF2-40B4-BE49-F238E27FC236}">
                  <a16:creationId xmlns:a16="http://schemas.microsoft.com/office/drawing/2014/main" id="{547490B7-02C5-4392-805C-E59DACAF5837}"/>
                </a:ext>
              </a:extLst>
            </xdr:cNvPr>
            <xdr:cNvSpPr txBox="1"/>
          </xdr:nvSpPr>
          <xdr:spPr>
            <a:xfrm>
              <a:off x="3754207" y="13620750"/>
              <a:ext cx="216905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4</xdr:col>
      <xdr:colOff>165526</xdr:colOff>
      <xdr:row>149</xdr:row>
      <xdr:rowOff>270355</xdr:rowOff>
    </xdr:from>
    <xdr:to>
      <xdr:col>8</xdr:col>
      <xdr:colOff>484909</xdr:colOff>
      <xdr:row>152</xdr:row>
      <xdr:rowOff>186617</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E5D7385-CB98-4417-93BC-24D19BE6A98B}"/>
                </a:ext>
              </a:extLst>
            </xdr:cNvPr>
            <xdr:cNvSpPr txBox="1"/>
          </xdr:nvSpPr>
          <xdr:spPr>
            <a:xfrm>
              <a:off x="4261276" y="13620750"/>
              <a:ext cx="146735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100"/>
            </a:p>
          </xdr:txBody>
        </xdr:sp>
      </mc:Choice>
      <mc:Fallback xmlns="">
        <xdr:sp macro="" textlink="">
          <xdr:nvSpPr>
            <xdr:cNvPr id="36" name="TextBox 35">
              <a:extLst>
                <a:ext uri="{FF2B5EF4-FFF2-40B4-BE49-F238E27FC236}">
                  <a16:creationId xmlns:a16="http://schemas.microsoft.com/office/drawing/2014/main" id="{0E5D7385-CB98-4417-93BC-24D19BE6A98B}"/>
                </a:ext>
              </a:extLst>
            </xdr:cNvPr>
            <xdr:cNvSpPr txBox="1"/>
          </xdr:nvSpPr>
          <xdr:spPr>
            <a:xfrm>
              <a:off x="4261276" y="13620750"/>
              <a:ext cx="146735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100"/>
            </a:p>
          </xdr:txBody>
        </xdr:sp>
      </mc:Fallback>
    </mc:AlternateContent>
    <xdr:clientData/>
  </xdr:twoCellAnchor>
  <xdr:twoCellAnchor>
    <xdr:from>
      <xdr:col>7</xdr:col>
      <xdr:colOff>1017511</xdr:colOff>
      <xdr:row>149</xdr:row>
      <xdr:rowOff>123264</xdr:rowOff>
    </xdr:from>
    <xdr:to>
      <xdr:col>15</xdr:col>
      <xdr:colOff>269961</xdr:colOff>
      <xdr:row>152</xdr:row>
      <xdr:rowOff>111768</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77F60998-4486-4E32-BD1D-FCCBE0BF8A23}"/>
                </a:ext>
              </a:extLst>
            </xdr:cNvPr>
            <xdr:cNvSpPr txBox="1"/>
          </xdr:nvSpPr>
          <xdr:spPr>
            <a:xfrm>
              <a:off x="17638636" y="13620750"/>
              <a:ext cx="91870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100"/>
            </a:p>
          </xdr:txBody>
        </xdr:sp>
      </mc:Choice>
      <mc:Fallback xmlns="">
        <xdr:sp macro="" textlink="">
          <xdr:nvSpPr>
            <xdr:cNvPr id="37" name="TextBox 36">
              <a:extLst>
                <a:ext uri="{FF2B5EF4-FFF2-40B4-BE49-F238E27FC236}">
                  <a16:creationId xmlns:a16="http://schemas.microsoft.com/office/drawing/2014/main" id="{77F60998-4486-4E32-BD1D-FCCBE0BF8A23}"/>
                </a:ext>
              </a:extLst>
            </xdr:cNvPr>
            <xdr:cNvSpPr txBox="1"/>
          </xdr:nvSpPr>
          <xdr:spPr>
            <a:xfrm>
              <a:off x="17638636" y="13620750"/>
              <a:ext cx="91870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100"/>
            </a:p>
          </xdr:txBody>
        </xdr:sp>
      </mc:Fallback>
    </mc:AlternateContent>
    <xdr:clientData/>
  </xdr:twoCellAnchor>
  <xdr:twoCellAnchor>
    <xdr:from>
      <xdr:col>4</xdr:col>
      <xdr:colOff>108057</xdr:colOff>
      <xdr:row>442</xdr:row>
      <xdr:rowOff>104853</xdr:rowOff>
    </xdr:from>
    <xdr:to>
      <xdr:col>7</xdr:col>
      <xdr:colOff>616323</xdr:colOff>
      <xdr:row>446</xdr:row>
      <xdr:rowOff>33617</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F83117C1-5F05-4292-9BAB-747F45CAD1F7}"/>
                </a:ext>
              </a:extLst>
            </xdr:cNvPr>
            <xdr:cNvSpPr txBox="1"/>
          </xdr:nvSpPr>
          <xdr:spPr>
            <a:xfrm>
              <a:off x="4203807" y="15335250"/>
              <a:ext cx="130336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𝑂𝑙𝑑</m:t>
                                        </m:r>
                                        <m:r>
                                          <a:rPr lang="en-US" sz="1400" b="0" i="1">
                                            <a:latin typeface="Cambria Math" panose="02040503050406030204" pitchFamily="18" charset="0"/>
                                            <a:ea typeface="Cambria Math" panose="02040503050406030204" pitchFamily="18" charset="0"/>
                                          </a:rPr>
                                          <m:t> </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𝐹𝑙𝑜𝑜𝑟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𝐹𝑙𝑜𝑜𝑟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𝑓𝑙𝑜𝑜𝑟</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38" name="TextBox 37">
              <a:extLst>
                <a:ext uri="{FF2B5EF4-FFF2-40B4-BE49-F238E27FC236}">
                  <a16:creationId xmlns:a16="http://schemas.microsoft.com/office/drawing/2014/main" id="{F83117C1-5F05-4292-9BAB-747F45CAD1F7}"/>
                </a:ext>
              </a:extLst>
            </xdr:cNvPr>
            <xdr:cNvSpPr txBox="1"/>
          </xdr:nvSpPr>
          <xdr:spPr>
            <a:xfrm>
              <a:off x="4203807" y="15335250"/>
              <a:ext cx="130336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𝑘𝑊ℎ_𝐻𝑒𝑎𝑡𝑖𝑛𝑔𝐸𝑙𝑒𝑐𝑡𝑟𝑖𝑐=(((1/𝑅_𝑜𝑙𝑑 −1/(𝑅_(𝑂𝑙𝑑 )+𝑅_𝑎𝑑𝑑𝑒𝑑 ))∗𝐴_𝐹𝑙𝑜𝑜𝑟∗(1−𝐹𝑟𝑎𝑚𝑖𝑛𝑔𝐹𝑎𝑐𝑡𝑜𝑟_𝐹𝑙𝑜𝑜𝑟 )∗𝐻𝐷𝐷∗24∗𝐴𝑑𝑗_𝑓𝑙𝑜𝑜𝑟 ))/(𝜂ℎ𝑒𝑎𝑡∗3412)</a:t>
              </a:r>
              <a:endParaRPr lang="en-US" sz="1400"/>
            </a:p>
          </xdr:txBody>
        </xdr:sp>
      </mc:Fallback>
    </mc:AlternateContent>
    <xdr:clientData/>
  </xdr:twoCellAnchor>
  <xdr:twoCellAnchor>
    <xdr:from>
      <xdr:col>7</xdr:col>
      <xdr:colOff>919380</xdr:colOff>
      <xdr:row>442</xdr:row>
      <xdr:rowOff>146307</xdr:rowOff>
    </xdr:from>
    <xdr:to>
      <xdr:col>13</xdr:col>
      <xdr:colOff>762000</xdr:colOff>
      <xdr:row>446</xdr:row>
      <xdr:rowOff>56029</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3</xdr:col>
      <xdr:colOff>1515824</xdr:colOff>
      <xdr:row>446</xdr:row>
      <xdr:rowOff>51482</xdr:rowOff>
    </xdr:from>
    <xdr:to>
      <xdr:col>4</xdr:col>
      <xdr:colOff>2739839</xdr:colOff>
      <xdr:row>447</xdr:row>
      <xdr:rowOff>172891</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4019538" y="87586232"/>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4019538" y="87586232"/>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258536</xdr:colOff>
      <xdr:row>477</xdr:row>
      <xdr:rowOff>54427</xdr:rowOff>
    </xdr:from>
    <xdr:to>
      <xdr:col>6</xdr:col>
      <xdr:colOff>560294</xdr:colOff>
      <xdr:row>478</xdr:row>
      <xdr:rowOff>179293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83CE42E3-5057-4C17-8BD9-C7710A83223E}"/>
                </a:ext>
              </a:extLst>
            </xdr:cNvPr>
            <xdr:cNvSpPr txBox="1"/>
          </xdr:nvSpPr>
          <xdr:spPr>
            <a:xfrm>
              <a:off x="4354286" y="16859250"/>
              <a:ext cx="1006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83CE42E3-5057-4C17-8BD9-C7710A83223E}"/>
                </a:ext>
              </a:extLst>
            </xdr:cNvPr>
            <xdr:cNvSpPr txBox="1"/>
          </xdr:nvSpPr>
          <xdr:spPr>
            <a:xfrm>
              <a:off x="4354286" y="16859250"/>
              <a:ext cx="1006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6</xdr:col>
      <xdr:colOff>452691</xdr:colOff>
      <xdr:row>477</xdr:row>
      <xdr:rowOff>49876</xdr:rowOff>
    </xdr:from>
    <xdr:to>
      <xdr:col>8</xdr:col>
      <xdr:colOff>2745441</xdr:colOff>
      <xdr:row>479</xdr:row>
      <xdr:rowOff>67234</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431A35A2-3B4E-4B98-88B7-CBF980C0DDD7}"/>
                </a:ext>
              </a:extLst>
            </xdr:cNvPr>
            <xdr:cNvSpPr txBox="1"/>
          </xdr:nvSpPr>
          <xdr:spPr>
            <a:xfrm>
              <a:off x="14311566" y="16859250"/>
              <a:ext cx="58932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431A35A2-3B4E-4B98-88B7-CBF980C0DDD7}"/>
                </a:ext>
              </a:extLst>
            </xdr:cNvPr>
            <xdr:cNvSpPr txBox="1"/>
          </xdr:nvSpPr>
          <xdr:spPr>
            <a:xfrm>
              <a:off x="14311566" y="16859250"/>
              <a:ext cx="58932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601052</xdr:colOff>
      <xdr:row>479</xdr:row>
      <xdr:rowOff>143431</xdr:rowOff>
    </xdr:from>
    <xdr:to>
      <xdr:col>4</xdr:col>
      <xdr:colOff>3216088</xdr:colOff>
      <xdr:row>481</xdr:row>
      <xdr:rowOff>67234</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F6A00302-79FD-40AD-ABE8-278EF4890BE1}"/>
                </a:ext>
              </a:extLst>
            </xdr:cNvPr>
            <xdr:cNvSpPr txBox="1"/>
          </xdr:nvSpPr>
          <xdr:spPr>
            <a:xfrm>
              <a:off x="4696802" y="16859250"/>
              <a:ext cx="26150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3" name="TextBox 42">
              <a:extLst>
                <a:ext uri="{FF2B5EF4-FFF2-40B4-BE49-F238E27FC236}">
                  <a16:creationId xmlns:a16="http://schemas.microsoft.com/office/drawing/2014/main" id="{F6A00302-79FD-40AD-ABE8-278EF4890BE1}"/>
                </a:ext>
              </a:extLst>
            </xdr:cNvPr>
            <xdr:cNvSpPr txBox="1"/>
          </xdr:nvSpPr>
          <xdr:spPr>
            <a:xfrm>
              <a:off x="4696802" y="16859250"/>
              <a:ext cx="26150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8</xdr:col>
      <xdr:colOff>1626410</xdr:colOff>
      <xdr:row>509</xdr:row>
      <xdr:rowOff>134471</xdr:rowOff>
    </xdr:from>
    <xdr:to>
      <xdr:col>12</xdr:col>
      <xdr:colOff>0</xdr:colOff>
      <xdr:row>514</xdr:row>
      <xdr:rowOff>123265</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0</xdr:colOff>
      <xdr:row>506</xdr:row>
      <xdr:rowOff>100853</xdr:rowOff>
    </xdr:from>
    <xdr:to>
      <xdr:col>5</xdr:col>
      <xdr:colOff>1367118</xdr:colOff>
      <xdr:row>510</xdr:row>
      <xdr:rowOff>82247</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𝑐𝑜𝑜𝑙𝑖𝑛𝑔</m:t>
                                </m:r>
                              </m:sub>
                            </m:sSub>
                          </m:e>
                        </m:d>
                      </m:num>
                      <m:den>
                        <m:r>
                          <a:rPr lang="en-US" sz="1400" b="0" i="1">
                            <a:latin typeface="Cambria Math" panose="02040503050406030204" pitchFamily="18" charset="0"/>
                            <a:ea typeface="Cambria Math" panose="02040503050406030204" pitchFamily="18" charset="0"/>
                          </a:rPr>
                          <m:t>1000∗</m:t>
                        </m:r>
                        <m:r>
                          <a:rPr lang="en-US" sz="1400" b="0" i="1">
                            <a:latin typeface="Cambria Math" panose="02040503050406030204" pitchFamily="18" charset="0"/>
                            <a:ea typeface="Cambria Math" panose="02040503050406030204" pitchFamily="18" charset="0"/>
                          </a:rPr>
                          <m:t>𝑆𝐸𝐸𝑅</m:t>
                        </m:r>
                      </m:den>
                    </m:f>
                  </m:oMath>
                </m:oMathPara>
              </a14:m>
              <a:endParaRPr lang="en-US" sz="1400"/>
            </a:p>
          </xdr:txBody>
        </xdr:sp>
      </mc:Choice>
      <mc:Fallback xmlns="">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𝑘𝑊ℎ_𝑐𝑜𝑜𝑙𝑖𝑛𝑔=(((1/𝑅_𝑒𝑥𝑖𝑠𝑡𝑖𝑛𝑔 −1/𝑅_(𝑛𝑒𝑤 ) )∗𝐴𝑟𝑒𝑎∗𝐸𝐹𝐿𝐻_𝑐𝑜𝑜𝑙∗</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𝑇_(𝐴𝑉𝐺,𝑐𝑜𝑜𝑙𝑖𝑛𝑔) ))/(1000∗𝑆𝐸𝐸𝑅)</a:t>
              </a:r>
              <a:endParaRPr lang="en-US" sz="1400"/>
            </a:p>
          </xdr:txBody>
        </xdr:sp>
      </mc:Fallback>
    </mc:AlternateContent>
    <xdr:clientData/>
  </xdr:twoCellAnchor>
  <xdr:twoCellAnchor>
    <xdr:from>
      <xdr:col>4</xdr:col>
      <xdr:colOff>220134</xdr:colOff>
      <xdr:row>505</xdr:row>
      <xdr:rowOff>0</xdr:rowOff>
    </xdr:from>
    <xdr:to>
      <xdr:col>4</xdr:col>
      <xdr:colOff>4672853</xdr:colOff>
      <xdr:row>507</xdr:row>
      <xdr:rowOff>11206</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B361E91E-A8F9-441D-B23F-108B71A58C5C}"/>
                </a:ext>
              </a:extLst>
            </xdr:cNvPr>
            <xdr:cNvSpPr txBox="1"/>
          </xdr:nvSpPr>
          <xdr:spPr>
            <a:xfrm>
              <a:off x="4315884" y="18573750"/>
              <a:ext cx="44527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oMath>
                </m:oMathPara>
              </a14:m>
              <a:endParaRPr lang="en-US" sz="1400"/>
            </a:p>
          </xdr:txBody>
        </xdr:sp>
      </mc:Choice>
      <mc:Fallback xmlns="">
        <xdr:sp macro="" textlink="">
          <xdr:nvSpPr>
            <xdr:cNvPr id="46" name="TextBox 45">
              <a:extLst>
                <a:ext uri="{FF2B5EF4-FFF2-40B4-BE49-F238E27FC236}">
                  <a16:creationId xmlns:a16="http://schemas.microsoft.com/office/drawing/2014/main" id="{B361E91E-A8F9-441D-B23F-108B71A58C5C}"/>
                </a:ext>
              </a:extLst>
            </xdr:cNvPr>
            <xdr:cNvSpPr txBox="1"/>
          </xdr:nvSpPr>
          <xdr:spPr>
            <a:xfrm>
              <a:off x="4315884" y="18573750"/>
              <a:ext cx="44527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a:t>
              </a:r>
              <a:endParaRPr lang="en-US" sz="1400"/>
            </a:p>
          </xdr:txBody>
        </xdr:sp>
      </mc:Fallback>
    </mc:AlternateContent>
    <xdr:clientData/>
  </xdr:twoCellAnchor>
  <xdr:twoCellAnchor>
    <xdr:from>
      <xdr:col>4</xdr:col>
      <xdr:colOff>313267</xdr:colOff>
      <xdr:row>510</xdr:row>
      <xdr:rowOff>33617</xdr:rowOff>
    </xdr:from>
    <xdr:to>
      <xdr:col>6</xdr:col>
      <xdr:colOff>235324</xdr:colOff>
      <xdr:row>514</xdr:row>
      <xdr:rowOff>90964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e>
                        </m:d>
                      </m:num>
                      <m:den>
                        <m:r>
                          <a:rPr lang="en-US" sz="1400" b="0" i="1">
                            <a:latin typeface="Cambria Math" panose="02040503050406030204" pitchFamily="18" charset="0"/>
                            <a:ea typeface="Cambria Math" panose="02040503050406030204" pitchFamily="18" charset="0"/>
                          </a:rPr>
                          <m:t>3412∗</m:t>
                        </m:r>
                        <m:r>
                          <a:rPr lang="en-US" sz="1400" b="0" i="1">
                            <a:latin typeface="Cambria Math" panose="02040503050406030204" pitchFamily="18" charset="0"/>
                            <a:ea typeface="Cambria Math" panose="02040503050406030204" pitchFamily="18" charset="0"/>
                          </a:rPr>
                          <m:t>𝐶𝑂𝑃</m:t>
                        </m:r>
                      </m:den>
                    </m:f>
                  </m:oMath>
                </m:oMathPara>
              </a14:m>
              <a:endParaRPr lang="en-US" sz="1400"/>
            </a:p>
          </xdr:txBody>
        </xdr:sp>
      </mc:Choice>
      <mc:Fallback xmlns="">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𝑘𝑊ℎ_𝐻𝑒𝑎𝑡𝑖𝑛𝑔𝐸𝑙𝑒𝑐𝑡𝑟𝑖𝑐=(((1/𝑅_𝑒𝑥𝑖𝑠𝑡𝑖𝑛𝑔 −1/𝑅_(𝑛𝑒𝑤 ) )∗𝐴𝑟𝑒𝑎∗𝐸𝐹𝐿𝐻_ℎ𝑒𝑎𝑡∗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𝑇_(𝐴𝑉𝐺,ℎ𝑒𝑎𝑡𝑖𝑛𝑔) ))/(3412∗𝐶𝑂𝑃)</a:t>
              </a:r>
              <a:endParaRPr lang="en-US" sz="1400"/>
            </a:p>
          </xdr:txBody>
        </xdr:sp>
      </mc:Fallback>
    </mc:AlternateContent>
    <xdr:clientData/>
  </xdr:twoCellAnchor>
  <xdr:twoCellAnchor>
    <xdr:from>
      <xdr:col>6</xdr:col>
      <xdr:colOff>1226920</xdr:colOff>
      <xdr:row>511</xdr:row>
      <xdr:rowOff>95500</xdr:rowOff>
    </xdr:from>
    <xdr:to>
      <xdr:col>8</xdr:col>
      <xdr:colOff>952500</xdr:colOff>
      <xdr:row>513</xdr:row>
      <xdr:rowOff>112059</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𝐻𝑒𝑎𝑡𝑖𝑛𝑔𝐺𝑎𝑠</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oMath>
                </m:oMathPara>
              </a14:m>
              <a:endParaRPr lang="en-US" sz="1400"/>
            </a:p>
          </xdr:txBody>
        </xdr:sp>
      </mc:Choice>
      <mc:Fallback xmlns="">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𝑘𝑊ℎ_𝐻𝑒𝑎𝑡𝑖𝑛𝑔𝐺𝑎𝑠=</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400"/>
            </a:p>
          </xdr:txBody>
        </xdr:sp>
      </mc:Fallback>
    </mc:AlternateContent>
    <xdr:clientData/>
  </xdr:twoCellAnchor>
  <xdr:twoCellAnchor>
    <xdr:from>
      <xdr:col>7</xdr:col>
      <xdr:colOff>2269331</xdr:colOff>
      <xdr:row>644</xdr:row>
      <xdr:rowOff>0</xdr:rowOff>
    </xdr:from>
    <xdr:to>
      <xdr:col>8</xdr:col>
      <xdr:colOff>3567</xdr:colOff>
      <xdr:row>644</xdr:row>
      <xdr:rowOff>172227</xdr:rowOff>
    </xdr:to>
    <xdr:sp macro="" textlink="">
      <xdr:nvSpPr>
        <xdr:cNvPr id="49" name="TextBox 48">
          <a:extLst>
            <a:ext uri="{FF2B5EF4-FFF2-40B4-BE49-F238E27FC236}">
              <a16:creationId xmlns:a16="http://schemas.microsoft.com/office/drawing/2014/main" id="{C5BB5102-D9F1-463D-BAA9-08D2DB821553}"/>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644</xdr:row>
      <xdr:rowOff>0</xdr:rowOff>
    </xdr:from>
    <xdr:to>
      <xdr:col>8</xdr:col>
      <xdr:colOff>3567</xdr:colOff>
      <xdr:row>644</xdr:row>
      <xdr:rowOff>172227</xdr:rowOff>
    </xdr:to>
    <xdr:sp macro="" textlink="">
      <xdr:nvSpPr>
        <xdr:cNvPr id="50" name="TextBox 49">
          <a:extLst>
            <a:ext uri="{FF2B5EF4-FFF2-40B4-BE49-F238E27FC236}">
              <a16:creationId xmlns:a16="http://schemas.microsoft.com/office/drawing/2014/main" id="{02CD82D6-F56C-4BD0-B8EB-E25FF08C7C7E}"/>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221425</xdr:colOff>
      <xdr:row>668</xdr:row>
      <xdr:rowOff>0</xdr:rowOff>
    </xdr:from>
    <xdr:to>
      <xdr:col>9</xdr:col>
      <xdr:colOff>969818</xdr:colOff>
      <xdr:row>671</xdr:row>
      <xdr:rowOff>141020</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73D1A969-DDFB-4542-988D-FE7FDD1CCBE6}"/>
                </a:ext>
                <a:ext uri="{147F2762-F138-4A5C-976F-8EAC2B608ADB}">
                  <a16:predDERef xmlns:a16="http://schemas.microsoft.com/office/drawing/2014/main" pred="{C5BB5102-D9F1-463D-BAA9-08D2DB821553}"/>
                </a:ext>
              </a:extLst>
            </xdr:cNvPr>
            <xdr:cNvSpPr txBox="1"/>
          </xdr:nvSpPr>
          <xdr:spPr>
            <a:xfrm>
              <a:off x="4317175" y="29670375"/>
              <a:ext cx="1685516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𝑘𝑊h𝐴𝑆𝐻𝑃</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𝐸𝐹𝐿𝐻𝑐𝑜𝑜𝑙</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𝐶𝑎𝑝𝑎𝑐𝑖𝑡𝑦𝑐𝑜𝑜𝑙</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𝐸𝐹𝐿𝐻h𝑒𝑎𝑡</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𝐶𝑎𝑝𝑎𝑐𝑖𝑡𝑦h𝑒𝑎𝑡</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𝐻𝑆𝑃</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𝐹</m:t>
                                        </m:r>
                                      </m:e>
                                      <m:sub>
                                        <m:r>
                                          <a:rPr lang="en-US" sz="1400" b="0" i="1">
                                            <a:solidFill>
                                              <a:schemeClr val="tx1"/>
                                            </a:solidFill>
                                            <a:effectLst/>
                                            <a:latin typeface="Cambria Math" panose="02040503050406030204" pitchFamily="18" charset="0"/>
                                            <a:ea typeface="+mn-ea"/>
                                            <a:cs typeface="+mn-cs"/>
                                          </a:rPr>
                                          <m:t>𝑇𝑒𝑠𝑡𝐼𝑛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𝐻𝑆𝐹</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𝑃</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200">
                <a:solidFill>
                  <a:schemeClr val="tx1"/>
                </a:solidFill>
                <a:effectLst/>
                <a:latin typeface="+mn-lt"/>
                <a:ea typeface="+mn-ea"/>
                <a:cs typeface="+mn-cs"/>
              </a:endParaRPr>
            </a:p>
          </xdr:txBody>
        </xdr:sp>
      </mc:Choice>
      <mc:Fallback xmlns="">
        <xdr:sp macro="" textlink="">
          <xdr:nvSpPr>
            <xdr:cNvPr id="51" name="TextBox 50">
              <a:extLst>
                <a:ext uri="{FF2B5EF4-FFF2-40B4-BE49-F238E27FC236}">
                  <a16:creationId xmlns:a16="http://schemas.microsoft.com/office/drawing/2014/main" id="{73D1A969-DDFB-4542-988D-FE7FDD1CCBE6}"/>
                </a:ext>
                <a:ext uri="{147F2762-F138-4A5C-976F-8EAC2B608ADB}">
                  <a16:predDERef xmlns:a16="http://schemas.microsoft.com/office/drawing/2014/main" pred="{C5BB5102-D9F1-463D-BAA9-08D2DB821553}"/>
                </a:ext>
              </a:extLst>
            </xdr:cNvPr>
            <xdr:cNvSpPr txBox="1"/>
          </xdr:nvSpPr>
          <xdr:spPr>
            <a:xfrm>
              <a:off x="4317175" y="29670375"/>
              <a:ext cx="1685516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Δ𝑘𝑊ℎ𝐴𝑆𝐻𝑃 =((𝐸𝐹𝐿𝐻𝑐𝑜𝑜𝑙 ∗ 𝐶𝑎𝑝𝑎𝑐𝑖𝑡𝑦𝑐𝑜𝑜𝑙 ∗ (1/(𝑆𝐸𝐸𝑅</a:t>
              </a:r>
              <a:r>
                <a:rPr lang="en-US" sz="1400" b="0" i="0">
                  <a:solidFill>
                    <a:schemeClr val="tx1"/>
                  </a:solidFill>
                  <a:effectLst/>
                  <a:latin typeface="Cambria Math" panose="02040503050406030204" pitchFamily="18" charset="0"/>
                  <a:ea typeface="+mn-ea"/>
                  <a:cs typeface="+mn-cs"/>
                </a:rPr>
                <a:t>_𝑇𝑒𝑠𝑡𝐼𝑛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  +((𝐸𝐹𝐿𝐻ℎ𝑒𝑎𝑡 ∗ 𝐶𝑎𝑝𝑎𝑐𝑖𝑡𝑦ℎ𝑒𝑎𝑡 ∗ (1/(𝐻𝑆𝑃𝐹</a:t>
              </a:r>
              <a:r>
                <a:rPr lang="en-US" sz="1400" b="0" i="0">
                  <a:solidFill>
                    <a:schemeClr val="tx1"/>
                  </a:solidFill>
                  <a:effectLst/>
                  <a:latin typeface="Cambria Math" panose="02040503050406030204" pitchFamily="18" charset="0"/>
                  <a:ea typeface="+mn-ea"/>
                  <a:cs typeface="+mn-cs"/>
                </a:rPr>
                <a:t>_𝑇𝑒𝑠𝑡𝐼𝑛 ) </a:t>
              </a:r>
              <a:r>
                <a:rPr lang="en-US" sz="1400" i="0">
                  <a:solidFill>
                    <a:schemeClr val="tx1"/>
                  </a:solidFill>
                  <a:effectLst/>
                  <a:latin typeface="Cambria Math" panose="02040503050406030204" pitchFamily="18" charset="0"/>
                  <a:ea typeface="+mn-ea"/>
                  <a:cs typeface="+mn-cs"/>
                </a:rPr>
                <a:t> −1/(𝐻𝑆𝐹𝑃</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a:t>
              </a:r>
              <a:endParaRPr lang="en-US" sz="1200">
                <a:solidFill>
                  <a:schemeClr val="tx1"/>
                </a:solidFill>
                <a:effectLst/>
                <a:latin typeface="+mn-lt"/>
                <a:ea typeface="+mn-ea"/>
                <a:cs typeface="+mn-cs"/>
              </a:endParaRPr>
            </a:p>
          </xdr:txBody>
        </xdr:sp>
      </mc:Fallback>
    </mc:AlternateContent>
    <xdr:clientData/>
  </xdr:twoCellAnchor>
  <xdr:twoCellAnchor>
    <xdr:from>
      <xdr:col>4</xdr:col>
      <xdr:colOff>545494</xdr:colOff>
      <xdr:row>845</xdr:row>
      <xdr:rowOff>12998</xdr:rowOff>
    </xdr:from>
    <xdr:to>
      <xdr:col>7</xdr:col>
      <xdr:colOff>1619250</xdr:colOff>
      <xdr:row>847</xdr:row>
      <xdr:rowOff>45354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4B53E311-3A1F-410F-ADA9-8B0325DD5903}"/>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𝑆𝐸𝐸𝑅</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oMath>
              </a14:m>
              <a:r>
                <a:rPr lang="en-US" sz="1400"/>
                <a:t>/1000</a:t>
              </a:r>
            </a:p>
          </xdr:txBody>
        </xdr:sp>
      </mc:Choice>
      <mc:Fallback xmlns="">
        <xdr:sp macro="" textlink="">
          <xdr:nvSpPr>
            <xdr:cNvPr id="52" name="TextBox 51">
              <a:extLst>
                <a:ext uri="{FF2B5EF4-FFF2-40B4-BE49-F238E27FC236}">
                  <a16:creationId xmlns:a16="http://schemas.microsoft.com/office/drawing/2014/main" id="{4B53E311-3A1F-410F-ADA9-8B0325DD5903}"/>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𝐸𝐹𝐿𝐻_𝑐𝑜𝑜𝑙∗𝐶𝑎𝑝𝑎𝑐𝑖𝑡𝑦_𝑐𝑜𝑜𝑙∗(1/𝑆𝐸𝐸𝑅)∗𝑆𝐵𝑑𝑒𝑔𝑟𝑒𝑒𝑠_𝑐𝑜𝑜𝑙𝑖𝑛𝑔∗𝑆𝐹_𝑐𝑜𝑜𝑙𝑖𝑛𝑔∗𝐸𝐹_𝑐𝑜𝑜𝑙𝑖𝑛𝑔</a:t>
              </a:r>
              <a:r>
                <a:rPr lang="en-US" sz="1400"/>
                <a:t>/1000</a:t>
              </a:r>
            </a:p>
          </xdr:txBody>
        </xdr:sp>
      </mc:Fallback>
    </mc:AlternateContent>
    <xdr:clientData/>
  </xdr:twoCellAnchor>
  <xdr:twoCellAnchor>
    <xdr:from>
      <xdr:col>4</xdr:col>
      <xdr:colOff>493788</xdr:colOff>
      <xdr:row>847</xdr:row>
      <xdr:rowOff>185357</xdr:rowOff>
    </xdr:from>
    <xdr:to>
      <xdr:col>7</xdr:col>
      <xdr:colOff>1238250</xdr:colOff>
      <xdr:row>850</xdr:row>
      <xdr:rowOff>68035</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5C54409D-C366-4DF0-A420-62AA8EDB7C91}"/>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𝐸𝑙𝑒𝑐𝑡𝑟𝑖𝑐𝑅𝑒𝑠𝑖𝑠𝑡𝑎𝑛𝑐𝑒𝐻𝑒𝑎𝑡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𝐻𝑆𝑃𝐹</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oMath>
              </a14:m>
              <a:r>
                <a:rPr lang="en-US" sz="1400"/>
                <a:t>/1000</a:t>
              </a:r>
            </a:p>
          </xdr:txBody>
        </xdr:sp>
      </mc:Choice>
      <mc:Fallback xmlns="">
        <xdr:sp macro="" textlink="">
          <xdr:nvSpPr>
            <xdr:cNvPr id="53" name="TextBox 52">
              <a:extLst>
                <a:ext uri="{FF2B5EF4-FFF2-40B4-BE49-F238E27FC236}">
                  <a16:creationId xmlns:a16="http://schemas.microsoft.com/office/drawing/2014/main" id="{5C54409D-C366-4DF0-A420-62AA8EDB7C91}"/>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𝐸𝑙𝑒𝑐𝑡𝑟𝑖𝑐𝑅𝑒𝑠𝑖𝑠𝑡𝑎𝑛𝑐𝑒𝐻𝑒𝑎𝑡∗𝐸𝐹𝐿𝐻_𝐻𝑒𝑎𝑡∗𝐶𝑎𝑝𝑎𝑐𝑖𝑡𝑦_𝐻𝑒𝑎𝑡𝑖𝑛𝑔𝐸𝑙𝑒𝑐𝑡𝑟𝑖𝑐∗(1/𝐻𝑆𝑃𝐹)∗𝑆𝐵𝑑𝑒𝑔𝑟𝑒𝑒𝑠_ℎ𝑒𝑎𝑡𝑖𝑛𝑔∗𝑆𝐹_𝐻𝑒𝑎𝑡𝑖𝑛𝑔∗𝐸𝐹_𝐻𝑒𝑎𝑡𝑖𝑛𝑔</a:t>
              </a:r>
              <a:r>
                <a:rPr lang="en-US" sz="1400"/>
                <a:t>/1000</a:t>
              </a:r>
            </a:p>
          </xdr:txBody>
        </xdr:sp>
      </mc:Fallback>
    </mc:AlternateContent>
    <xdr:clientData/>
  </xdr:twoCellAnchor>
  <xdr:twoCellAnchor>
    <xdr:from>
      <xdr:col>4</xdr:col>
      <xdr:colOff>454783</xdr:colOff>
      <xdr:row>850</xdr:row>
      <xdr:rowOff>165096</xdr:rowOff>
    </xdr:from>
    <xdr:to>
      <xdr:col>4</xdr:col>
      <xdr:colOff>1976587</xdr:colOff>
      <xdr:row>852</xdr:row>
      <xdr:rowOff>112746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155864</xdr:colOff>
      <xdr:row>941</xdr:row>
      <xdr:rowOff>34636</xdr:rowOff>
    </xdr:from>
    <xdr:to>
      <xdr:col>5</xdr:col>
      <xdr:colOff>623455</xdr:colOff>
      <xdr:row>945</xdr:row>
      <xdr:rowOff>121228</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6F29804D-03FC-4E35-A6B7-52584EF93427}"/>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d>
                          <m:dPr>
                            <m:ctrlPr>
                              <a:rPr lang="en-US" sz="1600" b="0" i="1">
                                <a:latin typeface="Cambria Math" panose="02040503050406030204" pitchFamily="18" charset="0"/>
                                <a:ea typeface="Cambria Math" panose="02040503050406030204" pitchFamily="18" charset="0"/>
                              </a:rPr>
                            </m:ctrlPr>
                          </m:dPr>
                          <m:e>
                            <m:d>
                              <m:dPr>
                                <m:ctrlPr>
                                  <a:rPr lang="en-US" sz="1600" b="0" i="1">
                                    <a:latin typeface="Cambria Math" panose="02040503050406030204" pitchFamily="18" charset="0"/>
                                    <a:ea typeface="Cambria Math" panose="02040503050406030204" pitchFamily="18" charset="0"/>
                                  </a:rPr>
                                </m:ctrlPr>
                              </m:dPr>
                              <m:e>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𝐵𝑎𝑠𝑒</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𝐸𝐸</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𝐸𝐸</m:t>
                                        </m:r>
                                      </m:sub>
                                    </m:sSub>
                                  </m:den>
                                </m:f>
                              </m:e>
                            </m:d>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𝑇</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𝐻𝑜𝑢𝑟𝑠</m:t>
                            </m:r>
                          </m:e>
                        </m:d>
                      </m:num>
                      <m:den>
                        <m:r>
                          <a:rPr lang="en-US" sz="1600" b="0" i="1">
                            <a:latin typeface="Cambria Math" panose="02040503050406030204" pitchFamily="18" charset="0"/>
                            <a:ea typeface="Cambria Math" panose="02040503050406030204" pitchFamily="18" charset="0"/>
                          </a:rPr>
                          <m:t>𝜂</m:t>
                        </m:r>
                        <m:r>
                          <a:rPr lang="en-US" sz="1600" b="0" i="1">
                            <a:latin typeface="Cambria Math" panose="02040503050406030204" pitchFamily="18" charset="0"/>
                            <a:ea typeface="Cambria Math" panose="02040503050406030204" pitchFamily="18" charset="0"/>
                          </a:rPr>
                          <m:t>𝐷𝐻</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m:t>
                            </m:r>
                          </m:e>
                          <m:sub>
                            <m:r>
                              <a:rPr lang="en-US" sz="1600" b="0" i="1">
                                <a:latin typeface="Cambria Math" panose="02040503050406030204" pitchFamily="18" charset="0"/>
                                <a:ea typeface="Cambria Math" panose="02040503050406030204" pitchFamily="18" charset="0"/>
                              </a:rPr>
                              <m:t>𝐸𝑙𝑒𝑐</m:t>
                            </m:r>
                          </m:sub>
                        </m:sSub>
                        <m:r>
                          <a:rPr lang="en-US" sz="16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55" name="TextBox 54">
              <a:extLst>
                <a:ext uri="{FF2B5EF4-FFF2-40B4-BE49-F238E27FC236}">
                  <a16:creationId xmlns:a16="http://schemas.microsoft.com/office/drawing/2014/main" id="{6F29804D-03FC-4E35-A6B7-52584EF93427}"/>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𝑘𝑊ℎ=(((𝐴_𝐵𝑎𝑠𝑒/𝑅_𝐵𝑎𝑠𝑒 −𝐴_𝐸𝐸/𝑅_𝐸𝐸 )∗</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79600</xdr:colOff>
      <xdr:row>1053</xdr:row>
      <xdr:rowOff>127907</xdr:rowOff>
    </xdr:from>
    <xdr:to>
      <xdr:col>4</xdr:col>
      <xdr:colOff>3694340</xdr:colOff>
      <xdr:row>1054</xdr:row>
      <xdr:rowOff>187860</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3</xdr:col>
      <xdr:colOff>562654</xdr:colOff>
      <xdr:row>1055</xdr:row>
      <xdr:rowOff>129267</xdr:rowOff>
    </xdr:from>
    <xdr:to>
      <xdr:col>6</xdr:col>
      <xdr:colOff>1629495</xdr:colOff>
      <xdr:row>1056</xdr:row>
      <xdr:rowOff>189220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∆〖𝑘𝑊ℎ〗_𝑅𝐸𝑆</a:t>
              </a:r>
              <a:r>
                <a:rPr lang="en-US" sz="14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3</xdr:col>
      <xdr:colOff>641575</xdr:colOff>
      <xdr:row>1057</xdr:row>
      <xdr:rowOff>137432</xdr:rowOff>
    </xdr:from>
    <xdr:to>
      <xdr:col>7</xdr:col>
      <xdr:colOff>304159</xdr:colOff>
      <xdr:row>1059</xdr:row>
      <xdr:rowOff>6885</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𝑁𝑅𝐸𝑆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∆〖𝑘𝑊ℎ〗_𝑁𝑅𝐸𝑆</a:t>
              </a:r>
              <a:r>
                <a:rPr lang="en-US" sz="14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1366158</xdr:colOff>
      <xdr:row>1059</xdr:row>
      <xdr:rowOff>161925</xdr:rowOff>
    </xdr:from>
    <xdr:to>
      <xdr:col>4</xdr:col>
      <xdr:colOff>1696686</xdr:colOff>
      <xdr:row>1061</xdr:row>
      <xdr:rowOff>31378</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311727</xdr:colOff>
      <xdr:row>1152</xdr:row>
      <xdr:rowOff>51955</xdr:rowOff>
    </xdr:from>
    <xdr:to>
      <xdr:col>5</xdr:col>
      <xdr:colOff>1323316</xdr:colOff>
      <xdr:row>1153</xdr:row>
      <xdr:rowOff>109536</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𝑘𝑊ℎ=(𝑘𝑊ℎ_𝑜𝑓𝑓𝑖𝑐𝑒∗𝑊𝑒𝑖𝑔ℎ𝑡𝑖𝑛𝑔_𝑜𝑓𝑓𝑖𝑐𝑒+𝑘𝑊ℎ_𝐸𝑛𝑡∗𝑊𝑒𝑖𝑔ℎ𝑡𝑖𝑛𝑔_𝐸𝑛𝑡 )∗𝐼𝑆𝑅</a:t>
              </a:r>
              <a:endParaRPr lang="en-US" sz="1400"/>
            </a:p>
          </xdr:txBody>
        </xdr:sp>
      </mc:Fallback>
    </mc:AlternateContent>
    <xdr:clientData/>
  </xdr:twoCellAnchor>
  <xdr:twoCellAnchor>
    <xdr:from>
      <xdr:col>4</xdr:col>
      <xdr:colOff>176893</xdr:colOff>
      <xdr:row>793</xdr:row>
      <xdr:rowOff>190499</xdr:rowOff>
    </xdr:from>
    <xdr:to>
      <xdr:col>4</xdr:col>
      <xdr:colOff>3564872</xdr:colOff>
      <xdr:row>796</xdr:row>
      <xdr:rowOff>190499</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504536</xdr:colOff>
      <xdr:row>1176</xdr:row>
      <xdr:rowOff>164060</xdr:rowOff>
    </xdr:from>
    <xdr:to>
      <xdr:col>4</xdr:col>
      <xdr:colOff>4862540</xdr:colOff>
      <xdr:row>1178</xdr:row>
      <xdr:rowOff>26203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𝑢𝑛𝑖𝑡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𝑛𝑒𝑤</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𝑆𝑎𝑣𝑖𝑛𝑔𝑠</m:t>
                            </m:r>
                          </m:e>
                        </m:d>
                      </m:e>
                    </m:d>
                  </m:oMath>
                </m:oMathPara>
              </a14:m>
              <a:endParaRPr lang="en-US" sz="1400"/>
            </a:p>
          </xdr:txBody>
        </xdr:sp>
      </mc:Choice>
      <mc:Fallback xmlns="">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400"/>
            </a:p>
          </xdr:txBody>
        </xdr:sp>
      </mc:Fallback>
    </mc:AlternateContent>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6A85CCD3-9CE8-4F1D-A6E1-71E1121F1F1B}"/>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C98CAA05-1DBF-4691-93F9-3AB08514FFE1}"/>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471</xdr:row>
      <xdr:rowOff>0</xdr:rowOff>
    </xdr:from>
    <xdr:ext cx="65" cy="172227"/>
    <xdr:sp macro="" textlink="">
      <xdr:nvSpPr>
        <xdr:cNvPr id="65" name="TextBox 64">
          <a:extLst>
            <a:ext uri="{FF2B5EF4-FFF2-40B4-BE49-F238E27FC236}">
              <a16:creationId xmlns:a16="http://schemas.microsoft.com/office/drawing/2014/main" id="{6A85CCD3-9CE8-4F1D-A6E1-71E1121F1F1B}"/>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471</xdr:row>
      <xdr:rowOff>0</xdr:rowOff>
    </xdr:from>
    <xdr:ext cx="65" cy="172227"/>
    <xdr:sp macro="" textlink="">
      <xdr:nvSpPr>
        <xdr:cNvPr id="66" name="TextBox 65">
          <a:extLst>
            <a:ext uri="{FF2B5EF4-FFF2-40B4-BE49-F238E27FC236}">
              <a16:creationId xmlns:a16="http://schemas.microsoft.com/office/drawing/2014/main" id="{C98CAA05-1DBF-4691-93F9-3AB08514FFE1}"/>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705</xdr:row>
      <xdr:rowOff>0</xdr:rowOff>
    </xdr:from>
    <xdr:ext cx="65" cy="172227"/>
    <xdr:sp macro="" textlink="">
      <xdr:nvSpPr>
        <xdr:cNvPr id="67" name="TextBox 66">
          <a:extLst>
            <a:ext uri="{FF2B5EF4-FFF2-40B4-BE49-F238E27FC236}">
              <a16:creationId xmlns:a16="http://schemas.microsoft.com/office/drawing/2014/main" id="{6A85CCD3-9CE8-4F1D-A6E1-71E1121F1F1B}"/>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705</xdr:row>
      <xdr:rowOff>0</xdr:rowOff>
    </xdr:from>
    <xdr:ext cx="65" cy="172227"/>
    <xdr:sp macro="" textlink="">
      <xdr:nvSpPr>
        <xdr:cNvPr id="68" name="TextBox 67">
          <a:extLst>
            <a:ext uri="{FF2B5EF4-FFF2-40B4-BE49-F238E27FC236}">
              <a16:creationId xmlns:a16="http://schemas.microsoft.com/office/drawing/2014/main" id="{C98CAA05-1DBF-4691-93F9-3AB08514FFE1}"/>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743</xdr:row>
      <xdr:rowOff>0</xdr:rowOff>
    </xdr:from>
    <xdr:ext cx="65" cy="172227"/>
    <xdr:sp macro="" textlink="">
      <xdr:nvSpPr>
        <xdr:cNvPr id="69" name="TextBox 68">
          <a:extLst>
            <a:ext uri="{FF2B5EF4-FFF2-40B4-BE49-F238E27FC236}">
              <a16:creationId xmlns:a16="http://schemas.microsoft.com/office/drawing/2014/main" id="{6A85CCD3-9CE8-4F1D-A6E1-71E1121F1F1B}"/>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743</xdr:row>
      <xdr:rowOff>0</xdr:rowOff>
    </xdr:from>
    <xdr:ext cx="65" cy="172227"/>
    <xdr:sp macro="" textlink="">
      <xdr:nvSpPr>
        <xdr:cNvPr id="70" name="TextBox 69">
          <a:extLst>
            <a:ext uri="{FF2B5EF4-FFF2-40B4-BE49-F238E27FC236}">
              <a16:creationId xmlns:a16="http://schemas.microsoft.com/office/drawing/2014/main" id="{C98CAA05-1DBF-4691-93F9-3AB08514FFE1}"/>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787</xdr:row>
      <xdr:rowOff>0</xdr:rowOff>
    </xdr:from>
    <xdr:ext cx="65" cy="172227"/>
    <xdr:sp macro="" textlink="">
      <xdr:nvSpPr>
        <xdr:cNvPr id="71" name="TextBox 70">
          <a:extLst>
            <a:ext uri="{FF2B5EF4-FFF2-40B4-BE49-F238E27FC236}">
              <a16:creationId xmlns:a16="http://schemas.microsoft.com/office/drawing/2014/main" id="{6A85CCD3-9CE8-4F1D-A6E1-71E1121F1F1B}"/>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787</xdr:row>
      <xdr:rowOff>0</xdr:rowOff>
    </xdr:from>
    <xdr:ext cx="65" cy="172227"/>
    <xdr:sp macro="" textlink="">
      <xdr:nvSpPr>
        <xdr:cNvPr id="72" name="TextBox 71">
          <a:extLst>
            <a:ext uri="{FF2B5EF4-FFF2-40B4-BE49-F238E27FC236}">
              <a16:creationId xmlns:a16="http://schemas.microsoft.com/office/drawing/2014/main" id="{C98CAA05-1DBF-4691-93F9-3AB08514FFE1}"/>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817</xdr:row>
      <xdr:rowOff>0</xdr:rowOff>
    </xdr:from>
    <xdr:ext cx="65" cy="172227"/>
    <xdr:sp macro="" textlink="">
      <xdr:nvSpPr>
        <xdr:cNvPr id="73" name="TextBox 72">
          <a:extLst>
            <a:ext uri="{FF2B5EF4-FFF2-40B4-BE49-F238E27FC236}">
              <a16:creationId xmlns:a16="http://schemas.microsoft.com/office/drawing/2014/main" id="{6A85CCD3-9CE8-4F1D-A6E1-71E1121F1F1B}"/>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817</xdr:row>
      <xdr:rowOff>0</xdr:rowOff>
    </xdr:from>
    <xdr:ext cx="65" cy="172227"/>
    <xdr:sp macro="" textlink="">
      <xdr:nvSpPr>
        <xdr:cNvPr id="74" name="TextBox 73">
          <a:extLst>
            <a:ext uri="{FF2B5EF4-FFF2-40B4-BE49-F238E27FC236}">
              <a16:creationId xmlns:a16="http://schemas.microsoft.com/office/drawing/2014/main" id="{C98CAA05-1DBF-4691-93F9-3AB08514FFE1}"/>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1027</xdr:row>
      <xdr:rowOff>0</xdr:rowOff>
    </xdr:from>
    <xdr:ext cx="65" cy="172227"/>
    <xdr:sp macro="" textlink="">
      <xdr:nvSpPr>
        <xdr:cNvPr id="75" name="TextBox 74">
          <a:extLst>
            <a:ext uri="{FF2B5EF4-FFF2-40B4-BE49-F238E27FC236}">
              <a16:creationId xmlns:a16="http://schemas.microsoft.com/office/drawing/2014/main" id="{6A85CCD3-9CE8-4F1D-A6E1-71E1121F1F1B}"/>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1027</xdr:row>
      <xdr:rowOff>0</xdr:rowOff>
    </xdr:from>
    <xdr:ext cx="65" cy="172227"/>
    <xdr:sp macro="" textlink="">
      <xdr:nvSpPr>
        <xdr:cNvPr id="76" name="TextBox 75">
          <a:extLst>
            <a:ext uri="{FF2B5EF4-FFF2-40B4-BE49-F238E27FC236}">
              <a16:creationId xmlns:a16="http://schemas.microsoft.com/office/drawing/2014/main" id="{C98CAA05-1DBF-4691-93F9-3AB08514FFE1}"/>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77" name="TextBox 76">
          <a:extLst>
            <a:ext uri="{FF2B5EF4-FFF2-40B4-BE49-F238E27FC236}">
              <a16:creationId xmlns:a16="http://schemas.microsoft.com/office/drawing/2014/main" id="{6A85CCD3-9CE8-4F1D-A6E1-71E1121F1F1B}"/>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78" name="TextBox 77">
          <a:extLst>
            <a:ext uri="{FF2B5EF4-FFF2-40B4-BE49-F238E27FC236}">
              <a16:creationId xmlns:a16="http://schemas.microsoft.com/office/drawing/2014/main" id="{C98CAA05-1DBF-4691-93F9-3AB08514FFE1}"/>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79" name="TextBox 78">
          <a:extLst>
            <a:ext uri="{FF2B5EF4-FFF2-40B4-BE49-F238E27FC236}">
              <a16:creationId xmlns:a16="http://schemas.microsoft.com/office/drawing/2014/main" id="{6A85CCD3-9CE8-4F1D-A6E1-71E1121F1F1B}"/>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80" name="TextBox 79">
          <a:extLst>
            <a:ext uri="{FF2B5EF4-FFF2-40B4-BE49-F238E27FC236}">
              <a16:creationId xmlns:a16="http://schemas.microsoft.com/office/drawing/2014/main" id="{C98CAA05-1DBF-4691-93F9-3AB08514FFE1}"/>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81" name="TextBox 80">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82" name="TextBox 81">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498</xdr:row>
      <xdr:rowOff>0</xdr:rowOff>
    </xdr:from>
    <xdr:ext cx="65" cy="172227"/>
    <xdr:sp macro="" textlink="">
      <xdr:nvSpPr>
        <xdr:cNvPr id="83" name="TextBox 82">
          <a:extLst>
            <a:ext uri="{FF2B5EF4-FFF2-40B4-BE49-F238E27FC236}">
              <a16:creationId xmlns:a16="http://schemas.microsoft.com/office/drawing/2014/main" id="{6A85CCD3-9CE8-4F1D-A6E1-71E1121F1F1B}"/>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498</xdr:row>
      <xdr:rowOff>0</xdr:rowOff>
    </xdr:from>
    <xdr:ext cx="65" cy="172227"/>
    <xdr:sp macro="" textlink="">
      <xdr:nvSpPr>
        <xdr:cNvPr id="84" name="TextBox 83">
          <a:extLst>
            <a:ext uri="{FF2B5EF4-FFF2-40B4-BE49-F238E27FC236}">
              <a16:creationId xmlns:a16="http://schemas.microsoft.com/office/drawing/2014/main" id="{C98CAA05-1DBF-4691-93F9-3AB08514FFE1}"/>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85" name="TextBox 84">
          <a:extLst>
            <a:ext uri="{FF2B5EF4-FFF2-40B4-BE49-F238E27FC236}">
              <a16:creationId xmlns:a16="http://schemas.microsoft.com/office/drawing/2014/main" id="{6A85CCD3-9CE8-4F1D-A6E1-71E1121F1F1B}"/>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86" name="TextBox 85">
          <a:extLst>
            <a:ext uri="{FF2B5EF4-FFF2-40B4-BE49-F238E27FC236}">
              <a16:creationId xmlns:a16="http://schemas.microsoft.com/office/drawing/2014/main" id="{C98CAA05-1DBF-4691-93F9-3AB08514FFE1}"/>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87" name="TextBox 86">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88" name="TextBox 87">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89" name="TextBox 88">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90" name="TextBox 89">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902</xdr:row>
      <xdr:rowOff>0</xdr:rowOff>
    </xdr:from>
    <xdr:ext cx="65" cy="172227"/>
    <xdr:sp macro="" textlink="">
      <xdr:nvSpPr>
        <xdr:cNvPr id="91" name="TextBox 90">
          <a:extLst>
            <a:ext uri="{FF2B5EF4-FFF2-40B4-BE49-F238E27FC236}">
              <a16:creationId xmlns:a16="http://schemas.microsoft.com/office/drawing/2014/main" id="{6A85CCD3-9CE8-4F1D-A6E1-71E1121F1F1B}"/>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902</xdr:row>
      <xdr:rowOff>0</xdr:rowOff>
    </xdr:from>
    <xdr:ext cx="65" cy="172227"/>
    <xdr:sp macro="" textlink="">
      <xdr:nvSpPr>
        <xdr:cNvPr id="92" name="TextBox 91">
          <a:extLst>
            <a:ext uri="{FF2B5EF4-FFF2-40B4-BE49-F238E27FC236}">
              <a16:creationId xmlns:a16="http://schemas.microsoft.com/office/drawing/2014/main" id="{C98CAA05-1DBF-4691-93F9-3AB08514FFE1}"/>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93" name="TextBox 92">
          <a:extLst>
            <a:ext uri="{FF2B5EF4-FFF2-40B4-BE49-F238E27FC236}">
              <a16:creationId xmlns:a16="http://schemas.microsoft.com/office/drawing/2014/main" id="{6A85CCD3-9CE8-4F1D-A6E1-71E1121F1F1B}"/>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94" name="TextBox 93">
          <a:extLst>
            <a:ext uri="{FF2B5EF4-FFF2-40B4-BE49-F238E27FC236}">
              <a16:creationId xmlns:a16="http://schemas.microsoft.com/office/drawing/2014/main" id="{C98CAA05-1DBF-4691-93F9-3AB08514FFE1}"/>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95" name="TextBox 94">
          <a:extLst>
            <a:ext uri="{FF2B5EF4-FFF2-40B4-BE49-F238E27FC236}">
              <a16:creationId xmlns:a16="http://schemas.microsoft.com/office/drawing/2014/main" id="{6A85CCD3-9CE8-4F1D-A6E1-71E1121F1F1B}"/>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96" name="TextBox 95">
          <a:extLst>
            <a:ext uri="{FF2B5EF4-FFF2-40B4-BE49-F238E27FC236}">
              <a16:creationId xmlns:a16="http://schemas.microsoft.com/office/drawing/2014/main" id="{C98CAA05-1DBF-4691-93F9-3AB08514FFE1}"/>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994</xdr:row>
      <xdr:rowOff>0</xdr:rowOff>
    </xdr:from>
    <xdr:ext cx="65" cy="172227"/>
    <xdr:sp macro="" textlink="">
      <xdr:nvSpPr>
        <xdr:cNvPr id="97" name="TextBox 96">
          <a:extLst>
            <a:ext uri="{FF2B5EF4-FFF2-40B4-BE49-F238E27FC236}">
              <a16:creationId xmlns:a16="http://schemas.microsoft.com/office/drawing/2014/main" id="{6A85CCD3-9CE8-4F1D-A6E1-71E1121F1F1B}"/>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994</xdr:row>
      <xdr:rowOff>0</xdr:rowOff>
    </xdr:from>
    <xdr:ext cx="65" cy="172227"/>
    <xdr:sp macro="" textlink="">
      <xdr:nvSpPr>
        <xdr:cNvPr id="98" name="TextBox 97">
          <a:extLst>
            <a:ext uri="{FF2B5EF4-FFF2-40B4-BE49-F238E27FC236}">
              <a16:creationId xmlns:a16="http://schemas.microsoft.com/office/drawing/2014/main" id="{C98CAA05-1DBF-4691-93F9-3AB08514FFE1}"/>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1140</xdr:row>
      <xdr:rowOff>0</xdr:rowOff>
    </xdr:from>
    <xdr:ext cx="65" cy="172227"/>
    <xdr:sp macro="" textlink="">
      <xdr:nvSpPr>
        <xdr:cNvPr id="99" name="TextBox 98">
          <a:extLst>
            <a:ext uri="{FF2B5EF4-FFF2-40B4-BE49-F238E27FC236}">
              <a16:creationId xmlns:a16="http://schemas.microsoft.com/office/drawing/2014/main" id="{6A85CCD3-9CE8-4F1D-A6E1-71E1121F1F1B}"/>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1140</xdr:row>
      <xdr:rowOff>0</xdr:rowOff>
    </xdr:from>
    <xdr:ext cx="65" cy="172227"/>
    <xdr:sp macro="" textlink="">
      <xdr:nvSpPr>
        <xdr:cNvPr id="100" name="TextBox 99">
          <a:extLst>
            <a:ext uri="{FF2B5EF4-FFF2-40B4-BE49-F238E27FC236}">
              <a16:creationId xmlns:a16="http://schemas.microsoft.com/office/drawing/2014/main" id="{C98CAA05-1DBF-4691-93F9-3AB08514FFE1}"/>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1168</xdr:row>
      <xdr:rowOff>0</xdr:rowOff>
    </xdr:from>
    <xdr:ext cx="65" cy="172227"/>
    <xdr:sp macro="" textlink="">
      <xdr:nvSpPr>
        <xdr:cNvPr id="101" name="TextBox 100">
          <a:extLst>
            <a:ext uri="{FF2B5EF4-FFF2-40B4-BE49-F238E27FC236}">
              <a16:creationId xmlns:a16="http://schemas.microsoft.com/office/drawing/2014/main" id="{6A85CCD3-9CE8-4F1D-A6E1-71E1121F1F1B}"/>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1168</xdr:row>
      <xdr:rowOff>0</xdr:rowOff>
    </xdr:from>
    <xdr:ext cx="65" cy="172227"/>
    <xdr:sp macro="" textlink="">
      <xdr:nvSpPr>
        <xdr:cNvPr id="102" name="TextBox 101">
          <a:extLst>
            <a:ext uri="{FF2B5EF4-FFF2-40B4-BE49-F238E27FC236}">
              <a16:creationId xmlns:a16="http://schemas.microsoft.com/office/drawing/2014/main" id="{C98CAA05-1DBF-4691-93F9-3AB08514FFE1}"/>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103" name="TextBox 102">
          <a:extLst>
            <a:ext uri="{FF2B5EF4-FFF2-40B4-BE49-F238E27FC236}">
              <a16:creationId xmlns:a16="http://schemas.microsoft.com/office/drawing/2014/main" id="{6A85CCD3-9CE8-4F1D-A6E1-71E1121F1F1B}"/>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104" name="TextBox 103">
          <a:extLst>
            <a:ext uri="{FF2B5EF4-FFF2-40B4-BE49-F238E27FC236}">
              <a16:creationId xmlns:a16="http://schemas.microsoft.com/office/drawing/2014/main" id="{C98CAA05-1DBF-4691-93F9-3AB08514FFE1}"/>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5" name="TextBox 104">
          <a:extLst>
            <a:ext uri="{FF2B5EF4-FFF2-40B4-BE49-F238E27FC236}">
              <a16:creationId xmlns:a16="http://schemas.microsoft.com/office/drawing/2014/main" id="{6A85CCD3-9CE8-4F1D-A6E1-71E1121F1F1B}"/>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6" name="TextBox 105">
          <a:extLst>
            <a:ext uri="{FF2B5EF4-FFF2-40B4-BE49-F238E27FC236}">
              <a16:creationId xmlns:a16="http://schemas.microsoft.com/office/drawing/2014/main" id="{C98CAA05-1DBF-4691-93F9-3AB08514FFE1}"/>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7" name="TextBox 106">
          <a:extLst>
            <a:ext uri="{FF2B5EF4-FFF2-40B4-BE49-F238E27FC236}">
              <a16:creationId xmlns:a16="http://schemas.microsoft.com/office/drawing/2014/main" id="{6A85CCD3-9CE8-4F1D-A6E1-71E1121F1F1B}"/>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8" name="TextBox 107">
          <a:extLst>
            <a:ext uri="{FF2B5EF4-FFF2-40B4-BE49-F238E27FC236}">
              <a16:creationId xmlns:a16="http://schemas.microsoft.com/office/drawing/2014/main" id="{C98CAA05-1DBF-4691-93F9-3AB08514FFE1}"/>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09" name="TextBox 108">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0" name="TextBox 109">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1" name="TextBox 110">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2" name="TextBox 111">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3" name="TextBox 112">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4" name="TextBox 113">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498</xdr:row>
      <xdr:rowOff>0</xdr:rowOff>
    </xdr:from>
    <xdr:ext cx="65" cy="172227"/>
    <xdr:sp macro="" textlink="">
      <xdr:nvSpPr>
        <xdr:cNvPr id="115" name="TextBox 114">
          <a:extLst>
            <a:ext uri="{FF2B5EF4-FFF2-40B4-BE49-F238E27FC236}">
              <a16:creationId xmlns:a16="http://schemas.microsoft.com/office/drawing/2014/main" id="{6A85CCD3-9CE8-4F1D-A6E1-71E1121F1F1B}"/>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498</xdr:row>
      <xdr:rowOff>0</xdr:rowOff>
    </xdr:from>
    <xdr:ext cx="65" cy="172227"/>
    <xdr:sp macro="" textlink="">
      <xdr:nvSpPr>
        <xdr:cNvPr id="116" name="TextBox 115">
          <a:extLst>
            <a:ext uri="{FF2B5EF4-FFF2-40B4-BE49-F238E27FC236}">
              <a16:creationId xmlns:a16="http://schemas.microsoft.com/office/drawing/2014/main" id="{C98CAA05-1DBF-4691-93F9-3AB08514FFE1}"/>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117" name="TextBox 116">
          <a:extLst>
            <a:ext uri="{FF2B5EF4-FFF2-40B4-BE49-F238E27FC236}">
              <a16:creationId xmlns:a16="http://schemas.microsoft.com/office/drawing/2014/main" id="{6A85CCD3-9CE8-4F1D-A6E1-71E1121F1F1B}"/>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118" name="TextBox 117">
          <a:extLst>
            <a:ext uri="{FF2B5EF4-FFF2-40B4-BE49-F238E27FC236}">
              <a16:creationId xmlns:a16="http://schemas.microsoft.com/office/drawing/2014/main" id="{C98CAA05-1DBF-4691-93F9-3AB08514FFE1}"/>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119" name="TextBox 118">
          <a:extLst>
            <a:ext uri="{FF2B5EF4-FFF2-40B4-BE49-F238E27FC236}">
              <a16:creationId xmlns:a16="http://schemas.microsoft.com/office/drawing/2014/main" id="{6A85CCD3-9CE8-4F1D-A6E1-71E1121F1F1B}"/>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120" name="TextBox 119">
          <a:extLst>
            <a:ext uri="{FF2B5EF4-FFF2-40B4-BE49-F238E27FC236}">
              <a16:creationId xmlns:a16="http://schemas.microsoft.com/office/drawing/2014/main" id="{C98CAA05-1DBF-4691-93F9-3AB08514FFE1}"/>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1" name="TextBox 120">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2" name="TextBox 121">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3" name="TextBox 122">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4" name="TextBox 123">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5" name="TextBox 124">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6" name="TextBox 125">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7" name="TextBox 126">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8" name="TextBox 127">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9" name="TextBox 128">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30" name="TextBox 129">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31" name="TextBox 130">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32" name="TextBox 131">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33" name="TextBox 132">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34" name="TextBox 133">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902</xdr:row>
      <xdr:rowOff>0</xdr:rowOff>
    </xdr:from>
    <xdr:ext cx="65" cy="172227"/>
    <xdr:sp macro="" textlink="">
      <xdr:nvSpPr>
        <xdr:cNvPr id="135" name="TextBox 134">
          <a:extLst>
            <a:ext uri="{FF2B5EF4-FFF2-40B4-BE49-F238E27FC236}">
              <a16:creationId xmlns:a16="http://schemas.microsoft.com/office/drawing/2014/main" id="{6A85CCD3-9CE8-4F1D-A6E1-71E1121F1F1B}"/>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902</xdr:row>
      <xdr:rowOff>0</xdr:rowOff>
    </xdr:from>
    <xdr:ext cx="65" cy="172227"/>
    <xdr:sp macro="" textlink="">
      <xdr:nvSpPr>
        <xdr:cNvPr id="136" name="TextBox 135">
          <a:extLst>
            <a:ext uri="{FF2B5EF4-FFF2-40B4-BE49-F238E27FC236}">
              <a16:creationId xmlns:a16="http://schemas.microsoft.com/office/drawing/2014/main" id="{C98CAA05-1DBF-4691-93F9-3AB08514FFE1}"/>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137" name="TextBox 136">
          <a:extLst>
            <a:ext uri="{FF2B5EF4-FFF2-40B4-BE49-F238E27FC236}">
              <a16:creationId xmlns:a16="http://schemas.microsoft.com/office/drawing/2014/main" id="{6A85CCD3-9CE8-4F1D-A6E1-71E1121F1F1B}"/>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138" name="TextBox 137">
          <a:extLst>
            <a:ext uri="{FF2B5EF4-FFF2-40B4-BE49-F238E27FC236}">
              <a16:creationId xmlns:a16="http://schemas.microsoft.com/office/drawing/2014/main" id="{C98CAA05-1DBF-4691-93F9-3AB08514FFE1}"/>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139" name="TextBox 138">
          <a:extLst>
            <a:ext uri="{FF2B5EF4-FFF2-40B4-BE49-F238E27FC236}">
              <a16:creationId xmlns:a16="http://schemas.microsoft.com/office/drawing/2014/main" id="{6A85CCD3-9CE8-4F1D-A6E1-71E1121F1F1B}"/>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140" name="TextBox 139">
          <a:extLst>
            <a:ext uri="{FF2B5EF4-FFF2-40B4-BE49-F238E27FC236}">
              <a16:creationId xmlns:a16="http://schemas.microsoft.com/office/drawing/2014/main" id="{C98CAA05-1DBF-4691-93F9-3AB08514FFE1}"/>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994</xdr:row>
      <xdr:rowOff>0</xdr:rowOff>
    </xdr:from>
    <xdr:ext cx="65" cy="172227"/>
    <xdr:sp macro="" textlink="">
      <xdr:nvSpPr>
        <xdr:cNvPr id="141" name="TextBox 140">
          <a:extLst>
            <a:ext uri="{FF2B5EF4-FFF2-40B4-BE49-F238E27FC236}">
              <a16:creationId xmlns:a16="http://schemas.microsoft.com/office/drawing/2014/main" id="{6A85CCD3-9CE8-4F1D-A6E1-71E1121F1F1B}"/>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994</xdr:row>
      <xdr:rowOff>0</xdr:rowOff>
    </xdr:from>
    <xdr:ext cx="65" cy="172227"/>
    <xdr:sp macro="" textlink="">
      <xdr:nvSpPr>
        <xdr:cNvPr id="142" name="TextBox 141">
          <a:extLst>
            <a:ext uri="{FF2B5EF4-FFF2-40B4-BE49-F238E27FC236}">
              <a16:creationId xmlns:a16="http://schemas.microsoft.com/office/drawing/2014/main" id="{C98CAA05-1DBF-4691-93F9-3AB08514FFE1}"/>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1140</xdr:row>
      <xdr:rowOff>0</xdr:rowOff>
    </xdr:from>
    <xdr:ext cx="65" cy="172227"/>
    <xdr:sp macro="" textlink="">
      <xdr:nvSpPr>
        <xdr:cNvPr id="143" name="TextBox 142">
          <a:extLst>
            <a:ext uri="{FF2B5EF4-FFF2-40B4-BE49-F238E27FC236}">
              <a16:creationId xmlns:a16="http://schemas.microsoft.com/office/drawing/2014/main" id="{6A85CCD3-9CE8-4F1D-A6E1-71E1121F1F1B}"/>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1140</xdr:row>
      <xdr:rowOff>0</xdr:rowOff>
    </xdr:from>
    <xdr:ext cx="65" cy="172227"/>
    <xdr:sp macro="" textlink="">
      <xdr:nvSpPr>
        <xdr:cNvPr id="144" name="TextBox 143">
          <a:extLst>
            <a:ext uri="{FF2B5EF4-FFF2-40B4-BE49-F238E27FC236}">
              <a16:creationId xmlns:a16="http://schemas.microsoft.com/office/drawing/2014/main" id="{C98CAA05-1DBF-4691-93F9-3AB08514FFE1}"/>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1168</xdr:row>
      <xdr:rowOff>0</xdr:rowOff>
    </xdr:from>
    <xdr:ext cx="65" cy="172227"/>
    <xdr:sp macro="" textlink="">
      <xdr:nvSpPr>
        <xdr:cNvPr id="145" name="TextBox 144">
          <a:extLst>
            <a:ext uri="{FF2B5EF4-FFF2-40B4-BE49-F238E27FC236}">
              <a16:creationId xmlns:a16="http://schemas.microsoft.com/office/drawing/2014/main" id="{6A85CCD3-9CE8-4F1D-A6E1-71E1121F1F1B}"/>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1168</xdr:row>
      <xdr:rowOff>0</xdr:rowOff>
    </xdr:from>
    <xdr:ext cx="65" cy="172227"/>
    <xdr:sp macro="" textlink="">
      <xdr:nvSpPr>
        <xdr:cNvPr id="146" name="TextBox 145">
          <a:extLst>
            <a:ext uri="{FF2B5EF4-FFF2-40B4-BE49-F238E27FC236}">
              <a16:creationId xmlns:a16="http://schemas.microsoft.com/office/drawing/2014/main" id="{C98CAA05-1DBF-4691-93F9-3AB08514FFE1}"/>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62753</xdr:colOff>
      <xdr:row>1232</xdr:row>
      <xdr:rowOff>17930</xdr:rowOff>
    </xdr:from>
    <xdr:to>
      <xdr:col>5</xdr:col>
      <xdr:colOff>571334</xdr:colOff>
      <xdr:row>1235</xdr:row>
      <xdr:rowOff>131874</xdr:rowOff>
    </xdr:to>
    <mc:AlternateContent xmlns:mc="http://schemas.openxmlformats.org/markup-compatibility/2006" xmlns:a14="http://schemas.microsoft.com/office/drawing/2010/main">
      <mc:Choice Requires="a14">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4158503" y="63055500"/>
              <a:ext cx="61569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4158503" y="63055500"/>
              <a:ext cx="61569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1237</xdr:row>
      <xdr:rowOff>26894</xdr:rowOff>
    </xdr:from>
    <xdr:to>
      <xdr:col>4</xdr:col>
      <xdr:colOff>1538611</xdr:colOff>
      <xdr:row>1238</xdr:row>
      <xdr:rowOff>55557</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1204</xdr:row>
      <xdr:rowOff>0</xdr:rowOff>
    </xdr:from>
    <xdr:ext cx="65" cy="172227"/>
    <xdr:sp macro="" textlink="">
      <xdr:nvSpPr>
        <xdr:cNvPr id="149" name="TextBox 148">
          <a:extLst>
            <a:ext uri="{FF2B5EF4-FFF2-40B4-BE49-F238E27FC236}">
              <a16:creationId xmlns:a16="http://schemas.microsoft.com/office/drawing/2014/main" id="{6A85CCD3-9CE8-4F1D-A6E1-71E1121F1F1B}"/>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1204</xdr:row>
      <xdr:rowOff>0</xdr:rowOff>
    </xdr:from>
    <xdr:ext cx="65" cy="172227"/>
    <xdr:sp macro="" textlink="">
      <xdr:nvSpPr>
        <xdr:cNvPr id="150" name="TextBox 149">
          <a:extLst>
            <a:ext uri="{FF2B5EF4-FFF2-40B4-BE49-F238E27FC236}">
              <a16:creationId xmlns:a16="http://schemas.microsoft.com/office/drawing/2014/main" id="{C98CAA05-1DBF-4691-93F9-3AB08514FFE1}"/>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1041740</xdr:colOff>
      <xdr:row>62</xdr:row>
      <xdr:rowOff>59952</xdr:rowOff>
    </xdr:from>
    <xdr:to>
      <xdr:col>8</xdr:col>
      <xdr:colOff>1543844</xdr:colOff>
      <xdr:row>63</xdr:row>
      <xdr:rowOff>182416</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l-GR" sz="1400" b="0" i="1">
                      <a:solidFill>
                        <a:sysClr val="windowText" lastClr="000000"/>
                      </a:solidFill>
                      <a:latin typeface="Cambria Math" panose="02040503050406030204" pitchFamily="18" charset="0"/>
                      <a:ea typeface="Cambria Math" panose="02040503050406030204" pitchFamily="18" charset="0"/>
                    </a:rPr>
                    <m:t>𝛥</m:t>
                  </m:r>
                  <m:r>
                    <a:rPr lang="el-GR"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∗29.3</m:t>
                  </m:r>
                </m:oMath>
              </a14:m>
              <a:endParaRPr lang="en-US" sz="14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l-GR" sz="1400" b="0" i="0">
                  <a:solidFill>
                    <a:sysClr val="windowText" lastClr="000000"/>
                  </a:solidFill>
                  <a:latin typeface="Cambria Math" panose="02040503050406030204" pitchFamily="18" charset="0"/>
                  <a:ea typeface="Cambria Math" panose="02040503050406030204" pitchFamily="18" charset="0"/>
                </a:rPr>
                <a:t>𝛥𝑇ℎ𝑒𝑟𝑚𝑠</a:t>
              </a:r>
              <a:r>
                <a:rPr lang="en-US" sz="1400" b="0" i="0">
                  <a:solidFill>
                    <a:sysClr val="windowText" lastClr="000000"/>
                  </a:solidFill>
                  <a:latin typeface="Cambria Math" panose="02040503050406030204" pitchFamily="18" charset="0"/>
                  <a:ea typeface="Cambria Math" panose="02040503050406030204" pitchFamily="18" charset="0"/>
                </a:rPr>
                <a:t>∗𝐹_𝑒∗29.3</a:t>
              </a:r>
              <a:endParaRPr lang="en-US" sz="1400">
                <a:solidFill>
                  <a:sysClr val="windowText" lastClr="000000"/>
                </a:solidFill>
              </a:endParaRP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2269331</xdr:colOff>
      <xdr:row>427</xdr:row>
      <xdr:rowOff>0</xdr:rowOff>
    </xdr:from>
    <xdr:ext cx="65" cy="172227"/>
    <xdr:sp macro="" textlink="">
      <xdr:nvSpPr>
        <xdr:cNvPr id="2" name="TextBox 1">
          <a:extLst>
            <a:ext uri="{FF2B5EF4-FFF2-40B4-BE49-F238E27FC236}">
              <a16:creationId xmlns:a16="http://schemas.microsoft.com/office/drawing/2014/main" id="{9D0B2226-B0AD-4C5E-B8A3-7DEB20D3D813}"/>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427</xdr:row>
      <xdr:rowOff>0</xdr:rowOff>
    </xdr:from>
    <xdr:ext cx="65" cy="172227"/>
    <xdr:sp macro="" textlink="">
      <xdr:nvSpPr>
        <xdr:cNvPr id="3" name="TextBox 2">
          <a:extLst>
            <a:ext uri="{FF2B5EF4-FFF2-40B4-BE49-F238E27FC236}">
              <a16:creationId xmlns:a16="http://schemas.microsoft.com/office/drawing/2014/main" id="{21785565-6AFF-448C-A2AA-CC3C1E5411C5}"/>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22</xdr:row>
      <xdr:rowOff>453627</xdr:rowOff>
    </xdr:from>
    <xdr:ext cx="65" cy="172227"/>
    <xdr:sp macro="" textlink="">
      <xdr:nvSpPr>
        <xdr:cNvPr id="4" name="TextBox 3">
          <a:extLst>
            <a:ext uri="{FF2B5EF4-FFF2-40B4-BE49-F238E27FC236}">
              <a16:creationId xmlns:a16="http://schemas.microsoft.com/office/drawing/2014/main" id="{6D10CC00-0055-429C-9172-BC9FFA925EED}"/>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5" name="TextBox 4">
          <a:extLst>
            <a:ext uri="{FF2B5EF4-FFF2-40B4-BE49-F238E27FC236}">
              <a16:creationId xmlns:a16="http://schemas.microsoft.com/office/drawing/2014/main" id="{1FFF9DCF-149B-4296-8515-479E82AD3728}"/>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6" name="TextBox 5">
          <a:extLst>
            <a:ext uri="{FF2B5EF4-FFF2-40B4-BE49-F238E27FC236}">
              <a16:creationId xmlns:a16="http://schemas.microsoft.com/office/drawing/2014/main" id="{1F5CB37F-BA55-4C6F-8BFC-30769905A394}"/>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1261935</xdr:colOff>
      <xdr:row>337</xdr:row>
      <xdr:rowOff>138544</xdr:rowOff>
    </xdr:from>
    <xdr:to>
      <xdr:col>9</xdr:col>
      <xdr:colOff>0</xdr:colOff>
      <xdr:row>341</xdr:row>
      <xdr:rowOff>43778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BDEFDFDB-57CF-4E48-9D53-9B04A4E42F98}"/>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BDEFDFDB-57CF-4E48-9D53-9B04A4E42F98}"/>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9</xdr:col>
      <xdr:colOff>598342</xdr:colOff>
      <xdr:row>337</xdr:row>
      <xdr:rowOff>178693</xdr:rowOff>
    </xdr:from>
    <xdr:to>
      <xdr:col>16</xdr:col>
      <xdr:colOff>378852</xdr:colOff>
      <xdr:row>340</xdr:row>
      <xdr:rowOff>171450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7659BE7A-91ED-4FEC-907E-97FC7A73FA9E}"/>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7659BE7A-91ED-4FEC-907E-97FC7A73FA9E}"/>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1675177</xdr:colOff>
      <xdr:row>371</xdr:row>
      <xdr:rowOff>144658</xdr:rowOff>
    </xdr:from>
    <xdr:to>
      <xdr:col>6</xdr:col>
      <xdr:colOff>1502140</xdr:colOff>
      <xdr:row>375</xdr:row>
      <xdr:rowOff>49892</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878646E9-966A-4B4F-AD4E-654EAE251194}"/>
                </a:ext>
              </a:extLst>
            </xdr:cNvPr>
            <xdr:cNvSpPr txBox="1"/>
          </xdr:nvSpPr>
          <xdr:spPr>
            <a:xfrm>
              <a:off x="3427777" y="17059275"/>
              <a:ext cx="720883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878646E9-966A-4B4F-AD4E-654EAE251194}"/>
                </a:ext>
              </a:extLst>
            </xdr:cNvPr>
            <xdr:cNvSpPr txBox="1"/>
          </xdr:nvSpPr>
          <xdr:spPr>
            <a:xfrm>
              <a:off x="3427777" y="17059275"/>
              <a:ext cx="720883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7</xdr:col>
      <xdr:colOff>733425</xdr:colOff>
      <xdr:row>371</xdr:row>
      <xdr:rowOff>136468</xdr:rowOff>
    </xdr:from>
    <xdr:to>
      <xdr:col>11</xdr:col>
      <xdr:colOff>951472</xdr:colOff>
      <xdr:row>375</xdr:row>
      <xdr:rowOff>54398</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FAF6BE84-7293-4DD7-9B9B-6F925474199F}"/>
                </a:ext>
              </a:extLst>
            </xdr:cNvPr>
            <xdr:cNvSpPr txBox="1"/>
          </xdr:nvSpPr>
          <xdr:spPr>
            <a:xfrm>
              <a:off x="11372850" y="17059275"/>
              <a:ext cx="648549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FAF6BE84-7293-4DD7-9B9B-6F925474199F}"/>
                </a:ext>
              </a:extLst>
            </xdr:cNvPr>
            <xdr:cNvSpPr txBox="1"/>
          </xdr:nvSpPr>
          <xdr:spPr>
            <a:xfrm>
              <a:off x="11372850" y="17059275"/>
              <a:ext cx="648549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22</xdr:row>
      <xdr:rowOff>453627</xdr:rowOff>
    </xdr:from>
    <xdr:ext cx="65" cy="172227"/>
    <xdr:sp macro="" textlink="">
      <xdr:nvSpPr>
        <xdr:cNvPr id="11" name="TextBox 10">
          <a:extLst>
            <a:ext uri="{FF2B5EF4-FFF2-40B4-BE49-F238E27FC236}">
              <a16:creationId xmlns:a16="http://schemas.microsoft.com/office/drawing/2014/main" id="{6D10CC00-0055-429C-9172-BC9FFA925EED}"/>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22</xdr:row>
      <xdr:rowOff>453627</xdr:rowOff>
    </xdr:from>
    <xdr:ext cx="65" cy="172227"/>
    <xdr:sp macro="" textlink="">
      <xdr:nvSpPr>
        <xdr:cNvPr id="12" name="TextBox 11">
          <a:extLst>
            <a:ext uri="{FF2B5EF4-FFF2-40B4-BE49-F238E27FC236}">
              <a16:creationId xmlns:a16="http://schemas.microsoft.com/office/drawing/2014/main" id="{8ACDBCF3-DC86-4460-9426-07067DCAF324}"/>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3" name="TextBox 12">
          <a:extLst>
            <a:ext uri="{FF2B5EF4-FFF2-40B4-BE49-F238E27FC236}">
              <a16:creationId xmlns:a16="http://schemas.microsoft.com/office/drawing/2014/main" id="{1FFF9DCF-149B-4296-8515-479E82AD3728}"/>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4" name="TextBox 13">
          <a:extLst>
            <a:ext uri="{FF2B5EF4-FFF2-40B4-BE49-F238E27FC236}">
              <a16:creationId xmlns:a16="http://schemas.microsoft.com/office/drawing/2014/main" id="{1F5CB37F-BA55-4C6F-8BFC-30769905A394}"/>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22</xdr:row>
      <xdr:rowOff>453627</xdr:rowOff>
    </xdr:from>
    <xdr:to>
      <xdr:col>7</xdr:col>
      <xdr:colOff>7209</xdr:colOff>
      <xdr:row>23</xdr:row>
      <xdr:rowOff>173417</xdr:rowOff>
    </xdr:to>
    <xdr:sp macro="" textlink="">
      <xdr:nvSpPr>
        <xdr:cNvPr id="15" name="TextBox 14">
          <a:extLst>
            <a:ext uri="{FF2B5EF4-FFF2-40B4-BE49-F238E27FC236}">
              <a16:creationId xmlns:a16="http://schemas.microsoft.com/office/drawing/2014/main" id="{6D10CC00-0055-429C-9172-BC9FFA925EED}"/>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22</xdr:row>
      <xdr:rowOff>453627</xdr:rowOff>
    </xdr:from>
    <xdr:to>
      <xdr:col>7</xdr:col>
      <xdr:colOff>7209</xdr:colOff>
      <xdr:row>23</xdr:row>
      <xdr:rowOff>173417</xdr:rowOff>
    </xdr:to>
    <xdr:sp macro="" textlink="">
      <xdr:nvSpPr>
        <xdr:cNvPr id="16" name="TextBox 15">
          <a:extLst>
            <a:ext uri="{FF2B5EF4-FFF2-40B4-BE49-F238E27FC236}">
              <a16:creationId xmlns:a16="http://schemas.microsoft.com/office/drawing/2014/main" id="{8ACDBCF3-DC86-4460-9426-07067DCAF324}"/>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7" name="TextBox 16">
          <a:extLst>
            <a:ext uri="{FF2B5EF4-FFF2-40B4-BE49-F238E27FC236}">
              <a16:creationId xmlns:a16="http://schemas.microsoft.com/office/drawing/2014/main" id="{1FFF9DCF-149B-4296-8515-479E82AD3728}"/>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8" name="TextBox 17">
          <a:extLst>
            <a:ext uri="{FF2B5EF4-FFF2-40B4-BE49-F238E27FC236}">
              <a16:creationId xmlns:a16="http://schemas.microsoft.com/office/drawing/2014/main" id="{1F5CB37F-BA55-4C6F-8BFC-30769905A394}"/>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22411</xdr:colOff>
      <xdr:row>14</xdr:row>
      <xdr:rowOff>78442</xdr:rowOff>
    </xdr:from>
    <xdr:to>
      <xdr:col>6</xdr:col>
      <xdr:colOff>394906</xdr:colOff>
      <xdr:row>18</xdr:row>
      <xdr:rowOff>68123</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2D8DD28D-840E-46EE-9E38-DE9F13785C6B}"/>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𝑘𝑊h𝐶𝑒𝑛𝑡𝑟𝑎𝑙</m:t>
                    </m:r>
                    <m:r>
                      <a:rPr lang="en-US" sz="1400" i="1" baseline="-25000">
                        <a:solidFill>
                          <a:schemeClr val="tx1"/>
                        </a:solidFill>
                        <a:effectLst/>
                        <a:latin typeface="Cambria Math" panose="02040503050406030204" pitchFamily="18" charset="0"/>
                        <a:ea typeface="+mn-ea"/>
                        <a:cs typeface="+mn-cs"/>
                      </a:rPr>
                      <m:t> </m:t>
                    </m:r>
                    <m:r>
                      <a:rPr lang="en-US" sz="1400" i="1" baseline="-25000">
                        <a:solidFill>
                          <a:schemeClr val="tx1"/>
                        </a:solidFill>
                        <a:effectLst/>
                        <a:latin typeface="Cambria Math" panose="02040503050406030204" pitchFamily="18" charset="0"/>
                        <a:ea typeface="+mn-ea"/>
                        <a:cs typeface="+mn-cs"/>
                      </a:rPr>
                      <m:t>𝐴𝐶</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𝑐𝑜𝑜𝑙</m:t>
                            </m:r>
                          </m:sub>
                        </m:sSub>
                        <m:r>
                          <a:rPr lang="en-US" sz="1400" b="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𝑂𝑢𝑡</m:t>
                                    </m:r>
                                  </m:sub>
                                </m:sSub>
                              </m:den>
                            </m:f>
                          </m:e>
                        </m:d>
                      </m:num>
                      <m:den>
                        <m:r>
                          <a:rPr lang="en-US" sz="1400" i="1">
                            <a:solidFill>
                              <a:schemeClr val="tx1"/>
                            </a:solidFill>
                            <a:effectLst/>
                            <a:latin typeface="Cambria Math" panose="02040503050406030204" pitchFamily="18" charset="0"/>
                            <a:ea typeface="+mn-ea"/>
                            <a:cs typeface="+mn-cs"/>
                          </a:rPr>
                          <m:t>1000</m:t>
                        </m:r>
                      </m:den>
                    </m:f>
                  </m:oMath>
                </m:oMathPara>
              </a14:m>
              <a:endParaRPr lang="en-US" sz="1800">
                <a:solidFill>
                  <a:schemeClr val="tx1"/>
                </a:solidFill>
                <a:effectLst/>
                <a:latin typeface="+mn-lt"/>
                <a:ea typeface="+mn-ea"/>
                <a:cs typeface="+mn-cs"/>
              </a:endParaRPr>
            </a:p>
          </xdr:txBody>
        </xdr:sp>
      </mc:Choice>
      <mc:Fallback xmlns="">
        <xdr:sp macro="" textlink="">
          <xdr:nvSpPr>
            <xdr:cNvPr id="19" name="TextBox 18">
              <a:extLst>
                <a:ext uri="{FF2B5EF4-FFF2-40B4-BE49-F238E27FC236}">
                  <a16:creationId xmlns:a16="http://schemas.microsoft.com/office/drawing/2014/main" id="{2D8DD28D-840E-46EE-9E38-DE9F13785C6B}"/>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Δ𝑘𝑊ℎ𝐶𝑒𝑛𝑡𝑟𝑎𝑙</a:t>
              </a:r>
              <a:r>
                <a:rPr lang="en-US" sz="1400" i="0" baseline="-25000">
                  <a:solidFill>
                    <a:schemeClr val="tx1"/>
                  </a:solidFill>
                  <a:effectLst/>
                  <a:latin typeface="Cambria Math" panose="02040503050406030204" pitchFamily="18" charset="0"/>
                  <a:ea typeface="+mn-ea"/>
                  <a:cs typeface="+mn-cs"/>
                </a:rPr>
                <a:t> 𝐴𝐶</a:t>
              </a:r>
              <a:r>
                <a:rPr lang="en-US" sz="1400" i="0">
                  <a:solidFill>
                    <a:schemeClr val="tx1"/>
                  </a:solidFill>
                  <a:effectLst/>
                  <a:latin typeface="Cambria Math" panose="02040503050406030204" pitchFamily="18" charset="0"/>
                  <a:ea typeface="+mn-ea"/>
                  <a:cs typeface="+mn-cs"/>
                </a:rPr>
                <a:t>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𝑂𝑢𝑡 )))/</a:t>
              </a:r>
              <a:r>
                <a:rPr lang="en-US" sz="1400" i="0">
                  <a:solidFill>
                    <a:schemeClr val="tx1"/>
                  </a:solidFill>
                  <a:effectLst/>
                  <a:latin typeface="Cambria Math" panose="02040503050406030204" pitchFamily="18" charset="0"/>
                  <a:ea typeface="+mn-ea"/>
                  <a:cs typeface="+mn-cs"/>
                </a:rPr>
                <a:t>1000</a:t>
              </a:r>
              <a:endParaRPr lang="en-US" sz="1800">
                <a:solidFill>
                  <a:schemeClr val="tx1"/>
                </a:solidFill>
                <a:effectLst/>
                <a:latin typeface="+mn-lt"/>
                <a:ea typeface="+mn-ea"/>
                <a:cs typeface="+mn-cs"/>
              </a:endParaRPr>
            </a:p>
          </xdr:txBody>
        </xdr:sp>
      </mc:Fallback>
    </mc:AlternateContent>
    <xdr:clientData/>
  </xdr:twoCellAnchor>
  <xdr:twoCellAnchor>
    <xdr:from>
      <xdr:col>3</xdr:col>
      <xdr:colOff>1690743</xdr:colOff>
      <xdr:row>49</xdr:row>
      <xdr:rowOff>88975</xdr:rowOff>
    </xdr:from>
    <xdr:to>
      <xdr:col>8</xdr:col>
      <xdr:colOff>368957</xdr:colOff>
      <xdr:row>53</xdr:row>
      <xdr:rowOff>89647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381A7D28-AF34-432E-80DF-23C998CFF5AE}"/>
                </a:ext>
              </a:extLst>
            </xdr:cNvPr>
            <xdr:cNvSpPr txBox="1"/>
          </xdr:nvSpPr>
          <xdr:spPr>
            <a:xfrm>
              <a:off x="3424293" y="6124575"/>
              <a:ext cx="101082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20" name="TextBox 19">
              <a:extLst>
                <a:ext uri="{FF2B5EF4-FFF2-40B4-BE49-F238E27FC236}">
                  <a16:creationId xmlns:a16="http://schemas.microsoft.com/office/drawing/2014/main" id="{381A7D28-AF34-432E-80DF-23C998CFF5AE}"/>
                </a:ext>
              </a:extLst>
            </xdr:cNvPr>
            <xdr:cNvSpPr txBox="1"/>
          </xdr:nvSpPr>
          <xdr:spPr>
            <a:xfrm>
              <a:off x="3424293" y="6124575"/>
              <a:ext cx="101082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8</xdr:col>
      <xdr:colOff>789632</xdr:colOff>
      <xdr:row>50</xdr:row>
      <xdr:rowOff>16873</xdr:rowOff>
    </xdr:from>
    <xdr:to>
      <xdr:col>17</xdr:col>
      <xdr:colOff>363682</xdr:colOff>
      <xdr:row>55</xdr:row>
      <xdr:rowOff>69272</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4710D540-8777-4E80-AFDC-AB11A7AAA31A}"/>
                </a:ext>
              </a:extLst>
            </xdr:cNvPr>
            <xdr:cNvSpPr txBox="1"/>
          </xdr:nvSpPr>
          <xdr:spPr>
            <a:xfrm>
              <a:off x="13953182" y="6124575"/>
              <a:ext cx="86323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21" name="TextBox 20">
              <a:extLst>
                <a:ext uri="{FF2B5EF4-FFF2-40B4-BE49-F238E27FC236}">
                  <a16:creationId xmlns:a16="http://schemas.microsoft.com/office/drawing/2014/main" id="{4710D540-8777-4E80-AFDC-AB11A7AAA31A}"/>
                </a:ext>
              </a:extLst>
            </xdr:cNvPr>
            <xdr:cNvSpPr txBox="1"/>
          </xdr:nvSpPr>
          <xdr:spPr>
            <a:xfrm>
              <a:off x="13953182" y="6124575"/>
              <a:ext cx="86323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400"/>
            </a:p>
          </xdr:txBody>
        </xdr:sp>
      </mc:Fallback>
    </mc:AlternateContent>
    <xdr:clientData/>
  </xdr:twoCellAnchor>
  <xdr:twoCellAnchor>
    <xdr:from>
      <xdr:col>3</xdr:col>
      <xdr:colOff>513259</xdr:colOff>
      <xdr:row>52</xdr:row>
      <xdr:rowOff>593912</xdr:rowOff>
    </xdr:from>
    <xdr:to>
      <xdr:col>4</xdr:col>
      <xdr:colOff>3003175</xdr:colOff>
      <xdr:row>54</xdr:row>
      <xdr:rowOff>174067</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5</xdr:col>
      <xdr:colOff>1595548</xdr:colOff>
      <xdr:row>52</xdr:row>
      <xdr:rowOff>303169</xdr:rowOff>
    </xdr:from>
    <xdr:to>
      <xdr:col>11</xdr:col>
      <xdr:colOff>638734</xdr:colOff>
      <xdr:row>55</xdr:row>
      <xdr:rowOff>51954</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3F722BA-AF71-46A1-8241-0A991B260315}"/>
                </a:ext>
              </a:extLst>
            </xdr:cNvPr>
            <xdr:cNvSpPr txBox="1"/>
          </xdr:nvSpPr>
          <xdr:spPr>
            <a:xfrm>
              <a:off x="9063148" y="6124575"/>
              <a:ext cx="8539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400"/>
            </a:p>
          </xdr:txBody>
        </xdr:sp>
      </mc:Choice>
      <mc:Fallback xmlns="">
        <xdr:sp macro="" textlink="">
          <xdr:nvSpPr>
            <xdr:cNvPr id="23" name="TextBox 22">
              <a:extLst>
                <a:ext uri="{FF2B5EF4-FFF2-40B4-BE49-F238E27FC236}">
                  <a16:creationId xmlns:a16="http://schemas.microsoft.com/office/drawing/2014/main" id="{C3F722BA-AF71-46A1-8241-0A991B260315}"/>
                </a:ext>
              </a:extLst>
            </xdr:cNvPr>
            <xdr:cNvSpPr txBox="1"/>
          </xdr:nvSpPr>
          <xdr:spPr>
            <a:xfrm>
              <a:off x="9063148" y="6124575"/>
              <a:ext cx="8539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400"/>
            </a:p>
          </xdr:txBody>
        </xdr:sp>
      </mc:Fallback>
    </mc:AlternateContent>
    <xdr:clientData/>
  </xdr:twoCellAnchor>
  <xdr:twoCellAnchor>
    <xdr:from>
      <xdr:col>4</xdr:col>
      <xdr:colOff>61651</xdr:colOff>
      <xdr:row>162</xdr:row>
      <xdr:rowOff>83819</xdr:rowOff>
    </xdr:from>
    <xdr:to>
      <xdr:col>6</xdr:col>
      <xdr:colOff>69272</xdr:colOff>
      <xdr:row>164</xdr:row>
      <xdr:rowOff>155863</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F7A516A9-83DB-44FE-9A8B-C4744D2C8115}"/>
                </a:ext>
              </a:extLst>
            </xdr:cNvPr>
            <xdr:cNvSpPr txBox="1"/>
          </xdr:nvSpPr>
          <xdr:spPr>
            <a:xfrm>
              <a:off x="3490651" y="7648575"/>
              <a:ext cx="59131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h𝑒𝑎𝑡𝑖𝑛𝑔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𝐻𝑒𝑎𝑡𝑖𝑛𝑔</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𝐸𝐹𝐿</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m:t>
                        </m:r>
                      </m:e>
                      <m:sub>
                        <m:r>
                          <a:rPr lang="en-US" sz="1600" b="0" i="1">
                            <a:latin typeface="Cambria Math" panose="02040503050406030204" pitchFamily="18" charset="0"/>
                            <a:ea typeface="Cambria Math" panose="02040503050406030204" pitchFamily="18" charset="0"/>
                          </a:rPr>
                          <m:t>h𝑒𝑎𝑡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𝐸𝐼</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𝑈𝑡𝑖𝑙𝑖𝑡𝑦</m:t>
                    </m:r>
                    <m:r>
                      <a:rPr lang="en-US" sz="1600" b="0" i="1">
                        <a:latin typeface="Cambria Math" panose="02040503050406030204" pitchFamily="18" charset="0"/>
                        <a:ea typeface="Cambria Math" panose="02040503050406030204" pitchFamily="18" charset="0"/>
                      </a:rPr>
                      <m:t> </m:t>
                    </m:r>
                    <m:r>
                      <a:rPr lang="en-US" sz="1600" b="0" i="1">
                        <a:latin typeface="Cambria Math" panose="02040503050406030204" pitchFamily="18" charset="0"/>
                        <a:ea typeface="Cambria Math" panose="02040503050406030204" pitchFamily="18" charset="0"/>
                      </a:rPr>
                      <m:t>𝐴𝑑𝑗𝑢𝑠𝑡𝑚𝑒𝑛𝑡</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24" name="TextBox 23">
              <a:extLst>
                <a:ext uri="{FF2B5EF4-FFF2-40B4-BE49-F238E27FC236}">
                  <a16:creationId xmlns:a16="http://schemas.microsoft.com/office/drawing/2014/main" id="{F7A516A9-83DB-44FE-9A8B-C4744D2C8115}"/>
                </a:ext>
              </a:extLst>
            </xdr:cNvPr>
            <xdr:cNvSpPr txBox="1"/>
          </xdr:nvSpPr>
          <xdr:spPr>
            <a:xfrm>
              <a:off x="3490651" y="7648575"/>
              <a:ext cx="59131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600"/>
            </a:p>
          </xdr:txBody>
        </xdr:sp>
      </mc:Fallback>
    </mc:AlternateContent>
    <xdr:clientData/>
  </xdr:twoCellAnchor>
  <xdr:twoCellAnchor>
    <xdr:from>
      <xdr:col>7</xdr:col>
      <xdr:colOff>54032</xdr:colOff>
      <xdr:row>162</xdr:row>
      <xdr:rowOff>127462</xdr:rowOff>
    </xdr:from>
    <xdr:to>
      <xdr:col>11</xdr:col>
      <xdr:colOff>1835726</xdr:colOff>
      <xdr:row>165</xdr:row>
      <xdr:rowOff>11092</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5429ED8-E1D5-443A-B210-CA821BEDD375}"/>
                </a:ext>
              </a:extLst>
            </xdr:cNvPr>
            <xdr:cNvSpPr txBox="1"/>
          </xdr:nvSpPr>
          <xdr:spPr>
            <a:xfrm>
              <a:off x="10693457" y="7648575"/>
              <a:ext cx="71633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𝑐𝑜𝑜𝑙𝑖𝑛𝑔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𝐴𝐶</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𝐸𝐹𝐿</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m:t>
                        </m:r>
                      </m:e>
                      <m:sub>
                        <m:r>
                          <a:rPr lang="en-US" sz="1600" b="0" i="1">
                            <a:latin typeface="Cambria Math" panose="02040503050406030204" pitchFamily="18" charset="0"/>
                            <a:ea typeface="Cambria Math" panose="02040503050406030204" pitchFamily="18" charset="0"/>
                          </a:rPr>
                          <m:t>𝑐𝑜𝑜𝑙</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𝐸𝐼</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𝑈𝑡𝑖𝑙𝑖𝑡𝑦</m:t>
                    </m:r>
                    <m:r>
                      <a:rPr lang="en-US" sz="1600" b="0" i="1">
                        <a:latin typeface="Cambria Math" panose="02040503050406030204" pitchFamily="18" charset="0"/>
                        <a:ea typeface="Cambria Math" panose="02040503050406030204" pitchFamily="18" charset="0"/>
                      </a:rPr>
                      <m:t> </m:t>
                    </m:r>
                    <m:r>
                      <a:rPr lang="en-US" sz="1600" b="0" i="1">
                        <a:latin typeface="Cambria Math" panose="02040503050406030204" pitchFamily="18" charset="0"/>
                        <a:ea typeface="Cambria Math" panose="02040503050406030204" pitchFamily="18" charset="0"/>
                      </a:rPr>
                      <m:t>𝐴𝑑𝑗𝑢𝑠𝑡𝑚𝑒𝑛𝑡</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25" name="TextBox 24">
              <a:extLst>
                <a:ext uri="{FF2B5EF4-FFF2-40B4-BE49-F238E27FC236}">
                  <a16:creationId xmlns:a16="http://schemas.microsoft.com/office/drawing/2014/main" id="{D5429ED8-E1D5-443A-B210-CA821BEDD375}"/>
                </a:ext>
              </a:extLst>
            </xdr:cNvPr>
            <xdr:cNvSpPr txBox="1"/>
          </xdr:nvSpPr>
          <xdr:spPr>
            <a:xfrm>
              <a:off x="10693457" y="7648575"/>
              <a:ext cx="71633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600"/>
            </a:p>
          </xdr:txBody>
        </xdr:sp>
      </mc:Fallback>
    </mc:AlternateContent>
    <xdr:clientData/>
  </xdr:twoCellAnchor>
  <xdr:twoCellAnchor>
    <xdr:from>
      <xdr:col>4</xdr:col>
      <xdr:colOff>92132</xdr:colOff>
      <xdr:row>165</xdr:row>
      <xdr:rowOff>114645</xdr:rowOff>
    </xdr:from>
    <xdr:to>
      <xdr:col>4</xdr:col>
      <xdr:colOff>3567545</xdr:colOff>
      <xdr:row>168</xdr:row>
      <xdr:rowOff>-1</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5D857F6-2D9E-4BC4-84D5-4CC324EFAE79}"/>
                </a:ext>
              </a:extLst>
            </xdr:cNvPr>
            <xdr:cNvSpPr txBox="1"/>
          </xdr:nvSpPr>
          <xdr:spPr>
            <a:xfrm>
              <a:off x="3521132" y="7648575"/>
              <a:ext cx="347541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05D857F6-2D9E-4BC4-84D5-4CC324EFAE79}"/>
                </a:ext>
              </a:extLst>
            </xdr:cNvPr>
            <xdr:cNvSpPr txBox="1"/>
          </xdr:nvSpPr>
          <xdr:spPr>
            <a:xfrm>
              <a:off x="3521132" y="7648575"/>
              <a:ext cx="347541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𝑘𝑊ℎ∗𝐶𝐹</a:t>
              </a:r>
              <a:endParaRPr lang="en-US" sz="1600"/>
            </a:p>
          </xdr:txBody>
        </xdr:sp>
      </mc:Fallback>
    </mc:AlternateContent>
    <xdr:clientData/>
  </xdr:twoCellAnchor>
  <xdr:twoCellAnchor>
    <xdr:from>
      <xdr:col>4</xdr:col>
      <xdr:colOff>303415</xdr:colOff>
      <xdr:row>190</xdr:row>
      <xdr:rowOff>72390</xdr:rowOff>
    </xdr:from>
    <xdr:to>
      <xdr:col>6</xdr:col>
      <xdr:colOff>173182</xdr:colOff>
      <xdr:row>193</xdr:row>
      <xdr:rowOff>121227</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3D9B9B14-DC7B-4C04-B0CF-60F6D17B7808}"/>
                </a:ext>
              </a:extLst>
            </xdr:cNvPr>
            <xdr:cNvSpPr txBox="1"/>
          </xdr:nvSpPr>
          <xdr:spPr>
            <a:xfrm>
              <a:off x="3732415" y="9172575"/>
              <a:ext cx="577526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7" name="TextBox 26">
              <a:extLst>
                <a:ext uri="{FF2B5EF4-FFF2-40B4-BE49-F238E27FC236}">
                  <a16:creationId xmlns:a16="http://schemas.microsoft.com/office/drawing/2014/main" id="{3D9B9B14-DC7B-4C04-B0CF-60F6D17B7808}"/>
                </a:ext>
              </a:extLst>
            </xdr:cNvPr>
            <xdr:cNvSpPr txBox="1"/>
          </xdr:nvSpPr>
          <xdr:spPr>
            <a:xfrm>
              <a:off x="3732415" y="9172575"/>
              <a:ext cx="577526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𝑘𝑊ℎ_𝐻𝑒𝑎𝑡𝑖𝑛𝑔𝑀𝑜𝑑𝑒=(1−% 𝑤𝑖𝑡ℎ 𝑛𝑒𝑤 𝐴𝑆𝐻𝑃)∗(400 𝑘𝑊ℎ/𝑦𝑟∗(𝐸𝐹𝐿𝐻_𝐻𝑒𝑎𝑡𝑖𝑛𝑔)/(𝑊𝐼 𝐸𝐹𝐿𝐻_𝐻𝑒𝑎𝑡𝑖𝑛𝑔 ))∗𝐻𝐹</a:t>
              </a:r>
              <a:endParaRPr lang="en-US" sz="1400"/>
            </a:p>
          </xdr:txBody>
        </xdr:sp>
      </mc:Fallback>
    </mc:AlternateContent>
    <xdr:clientData/>
  </xdr:twoCellAnchor>
  <xdr:twoCellAnchor>
    <xdr:from>
      <xdr:col>7</xdr:col>
      <xdr:colOff>2369474</xdr:colOff>
      <xdr:row>194</xdr:row>
      <xdr:rowOff>133005</xdr:rowOff>
    </xdr:from>
    <xdr:to>
      <xdr:col>15</xdr:col>
      <xdr:colOff>294409</xdr:colOff>
      <xdr:row>194</xdr:row>
      <xdr:rowOff>744682</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A4F19301-8C68-401C-9D4D-8F8947711218}"/>
                </a:ext>
              </a:extLst>
            </xdr:cNvPr>
            <xdr:cNvSpPr txBox="1"/>
          </xdr:nvSpPr>
          <xdr:spPr>
            <a:xfrm>
              <a:off x="13008899" y="9172575"/>
              <a:ext cx="78595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A4F19301-8C68-401C-9D4D-8F8947711218}"/>
                </a:ext>
              </a:extLst>
            </xdr:cNvPr>
            <xdr:cNvSpPr txBox="1"/>
          </xdr:nvSpPr>
          <xdr:spPr>
            <a:xfrm>
              <a:off x="13008899" y="9172575"/>
              <a:ext cx="78595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𝑘𝑊ℎ_𝐶𝑜𝑜𝑙𝑖𝑛𝑔𝑀𝑜𝑑𝑒=(1−% 𝑤𝑖𝑡ℎ 𝑁𝑒𝑤 𝐶𝑒𝑛𝑡𝑟𝑎𝑙 𝐶𝑜𝑜𝑙𝑖𝑛𝑔)∗(70 𝑘𝑊ℎ/𝑦𝑟∗(𝐸𝐹𝐿𝐻_𝑐𝑜𝑜𝑙𝑖𝑛𝑔)/(𝑊𝐼 𝐸𝐹𝐿𝐻_𝑐𝑜𝑜𝑙𝑖𝑛𝑔 ))∗𝐻𝐹</a:t>
              </a:r>
              <a:endParaRPr lang="en-US" sz="1400"/>
            </a:p>
          </xdr:txBody>
        </xdr:sp>
      </mc:Fallback>
    </mc:AlternateContent>
    <xdr:clientData/>
  </xdr:twoCellAnchor>
  <xdr:twoCellAnchor>
    <xdr:from>
      <xdr:col>3</xdr:col>
      <xdr:colOff>910243</xdr:colOff>
      <xdr:row>193</xdr:row>
      <xdr:rowOff>47798</xdr:rowOff>
    </xdr:from>
    <xdr:to>
      <xdr:col>7</xdr:col>
      <xdr:colOff>1194954</xdr:colOff>
      <xdr:row>194</xdr:row>
      <xdr:rowOff>623454</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74E5224B-1EB2-46B1-AD97-DA671F565AC5}"/>
                </a:ext>
              </a:extLst>
            </xdr:cNvPr>
            <xdr:cNvSpPr txBox="1"/>
          </xdr:nvSpPr>
          <xdr:spPr>
            <a:xfrm>
              <a:off x="3062893" y="9172575"/>
              <a:ext cx="877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9" name="TextBox 28">
              <a:extLst>
                <a:ext uri="{FF2B5EF4-FFF2-40B4-BE49-F238E27FC236}">
                  <a16:creationId xmlns:a16="http://schemas.microsoft.com/office/drawing/2014/main" id="{74E5224B-1EB2-46B1-AD97-DA671F565AC5}"/>
                </a:ext>
              </a:extLst>
            </xdr:cNvPr>
            <xdr:cNvSpPr txBox="1"/>
          </xdr:nvSpPr>
          <xdr:spPr>
            <a:xfrm>
              <a:off x="3062893" y="9172575"/>
              <a:ext cx="877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𝑘𝑊ℎ_𝐴𝑢𝑡𝑜𝐶𝑖𝑟𝑐𝑢𝑙𝑎𝑡𝑖𝑜𝑛=((25 𝑘𝑊ℎ/𝑦𝑟∗(𝐸𝐹𝐿𝐻_𝑐𝑜𝑜𝑙𝑖𝑛𝑔)/(𝑊𝐼 𝐸𝐹𝐿𝐻_𝑐𝑜𝑜𝑙𝑖𝑛𝑔 ))+2960 𝑘𝑊ℎ/𝑦𝑒𝑎𝑟∗</a:t>
              </a:r>
              <a:r>
                <a:rPr lang="en-US" sz="1400" b="0" i="0">
                  <a:solidFill>
                    <a:sysClr val="windowText" lastClr="000000"/>
                  </a:solidFill>
                  <a:latin typeface="Cambria Math" panose="02040503050406030204" pitchFamily="18" charset="0"/>
                  <a:ea typeface="Cambria Math" panose="02040503050406030204" pitchFamily="18" charset="0"/>
                </a:rPr>
                <a:t>𝑅𝑇</a:t>
              </a:r>
              <a:r>
                <a:rPr lang="en-US" sz="1400" b="0" i="0">
                  <a:latin typeface="Cambria Math" panose="02040503050406030204" pitchFamily="18" charset="0"/>
                  <a:ea typeface="Cambria Math" panose="02040503050406030204" pitchFamily="18" charset="0"/>
                </a:rPr>
                <a:t>−30 𝑘𝑊ℎ/𝑦𝑒𝑎𝑟)∗𝐻𝐹</a:t>
              </a:r>
              <a:endParaRPr lang="en-US" sz="1400"/>
            </a:p>
          </xdr:txBody>
        </xdr:sp>
      </mc:Fallback>
    </mc:AlternateContent>
    <xdr:clientData/>
  </xdr:twoCellAnchor>
  <xdr:twoCellAnchor>
    <xdr:from>
      <xdr:col>7</xdr:col>
      <xdr:colOff>1807325</xdr:colOff>
      <xdr:row>191</xdr:row>
      <xdr:rowOff>18009</xdr:rowOff>
    </xdr:from>
    <xdr:to>
      <xdr:col>15</xdr:col>
      <xdr:colOff>379267</xdr:colOff>
      <xdr:row>194</xdr:row>
      <xdr:rowOff>69271</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26C58F4E-CA84-473B-A67C-E75152F8EB78}"/>
                </a:ext>
              </a:extLst>
            </xdr:cNvPr>
            <xdr:cNvSpPr txBox="1"/>
          </xdr:nvSpPr>
          <xdr:spPr>
            <a:xfrm>
              <a:off x="12446750" y="9172575"/>
              <a:ext cx="850651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30" name="TextBox 29">
              <a:extLst>
                <a:ext uri="{FF2B5EF4-FFF2-40B4-BE49-F238E27FC236}">
                  <a16:creationId xmlns:a16="http://schemas.microsoft.com/office/drawing/2014/main" id="{26C58F4E-CA84-473B-A67C-E75152F8EB78}"/>
                </a:ext>
              </a:extLst>
            </xdr:cNvPr>
            <xdr:cNvSpPr txBox="1"/>
          </xdr:nvSpPr>
          <xdr:spPr>
            <a:xfrm>
              <a:off x="12446750" y="9172575"/>
              <a:ext cx="850651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𝑘𝑊ℎ_𝐶𝑜𝑛𝑡𝑖𝑛𝑢𝑜𝑢𝑠𝐶𝑖𝑟𝑐𝑢𝑙𝑎𝑡𝑖𝑜𝑛=((25 𝑘𝑊ℎ/𝑦𝑟∗(𝐸𝐹𝐿𝐻_𝑐𝑜𝑜𝑙𝑖𝑛𝑔)/(𝑊𝐼 𝐸𝐹𝐿𝐻_𝑐𝑜𝑜𝑙𝑖𝑛𝑔 ))+2960 𝑘𝑊ℎ/𝑦𝑒𝑎𝑟∗𝑅𝑇−30 𝑘𝑊ℎ/𝑦𝑒𝑎𝑟)∗𝐻𝐹</a:t>
              </a:r>
              <a:endParaRPr lang="en-US" sz="1400"/>
            </a:p>
          </xdr:txBody>
        </xdr:sp>
      </mc:Fallback>
    </mc:AlternateContent>
    <xdr:clientData/>
  </xdr:twoCellAnchor>
  <xdr:twoCellAnchor>
    <xdr:from>
      <xdr:col>10</xdr:col>
      <xdr:colOff>776328</xdr:colOff>
      <xdr:row>194</xdr:row>
      <xdr:rowOff>916478</xdr:rowOff>
    </xdr:from>
    <xdr:to>
      <xdr:col>16</xdr:col>
      <xdr:colOff>576452</xdr:colOff>
      <xdr:row>197</xdr:row>
      <xdr:rowOff>129887</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C4A7C50E-8F7B-42AA-AA7F-CAEF6AA9B8D0}"/>
                </a:ext>
              </a:extLst>
            </xdr:cNvPr>
            <xdr:cNvSpPr txBox="1"/>
          </xdr:nvSpPr>
          <xdr:spPr>
            <a:xfrm>
              <a:off x="16625928" y="9172575"/>
              <a:ext cx="53150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∗0.03412</m:t>
                            </m:r>
                          </m:num>
                          <m:den>
                            <m:r>
                              <a:rPr lang="en-US" sz="1400" b="0" i="1">
                                <a:latin typeface="Cambria Math" panose="02040503050406030204" pitchFamily="18" charset="0"/>
                                <a:ea typeface="Cambria Math" panose="02040503050406030204" pitchFamily="18" charset="0"/>
                              </a:rPr>
                              <m:t>𝐴𝐹𝑈𝐸</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31" name="TextBox 30">
              <a:extLst>
                <a:ext uri="{FF2B5EF4-FFF2-40B4-BE49-F238E27FC236}">
                  <a16:creationId xmlns:a16="http://schemas.microsoft.com/office/drawing/2014/main" id="{C4A7C50E-8F7B-42AA-AA7F-CAEF6AA9B8D0}"/>
                </a:ext>
              </a:extLst>
            </xdr:cNvPr>
            <xdr:cNvSpPr txBox="1"/>
          </xdr:nvSpPr>
          <xdr:spPr>
            <a:xfrm>
              <a:off x="16625928" y="9172575"/>
              <a:ext cx="53150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𝑇ℎ𝑒𝑟𝑚𝑠=((−𝐻𝑒𝑎𝑡𝑖𝑛𝑔 𝑆𝑎𝑣𝑖𝑛𝑔𝑠∗0.03412)/𝐴𝐹𝑈𝐸)∗𝐻𝐹</a:t>
              </a:r>
              <a:endParaRPr lang="en-US" sz="1400"/>
            </a:p>
          </xdr:txBody>
        </xdr:sp>
      </mc:Fallback>
    </mc:AlternateContent>
    <xdr:clientData/>
  </xdr:twoCellAnchor>
  <xdr:twoCellAnchor>
    <xdr:from>
      <xdr:col>3</xdr:col>
      <xdr:colOff>653935</xdr:colOff>
      <xdr:row>194</xdr:row>
      <xdr:rowOff>686146</xdr:rowOff>
    </xdr:from>
    <xdr:to>
      <xdr:col>4</xdr:col>
      <xdr:colOff>2926773</xdr:colOff>
      <xdr:row>195</xdr:row>
      <xdr:rowOff>51956</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2057781</xdr:colOff>
      <xdr:row>237</xdr:row>
      <xdr:rowOff>14823</xdr:rowOff>
    </xdr:from>
    <xdr:to>
      <xdr:col>5</xdr:col>
      <xdr:colOff>3838959</xdr:colOff>
      <xdr:row>238</xdr:row>
      <xdr:rowOff>74776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776999</xdr:colOff>
      <xdr:row>239</xdr:row>
      <xdr:rowOff>103</xdr:rowOff>
    </xdr:from>
    <xdr:to>
      <xdr:col>9</xdr:col>
      <xdr:colOff>1039090</xdr:colOff>
      <xdr:row>241</xdr:row>
      <xdr:rowOff>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4</xdr:col>
      <xdr:colOff>1400353</xdr:colOff>
      <xdr:row>242</xdr:row>
      <xdr:rowOff>10594</xdr:rowOff>
    </xdr:from>
    <xdr:to>
      <xdr:col>9</xdr:col>
      <xdr:colOff>995962</xdr:colOff>
      <xdr:row>243</xdr:row>
      <xdr:rowOff>70547</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722525</xdr:colOff>
      <xdr:row>244</xdr:row>
      <xdr:rowOff>165339</xdr:rowOff>
    </xdr:from>
    <xdr:to>
      <xdr:col>5</xdr:col>
      <xdr:colOff>634634</xdr:colOff>
      <xdr:row>246</xdr:row>
      <xdr:rowOff>34792</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178685</xdr:colOff>
      <xdr:row>301</xdr:row>
      <xdr:rowOff>155864</xdr:rowOff>
    </xdr:from>
    <xdr:to>
      <xdr:col>9</xdr:col>
      <xdr:colOff>630079</xdr:colOff>
      <xdr:row>305</xdr:row>
      <xdr:rowOff>63406</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i="1">
                        <a:solidFill>
                          <a:sysClr val="windowText" lastClr="000000"/>
                        </a:solidFill>
                        <a:effectLst/>
                        <a:latin typeface="Cambria Math" panose="02040503050406030204" pitchFamily="18" charset="0"/>
                        <a:ea typeface="+mn-ea"/>
                        <a:cs typeface="+mn-cs"/>
                      </a:rPr>
                      <m:t>∆</m:t>
                    </m:r>
                    <m:r>
                      <a:rPr lang="en-US" sz="1800" i="1">
                        <a:solidFill>
                          <a:sysClr val="windowText" lastClr="000000"/>
                        </a:solidFill>
                        <a:effectLst/>
                        <a:latin typeface="Cambria Math" panose="02040503050406030204" pitchFamily="18" charset="0"/>
                        <a:ea typeface="+mn-ea"/>
                        <a:cs typeface="+mn-cs"/>
                      </a:rPr>
                      <m:t>𝑘𝑊h</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𝐸𝑙𝑒𝑐𝑡𝑟𝑖𝑐𝐷𝐻𝑊</m:t>
                            </m:r>
                            <m:r>
                              <a:rPr lang="en-US" sz="1400" b="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i="1" baseline="0">
                                <a:solidFill>
                                  <a:sysClr val="windowText" lastClr="000000"/>
                                </a:solidFill>
                                <a:effectLst/>
                                <a:latin typeface="Cambria Math" panose="02040503050406030204" pitchFamily="18" charset="0"/>
                                <a:ea typeface="+mn-ea"/>
                                <a:cs typeface="+mn-cs"/>
                              </a:rPr>
                              <m:t> </m:t>
                            </m:r>
                            <m:r>
                              <a:rPr lang="en-US" sz="1400" b="0" i="1" baseline="0">
                                <a:solidFill>
                                  <a:sysClr val="windowText" lastClr="000000"/>
                                </a:solidFill>
                                <a:effectLst/>
                                <a:latin typeface="Cambria Math" panose="02040503050406030204" pitchFamily="18" charset="0"/>
                                <a:ea typeface="+mn-ea"/>
                                <a:cs typeface="+mn-cs"/>
                              </a:rPr>
                              <m:t>∗ </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365.25 ∗ </m:t>
                            </m:r>
                            <m:r>
                              <a:rPr lang="en-US" sz="1400" b="0" i="1" baseline="0">
                                <a:solidFill>
                                  <a:sysClr val="windowText" lastClr="000000"/>
                                </a:solidFill>
                                <a:effectLst/>
                                <a:latin typeface="Cambria Math" panose="02040503050406030204" pitchFamily="18" charset="0"/>
                                <a:ea typeface="+mn-ea"/>
                                <a:cs typeface="+mn-cs"/>
                              </a:rPr>
                              <m:t>𝐷𝐹</m:t>
                            </m:r>
                            <m:r>
                              <a:rPr lang="en-US" sz="1400" b="0" i="1" baseline="0">
                                <a:solidFill>
                                  <a:sysClr val="windowText" lastClr="000000"/>
                                </a:solidFill>
                                <a:effectLst/>
                                <a:latin typeface="Cambria Math" panose="020405030504060302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baseline="0">
                            <a:solidFill>
                              <a:sysClr val="windowText" lastClr="000000"/>
                            </a:solidFill>
                            <a:latin typeface="Cambria Math" panose="02040503050406030204" pitchFamily="18" charset="0"/>
                          </a:rPr>
                          <m:t>𝑒𝑙𝑒𝑐𝑡𝑟𝑖𝑐</m:t>
                        </m:r>
                      </m:sub>
                    </m:sSub>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∆𝑘𝑊ℎ</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%𝐸𝑙𝑒𝑐𝑡𝑟𝑖𝑐𝐷𝐻𝑊 ∗ (𝐺𝑃𝑀_𝑏𝑎𝑠𝑒 </a:t>
              </a:r>
              <a:r>
                <a:rPr lang="en-US" sz="1400" i="0" baseline="0">
                  <a:solidFill>
                    <a:sysClr val="windowText" lastClr="000000"/>
                  </a:solidFill>
                  <a:effectLst/>
                  <a:latin typeface="Cambria Math" panose="02040503050406030204" pitchFamily="18" charset="0"/>
                  <a:ea typeface="+mn-ea"/>
                  <a:cs typeface="+mn-cs"/>
                </a:rPr>
                <a:t> </a:t>
              </a:r>
              <a:r>
                <a:rPr lang="en-US" sz="1400" b="0" i="0" baseline="0">
                  <a:solidFill>
                    <a:sysClr val="windowText" lastClr="000000"/>
                  </a:solidFill>
                  <a:effectLst/>
                  <a:latin typeface="Cambria Math" panose="02040503050406030204" pitchFamily="18" charset="0"/>
                  <a:ea typeface="+mn-ea"/>
                  <a:cs typeface="+mn-cs"/>
                </a:rPr>
                <a:t>∗ 𝐿_𝑏𝑎𝑠𝑒−𝐺𝑃𝑀_𝑙𝑜𝑤∗𝐿_𝑙𝑜𝑤</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𝐻𝑜𝑢𝑠𝑒ℎ𝑜𝑙𝑑</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365.25 ∗ 𝐷𝐹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173184</xdr:colOff>
      <xdr:row>306</xdr:row>
      <xdr:rowOff>8110</xdr:rowOff>
    </xdr:from>
    <xdr:to>
      <xdr:col>7</xdr:col>
      <xdr:colOff>1777513</xdr:colOff>
      <xdr:row>309</xdr:row>
      <xdr:rowOff>146741</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DCB7FB0E-1B2C-4ED6-BBEB-3CE5D2C9BFE4}"/>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𝐸𝑃</m:t>
                    </m:r>
                    <m:sSub>
                      <m:sSubPr>
                        <m:ctrlPr>
                          <a:rPr lang="en-US" sz="1800" b="0" i="1">
                            <a:solidFill>
                              <a:sysClr val="windowText" lastClr="000000"/>
                            </a:solidFill>
                            <a:effectLst/>
                            <a:latin typeface="Cambria Math" panose="02040503050406030204" pitchFamily="18" charset="0"/>
                            <a:ea typeface="+mn-ea"/>
                            <a:cs typeface="+mn-cs"/>
                          </a:rPr>
                        </m:ctrlPr>
                      </m:sSubPr>
                      <m:e>
                        <m:r>
                          <a:rPr lang="en-US" sz="1800" b="0" i="1">
                            <a:solidFill>
                              <a:sysClr val="windowText" lastClr="000000"/>
                            </a:solidFill>
                            <a:effectLst/>
                            <a:latin typeface="Cambria Math" panose="02040503050406030204" pitchFamily="18" charset="0"/>
                            <a:ea typeface="+mn-ea"/>
                            <a:cs typeface="+mn-cs"/>
                          </a:rPr>
                          <m:t>𝐺</m:t>
                        </m:r>
                      </m:e>
                      <m:sub>
                        <m:r>
                          <a:rPr lang="en-US" sz="1800" b="0" i="1">
                            <a:solidFill>
                              <a:sysClr val="windowText" lastClr="000000"/>
                            </a:solidFill>
                            <a:effectLst/>
                            <a:latin typeface="Cambria Math" panose="02040503050406030204" pitchFamily="18" charset="0"/>
                            <a:ea typeface="+mn-ea"/>
                            <a:cs typeface="+mn-cs"/>
                          </a:rPr>
                          <m:t>𝑒𝑙𝑒𝑐𝑡𝑟𝑖𝑐</m:t>
                        </m:r>
                      </m:sub>
                    </m:sSub>
                    <m:r>
                      <a:rPr lang="en-US" sz="1800" i="1">
                        <a:solidFill>
                          <a:sysClr val="windowText" lastClr="000000"/>
                        </a:solidFill>
                        <a:effectLst/>
                        <a:latin typeface="Cambria Math" panose="020405030504060302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m:t>
                            </m:r>
                          </m:e>
                          <m:sub>
                            <m:r>
                              <a:rPr lang="en-US" sz="1400" b="0" i="1">
                                <a:solidFill>
                                  <a:schemeClr val="tx1"/>
                                </a:solidFill>
                                <a:effectLst/>
                                <a:latin typeface="Cambria Math" panose="02040503050406030204" pitchFamily="18" charset="0"/>
                                <a:ea typeface="+mn-ea"/>
                                <a:cs typeface="+mn-cs"/>
                              </a:rPr>
                              <m:t>𝑒𝑙𝑒𝑐𝑡𝑟𝑖𝑐</m:t>
                            </m:r>
                          </m:sub>
                        </m:sSub>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8" name="TextBox 37">
              <a:extLst>
                <a:ext uri="{FF2B5EF4-FFF2-40B4-BE49-F238E27FC236}">
                  <a16:creationId xmlns:a16="http://schemas.microsoft.com/office/drawing/2014/main" id="{DCB7FB0E-1B2C-4ED6-BBEB-3CE5D2C9BFE4}"/>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𝐸𝑃𝐺_𝑒𝑙𝑒𝑐𝑡𝑟𝑖𝑐 </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169328</xdr:colOff>
      <xdr:row>440</xdr:row>
      <xdr:rowOff>163744</xdr:rowOff>
    </xdr:from>
    <xdr:to>
      <xdr:col>5</xdr:col>
      <xdr:colOff>549851</xdr:colOff>
      <xdr:row>442</xdr:row>
      <xdr:rowOff>134216</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57B79156-47CE-43DE-B435-990B6A2738AB}"/>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oMath>
                </m:oMathPara>
              </a14:m>
              <a:endParaRPr lang="en-US" sz="1600"/>
            </a:p>
          </xdr:txBody>
        </xdr:sp>
      </mc:Choice>
      <mc:Fallback xmlns="">
        <xdr:sp macro="" textlink="">
          <xdr:nvSpPr>
            <xdr:cNvPr id="39" name="TextBox 38">
              <a:extLst>
                <a:ext uri="{FF2B5EF4-FFF2-40B4-BE49-F238E27FC236}">
                  <a16:creationId xmlns:a16="http://schemas.microsoft.com/office/drawing/2014/main" id="{57B79156-47CE-43DE-B435-990B6A2738AB}"/>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endParaRPr lang="en-US" sz="1600"/>
            </a:p>
          </xdr:txBody>
        </xdr:sp>
      </mc:Fallback>
    </mc:AlternateContent>
    <xdr:clientData/>
  </xdr:twoCellAnchor>
  <xdr:twoCellAnchor>
    <xdr:from>
      <xdr:col>2</xdr:col>
      <xdr:colOff>396240</xdr:colOff>
      <xdr:row>465</xdr:row>
      <xdr:rowOff>68580</xdr:rowOff>
    </xdr:from>
    <xdr:to>
      <xdr:col>4</xdr:col>
      <xdr:colOff>3323077</xdr:colOff>
      <xdr:row>467</xdr:row>
      <xdr:rowOff>171623</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23641050"/>
              <a:ext cx="5546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𝑘𝑊h</m:t>
                            </m:r>
                          </m:num>
                          <m:den>
                            <m:r>
                              <a:rPr lang="en-US" sz="1400" b="0" i="1">
                                <a:latin typeface="Cambria Math" panose="02040503050406030204" pitchFamily="18" charset="0"/>
                              </a:rPr>
                              <m:t>𝑌𝑒𝑎𝑟</m:t>
                            </m:r>
                          </m:den>
                        </m:f>
                      </m:e>
                    </m:d>
                    <m:r>
                      <a:rPr lang="en-US" sz="1400" b="0" i="1">
                        <a:latin typeface="Cambria Math" panose="02040503050406030204" pitchFamily="18" charset="0"/>
                      </a:rPr>
                      <m:t>=</m:t>
                    </m:r>
                    <m:r>
                      <a:rPr lang="en-US" sz="1400" b="0" i="1">
                        <a:latin typeface="Cambria Math" panose="02040503050406030204" pitchFamily="18" charset="0"/>
                      </a:rPr>
                      <m:t>𝐷𝑎𝑦</m:t>
                    </m:r>
                    <m:sSub>
                      <m:sSubPr>
                        <m:ctrlPr>
                          <a:rPr lang="en-US" sz="1400" b="0" i="1">
                            <a:latin typeface="Cambria Math" panose="02040503050406030204" pitchFamily="18" charset="0"/>
                          </a:rPr>
                        </m:ctrlPr>
                      </m:sSubPr>
                      <m:e>
                        <m:r>
                          <a:rPr lang="en-US" sz="1400" b="0" i="1">
                            <a:latin typeface="Cambria Math" panose="02040503050406030204" pitchFamily="18" charset="0"/>
                          </a:rPr>
                          <m:t>𝑠</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e>
                    </m:d>
                  </m:oMath>
                </m:oMathPara>
              </a14:m>
              <a:endParaRPr lang="en-US" sz="1400"/>
            </a:p>
          </xdr:txBody>
        </xdr:sp>
      </mc:Choice>
      <mc:Fallback xmlns="">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23641050"/>
              <a:ext cx="5546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𝐸𝑛𝑒𝑟𝑔𝑦 𝑆𝑎𝑣𝑖𝑛𝑔𝑠 (𝑘𝑊ℎ/𝑌𝑒𝑎𝑟)=𝐷𝑎𝑦𝑠_𝑜𝑝𝑒𝑟∗{((𝑘𝑊ℎ_𝑠𝑠)/𝐷𝑎𝑦)−((𝑘𝑊ℎ_𝑑𝑠)/𝐷𝑎𝑦)}</a:t>
              </a:r>
              <a:endParaRPr lang="en-US" sz="1400"/>
            </a:p>
          </xdr:txBody>
        </xdr:sp>
      </mc:Fallback>
    </mc:AlternateContent>
    <xdr:clientData/>
  </xdr:twoCellAnchor>
  <xdr:twoCellAnchor>
    <xdr:from>
      <xdr:col>3</xdr:col>
      <xdr:colOff>137160</xdr:colOff>
      <xdr:row>473</xdr:row>
      <xdr:rowOff>144780</xdr:rowOff>
    </xdr:from>
    <xdr:to>
      <xdr:col>4</xdr:col>
      <xdr:colOff>981803</xdr:colOff>
      <xdr:row>476</xdr:row>
      <xdr:rowOff>57323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2289810" y="23641050"/>
              <a:ext cx="212099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2289810" y="23641050"/>
              <a:ext cx="212099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2</xdr:col>
      <xdr:colOff>480060</xdr:colOff>
      <xdr:row>469</xdr:row>
      <xdr:rowOff>76200</xdr:rowOff>
    </xdr:from>
    <xdr:to>
      <xdr:col>4</xdr:col>
      <xdr:colOff>1176926</xdr:colOff>
      <xdr:row>471</xdr:row>
      <xdr:rowOff>174253</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23641050"/>
              <a:ext cx="331624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23641050"/>
              <a:ext cx="331624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1257300</xdr:colOff>
      <xdr:row>469</xdr:row>
      <xdr:rowOff>129540</xdr:rowOff>
    </xdr:from>
    <xdr:to>
      <xdr:col>5</xdr:col>
      <xdr:colOff>407896</xdr:colOff>
      <xdr:row>472</xdr:row>
      <xdr:rowOff>42083</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686300" y="23641050"/>
              <a:ext cx="318919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686300" y="23641050"/>
              <a:ext cx="318919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4</xdr:col>
      <xdr:colOff>1097280</xdr:colOff>
      <xdr:row>474</xdr:row>
      <xdr:rowOff>0</xdr:rowOff>
    </xdr:from>
    <xdr:to>
      <xdr:col>5</xdr:col>
      <xdr:colOff>160470</xdr:colOff>
      <xdr:row>476</xdr:row>
      <xdr:rowOff>103043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526280" y="23641050"/>
              <a:ext cx="310179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526280" y="23641050"/>
              <a:ext cx="310179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5</xdr:col>
      <xdr:colOff>243840</xdr:colOff>
      <xdr:row>465</xdr:row>
      <xdr:rowOff>167640</xdr:rowOff>
    </xdr:from>
    <xdr:to>
      <xdr:col>7</xdr:col>
      <xdr:colOff>640773</xdr:colOff>
      <xdr:row>467</xdr:row>
      <xdr:rowOff>138546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711440" y="23641050"/>
              <a:ext cx="356875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711440" y="23641050"/>
              <a:ext cx="356875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190500</xdr:colOff>
      <xdr:row>411</xdr:row>
      <xdr:rowOff>22412</xdr:rowOff>
    </xdr:from>
    <xdr:to>
      <xdr:col>6</xdr:col>
      <xdr:colOff>417812</xdr:colOff>
      <xdr:row>412</xdr:row>
      <xdr:rowOff>188147</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504F25BD-AC92-49B8-ACFB-7F13926CB20A}"/>
                </a:ext>
              </a:extLst>
            </xdr:cNvPr>
            <xdr:cNvSpPr txBox="1"/>
          </xdr:nvSpPr>
          <xdr:spPr>
            <a:xfrm>
              <a:off x="3619500" y="19345275"/>
              <a:ext cx="61328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𝑜𝑓𝑓𝑖𝑐𝑒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𝑂𝑓𝑓𝑖𝑐𝑒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𝐸𝑛𝑡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𝐸𝑛𝑡</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46" name="TextBox 45">
              <a:extLst>
                <a:ext uri="{FF2B5EF4-FFF2-40B4-BE49-F238E27FC236}">
                  <a16:creationId xmlns:a16="http://schemas.microsoft.com/office/drawing/2014/main" id="{504F25BD-AC92-49B8-ACFB-7F13926CB20A}"/>
                </a:ext>
              </a:extLst>
            </xdr:cNvPr>
            <xdr:cNvSpPr txBox="1"/>
          </xdr:nvSpPr>
          <xdr:spPr>
            <a:xfrm>
              <a:off x="3619500" y="19345275"/>
              <a:ext cx="61328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600"/>
            </a:p>
          </xdr:txBody>
        </xdr:sp>
      </mc:Fallback>
    </mc:AlternateContent>
    <xdr:clientData/>
  </xdr:twoCellAnchor>
  <xdr:twoCellAnchor>
    <xdr:from>
      <xdr:col>3</xdr:col>
      <xdr:colOff>1318259</xdr:colOff>
      <xdr:row>501</xdr:row>
      <xdr:rowOff>64769</xdr:rowOff>
    </xdr:from>
    <xdr:to>
      <xdr:col>5</xdr:col>
      <xdr:colOff>1714499</xdr:colOff>
      <xdr:row>503</xdr:row>
      <xdr:rowOff>86590</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𝑢𝑛𝑖𝑡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𝑏𝑎𝑠𝑒</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𝑛𝑒𝑤</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𝑆𝑎𝑣𝑖𝑛𝑔𝑠</m:t>
                            </m:r>
                          </m:e>
                        </m:d>
                      </m:e>
                    </m:d>
                  </m:oMath>
                </m:oMathPara>
              </a14:m>
              <a:endParaRPr lang="en-US" sz="1600"/>
            </a:p>
          </xdr:txBody>
        </xdr:sp>
      </mc:Choice>
      <mc:Fallback xmlns="">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48" name="TextBox 47">
          <a:extLst>
            <a:ext uri="{FF2B5EF4-FFF2-40B4-BE49-F238E27FC236}">
              <a16:creationId xmlns:a16="http://schemas.microsoft.com/office/drawing/2014/main" id="{6A85CCD3-9CE8-4F1D-A6E1-71E1121F1F1B}"/>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9" name="TextBox 48">
          <a:extLst>
            <a:ext uri="{FF2B5EF4-FFF2-40B4-BE49-F238E27FC236}">
              <a16:creationId xmlns:a16="http://schemas.microsoft.com/office/drawing/2014/main" id="{C98CAA05-1DBF-4691-93F9-3AB08514FFE1}"/>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xdr:row>
      <xdr:rowOff>0</xdr:rowOff>
    </xdr:from>
    <xdr:ext cx="65" cy="172227"/>
    <xdr:sp macro="" textlink="">
      <xdr:nvSpPr>
        <xdr:cNvPr id="50" name="TextBox 49">
          <a:extLst>
            <a:ext uri="{FF2B5EF4-FFF2-40B4-BE49-F238E27FC236}">
              <a16:creationId xmlns:a16="http://schemas.microsoft.com/office/drawing/2014/main" id="{6A85CCD3-9CE8-4F1D-A6E1-71E1121F1F1B}"/>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xdr:row>
      <xdr:rowOff>0</xdr:rowOff>
    </xdr:from>
    <xdr:ext cx="65" cy="172227"/>
    <xdr:sp macro="" textlink="">
      <xdr:nvSpPr>
        <xdr:cNvPr id="51" name="TextBox 50">
          <a:extLst>
            <a:ext uri="{FF2B5EF4-FFF2-40B4-BE49-F238E27FC236}">
              <a16:creationId xmlns:a16="http://schemas.microsoft.com/office/drawing/2014/main" id="{C98CAA05-1DBF-4691-93F9-3AB08514FFE1}"/>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156</xdr:row>
      <xdr:rowOff>0</xdr:rowOff>
    </xdr:from>
    <xdr:ext cx="65" cy="172227"/>
    <xdr:sp macro="" textlink="">
      <xdr:nvSpPr>
        <xdr:cNvPr id="52" name="TextBox 51">
          <a:extLst>
            <a:ext uri="{FF2B5EF4-FFF2-40B4-BE49-F238E27FC236}">
              <a16:creationId xmlns:a16="http://schemas.microsoft.com/office/drawing/2014/main" id="{6A85CCD3-9CE8-4F1D-A6E1-71E1121F1F1B}"/>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156</xdr:row>
      <xdr:rowOff>0</xdr:rowOff>
    </xdr:from>
    <xdr:ext cx="65" cy="172227"/>
    <xdr:sp macro="" textlink="">
      <xdr:nvSpPr>
        <xdr:cNvPr id="53" name="TextBox 52">
          <a:extLst>
            <a:ext uri="{FF2B5EF4-FFF2-40B4-BE49-F238E27FC236}">
              <a16:creationId xmlns:a16="http://schemas.microsoft.com/office/drawing/2014/main" id="{C98CAA05-1DBF-4691-93F9-3AB08514FFE1}"/>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184</xdr:row>
      <xdr:rowOff>0</xdr:rowOff>
    </xdr:from>
    <xdr:ext cx="65" cy="172227"/>
    <xdr:sp macro="" textlink="">
      <xdr:nvSpPr>
        <xdr:cNvPr id="54" name="TextBox 53">
          <a:extLst>
            <a:ext uri="{FF2B5EF4-FFF2-40B4-BE49-F238E27FC236}">
              <a16:creationId xmlns:a16="http://schemas.microsoft.com/office/drawing/2014/main" id="{6A85CCD3-9CE8-4F1D-A6E1-71E1121F1F1B}"/>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184</xdr:row>
      <xdr:rowOff>0</xdr:rowOff>
    </xdr:from>
    <xdr:ext cx="65" cy="172227"/>
    <xdr:sp macro="" textlink="">
      <xdr:nvSpPr>
        <xdr:cNvPr id="55" name="TextBox 54">
          <a:extLst>
            <a:ext uri="{FF2B5EF4-FFF2-40B4-BE49-F238E27FC236}">
              <a16:creationId xmlns:a16="http://schemas.microsoft.com/office/drawing/2014/main" id="{C98CAA05-1DBF-4691-93F9-3AB08514FFE1}"/>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220</xdr:row>
      <xdr:rowOff>0</xdr:rowOff>
    </xdr:from>
    <xdr:ext cx="65" cy="172227"/>
    <xdr:sp macro="" textlink="">
      <xdr:nvSpPr>
        <xdr:cNvPr id="56" name="TextBox 55">
          <a:extLst>
            <a:ext uri="{FF2B5EF4-FFF2-40B4-BE49-F238E27FC236}">
              <a16:creationId xmlns:a16="http://schemas.microsoft.com/office/drawing/2014/main" id="{6A85CCD3-9CE8-4F1D-A6E1-71E1121F1F1B}"/>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220</xdr:row>
      <xdr:rowOff>0</xdr:rowOff>
    </xdr:from>
    <xdr:ext cx="65" cy="172227"/>
    <xdr:sp macro="" textlink="">
      <xdr:nvSpPr>
        <xdr:cNvPr id="57" name="TextBox 56">
          <a:extLst>
            <a:ext uri="{FF2B5EF4-FFF2-40B4-BE49-F238E27FC236}">
              <a16:creationId xmlns:a16="http://schemas.microsoft.com/office/drawing/2014/main" id="{C98CAA05-1DBF-4691-93F9-3AB08514FFE1}"/>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297</xdr:row>
      <xdr:rowOff>0</xdr:rowOff>
    </xdr:from>
    <xdr:ext cx="65" cy="172227"/>
    <xdr:sp macro="" textlink="">
      <xdr:nvSpPr>
        <xdr:cNvPr id="58" name="TextBox 57">
          <a:extLst>
            <a:ext uri="{FF2B5EF4-FFF2-40B4-BE49-F238E27FC236}">
              <a16:creationId xmlns:a16="http://schemas.microsoft.com/office/drawing/2014/main" id="{6A85CCD3-9CE8-4F1D-A6E1-71E1121F1F1B}"/>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297</xdr:row>
      <xdr:rowOff>0</xdr:rowOff>
    </xdr:from>
    <xdr:ext cx="65" cy="172227"/>
    <xdr:sp macro="" textlink="">
      <xdr:nvSpPr>
        <xdr:cNvPr id="59" name="TextBox 58">
          <a:extLst>
            <a:ext uri="{FF2B5EF4-FFF2-40B4-BE49-F238E27FC236}">
              <a16:creationId xmlns:a16="http://schemas.microsoft.com/office/drawing/2014/main" id="{C98CAA05-1DBF-4691-93F9-3AB08514FFE1}"/>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332</xdr:row>
      <xdr:rowOff>0</xdr:rowOff>
    </xdr:from>
    <xdr:ext cx="65" cy="172227"/>
    <xdr:sp macro="" textlink="">
      <xdr:nvSpPr>
        <xdr:cNvPr id="60" name="TextBox 59">
          <a:extLst>
            <a:ext uri="{FF2B5EF4-FFF2-40B4-BE49-F238E27FC236}">
              <a16:creationId xmlns:a16="http://schemas.microsoft.com/office/drawing/2014/main" id="{6A85CCD3-9CE8-4F1D-A6E1-71E1121F1F1B}"/>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332</xdr:row>
      <xdr:rowOff>0</xdr:rowOff>
    </xdr:from>
    <xdr:ext cx="65" cy="172227"/>
    <xdr:sp macro="" textlink="">
      <xdr:nvSpPr>
        <xdr:cNvPr id="61" name="TextBox 60">
          <a:extLst>
            <a:ext uri="{FF2B5EF4-FFF2-40B4-BE49-F238E27FC236}">
              <a16:creationId xmlns:a16="http://schemas.microsoft.com/office/drawing/2014/main" id="{C98CAA05-1DBF-4691-93F9-3AB08514FFE1}"/>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366</xdr:row>
      <xdr:rowOff>0</xdr:rowOff>
    </xdr:from>
    <xdr:ext cx="65" cy="172227"/>
    <xdr:sp macro="" textlink="">
      <xdr:nvSpPr>
        <xdr:cNvPr id="62" name="TextBox 61">
          <a:extLst>
            <a:ext uri="{FF2B5EF4-FFF2-40B4-BE49-F238E27FC236}">
              <a16:creationId xmlns:a16="http://schemas.microsoft.com/office/drawing/2014/main" id="{6A85CCD3-9CE8-4F1D-A6E1-71E1121F1F1B}"/>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366</xdr:row>
      <xdr:rowOff>0</xdr:rowOff>
    </xdr:from>
    <xdr:ext cx="65" cy="172227"/>
    <xdr:sp macro="" textlink="">
      <xdr:nvSpPr>
        <xdr:cNvPr id="63" name="TextBox 62">
          <a:extLst>
            <a:ext uri="{FF2B5EF4-FFF2-40B4-BE49-F238E27FC236}">
              <a16:creationId xmlns:a16="http://schemas.microsoft.com/office/drawing/2014/main" id="{C98CAA05-1DBF-4691-93F9-3AB08514FFE1}"/>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401</xdr:row>
      <xdr:rowOff>0</xdr:rowOff>
    </xdr:from>
    <xdr:ext cx="65" cy="172227"/>
    <xdr:sp macro="" textlink="">
      <xdr:nvSpPr>
        <xdr:cNvPr id="64" name="TextBox 63">
          <a:extLst>
            <a:ext uri="{FF2B5EF4-FFF2-40B4-BE49-F238E27FC236}">
              <a16:creationId xmlns:a16="http://schemas.microsoft.com/office/drawing/2014/main" id="{6A85CCD3-9CE8-4F1D-A6E1-71E1121F1F1B}"/>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401</xdr:row>
      <xdr:rowOff>0</xdr:rowOff>
    </xdr:from>
    <xdr:ext cx="65" cy="172227"/>
    <xdr:sp macro="" textlink="">
      <xdr:nvSpPr>
        <xdr:cNvPr id="65" name="TextBox 64">
          <a:extLst>
            <a:ext uri="{FF2B5EF4-FFF2-40B4-BE49-F238E27FC236}">
              <a16:creationId xmlns:a16="http://schemas.microsoft.com/office/drawing/2014/main" id="{C98CAA05-1DBF-4691-93F9-3AB08514FFE1}"/>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427</xdr:row>
      <xdr:rowOff>0</xdr:rowOff>
    </xdr:from>
    <xdr:ext cx="65" cy="172227"/>
    <xdr:sp macro="" textlink="">
      <xdr:nvSpPr>
        <xdr:cNvPr id="66" name="TextBox 65">
          <a:extLst>
            <a:ext uri="{FF2B5EF4-FFF2-40B4-BE49-F238E27FC236}">
              <a16:creationId xmlns:a16="http://schemas.microsoft.com/office/drawing/2014/main" id="{6A85CCD3-9CE8-4F1D-A6E1-71E1121F1F1B}"/>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427</xdr:row>
      <xdr:rowOff>0</xdr:rowOff>
    </xdr:from>
    <xdr:ext cx="65" cy="172227"/>
    <xdr:sp macro="" textlink="">
      <xdr:nvSpPr>
        <xdr:cNvPr id="67" name="TextBox 66">
          <a:extLst>
            <a:ext uri="{FF2B5EF4-FFF2-40B4-BE49-F238E27FC236}">
              <a16:creationId xmlns:a16="http://schemas.microsoft.com/office/drawing/2014/main" id="{C98CAA05-1DBF-4691-93F9-3AB08514FFE1}"/>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459</xdr:row>
      <xdr:rowOff>0</xdr:rowOff>
    </xdr:from>
    <xdr:ext cx="65" cy="172227"/>
    <xdr:sp macro="" textlink="">
      <xdr:nvSpPr>
        <xdr:cNvPr id="68" name="TextBox 67">
          <a:extLst>
            <a:ext uri="{FF2B5EF4-FFF2-40B4-BE49-F238E27FC236}">
              <a16:creationId xmlns:a16="http://schemas.microsoft.com/office/drawing/2014/main" id="{6A85CCD3-9CE8-4F1D-A6E1-71E1121F1F1B}"/>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459</xdr:row>
      <xdr:rowOff>0</xdr:rowOff>
    </xdr:from>
    <xdr:ext cx="65" cy="172227"/>
    <xdr:sp macro="" textlink="">
      <xdr:nvSpPr>
        <xdr:cNvPr id="69" name="TextBox 68">
          <a:extLst>
            <a:ext uri="{FF2B5EF4-FFF2-40B4-BE49-F238E27FC236}">
              <a16:creationId xmlns:a16="http://schemas.microsoft.com/office/drawing/2014/main" id="{C98CAA05-1DBF-4691-93F9-3AB08514FFE1}"/>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495</xdr:row>
      <xdr:rowOff>0</xdr:rowOff>
    </xdr:from>
    <xdr:ext cx="65" cy="172227"/>
    <xdr:sp macro="" textlink="">
      <xdr:nvSpPr>
        <xdr:cNvPr id="70" name="TextBox 69">
          <a:extLst>
            <a:ext uri="{FF2B5EF4-FFF2-40B4-BE49-F238E27FC236}">
              <a16:creationId xmlns:a16="http://schemas.microsoft.com/office/drawing/2014/main" id="{6A85CCD3-9CE8-4F1D-A6E1-71E1121F1F1B}"/>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495</xdr:row>
      <xdr:rowOff>0</xdr:rowOff>
    </xdr:from>
    <xdr:ext cx="65" cy="172227"/>
    <xdr:sp macro="" textlink="">
      <xdr:nvSpPr>
        <xdr:cNvPr id="71" name="TextBox 70">
          <a:extLst>
            <a:ext uri="{FF2B5EF4-FFF2-40B4-BE49-F238E27FC236}">
              <a16:creationId xmlns:a16="http://schemas.microsoft.com/office/drawing/2014/main" id="{C98CAA05-1DBF-4691-93F9-3AB08514FFE1}"/>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Users\jordan.christenson\Desktop\OGE\Edited%20EXAMPLE%20Site%20Visit%20Calculator.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P\1609\2.%20Multifamily%20DI\Analysis\Duct%20Sealing_Trade%20Allies_M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P\1315\1315-16%20Low%20Income%20Home%20Efficiency\PNM%20Low%20Income%20SAMPLE%201409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dmusgroup.org\energy\Users\Sam%20Chen\Desktop\AUE%20Lighting%20Impact%20Workbook%2028Jan20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L:\P\1609\2.%20Multifamily%20DI\Analysis\Final%20Analysis%20MFDI_V2_JC.zk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PY16\5.%20Impact%20analysis\InstallationRates%20COPY%20FOR%20NTG.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PY16\5.%20Impact%20analysis\Ameren%20MO_Lighting_PY16_Dashboard_Q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Users\jennifer.shen\Downloads\Jen%20Dec%20ABQ%20Scheduling%20Workbookl.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gobntpvcasewks1/DSM/2016%20Evaluation/ADM_Annual_Reporting_Documentation/Impact/BizSavers%20Analysis/BizSavers%20Site-Level%20Analysis/1078_14649_&#173;Bethesda%20Health%20Group%20Inc/LM_docs/14649%20-%20Application%20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Transfer\Zephaniah\Res%20and%20LI%20analysis%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Y Data"/>
      <sheetName val="Duct analysis"/>
      <sheetName val="PRJ Lookup"/>
      <sheetName val="Bob Results"/>
      <sheetName val="Inputs"/>
    </sheetNames>
    <sheetDataSet>
      <sheetData sheetId="0"/>
      <sheetData sheetId="1"/>
      <sheetData sheetId="2"/>
      <sheetData sheetId="3">
        <row r="68">
          <cell r="AT68">
            <v>2.1929618768328445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Bulb Lookup"/>
      <sheetName val="LightSavers"/>
      <sheetName val="LightSavers_GrossDetails"/>
      <sheetName val="Qty Summary"/>
      <sheetName val="LightSavers_NetDetails"/>
      <sheetName val="Savings Parameters"/>
      <sheetName val="Data Summary"/>
      <sheetName val="Savings Pivot"/>
      <sheetName val="POP Sales"/>
      <sheetName val="Coupon Sales"/>
      <sheetName val="SMD Distributio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e Visit Data"/>
      <sheetName val="Sample Data"/>
      <sheetName val="Stratum Count"/>
      <sheetName val="Project Level Analysis"/>
      <sheetName val="Tables"/>
      <sheetName val="Inputs"/>
      <sheetName val="Tracking data pivot"/>
      <sheetName val="Reference Project Numbers"/>
      <sheetName val="Final Data"/>
      <sheetName val="Aerators"/>
      <sheetName val="Air sealing"/>
      <sheetName val="Duct sealing.zkd"/>
      <sheetName val="Duct sealing"/>
      <sheetName val="CLF and LED"/>
      <sheetName val="Smart Strips"/>
      <sheetName val="Showerheads"/>
    </sheetNames>
    <sheetDataSet>
      <sheetData sheetId="0" refreshError="1"/>
      <sheetData sheetId="1" refreshError="1"/>
      <sheetData sheetId="2" refreshError="1"/>
      <sheetData sheetId="3" refreshError="1"/>
      <sheetData sheetId="4" refreshError="1"/>
      <sheetData sheetId="5" refreshError="1">
        <row r="15">
          <cell r="G15">
            <v>0.68199999999999994</v>
          </cell>
        </row>
        <row r="16">
          <cell r="I16">
            <v>0.87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W Key"/>
      <sheetName val="HEW Raw Data"/>
      <sheetName val="Schools_HEW questions_summary"/>
      <sheetName val="Cadmus Parent Survey"/>
      <sheetName val="Child Parent Survey Summary"/>
      <sheetName val="Installation Rates"/>
      <sheetName val="Raw Cadmus Survey Data"/>
      <sheetName val="Sheet2"/>
      <sheetName val="Sheet3"/>
      <sheetName val="Sheet1"/>
      <sheetName val="Pivot"/>
      <sheetName val="AMo Customers by School"/>
      <sheetName val="AMo Customers by School Final"/>
      <sheetName val="Whistle Pivot Raw Data "/>
      <sheetName val="Whistle Equipment"/>
    </sheetNames>
    <sheetDataSet>
      <sheetData sheetId="0" refreshError="1"/>
      <sheetData sheetId="1" refreshError="1"/>
      <sheetData sheetId="2" refreshError="1"/>
      <sheetData sheetId="3" refreshError="1"/>
      <sheetData sheetId="4" refreshError="1"/>
      <sheetData sheetId="5" refreshError="1"/>
      <sheetData sheetId="6" refreshError="1">
        <row r="1">
          <cell r="F1" t="str">
            <v>V10</v>
          </cell>
          <cell r="O1" t="str">
            <v>LED QTY</v>
          </cell>
          <cell r="CI1" t="str">
            <v>LED Validity</v>
          </cell>
          <cell r="CJ1" t="str">
            <v>Greater than 4 =4</v>
          </cell>
          <cell r="DI1" t="str">
            <v>Valid</v>
          </cell>
          <cell r="DJ1" t="str">
            <v>New</v>
          </cell>
        </row>
        <row r="2">
          <cell r="F2" t="str">
            <v>Finished</v>
          </cell>
          <cell r="O2" t="str">
            <v>LED QTY</v>
          </cell>
          <cell r="CI2">
            <v>0</v>
          </cell>
          <cell r="CJ2">
            <v>0</v>
          </cell>
          <cell r="DI2" t="str">
            <v>LED</v>
          </cell>
          <cell r="DJ2" t="str">
            <v>LED</v>
          </cell>
        </row>
        <row r="3">
          <cell r="F3">
            <v>1</v>
          </cell>
          <cell r="O3">
            <v>4</v>
          </cell>
          <cell r="CI3">
            <v>1</v>
          </cell>
          <cell r="CJ3">
            <v>4</v>
          </cell>
          <cell r="DI3">
            <v>1</v>
          </cell>
          <cell r="DJ3">
            <v>0</v>
          </cell>
        </row>
        <row r="4">
          <cell r="F4">
            <v>1</v>
          </cell>
          <cell r="O4">
            <v>0</v>
          </cell>
          <cell r="CI4">
            <v>1</v>
          </cell>
          <cell r="CJ4">
            <v>0</v>
          </cell>
          <cell r="DI4">
            <v>1</v>
          </cell>
          <cell r="DJ4">
            <v>2</v>
          </cell>
        </row>
        <row r="5">
          <cell r="F5">
            <v>1</v>
          </cell>
          <cell r="O5">
            <v>4</v>
          </cell>
          <cell r="CI5">
            <v>1</v>
          </cell>
          <cell r="CJ5">
            <v>4</v>
          </cell>
          <cell r="DI5">
            <v>1</v>
          </cell>
          <cell r="DJ5">
            <v>0</v>
          </cell>
        </row>
        <row r="6">
          <cell r="F6">
            <v>1</v>
          </cell>
          <cell r="O6">
            <v>4</v>
          </cell>
          <cell r="CI6">
            <v>1</v>
          </cell>
          <cell r="CJ6">
            <v>4</v>
          </cell>
          <cell r="DI6">
            <v>1</v>
          </cell>
          <cell r="DJ6">
            <v>0</v>
          </cell>
        </row>
        <row r="7">
          <cell r="F7">
            <v>1</v>
          </cell>
          <cell r="O7">
            <v>4</v>
          </cell>
          <cell r="CI7">
            <v>1</v>
          </cell>
          <cell r="CJ7">
            <v>4</v>
          </cell>
          <cell r="DI7">
            <v>1</v>
          </cell>
          <cell r="DJ7">
            <v>0</v>
          </cell>
        </row>
        <row r="8">
          <cell r="F8">
            <v>1</v>
          </cell>
          <cell r="O8">
            <v>4</v>
          </cell>
          <cell r="CI8">
            <v>1</v>
          </cell>
          <cell r="CJ8">
            <v>4</v>
          </cell>
          <cell r="DI8">
            <v>1</v>
          </cell>
          <cell r="DJ8">
            <v>0</v>
          </cell>
        </row>
        <row r="9">
          <cell r="F9">
            <v>1</v>
          </cell>
          <cell r="O9">
            <v>4</v>
          </cell>
          <cell r="CI9">
            <v>1</v>
          </cell>
          <cell r="CJ9">
            <v>4</v>
          </cell>
          <cell r="DI9">
            <v>1</v>
          </cell>
          <cell r="DJ9">
            <v>0</v>
          </cell>
        </row>
        <row r="10">
          <cell r="F10">
            <v>1</v>
          </cell>
          <cell r="O10">
            <v>4</v>
          </cell>
          <cell r="CI10">
            <v>1</v>
          </cell>
          <cell r="CJ10">
            <v>4</v>
          </cell>
          <cell r="DI10">
            <v>1</v>
          </cell>
          <cell r="DJ10">
            <v>0</v>
          </cell>
        </row>
        <row r="11">
          <cell r="F11">
            <v>1</v>
          </cell>
          <cell r="O11">
            <v>0</v>
          </cell>
          <cell r="CI11">
            <v>1</v>
          </cell>
          <cell r="CJ11">
            <v>0</v>
          </cell>
          <cell r="DI11">
            <v>1</v>
          </cell>
          <cell r="DJ11">
            <v>4</v>
          </cell>
        </row>
        <row r="12">
          <cell r="F12">
            <v>1</v>
          </cell>
          <cell r="O12">
            <v>4</v>
          </cell>
          <cell r="CI12">
            <v>1</v>
          </cell>
          <cell r="CJ12">
            <v>4</v>
          </cell>
          <cell r="DI12">
            <v>1</v>
          </cell>
          <cell r="DJ12">
            <v>0</v>
          </cell>
        </row>
        <row r="13">
          <cell r="F13">
            <v>1</v>
          </cell>
          <cell r="O13">
            <v>4</v>
          </cell>
          <cell r="CI13">
            <v>1</v>
          </cell>
          <cell r="CJ13">
            <v>4</v>
          </cell>
          <cell r="DI13">
            <v>1</v>
          </cell>
          <cell r="DJ13">
            <v>0</v>
          </cell>
        </row>
        <row r="14">
          <cell r="F14">
            <v>1</v>
          </cell>
          <cell r="O14">
            <v>4</v>
          </cell>
          <cell r="CI14">
            <v>1</v>
          </cell>
          <cell r="CJ14">
            <v>4</v>
          </cell>
          <cell r="DI14">
            <v>1</v>
          </cell>
          <cell r="DJ14">
            <v>0</v>
          </cell>
        </row>
        <row r="15">
          <cell r="F15">
            <v>1</v>
          </cell>
          <cell r="O15">
            <v>4</v>
          </cell>
          <cell r="CI15">
            <v>1</v>
          </cell>
          <cell r="CJ15">
            <v>4</v>
          </cell>
          <cell r="DI15">
            <v>1</v>
          </cell>
          <cell r="DJ15">
            <v>0</v>
          </cell>
        </row>
        <row r="16">
          <cell r="F16">
            <v>1</v>
          </cell>
          <cell r="O16">
            <v>4</v>
          </cell>
          <cell r="CI16">
            <v>1</v>
          </cell>
          <cell r="CJ16">
            <v>4</v>
          </cell>
          <cell r="DI16">
            <v>1</v>
          </cell>
          <cell r="DJ16">
            <v>0</v>
          </cell>
        </row>
        <row r="17">
          <cell r="F17">
            <v>1</v>
          </cell>
          <cell r="O17">
            <v>4</v>
          </cell>
          <cell r="CI17">
            <v>1</v>
          </cell>
          <cell r="CJ17">
            <v>4</v>
          </cell>
          <cell r="DI17">
            <v>1</v>
          </cell>
          <cell r="DJ17">
            <v>0</v>
          </cell>
        </row>
        <row r="18">
          <cell r="F18">
            <v>1</v>
          </cell>
          <cell r="O18">
            <v>0</v>
          </cell>
          <cell r="CI18">
            <v>1</v>
          </cell>
          <cell r="CJ18">
            <v>0</v>
          </cell>
          <cell r="DI18">
            <v>1</v>
          </cell>
          <cell r="DJ18">
            <v>4</v>
          </cell>
        </row>
        <row r="19">
          <cell r="F19">
            <v>1</v>
          </cell>
          <cell r="O19">
            <v>4</v>
          </cell>
          <cell r="CI19">
            <v>1</v>
          </cell>
          <cell r="CJ19">
            <v>4</v>
          </cell>
          <cell r="DI19">
            <v>1</v>
          </cell>
          <cell r="DJ19">
            <v>0</v>
          </cell>
        </row>
        <row r="20">
          <cell r="F20">
            <v>1</v>
          </cell>
          <cell r="O20">
            <v>4</v>
          </cell>
          <cell r="CI20">
            <v>1</v>
          </cell>
          <cell r="CJ20">
            <v>4</v>
          </cell>
          <cell r="DI20">
            <v>1</v>
          </cell>
          <cell r="DJ20">
            <v>0</v>
          </cell>
        </row>
        <row r="21">
          <cell r="F21">
            <v>1</v>
          </cell>
          <cell r="O21">
            <v>4</v>
          </cell>
          <cell r="CI21">
            <v>1</v>
          </cell>
          <cell r="CJ21">
            <v>4</v>
          </cell>
          <cell r="DI21">
            <v>1</v>
          </cell>
          <cell r="DJ21">
            <v>0</v>
          </cell>
        </row>
        <row r="22">
          <cell r="F22">
            <v>1</v>
          </cell>
          <cell r="O22">
            <v>4</v>
          </cell>
          <cell r="CI22">
            <v>1</v>
          </cell>
          <cell r="CJ22">
            <v>4</v>
          </cell>
          <cell r="DI22">
            <v>1</v>
          </cell>
          <cell r="DJ22">
            <v>0</v>
          </cell>
        </row>
        <row r="23">
          <cell r="F23">
            <v>1</v>
          </cell>
          <cell r="O23">
            <v>4</v>
          </cell>
          <cell r="CI23">
            <v>1</v>
          </cell>
          <cell r="CJ23">
            <v>4</v>
          </cell>
          <cell r="DI23">
            <v>1</v>
          </cell>
          <cell r="DJ23">
            <v>0</v>
          </cell>
        </row>
        <row r="24">
          <cell r="F24">
            <v>1</v>
          </cell>
          <cell r="O24">
            <v>1</v>
          </cell>
          <cell r="CI24">
            <v>1</v>
          </cell>
          <cell r="CJ24">
            <v>1</v>
          </cell>
          <cell r="DI24">
            <v>1</v>
          </cell>
          <cell r="DJ24">
            <v>3</v>
          </cell>
        </row>
        <row r="25">
          <cell r="F25">
            <v>1</v>
          </cell>
          <cell r="O25">
            <v>1</v>
          </cell>
          <cell r="CI25">
            <v>1</v>
          </cell>
          <cell r="CJ25">
            <v>1</v>
          </cell>
          <cell r="DI25">
            <v>1</v>
          </cell>
          <cell r="DJ25">
            <v>3</v>
          </cell>
        </row>
        <row r="26">
          <cell r="F26">
            <v>1</v>
          </cell>
          <cell r="O26">
            <v>2</v>
          </cell>
          <cell r="CI26">
            <v>1</v>
          </cell>
          <cell r="CJ26">
            <v>2</v>
          </cell>
          <cell r="DI26">
            <v>1</v>
          </cell>
          <cell r="DJ26">
            <v>2</v>
          </cell>
        </row>
        <row r="27">
          <cell r="F27">
            <v>1</v>
          </cell>
          <cell r="O27">
            <v>4</v>
          </cell>
          <cell r="CI27">
            <v>1</v>
          </cell>
          <cell r="CJ27">
            <v>0</v>
          </cell>
          <cell r="DI27">
            <v>1</v>
          </cell>
          <cell r="DJ27">
            <v>0</v>
          </cell>
        </row>
        <row r="28">
          <cell r="F28">
            <v>1</v>
          </cell>
          <cell r="O28">
            <v>4</v>
          </cell>
          <cell r="CI28">
            <v>1</v>
          </cell>
          <cell r="CJ28">
            <v>1</v>
          </cell>
          <cell r="DI28">
            <v>1</v>
          </cell>
          <cell r="DJ28">
            <v>0</v>
          </cell>
        </row>
        <row r="29">
          <cell r="F29">
            <v>1</v>
          </cell>
          <cell r="O29">
            <v>4</v>
          </cell>
          <cell r="CI29">
            <v>1</v>
          </cell>
          <cell r="CJ29">
            <v>4</v>
          </cell>
          <cell r="DI29">
            <v>1</v>
          </cell>
          <cell r="DJ29">
            <v>0</v>
          </cell>
        </row>
        <row r="30">
          <cell r="F30">
            <v>1</v>
          </cell>
          <cell r="O30">
            <v>4</v>
          </cell>
          <cell r="CI30">
            <v>1</v>
          </cell>
          <cell r="CJ30">
            <v>4</v>
          </cell>
          <cell r="DI30">
            <v>1</v>
          </cell>
          <cell r="DJ30">
            <v>0</v>
          </cell>
        </row>
        <row r="31">
          <cell r="F31">
            <v>1</v>
          </cell>
          <cell r="O31">
            <v>1</v>
          </cell>
          <cell r="CI31">
            <v>1</v>
          </cell>
          <cell r="CJ31">
            <v>1</v>
          </cell>
          <cell r="DI31">
            <v>1</v>
          </cell>
          <cell r="DJ31">
            <v>3</v>
          </cell>
        </row>
        <row r="32">
          <cell r="F32">
            <v>1</v>
          </cell>
          <cell r="O32">
            <v>4</v>
          </cell>
          <cell r="CI32">
            <v>1</v>
          </cell>
          <cell r="CJ32">
            <v>4</v>
          </cell>
          <cell r="DI32">
            <v>1</v>
          </cell>
          <cell r="DJ32">
            <v>0</v>
          </cell>
        </row>
        <row r="33">
          <cell r="F33">
            <v>1</v>
          </cell>
          <cell r="O33">
            <v>0</v>
          </cell>
          <cell r="CI33">
            <v>1</v>
          </cell>
          <cell r="CJ33">
            <v>0</v>
          </cell>
          <cell r="DI33">
            <v>1</v>
          </cell>
          <cell r="DJ33">
            <v>4</v>
          </cell>
        </row>
        <row r="34">
          <cell r="F34">
            <v>1</v>
          </cell>
          <cell r="O34">
            <v>4</v>
          </cell>
          <cell r="CI34">
            <v>1</v>
          </cell>
          <cell r="CJ34">
            <v>4</v>
          </cell>
          <cell r="DI34">
            <v>1</v>
          </cell>
          <cell r="DJ34">
            <v>0</v>
          </cell>
        </row>
        <row r="35">
          <cell r="F35">
            <v>1</v>
          </cell>
          <cell r="O35">
            <v>0</v>
          </cell>
          <cell r="CI35">
            <v>1</v>
          </cell>
          <cell r="CJ35">
            <v>0</v>
          </cell>
          <cell r="DI35">
            <v>1</v>
          </cell>
          <cell r="DJ35">
            <v>2</v>
          </cell>
        </row>
        <row r="36">
          <cell r="F36">
            <v>1</v>
          </cell>
          <cell r="O36">
            <v>4</v>
          </cell>
          <cell r="CI36">
            <v>1</v>
          </cell>
          <cell r="CJ36">
            <v>4</v>
          </cell>
          <cell r="DI36">
            <v>1</v>
          </cell>
          <cell r="DJ36">
            <v>0</v>
          </cell>
        </row>
        <row r="37">
          <cell r="F37">
            <v>1</v>
          </cell>
          <cell r="O37">
            <v>0</v>
          </cell>
          <cell r="CI37">
            <v>1</v>
          </cell>
          <cell r="CJ37">
            <v>0</v>
          </cell>
          <cell r="DI37">
            <v>1</v>
          </cell>
          <cell r="DJ37">
            <v>4</v>
          </cell>
        </row>
        <row r="38">
          <cell r="F38">
            <v>1</v>
          </cell>
          <cell r="O38">
            <v>4</v>
          </cell>
          <cell r="CI38">
            <v>1</v>
          </cell>
          <cell r="CJ38">
            <v>4</v>
          </cell>
          <cell r="DI38">
            <v>1</v>
          </cell>
          <cell r="DJ38">
            <v>0</v>
          </cell>
        </row>
        <row r="39">
          <cell r="F39">
            <v>1</v>
          </cell>
          <cell r="O39">
            <v>0</v>
          </cell>
          <cell r="CI39">
            <v>1</v>
          </cell>
          <cell r="CJ39">
            <v>0</v>
          </cell>
          <cell r="DI39">
            <v>1</v>
          </cell>
          <cell r="DJ39">
            <v>4</v>
          </cell>
        </row>
        <row r="40">
          <cell r="F40">
            <v>1</v>
          </cell>
          <cell r="O40">
            <v>2</v>
          </cell>
          <cell r="CI40">
            <v>1</v>
          </cell>
          <cell r="CJ40">
            <v>2</v>
          </cell>
          <cell r="DI40">
            <v>1</v>
          </cell>
          <cell r="DJ40">
            <v>2</v>
          </cell>
        </row>
        <row r="41">
          <cell r="F41">
            <v>1</v>
          </cell>
          <cell r="O41">
            <v>4</v>
          </cell>
          <cell r="CI41">
            <v>1</v>
          </cell>
          <cell r="CJ41">
            <v>4</v>
          </cell>
          <cell r="DI41">
            <v>1</v>
          </cell>
          <cell r="DJ41">
            <v>0</v>
          </cell>
        </row>
        <row r="42">
          <cell r="F42">
            <v>1</v>
          </cell>
          <cell r="O42">
            <v>4</v>
          </cell>
          <cell r="CI42">
            <v>1</v>
          </cell>
          <cell r="CJ42">
            <v>4</v>
          </cell>
          <cell r="DI42">
            <v>1</v>
          </cell>
          <cell r="DJ42">
            <v>0</v>
          </cell>
        </row>
        <row r="43">
          <cell r="F43">
            <v>1</v>
          </cell>
          <cell r="O43">
            <v>4</v>
          </cell>
          <cell r="CI43">
            <v>1</v>
          </cell>
          <cell r="CJ43">
            <v>4</v>
          </cell>
          <cell r="DI43">
            <v>1</v>
          </cell>
          <cell r="DJ43">
            <v>0</v>
          </cell>
        </row>
        <row r="44">
          <cell r="F44">
            <v>1</v>
          </cell>
          <cell r="O44">
            <v>4</v>
          </cell>
          <cell r="CI44">
            <v>1</v>
          </cell>
          <cell r="CJ44">
            <v>4</v>
          </cell>
          <cell r="DI44">
            <v>1</v>
          </cell>
          <cell r="DJ44">
            <v>0</v>
          </cell>
        </row>
        <row r="45">
          <cell r="F45">
            <v>1</v>
          </cell>
          <cell r="O45">
            <v>3</v>
          </cell>
          <cell r="CI45">
            <v>1</v>
          </cell>
          <cell r="CJ45">
            <v>3</v>
          </cell>
          <cell r="DI45">
            <v>1</v>
          </cell>
          <cell r="DJ45">
            <v>1</v>
          </cell>
        </row>
        <row r="46">
          <cell r="F46">
            <v>1</v>
          </cell>
          <cell r="O46">
            <v>4</v>
          </cell>
          <cell r="CI46">
            <v>1</v>
          </cell>
          <cell r="CJ46">
            <v>4</v>
          </cell>
          <cell r="DI46">
            <v>1</v>
          </cell>
          <cell r="DJ46">
            <v>0</v>
          </cell>
        </row>
        <row r="47">
          <cell r="F47">
            <v>1</v>
          </cell>
          <cell r="O47">
            <v>4</v>
          </cell>
          <cell r="CI47">
            <v>1</v>
          </cell>
          <cell r="CJ47">
            <v>4</v>
          </cell>
          <cell r="DI47">
            <v>1</v>
          </cell>
          <cell r="DJ47">
            <v>0</v>
          </cell>
        </row>
        <row r="48">
          <cell r="F48">
            <v>1</v>
          </cell>
          <cell r="O48">
            <v>4</v>
          </cell>
          <cell r="CI48">
            <v>1</v>
          </cell>
          <cell r="CJ48">
            <v>4</v>
          </cell>
          <cell r="DI48">
            <v>1</v>
          </cell>
          <cell r="DJ48">
            <v>0</v>
          </cell>
        </row>
        <row r="49">
          <cell r="F49">
            <v>1</v>
          </cell>
          <cell r="O49">
            <v>4</v>
          </cell>
          <cell r="CI49">
            <v>1</v>
          </cell>
          <cell r="CJ49">
            <v>4</v>
          </cell>
          <cell r="DI49">
            <v>1</v>
          </cell>
          <cell r="DJ49">
            <v>0</v>
          </cell>
        </row>
        <row r="50">
          <cell r="F50">
            <v>1</v>
          </cell>
          <cell r="O50">
            <v>4</v>
          </cell>
          <cell r="CI50">
            <v>1</v>
          </cell>
          <cell r="CJ50">
            <v>4</v>
          </cell>
          <cell r="DI50">
            <v>1</v>
          </cell>
          <cell r="DJ50">
            <v>0</v>
          </cell>
        </row>
        <row r="51">
          <cell r="F51">
            <v>1</v>
          </cell>
          <cell r="O51">
            <v>4</v>
          </cell>
          <cell r="CI51">
            <v>1</v>
          </cell>
          <cell r="CJ51">
            <v>4</v>
          </cell>
          <cell r="DI51">
            <v>1</v>
          </cell>
          <cell r="DJ51">
            <v>0</v>
          </cell>
        </row>
        <row r="52">
          <cell r="F52">
            <v>1</v>
          </cell>
          <cell r="O52">
            <v>0</v>
          </cell>
          <cell r="CI52">
            <v>1</v>
          </cell>
          <cell r="CJ52">
            <v>0</v>
          </cell>
          <cell r="DI52">
            <v>1</v>
          </cell>
          <cell r="DJ52">
            <v>4</v>
          </cell>
        </row>
        <row r="53">
          <cell r="F53">
            <v>1</v>
          </cell>
          <cell r="O53">
            <v>4</v>
          </cell>
          <cell r="CI53">
            <v>1</v>
          </cell>
          <cell r="CJ53">
            <v>4</v>
          </cell>
          <cell r="DI53">
            <v>1</v>
          </cell>
          <cell r="DJ53">
            <v>0</v>
          </cell>
        </row>
        <row r="54">
          <cell r="F54">
            <v>1</v>
          </cell>
          <cell r="O54">
            <v>4</v>
          </cell>
          <cell r="CI54">
            <v>1</v>
          </cell>
          <cell r="CJ54">
            <v>4</v>
          </cell>
          <cell r="DI54">
            <v>1</v>
          </cell>
          <cell r="DJ54">
            <v>0</v>
          </cell>
        </row>
        <row r="55">
          <cell r="F55">
            <v>1</v>
          </cell>
          <cell r="O55">
            <v>2</v>
          </cell>
          <cell r="CI55">
            <v>1</v>
          </cell>
          <cell r="CJ55">
            <v>2</v>
          </cell>
          <cell r="DI55">
            <v>1</v>
          </cell>
          <cell r="DJ55">
            <v>2</v>
          </cell>
        </row>
        <row r="56">
          <cell r="F56">
            <v>1</v>
          </cell>
          <cell r="O56">
            <v>4</v>
          </cell>
          <cell r="CI56">
            <v>1</v>
          </cell>
          <cell r="CJ56">
            <v>4</v>
          </cell>
          <cell r="DI56">
            <v>1</v>
          </cell>
          <cell r="DJ56">
            <v>0</v>
          </cell>
        </row>
        <row r="57">
          <cell r="F57">
            <v>1</v>
          </cell>
          <cell r="O57">
            <v>4</v>
          </cell>
          <cell r="CI57">
            <v>1</v>
          </cell>
          <cell r="CJ57">
            <v>4</v>
          </cell>
          <cell r="DI57">
            <v>1</v>
          </cell>
          <cell r="DJ57">
            <v>0</v>
          </cell>
        </row>
        <row r="58">
          <cell r="F58">
            <v>1</v>
          </cell>
          <cell r="O58">
            <v>0</v>
          </cell>
          <cell r="CI58">
            <v>1</v>
          </cell>
          <cell r="CJ58">
            <v>0</v>
          </cell>
          <cell r="DI58">
            <v>1</v>
          </cell>
          <cell r="DJ58">
            <v>4</v>
          </cell>
        </row>
        <row r="59">
          <cell r="F59">
            <v>1</v>
          </cell>
          <cell r="O59">
            <v>2</v>
          </cell>
          <cell r="CI59">
            <v>1</v>
          </cell>
          <cell r="CJ59">
            <v>2</v>
          </cell>
          <cell r="DI59">
            <v>1</v>
          </cell>
          <cell r="DJ59">
            <v>2</v>
          </cell>
        </row>
        <row r="60">
          <cell r="F60">
            <v>1</v>
          </cell>
          <cell r="O60">
            <v>4</v>
          </cell>
          <cell r="CI60">
            <v>1</v>
          </cell>
          <cell r="CJ60">
            <v>4</v>
          </cell>
          <cell r="DI60">
            <v>1</v>
          </cell>
          <cell r="DJ60">
            <v>0</v>
          </cell>
        </row>
        <row r="61">
          <cell r="F61">
            <v>1</v>
          </cell>
          <cell r="O61">
            <v>2</v>
          </cell>
          <cell r="CI61">
            <v>1</v>
          </cell>
          <cell r="CJ61">
            <v>2</v>
          </cell>
          <cell r="DI61">
            <v>1</v>
          </cell>
          <cell r="DJ61">
            <v>2</v>
          </cell>
        </row>
        <row r="62">
          <cell r="F62">
            <v>1</v>
          </cell>
          <cell r="O62">
            <v>4</v>
          </cell>
          <cell r="CI62">
            <v>1</v>
          </cell>
          <cell r="CJ62">
            <v>4</v>
          </cell>
          <cell r="DI62">
            <v>1</v>
          </cell>
          <cell r="DJ62">
            <v>0</v>
          </cell>
        </row>
        <row r="63">
          <cell r="F63">
            <v>1</v>
          </cell>
          <cell r="O63">
            <v>3</v>
          </cell>
          <cell r="CI63">
            <v>1</v>
          </cell>
          <cell r="CJ63">
            <v>3</v>
          </cell>
          <cell r="DI63">
            <v>1</v>
          </cell>
          <cell r="DJ63">
            <v>1</v>
          </cell>
        </row>
        <row r="64">
          <cell r="F64">
            <v>1</v>
          </cell>
          <cell r="O64">
            <v>4</v>
          </cell>
          <cell r="CI64">
            <v>1</v>
          </cell>
          <cell r="CJ64">
            <v>4</v>
          </cell>
          <cell r="DI64">
            <v>1</v>
          </cell>
          <cell r="DJ64">
            <v>0</v>
          </cell>
        </row>
        <row r="65">
          <cell r="F65">
            <v>1</v>
          </cell>
          <cell r="O65">
            <v>4</v>
          </cell>
          <cell r="CI65">
            <v>1</v>
          </cell>
          <cell r="CJ65">
            <v>4</v>
          </cell>
          <cell r="DI65">
            <v>1</v>
          </cell>
          <cell r="DJ65">
            <v>0</v>
          </cell>
        </row>
        <row r="66">
          <cell r="F66">
            <v>1</v>
          </cell>
          <cell r="O66">
            <v>4</v>
          </cell>
          <cell r="CI66">
            <v>1</v>
          </cell>
          <cell r="CJ66">
            <v>4</v>
          </cell>
          <cell r="DI66">
            <v>1</v>
          </cell>
          <cell r="DJ66">
            <v>0</v>
          </cell>
        </row>
        <row r="67">
          <cell r="F67">
            <v>1</v>
          </cell>
          <cell r="O67">
            <v>4</v>
          </cell>
          <cell r="CI67">
            <v>1</v>
          </cell>
          <cell r="CJ67">
            <v>4</v>
          </cell>
          <cell r="DI67">
            <v>1</v>
          </cell>
          <cell r="DJ67">
            <v>0</v>
          </cell>
        </row>
        <row r="68">
          <cell r="F68">
            <v>1</v>
          </cell>
          <cell r="O68">
            <v>0</v>
          </cell>
          <cell r="CI68">
            <v>1</v>
          </cell>
          <cell r="CJ68">
            <v>0</v>
          </cell>
          <cell r="DI68">
            <v>1</v>
          </cell>
          <cell r="DJ68">
            <v>4</v>
          </cell>
        </row>
        <row r="69">
          <cell r="F69">
            <v>1</v>
          </cell>
          <cell r="O69">
            <v>4</v>
          </cell>
          <cell r="CI69">
            <v>1</v>
          </cell>
          <cell r="CJ69">
            <v>4</v>
          </cell>
          <cell r="DI69">
            <v>1</v>
          </cell>
          <cell r="DJ69">
            <v>0</v>
          </cell>
        </row>
        <row r="70">
          <cell r="F70">
            <v>1</v>
          </cell>
          <cell r="O70">
            <v>0</v>
          </cell>
          <cell r="CI70">
            <v>1</v>
          </cell>
          <cell r="CJ70">
            <v>0</v>
          </cell>
          <cell r="DI70">
            <v>1</v>
          </cell>
          <cell r="DJ70">
            <v>4</v>
          </cell>
        </row>
        <row r="71">
          <cell r="F71">
            <v>1</v>
          </cell>
          <cell r="O71">
            <v>2</v>
          </cell>
          <cell r="CI71">
            <v>1</v>
          </cell>
          <cell r="CJ71">
            <v>2</v>
          </cell>
          <cell r="DI71">
            <v>1</v>
          </cell>
          <cell r="DJ71">
            <v>2</v>
          </cell>
        </row>
        <row r="72">
          <cell r="F72">
            <v>1</v>
          </cell>
          <cell r="O72">
            <v>0</v>
          </cell>
          <cell r="CI72">
            <v>1</v>
          </cell>
          <cell r="CJ72">
            <v>0</v>
          </cell>
          <cell r="DI72">
            <v>1</v>
          </cell>
          <cell r="DJ72">
            <v>0</v>
          </cell>
        </row>
        <row r="73">
          <cell r="F73">
            <v>1</v>
          </cell>
          <cell r="O73">
            <v>2</v>
          </cell>
          <cell r="CI73">
            <v>1</v>
          </cell>
          <cell r="CJ73">
            <v>2</v>
          </cell>
          <cell r="DI73">
            <v>1</v>
          </cell>
          <cell r="DJ73">
            <v>2</v>
          </cell>
        </row>
        <row r="74">
          <cell r="F74">
            <v>1</v>
          </cell>
          <cell r="O74">
            <v>4</v>
          </cell>
          <cell r="CI74">
            <v>1</v>
          </cell>
          <cell r="CJ74">
            <v>4</v>
          </cell>
          <cell r="DI74">
            <v>1</v>
          </cell>
          <cell r="DJ74">
            <v>0</v>
          </cell>
        </row>
        <row r="75">
          <cell r="F75">
            <v>1</v>
          </cell>
          <cell r="O75">
            <v>0</v>
          </cell>
          <cell r="CI75">
            <v>1</v>
          </cell>
          <cell r="CJ75">
            <v>0</v>
          </cell>
          <cell r="DI75">
            <v>1</v>
          </cell>
          <cell r="DJ75">
            <v>4</v>
          </cell>
        </row>
        <row r="76">
          <cell r="F76">
            <v>1</v>
          </cell>
          <cell r="O76">
            <v>4</v>
          </cell>
          <cell r="CI76">
            <v>1</v>
          </cell>
          <cell r="CJ76">
            <v>4</v>
          </cell>
          <cell r="DI76">
            <v>1</v>
          </cell>
          <cell r="DJ76">
            <v>0</v>
          </cell>
        </row>
        <row r="77">
          <cell r="F77">
            <v>1</v>
          </cell>
          <cell r="O77">
            <v>4</v>
          </cell>
          <cell r="CI77">
            <v>1</v>
          </cell>
          <cell r="CJ77">
            <v>4</v>
          </cell>
          <cell r="DI77">
            <v>1</v>
          </cell>
          <cell r="DJ77">
            <v>0</v>
          </cell>
        </row>
        <row r="78">
          <cell r="F78">
            <v>1</v>
          </cell>
          <cell r="O78">
            <v>4</v>
          </cell>
          <cell r="CI78">
            <v>1</v>
          </cell>
          <cell r="CJ78">
            <v>4</v>
          </cell>
          <cell r="DI78">
            <v>1</v>
          </cell>
          <cell r="DJ78">
            <v>0</v>
          </cell>
        </row>
        <row r="79">
          <cell r="F79">
            <v>1</v>
          </cell>
          <cell r="O79">
            <v>4</v>
          </cell>
          <cell r="CI79">
            <v>1</v>
          </cell>
          <cell r="CJ79">
            <v>4</v>
          </cell>
          <cell r="DI79">
            <v>1</v>
          </cell>
          <cell r="DJ79">
            <v>0</v>
          </cell>
        </row>
        <row r="80">
          <cell r="F80">
            <v>1</v>
          </cell>
          <cell r="O80">
            <v>4</v>
          </cell>
          <cell r="CI80">
            <v>1</v>
          </cell>
          <cell r="CJ80">
            <v>4</v>
          </cell>
          <cell r="DI80">
            <v>1</v>
          </cell>
          <cell r="DJ80">
            <v>0</v>
          </cell>
        </row>
        <row r="81">
          <cell r="F81">
            <v>1</v>
          </cell>
          <cell r="O81">
            <v>0</v>
          </cell>
          <cell r="CI81">
            <v>1</v>
          </cell>
          <cell r="CJ81">
            <v>0</v>
          </cell>
          <cell r="DI81">
            <v>1</v>
          </cell>
          <cell r="DJ81">
            <v>4</v>
          </cell>
        </row>
        <row r="82">
          <cell r="F82">
            <v>1</v>
          </cell>
          <cell r="O82">
            <v>4</v>
          </cell>
          <cell r="CI82">
            <v>1</v>
          </cell>
          <cell r="CJ82">
            <v>4</v>
          </cell>
          <cell r="DI82">
            <v>1</v>
          </cell>
          <cell r="DJ82">
            <v>0</v>
          </cell>
        </row>
        <row r="83">
          <cell r="F83">
            <v>1</v>
          </cell>
          <cell r="O83">
            <v>0</v>
          </cell>
          <cell r="CI83">
            <v>1</v>
          </cell>
          <cell r="CJ83">
            <v>0</v>
          </cell>
          <cell r="DI83">
            <v>1</v>
          </cell>
          <cell r="DJ83">
            <v>2</v>
          </cell>
        </row>
        <row r="84">
          <cell r="F84">
            <v>1</v>
          </cell>
          <cell r="O84">
            <v>4</v>
          </cell>
          <cell r="CI84">
            <v>1</v>
          </cell>
          <cell r="CJ84">
            <v>4</v>
          </cell>
          <cell r="DI84">
            <v>1</v>
          </cell>
          <cell r="DJ84">
            <v>0</v>
          </cell>
        </row>
        <row r="85">
          <cell r="F85">
            <v>1</v>
          </cell>
          <cell r="O85">
            <v>0</v>
          </cell>
          <cell r="CI85">
            <v>1</v>
          </cell>
          <cell r="CJ85">
            <v>0</v>
          </cell>
          <cell r="DI85">
            <v>1</v>
          </cell>
          <cell r="DJ85">
            <v>4</v>
          </cell>
        </row>
        <row r="86">
          <cell r="F86">
            <v>1</v>
          </cell>
          <cell r="O86">
            <v>4</v>
          </cell>
          <cell r="CI86">
            <v>1</v>
          </cell>
          <cell r="CJ86">
            <v>4</v>
          </cell>
          <cell r="DI86">
            <v>1</v>
          </cell>
          <cell r="DJ86">
            <v>0</v>
          </cell>
        </row>
        <row r="87">
          <cell r="F87">
            <v>1</v>
          </cell>
          <cell r="O87">
            <v>0</v>
          </cell>
          <cell r="CI87">
            <v>1</v>
          </cell>
          <cell r="CJ87">
            <v>0</v>
          </cell>
          <cell r="DI87">
            <v>1</v>
          </cell>
          <cell r="DJ87">
            <v>4</v>
          </cell>
        </row>
        <row r="88">
          <cell r="F88">
            <v>1</v>
          </cell>
          <cell r="O88">
            <v>1</v>
          </cell>
          <cell r="CI88">
            <v>1</v>
          </cell>
          <cell r="CJ88">
            <v>1</v>
          </cell>
          <cell r="DI88">
            <v>1</v>
          </cell>
          <cell r="DJ88">
            <v>3</v>
          </cell>
        </row>
        <row r="89">
          <cell r="F89">
            <v>1</v>
          </cell>
          <cell r="O89">
            <v>4</v>
          </cell>
          <cell r="CI89">
            <v>1</v>
          </cell>
          <cell r="CJ89">
            <v>4</v>
          </cell>
          <cell r="DI89">
            <v>1</v>
          </cell>
          <cell r="DJ89">
            <v>0</v>
          </cell>
        </row>
        <row r="90">
          <cell r="F90">
            <v>1</v>
          </cell>
          <cell r="O90">
            <v>4</v>
          </cell>
          <cell r="CI90">
            <v>1</v>
          </cell>
          <cell r="CJ90">
            <v>4</v>
          </cell>
          <cell r="DI90">
            <v>1</v>
          </cell>
          <cell r="DJ90">
            <v>0</v>
          </cell>
        </row>
        <row r="91">
          <cell r="F91">
            <v>1</v>
          </cell>
          <cell r="O91">
            <v>0</v>
          </cell>
          <cell r="CI91">
            <v>1</v>
          </cell>
          <cell r="CJ91">
            <v>0</v>
          </cell>
          <cell r="DI91">
            <v>1</v>
          </cell>
          <cell r="DJ91">
            <v>2</v>
          </cell>
        </row>
        <row r="92">
          <cell r="F92">
            <v>1</v>
          </cell>
          <cell r="O92">
            <v>4</v>
          </cell>
          <cell r="CI92">
            <v>1</v>
          </cell>
          <cell r="CJ92">
            <v>4</v>
          </cell>
          <cell r="DI92">
            <v>1</v>
          </cell>
          <cell r="DJ92">
            <v>0</v>
          </cell>
        </row>
        <row r="93">
          <cell r="F93">
            <v>1</v>
          </cell>
          <cell r="O93">
            <v>0</v>
          </cell>
          <cell r="CI93">
            <v>1</v>
          </cell>
          <cell r="CJ93">
            <v>0</v>
          </cell>
          <cell r="DI93">
            <v>1</v>
          </cell>
          <cell r="DJ93">
            <v>4</v>
          </cell>
        </row>
        <row r="94">
          <cell r="F94">
            <v>1</v>
          </cell>
          <cell r="O94">
            <v>0</v>
          </cell>
          <cell r="CI94">
            <v>1</v>
          </cell>
          <cell r="CJ94">
            <v>0</v>
          </cell>
          <cell r="DI94">
            <v>1</v>
          </cell>
          <cell r="DJ94">
            <v>4</v>
          </cell>
        </row>
        <row r="95">
          <cell r="F95">
            <v>1</v>
          </cell>
          <cell r="O95">
            <v>4</v>
          </cell>
          <cell r="CI95">
            <v>1</v>
          </cell>
          <cell r="CJ95">
            <v>4</v>
          </cell>
          <cell r="DI95">
            <v>1</v>
          </cell>
          <cell r="DJ95">
            <v>0</v>
          </cell>
        </row>
        <row r="96">
          <cell r="F96">
            <v>1</v>
          </cell>
          <cell r="O96">
            <v>0</v>
          </cell>
          <cell r="CI96">
            <v>1</v>
          </cell>
          <cell r="CJ96">
            <v>0</v>
          </cell>
          <cell r="DI96">
            <v>1</v>
          </cell>
          <cell r="DJ96">
            <v>3</v>
          </cell>
        </row>
        <row r="97">
          <cell r="F97">
            <v>1</v>
          </cell>
          <cell r="O97">
            <v>4</v>
          </cell>
          <cell r="CI97">
            <v>1</v>
          </cell>
          <cell r="CJ97">
            <v>4</v>
          </cell>
          <cell r="DI97">
            <v>1</v>
          </cell>
          <cell r="DJ97">
            <v>0</v>
          </cell>
        </row>
        <row r="98">
          <cell r="F98">
            <v>1</v>
          </cell>
          <cell r="O98">
            <v>0</v>
          </cell>
          <cell r="CI98">
            <v>1</v>
          </cell>
          <cell r="CJ98">
            <v>0</v>
          </cell>
          <cell r="DI98">
            <v>1</v>
          </cell>
          <cell r="DJ98">
            <v>4</v>
          </cell>
        </row>
        <row r="99">
          <cell r="F99">
            <v>1</v>
          </cell>
          <cell r="O99">
            <v>4</v>
          </cell>
          <cell r="CI99">
            <v>1</v>
          </cell>
          <cell r="CJ99">
            <v>4</v>
          </cell>
          <cell r="DI99">
            <v>1</v>
          </cell>
          <cell r="DJ99">
            <v>0</v>
          </cell>
        </row>
        <row r="100">
          <cell r="F100">
            <v>1</v>
          </cell>
          <cell r="O100">
            <v>4</v>
          </cell>
          <cell r="CI100">
            <v>1</v>
          </cell>
          <cell r="CJ100">
            <v>4</v>
          </cell>
          <cell r="DI100">
            <v>1</v>
          </cell>
          <cell r="DJ100">
            <v>0</v>
          </cell>
        </row>
        <row r="101">
          <cell r="F101">
            <v>1</v>
          </cell>
          <cell r="O101">
            <v>0</v>
          </cell>
          <cell r="CI101">
            <v>1</v>
          </cell>
          <cell r="CJ101">
            <v>0</v>
          </cell>
          <cell r="DI101">
            <v>1</v>
          </cell>
          <cell r="DJ101">
            <v>0</v>
          </cell>
        </row>
        <row r="102">
          <cell r="F102">
            <v>1</v>
          </cell>
          <cell r="O102">
            <v>0</v>
          </cell>
          <cell r="CI102">
            <v>1</v>
          </cell>
          <cell r="CJ102">
            <v>0</v>
          </cell>
          <cell r="DI102">
            <v>0</v>
          </cell>
          <cell r="DJ102">
            <v>1</v>
          </cell>
        </row>
        <row r="103">
          <cell r="F103">
            <v>1</v>
          </cell>
          <cell r="O103">
            <v>4</v>
          </cell>
          <cell r="CI103">
            <v>1</v>
          </cell>
          <cell r="CJ103">
            <v>4</v>
          </cell>
          <cell r="DI103">
            <v>1</v>
          </cell>
          <cell r="DJ103">
            <v>0</v>
          </cell>
        </row>
        <row r="104">
          <cell r="F104">
            <v>1</v>
          </cell>
          <cell r="O104">
            <v>0</v>
          </cell>
          <cell r="CI104">
            <v>1</v>
          </cell>
          <cell r="CJ104">
            <v>0</v>
          </cell>
          <cell r="DI104">
            <v>1</v>
          </cell>
          <cell r="DJ104">
            <v>4</v>
          </cell>
        </row>
        <row r="105">
          <cell r="F105">
            <v>1</v>
          </cell>
          <cell r="O105">
            <v>1</v>
          </cell>
          <cell r="CI105">
            <v>1</v>
          </cell>
          <cell r="CJ105">
            <v>3</v>
          </cell>
          <cell r="DI105">
            <v>0</v>
          </cell>
          <cell r="DJ105">
            <v>3</v>
          </cell>
        </row>
        <row r="106">
          <cell r="F106">
            <v>1</v>
          </cell>
          <cell r="O106">
            <v>0</v>
          </cell>
          <cell r="CI106">
            <v>1</v>
          </cell>
          <cell r="CJ106">
            <v>0</v>
          </cell>
          <cell r="DI106">
            <v>1</v>
          </cell>
          <cell r="DJ106">
            <v>4</v>
          </cell>
        </row>
        <row r="107">
          <cell r="F107">
            <v>1</v>
          </cell>
          <cell r="O107">
            <v>0</v>
          </cell>
          <cell r="CI107">
            <v>1</v>
          </cell>
          <cell r="CJ107">
            <v>0</v>
          </cell>
          <cell r="DI107">
            <v>1</v>
          </cell>
          <cell r="DJ107">
            <v>4</v>
          </cell>
        </row>
        <row r="108">
          <cell r="F108">
            <v>1</v>
          </cell>
          <cell r="O108">
            <v>0</v>
          </cell>
          <cell r="CI108">
            <v>1</v>
          </cell>
          <cell r="CJ108">
            <v>0</v>
          </cell>
          <cell r="DI108">
            <v>1</v>
          </cell>
          <cell r="DJ108">
            <v>2</v>
          </cell>
        </row>
        <row r="109">
          <cell r="F109">
            <v>1</v>
          </cell>
          <cell r="O109">
            <v>4</v>
          </cell>
          <cell r="CI109">
            <v>1</v>
          </cell>
          <cell r="CJ109">
            <v>4</v>
          </cell>
          <cell r="DI109">
            <v>1</v>
          </cell>
          <cell r="DJ109">
            <v>0</v>
          </cell>
        </row>
        <row r="110">
          <cell r="F110">
            <v>1</v>
          </cell>
          <cell r="O110">
            <v>3</v>
          </cell>
          <cell r="CI110">
            <v>1</v>
          </cell>
          <cell r="CJ110">
            <v>3</v>
          </cell>
          <cell r="DI110">
            <v>0</v>
          </cell>
          <cell r="DJ110">
            <v>3</v>
          </cell>
        </row>
        <row r="111">
          <cell r="F111">
            <v>1</v>
          </cell>
          <cell r="O111">
            <v>1</v>
          </cell>
          <cell r="CI111">
            <v>1</v>
          </cell>
          <cell r="CJ111">
            <v>1</v>
          </cell>
          <cell r="DI111">
            <v>1</v>
          </cell>
          <cell r="DJ111">
            <v>3</v>
          </cell>
        </row>
        <row r="112">
          <cell r="F112">
            <v>1</v>
          </cell>
          <cell r="O112">
            <v>4</v>
          </cell>
          <cell r="CI112">
            <v>1</v>
          </cell>
          <cell r="CJ112">
            <v>4</v>
          </cell>
          <cell r="DI112">
            <v>1</v>
          </cell>
          <cell r="DJ112">
            <v>0</v>
          </cell>
        </row>
        <row r="113">
          <cell r="F113">
            <v>1</v>
          </cell>
          <cell r="O113">
            <v>4</v>
          </cell>
          <cell r="CI113">
            <v>1</v>
          </cell>
          <cell r="CJ113">
            <v>4</v>
          </cell>
          <cell r="DI113">
            <v>1</v>
          </cell>
          <cell r="DJ113">
            <v>0</v>
          </cell>
        </row>
        <row r="114">
          <cell r="F114">
            <v>1</v>
          </cell>
          <cell r="O114">
            <v>4</v>
          </cell>
          <cell r="CI114">
            <v>1</v>
          </cell>
          <cell r="CJ114">
            <v>4</v>
          </cell>
          <cell r="DI114">
            <v>1</v>
          </cell>
          <cell r="DJ114">
            <v>0</v>
          </cell>
        </row>
        <row r="115">
          <cell r="F115">
            <v>1</v>
          </cell>
          <cell r="O115">
            <v>4</v>
          </cell>
          <cell r="CI115">
            <v>1</v>
          </cell>
          <cell r="CJ115">
            <v>4</v>
          </cell>
          <cell r="DI115">
            <v>1</v>
          </cell>
          <cell r="DJ115">
            <v>0</v>
          </cell>
        </row>
        <row r="116">
          <cell r="F116">
            <v>1</v>
          </cell>
          <cell r="O116">
            <v>4</v>
          </cell>
          <cell r="CI116">
            <v>1</v>
          </cell>
          <cell r="CJ116">
            <v>4</v>
          </cell>
          <cell r="DI116">
            <v>1</v>
          </cell>
          <cell r="DJ116">
            <v>0</v>
          </cell>
        </row>
        <row r="117">
          <cell r="F117">
            <v>1</v>
          </cell>
          <cell r="O117">
            <v>0</v>
          </cell>
          <cell r="CI117">
            <v>1</v>
          </cell>
          <cell r="CJ117">
            <v>0</v>
          </cell>
          <cell r="DI117">
            <v>1</v>
          </cell>
          <cell r="DJ117">
            <v>4</v>
          </cell>
        </row>
        <row r="118">
          <cell r="F118">
            <v>1</v>
          </cell>
          <cell r="O118">
            <v>4</v>
          </cell>
          <cell r="CI118">
            <v>1</v>
          </cell>
          <cell r="CJ118">
            <v>4</v>
          </cell>
          <cell r="DI118">
            <v>1</v>
          </cell>
          <cell r="DJ118">
            <v>0</v>
          </cell>
        </row>
        <row r="119">
          <cell r="F119">
            <v>1</v>
          </cell>
          <cell r="O119">
            <v>2</v>
          </cell>
          <cell r="CI119">
            <v>1</v>
          </cell>
          <cell r="CJ119">
            <v>2</v>
          </cell>
          <cell r="DI119">
            <v>1</v>
          </cell>
          <cell r="DJ119">
            <v>2</v>
          </cell>
        </row>
        <row r="120">
          <cell r="F120">
            <v>1</v>
          </cell>
          <cell r="O120">
            <v>3</v>
          </cell>
          <cell r="CI120">
            <v>1</v>
          </cell>
          <cell r="CJ120">
            <v>3</v>
          </cell>
          <cell r="DI120">
            <v>1</v>
          </cell>
          <cell r="DJ120">
            <v>1</v>
          </cell>
        </row>
        <row r="121">
          <cell r="F121">
            <v>1</v>
          </cell>
          <cell r="O121">
            <v>0</v>
          </cell>
          <cell r="CI121">
            <v>1</v>
          </cell>
          <cell r="CJ121">
            <v>0</v>
          </cell>
          <cell r="DI121">
            <v>1</v>
          </cell>
          <cell r="DJ121">
            <v>4</v>
          </cell>
        </row>
        <row r="122">
          <cell r="F122">
            <v>1</v>
          </cell>
          <cell r="O122">
            <v>0</v>
          </cell>
          <cell r="CI122">
            <v>1</v>
          </cell>
          <cell r="CJ122">
            <v>0</v>
          </cell>
          <cell r="DI122">
            <v>1</v>
          </cell>
          <cell r="DJ122">
            <v>4</v>
          </cell>
        </row>
        <row r="123">
          <cell r="F123">
            <v>1</v>
          </cell>
          <cell r="O123">
            <v>4</v>
          </cell>
          <cell r="CI123">
            <v>1</v>
          </cell>
          <cell r="CJ123">
            <v>4</v>
          </cell>
          <cell r="DI123">
            <v>1</v>
          </cell>
          <cell r="DJ123">
            <v>0</v>
          </cell>
        </row>
        <row r="124">
          <cell r="F124">
            <v>1</v>
          </cell>
          <cell r="O124">
            <v>0</v>
          </cell>
          <cell r="CI124">
            <v>1</v>
          </cell>
          <cell r="CJ124">
            <v>0</v>
          </cell>
          <cell r="DI124">
            <v>1</v>
          </cell>
          <cell r="DJ124">
            <v>4</v>
          </cell>
        </row>
        <row r="125">
          <cell r="F125">
            <v>1</v>
          </cell>
          <cell r="O125">
            <v>4</v>
          </cell>
          <cell r="CI125">
            <v>1</v>
          </cell>
          <cell r="CJ125">
            <v>4</v>
          </cell>
          <cell r="DI125">
            <v>1</v>
          </cell>
          <cell r="DJ125">
            <v>0</v>
          </cell>
        </row>
        <row r="126">
          <cell r="F126">
            <v>1</v>
          </cell>
          <cell r="O126">
            <v>4</v>
          </cell>
          <cell r="CI126">
            <v>1</v>
          </cell>
          <cell r="CJ126">
            <v>1</v>
          </cell>
          <cell r="DI126">
            <v>1</v>
          </cell>
          <cell r="DJ126">
            <v>0</v>
          </cell>
        </row>
        <row r="127">
          <cell r="F127">
            <v>1</v>
          </cell>
          <cell r="O127">
            <v>4</v>
          </cell>
          <cell r="CI127">
            <v>1</v>
          </cell>
          <cell r="CJ127">
            <v>4</v>
          </cell>
          <cell r="DI127">
            <v>1</v>
          </cell>
          <cell r="DJ127">
            <v>0</v>
          </cell>
        </row>
        <row r="128">
          <cell r="F128">
            <v>1</v>
          </cell>
          <cell r="O128">
            <v>4</v>
          </cell>
          <cell r="CI128">
            <v>1</v>
          </cell>
          <cell r="CJ128">
            <v>4</v>
          </cell>
          <cell r="DI128">
            <v>1</v>
          </cell>
          <cell r="DJ128">
            <v>0</v>
          </cell>
        </row>
        <row r="129">
          <cell r="F129">
            <v>1</v>
          </cell>
          <cell r="O129">
            <v>4</v>
          </cell>
          <cell r="CI129">
            <v>1</v>
          </cell>
          <cell r="CJ129">
            <v>0</v>
          </cell>
          <cell r="DI129">
            <v>1</v>
          </cell>
          <cell r="DJ129">
            <v>0</v>
          </cell>
        </row>
        <row r="130">
          <cell r="F130">
            <v>1</v>
          </cell>
          <cell r="O130">
            <v>4</v>
          </cell>
          <cell r="CI130">
            <v>1</v>
          </cell>
          <cell r="CJ130">
            <v>4</v>
          </cell>
          <cell r="DI130">
            <v>1</v>
          </cell>
          <cell r="DJ130">
            <v>0</v>
          </cell>
        </row>
        <row r="131">
          <cell r="F131">
            <v>1</v>
          </cell>
          <cell r="O131">
            <v>4</v>
          </cell>
          <cell r="CI131">
            <v>1</v>
          </cell>
          <cell r="CJ131">
            <v>4</v>
          </cell>
          <cell r="DI131">
            <v>1</v>
          </cell>
          <cell r="DJ131">
            <v>0</v>
          </cell>
        </row>
        <row r="132">
          <cell r="F132">
            <v>1</v>
          </cell>
          <cell r="O132">
            <v>1</v>
          </cell>
          <cell r="CI132">
            <v>0</v>
          </cell>
          <cell r="CJ132">
            <v>4</v>
          </cell>
          <cell r="DI132">
            <v>0</v>
          </cell>
          <cell r="DJ132">
            <v>4</v>
          </cell>
        </row>
        <row r="133">
          <cell r="F133">
            <v>1</v>
          </cell>
          <cell r="O133">
            <v>4</v>
          </cell>
          <cell r="CI133">
            <v>1</v>
          </cell>
          <cell r="CJ133">
            <v>4</v>
          </cell>
          <cell r="DI133">
            <v>1</v>
          </cell>
          <cell r="DJ133">
            <v>0</v>
          </cell>
        </row>
        <row r="134">
          <cell r="F134">
            <v>1</v>
          </cell>
          <cell r="O134">
            <v>0</v>
          </cell>
          <cell r="CI134">
            <v>1</v>
          </cell>
          <cell r="CJ134">
            <v>0</v>
          </cell>
          <cell r="DI134">
            <v>1</v>
          </cell>
          <cell r="DJ134">
            <v>4</v>
          </cell>
        </row>
        <row r="135">
          <cell r="F135">
            <v>1</v>
          </cell>
          <cell r="O135">
            <v>4</v>
          </cell>
          <cell r="CI135">
            <v>1</v>
          </cell>
          <cell r="CJ135">
            <v>4</v>
          </cell>
          <cell r="DI135">
            <v>1</v>
          </cell>
          <cell r="DJ135">
            <v>0</v>
          </cell>
        </row>
        <row r="136">
          <cell r="F136">
            <v>1</v>
          </cell>
          <cell r="O136">
            <v>4</v>
          </cell>
          <cell r="CI136">
            <v>1</v>
          </cell>
          <cell r="CJ136">
            <v>4</v>
          </cell>
          <cell r="DI136">
            <v>1</v>
          </cell>
          <cell r="DJ136">
            <v>0</v>
          </cell>
        </row>
        <row r="137">
          <cell r="F137">
            <v>1</v>
          </cell>
          <cell r="O137">
            <v>4</v>
          </cell>
          <cell r="CI137">
            <v>1</v>
          </cell>
          <cell r="CJ137">
            <v>4</v>
          </cell>
          <cell r="DI137">
            <v>1</v>
          </cell>
          <cell r="DJ137">
            <v>0</v>
          </cell>
        </row>
        <row r="138">
          <cell r="F138">
            <v>1</v>
          </cell>
          <cell r="O138">
            <v>0</v>
          </cell>
          <cell r="CI138">
            <v>1</v>
          </cell>
          <cell r="CJ138">
            <v>0</v>
          </cell>
          <cell r="DI138">
            <v>1</v>
          </cell>
          <cell r="DJ138">
            <v>4</v>
          </cell>
        </row>
        <row r="139">
          <cell r="F139">
            <v>1</v>
          </cell>
          <cell r="O139">
            <v>4</v>
          </cell>
          <cell r="CI139">
            <v>1</v>
          </cell>
          <cell r="CJ139">
            <v>4</v>
          </cell>
          <cell r="DI139">
            <v>1</v>
          </cell>
          <cell r="DJ139">
            <v>0</v>
          </cell>
        </row>
        <row r="140">
          <cell r="F140">
            <v>1</v>
          </cell>
          <cell r="O140">
            <v>2</v>
          </cell>
          <cell r="CI140">
            <v>1</v>
          </cell>
          <cell r="CJ140">
            <v>2</v>
          </cell>
          <cell r="DI140">
            <v>1</v>
          </cell>
          <cell r="DJ140">
            <v>2</v>
          </cell>
        </row>
        <row r="141">
          <cell r="F141">
            <v>1</v>
          </cell>
          <cell r="O141">
            <v>2</v>
          </cell>
          <cell r="CI141">
            <v>1</v>
          </cell>
          <cell r="CJ141">
            <v>2</v>
          </cell>
          <cell r="DI141">
            <v>1</v>
          </cell>
          <cell r="DJ141">
            <v>2</v>
          </cell>
        </row>
        <row r="142">
          <cell r="F142">
            <v>1</v>
          </cell>
          <cell r="O142">
            <v>1</v>
          </cell>
          <cell r="CI142">
            <v>1</v>
          </cell>
          <cell r="CJ142">
            <v>1</v>
          </cell>
          <cell r="DI142">
            <v>1</v>
          </cell>
          <cell r="DJ142">
            <v>2</v>
          </cell>
        </row>
        <row r="143">
          <cell r="F143">
            <v>1</v>
          </cell>
          <cell r="O143">
            <v>4</v>
          </cell>
          <cell r="CI143">
            <v>1</v>
          </cell>
          <cell r="CJ143">
            <v>4</v>
          </cell>
          <cell r="DI143">
            <v>1</v>
          </cell>
          <cell r="DJ143">
            <v>0</v>
          </cell>
        </row>
        <row r="144">
          <cell r="F144">
            <v>1</v>
          </cell>
          <cell r="O144">
            <v>4</v>
          </cell>
          <cell r="CI144">
            <v>1</v>
          </cell>
          <cell r="CJ144">
            <v>4</v>
          </cell>
          <cell r="DI144">
            <v>1</v>
          </cell>
          <cell r="DJ144">
            <v>0</v>
          </cell>
        </row>
        <row r="145">
          <cell r="F145">
            <v>1</v>
          </cell>
          <cell r="O145">
            <v>0</v>
          </cell>
          <cell r="CI145">
            <v>1</v>
          </cell>
          <cell r="CJ145">
            <v>0</v>
          </cell>
          <cell r="DI145">
            <v>1</v>
          </cell>
          <cell r="DJ145">
            <v>2</v>
          </cell>
        </row>
        <row r="146">
          <cell r="F146">
            <v>1</v>
          </cell>
          <cell r="O146">
            <v>4</v>
          </cell>
          <cell r="CI146">
            <v>1</v>
          </cell>
          <cell r="CJ146">
            <v>4</v>
          </cell>
          <cell r="DI146">
            <v>1</v>
          </cell>
          <cell r="DJ146">
            <v>0</v>
          </cell>
        </row>
        <row r="147">
          <cell r="F147">
            <v>1</v>
          </cell>
          <cell r="O147">
            <v>0</v>
          </cell>
          <cell r="CI147">
            <v>1</v>
          </cell>
          <cell r="CJ147">
            <v>0</v>
          </cell>
          <cell r="DI147">
            <v>1</v>
          </cell>
          <cell r="DJ147">
            <v>4</v>
          </cell>
        </row>
        <row r="148">
          <cell r="F148">
            <v>1</v>
          </cell>
          <cell r="O148">
            <v>0</v>
          </cell>
          <cell r="CI148">
            <v>1</v>
          </cell>
          <cell r="CJ148">
            <v>0</v>
          </cell>
          <cell r="DI148">
            <v>1</v>
          </cell>
          <cell r="DJ148">
            <v>4</v>
          </cell>
        </row>
        <row r="149">
          <cell r="F149">
            <v>1</v>
          </cell>
          <cell r="O149">
            <v>0</v>
          </cell>
          <cell r="CI149">
            <v>1</v>
          </cell>
          <cell r="CJ149">
            <v>0</v>
          </cell>
          <cell r="DI149">
            <v>1</v>
          </cell>
          <cell r="DJ149">
            <v>3</v>
          </cell>
        </row>
        <row r="150">
          <cell r="F150">
            <v>1</v>
          </cell>
          <cell r="O150">
            <v>0</v>
          </cell>
          <cell r="CI150">
            <v>1</v>
          </cell>
          <cell r="CJ150">
            <v>0</v>
          </cell>
          <cell r="DI150">
            <v>1</v>
          </cell>
          <cell r="DJ150">
            <v>4</v>
          </cell>
        </row>
        <row r="151">
          <cell r="F151">
            <v>1</v>
          </cell>
          <cell r="O151">
            <v>4</v>
          </cell>
          <cell r="CI151">
            <v>1</v>
          </cell>
          <cell r="CJ151">
            <v>4</v>
          </cell>
          <cell r="DI151">
            <v>1</v>
          </cell>
          <cell r="DJ151">
            <v>0</v>
          </cell>
        </row>
        <row r="152">
          <cell r="F152">
            <v>1</v>
          </cell>
          <cell r="O152">
            <v>4</v>
          </cell>
          <cell r="CI152">
            <v>1</v>
          </cell>
          <cell r="CJ152">
            <v>4</v>
          </cell>
          <cell r="DI152">
            <v>1</v>
          </cell>
          <cell r="DJ152">
            <v>0</v>
          </cell>
        </row>
        <row r="153">
          <cell r="F153">
            <v>1</v>
          </cell>
          <cell r="O153">
            <v>4</v>
          </cell>
          <cell r="CI153">
            <v>1</v>
          </cell>
          <cell r="CJ153">
            <v>4</v>
          </cell>
          <cell r="DI153">
            <v>1</v>
          </cell>
          <cell r="DJ153">
            <v>0</v>
          </cell>
        </row>
        <row r="154">
          <cell r="F154">
            <v>1</v>
          </cell>
          <cell r="O154">
            <v>4</v>
          </cell>
          <cell r="CI154">
            <v>1</v>
          </cell>
          <cell r="CJ154">
            <v>4</v>
          </cell>
          <cell r="DI154">
            <v>1</v>
          </cell>
          <cell r="DJ154">
            <v>0</v>
          </cell>
        </row>
        <row r="155">
          <cell r="F155">
            <v>1</v>
          </cell>
          <cell r="O155">
            <v>4</v>
          </cell>
          <cell r="CI155">
            <v>1</v>
          </cell>
          <cell r="CJ155">
            <v>4</v>
          </cell>
          <cell r="DI155">
            <v>1</v>
          </cell>
          <cell r="DJ155">
            <v>0</v>
          </cell>
        </row>
        <row r="156">
          <cell r="F156">
            <v>1</v>
          </cell>
          <cell r="O156">
            <v>4</v>
          </cell>
          <cell r="CI156">
            <v>1</v>
          </cell>
          <cell r="CJ156">
            <v>4</v>
          </cell>
          <cell r="DI156">
            <v>1</v>
          </cell>
          <cell r="DJ156">
            <v>0</v>
          </cell>
        </row>
        <row r="157">
          <cell r="F157">
            <v>1</v>
          </cell>
          <cell r="O157">
            <v>4</v>
          </cell>
          <cell r="CI157">
            <v>1</v>
          </cell>
          <cell r="CJ157">
            <v>4</v>
          </cell>
          <cell r="DI157">
            <v>1</v>
          </cell>
          <cell r="DJ157">
            <v>0</v>
          </cell>
        </row>
        <row r="158">
          <cell r="F158">
            <v>1</v>
          </cell>
          <cell r="O158">
            <v>0</v>
          </cell>
          <cell r="CI158">
            <v>1</v>
          </cell>
          <cell r="CJ158">
            <v>0</v>
          </cell>
          <cell r="DI158">
            <v>1</v>
          </cell>
          <cell r="DJ158">
            <v>4</v>
          </cell>
        </row>
        <row r="159">
          <cell r="F159">
            <v>1</v>
          </cell>
          <cell r="O159">
            <v>0</v>
          </cell>
          <cell r="CI159">
            <v>1</v>
          </cell>
          <cell r="CJ159">
            <v>0</v>
          </cell>
          <cell r="DI159">
            <v>1</v>
          </cell>
          <cell r="DJ159">
            <v>4</v>
          </cell>
        </row>
        <row r="160">
          <cell r="F160">
            <v>1</v>
          </cell>
          <cell r="O160">
            <v>0</v>
          </cell>
          <cell r="CI160">
            <v>1</v>
          </cell>
          <cell r="CJ160">
            <v>0</v>
          </cell>
          <cell r="DI160">
            <v>1</v>
          </cell>
          <cell r="DJ160">
            <v>0</v>
          </cell>
        </row>
        <row r="161">
          <cell r="F161">
            <v>1</v>
          </cell>
          <cell r="O161">
            <v>4</v>
          </cell>
          <cell r="CI161">
            <v>1</v>
          </cell>
          <cell r="CJ161">
            <v>4</v>
          </cell>
          <cell r="DI161">
            <v>1</v>
          </cell>
          <cell r="DJ161">
            <v>0</v>
          </cell>
        </row>
        <row r="162">
          <cell r="F162">
            <v>1</v>
          </cell>
          <cell r="O162">
            <v>0</v>
          </cell>
          <cell r="CI162">
            <v>1</v>
          </cell>
          <cell r="CJ162">
            <v>0</v>
          </cell>
          <cell r="DI162">
            <v>0</v>
          </cell>
          <cell r="DJ162">
            <v>4</v>
          </cell>
        </row>
        <row r="163">
          <cell r="F163">
            <v>1</v>
          </cell>
          <cell r="O163">
            <v>4</v>
          </cell>
          <cell r="CI163">
            <v>1</v>
          </cell>
          <cell r="CJ163">
            <v>4</v>
          </cell>
          <cell r="DI163">
            <v>1</v>
          </cell>
          <cell r="DJ163">
            <v>0</v>
          </cell>
        </row>
        <row r="164">
          <cell r="F164">
            <v>1</v>
          </cell>
          <cell r="O164">
            <v>1</v>
          </cell>
          <cell r="CI164">
            <v>1</v>
          </cell>
          <cell r="CJ164">
            <v>4</v>
          </cell>
          <cell r="DI164">
            <v>0</v>
          </cell>
          <cell r="DJ164">
            <v>4</v>
          </cell>
        </row>
        <row r="165">
          <cell r="F165">
            <v>1</v>
          </cell>
          <cell r="O165">
            <v>4</v>
          </cell>
          <cell r="CI165">
            <v>1</v>
          </cell>
          <cell r="CJ165">
            <v>4</v>
          </cell>
          <cell r="DI165">
            <v>1</v>
          </cell>
          <cell r="DJ165">
            <v>0</v>
          </cell>
        </row>
        <row r="166">
          <cell r="F166">
            <v>1</v>
          </cell>
          <cell r="O166">
            <v>0</v>
          </cell>
          <cell r="CI166">
            <v>1</v>
          </cell>
          <cell r="CJ166">
            <v>0</v>
          </cell>
          <cell r="DI166">
            <v>1</v>
          </cell>
          <cell r="DJ166">
            <v>4</v>
          </cell>
        </row>
        <row r="167">
          <cell r="F167">
            <v>1</v>
          </cell>
          <cell r="O167">
            <v>4</v>
          </cell>
          <cell r="CI167">
            <v>1</v>
          </cell>
          <cell r="CJ167">
            <v>4</v>
          </cell>
          <cell r="DI167">
            <v>1</v>
          </cell>
          <cell r="DJ167">
            <v>0</v>
          </cell>
        </row>
        <row r="168">
          <cell r="F168">
            <v>1</v>
          </cell>
          <cell r="O168">
            <v>4</v>
          </cell>
          <cell r="CI168">
            <v>1</v>
          </cell>
          <cell r="CJ168">
            <v>4</v>
          </cell>
          <cell r="DI168">
            <v>1</v>
          </cell>
          <cell r="DJ168">
            <v>0</v>
          </cell>
        </row>
        <row r="169">
          <cell r="F169">
            <v>1</v>
          </cell>
          <cell r="O169">
            <v>2</v>
          </cell>
          <cell r="CI169">
            <v>1</v>
          </cell>
          <cell r="CJ169">
            <v>2</v>
          </cell>
          <cell r="DI169">
            <v>1</v>
          </cell>
          <cell r="DJ169">
            <v>0</v>
          </cell>
        </row>
        <row r="170">
          <cell r="F170">
            <v>1</v>
          </cell>
          <cell r="O170">
            <v>4</v>
          </cell>
          <cell r="CI170">
            <v>1</v>
          </cell>
          <cell r="CJ170">
            <v>4</v>
          </cell>
          <cell r="DI170">
            <v>1</v>
          </cell>
          <cell r="DJ170">
            <v>0</v>
          </cell>
        </row>
        <row r="171">
          <cell r="F171">
            <v>1</v>
          </cell>
          <cell r="O171">
            <v>4</v>
          </cell>
          <cell r="CI171">
            <v>1</v>
          </cell>
          <cell r="CJ171">
            <v>4</v>
          </cell>
          <cell r="DI171">
            <v>1</v>
          </cell>
          <cell r="DJ171">
            <v>0</v>
          </cell>
        </row>
        <row r="172">
          <cell r="F172">
            <v>1</v>
          </cell>
          <cell r="O172">
            <v>4</v>
          </cell>
          <cell r="CI172">
            <v>1</v>
          </cell>
          <cell r="CJ172">
            <v>4</v>
          </cell>
          <cell r="DI172">
            <v>1</v>
          </cell>
          <cell r="DJ172">
            <v>0</v>
          </cell>
        </row>
        <row r="173">
          <cell r="F173">
            <v>1</v>
          </cell>
          <cell r="O173">
            <v>4</v>
          </cell>
          <cell r="CI173">
            <v>1</v>
          </cell>
          <cell r="CJ173">
            <v>4</v>
          </cell>
          <cell r="DI173">
            <v>1</v>
          </cell>
          <cell r="DJ173">
            <v>0</v>
          </cell>
        </row>
        <row r="174">
          <cell r="F174">
            <v>1</v>
          </cell>
          <cell r="O174">
            <v>0</v>
          </cell>
          <cell r="CI174">
            <v>1</v>
          </cell>
          <cell r="CJ174">
            <v>0</v>
          </cell>
          <cell r="DI174">
            <v>1</v>
          </cell>
          <cell r="DJ174">
            <v>4</v>
          </cell>
        </row>
        <row r="175">
          <cell r="F175">
            <v>1</v>
          </cell>
          <cell r="O175">
            <v>1</v>
          </cell>
          <cell r="CI175">
            <v>1</v>
          </cell>
          <cell r="CJ175">
            <v>1</v>
          </cell>
          <cell r="DI175">
            <v>1</v>
          </cell>
          <cell r="DJ175">
            <v>1</v>
          </cell>
        </row>
        <row r="176">
          <cell r="F176">
            <v>1</v>
          </cell>
          <cell r="O176">
            <v>0</v>
          </cell>
          <cell r="CI176">
            <v>1</v>
          </cell>
          <cell r="CJ176">
            <v>0</v>
          </cell>
          <cell r="DI176">
            <v>1</v>
          </cell>
          <cell r="DJ176">
            <v>4</v>
          </cell>
        </row>
        <row r="177">
          <cell r="F177">
            <v>1</v>
          </cell>
          <cell r="O177">
            <v>4</v>
          </cell>
          <cell r="CI177">
            <v>1</v>
          </cell>
          <cell r="CJ177">
            <v>4</v>
          </cell>
          <cell r="DI177">
            <v>1</v>
          </cell>
          <cell r="DJ177">
            <v>0</v>
          </cell>
        </row>
        <row r="178">
          <cell r="F178">
            <v>1</v>
          </cell>
          <cell r="O178">
            <v>0</v>
          </cell>
          <cell r="CI178">
            <v>1</v>
          </cell>
          <cell r="CJ178">
            <v>0</v>
          </cell>
          <cell r="DI178">
            <v>1</v>
          </cell>
          <cell r="DJ178">
            <v>4</v>
          </cell>
        </row>
        <row r="179">
          <cell r="F179">
            <v>1</v>
          </cell>
          <cell r="O179">
            <v>0</v>
          </cell>
          <cell r="CI179">
            <v>1</v>
          </cell>
          <cell r="CJ179">
            <v>0</v>
          </cell>
          <cell r="DI179">
            <v>1</v>
          </cell>
          <cell r="DJ179">
            <v>4</v>
          </cell>
        </row>
        <row r="180">
          <cell r="F180">
            <v>1</v>
          </cell>
          <cell r="O180">
            <v>4</v>
          </cell>
          <cell r="CI180">
            <v>1</v>
          </cell>
          <cell r="CJ180">
            <v>4</v>
          </cell>
          <cell r="DI180">
            <v>1</v>
          </cell>
          <cell r="DJ180">
            <v>0</v>
          </cell>
        </row>
        <row r="181">
          <cell r="F181">
            <v>1</v>
          </cell>
          <cell r="O181">
            <v>4</v>
          </cell>
          <cell r="CI181">
            <v>1</v>
          </cell>
          <cell r="CJ181">
            <v>4</v>
          </cell>
          <cell r="DI181">
            <v>1</v>
          </cell>
          <cell r="DJ181">
            <v>0</v>
          </cell>
        </row>
        <row r="182">
          <cell r="F182">
            <v>1</v>
          </cell>
          <cell r="O182">
            <v>4</v>
          </cell>
          <cell r="CI182">
            <v>1</v>
          </cell>
          <cell r="CJ182">
            <v>4</v>
          </cell>
          <cell r="DI182">
            <v>1</v>
          </cell>
          <cell r="DJ182">
            <v>0</v>
          </cell>
        </row>
        <row r="183">
          <cell r="F183">
            <v>1</v>
          </cell>
          <cell r="O183">
            <v>0</v>
          </cell>
          <cell r="CI183">
            <v>1</v>
          </cell>
          <cell r="CJ183">
            <v>0</v>
          </cell>
          <cell r="DI183">
            <v>1</v>
          </cell>
          <cell r="DJ183">
            <v>2</v>
          </cell>
        </row>
        <row r="184">
          <cell r="F184">
            <v>1</v>
          </cell>
          <cell r="O184">
            <v>4</v>
          </cell>
          <cell r="CI184">
            <v>1</v>
          </cell>
          <cell r="CJ184">
            <v>1</v>
          </cell>
          <cell r="DI184">
            <v>1</v>
          </cell>
          <cell r="DJ184">
            <v>0</v>
          </cell>
        </row>
        <row r="185">
          <cell r="F185">
            <v>1</v>
          </cell>
          <cell r="O185">
            <v>4</v>
          </cell>
          <cell r="CI185">
            <v>1</v>
          </cell>
          <cell r="CJ185">
            <v>4</v>
          </cell>
          <cell r="DI185">
            <v>1</v>
          </cell>
          <cell r="DJ185">
            <v>0</v>
          </cell>
        </row>
        <row r="186">
          <cell r="F186">
            <v>1</v>
          </cell>
          <cell r="O186">
            <v>4</v>
          </cell>
          <cell r="CI186">
            <v>1</v>
          </cell>
          <cell r="CJ186">
            <v>4</v>
          </cell>
          <cell r="DI186">
            <v>1</v>
          </cell>
          <cell r="DJ186">
            <v>0</v>
          </cell>
        </row>
        <row r="187">
          <cell r="F187">
            <v>1</v>
          </cell>
          <cell r="O187">
            <v>0</v>
          </cell>
          <cell r="CI187">
            <v>1</v>
          </cell>
          <cell r="CJ187">
            <v>0</v>
          </cell>
          <cell r="DI187">
            <v>1</v>
          </cell>
          <cell r="DJ187">
            <v>4</v>
          </cell>
        </row>
        <row r="188">
          <cell r="F188">
            <v>1</v>
          </cell>
          <cell r="O188">
            <v>1</v>
          </cell>
          <cell r="CI188">
            <v>1</v>
          </cell>
          <cell r="CJ188">
            <v>0</v>
          </cell>
          <cell r="DI188">
            <v>1</v>
          </cell>
          <cell r="DJ188">
            <v>0</v>
          </cell>
        </row>
        <row r="189">
          <cell r="F189">
            <v>1</v>
          </cell>
          <cell r="O189">
            <v>4</v>
          </cell>
          <cell r="CI189">
            <v>1</v>
          </cell>
          <cell r="CJ189">
            <v>4</v>
          </cell>
          <cell r="DI189">
            <v>1</v>
          </cell>
          <cell r="DJ189">
            <v>0</v>
          </cell>
        </row>
        <row r="190">
          <cell r="F190">
            <v>1</v>
          </cell>
          <cell r="O190">
            <v>0</v>
          </cell>
          <cell r="CI190">
            <v>1</v>
          </cell>
          <cell r="CJ190">
            <v>0</v>
          </cell>
          <cell r="DI190">
            <v>1</v>
          </cell>
          <cell r="DJ190">
            <v>4</v>
          </cell>
        </row>
        <row r="191">
          <cell r="F191">
            <v>1</v>
          </cell>
          <cell r="O191">
            <v>4</v>
          </cell>
          <cell r="CI191">
            <v>1</v>
          </cell>
          <cell r="CJ191">
            <v>4</v>
          </cell>
          <cell r="DI191">
            <v>1</v>
          </cell>
          <cell r="DJ191">
            <v>0</v>
          </cell>
        </row>
        <row r="192">
          <cell r="F192">
            <v>1</v>
          </cell>
          <cell r="O192">
            <v>4</v>
          </cell>
          <cell r="CI192">
            <v>1</v>
          </cell>
          <cell r="CJ192">
            <v>4</v>
          </cell>
          <cell r="DI192">
            <v>1</v>
          </cell>
          <cell r="DJ192">
            <v>0</v>
          </cell>
        </row>
        <row r="193">
          <cell r="F193">
            <v>1</v>
          </cell>
          <cell r="O193">
            <v>1</v>
          </cell>
          <cell r="CI193">
            <v>1</v>
          </cell>
          <cell r="CJ193">
            <v>2</v>
          </cell>
          <cell r="DI193">
            <v>1</v>
          </cell>
          <cell r="DJ193">
            <v>2</v>
          </cell>
        </row>
        <row r="194">
          <cell r="F194">
            <v>1</v>
          </cell>
          <cell r="O194">
            <v>4</v>
          </cell>
          <cell r="CI194">
            <v>1</v>
          </cell>
          <cell r="CJ194">
            <v>4</v>
          </cell>
          <cell r="DI194">
            <v>1</v>
          </cell>
          <cell r="DJ194">
            <v>0</v>
          </cell>
        </row>
        <row r="195">
          <cell r="F195">
            <v>1</v>
          </cell>
          <cell r="O195">
            <v>2</v>
          </cell>
          <cell r="CI195">
            <v>1</v>
          </cell>
          <cell r="CJ195">
            <v>2</v>
          </cell>
          <cell r="DI195">
            <v>1</v>
          </cell>
          <cell r="DJ195">
            <v>2</v>
          </cell>
        </row>
        <row r="196">
          <cell r="F196">
            <v>1</v>
          </cell>
          <cell r="O196">
            <v>0</v>
          </cell>
          <cell r="CI196">
            <v>1</v>
          </cell>
          <cell r="CJ196">
            <v>0</v>
          </cell>
          <cell r="DI196">
            <v>1</v>
          </cell>
          <cell r="DJ196">
            <v>4</v>
          </cell>
        </row>
        <row r="197">
          <cell r="F197">
            <v>1</v>
          </cell>
          <cell r="O197">
            <v>4</v>
          </cell>
          <cell r="CI197">
            <v>1</v>
          </cell>
          <cell r="CJ197">
            <v>4</v>
          </cell>
          <cell r="DI197">
            <v>1</v>
          </cell>
          <cell r="DJ197">
            <v>0</v>
          </cell>
        </row>
        <row r="198">
          <cell r="F198">
            <v>1</v>
          </cell>
          <cell r="O198">
            <v>0</v>
          </cell>
          <cell r="CI198">
            <v>1</v>
          </cell>
          <cell r="CJ198">
            <v>0</v>
          </cell>
          <cell r="DI198">
            <v>1</v>
          </cell>
          <cell r="DJ198">
            <v>4</v>
          </cell>
        </row>
        <row r="199">
          <cell r="F199">
            <v>1</v>
          </cell>
          <cell r="O199">
            <v>4</v>
          </cell>
          <cell r="CI199">
            <v>1</v>
          </cell>
          <cell r="CJ199">
            <v>4</v>
          </cell>
          <cell r="DI199">
            <v>1</v>
          </cell>
          <cell r="DJ199">
            <v>0</v>
          </cell>
        </row>
        <row r="200">
          <cell r="F200">
            <v>1</v>
          </cell>
          <cell r="O200">
            <v>3</v>
          </cell>
          <cell r="CI200">
            <v>1</v>
          </cell>
          <cell r="CJ200">
            <v>3</v>
          </cell>
          <cell r="DI200">
            <v>1</v>
          </cell>
          <cell r="DJ200">
            <v>1</v>
          </cell>
        </row>
        <row r="201">
          <cell r="F201">
            <v>1</v>
          </cell>
          <cell r="O201">
            <v>4</v>
          </cell>
          <cell r="CI201">
            <v>1</v>
          </cell>
          <cell r="CJ201">
            <v>4</v>
          </cell>
          <cell r="DI201">
            <v>1</v>
          </cell>
          <cell r="DJ201">
            <v>0</v>
          </cell>
        </row>
        <row r="202">
          <cell r="F202">
            <v>1</v>
          </cell>
          <cell r="O202">
            <v>0</v>
          </cell>
          <cell r="CI202">
            <v>1</v>
          </cell>
          <cell r="CJ202">
            <v>0</v>
          </cell>
          <cell r="DI202">
            <v>1</v>
          </cell>
          <cell r="DJ202">
            <v>2</v>
          </cell>
        </row>
        <row r="203">
          <cell r="F203">
            <v>1</v>
          </cell>
          <cell r="O203">
            <v>4</v>
          </cell>
          <cell r="CI203">
            <v>1</v>
          </cell>
          <cell r="CJ203">
            <v>4</v>
          </cell>
          <cell r="DI203">
            <v>1</v>
          </cell>
          <cell r="DJ203">
            <v>0</v>
          </cell>
        </row>
        <row r="204">
          <cell r="F204">
            <v>1</v>
          </cell>
          <cell r="O204">
            <v>4</v>
          </cell>
          <cell r="CI204">
            <v>1</v>
          </cell>
          <cell r="CJ204">
            <v>4</v>
          </cell>
          <cell r="DI204">
            <v>1</v>
          </cell>
          <cell r="DJ204">
            <v>0</v>
          </cell>
        </row>
        <row r="205">
          <cell r="F205">
            <v>1</v>
          </cell>
          <cell r="O205">
            <v>0</v>
          </cell>
          <cell r="CI205">
            <v>1</v>
          </cell>
          <cell r="CJ205">
            <v>0</v>
          </cell>
          <cell r="DI205">
            <v>1</v>
          </cell>
          <cell r="DJ205">
            <v>4</v>
          </cell>
        </row>
        <row r="206">
          <cell r="F206">
            <v>1</v>
          </cell>
          <cell r="O206">
            <v>0</v>
          </cell>
          <cell r="CI206">
            <v>1</v>
          </cell>
          <cell r="CJ206">
            <v>0</v>
          </cell>
          <cell r="DI206">
            <v>1</v>
          </cell>
          <cell r="DJ206">
            <v>4</v>
          </cell>
        </row>
        <row r="207">
          <cell r="F207">
            <v>1</v>
          </cell>
          <cell r="O207">
            <v>0</v>
          </cell>
          <cell r="CI207">
            <v>1</v>
          </cell>
          <cell r="CJ207">
            <v>0</v>
          </cell>
          <cell r="DI207">
            <v>1</v>
          </cell>
          <cell r="DJ207">
            <v>3</v>
          </cell>
        </row>
        <row r="208">
          <cell r="F208">
            <v>1</v>
          </cell>
          <cell r="O208">
            <v>3</v>
          </cell>
          <cell r="CI208">
            <v>1</v>
          </cell>
          <cell r="CJ208">
            <v>3</v>
          </cell>
          <cell r="DI208">
            <v>1</v>
          </cell>
          <cell r="DJ208">
            <v>1</v>
          </cell>
        </row>
        <row r="209">
          <cell r="F209">
            <v>1</v>
          </cell>
          <cell r="O209">
            <v>4</v>
          </cell>
          <cell r="CI209">
            <v>1</v>
          </cell>
          <cell r="CJ209">
            <v>4</v>
          </cell>
          <cell r="DI209">
            <v>1</v>
          </cell>
          <cell r="DJ209">
            <v>0</v>
          </cell>
        </row>
        <row r="210">
          <cell r="F210">
            <v>1</v>
          </cell>
          <cell r="O210">
            <v>0</v>
          </cell>
          <cell r="CI210">
            <v>1</v>
          </cell>
          <cell r="CJ210">
            <v>0</v>
          </cell>
          <cell r="DI210">
            <v>0</v>
          </cell>
          <cell r="DJ210">
            <v>2</v>
          </cell>
        </row>
        <row r="211">
          <cell r="F211">
            <v>1</v>
          </cell>
          <cell r="O211">
            <v>1</v>
          </cell>
          <cell r="CI211">
            <v>0</v>
          </cell>
          <cell r="CJ211">
            <v>3</v>
          </cell>
          <cell r="DI211">
            <v>0</v>
          </cell>
          <cell r="DJ211">
            <v>3</v>
          </cell>
        </row>
        <row r="212">
          <cell r="F212">
            <v>1</v>
          </cell>
          <cell r="O212">
            <v>0</v>
          </cell>
          <cell r="CI212">
            <v>1</v>
          </cell>
          <cell r="CJ212">
            <v>0</v>
          </cell>
          <cell r="DI212">
            <v>1</v>
          </cell>
          <cell r="DJ212">
            <v>2</v>
          </cell>
        </row>
        <row r="213">
          <cell r="F213">
            <v>1</v>
          </cell>
          <cell r="O213">
            <v>0</v>
          </cell>
          <cell r="CI213">
            <v>1</v>
          </cell>
          <cell r="CJ213">
            <v>0</v>
          </cell>
          <cell r="DI213">
            <v>0</v>
          </cell>
          <cell r="DJ213">
            <v>0</v>
          </cell>
        </row>
        <row r="214">
          <cell r="F214">
            <v>1</v>
          </cell>
          <cell r="O214">
            <v>4</v>
          </cell>
          <cell r="CI214">
            <v>1</v>
          </cell>
          <cell r="CJ214">
            <v>4</v>
          </cell>
          <cell r="DI214">
            <v>1</v>
          </cell>
          <cell r="DJ214">
            <v>0</v>
          </cell>
        </row>
        <row r="215">
          <cell r="F215">
            <v>1</v>
          </cell>
          <cell r="O215">
            <v>1</v>
          </cell>
          <cell r="CI215">
            <v>1</v>
          </cell>
          <cell r="CJ215">
            <v>1</v>
          </cell>
          <cell r="DI215">
            <v>1</v>
          </cell>
          <cell r="DJ215">
            <v>1</v>
          </cell>
        </row>
        <row r="216">
          <cell r="F216">
            <v>1</v>
          </cell>
          <cell r="O216">
            <v>0</v>
          </cell>
          <cell r="CI216">
            <v>1</v>
          </cell>
          <cell r="CJ216">
            <v>0</v>
          </cell>
          <cell r="DI216">
            <v>1</v>
          </cell>
          <cell r="DJ216">
            <v>4</v>
          </cell>
        </row>
        <row r="217">
          <cell r="F217">
            <v>1</v>
          </cell>
          <cell r="O217">
            <v>4</v>
          </cell>
          <cell r="CI217">
            <v>1</v>
          </cell>
          <cell r="CJ217">
            <v>4</v>
          </cell>
          <cell r="DI217">
            <v>1</v>
          </cell>
          <cell r="DJ217">
            <v>0</v>
          </cell>
        </row>
        <row r="218">
          <cell r="F218">
            <v>1</v>
          </cell>
          <cell r="O218">
            <v>4</v>
          </cell>
          <cell r="CI218">
            <v>1</v>
          </cell>
          <cell r="CJ218">
            <v>4</v>
          </cell>
          <cell r="DI218">
            <v>1</v>
          </cell>
          <cell r="DJ218">
            <v>0</v>
          </cell>
        </row>
        <row r="219">
          <cell r="F219">
            <v>1</v>
          </cell>
          <cell r="O219">
            <v>2</v>
          </cell>
          <cell r="CI219">
            <v>1</v>
          </cell>
          <cell r="CJ219">
            <v>2</v>
          </cell>
          <cell r="DI219">
            <v>1</v>
          </cell>
          <cell r="DJ219">
            <v>2</v>
          </cell>
        </row>
        <row r="220">
          <cell r="F220">
            <v>1</v>
          </cell>
          <cell r="O220">
            <v>4</v>
          </cell>
          <cell r="CI220">
            <v>1</v>
          </cell>
          <cell r="CJ220">
            <v>4</v>
          </cell>
          <cell r="DI220">
            <v>1</v>
          </cell>
          <cell r="DJ220">
            <v>0</v>
          </cell>
        </row>
        <row r="221">
          <cell r="F221">
            <v>1</v>
          </cell>
          <cell r="O221">
            <v>0</v>
          </cell>
          <cell r="CI221">
            <v>1</v>
          </cell>
          <cell r="CJ221">
            <v>0</v>
          </cell>
          <cell r="DI221">
            <v>0</v>
          </cell>
          <cell r="DJ221">
            <v>4</v>
          </cell>
        </row>
        <row r="222">
          <cell r="F222">
            <v>1</v>
          </cell>
          <cell r="O222">
            <v>4</v>
          </cell>
          <cell r="CI222">
            <v>1</v>
          </cell>
          <cell r="CJ222">
            <v>4</v>
          </cell>
          <cell r="DI222">
            <v>1</v>
          </cell>
          <cell r="DJ222">
            <v>0</v>
          </cell>
        </row>
        <row r="223">
          <cell r="F223">
            <v>1</v>
          </cell>
          <cell r="O223">
            <v>4</v>
          </cell>
          <cell r="CI223">
            <v>1</v>
          </cell>
          <cell r="CJ223">
            <v>2</v>
          </cell>
          <cell r="DI223">
            <v>1</v>
          </cell>
          <cell r="DJ223">
            <v>0</v>
          </cell>
        </row>
        <row r="224">
          <cell r="F224">
            <v>1</v>
          </cell>
          <cell r="O224">
            <v>0</v>
          </cell>
          <cell r="CI224">
            <v>1</v>
          </cell>
          <cell r="CJ224">
            <v>0</v>
          </cell>
          <cell r="DI224">
            <v>1</v>
          </cell>
          <cell r="DJ224">
            <v>4</v>
          </cell>
        </row>
        <row r="225">
          <cell r="F225">
            <v>1</v>
          </cell>
          <cell r="O225">
            <v>4</v>
          </cell>
          <cell r="CI225">
            <v>1</v>
          </cell>
          <cell r="CJ225">
            <v>4</v>
          </cell>
          <cell r="DI225">
            <v>1</v>
          </cell>
          <cell r="DJ225">
            <v>0</v>
          </cell>
        </row>
        <row r="226">
          <cell r="F226">
            <v>1</v>
          </cell>
          <cell r="O226">
            <v>3</v>
          </cell>
          <cell r="CI226">
            <v>1</v>
          </cell>
          <cell r="CJ226">
            <v>3</v>
          </cell>
          <cell r="DI226">
            <v>1</v>
          </cell>
          <cell r="DJ226">
            <v>1</v>
          </cell>
        </row>
        <row r="227">
          <cell r="F227">
            <v>1</v>
          </cell>
          <cell r="O227">
            <v>1</v>
          </cell>
          <cell r="CI227">
            <v>1</v>
          </cell>
          <cell r="CJ227">
            <v>1</v>
          </cell>
          <cell r="DI227">
            <v>1</v>
          </cell>
          <cell r="DJ227">
            <v>3</v>
          </cell>
        </row>
        <row r="228">
          <cell r="F228">
            <v>1</v>
          </cell>
          <cell r="O228">
            <v>1</v>
          </cell>
          <cell r="CI228">
            <v>1</v>
          </cell>
          <cell r="CJ228">
            <v>1</v>
          </cell>
          <cell r="DI228">
            <v>1</v>
          </cell>
          <cell r="DJ228">
            <v>3</v>
          </cell>
        </row>
        <row r="229">
          <cell r="F229">
            <v>1</v>
          </cell>
          <cell r="O229">
            <v>2</v>
          </cell>
          <cell r="CI229">
            <v>1</v>
          </cell>
          <cell r="CJ229">
            <v>2</v>
          </cell>
          <cell r="DI229">
            <v>1</v>
          </cell>
          <cell r="DJ229">
            <v>2</v>
          </cell>
        </row>
        <row r="230">
          <cell r="F230">
            <v>1</v>
          </cell>
          <cell r="O230">
            <v>4</v>
          </cell>
          <cell r="CI230">
            <v>1</v>
          </cell>
          <cell r="CJ230">
            <v>4</v>
          </cell>
          <cell r="DI230">
            <v>1</v>
          </cell>
          <cell r="DJ230">
            <v>0</v>
          </cell>
        </row>
        <row r="231">
          <cell r="F231">
            <v>1</v>
          </cell>
          <cell r="O231">
            <v>2</v>
          </cell>
          <cell r="CI231">
            <v>1</v>
          </cell>
          <cell r="CJ231">
            <v>2</v>
          </cell>
          <cell r="DI231">
            <v>1</v>
          </cell>
          <cell r="DJ231">
            <v>2</v>
          </cell>
        </row>
        <row r="232">
          <cell r="F232">
            <v>1</v>
          </cell>
          <cell r="O232">
            <v>4</v>
          </cell>
          <cell r="CI232">
            <v>1</v>
          </cell>
          <cell r="CJ232">
            <v>1</v>
          </cell>
          <cell r="DI232">
            <v>1</v>
          </cell>
          <cell r="DJ232">
            <v>0</v>
          </cell>
        </row>
        <row r="233">
          <cell r="F233">
            <v>1</v>
          </cell>
          <cell r="O233">
            <v>2</v>
          </cell>
          <cell r="CI233">
            <v>1</v>
          </cell>
          <cell r="CJ233">
            <v>2</v>
          </cell>
          <cell r="DI233">
            <v>1</v>
          </cell>
          <cell r="DJ233">
            <v>2</v>
          </cell>
        </row>
        <row r="234">
          <cell r="F234">
            <v>1</v>
          </cell>
          <cell r="O234">
            <v>2</v>
          </cell>
          <cell r="CI234">
            <v>1</v>
          </cell>
          <cell r="CJ234">
            <v>2</v>
          </cell>
          <cell r="DI234">
            <v>1</v>
          </cell>
          <cell r="DJ234">
            <v>2</v>
          </cell>
        </row>
        <row r="235">
          <cell r="F235">
            <v>1</v>
          </cell>
          <cell r="O235">
            <v>2</v>
          </cell>
          <cell r="CI235">
            <v>1</v>
          </cell>
          <cell r="CJ235">
            <v>2</v>
          </cell>
          <cell r="DI235">
            <v>1</v>
          </cell>
          <cell r="DJ235">
            <v>2</v>
          </cell>
        </row>
        <row r="236">
          <cell r="F236">
            <v>1</v>
          </cell>
          <cell r="O236">
            <v>3</v>
          </cell>
          <cell r="CI236">
            <v>1</v>
          </cell>
          <cell r="CJ236">
            <v>3</v>
          </cell>
          <cell r="DI236">
            <v>1</v>
          </cell>
          <cell r="DJ236">
            <v>0</v>
          </cell>
        </row>
        <row r="237">
          <cell r="F237">
            <v>1</v>
          </cell>
          <cell r="O237">
            <v>4</v>
          </cell>
          <cell r="CI237">
            <v>1</v>
          </cell>
          <cell r="CJ237">
            <v>3</v>
          </cell>
          <cell r="DI237">
            <v>1</v>
          </cell>
          <cell r="DJ237">
            <v>0</v>
          </cell>
        </row>
        <row r="238">
          <cell r="F238">
            <v>1</v>
          </cell>
          <cell r="O238">
            <v>0</v>
          </cell>
          <cell r="CI238">
            <v>1</v>
          </cell>
          <cell r="CJ238">
            <v>0</v>
          </cell>
          <cell r="DI238">
            <v>1</v>
          </cell>
          <cell r="DJ238">
            <v>4</v>
          </cell>
        </row>
        <row r="239">
          <cell r="F239">
            <v>1</v>
          </cell>
          <cell r="O239">
            <v>0</v>
          </cell>
          <cell r="CI239">
            <v>1</v>
          </cell>
          <cell r="CJ239">
            <v>0</v>
          </cell>
          <cell r="DI239">
            <v>1</v>
          </cell>
          <cell r="DJ239">
            <v>0</v>
          </cell>
        </row>
        <row r="240">
          <cell r="F240">
            <v>1</v>
          </cell>
          <cell r="O240">
            <v>2</v>
          </cell>
          <cell r="CI240">
            <v>1</v>
          </cell>
          <cell r="CJ240">
            <v>2</v>
          </cell>
          <cell r="DI240">
            <v>1</v>
          </cell>
          <cell r="DJ240">
            <v>2</v>
          </cell>
        </row>
        <row r="241">
          <cell r="F241">
            <v>1</v>
          </cell>
          <cell r="O241">
            <v>0</v>
          </cell>
          <cell r="CI241">
            <v>1</v>
          </cell>
          <cell r="CJ241">
            <v>0</v>
          </cell>
          <cell r="DI241">
            <v>1</v>
          </cell>
          <cell r="DJ241">
            <v>2</v>
          </cell>
        </row>
        <row r="242">
          <cell r="F242">
            <v>1</v>
          </cell>
          <cell r="O242">
            <v>4</v>
          </cell>
          <cell r="CI242">
            <v>1</v>
          </cell>
          <cell r="CJ242">
            <v>1</v>
          </cell>
          <cell r="DI242">
            <v>1</v>
          </cell>
          <cell r="DJ242">
            <v>0</v>
          </cell>
        </row>
        <row r="243">
          <cell r="F243">
            <v>1</v>
          </cell>
          <cell r="O243">
            <v>0</v>
          </cell>
          <cell r="CI243">
            <v>1</v>
          </cell>
          <cell r="CJ243">
            <v>0</v>
          </cell>
          <cell r="DI243">
            <v>1</v>
          </cell>
          <cell r="DJ243">
            <v>4</v>
          </cell>
        </row>
        <row r="244">
          <cell r="F244">
            <v>1</v>
          </cell>
          <cell r="O244">
            <v>4</v>
          </cell>
          <cell r="CI244">
            <v>1</v>
          </cell>
          <cell r="CJ244">
            <v>4</v>
          </cell>
          <cell r="DI244">
            <v>1</v>
          </cell>
          <cell r="DJ244">
            <v>0</v>
          </cell>
        </row>
        <row r="245">
          <cell r="F245">
            <v>1</v>
          </cell>
          <cell r="O245">
            <v>4</v>
          </cell>
          <cell r="CI245">
            <v>1</v>
          </cell>
          <cell r="CJ245">
            <v>4</v>
          </cell>
          <cell r="DI245">
            <v>1</v>
          </cell>
          <cell r="DJ245">
            <v>0</v>
          </cell>
        </row>
        <row r="246">
          <cell r="F246">
            <v>1</v>
          </cell>
          <cell r="O246">
            <v>4</v>
          </cell>
          <cell r="CI246">
            <v>1</v>
          </cell>
          <cell r="CJ246">
            <v>4</v>
          </cell>
          <cell r="DI246">
            <v>1</v>
          </cell>
          <cell r="DJ246">
            <v>0</v>
          </cell>
        </row>
        <row r="247">
          <cell r="F247">
            <v>1</v>
          </cell>
          <cell r="O247">
            <v>4</v>
          </cell>
          <cell r="CI247">
            <v>1</v>
          </cell>
          <cell r="CJ247">
            <v>4</v>
          </cell>
          <cell r="DI247">
            <v>1</v>
          </cell>
          <cell r="DJ247">
            <v>0</v>
          </cell>
        </row>
        <row r="248">
          <cell r="F248">
            <v>1</v>
          </cell>
          <cell r="O248">
            <v>4</v>
          </cell>
          <cell r="CI248">
            <v>1</v>
          </cell>
          <cell r="CJ248">
            <v>4</v>
          </cell>
          <cell r="DI248">
            <v>1</v>
          </cell>
          <cell r="DJ248">
            <v>0</v>
          </cell>
        </row>
        <row r="249">
          <cell r="F249">
            <v>1</v>
          </cell>
          <cell r="O249">
            <v>4</v>
          </cell>
          <cell r="CI249">
            <v>1</v>
          </cell>
          <cell r="CJ249">
            <v>4</v>
          </cell>
          <cell r="DI249">
            <v>1</v>
          </cell>
          <cell r="DJ249">
            <v>0</v>
          </cell>
        </row>
        <row r="250">
          <cell r="F250">
            <v>1</v>
          </cell>
          <cell r="O250">
            <v>4</v>
          </cell>
          <cell r="CI250">
            <v>1</v>
          </cell>
          <cell r="CJ250">
            <v>2</v>
          </cell>
          <cell r="DI250">
            <v>1</v>
          </cell>
          <cell r="DJ250">
            <v>0</v>
          </cell>
        </row>
        <row r="251">
          <cell r="F251">
            <v>1</v>
          </cell>
          <cell r="O251">
            <v>2</v>
          </cell>
          <cell r="CI251">
            <v>1</v>
          </cell>
          <cell r="CJ251">
            <v>2</v>
          </cell>
          <cell r="DI251">
            <v>1</v>
          </cell>
          <cell r="DJ251">
            <v>2</v>
          </cell>
        </row>
        <row r="252">
          <cell r="F252">
            <v>1</v>
          </cell>
          <cell r="O252">
            <v>4</v>
          </cell>
          <cell r="CI252">
            <v>1</v>
          </cell>
          <cell r="CJ252">
            <v>4</v>
          </cell>
          <cell r="DI252">
            <v>1</v>
          </cell>
          <cell r="DJ252">
            <v>0</v>
          </cell>
        </row>
        <row r="253">
          <cell r="F253">
            <v>1</v>
          </cell>
          <cell r="O253">
            <v>2</v>
          </cell>
          <cell r="CI253">
            <v>1</v>
          </cell>
          <cell r="CJ253">
            <v>2</v>
          </cell>
          <cell r="DI253">
            <v>1</v>
          </cell>
          <cell r="DJ253">
            <v>2</v>
          </cell>
        </row>
        <row r="254">
          <cell r="F254">
            <v>1</v>
          </cell>
          <cell r="O254">
            <v>4</v>
          </cell>
          <cell r="CI254">
            <v>1</v>
          </cell>
          <cell r="CJ254">
            <v>4</v>
          </cell>
          <cell r="DI254">
            <v>1</v>
          </cell>
          <cell r="DJ254">
            <v>0</v>
          </cell>
        </row>
        <row r="255">
          <cell r="F255">
            <v>1</v>
          </cell>
          <cell r="O255">
            <v>4</v>
          </cell>
          <cell r="CI255">
            <v>1</v>
          </cell>
          <cell r="CJ255">
            <v>4</v>
          </cell>
          <cell r="DI255">
            <v>1</v>
          </cell>
          <cell r="DJ255">
            <v>0</v>
          </cell>
        </row>
        <row r="256">
          <cell r="F256">
            <v>1</v>
          </cell>
          <cell r="O256">
            <v>4</v>
          </cell>
          <cell r="CI256">
            <v>1</v>
          </cell>
          <cell r="CJ256">
            <v>4</v>
          </cell>
          <cell r="DI256">
            <v>1</v>
          </cell>
          <cell r="DJ256">
            <v>0</v>
          </cell>
        </row>
        <row r="257">
          <cell r="F257">
            <v>1</v>
          </cell>
          <cell r="O257">
            <v>2</v>
          </cell>
          <cell r="CI257">
            <v>1</v>
          </cell>
          <cell r="CJ257">
            <v>2</v>
          </cell>
          <cell r="DI257">
            <v>1</v>
          </cell>
          <cell r="DJ257">
            <v>2</v>
          </cell>
        </row>
        <row r="258">
          <cell r="F258">
            <v>1</v>
          </cell>
          <cell r="O258">
            <v>0</v>
          </cell>
          <cell r="CI258">
            <v>1</v>
          </cell>
          <cell r="CJ258">
            <v>0</v>
          </cell>
          <cell r="DI258">
            <v>1</v>
          </cell>
          <cell r="DJ258">
            <v>4</v>
          </cell>
        </row>
        <row r="259">
          <cell r="F259">
            <v>1</v>
          </cell>
          <cell r="O259">
            <v>4</v>
          </cell>
          <cell r="CI259">
            <v>0</v>
          </cell>
          <cell r="CJ259">
            <v>0</v>
          </cell>
          <cell r="DI259">
            <v>1</v>
          </cell>
          <cell r="DJ259">
            <v>0</v>
          </cell>
        </row>
        <row r="260">
          <cell r="F260">
            <v>1</v>
          </cell>
          <cell r="O260">
            <v>4</v>
          </cell>
          <cell r="CI260">
            <v>1</v>
          </cell>
          <cell r="CJ260">
            <v>4</v>
          </cell>
          <cell r="DI260">
            <v>1</v>
          </cell>
          <cell r="DJ260">
            <v>0</v>
          </cell>
        </row>
        <row r="261">
          <cell r="F261">
            <v>1</v>
          </cell>
          <cell r="O261">
            <v>4</v>
          </cell>
          <cell r="CI261">
            <v>1</v>
          </cell>
          <cell r="CJ261">
            <v>4</v>
          </cell>
          <cell r="DI261">
            <v>1</v>
          </cell>
          <cell r="DJ261">
            <v>0</v>
          </cell>
        </row>
        <row r="262">
          <cell r="F262">
            <v>1</v>
          </cell>
          <cell r="O262">
            <v>0</v>
          </cell>
          <cell r="CI262">
            <v>1</v>
          </cell>
          <cell r="CJ262">
            <v>0</v>
          </cell>
          <cell r="DI262">
            <v>1</v>
          </cell>
          <cell r="DJ262">
            <v>2</v>
          </cell>
        </row>
        <row r="263">
          <cell r="F263">
            <v>1</v>
          </cell>
          <cell r="O263">
            <v>4</v>
          </cell>
          <cell r="CI263">
            <v>1</v>
          </cell>
          <cell r="CJ263">
            <v>4</v>
          </cell>
          <cell r="DI263">
            <v>1</v>
          </cell>
          <cell r="DJ263">
            <v>0</v>
          </cell>
        </row>
        <row r="264">
          <cell r="F264">
            <v>1</v>
          </cell>
          <cell r="O264">
            <v>4</v>
          </cell>
          <cell r="CI264">
            <v>1</v>
          </cell>
          <cell r="CJ264">
            <v>4</v>
          </cell>
          <cell r="DI264">
            <v>1</v>
          </cell>
          <cell r="DJ264">
            <v>0</v>
          </cell>
        </row>
        <row r="265">
          <cell r="F265">
            <v>1</v>
          </cell>
          <cell r="O265">
            <v>1</v>
          </cell>
          <cell r="CI265">
            <v>0</v>
          </cell>
          <cell r="CJ265">
            <v>0</v>
          </cell>
          <cell r="DI265">
            <v>1</v>
          </cell>
          <cell r="DJ265">
            <v>3</v>
          </cell>
        </row>
        <row r="266">
          <cell r="F266">
            <v>1</v>
          </cell>
          <cell r="O266">
            <v>2</v>
          </cell>
          <cell r="CI266">
            <v>1</v>
          </cell>
          <cell r="CJ266">
            <v>2</v>
          </cell>
          <cell r="DI266">
            <v>1</v>
          </cell>
          <cell r="DJ266">
            <v>2</v>
          </cell>
        </row>
        <row r="267">
          <cell r="F267">
            <v>1</v>
          </cell>
          <cell r="O267">
            <v>0</v>
          </cell>
          <cell r="CI267">
            <v>1</v>
          </cell>
          <cell r="CJ267">
            <v>0</v>
          </cell>
          <cell r="DI267">
            <v>1</v>
          </cell>
          <cell r="DJ267">
            <v>4</v>
          </cell>
        </row>
        <row r="268">
          <cell r="F268">
            <v>1</v>
          </cell>
          <cell r="O268">
            <v>4</v>
          </cell>
          <cell r="CI268">
            <v>1</v>
          </cell>
          <cell r="CJ268">
            <v>4</v>
          </cell>
          <cell r="DI268">
            <v>1</v>
          </cell>
          <cell r="DJ268">
            <v>0</v>
          </cell>
        </row>
        <row r="269">
          <cell r="F269">
            <v>1</v>
          </cell>
          <cell r="O269">
            <v>4</v>
          </cell>
          <cell r="CI269">
            <v>1</v>
          </cell>
          <cell r="CJ269">
            <v>4</v>
          </cell>
          <cell r="DI269">
            <v>1</v>
          </cell>
          <cell r="DJ269">
            <v>0</v>
          </cell>
        </row>
        <row r="270">
          <cell r="F270">
            <v>1</v>
          </cell>
          <cell r="O270">
            <v>4</v>
          </cell>
          <cell r="CI270">
            <v>1</v>
          </cell>
          <cell r="CJ270">
            <v>4</v>
          </cell>
          <cell r="DI270">
            <v>1</v>
          </cell>
          <cell r="DJ270">
            <v>0</v>
          </cell>
        </row>
        <row r="271">
          <cell r="F271">
            <v>1</v>
          </cell>
          <cell r="O271">
            <v>4</v>
          </cell>
          <cell r="CI271">
            <v>1</v>
          </cell>
          <cell r="CJ271">
            <v>4</v>
          </cell>
          <cell r="DI271">
            <v>1</v>
          </cell>
          <cell r="DJ271">
            <v>0</v>
          </cell>
        </row>
        <row r="272">
          <cell r="F272">
            <v>1</v>
          </cell>
          <cell r="O272">
            <v>4</v>
          </cell>
          <cell r="CI272">
            <v>1</v>
          </cell>
          <cell r="CJ272">
            <v>4</v>
          </cell>
          <cell r="DI272">
            <v>1</v>
          </cell>
          <cell r="DJ272">
            <v>0</v>
          </cell>
        </row>
        <row r="273">
          <cell r="F273">
            <v>1</v>
          </cell>
          <cell r="O273">
            <v>4</v>
          </cell>
          <cell r="CI273">
            <v>1</v>
          </cell>
          <cell r="CJ273">
            <v>0</v>
          </cell>
          <cell r="DI273">
            <v>1</v>
          </cell>
          <cell r="DJ273">
            <v>0</v>
          </cell>
        </row>
        <row r="274">
          <cell r="F274">
            <v>1</v>
          </cell>
          <cell r="O274">
            <v>4</v>
          </cell>
          <cell r="CI274">
            <v>1</v>
          </cell>
          <cell r="CJ274">
            <v>4</v>
          </cell>
          <cell r="DI274">
            <v>1</v>
          </cell>
          <cell r="DJ274">
            <v>0</v>
          </cell>
        </row>
        <row r="275">
          <cell r="F275">
            <v>1</v>
          </cell>
          <cell r="O275">
            <v>2</v>
          </cell>
          <cell r="CI275">
            <v>1</v>
          </cell>
          <cell r="CJ275">
            <v>2</v>
          </cell>
          <cell r="DI275">
            <v>1</v>
          </cell>
          <cell r="DJ275">
            <v>1</v>
          </cell>
        </row>
        <row r="276">
          <cell r="F276">
            <v>1</v>
          </cell>
          <cell r="O276">
            <v>4</v>
          </cell>
          <cell r="CI276">
            <v>1</v>
          </cell>
          <cell r="CJ276">
            <v>4</v>
          </cell>
          <cell r="DI276">
            <v>1</v>
          </cell>
          <cell r="DJ276">
            <v>0</v>
          </cell>
        </row>
        <row r="277">
          <cell r="F277">
            <v>1</v>
          </cell>
          <cell r="O277">
            <v>4</v>
          </cell>
          <cell r="CI277">
            <v>1</v>
          </cell>
          <cell r="CJ277">
            <v>4</v>
          </cell>
          <cell r="DI277">
            <v>1</v>
          </cell>
          <cell r="DJ277">
            <v>0</v>
          </cell>
        </row>
        <row r="278">
          <cell r="F278">
            <v>1</v>
          </cell>
          <cell r="O278">
            <v>3</v>
          </cell>
          <cell r="CI278">
            <v>1</v>
          </cell>
          <cell r="CJ278">
            <v>3</v>
          </cell>
          <cell r="DI278">
            <v>1</v>
          </cell>
          <cell r="DJ278">
            <v>1</v>
          </cell>
        </row>
        <row r="279">
          <cell r="F279">
            <v>1</v>
          </cell>
          <cell r="O279">
            <v>4</v>
          </cell>
          <cell r="CI279">
            <v>1</v>
          </cell>
          <cell r="CJ279">
            <v>4</v>
          </cell>
          <cell r="DI279">
            <v>1</v>
          </cell>
          <cell r="DJ279">
            <v>0</v>
          </cell>
        </row>
        <row r="280">
          <cell r="F280">
            <v>1</v>
          </cell>
          <cell r="O280">
            <v>3</v>
          </cell>
          <cell r="CI280">
            <v>1</v>
          </cell>
          <cell r="CJ280">
            <v>3</v>
          </cell>
          <cell r="DI280">
            <v>1</v>
          </cell>
          <cell r="DJ280">
            <v>1</v>
          </cell>
        </row>
        <row r="281">
          <cell r="F281">
            <v>1</v>
          </cell>
          <cell r="O281">
            <v>4</v>
          </cell>
          <cell r="CI281">
            <v>1</v>
          </cell>
          <cell r="CJ281">
            <v>4</v>
          </cell>
          <cell r="DI281">
            <v>1</v>
          </cell>
          <cell r="DJ281">
            <v>0</v>
          </cell>
        </row>
        <row r="282">
          <cell r="F282">
            <v>1</v>
          </cell>
          <cell r="O282">
            <v>4</v>
          </cell>
          <cell r="CI282">
            <v>1</v>
          </cell>
          <cell r="CJ282">
            <v>4</v>
          </cell>
          <cell r="DI282">
            <v>1</v>
          </cell>
          <cell r="DJ282">
            <v>0</v>
          </cell>
        </row>
        <row r="283">
          <cell r="F283">
            <v>1</v>
          </cell>
          <cell r="O283">
            <v>0</v>
          </cell>
          <cell r="CI283">
            <v>1</v>
          </cell>
          <cell r="CJ283">
            <v>0</v>
          </cell>
          <cell r="DI283">
            <v>1</v>
          </cell>
          <cell r="DJ283">
            <v>1</v>
          </cell>
        </row>
        <row r="284">
          <cell r="F284">
            <v>1</v>
          </cell>
          <cell r="O284">
            <v>4</v>
          </cell>
          <cell r="CI284">
            <v>1</v>
          </cell>
          <cell r="CJ284">
            <v>4</v>
          </cell>
          <cell r="DI284">
            <v>1</v>
          </cell>
          <cell r="DJ284">
            <v>0</v>
          </cell>
        </row>
        <row r="285">
          <cell r="F285">
            <v>1</v>
          </cell>
          <cell r="O285">
            <v>4</v>
          </cell>
          <cell r="CI285">
            <v>1</v>
          </cell>
          <cell r="CJ285">
            <v>2</v>
          </cell>
          <cell r="DI285">
            <v>1</v>
          </cell>
          <cell r="DJ285">
            <v>0</v>
          </cell>
        </row>
        <row r="286">
          <cell r="F286">
            <v>1</v>
          </cell>
          <cell r="O286">
            <v>4</v>
          </cell>
          <cell r="CI286">
            <v>1</v>
          </cell>
          <cell r="CJ286">
            <v>4</v>
          </cell>
          <cell r="DI286">
            <v>1</v>
          </cell>
          <cell r="DJ286">
            <v>0</v>
          </cell>
        </row>
        <row r="287">
          <cell r="F287">
            <v>1</v>
          </cell>
          <cell r="O287">
            <v>1</v>
          </cell>
          <cell r="CI287">
            <v>0</v>
          </cell>
          <cell r="CJ287">
            <v>2</v>
          </cell>
          <cell r="DI287">
            <v>0</v>
          </cell>
          <cell r="DJ287">
            <v>3</v>
          </cell>
        </row>
        <row r="288">
          <cell r="F288">
            <v>1</v>
          </cell>
          <cell r="O288">
            <v>0</v>
          </cell>
          <cell r="CI288">
            <v>1</v>
          </cell>
          <cell r="CJ288">
            <v>0</v>
          </cell>
          <cell r="DI288">
            <v>1</v>
          </cell>
          <cell r="DJ288">
            <v>0</v>
          </cell>
        </row>
        <row r="289">
          <cell r="F289">
            <v>1</v>
          </cell>
          <cell r="O289">
            <v>4</v>
          </cell>
          <cell r="CI289">
            <v>1</v>
          </cell>
          <cell r="CJ289">
            <v>4</v>
          </cell>
          <cell r="DI289">
            <v>1</v>
          </cell>
          <cell r="DJ289">
            <v>0</v>
          </cell>
        </row>
        <row r="290">
          <cell r="F290">
            <v>1</v>
          </cell>
          <cell r="O290">
            <v>4</v>
          </cell>
          <cell r="CI290">
            <v>1</v>
          </cell>
          <cell r="CJ290">
            <v>4</v>
          </cell>
          <cell r="DI290">
            <v>1</v>
          </cell>
          <cell r="DJ290">
            <v>0</v>
          </cell>
        </row>
        <row r="291">
          <cell r="F291">
            <v>1</v>
          </cell>
          <cell r="O291">
            <v>1</v>
          </cell>
          <cell r="CI291">
            <v>1</v>
          </cell>
          <cell r="CJ291">
            <v>3</v>
          </cell>
          <cell r="DI291">
            <v>0</v>
          </cell>
          <cell r="DJ291">
            <v>3</v>
          </cell>
        </row>
        <row r="292">
          <cell r="F292">
            <v>1</v>
          </cell>
          <cell r="O292">
            <v>4</v>
          </cell>
          <cell r="CI292">
            <v>1</v>
          </cell>
          <cell r="CJ292">
            <v>4</v>
          </cell>
          <cell r="DI292">
            <v>1</v>
          </cell>
          <cell r="DJ292">
            <v>0</v>
          </cell>
        </row>
        <row r="293">
          <cell r="F293">
            <v>1</v>
          </cell>
          <cell r="O293">
            <v>0</v>
          </cell>
          <cell r="CI293">
            <v>1</v>
          </cell>
          <cell r="CJ293">
            <v>0</v>
          </cell>
          <cell r="DI293">
            <v>1</v>
          </cell>
          <cell r="DJ293">
            <v>4</v>
          </cell>
        </row>
        <row r="294">
          <cell r="F294">
            <v>1</v>
          </cell>
          <cell r="O294">
            <v>2</v>
          </cell>
          <cell r="CI294">
            <v>1</v>
          </cell>
          <cell r="CJ294">
            <v>2</v>
          </cell>
          <cell r="DI294">
            <v>1</v>
          </cell>
          <cell r="DJ294">
            <v>0</v>
          </cell>
        </row>
        <row r="295">
          <cell r="F295">
            <v>1</v>
          </cell>
          <cell r="O295">
            <v>2</v>
          </cell>
          <cell r="CI295">
            <v>1</v>
          </cell>
          <cell r="CJ295">
            <v>0</v>
          </cell>
          <cell r="DI295">
            <v>1</v>
          </cell>
          <cell r="DJ295">
            <v>0</v>
          </cell>
        </row>
        <row r="296">
          <cell r="F296">
            <v>1</v>
          </cell>
          <cell r="O296">
            <v>4</v>
          </cell>
          <cell r="CI296">
            <v>1</v>
          </cell>
          <cell r="CJ296">
            <v>4</v>
          </cell>
          <cell r="DI296">
            <v>1</v>
          </cell>
          <cell r="DJ296">
            <v>0</v>
          </cell>
        </row>
        <row r="297">
          <cell r="F297">
            <v>1</v>
          </cell>
          <cell r="O297">
            <v>4</v>
          </cell>
          <cell r="CI297">
            <v>1</v>
          </cell>
          <cell r="CJ297">
            <v>4</v>
          </cell>
          <cell r="DI297">
            <v>1</v>
          </cell>
          <cell r="DJ297">
            <v>0</v>
          </cell>
        </row>
        <row r="298">
          <cell r="F298">
            <v>1</v>
          </cell>
          <cell r="O298">
            <v>4</v>
          </cell>
          <cell r="CI298">
            <v>1</v>
          </cell>
          <cell r="CJ298">
            <v>4</v>
          </cell>
          <cell r="DI298">
            <v>1</v>
          </cell>
          <cell r="DJ298">
            <v>0</v>
          </cell>
        </row>
        <row r="299">
          <cell r="F299">
            <v>1</v>
          </cell>
          <cell r="O299">
            <v>4</v>
          </cell>
          <cell r="CI299">
            <v>1</v>
          </cell>
          <cell r="CJ299">
            <v>4</v>
          </cell>
          <cell r="DI299">
            <v>1</v>
          </cell>
          <cell r="DJ299">
            <v>0</v>
          </cell>
        </row>
        <row r="300">
          <cell r="F300">
            <v>1</v>
          </cell>
          <cell r="O300">
            <v>2</v>
          </cell>
          <cell r="CI300">
            <v>1</v>
          </cell>
          <cell r="CJ300">
            <v>2</v>
          </cell>
          <cell r="DI300">
            <v>1</v>
          </cell>
          <cell r="DJ300">
            <v>2</v>
          </cell>
        </row>
        <row r="301">
          <cell r="F301">
            <v>1</v>
          </cell>
          <cell r="O301">
            <v>4</v>
          </cell>
          <cell r="CI301">
            <v>1</v>
          </cell>
          <cell r="CJ301">
            <v>4</v>
          </cell>
          <cell r="DI301">
            <v>1</v>
          </cell>
          <cell r="DJ301">
            <v>0</v>
          </cell>
        </row>
        <row r="302">
          <cell r="F302">
            <v>1</v>
          </cell>
          <cell r="O302">
            <v>4</v>
          </cell>
          <cell r="CI302">
            <v>1</v>
          </cell>
          <cell r="CJ302">
            <v>4</v>
          </cell>
          <cell r="DI302">
            <v>1</v>
          </cell>
          <cell r="DJ302">
            <v>0</v>
          </cell>
        </row>
        <row r="303">
          <cell r="F303">
            <v>1</v>
          </cell>
          <cell r="O303">
            <v>4</v>
          </cell>
          <cell r="CI303">
            <v>1</v>
          </cell>
          <cell r="CJ303">
            <v>4</v>
          </cell>
          <cell r="DI303">
            <v>1</v>
          </cell>
          <cell r="DJ303">
            <v>0</v>
          </cell>
        </row>
        <row r="304">
          <cell r="F304">
            <v>1</v>
          </cell>
          <cell r="O304">
            <v>1</v>
          </cell>
          <cell r="CI304">
            <v>1</v>
          </cell>
          <cell r="CJ304">
            <v>1</v>
          </cell>
          <cell r="DI304">
            <v>1</v>
          </cell>
          <cell r="DJ304">
            <v>1</v>
          </cell>
        </row>
        <row r="305">
          <cell r="F305">
            <v>1</v>
          </cell>
          <cell r="O305">
            <v>4</v>
          </cell>
          <cell r="CI305">
            <v>1</v>
          </cell>
          <cell r="CJ305">
            <v>4</v>
          </cell>
          <cell r="DI305">
            <v>1</v>
          </cell>
          <cell r="DJ305">
            <v>0</v>
          </cell>
        </row>
        <row r="306">
          <cell r="F306">
            <v>1</v>
          </cell>
          <cell r="O306">
            <v>4</v>
          </cell>
          <cell r="CI306">
            <v>1</v>
          </cell>
          <cell r="CJ306">
            <v>4</v>
          </cell>
          <cell r="DI306">
            <v>1</v>
          </cell>
          <cell r="DJ306">
            <v>0</v>
          </cell>
        </row>
        <row r="307">
          <cell r="F307">
            <v>1</v>
          </cell>
          <cell r="O307">
            <v>0</v>
          </cell>
          <cell r="CI307">
            <v>1</v>
          </cell>
          <cell r="CJ307">
            <v>0</v>
          </cell>
          <cell r="DI307">
            <v>1</v>
          </cell>
          <cell r="DJ307">
            <v>4</v>
          </cell>
        </row>
        <row r="308">
          <cell r="F308">
            <v>1</v>
          </cell>
          <cell r="O308">
            <v>4</v>
          </cell>
          <cell r="CI308">
            <v>1</v>
          </cell>
          <cell r="CJ308">
            <v>4</v>
          </cell>
          <cell r="DI308">
            <v>1</v>
          </cell>
          <cell r="DJ308">
            <v>0</v>
          </cell>
        </row>
        <row r="309">
          <cell r="F309">
            <v>1</v>
          </cell>
          <cell r="O309">
            <v>4</v>
          </cell>
          <cell r="CI309">
            <v>1</v>
          </cell>
          <cell r="CJ309">
            <v>4</v>
          </cell>
          <cell r="DI309">
            <v>1</v>
          </cell>
          <cell r="DJ309">
            <v>0</v>
          </cell>
        </row>
        <row r="310">
          <cell r="F310">
            <v>1</v>
          </cell>
          <cell r="O310">
            <v>4</v>
          </cell>
          <cell r="CI310">
            <v>1</v>
          </cell>
          <cell r="CJ310">
            <v>4</v>
          </cell>
          <cell r="DI310">
            <v>1</v>
          </cell>
          <cell r="DJ310">
            <v>0</v>
          </cell>
        </row>
        <row r="311">
          <cell r="F311">
            <v>1</v>
          </cell>
          <cell r="O311">
            <v>0</v>
          </cell>
          <cell r="CI311">
            <v>1</v>
          </cell>
          <cell r="CJ311">
            <v>0</v>
          </cell>
          <cell r="DI311">
            <v>1</v>
          </cell>
          <cell r="DJ311">
            <v>4</v>
          </cell>
        </row>
        <row r="312">
          <cell r="F312">
            <v>1</v>
          </cell>
          <cell r="O312">
            <v>4</v>
          </cell>
          <cell r="CI312">
            <v>1</v>
          </cell>
          <cell r="CJ312">
            <v>4</v>
          </cell>
          <cell r="DI312">
            <v>1</v>
          </cell>
          <cell r="DJ312">
            <v>0</v>
          </cell>
        </row>
        <row r="313">
          <cell r="F313">
            <v>1</v>
          </cell>
          <cell r="O313">
            <v>2</v>
          </cell>
          <cell r="CI313">
            <v>1</v>
          </cell>
          <cell r="CJ313">
            <v>3</v>
          </cell>
          <cell r="DI313">
            <v>0</v>
          </cell>
          <cell r="DJ313">
            <v>2</v>
          </cell>
        </row>
        <row r="314">
          <cell r="F314">
            <v>1</v>
          </cell>
          <cell r="O314">
            <v>2</v>
          </cell>
          <cell r="CI314">
            <v>1</v>
          </cell>
          <cell r="CJ314">
            <v>2</v>
          </cell>
          <cell r="DI314">
            <v>1</v>
          </cell>
          <cell r="DJ314">
            <v>2</v>
          </cell>
        </row>
        <row r="315">
          <cell r="F315">
            <v>1</v>
          </cell>
          <cell r="O315">
            <v>4</v>
          </cell>
          <cell r="CI315">
            <v>1</v>
          </cell>
          <cell r="CJ315">
            <v>4</v>
          </cell>
          <cell r="DI315">
            <v>1</v>
          </cell>
          <cell r="DJ315">
            <v>0</v>
          </cell>
        </row>
        <row r="316">
          <cell r="F316">
            <v>1</v>
          </cell>
          <cell r="O316">
            <v>4</v>
          </cell>
          <cell r="CI316">
            <v>1</v>
          </cell>
          <cell r="CJ316">
            <v>4</v>
          </cell>
          <cell r="DI316">
            <v>1</v>
          </cell>
          <cell r="DJ316">
            <v>0</v>
          </cell>
        </row>
        <row r="317">
          <cell r="F317">
            <v>1</v>
          </cell>
          <cell r="O317">
            <v>4</v>
          </cell>
          <cell r="CI317">
            <v>1</v>
          </cell>
          <cell r="CJ317">
            <v>4</v>
          </cell>
          <cell r="DI317">
            <v>1</v>
          </cell>
          <cell r="DJ317">
            <v>0</v>
          </cell>
        </row>
        <row r="318">
          <cell r="F318">
            <v>1</v>
          </cell>
          <cell r="O318">
            <v>4</v>
          </cell>
          <cell r="CI318">
            <v>1</v>
          </cell>
          <cell r="CJ318">
            <v>4</v>
          </cell>
          <cell r="DI318">
            <v>1</v>
          </cell>
          <cell r="DJ318">
            <v>0</v>
          </cell>
        </row>
        <row r="319">
          <cell r="F319">
            <v>1</v>
          </cell>
          <cell r="O319">
            <v>0</v>
          </cell>
          <cell r="CI319">
            <v>1</v>
          </cell>
          <cell r="CJ319">
            <v>0</v>
          </cell>
          <cell r="DI319">
            <v>1</v>
          </cell>
          <cell r="DJ319">
            <v>0</v>
          </cell>
        </row>
        <row r="320">
          <cell r="F320">
            <v>1</v>
          </cell>
          <cell r="O320">
            <v>4</v>
          </cell>
          <cell r="CI320">
            <v>1</v>
          </cell>
          <cell r="CJ320">
            <v>4</v>
          </cell>
          <cell r="DI320">
            <v>1</v>
          </cell>
          <cell r="DJ320">
            <v>0</v>
          </cell>
        </row>
        <row r="321">
          <cell r="F321">
            <v>1</v>
          </cell>
          <cell r="O321">
            <v>1</v>
          </cell>
          <cell r="CI321">
            <v>1</v>
          </cell>
          <cell r="CJ321">
            <v>1</v>
          </cell>
          <cell r="DI321">
            <v>1</v>
          </cell>
          <cell r="DJ321">
            <v>3</v>
          </cell>
        </row>
        <row r="322">
          <cell r="F322">
            <v>1</v>
          </cell>
          <cell r="O322">
            <v>0</v>
          </cell>
          <cell r="CI322">
            <v>1</v>
          </cell>
          <cell r="CJ322">
            <v>0</v>
          </cell>
          <cell r="DI322">
            <v>1</v>
          </cell>
          <cell r="DJ322">
            <v>4</v>
          </cell>
        </row>
        <row r="323">
          <cell r="F323">
            <v>1</v>
          </cell>
          <cell r="O323">
            <v>0</v>
          </cell>
          <cell r="CI323">
            <v>1</v>
          </cell>
          <cell r="CJ323">
            <v>0</v>
          </cell>
          <cell r="DI323">
            <v>1</v>
          </cell>
          <cell r="DJ323">
            <v>3</v>
          </cell>
        </row>
        <row r="324">
          <cell r="F324">
            <v>1</v>
          </cell>
          <cell r="O324">
            <v>4</v>
          </cell>
          <cell r="CI324">
            <v>1</v>
          </cell>
          <cell r="CJ324">
            <v>4</v>
          </cell>
          <cell r="DI324">
            <v>1</v>
          </cell>
          <cell r="DJ324">
            <v>0</v>
          </cell>
        </row>
        <row r="325">
          <cell r="F325">
            <v>1</v>
          </cell>
          <cell r="O325">
            <v>4</v>
          </cell>
          <cell r="CI325">
            <v>1</v>
          </cell>
          <cell r="CJ325">
            <v>0</v>
          </cell>
          <cell r="DI325">
            <v>1</v>
          </cell>
          <cell r="DJ325">
            <v>0</v>
          </cell>
        </row>
        <row r="326">
          <cell r="F326">
            <v>1</v>
          </cell>
          <cell r="O326">
            <v>4</v>
          </cell>
          <cell r="CI326">
            <v>1</v>
          </cell>
          <cell r="CJ326">
            <v>4</v>
          </cell>
          <cell r="DI326">
            <v>1</v>
          </cell>
          <cell r="DJ326">
            <v>0</v>
          </cell>
        </row>
        <row r="327">
          <cell r="F327">
            <v>1</v>
          </cell>
          <cell r="O327">
            <v>0</v>
          </cell>
          <cell r="CI327">
            <v>1</v>
          </cell>
          <cell r="CJ327">
            <v>0</v>
          </cell>
          <cell r="DI327">
            <v>1</v>
          </cell>
          <cell r="DJ327">
            <v>4</v>
          </cell>
        </row>
        <row r="328">
          <cell r="F328">
            <v>1</v>
          </cell>
          <cell r="O328">
            <v>4</v>
          </cell>
          <cell r="CI328">
            <v>1</v>
          </cell>
          <cell r="CJ328">
            <v>4</v>
          </cell>
          <cell r="DI328">
            <v>1</v>
          </cell>
          <cell r="DJ328">
            <v>0</v>
          </cell>
        </row>
        <row r="329">
          <cell r="F329">
            <v>1</v>
          </cell>
          <cell r="O329">
            <v>0</v>
          </cell>
          <cell r="CI329">
            <v>1</v>
          </cell>
          <cell r="CJ329">
            <v>0</v>
          </cell>
          <cell r="DI329">
            <v>1</v>
          </cell>
          <cell r="DJ329">
            <v>4</v>
          </cell>
        </row>
        <row r="330">
          <cell r="F330">
            <v>1</v>
          </cell>
          <cell r="O330">
            <v>4</v>
          </cell>
          <cell r="CI330">
            <v>1</v>
          </cell>
          <cell r="CJ330">
            <v>4</v>
          </cell>
          <cell r="DI330">
            <v>1</v>
          </cell>
          <cell r="DJ330">
            <v>0</v>
          </cell>
        </row>
        <row r="331">
          <cell r="F331">
            <v>1</v>
          </cell>
          <cell r="O331">
            <v>4</v>
          </cell>
          <cell r="CI331">
            <v>1</v>
          </cell>
          <cell r="CJ331">
            <v>4</v>
          </cell>
          <cell r="DI331">
            <v>1</v>
          </cell>
          <cell r="DJ331">
            <v>0</v>
          </cell>
        </row>
        <row r="332">
          <cell r="F332">
            <v>1</v>
          </cell>
          <cell r="O332">
            <v>4</v>
          </cell>
          <cell r="CI332">
            <v>1</v>
          </cell>
          <cell r="CJ332">
            <v>4</v>
          </cell>
          <cell r="DI332">
            <v>1</v>
          </cell>
          <cell r="DJ332">
            <v>0</v>
          </cell>
        </row>
        <row r="333">
          <cell r="F333">
            <v>1</v>
          </cell>
          <cell r="O333">
            <v>4</v>
          </cell>
          <cell r="CI333">
            <v>1</v>
          </cell>
          <cell r="CJ333">
            <v>4</v>
          </cell>
          <cell r="DI333">
            <v>1</v>
          </cell>
          <cell r="DJ333">
            <v>0</v>
          </cell>
        </row>
        <row r="334">
          <cell r="F334">
            <v>1</v>
          </cell>
          <cell r="O334">
            <v>1</v>
          </cell>
          <cell r="CI334">
            <v>0</v>
          </cell>
          <cell r="CJ334">
            <v>2</v>
          </cell>
          <cell r="DI334">
            <v>0</v>
          </cell>
          <cell r="DJ334">
            <v>3</v>
          </cell>
        </row>
        <row r="335">
          <cell r="F335">
            <v>1</v>
          </cell>
          <cell r="O335">
            <v>0</v>
          </cell>
          <cell r="CI335">
            <v>1</v>
          </cell>
          <cell r="CJ335">
            <v>0</v>
          </cell>
          <cell r="DI335">
            <v>1</v>
          </cell>
          <cell r="DJ335">
            <v>4</v>
          </cell>
        </row>
        <row r="336">
          <cell r="F336">
            <v>1</v>
          </cell>
          <cell r="O336">
            <v>4</v>
          </cell>
          <cell r="CI336">
            <v>1</v>
          </cell>
          <cell r="CJ336">
            <v>4</v>
          </cell>
          <cell r="DI336">
            <v>1</v>
          </cell>
          <cell r="DJ336">
            <v>0</v>
          </cell>
        </row>
        <row r="337">
          <cell r="F337">
            <v>1</v>
          </cell>
          <cell r="O337">
            <v>1</v>
          </cell>
          <cell r="CI337">
            <v>1</v>
          </cell>
          <cell r="CJ337">
            <v>1</v>
          </cell>
          <cell r="DI337">
            <v>1</v>
          </cell>
          <cell r="DJ337">
            <v>3</v>
          </cell>
        </row>
        <row r="338">
          <cell r="F338">
            <v>1</v>
          </cell>
          <cell r="O338">
            <v>4</v>
          </cell>
          <cell r="CI338">
            <v>1</v>
          </cell>
          <cell r="CJ338">
            <v>4</v>
          </cell>
          <cell r="DI338">
            <v>1</v>
          </cell>
          <cell r="DJ338">
            <v>0</v>
          </cell>
        </row>
        <row r="339">
          <cell r="F339">
            <v>1</v>
          </cell>
          <cell r="O339">
            <v>3</v>
          </cell>
          <cell r="CI339">
            <v>1</v>
          </cell>
          <cell r="CJ339">
            <v>3</v>
          </cell>
          <cell r="DI339">
            <v>1</v>
          </cell>
          <cell r="DJ339">
            <v>1</v>
          </cell>
        </row>
        <row r="340">
          <cell r="F340">
            <v>1</v>
          </cell>
          <cell r="O340">
            <v>4</v>
          </cell>
          <cell r="CI340">
            <v>1</v>
          </cell>
          <cell r="CJ340">
            <v>4</v>
          </cell>
          <cell r="DI340">
            <v>1</v>
          </cell>
          <cell r="DJ340">
            <v>0</v>
          </cell>
        </row>
        <row r="341">
          <cell r="F341">
            <v>1</v>
          </cell>
          <cell r="O341">
            <v>4</v>
          </cell>
          <cell r="CI341">
            <v>1</v>
          </cell>
          <cell r="CJ341">
            <v>4</v>
          </cell>
          <cell r="DI341">
            <v>1</v>
          </cell>
          <cell r="DJ341">
            <v>0</v>
          </cell>
        </row>
        <row r="342">
          <cell r="F342">
            <v>1</v>
          </cell>
          <cell r="O342">
            <v>4</v>
          </cell>
          <cell r="CI342">
            <v>1</v>
          </cell>
          <cell r="CJ342">
            <v>4</v>
          </cell>
          <cell r="DI342">
            <v>1</v>
          </cell>
          <cell r="DJ342">
            <v>0</v>
          </cell>
        </row>
        <row r="343">
          <cell r="F343">
            <v>1</v>
          </cell>
          <cell r="O343">
            <v>4</v>
          </cell>
          <cell r="CI343">
            <v>1</v>
          </cell>
          <cell r="CJ343">
            <v>4</v>
          </cell>
          <cell r="DI343">
            <v>1</v>
          </cell>
          <cell r="DJ343">
            <v>0</v>
          </cell>
        </row>
        <row r="344">
          <cell r="F344">
            <v>1</v>
          </cell>
          <cell r="O344">
            <v>4</v>
          </cell>
          <cell r="CI344">
            <v>1</v>
          </cell>
          <cell r="CJ344">
            <v>4</v>
          </cell>
          <cell r="DI344">
            <v>1</v>
          </cell>
          <cell r="DJ344">
            <v>0</v>
          </cell>
        </row>
        <row r="345">
          <cell r="F345">
            <v>1</v>
          </cell>
          <cell r="O345">
            <v>1</v>
          </cell>
          <cell r="CI345">
            <v>1</v>
          </cell>
          <cell r="CJ345">
            <v>1</v>
          </cell>
          <cell r="DI345">
            <v>1</v>
          </cell>
          <cell r="DJ345">
            <v>3</v>
          </cell>
        </row>
        <row r="346">
          <cell r="F346">
            <v>1</v>
          </cell>
          <cell r="O346">
            <v>0</v>
          </cell>
          <cell r="CI346">
            <v>1</v>
          </cell>
          <cell r="CJ346">
            <v>0</v>
          </cell>
          <cell r="DI346">
            <v>1</v>
          </cell>
          <cell r="DJ346">
            <v>4</v>
          </cell>
        </row>
        <row r="347">
          <cell r="F347">
            <v>1</v>
          </cell>
          <cell r="O347">
            <v>4</v>
          </cell>
          <cell r="CI347">
            <v>1</v>
          </cell>
          <cell r="CJ347">
            <v>4</v>
          </cell>
          <cell r="DI347">
            <v>1</v>
          </cell>
          <cell r="DJ347">
            <v>0</v>
          </cell>
        </row>
        <row r="348">
          <cell r="F348">
            <v>1</v>
          </cell>
          <cell r="O348">
            <v>4</v>
          </cell>
          <cell r="CI348">
            <v>1</v>
          </cell>
          <cell r="CJ348">
            <v>4</v>
          </cell>
          <cell r="DI348">
            <v>1</v>
          </cell>
          <cell r="DJ348">
            <v>0</v>
          </cell>
        </row>
        <row r="349">
          <cell r="F349">
            <v>1</v>
          </cell>
          <cell r="O349">
            <v>4</v>
          </cell>
          <cell r="CI349">
            <v>1</v>
          </cell>
          <cell r="CJ349">
            <v>4</v>
          </cell>
          <cell r="DI349">
            <v>1</v>
          </cell>
          <cell r="DJ349">
            <v>0</v>
          </cell>
        </row>
        <row r="350">
          <cell r="F350">
            <v>1</v>
          </cell>
          <cell r="O350">
            <v>1</v>
          </cell>
          <cell r="CI350">
            <v>1</v>
          </cell>
          <cell r="CJ350">
            <v>4</v>
          </cell>
          <cell r="DI350">
            <v>0</v>
          </cell>
          <cell r="DJ350">
            <v>4</v>
          </cell>
        </row>
        <row r="351">
          <cell r="F351">
            <v>1</v>
          </cell>
          <cell r="O351">
            <v>4</v>
          </cell>
          <cell r="CI351">
            <v>1</v>
          </cell>
          <cell r="CJ351">
            <v>4</v>
          </cell>
          <cell r="DI351">
            <v>1</v>
          </cell>
          <cell r="DJ351">
            <v>0</v>
          </cell>
        </row>
        <row r="352">
          <cell r="F352">
            <v>1</v>
          </cell>
          <cell r="O352">
            <v>4</v>
          </cell>
          <cell r="CI352">
            <v>1</v>
          </cell>
          <cell r="CJ352">
            <v>4</v>
          </cell>
          <cell r="DI352">
            <v>1</v>
          </cell>
          <cell r="DJ352">
            <v>0</v>
          </cell>
        </row>
        <row r="353">
          <cell r="F353">
            <v>1</v>
          </cell>
          <cell r="O353">
            <v>4</v>
          </cell>
          <cell r="CI353">
            <v>1</v>
          </cell>
          <cell r="CJ353">
            <v>4</v>
          </cell>
          <cell r="DI353">
            <v>1</v>
          </cell>
          <cell r="DJ353">
            <v>0</v>
          </cell>
        </row>
        <row r="354">
          <cell r="F354">
            <v>1</v>
          </cell>
          <cell r="O354">
            <v>4</v>
          </cell>
          <cell r="CI354">
            <v>1</v>
          </cell>
          <cell r="CJ354">
            <v>4</v>
          </cell>
          <cell r="DI354">
            <v>1</v>
          </cell>
          <cell r="DJ354">
            <v>0</v>
          </cell>
        </row>
        <row r="355">
          <cell r="F355">
            <v>1</v>
          </cell>
          <cell r="O355">
            <v>0</v>
          </cell>
          <cell r="CI355">
            <v>1</v>
          </cell>
          <cell r="CJ355">
            <v>0</v>
          </cell>
          <cell r="DI355">
            <v>1</v>
          </cell>
          <cell r="DJ355">
            <v>2</v>
          </cell>
        </row>
        <row r="356">
          <cell r="F356">
            <v>1</v>
          </cell>
          <cell r="O356">
            <v>4</v>
          </cell>
          <cell r="CI356">
            <v>1</v>
          </cell>
          <cell r="CJ356">
            <v>4</v>
          </cell>
          <cell r="DI356">
            <v>1</v>
          </cell>
          <cell r="DJ356">
            <v>0</v>
          </cell>
        </row>
        <row r="357">
          <cell r="F357">
            <v>1</v>
          </cell>
          <cell r="O357">
            <v>0</v>
          </cell>
          <cell r="CI357">
            <v>1</v>
          </cell>
          <cell r="CJ357">
            <v>0</v>
          </cell>
          <cell r="DI357">
            <v>1</v>
          </cell>
          <cell r="DJ357">
            <v>4</v>
          </cell>
        </row>
        <row r="358">
          <cell r="F358">
            <v>1</v>
          </cell>
          <cell r="O358">
            <v>4</v>
          </cell>
          <cell r="CI358">
            <v>1</v>
          </cell>
          <cell r="CJ358">
            <v>4</v>
          </cell>
          <cell r="DI358">
            <v>1</v>
          </cell>
          <cell r="DJ358">
            <v>0</v>
          </cell>
        </row>
        <row r="359">
          <cell r="F359">
            <v>1</v>
          </cell>
          <cell r="O359">
            <v>4</v>
          </cell>
          <cell r="CI359">
            <v>1</v>
          </cell>
          <cell r="CJ359">
            <v>4</v>
          </cell>
          <cell r="DI359">
            <v>1</v>
          </cell>
          <cell r="DJ359">
            <v>0</v>
          </cell>
        </row>
        <row r="360">
          <cell r="F360">
            <v>1</v>
          </cell>
          <cell r="O360">
            <v>4</v>
          </cell>
          <cell r="CI360">
            <v>1</v>
          </cell>
          <cell r="CJ360">
            <v>4</v>
          </cell>
          <cell r="DI360">
            <v>1</v>
          </cell>
          <cell r="DJ360">
            <v>0</v>
          </cell>
        </row>
        <row r="361">
          <cell r="F361">
            <v>1</v>
          </cell>
          <cell r="O361">
            <v>4</v>
          </cell>
          <cell r="CI361">
            <v>1</v>
          </cell>
          <cell r="CJ361">
            <v>4</v>
          </cell>
          <cell r="DI361">
            <v>1</v>
          </cell>
          <cell r="DJ361">
            <v>0</v>
          </cell>
        </row>
        <row r="362">
          <cell r="F362">
            <v>1</v>
          </cell>
          <cell r="O362">
            <v>0</v>
          </cell>
          <cell r="CI362">
            <v>1</v>
          </cell>
          <cell r="CJ362">
            <v>0</v>
          </cell>
          <cell r="DI362">
            <v>1</v>
          </cell>
          <cell r="DJ362">
            <v>3</v>
          </cell>
        </row>
        <row r="363">
          <cell r="F363">
            <v>1</v>
          </cell>
          <cell r="O363">
            <v>4</v>
          </cell>
          <cell r="CI363">
            <v>1</v>
          </cell>
          <cell r="CJ363">
            <v>2</v>
          </cell>
          <cell r="DI363">
            <v>1</v>
          </cell>
          <cell r="DJ363">
            <v>0</v>
          </cell>
        </row>
        <row r="364">
          <cell r="F364">
            <v>1</v>
          </cell>
          <cell r="O364">
            <v>4</v>
          </cell>
          <cell r="CI364">
            <v>1</v>
          </cell>
          <cell r="CJ364">
            <v>4</v>
          </cell>
          <cell r="DI364">
            <v>1</v>
          </cell>
          <cell r="DJ364">
            <v>0</v>
          </cell>
        </row>
        <row r="365">
          <cell r="F365">
            <v>1</v>
          </cell>
          <cell r="O365">
            <v>4</v>
          </cell>
          <cell r="CI365">
            <v>1</v>
          </cell>
          <cell r="CJ365">
            <v>4</v>
          </cell>
          <cell r="DI365">
            <v>1</v>
          </cell>
          <cell r="DJ365">
            <v>0</v>
          </cell>
        </row>
        <row r="366">
          <cell r="F366">
            <v>1</v>
          </cell>
          <cell r="O366">
            <v>0</v>
          </cell>
          <cell r="CI366">
            <v>1</v>
          </cell>
          <cell r="CJ366">
            <v>0</v>
          </cell>
          <cell r="DI366">
            <v>1</v>
          </cell>
          <cell r="DJ366">
            <v>4</v>
          </cell>
        </row>
        <row r="367">
          <cell r="F367">
            <v>1</v>
          </cell>
          <cell r="O367">
            <v>0</v>
          </cell>
          <cell r="CI367">
            <v>1</v>
          </cell>
          <cell r="CJ367">
            <v>0</v>
          </cell>
          <cell r="DI367">
            <v>1</v>
          </cell>
          <cell r="DJ367">
            <v>4</v>
          </cell>
        </row>
        <row r="368">
          <cell r="F368">
            <v>1</v>
          </cell>
          <cell r="O368">
            <v>4</v>
          </cell>
          <cell r="CI368">
            <v>1</v>
          </cell>
          <cell r="CJ368">
            <v>4</v>
          </cell>
          <cell r="DI368">
            <v>1</v>
          </cell>
          <cell r="DJ368">
            <v>0</v>
          </cell>
        </row>
        <row r="369">
          <cell r="F369">
            <v>1</v>
          </cell>
          <cell r="O369">
            <v>4</v>
          </cell>
          <cell r="CI369">
            <v>1</v>
          </cell>
          <cell r="CJ369">
            <v>4</v>
          </cell>
          <cell r="DI369">
            <v>1</v>
          </cell>
          <cell r="DJ369">
            <v>0</v>
          </cell>
        </row>
        <row r="370">
          <cell r="F370">
            <v>1</v>
          </cell>
          <cell r="O370">
            <v>4</v>
          </cell>
          <cell r="CI370">
            <v>1</v>
          </cell>
          <cell r="CJ370">
            <v>4</v>
          </cell>
          <cell r="DI370">
            <v>1</v>
          </cell>
          <cell r="DJ370">
            <v>0</v>
          </cell>
        </row>
        <row r="371">
          <cell r="F371">
            <v>1</v>
          </cell>
          <cell r="O371">
            <v>0</v>
          </cell>
          <cell r="CI371">
            <v>1</v>
          </cell>
          <cell r="CJ371">
            <v>0</v>
          </cell>
          <cell r="DI371">
            <v>1</v>
          </cell>
          <cell r="DJ371">
            <v>3</v>
          </cell>
        </row>
        <row r="372">
          <cell r="F372">
            <v>1</v>
          </cell>
          <cell r="O372">
            <v>3</v>
          </cell>
          <cell r="CI372">
            <v>1</v>
          </cell>
          <cell r="CJ372">
            <v>3</v>
          </cell>
          <cell r="DI372">
            <v>1</v>
          </cell>
          <cell r="DJ372">
            <v>1</v>
          </cell>
        </row>
        <row r="373">
          <cell r="F373">
            <v>1</v>
          </cell>
          <cell r="O373">
            <v>1</v>
          </cell>
          <cell r="CI373">
            <v>1</v>
          </cell>
          <cell r="CJ373">
            <v>1</v>
          </cell>
          <cell r="DI373">
            <v>1</v>
          </cell>
          <cell r="DJ373">
            <v>3</v>
          </cell>
        </row>
        <row r="374">
          <cell r="F374">
            <v>1</v>
          </cell>
          <cell r="O374">
            <v>0</v>
          </cell>
          <cell r="CI374">
            <v>1</v>
          </cell>
          <cell r="CJ374">
            <v>0</v>
          </cell>
          <cell r="DI374">
            <v>1</v>
          </cell>
          <cell r="DJ374">
            <v>2</v>
          </cell>
        </row>
        <row r="375">
          <cell r="F375">
            <v>1</v>
          </cell>
          <cell r="O375">
            <v>0</v>
          </cell>
          <cell r="CI375">
            <v>1</v>
          </cell>
          <cell r="CJ375">
            <v>0</v>
          </cell>
          <cell r="DI375">
            <v>1</v>
          </cell>
          <cell r="DJ375">
            <v>4</v>
          </cell>
        </row>
        <row r="376">
          <cell r="F376">
            <v>1</v>
          </cell>
          <cell r="O376">
            <v>2</v>
          </cell>
          <cell r="CI376">
            <v>1</v>
          </cell>
          <cell r="CJ376">
            <v>2</v>
          </cell>
          <cell r="DI376">
            <v>1</v>
          </cell>
          <cell r="DJ376">
            <v>2</v>
          </cell>
        </row>
        <row r="377">
          <cell r="F377">
            <v>1</v>
          </cell>
          <cell r="O377">
            <v>3</v>
          </cell>
          <cell r="CI377">
            <v>1</v>
          </cell>
          <cell r="CJ377">
            <v>3</v>
          </cell>
          <cell r="DI377">
            <v>1</v>
          </cell>
          <cell r="DJ377">
            <v>1</v>
          </cell>
        </row>
        <row r="378">
          <cell r="F378">
            <v>1</v>
          </cell>
          <cell r="O378">
            <v>0</v>
          </cell>
          <cell r="CI378">
            <v>1</v>
          </cell>
          <cell r="CJ378">
            <v>0</v>
          </cell>
          <cell r="DI378">
            <v>1</v>
          </cell>
          <cell r="DJ378">
            <v>2</v>
          </cell>
        </row>
        <row r="379">
          <cell r="F379">
            <v>1</v>
          </cell>
          <cell r="O379">
            <v>4</v>
          </cell>
          <cell r="CI379">
            <v>1</v>
          </cell>
          <cell r="CJ379">
            <v>4</v>
          </cell>
          <cell r="DI379">
            <v>1</v>
          </cell>
          <cell r="DJ379">
            <v>0</v>
          </cell>
        </row>
        <row r="380">
          <cell r="F380">
            <v>1</v>
          </cell>
          <cell r="O380">
            <v>2</v>
          </cell>
          <cell r="CI380">
            <v>1</v>
          </cell>
          <cell r="CJ380">
            <v>2</v>
          </cell>
          <cell r="DI380">
            <v>1</v>
          </cell>
          <cell r="DJ380">
            <v>0</v>
          </cell>
        </row>
        <row r="381">
          <cell r="F381">
            <v>1</v>
          </cell>
          <cell r="O381">
            <v>4</v>
          </cell>
          <cell r="CI381">
            <v>1</v>
          </cell>
          <cell r="CJ381">
            <v>4</v>
          </cell>
          <cell r="DI381">
            <v>1</v>
          </cell>
          <cell r="DJ381">
            <v>0</v>
          </cell>
        </row>
        <row r="382">
          <cell r="F382">
            <v>1</v>
          </cell>
          <cell r="O382">
            <v>4</v>
          </cell>
          <cell r="CI382">
            <v>1</v>
          </cell>
          <cell r="CJ382">
            <v>4</v>
          </cell>
          <cell r="DI382">
            <v>1</v>
          </cell>
          <cell r="DJ382">
            <v>0</v>
          </cell>
        </row>
        <row r="383">
          <cell r="F383">
            <v>1</v>
          </cell>
          <cell r="O383">
            <v>4</v>
          </cell>
          <cell r="CI383">
            <v>1</v>
          </cell>
          <cell r="CJ383">
            <v>4</v>
          </cell>
          <cell r="DI383">
            <v>1</v>
          </cell>
          <cell r="DJ383">
            <v>0</v>
          </cell>
        </row>
        <row r="384">
          <cell r="F384">
            <v>1</v>
          </cell>
          <cell r="O384">
            <v>3</v>
          </cell>
          <cell r="CI384">
            <v>1</v>
          </cell>
          <cell r="CJ384">
            <v>3</v>
          </cell>
          <cell r="DI384">
            <v>1</v>
          </cell>
          <cell r="DJ384">
            <v>1</v>
          </cell>
        </row>
        <row r="385">
          <cell r="F385">
            <v>1</v>
          </cell>
          <cell r="O385">
            <v>4</v>
          </cell>
          <cell r="CI385">
            <v>1</v>
          </cell>
          <cell r="CJ385">
            <v>4</v>
          </cell>
          <cell r="DI385">
            <v>1</v>
          </cell>
          <cell r="DJ385">
            <v>0</v>
          </cell>
        </row>
        <row r="386">
          <cell r="F386">
            <v>1</v>
          </cell>
          <cell r="O386">
            <v>3</v>
          </cell>
          <cell r="CI386">
            <v>1</v>
          </cell>
          <cell r="CJ386">
            <v>2</v>
          </cell>
          <cell r="DI386">
            <v>1</v>
          </cell>
          <cell r="DJ386">
            <v>2</v>
          </cell>
        </row>
        <row r="387">
          <cell r="F387">
            <v>1</v>
          </cell>
          <cell r="O387">
            <v>4</v>
          </cell>
          <cell r="CI387">
            <v>1</v>
          </cell>
          <cell r="CJ387">
            <v>4</v>
          </cell>
          <cell r="DI387">
            <v>1</v>
          </cell>
          <cell r="DJ387">
            <v>0</v>
          </cell>
        </row>
        <row r="388">
          <cell r="F388">
            <v>1</v>
          </cell>
          <cell r="O388">
            <v>4</v>
          </cell>
          <cell r="CI388">
            <v>1</v>
          </cell>
          <cell r="CJ388">
            <v>4</v>
          </cell>
          <cell r="DI388">
            <v>1</v>
          </cell>
          <cell r="DJ388">
            <v>0</v>
          </cell>
        </row>
        <row r="389">
          <cell r="F389">
            <v>1</v>
          </cell>
          <cell r="O389">
            <v>4</v>
          </cell>
          <cell r="CI389">
            <v>1</v>
          </cell>
          <cell r="CJ389">
            <v>4</v>
          </cell>
          <cell r="DI389">
            <v>1</v>
          </cell>
          <cell r="DJ389">
            <v>0</v>
          </cell>
        </row>
        <row r="390">
          <cell r="F390">
            <v>1</v>
          </cell>
          <cell r="O390">
            <v>4</v>
          </cell>
          <cell r="CI390">
            <v>1</v>
          </cell>
          <cell r="CJ390">
            <v>4</v>
          </cell>
          <cell r="DI390">
            <v>1</v>
          </cell>
          <cell r="DJ390">
            <v>0</v>
          </cell>
        </row>
        <row r="391">
          <cell r="F391">
            <v>1</v>
          </cell>
          <cell r="O391">
            <v>2</v>
          </cell>
          <cell r="CI391">
            <v>1</v>
          </cell>
          <cell r="CJ391">
            <v>2</v>
          </cell>
          <cell r="DI391">
            <v>1</v>
          </cell>
          <cell r="DJ391">
            <v>2</v>
          </cell>
        </row>
        <row r="392">
          <cell r="F392">
            <v>1</v>
          </cell>
          <cell r="O392">
            <v>4</v>
          </cell>
          <cell r="CI392">
            <v>1</v>
          </cell>
          <cell r="CJ392">
            <v>4</v>
          </cell>
          <cell r="DI392">
            <v>1</v>
          </cell>
          <cell r="DJ392">
            <v>0</v>
          </cell>
        </row>
        <row r="393">
          <cell r="F393">
            <v>1</v>
          </cell>
          <cell r="O393">
            <v>4</v>
          </cell>
          <cell r="CI393">
            <v>1</v>
          </cell>
          <cell r="CJ393">
            <v>4</v>
          </cell>
          <cell r="DI393">
            <v>1</v>
          </cell>
          <cell r="DJ393">
            <v>0</v>
          </cell>
        </row>
        <row r="394">
          <cell r="F394">
            <v>1</v>
          </cell>
          <cell r="O394">
            <v>4</v>
          </cell>
          <cell r="CI394">
            <v>1</v>
          </cell>
          <cell r="CJ394">
            <v>4</v>
          </cell>
          <cell r="DI394">
            <v>1</v>
          </cell>
          <cell r="DJ394">
            <v>0</v>
          </cell>
        </row>
        <row r="395">
          <cell r="F395">
            <v>1</v>
          </cell>
          <cell r="O395">
            <v>4</v>
          </cell>
          <cell r="CI395">
            <v>1</v>
          </cell>
          <cell r="CJ395">
            <v>4</v>
          </cell>
          <cell r="DI395">
            <v>1</v>
          </cell>
          <cell r="DJ395">
            <v>0</v>
          </cell>
        </row>
        <row r="396">
          <cell r="F396">
            <v>1</v>
          </cell>
          <cell r="O396">
            <v>2</v>
          </cell>
          <cell r="CI396">
            <v>1</v>
          </cell>
          <cell r="CJ396">
            <v>4</v>
          </cell>
          <cell r="DI396">
            <v>0</v>
          </cell>
          <cell r="DJ396">
            <v>2</v>
          </cell>
        </row>
        <row r="397">
          <cell r="F397">
            <v>1</v>
          </cell>
          <cell r="O397">
            <v>4</v>
          </cell>
          <cell r="CI397">
            <v>1</v>
          </cell>
          <cell r="CJ397">
            <v>2</v>
          </cell>
          <cell r="DI397">
            <v>1</v>
          </cell>
          <cell r="DJ397">
            <v>0</v>
          </cell>
        </row>
        <row r="398">
          <cell r="F398">
            <v>1</v>
          </cell>
          <cell r="O398">
            <v>4</v>
          </cell>
          <cell r="CI398">
            <v>1</v>
          </cell>
          <cell r="CJ398">
            <v>4</v>
          </cell>
          <cell r="DI398">
            <v>1</v>
          </cell>
          <cell r="DJ398">
            <v>0</v>
          </cell>
        </row>
        <row r="399">
          <cell r="F399">
            <v>1</v>
          </cell>
          <cell r="O399">
            <v>0</v>
          </cell>
          <cell r="CI399">
            <v>1</v>
          </cell>
          <cell r="CJ399">
            <v>0</v>
          </cell>
          <cell r="DI399">
            <v>1</v>
          </cell>
          <cell r="DJ399">
            <v>1</v>
          </cell>
        </row>
        <row r="400">
          <cell r="F400">
            <v>1</v>
          </cell>
          <cell r="O400">
            <v>4</v>
          </cell>
          <cell r="CI400">
            <v>1</v>
          </cell>
          <cell r="CJ400">
            <v>4</v>
          </cell>
          <cell r="DI400">
            <v>1</v>
          </cell>
          <cell r="DJ400">
            <v>0</v>
          </cell>
        </row>
        <row r="401">
          <cell r="F401">
            <v>1</v>
          </cell>
          <cell r="O401">
            <v>2</v>
          </cell>
          <cell r="CI401">
            <v>1</v>
          </cell>
          <cell r="CJ401">
            <v>2</v>
          </cell>
          <cell r="DI401">
            <v>1</v>
          </cell>
          <cell r="DJ401">
            <v>2</v>
          </cell>
        </row>
        <row r="402">
          <cell r="F402">
            <v>1</v>
          </cell>
          <cell r="O402">
            <v>4</v>
          </cell>
          <cell r="CI402">
            <v>1</v>
          </cell>
          <cell r="CJ402">
            <v>4</v>
          </cell>
          <cell r="DI402">
            <v>1</v>
          </cell>
          <cell r="DJ402">
            <v>0</v>
          </cell>
        </row>
        <row r="403">
          <cell r="F403">
            <v>1</v>
          </cell>
          <cell r="O403">
            <v>0</v>
          </cell>
          <cell r="CI403">
            <v>1</v>
          </cell>
          <cell r="CJ403">
            <v>0</v>
          </cell>
          <cell r="DI403">
            <v>1</v>
          </cell>
          <cell r="DJ403">
            <v>3</v>
          </cell>
        </row>
        <row r="404">
          <cell r="F404">
            <v>1</v>
          </cell>
          <cell r="O404">
            <v>4</v>
          </cell>
          <cell r="CI404">
            <v>1</v>
          </cell>
          <cell r="CJ404">
            <v>4</v>
          </cell>
          <cell r="DI404">
            <v>1</v>
          </cell>
          <cell r="DJ404">
            <v>0</v>
          </cell>
        </row>
        <row r="405">
          <cell r="F405">
            <v>1</v>
          </cell>
          <cell r="O405">
            <v>4</v>
          </cell>
          <cell r="CI405">
            <v>1</v>
          </cell>
          <cell r="CJ405">
            <v>4</v>
          </cell>
          <cell r="DI405">
            <v>1</v>
          </cell>
          <cell r="DJ405">
            <v>0</v>
          </cell>
        </row>
        <row r="406">
          <cell r="F406">
            <v>1</v>
          </cell>
          <cell r="O406">
            <v>4</v>
          </cell>
          <cell r="CI406">
            <v>1</v>
          </cell>
          <cell r="CJ406">
            <v>4</v>
          </cell>
          <cell r="DI406">
            <v>1</v>
          </cell>
          <cell r="DJ406">
            <v>0</v>
          </cell>
        </row>
      </sheetData>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Calcs"/>
      <sheetName val="Input Values"/>
      <sheetName val="WattsEE"/>
      <sheetName val="WattsB"/>
      <sheetName val="HOU"/>
      <sheetName val="ISR"/>
      <sheetName val="Pivot"/>
      <sheetName val="Tracking Data"/>
      <sheetName val="Measure Category Descriptions"/>
      <sheetName val="Retailer-Manuf."/>
    </sheetNames>
    <sheetDataSet>
      <sheetData sheetId="0"/>
      <sheetData sheetId="1"/>
      <sheetData sheetId="2">
        <row r="31">
          <cell r="C31">
            <v>3.1494444444444443</v>
          </cell>
        </row>
        <row r="32">
          <cell r="C32">
            <v>9.8958904109589039</v>
          </cell>
        </row>
        <row r="33">
          <cell r="C33">
            <v>0.99</v>
          </cell>
        </row>
        <row r="34">
          <cell r="C34">
            <v>1.1000000000000001</v>
          </cell>
        </row>
        <row r="35">
          <cell r="C35">
            <v>0.95</v>
          </cell>
        </row>
      </sheetData>
      <sheetData sheetId="3"/>
      <sheetData sheetId="4"/>
      <sheetData sheetId="5"/>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hole House"/>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PRESCRIPTIVE"/>
      <sheetName val="SBDI"/>
      <sheetName val="CUSTOMRCXNC"/>
      <sheetName val="CBDATA"/>
      <sheetName val="DATA TABLES"/>
      <sheetName val="EXPORT"/>
      <sheetName val="Changelog"/>
      <sheetName val="M01-S01"/>
      <sheetName val="M01-S02"/>
      <sheetName val="M01-S03"/>
      <sheetName val="M01-S04"/>
      <sheetName val="M01-S05"/>
      <sheetName val="M01-S06"/>
      <sheetName val="M02-S01"/>
      <sheetName val="M02-S02"/>
      <sheetName val="M02-S03"/>
      <sheetName val="M02-S04"/>
      <sheetName val="M02-S05"/>
      <sheetName val="M03-S01"/>
      <sheetName val="M03-S01-2"/>
      <sheetName val="M03-S02"/>
      <sheetName val="M03-S03"/>
      <sheetName val="M03-S04"/>
      <sheetName val="M03-S05"/>
      <sheetName val="M03-S06"/>
      <sheetName val="M03-S07"/>
      <sheetName val="M03-S08"/>
      <sheetName val="M04-S01"/>
      <sheetName val="M04-S02"/>
      <sheetName val="M04-S02-2"/>
      <sheetName val="M04-S03"/>
      <sheetName val="M04-S04"/>
      <sheetName val="M04-S05"/>
      <sheetName val="M04-S06"/>
      <sheetName val="M04-S07"/>
      <sheetName val="M04-S08"/>
      <sheetName val="M05-S01"/>
      <sheetName val="M05-S02"/>
      <sheetName val="M05-S03"/>
      <sheetName val="M05-S04"/>
      <sheetName val="M05-S05"/>
      <sheetName val="M05-S06"/>
      <sheetName val="M05-S07"/>
      <sheetName val="M05-S08"/>
      <sheetName val="14649 - Application Final"/>
      <sheetName val="Input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Tracking Data"/>
      <sheetName val="Inputs"/>
      <sheetName val="zone lookups"/>
      <sheetName val="Air Infiltration"/>
      <sheetName val="Duct Sealing"/>
      <sheetName val="Ceiling Insultion"/>
      <sheetName val="CFL &amp; LED"/>
      <sheetName val="Smart Strips"/>
      <sheetName val="Aerators"/>
      <sheetName val="Showerheads"/>
    </sheetNames>
    <sheetDataSet>
      <sheetData sheetId="0"/>
      <sheetData sheetId="1"/>
      <sheetData sheetId="2">
        <row r="23">
          <cell r="C23">
            <v>103.6049</v>
          </cell>
        </row>
        <row r="24">
          <cell r="C24">
            <v>70.467920000000007</v>
          </cell>
        </row>
        <row r="28">
          <cell r="C28">
            <v>1.0399999999999999E-4</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8" Type="http://schemas.openxmlformats.org/officeDocument/2006/relationships/vmlDrawing" Target="../drawings/vmlDrawing8.v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drawing" Target="../drawings/drawing9.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printerSettings" Target="../printerSettings/printerSettings11.bin"/><Relationship Id="rId5" Type="http://schemas.openxmlformats.org/officeDocument/2006/relationships/hyperlink" Target="http://www.nrel.gov/docs/fy10osti/47246.pdf" TargetMode="External"/><Relationship Id="rId4" Type="http://schemas.openxmlformats.org/officeDocument/2006/relationships/hyperlink" Target="https://www.efis.psc.mo.gov/mpsc/commoncomponents/viewdocument.asp?DocId=935658483" TargetMode="External"/><Relationship Id="rId9"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8" Type="http://schemas.openxmlformats.org/officeDocument/2006/relationships/hyperlink" Target="http://ilsagfiles.org/SAG_files/Technical_Reference_Manual/Version_5/Final/IL-TRM_Version_5.0_dated_February-11-2016_Final_Compiled_Volumes_1-4.pdf" TargetMode="External"/><Relationship Id="rId13" Type="http://schemas.openxmlformats.org/officeDocument/2006/relationships/printerSettings" Target="../printerSettings/printerSettings7.bin"/><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hyperlink" Target="https://www.efis.psc.mo.gov/mpsc/commoncomponents/viewdocument.asp?DocId=935658483" TargetMode="External"/><Relationship Id="rId12" Type="http://schemas.openxmlformats.org/officeDocument/2006/relationships/hyperlink" Target="http://www.nrel.gov/docs/fy10osti/47246.pdf" TargetMode="External"/><Relationship Id="rId2" Type="http://schemas.openxmlformats.org/officeDocument/2006/relationships/hyperlink" Target="http://www.nrel.gov/docs/fy10osti/47246.pdf" TargetMode="External"/><Relationship Id="rId16" Type="http://schemas.openxmlformats.org/officeDocument/2006/relationships/comments" Target="../comments4.xm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hyperlink" Target="http://www.nrel.gov/docs/fy10osti/47246.pdf" TargetMode="External"/><Relationship Id="rId11" Type="http://schemas.openxmlformats.org/officeDocument/2006/relationships/hyperlink" Target="https://www.efis.psc.mo.gov/mpsc/commoncomponents/viewdocument.asp?DocId=935658483" TargetMode="External"/><Relationship Id="rId5" Type="http://schemas.openxmlformats.org/officeDocument/2006/relationships/hyperlink" Target="http://ilsagfiles.org/SAG_files/Technical_Reference_Manual/Version_5/Final/IL-TRM_Version_5.0_dated_February-11-2016_Final_Compiled_Volumes_1-4.pdf" TargetMode="External"/><Relationship Id="rId15" Type="http://schemas.openxmlformats.org/officeDocument/2006/relationships/vmlDrawing" Target="../drawings/vmlDrawing4.vml"/><Relationship Id="rId10" Type="http://schemas.openxmlformats.org/officeDocument/2006/relationships/hyperlink" Target="http://ilsagfiles.org/SAG_files/Technical_Reference_Manual/Version_5/Final/IL-TRM_Version_5.0_dated_February-11-2016_Final_Compiled_Volumes_1-4.pdf" TargetMode="External"/><Relationship Id="rId4" Type="http://schemas.openxmlformats.org/officeDocument/2006/relationships/hyperlink" Target="http://ilsagfiles.org/SAG_files/Technical_Reference_Manual/Version_5/Final/IL-TRM_Version_5.0_dated_February-11-2016_Final_Compiled_Volumes_1-4.pdf" TargetMode="External"/><Relationship Id="rId9" Type="http://schemas.openxmlformats.org/officeDocument/2006/relationships/hyperlink" Target="https://www.efis.psc.mo.gov/mpsc/commoncomponents/viewdocument.asp?DocId=935658483" TargetMode="External"/><Relationship Id="rId1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s://energy.mo.gov/sites/energy/files/evaluation-of-retrofit-variable-speed-furnace-fan-motors.pdf"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s://www.efis.psc.mo.gov/mpsc/commoncomponents/viewdocument.asp?DocId=935658483" TargetMode="External"/><Relationship Id="rId7" Type="http://schemas.openxmlformats.org/officeDocument/2006/relationships/printerSettings" Target="../printerSettings/printerSettings9.bin"/><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s://www.efis.psc.mo.gov/mpsc/commoncomponents/viewdocument.asp?DocId=935658483" TargetMode="External"/><Relationship Id="rId6" Type="http://schemas.openxmlformats.org/officeDocument/2006/relationships/hyperlink" Target="https://www.efis.psc.mo.gov/mpsc/commoncomponents/viewdocument.asp?DocId=935658483" TargetMode="External"/><Relationship Id="rId5" Type="http://schemas.openxmlformats.org/officeDocument/2006/relationships/hyperlink" Target="https://www.efis.psc.mo.gov/mpsc/commoncomponents/viewdocument.asp?DocId=935658483" TargetMode="External"/><Relationship Id="rId10" Type="http://schemas.openxmlformats.org/officeDocument/2006/relationships/comments" Target="../comments6.xml"/><Relationship Id="rId4" Type="http://schemas.openxmlformats.org/officeDocument/2006/relationships/hyperlink" Target="https://www.efis.psc.mo.gov/mpsc/commoncomponents/viewdocument.asp?DocId=935658483" TargetMode="External"/><Relationship Id="rId9"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46"/>
  <sheetViews>
    <sheetView tabSelected="1" zoomScale="70" zoomScaleNormal="70" workbookViewId="0"/>
  </sheetViews>
  <sheetFormatPr defaultRowHeight="15" x14ac:dyDescent="0.25"/>
  <cols>
    <col min="6" max="6" width="7.7109375" customWidth="1"/>
  </cols>
  <sheetData>
    <row r="2" spans="2:21" ht="36" x14ac:dyDescent="0.55000000000000004">
      <c r="J2" s="2341" t="s">
        <v>3411</v>
      </c>
    </row>
    <row r="4" spans="2:21" ht="18.75" x14ac:dyDescent="0.3">
      <c r="J4" s="2340" t="s">
        <v>3410</v>
      </c>
      <c r="O4" s="2339" t="s">
        <v>3409</v>
      </c>
      <c r="U4" s="2339" t="s">
        <v>3408</v>
      </c>
    </row>
    <row r="7" spans="2:21" ht="18.75" x14ac:dyDescent="0.3">
      <c r="B7" s="2340" t="s">
        <v>3407</v>
      </c>
      <c r="C7" s="2340"/>
    </row>
    <row r="8" spans="2:21" ht="18.75" x14ac:dyDescent="0.3">
      <c r="B8" s="2340" t="s">
        <v>3406</v>
      </c>
    </row>
    <row r="9" spans="2:21" ht="18.75" x14ac:dyDescent="0.3">
      <c r="B9" s="2340" t="s">
        <v>3405</v>
      </c>
    </row>
    <row r="16" spans="2:21" ht="18.75" x14ac:dyDescent="0.3">
      <c r="E16" s="2340" t="s">
        <v>3404</v>
      </c>
    </row>
    <row r="17" spans="6:8" ht="18.75" x14ac:dyDescent="0.3">
      <c r="F17" s="2339" t="s">
        <v>3403</v>
      </c>
      <c r="G17" s="2338"/>
      <c r="H17" s="2338"/>
    </row>
    <row r="18" spans="6:8" ht="18.75" x14ac:dyDescent="0.3">
      <c r="F18" s="2339" t="s">
        <v>3402</v>
      </c>
      <c r="H18" s="2338"/>
    </row>
    <row r="46" spans="10:10" ht="18.75" x14ac:dyDescent="0.3">
      <c r="J46" s="2337" t="s">
        <v>3414</v>
      </c>
    </row>
  </sheetData>
  <pageMargins left="0.7" right="0.7" top="0.75" bottom="0.75" header="0.3" footer="0.3"/>
  <pageSetup orientation="portrait" r:id="rId1"/>
  <headerFooter>
    <oddHeader>&amp;L&amp;"-,Bold"&amp;12ATTACHMENT G</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7"/>
  <sheetViews>
    <sheetView view="pageBreakPreview" zoomScale="70" zoomScaleNormal="70" zoomScaleSheetLayoutView="70" workbookViewId="0">
      <selection sqref="A1:O1"/>
    </sheetView>
  </sheetViews>
  <sheetFormatPr defaultRowHeight="15" outlineLevelRow="1" x14ac:dyDescent="0.25"/>
  <cols>
    <col min="3" max="3" width="19.28515625" style="148" customWidth="1"/>
    <col min="4" max="4" width="18.85546875" style="174" bestFit="1" customWidth="1"/>
    <col min="5" max="5" width="37" style="174" customWidth="1"/>
    <col min="6" max="6" width="19.85546875" customWidth="1"/>
    <col min="7" max="7" width="18.7109375" bestFit="1" customWidth="1"/>
    <col min="8" max="8" width="16.85546875" customWidth="1"/>
    <col min="9" max="11" width="12.5703125" customWidth="1"/>
    <col min="12" max="12" width="16.85546875" customWidth="1"/>
    <col min="15" max="15" width="24.140625" customWidth="1"/>
    <col min="16" max="16" width="18.85546875" bestFit="1" customWidth="1"/>
    <col min="17" max="17" width="37" customWidth="1"/>
    <col min="18" max="18" width="2.42578125" customWidth="1"/>
    <col min="22" max="22" width="22" customWidth="1"/>
    <col min="23" max="23" width="14.5703125" customWidth="1"/>
    <col min="24" max="25" width="17.140625" bestFit="1" customWidth="1"/>
    <col min="26" max="26" width="15.85546875" bestFit="1" customWidth="1"/>
    <col min="27" max="35" width="14.5703125" customWidth="1"/>
    <col min="54" max="54" width="12" bestFit="1" customWidth="1"/>
    <col min="55" max="55" width="29.5703125" bestFit="1" customWidth="1"/>
    <col min="56" max="56" width="9.5703125" bestFit="1" customWidth="1"/>
    <col min="57" max="57" width="12.42578125" bestFit="1" customWidth="1"/>
  </cols>
  <sheetData>
    <row r="1" spans="1:57" s="26" customFormat="1" ht="18.75" x14ac:dyDescent="0.3">
      <c r="A1" s="2633" t="s">
        <v>2263</v>
      </c>
      <c r="B1" s="3145"/>
      <c r="C1" s="3145"/>
      <c r="D1" s="3145"/>
      <c r="E1" s="3145"/>
      <c r="F1" s="3145"/>
      <c r="G1" s="3145"/>
      <c r="H1" s="3145"/>
      <c r="I1" s="3145"/>
      <c r="J1" s="3145"/>
      <c r="K1" s="3145"/>
      <c r="L1" s="3145"/>
      <c r="M1" s="3145"/>
      <c r="N1" s="3145"/>
      <c r="O1" s="3145"/>
      <c r="P1" s="2633"/>
      <c r="Q1" s="3145"/>
      <c r="R1" s="3145"/>
      <c r="V1" s="33"/>
      <c r="W1" s="34"/>
      <c r="X1" s="34"/>
      <c r="Y1" s="35"/>
      <c r="Z1" s="35"/>
      <c r="AA1" s="35"/>
      <c r="AB1" s="35"/>
      <c r="AC1" s="35"/>
      <c r="AD1" s="35"/>
      <c r="AE1" s="35"/>
      <c r="AF1" s="35"/>
      <c r="AG1" s="35"/>
      <c r="AH1" s="35"/>
    </row>
    <row r="2" spans="1:57" s="26" customFormat="1" ht="27.75" hidden="1" customHeight="1" outlineLevel="1" x14ac:dyDescent="0.35">
      <c r="B2" s="31"/>
      <c r="C2" s="36"/>
      <c r="D2" s="3146" t="s">
        <v>14</v>
      </c>
      <c r="E2" s="3147"/>
      <c r="F2" s="3148"/>
      <c r="G2" s="3148"/>
      <c r="H2" s="3148"/>
      <c r="I2" s="3148"/>
      <c r="J2" s="3148"/>
      <c r="K2" s="32"/>
      <c r="L2" s="32"/>
    </row>
    <row r="3" spans="1:57" s="26" customFormat="1" ht="24" customHeight="1" collapsed="1" x14ac:dyDescent="0.35">
      <c r="B3" s="31"/>
      <c r="C3" s="36"/>
      <c r="D3" s="1523"/>
      <c r="E3" s="1524"/>
      <c r="F3" s="1525"/>
      <c r="G3" s="1525"/>
      <c r="H3" s="1525"/>
      <c r="I3" s="1525"/>
      <c r="J3" s="1525"/>
      <c r="K3" s="32"/>
      <c r="L3" s="32"/>
      <c r="V3" s="29"/>
      <c r="W3" s="29"/>
      <c r="X3" s="29"/>
      <c r="Y3" s="29"/>
      <c r="Z3" s="29"/>
      <c r="AA3" s="29"/>
      <c r="AB3" s="29"/>
      <c r="AC3" s="29"/>
      <c r="AD3" s="29"/>
      <c r="AE3" s="29"/>
      <c r="AF3" s="29"/>
      <c r="AG3" s="29"/>
      <c r="AH3" s="29"/>
      <c r="AI3" s="29"/>
    </row>
    <row r="4" spans="1:57" x14ac:dyDescent="0.25">
      <c r="B4" s="2639" t="s">
        <v>2264</v>
      </c>
      <c r="C4" s="2640"/>
      <c r="D4" s="2640"/>
      <c r="E4" s="2640"/>
      <c r="F4" s="2640"/>
      <c r="G4" s="2640"/>
      <c r="H4" s="2640"/>
      <c r="I4" s="2640"/>
      <c r="J4" s="2640"/>
      <c r="K4" s="2640"/>
      <c r="L4" s="2734"/>
      <c r="V4" s="2639" t="str">
        <f>B4</f>
        <v>Home Energy Report</v>
      </c>
      <c r="W4" s="2640"/>
      <c r="X4" s="2640"/>
      <c r="Y4" s="2640"/>
      <c r="Z4" s="2640"/>
      <c r="AA4" s="2640"/>
      <c r="AB4" s="2640"/>
      <c r="AC4" s="2615"/>
      <c r="AD4" s="2615"/>
      <c r="AE4" s="2615"/>
      <c r="AF4" s="2615"/>
      <c r="AG4" s="2615"/>
      <c r="AH4" s="2615"/>
      <c r="AI4" s="2616"/>
    </row>
    <row r="5" spans="1:57" x14ac:dyDescent="0.25">
      <c r="V5" s="328"/>
      <c r="W5" s="328"/>
      <c r="X5" s="328"/>
      <c r="Y5" s="328"/>
      <c r="Z5" s="328"/>
      <c r="AA5" s="328"/>
      <c r="AB5" s="328"/>
      <c r="AC5" s="328"/>
      <c r="AD5" s="328"/>
      <c r="AE5" s="328"/>
      <c r="AF5" s="328"/>
      <c r="AG5" s="328"/>
      <c r="AH5" s="328"/>
      <c r="AI5" s="328"/>
    </row>
    <row r="6" spans="1:57" ht="45" customHeight="1" x14ac:dyDescent="0.25">
      <c r="C6" s="149" t="s">
        <v>17</v>
      </c>
      <c r="D6" s="149" t="s">
        <v>662</v>
      </c>
      <c r="E6" s="149" t="s">
        <v>19</v>
      </c>
      <c r="F6" s="149" t="s">
        <v>20</v>
      </c>
      <c r="G6" s="149" t="s">
        <v>21</v>
      </c>
      <c r="H6" s="149" t="s">
        <v>22</v>
      </c>
      <c r="I6" s="149" t="s">
        <v>23</v>
      </c>
      <c r="J6" s="149" t="s">
        <v>24</v>
      </c>
      <c r="K6" s="149" t="s">
        <v>25</v>
      </c>
      <c r="L6" s="149" t="s">
        <v>26</v>
      </c>
      <c r="V6" s="55" t="s">
        <v>27</v>
      </c>
      <c r="W6" s="56">
        <v>43252</v>
      </c>
      <c r="X6" s="56">
        <v>43465</v>
      </c>
      <c r="Y6" s="56">
        <v>43800</v>
      </c>
      <c r="Z6" s="56">
        <v>43862</v>
      </c>
      <c r="AA6" s="56" t="s">
        <v>28</v>
      </c>
      <c r="AB6" s="56" t="s">
        <v>28</v>
      </c>
      <c r="AC6" s="56" t="s">
        <v>28</v>
      </c>
      <c r="AD6" s="56" t="s">
        <v>28</v>
      </c>
      <c r="AE6" s="56" t="s">
        <v>28</v>
      </c>
      <c r="AF6" s="56" t="s">
        <v>28</v>
      </c>
      <c r="AG6" s="56" t="s">
        <v>28</v>
      </c>
      <c r="AH6" s="328"/>
      <c r="AI6" s="328"/>
      <c r="BB6" s="57" t="s">
        <v>29</v>
      </c>
      <c r="BC6" s="58" t="s">
        <v>30</v>
      </c>
      <c r="BD6" s="787" t="s">
        <v>31</v>
      </c>
      <c r="BE6" s="59" t="s">
        <v>32</v>
      </c>
    </row>
    <row r="7" spans="1:57" x14ac:dyDescent="0.25">
      <c r="C7" s="92" t="s">
        <v>2265</v>
      </c>
      <c r="D7" s="472" t="s">
        <v>795</v>
      </c>
      <c r="E7" s="1666" t="s">
        <v>2266</v>
      </c>
      <c r="F7" s="152">
        <f>ROUND(82.4,2)</f>
        <v>82.4</v>
      </c>
      <c r="G7" s="1526" t="s">
        <v>1653</v>
      </c>
      <c r="H7" s="239">
        <f>VLOOKUP(G7,'CP FACTORS'!$A$3:$B$38, 2, FALSE)</f>
        <v>4.6608050000000002E-4</v>
      </c>
      <c r="I7" s="2289">
        <f>ROUND(F7*H7,6)</f>
        <v>3.8405000000000002E-2</v>
      </c>
      <c r="J7" s="156">
        <v>1</v>
      </c>
      <c r="K7" s="658">
        <v>0</v>
      </c>
      <c r="L7" s="92" t="s">
        <v>2267</v>
      </c>
      <c r="V7" s="245" t="str">
        <f>F6</f>
        <v>kWh Annual Savings</v>
      </c>
      <c r="W7" s="246">
        <v>150</v>
      </c>
      <c r="X7" s="1164">
        <v>39.1</v>
      </c>
      <c r="Y7" s="166">
        <v>82.4</v>
      </c>
      <c r="Z7" s="245"/>
      <c r="AA7" s="245"/>
      <c r="AB7" s="245"/>
      <c r="AC7" s="245"/>
      <c r="AD7" s="245"/>
      <c r="AE7" s="245"/>
      <c r="AF7" s="245"/>
      <c r="AG7" s="245"/>
      <c r="AH7" s="1160"/>
      <c r="AI7" s="1160"/>
      <c r="BB7" s="1528" t="str">
        <f>IFERROR((BD7)/(BE7),"")</f>
        <v/>
      </c>
      <c r="BC7" s="69" t="str">
        <f>CONCATENATE(G7," ",J7," Year EUL")</f>
        <v>Building Shell RES 1 Year EUL</v>
      </c>
      <c r="BD7" s="251">
        <f>(INDEX('Avoided Cost Benefits'!$C$4:$C$857,MATCH(BC7,'Avoided Cost Benefits'!$A$4:$A$857,0)))*F7</f>
        <v>4.5859282270948665</v>
      </c>
      <c r="BE7" s="122">
        <f>K7/(1.0595^(2020-2019))</f>
        <v>0</v>
      </c>
    </row>
  </sheetData>
  <mergeCells count="5">
    <mergeCell ref="A1:O1"/>
    <mergeCell ref="P1:R1"/>
    <mergeCell ref="D2:J2"/>
    <mergeCell ref="B4:L4"/>
    <mergeCell ref="V4:AI4"/>
  </mergeCells>
  <pageMargins left="0.7" right="0.7" top="0.75" bottom="0.75" header="0.3" footer="0.3"/>
  <pageSetup scale="15"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525"/>
  <sheetViews>
    <sheetView view="pageBreakPreview" zoomScale="70" zoomScaleNormal="70" zoomScaleSheetLayoutView="70" workbookViewId="0">
      <selection sqref="A1:O1"/>
    </sheetView>
  </sheetViews>
  <sheetFormatPr defaultRowHeight="15" outlineLevelRow="1" x14ac:dyDescent="0.25"/>
  <cols>
    <col min="1" max="1" width="3" style="177" customWidth="1"/>
    <col min="2" max="2" width="9.140625" style="177"/>
    <col min="3" max="3" width="20.140625" style="455" bestFit="1" customWidth="1"/>
    <col min="4" max="4" width="19.140625" style="456" customWidth="1"/>
    <col min="5" max="5" width="60.5703125" style="456" customWidth="1"/>
    <col min="6" max="6" width="28" style="177" customWidth="1"/>
    <col min="7" max="7" width="19.5703125" style="177" customWidth="1"/>
    <col min="8" max="8" width="37.85546875" style="177" customWidth="1"/>
    <col min="9" max="9" width="14.7109375" style="177" customWidth="1"/>
    <col min="10" max="10" width="25.5703125" style="177" customWidth="1"/>
    <col min="11" max="11" width="16.7109375" style="177" customWidth="1"/>
    <col min="12" max="12" width="13.42578125" style="177" customWidth="1"/>
    <col min="13" max="13" width="14" style="177" customWidth="1"/>
    <col min="14" max="14" width="14.85546875" style="177" customWidth="1"/>
    <col min="15" max="16" width="11.85546875" style="177" customWidth="1"/>
    <col min="17" max="17" width="12.85546875" style="177" customWidth="1"/>
    <col min="18" max="18" width="16.42578125" style="177" customWidth="1"/>
    <col min="19" max="21" width="9.140625" style="177" customWidth="1"/>
    <col min="22" max="22" width="31.85546875" customWidth="1"/>
    <col min="23" max="23" width="14.5703125" customWidth="1"/>
    <col min="24" max="24" width="18.7109375" customWidth="1"/>
    <col min="25" max="26" width="16.85546875" customWidth="1"/>
    <col min="27" max="35" width="14.5703125" customWidth="1"/>
    <col min="36" max="36" width="20" customWidth="1"/>
    <col min="37" max="37" width="17" customWidth="1"/>
    <col min="38" max="53" width="14.7109375" customWidth="1"/>
    <col min="54" max="54" width="14.7109375" style="1240" customWidth="1"/>
    <col min="55" max="55" width="32.140625" bestFit="1" customWidth="1"/>
    <col min="56" max="57" width="14.7109375" customWidth="1"/>
    <col min="58" max="58" width="3.140625" customWidth="1"/>
    <col min="59" max="69" width="14.7109375" customWidth="1"/>
  </cols>
  <sheetData>
    <row r="1" spans="1:57" s="26" customFormat="1" ht="18.75" x14ac:dyDescent="0.3">
      <c r="A1" s="2633" t="s">
        <v>2268</v>
      </c>
      <c r="B1" s="2710"/>
      <c r="C1" s="2710"/>
      <c r="D1" s="2710"/>
      <c r="E1" s="2710" t="s">
        <v>2269</v>
      </c>
      <c r="F1" s="2710"/>
      <c r="G1" s="2710"/>
      <c r="H1" s="2710"/>
      <c r="I1" s="2710"/>
      <c r="J1" s="2710"/>
      <c r="K1" s="2710"/>
      <c r="L1" s="2710"/>
      <c r="M1" s="2710"/>
      <c r="N1" s="2710"/>
      <c r="O1" s="2710"/>
      <c r="P1" s="2635"/>
      <c r="Q1" s="2733"/>
      <c r="R1" s="2733"/>
      <c r="S1" s="1716"/>
      <c r="T1" s="1716"/>
      <c r="U1" s="1716"/>
      <c r="V1" s="33"/>
      <c r="W1" s="34"/>
      <c r="X1" s="34"/>
      <c r="Y1" s="35"/>
      <c r="Z1" s="35"/>
      <c r="AA1" s="35"/>
      <c r="AB1" s="35"/>
      <c r="AC1" s="35"/>
      <c r="AD1" s="35"/>
      <c r="AE1" s="35"/>
      <c r="AF1" s="35"/>
      <c r="AG1" s="35"/>
      <c r="AH1" s="35"/>
      <c r="BB1" s="27"/>
    </row>
    <row r="2" spans="1:57" s="26" customFormat="1" ht="30" hidden="1" customHeight="1" outlineLevel="1" x14ac:dyDescent="0.35">
      <c r="A2" s="1716"/>
      <c r="B2" s="1718"/>
      <c r="C2" s="225"/>
      <c r="D2" s="2622" t="s">
        <v>3345</v>
      </c>
      <c r="E2" s="2637"/>
      <c r="F2" s="2638"/>
      <c r="G2" s="2638"/>
      <c r="H2" s="2638"/>
      <c r="I2" s="2638"/>
      <c r="J2" s="2638"/>
      <c r="K2" s="1156"/>
      <c r="L2" s="1156"/>
      <c r="M2" s="1716"/>
      <c r="N2" s="1716"/>
      <c r="O2" s="1716"/>
      <c r="P2" s="1716"/>
      <c r="Q2" s="1716"/>
      <c r="R2" s="1716"/>
      <c r="S2" s="1716"/>
      <c r="T2" s="1716"/>
      <c r="U2" s="1716"/>
      <c r="BB2" s="27"/>
    </row>
    <row r="3" spans="1:57" s="26" customFormat="1" ht="25.5" customHeight="1" collapsed="1" x14ac:dyDescent="0.35">
      <c r="A3" s="1716"/>
      <c r="B3" s="1718"/>
      <c r="C3" s="225"/>
      <c r="D3" s="1529"/>
      <c r="E3" s="2290"/>
      <c r="F3" s="2291"/>
      <c r="G3" s="2291"/>
      <c r="H3" s="2291"/>
      <c r="I3" s="2291"/>
      <c r="J3" s="2291"/>
      <c r="K3" s="1156"/>
      <c r="L3" s="1156"/>
      <c r="M3" s="1716"/>
      <c r="N3" s="1716"/>
      <c r="O3" s="1716"/>
      <c r="P3" s="1716"/>
      <c r="Q3" s="1716"/>
      <c r="R3" s="1716"/>
      <c r="S3" s="1716"/>
      <c r="T3" s="1716"/>
      <c r="U3" s="1716"/>
      <c r="V3" s="29"/>
      <c r="W3" s="29"/>
      <c r="X3" s="29"/>
      <c r="Y3" s="29"/>
      <c r="Z3" s="29"/>
      <c r="AA3" s="29"/>
      <c r="AB3" s="29"/>
      <c r="AC3" s="29"/>
      <c r="AD3" s="29"/>
      <c r="AE3" s="29"/>
      <c r="AF3" s="29"/>
      <c r="AG3" s="29"/>
      <c r="AH3" s="29"/>
      <c r="AI3" s="29"/>
      <c r="BB3" s="27"/>
    </row>
    <row r="4" spans="1:57" s="229" customFormat="1" x14ac:dyDescent="0.25">
      <c r="B4" s="2639" t="s">
        <v>1607</v>
      </c>
      <c r="C4" s="2640"/>
      <c r="D4" s="2640"/>
      <c r="E4" s="2640"/>
      <c r="F4" s="2640"/>
      <c r="G4" s="2640"/>
      <c r="H4" s="2640"/>
      <c r="I4" s="2640"/>
      <c r="J4" s="2640"/>
      <c r="K4" s="2640"/>
      <c r="L4" s="2640"/>
      <c r="M4" s="2640"/>
      <c r="N4" s="2640"/>
      <c r="O4" s="2640"/>
      <c r="P4" s="2640"/>
      <c r="Q4" s="2734"/>
      <c r="V4" s="2639" t="str">
        <f>B4</f>
        <v>AC Tune-up</v>
      </c>
      <c r="W4" s="2640"/>
      <c r="X4" s="2640"/>
      <c r="Y4" s="2640"/>
      <c r="Z4" s="2640"/>
      <c r="AA4" s="2640"/>
      <c r="AB4" s="2640"/>
      <c r="AC4" s="2615"/>
      <c r="AD4" s="2615"/>
      <c r="AE4" s="2615"/>
      <c r="AF4" s="2615"/>
      <c r="AG4" s="2615"/>
      <c r="AH4" s="2615"/>
      <c r="AI4" s="2616"/>
      <c r="AJ4"/>
      <c r="BB4" s="1116"/>
    </row>
    <row r="5" spans="1:57" ht="18" customHeight="1" x14ac:dyDescent="0.25">
      <c r="B5" s="233"/>
      <c r="C5" s="231"/>
      <c r="D5" s="456" t="s">
        <v>2270</v>
      </c>
      <c r="E5" s="232"/>
      <c r="F5" s="233"/>
      <c r="G5" s="233"/>
      <c r="H5" s="233"/>
      <c r="I5" s="233"/>
      <c r="J5" s="233"/>
      <c r="K5" s="233"/>
      <c r="L5" s="233"/>
      <c r="M5" s="233"/>
      <c r="N5" s="233"/>
      <c r="O5" s="233"/>
      <c r="P5" s="233"/>
      <c r="Q5" s="233"/>
      <c r="V5" s="328"/>
      <c r="W5" s="328"/>
      <c r="X5" s="328"/>
      <c r="Y5" s="328"/>
      <c r="Z5" s="328"/>
      <c r="AA5" s="328"/>
      <c r="AB5" s="328"/>
      <c r="AC5" s="328"/>
      <c r="AD5" s="328"/>
      <c r="AE5" s="328"/>
      <c r="AF5" s="328"/>
      <c r="AG5" s="328"/>
      <c r="AH5" s="328"/>
      <c r="AI5" s="328"/>
    </row>
    <row r="6" spans="1:57" ht="30" x14ac:dyDescent="0.25">
      <c r="B6" s="1726"/>
      <c r="C6" s="1641" t="s">
        <v>17</v>
      </c>
      <c r="D6" s="1641" t="s">
        <v>662</v>
      </c>
      <c r="E6" s="1641" t="s">
        <v>19</v>
      </c>
      <c r="F6" s="1641" t="s">
        <v>20</v>
      </c>
      <c r="G6" s="1641" t="s">
        <v>21</v>
      </c>
      <c r="H6" s="1641" t="s">
        <v>22</v>
      </c>
      <c r="I6" s="1641" t="s">
        <v>23</v>
      </c>
      <c r="J6" s="1646" t="s">
        <v>24</v>
      </c>
      <c r="K6" s="1641" t="s">
        <v>25</v>
      </c>
      <c r="L6" s="1641" t="s">
        <v>26</v>
      </c>
      <c r="M6" s="1726"/>
      <c r="N6" s="1726"/>
      <c r="O6" s="1726"/>
      <c r="P6" s="1726"/>
      <c r="Q6" s="1726"/>
      <c r="V6" s="55" t="s">
        <v>27</v>
      </c>
      <c r="W6" s="56">
        <v>43252</v>
      </c>
      <c r="X6" s="56">
        <v>43465</v>
      </c>
      <c r="Y6" s="56">
        <v>43800</v>
      </c>
      <c r="Z6" s="56">
        <v>43862</v>
      </c>
      <c r="AA6" s="56" t="s">
        <v>28</v>
      </c>
      <c r="AB6" s="56" t="s">
        <v>28</v>
      </c>
      <c r="AC6" s="56" t="s">
        <v>28</v>
      </c>
      <c r="AD6" s="56" t="s">
        <v>28</v>
      </c>
      <c r="AE6" s="56" t="s">
        <v>28</v>
      </c>
      <c r="AF6" s="56" t="s">
        <v>28</v>
      </c>
      <c r="AG6" s="56" t="s">
        <v>28</v>
      </c>
      <c r="AH6" s="328"/>
      <c r="AI6" s="328"/>
      <c r="BB6" s="57" t="s">
        <v>29</v>
      </c>
      <c r="BC6" s="58" t="s">
        <v>30</v>
      </c>
      <c r="BD6" s="787" t="s">
        <v>31</v>
      </c>
      <c r="BE6" s="59" t="s">
        <v>32</v>
      </c>
    </row>
    <row r="7" spans="1:57" x14ac:dyDescent="0.25">
      <c r="B7" s="1726"/>
      <c r="C7" s="1543" t="s">
        <v>2271</v>
      </c>
      <c r="D7" s="1927" t="s">
        <v>2272</v>
      </c>
      <c r="E7" s="290" t="s">
        <v>2273</v>
      </c>
      <c r="F7" s="2113">
        <f>ROUND((G21*G23*(1/G24-1/G25)/G29),2)</f>
        <v>80.33</v>
      </c>
      <c r="G7" s="2045" t="s">
        <v>737</v>
      </c>
      <c r="H7" s="239">
        <f>VLOOKUP(G7,'CP FACTORS'!$A$3:$B$38, 2, FALSE)</f>
        <v>9.4741810000000004E-4</v>
      </c>
      <c r="I7" s="2015">
        <f>ROUND(F7*H7,6)</f>
        <v>7.6105999999999993E-2</v>
      </c>
      <c r="J7" s="1289">
        <f t="shared" ref="J7:J14" si="0">$G$30</f>
        <v>2</v>
      </c>
      <c r="K7" s="483">
        <f>G31</f>
        <v>70</v>
      </c>
      <c r="L7" s="291" t="s">
        <v>37</v>
      </c>
      <c r="M7" s="1726"/>
      <c r="N7" s="1726"/>
      <c r="O7" s="1726"/>
      <c r="P7" s="1726"/>
      <c r="Q7" s="1726"/>
      <c r="V7" s="245" t="str">
        <f>F6</f>
        <v>kWh Annual Savings</v>
      </c>
      <c r="W7" s="246">
        <v>80.326093903186262</v>
      </c>
      <c r="X7" s="1294">
        <v>80.326093903186262</v>
      </c>
      <c r="Y7" s="1293">
        <v>80.33</v>
      </c>
      <c r="Z7" s="245"/>
      <c r="AA7" s="245"/>
      <c r="AB7" s="245"/>
      <c r="AC7" s="245"/>
      <c r="AD7" s="245"/>
      <c r="AE7" s="245"/>
      <c r="AF7" s="245"/>
      <c r="AG7" s="245"/>
      <c r="AH7" s="1160"/>
      <c r="AI7" s="1160"/>
      <c r="BB7" s="68">
        <f>(BD7)/(BE7)</f>
        <v>0.20805766351048499</v>
      </c>
      <c r="BC7" s="69" t="str">
        <f>CONCATENATE(G7," ",J7," Year EUL")</f>
        <v>Cooling RES 2 Year EUL</v>
      </c>
      <c r="BD7" s="162">
        <f>(INDEX('Avoided Cost Benefits'!$C$4:$C$857,MATCH(BC7,'Avoided Cost Benefits'!$A$4:$A$857,0)))*F7</f>
        <v>13.746141053075931</v>
      </c>
      <c r="BE7" s="70">
        <f>K7/(1.0595^(2020-2019))</f>
        <v>66.068900424728639</v>
      </c>
    </row>
    <row r="8" spans="1:57" x14ac:dyDescent="0.25">
      <c r="B8" s="1726"/>
      <c r="C8" s="1543" t="s">
        <v>2274</v>
      </c>
      <c r="D8" s="1927" t="s">
        <v>2275</v>
      </c>
      <c r="E8" s="458" t="str">
        <f>CONCATENATE(E7,"_CompE")</f>
        <v>General Tune-Up (no charge or coil clean) / MFMR_CompE</v>
      </c>
      <c r="F8" s="2113">
        <f>ROUND(($G$22*$G$23*(1/$G$24-1/$G$25)/$G$29),2)</f>
        <v>58.42</v>
      </c>
      <c r="G8" s="2045" t="s">
        <v>737</v>
      </c>
      <c r="H8" s="239">
        <f>VLOOKUP(G8,'CP FACTORS'!$A$3:$B$38, 2, FALSE)</f>
        <v>9.4741810000000004E-4</v>
      </c>
      <c r="I8" s="2015">
        <f>ROUND(F8*H8,6)</f>
        <v>5.5348000000000001E-2</v>
      </c>
      <c r="J8" s="1289">
        <f t="shared" si="0"/>
        <v>2</v>
      </c>
      <c r="K8" s="483">
        <f>K7</f>
        <v>70</v>
      </c>
      <c r="L8" s="291" t="s">
        <v>37</v>
      </c>
      <c r="M8" s="1726"/>
      <c r="N8" s="1726"/>
      <c r="O8" s="1726"/>
      <c r="P8" s="1726"/>
      <c r="Q8" s="1726"/>
      <c r="V8" s="245" t="str">
        <f>V7</f>
        <v>kWh Annual Savings</v>
      </c>
      <c r="W8" s="246"/>
      <c r="X8" s="1294"/>
      <c r="Y8" s="1167">
        <v>58.42</v>
      </c>
      <c r="Z8" s="245"/>
      <c r="AA8" s="245"/>
      <c r="AB8" s="245"/>
      <c r="AC8" s="245"/>
      <c r="AD8" s="245"/>
      <c r="AE8" s="245"/>
      <c r="AF8" s="245"/>
      <c r="AG8" s="245"/>
      <c r="AH8" s="1160"/>
      <c r="AI8" s="1160"/>
      <c r="BB8" s="72">
        <f>(BD8)/(BE8)</f>
        <v>0.15130995521327692</v>
      </c>
      <c r="BC8" s="73" t="str">
        <f>CONCATENATE(G8," ",J8," Year EUL")</f>
        <v>Cooling RES 2 Year EUL</v>
      </c>
      <c r="BD8" s="165">
        <f>(INDEX('Avoided Cost Benefits'!$C$4:$C$857,MATCH(BC8,'Avoided Cost Benefits'!$A$4:$A$857,0)))*F8</f>
        <v>9.9968823642561428</v>
      </c>
      <c r="BE8" s="74">
        <f>K8/(1.0595^(2020-2019))</f>
        <v>66.068900424728639</v>
      </c>
    </row>
    <row r="9" spans="1:57" x14ac:dyDescent="0.25">
      <c r="B9" s="233"/>
      <c r="C9" s="1543" t="s">
        <v>2276</v>
      </c>
      <c r="D9" s="1927" t="s">
        <v>2272</v>
      </c>
      <c r="E9" s="290" t="s">
        <v>2277</v>
      </c>
      <c r="F9" s="2113">
        <f>ROUND(($G$21*$G$23*(1/$G$24-1/$G$26)/$G$29),2)</f>
        <v>335.03</v>
      </c>
      <c r="G9" s="2045" t="s">
        <v>737</v>
      </c>
      <c r="H9" s="239">
        <f>VLOOKUP(G9,'CP FACTORS'!$A$3:$B$38, 2, FALSE)</f>
        <v>9.4741810000000004E-4</v>
      </c>
      <c r="I9" s="2015">
        <f t="shared" ref="I9:I13" si="1">ROUND(F9*H9,6)</f>
        <v>0.317413</v>
      </c>
      <c r="J9" s="1289">
        <f t="shared" si="0"/>
        <v>2</v>
      </c>
      <c r="K9" s="483">
        <f>G32</f>
        <v>81</v>
      </c>
      <c r="L9" s="291" t="s">
        <v>37</v>
      </c>
      <c r="M9" s="233"/>
      <c r="N9" s="233"/>
      <c r="O9" s="233"/>
      <c r="P9" s="233"/>
      <c r="Q9" s="233"/>
      <c r="T9" s="1951"/>
      <c r="U9" s="911"/>
      <c r="V9" s="245" t="str">
        <f t="shared" ref="V9:V14" si="2">V8</f>
        <v>kWh Annual Savings</v>
      </c>
      <c r="W9" s="246">
        <v>335.03166535854984</v>
      </c>
      <c r="X9" s="1294">
        <v>335.03166535854984</v>
      </c>
      <c r="Y9" s="1293">
        <v>335.03</v>
      </c>
      <c r="Z9" s="245"/>
      <c r="AA9" s="245"/>
      <c r="AB9" s="245"/>
      <c r="AC9" s="245"/>
      <c r="AD9" s="245"/>
      <c r="AE9" s="245"/>
      <c r="AF9" s="245"/>
      <c r="AG9" s="245"/>
      <c r="BB9" s="72">
        <f t="shared" ref="BB9:BB13" si="3">(BD9)/(BE9)</f>
        <v>0.74989881713460449</v>
      </c>
      <c r="BC9" s="73" t="str">
        <f t="shared" ref="BC9:BC13" si="4">CONCATENATE(G9," ",J9," Year EUL")</f>
        <v>Cooling RES 2 Year EUL</v>
      </c>
      <c r="BD9" s="165">
        <f>(INDEX('Avoided Cost Benefits'!$C$4:$C$857,MATCH(BC9,'Avoided Cost Benefits'!$A$4:$A$857,0)))*F9</f>
        <v>57.330631607270377</v>
      </c>
      <c r="BE9" s="74">
        <f t="shared" ref="BE9:BE13" si="5">K9/(1.0595^(2020-2019))</f>
        <v>76.451156205757428</v>
      </c>
    </row>
    <row r="10" spans="1:57" x14ac:dyDescent="0.25">
      <c r="B10" s="233"/>
      <c r="C10" s="1543" t="s">
        <v>2278</v>
      </c>
      <c r="D10" s="1927" t="s">
        <v>2275</v>
      </c>
      <c r="E10" s="458" t="str">
        <f>CONCATENATE(E9,"_CompE")</f>
        <v>AC Tune-up / refrigerant charge / MFMR_CompE</v>
      </c>
      <c r="F10" s="2113">
        <f>ROUND(($G$22*$G$23*(1/$G$24-1/$G$26)/$G$29),2)</f>
        <v>243.66</v>
      </c>
      <c r="G10" s="2045" t="s">
        <v>737</v>
      </c>
      <c r="H10" s="239">
        <f>VLOOKUP(G10,'CP FACTORS'!$A$3:$B$38, 2, FALSE)</f>
        <v>9.4741810000000004E-4</v>
      </c>
      <c r="I10" s="2015">
        <f>ROUND(F10*H10,6)</f>
        <v>0.230848</v>
      </c>
      <c r="J10" s="1289">
        <f t="shared" si="0"/>
        <v>2</v>
      </c>
      <c r="K10" s="483">
        <f>K9</f>
        <v>81</v>
      </c>
      <c r="L10" s="291" t="s">
        <v>37</v>
      </c>
      <c r="M10" s="233"/>
      <c r="N10" s="233"/>
      <c r="O10" s="233"/>
      <c r="P10" s="233"/>
      <c r="Q10" s="233"/>
      <c r="T10" s="1951"/>
      <c r="U10" s="911"/>
      <c r="V10" s="245" t="str">
        <f t="shared" si="2"/>
        <v>kWh Annual Savings</v>
      </c>
      <c r="W10" s="246"/>
      <c r="X10" s="1294"/>
      <c r="Y10" s="1167">
        <v>243.66</v>
      </c>
      <c r="Z10" s="245"/>
      <c r="AA10" s="245"/>
      <c r="AB10" s="245"/>
      <c r="AC10" s="245"/>
      <c r="AD10" s="245"/>
      <c r="AE10" s="245"/>
      <c r="AF10" s="245"/>
      <c r="AG10" s="245"/>
      <c r="BB10" s="72">
        <f>(BD10)/(BE10)</f>
        <v>0.54538502755877905</v>
      </c>
      <c r="BC10" s="73" t="str">
        <f>CONCATENATE(G10," ",J10," Year EUL")</f>
        <v>Cooling RES 2 Year EUL</v>
      </c>
      <c r="BD10" s="165">
        <f>(INDEX('Avoided Cost Benefits'!$C$4:$C$857,MATCH(BC10,'Avoided Cost Benefits'!$A$4:$A$857,0)))*F10</f>
        <v>41.695315934177536</v>
      </c>
      <c r="BE10" s="74">
        <f>K10/(1.0595^(2020-2019))</f>
        <v>76.451156205757428</v>
      </c>
    </row>
    <row r="11" spans="1:57" s="43" customFormat="1" x14ac:dyDescent="0.25">
      <c r="A11" s="233"/>
      <c r="B11" s="233"/>
      <c r="C11" s="1543" t="s">
        <v>2279</v>
      </c>
      <c r="D11" s="1927" t="s">
        <v>2272</v>
      </c>
      <c r="E11" s="290" t="s">
        <v>2280</v>
      </c>
      <c r="F11" s="2113">
        <f>ROUND(($G$21*$G$23*(1/$G$24-1/$G$27)/$G$29),2)</f>
        <v>55.45</v>
      </c>
      <c r="G11" s="2045" t="s">
        <v>737</v>
      </c>
      <c r="H11" s="239">
        <f>VLOOKUP(G11,'CP FACTORS'!$A$3:$B$38, 2, FALSE)</f>
        <v>9.4741810000000004E-4</v>
      </c>
      <c r="I11" s="2015">
        <f t="shared" si="1"/>
        <v>5.2533999999999997E-2</v>
      </c>
      <c r="J11" s="1289">
        <f t="shared" si="0"/>
        <v>2</v>
      </c>
      <c r="K11" s="483">
        <f>G33</f>
        <v>63</v>
      </c>
      <c r="L11" s="291" t="s">
        <v>37</v>
      </c>
      <c r="M11" s="233"/>
      <c r="N11" s="233"/>
      <c r="O11" s="233"/>
      <c r="P11" s="233"/>
      <c r="Q11" s="233"/>
      <c r="R11" s="232"/>
      <c r="S11" s="233"/>
      <c r="T11" s="233"/>
      <c r="U11" s="233"/>
      <c r="V11" s="245" t="str">
        <f t="shared" si="2"/>
        <v>kWh Annual Savings</v>
      </c>
      <c r="W11" s="246">
        <v>55.452200250259111</v>
      </c>
      <c r="X11" s="1294">
        <v>55.452200250259111</v>
      </c>
      <c r="Y11" s="1293">
        <v>55.45</v>
      </c>
      <c r="Z11" s="245"/>
      <c r="AA11" s="245"/>
      <c r="AB11" s="245"/>
      <c r="AC11" s="245"/>
      <c r="AD11" s="245"/>
      <c r="AE11" s="245"/>
      <c r="AF11" s="245"/>
      <c r="AG11" s="245"/>
      <c r="AH11"/>
      <c r="AI11"/>
      <c r="AJ11"/>
      <c r="BB11" s="72">
        <f t="shared" si="3"/>
        <v>0.15957505071657738</v>
      </c>
      <c r="BC11" s="73" t="str">
        <f t="shared" si="4"/>
        <v>Cooling RES 2 Year EUL</v>
      </c>
      <c r="BD11" s="165">
        <f>(INDEX('Avoided Cost Benefits'!$C$4:$C$857,MATCH(BC11,'Avoided Cost Benefits'!$A$4:$A$857,0)))*F11</f>
        <v>9.4886533224581164</v>
      </c>
      <c r="BE11" s="74">
        <f t="shared" si="5"/>
        <v>59.462010382255777</v>
      </c>
    </row>
    <row r="12" spans="1:57" s="43" customFormat="1" x14ac:dyDescent="0.25">
      <c r="A12" s="233"/>
      <c r="B12" s="233"/>
      <c r="C12" s="1543" t="s">
        <v>2281</v>
      </c>
      <c r="D12" s="1927" t="s">
        <v>2275</v>
      </c>
      <c r="E12" s="458" t="str">
        <f>CONCATENATE(E11,"_CompE")</f>
        <v>Indoor Coil (Evaporator) Cleaning / MFMR_CompE</v>
      </c>
      <c r="F12" s="2113">
        <f>ROUND(($G$22*$G$23*(1/$G$24-1/$G$27)/$G$29),2)</f>
        <v>40.33</v>
      </c>
      <c r="G12" s="2045" t="s">
        <v>737</v>
      </c>
      <c r="H12" s="239">
        <f>VLOOKUP(G12,'CP FACTORS'!$A$3:$B$38, 2, FALSE)</f>
        <v>9.4741810000000004E-4</v>
      </c>
      <c r="I12" s="2015">
        <f>ROUND(F12*H12,6)</f>
        <v>3.8209E-2</v>
      </c>
      <c r="J12" s="1289">
        <f t="shared" si="0"/>
        <v>2</v>
      </c>
      <c r="K12" s="483">
        <f>K11</f>
        <v>63</v>
      </c>
      <c r="L12" s="291" t="s">
        <v>37</v>
      </c>
      <c r="M12" s="233"/>
      <c r="N12" s="233"/>
      <c r="O12" s="233"/>
      <c r="P12" s="233"/>
      <c r="Q12" s="233"/>
      <c r="R12" s="232"/>
      <c r="S12" s="233"/>
      <c r="T12" s="233"/>
      <c r="U12" s="233"/>
      <c r="V12" s="245" t="str">
        <f t="shared" si="2"/>
        <v>kWh Annual Savings</v>
      </c>
      <c r="W12" s="246"/>
      <c r="X12" s="1294"/>
      <c r="Y12" s="1167">
        <v>40.33</v>
      </c>
      <c r="Z12" s="245"/>
      <c r="AA12" s="245"/>
      <c r="AB12" s="245"/>
      <c r="AC12" s="245"/>
      <c r="AD12" s="245"/>
      <c r="AE12" s="245"/>
      <c r="AF12" s="245"/>
      <c r="AG12" s="245"/>
      <c r="AH12"/>
      <c r="AI12"/>
      <c r="AJ12"/>
      <c r="BB12" s="72">
        <f>(BD12)/(BE12)</f>
        <v>0.1160624309359705</v>
      </c>
      <c r="BC12" s="73" t="str">
        <f>CONCATENATE(G12," ",J12," Year EUL")</f>
        <v>Cooling RES 2 Year EUL</v>
      </c>
      <c r="BD12" s="165">
        <f>(INDEX('Avoided Cost Benefits'!$C$4:$C$857,MATCH(BC12,'Avoided Cost Benefits'!$A$4:$A$857,0)))*F12</f>
        <v>6.9013054733045225</v>
      </c>
      <c r="BE12" s="74">
        <f>K12/(1.0595^(2020-2019))</f>
        <v>59.462010382255777</v>
      </c>
    </row>
    <row r="13" spans="1:57" s="43" customFormat="1" x14ac:dyDescent="0.25">
      <c r="A13" s="233"/>
      <c r="B13" s="233"/>
      <c r="C13" s="1543" t="s">
        <v>2282</v>
      </c>
      <c r="D13" s="1927" t="s">
        <v>2272</v>
      </c>
      <c r="E13" s="290" t="s">
        <v>2283</v>
      </c>
      <c r="F13" s="2113">
        <f>ROUND(($G$21*$G$23*(1/$G$24-1/$G$28)/$G$29),2)</f>
        <v>110.9</v>
      </c>
      <c r="G13" s="2045" t="s">
        <v>737</v>
      </c>
      <c r="H13" s="239">
        <f>VLOOKUP(G13,'CP FACTORS'!$A$3:$B$38, 2, FALSE)</f>
        <v>9.4741810000000004E-4</v>
      </c>
      <c r="I13" s="2015">
        <f t="shared" si="1"/>
        <v>0.105069</v>
      </c>
      <c r="J13" s="1289">
        <f t="shared" si="0"/>
        <v>2</v>
      </c>
      <c r="K13" s="483">
        <f t="shared" ref="K13" si="6">G34</f>
        <v>31</v>
      </c>
      <c r="L13" s="291" t="s">
        <v>37</v>
      </c>
      <c r="M13" s="233"/>
      <c r="N13" s="233"/>
      <c r="O13" s="233"/>
      <c r="P13" s="233"/>
      <c r="Q13" s="233"/>
      <c r="R13" s="232"/>
      <c r="S13" s="233"/>
      <c r="T13" s="233"/>
      <c r="U13" s="233"/>
      <c r="V13" s="245" t="str">
        <f t="shared" si="2"/>
        <v>kWh Annual Savings</v>
      </c>
      <c r="W13" s="246">
        <v>110.90169564708388</v>
      </c>
      <c r="X13" s="1294">
        <v>110.90169564708388</v>
      </c>
      <c r="Y13" s="1293">
        <v>110.9</v>
      </c>
      <c r="Z13" s="245"/>
      <c r="AA13" s="245"/>
      <c r="AB13" s="245"/>
      <c r="AC13" s="245"/>
      <c r="AD13" s="245"/>
      <c r="AE13" s="245"/>
      <c r="AF13" s="245"/>
      <c r="AG13" s="245"/>
      <c r="AH13"/>
      <c r="AI13"/>
      <c r="AJ13"/>
      <c r="BB13" s="72">
        <f t="shared" si="3"/>
        <v>0.64859536742866941</v>
      </c>
      <c r="BC13" s="73" t="str">
        <f t="shared" si="4"/>
        <v>Cooling RES 2 Year EUL</v>
      </c>
      <c r="BD13" s="165">
        <f>(INDEX('Avoided Cost Benefits'!$C$4:$C$857,MATCH(BC13,'Avoided Cost Benefits'!$A$4:$A$857,0)))*F13</f>
        <v>18.977306644916233</v>
      </c>
      <c r="BE13" s="74">
        <f t="shared" si="5"/>
        <v>29.259084473808397</v>
      </c>
    </row>
    <row r="14" spans="1:57" s="43" customFormat="1" x14ac:dyDescent="0.25">
      <c r="A14" s="233"/>
      <c r="B14" s="233"/>
      <c r="C14" s="1543" t="s">
        <v>2284</v>
      </c>
      <c r="D14" s="1927" t="s">
        <v>2275</v>
      </c>
      <c r="E14" s="458" t="str">
        <f>CONCATENATE(E13,"_CompE")</f>
        <v>Outdoor Coil (Condenser) Cleaning / MFMR_CompE</v>
      </c>
      <c r="F14" s="2113">
        <f>ROUND(($G$22*$G$23*(1/$G$24-1/$G$28)/$G$29),2)</f>
        <v>80.66</v>
      </c>
      <c r="G14" s="2045" t="s">
        <v>737</v>
      </c>
      <c r="H14" s="239">
        <f>VLOOKUP(G14,'CP FACTORS'!$A$3:$B$38, 2, FALSE)</f>
        <v>9.4741810000000004E-4</v>
      </c>
      <c r="I14" s="2015">
        <f>ROUND(F14*H14,6)</f>
        <v>7.6419000000000001E-2</v>
      </c>
      <c r="J14" s="1289">
        <f t="shared" si="0"/>
        <v>2</v>
      </c>
      <c r="K14" s="483">
        <f>K13</f>
        <v>31</v>
      </c>
      <c r="L14" s="291" t="s">
        <v>37</v>
      </c>
      <c r="M14" s="233"/>
      <c r="N14" s="233"/>
      <c r="O14" s="233"/>
      <c r="P14" s="233"/>
      <c r="Q14" s="233"/>
      <c r="R14" s="232"/>
      <c r="S14" s="233"/>
      <c r="T14" s="233"/>
      <c r="U14" s="233"/>
      <c r="V14" s="245" t="str">
        <f t="shared" si="2"/>
        <v>kWh Annual Savings</v>
      </c>
      <c r="W14" s="246"/>
      <c r="X14" s="1294"/>
      <c r="Y14" s="1167">
        <v>80.66</v>
      </c>
      <c r="Z14" s="245"/>
      <c r="AA14" s="245"/>
      <c r="AB14" s="245"/>
      <c r="AC14" s="245"/>
      <c r="AD14" s="245"/>
      <c r="AE14" s="245"/>
      <c r="AF14" s="245"/>
      <c r="AG14" s="245"/>
      <c r="AH14"/>
      <c r="AI14"/>
      <c r="AJ14"/>
      <c r="BB14" s="75">
        <f>(BD14)/(BE14)</f>
        <v>0.47173762251394469</v>
      </c>
      <c r="BC14" s="73" t="str">
        <f>CONCATENATE(G14," ",J14," Year EUL")</f>
        <v>Cooling RES 2 Year EUL</v>
      </c>
      <c r="BD14" s="170">
        <f>(INDEX('Avoided Cost Benefits'!$C$4:$C$857,MATCH(BC14,'Avoided Cost Benefits'!$A$4:$A$857,0)))*F14</f>
        <v>13.802610946609045</v>
      </c>
      <c r="BE14" s="76">
        <f>K14/(1.0595^(2020-2019))</f>
        <v>29.259084473808397</v>
      </c>
    </row>
    <row r="15" spans="1:57" hidden="1" outlineLevel="1" x14ac:dyDescent="0.25">
      <c r="B15" s="233"/>
      <c r="C15" s="231"/>
      <c r="D15" s="232"/>
      <c r="E15" s="232"/>
      <c r="F15" s="2114"/>
      <c r="G15" s="233"/>
      <c r="H15" s="233"/>
      <c r="I15" s="233"/>
      <c r="J15" s="233"/>
      <c r="K15" s="233"/>
      <c r="L15" s="233"/>
      <c r="M15" s="233"/>
      <c r="Q15" s="233"/>
    </row>
    <row r="16" spans="1:57" hidden="1" outlineLevel="1" x14ac:dyDescent="0.25">
      <c r="B16" s="233"/>
      <c r="C16" s="231"/>
      <c r="D16" s="259" t="s">
        <v>617</v>
      </c>
      <c r="E16" s="438"/>
      <c r="F16" s="2115"/>
      <c r="G16" s="233"/>
      <c r="H16" s="233"/>
      <c r="I16" s="233"/>
      <c r="J16" s="233"/>
      <c r="K16" s="233"/>
      <c r="L16" s="233"/>
      <c r="M16" s="233"/>
      <c r="Q16" s="233"/>
    </row>
    <row r="17" spans="1:54" hidden="1" outlineLevel="1" x14ac:dyDescent="0.25">
      <c r="B17" s="233"/>
      <c r="C17" s="231"/>
      <c r="D17" s="1530"/>
      <c r="E17" s="2116"/>
      <c r="F17" s="2115"/>
      <c r="G17" s="233"/>
      <c r="H17" s="233"/>
      <c r="I17" s="233"/>
      <c r="J17" s="233"/>
      <c r="K17" s="233"/>
      <c r="L17" s="233"/>
      <c r="M17" s="233"/>
      <c r="Q17" s="233"/>
    </row>
    <row r="18" spans="1:54" hidden="1" outlineLevel="1" x14ac:dyDescent="0.25">
      <c r="B18" s="233"/>
      <c r="C18" s="231"/>
      <c r="D18" s="1530"/>
      <c r="E18" s="438"/>
      <c r="F18" s="2115"/>
      <c r="G18" s="233"/>
      <c r="H18" s="233"/>
      <c r="I18" s="233"/>
      <c r="J18" s="233"/>
      <c r="K18" s="233"/>
      <c r="L18" s="233"/>
      <c r="M18" s="233"/>
      <c r="N18" s="233"/>
      <c r="O18" s="233"/>
      <c r="P18" s="233"/>
      <c r="Q18" s="233"/>
    </row>
    <row r="19" spans="1:54" hidden="1" outlineLevel="1" x14ac:dyDescent="0.25">
      <c r="B19" s="233"/>
      <c r="C19" s="231"/>
      <c r="D19" s="232"/>
      <c r="E19" s="232"/>
      <c r="F19" s="233"/>
      <c r="G19" s="233"/>
      <c r="H19" s="233"/>
      <c r="I19" s="233"/>
      <c r="J19" s="233"/>
      <c r="K19" s="233"/>
      <c r="L19" s="233"/>
      <c r="M19" s="233"/>
      <c r="N19" s="233"/>
      <c r="O19" s="233"/>
      <c r="P19" s="233"/>
      <c r="Q19" s="233"/>
    </row>
    <row r="20" spans="1:54" ht="15" hidden="1" customHeight="1" outlineLevel="1" x14ac:dyDescent="0.25">
      <c r="B20" s="553"/>
      <c r="C20" s="231"/>
      <c r="D20" s="1701" t="s">
        <v>618</v>
      </c>
      <c r="E20" s="1701" t="s">
        <v>619</v>
      </c>
      <c r="F20" s="1701" t="s">
        <v>669</v>
      </c>
      <c r="G20" s="1641" t="s">
        <v>620</v>
      </c>
      <c r="H20" s="1641" t="s">
        <v>670</v>
      </c>
      <c r="I20" s="2669" t="s">
        <v>621</v>
      </c>
      <c r="J20" s="2669"/>
      <c r="K20" s="2669"/>
      <c r="L20" s="2669"/>
      <c r="M20" s="553"/>
      <c r="N20" s="233"/>
      <c r="O20" s="233"/>
      <c r="P20" s="233"/>
      <c r="Q20" s="553"/>
      <c r="V20" s="55" t="s">
        <v>27</v>
      </c>
      <c r="W20" s="56">
        <f>W$6</f>
        <v>43252</v>
      </c>
      <c r="X20" s="56">
        <f t="shared" ref="X20:AG20" si="7">X$6</f>
        <v>43465</v>
      </c>
      <c r="Y20" s="56">
        <f t="shared" si="7"/>
        <v>43800</v>
      </c>
      <c r="Z20" s="56">
        <f t="shared" si="7"/>
        <v>43862</v>
      </c>
      <c r="AA20" s="56" t="str">
        <f t="shared" si="7"/>
        <v>-</v>
      </c>
      <c r="AB20" s="56" t="str">
        <f t="shared" si="7"/>
        <v>-</v>
      </c>
      <c r="AC20" s="56" t="str">
        <f t="shared" si="7"/>
        <v>-</v>
      </c>
      <c r="AD20" s="56" t="str">
        <f t="shared" si="7"/>
        <v>-</v>
      </c>
      <c r="AE20" s="56" t="str">
        <f t="shared" si="7"/>
        <v>-</v>
      </c>
      <c r="AF20" s="56" t="str">
        <f t="shared" si="7"/>
        <v>-</v>
      </c>
      <c r="AG20" s="56" t="str">
        <f t="shared" si="7"/>
        <v>-</v>
      </c>
    </row>
    <row r="21" spans="1:54" ht="30" hidden="1" customHeight="1" outlineLevel="1" x14ac:dyDescent="0.25">
      <c r="B21" s="327"/>
      <c r="C21" s="266"/>
      <c r="D21" s="2931" t="s">
        <v>1903</v>
      </c>
      <c r="E21" s="2931" t="s">
        <v>1393</v>
      </c>
      <c r="F21" s="1301" t="s">
        <v>790</v>
      </c>
      <c r="G21" s="2165">
        <v>869</v>
      </c>
      <c r="H21" s="1685" t="s">
        <v>953</v>
      </c>
      <c r="I21" s="2947"/>
      <c r="J21" s="2947"/>
      <c r="K21" s="2947"/>
      <c r="L21" s="2947"/>
      <c r="M21" s="327"/>
      <c r="N21" s="233"/>
      <c r="O21" s="233"/>
      <c r="P21" s="233"/>
      <c r="Q21" s="327"/>
      <c r="V21" s="2931" t="s">
        <v>1903</v>
      </c>
      <c r="W21" s="1531">
        <v>869</v>
      </c>
      <c r="X21" s="1531">
        <v>869</v>
      </c>
      <c r="Y21" s="1531">
        <v>869</v>
      </c>
      <c r="Z21" s="1531"/>
      <c r="AA21" s="1531"/>
      <c r="AB21" s="1531"/>
      <c r="AC21" s="1531"/>
      <c r="AD21" s="1531"/>
      <c r="AE21" s="1531"/>
      <c r="AF21" s="1531"/>
      <c r="AG21" s="1531"/>
    </row>
    <row r="22" spans="1:54" ht="30" hidden="1" customHeight="1" outlineLevel="1" x14ac:dyDescent="0.25">
      <c r="B22" s="327"/>
      <c r="C22" s="266"/>
      <c r="D22" s="2939"/>
      <c r="E22" s="2939"/>
      <c r="F22" s="1301" t="s">
        <v>952</v>
      </c>
      <c r="G22" s="2165">
        <v>632</v>
      </c>
      <c r="H22" s="1685" t="s">
        <v>953</v>
      </c>
      <c r="I22" s="2947"/>
      <c r="J22" s="2947"/>
      <c r="K22" s="2947"/>
      <c r="L22" s="2947"/>
      <c r="M22" s="327"/>
      <c r="N22" s="233"/>
      <c r="O22" s="233"/>
      <c r="P22" s="233"/>
      <c r="Q22" s="327"/>
      <c r="V22" s="2946"/>
      <c r="W22" s="1531"/>
      <c r="X22" s="1531"/>
      <c r="Y22" s="1255">
        <v>632</v>
      </c>
      <c r="Z22" s="1255"/>
      <c r="AA22" s="1531"/>
      <c r="AB22" s="1531"/>
      <c r="AC22" s="1531"/>
      <c r="AD22" s="1531"/>
      <c r="AE22" s="1531"/>
      <c r="AF22" s="1531"/>
      <c r="AG22" s="1531"/>
    </row>
    <row r="23" spans="1:54" ht="30" hidden="1" outlineLevel="1" x14ac:dyDescent="0.25">
      <c r="B23" s="327"/>
      <c r="C23" s="266"/>
      <c r="D23" s="1685" t="s">
        <v>1904</v>
      </c>
      <c r="E23" s="1685" t="s">
        <v>1602</v>
      </c>
      <c r="F23" s="1301"/>
      <c r="G23" s="2165">
        <v>20742.434375000001</v>
      </c>
      <c r="H23" s="1685" t="s">
        <v>2285</v>
      </c>
      <c r="I23" s="2947"/>
      <c r="J23" s="2947"/>
      <c r="K23" s="2947"/>
      <c r="L23" s="2947"/>
      <c r="M23" s="327"/>
      <c r="N23" s="233"/>
      <c r="O23" s="233"/>
      <c r="P23" s="233"/>
      <c r="Q23" s="327"/>
      <c r="V23" s="1254" t="str">
        <f t="shared" ref="V23:V31" si="8">D23</f>
        <v>Capacitycool</v>
      </c>
      <c r="W23" s="1531">
        <v>20742.434375000001</v>
      </c>
      <c r="X23" s="1531">
        <v>20742.434375000001</v>
      </c>
      <c r="Y23" s="1531">
        <v>20742.434375000001</v>
      </c>
      <c r="Z23" s="1531"/>
      <c r="AA23" s="1531"/>
      <c r="AB23" s="1531"/>
      <c r="AC23" s="1531"/>
      <c r="AD23" s="1531"/>
      <c r="AE23" s="1531"/>
      <c r="AF23" s="1531"/>
      <c r="AG23" s="1531"/>
    </row>
    <row r="24" spans="1:54" ht="105" hidden="1" customHeight="1" outlineLevel="1" x14ac:dyDescent="0.25">
      <c r="B24" s="327"/>
      <c r="C24" s="266"/>
      <c r="D24" s="1685" t="s">
        <v>2286</v>
      </c>
      <c r="E24" s="1685" t="s">
        <v>1639</v>
      </c>
      <c r="F24" s="1301"/>
      <c r="G24" s="1692">
        <v>11.9</v>
      </c>
      <c r="H24" s="1685" t="s">
        <v>2287</v>
      </c>
      <c r="I24" s="2947" t="s">
        <v>2288</v>
      </c>
      <c r="J24" s="2947"/>
      <c r="K24" s="2947"/>
      <c r="L24" s="2947"/>
      <c r="M24" s="327"/>
      <c r="N24" s="233"/>
      <c r="O24" s="233"/>
      <c r="P24" s="233"/>
      <c r="Q24" s="327"/>
      <c r="V24" s="1254" t="str">
        <f t="shared" si="8"/>
        <v>SEERtest-in</v>
      </c>
      <c r="W24" s="1532">
        <v>11.9</v>
      </c>
      <c r="X24" s="1532">
        <v>11.9</v>
      </c>
      <c r="Y24" s="1532">
        <v>11.9</v>
      </c>
      <c r="Z24" s="1532"/>
      <c r="AA24" s="1532"/>
      <c r="AB24" s="1532"/>
      <c r="AC24" s="1532"/>
      <c r="AD24" s="1532"/>
      <c r="AE24" s="1532"/>
      <c r="AF24" s="1532"/>
      <c r="AG24" s="1532"/>
    </row>
    <row r="25" spans="1:54" hidden="1" outlineLevel="1" x14ac:dyDescent="0.25">
      <c r="B25" s="327"/>
      <c r="C25" s="266"/>
      <c r="D25" s="2931" t="s">
        <v>1906</v>
      </c>
      <c r="E25" s="2931" t="s">
        <v>1646</v>
      </c>
      <c r="F25" s="1301" t="s">
        <v>1640</v>
      </c>
      <c r="G25" s="1692">
        <f>G24*(1+0.056)</f>
        <v>12.566400000000002</v>
      </c>
      <c r="H25" s="1685" t="s">
        <v>1289</v>
      </c>
      <c r="I25" s="2947" t="s">
        <v>1643</v>
      </c>
      <c r="J25" s="2947"/>
      <c r="K25" s="2947"/>
      <c r="L25" s="2947"/>
      <c r="M25" s="327"/>
      <c r="N25" s="233"/>
      <c r="O25" s="233"/>
      <c r="P25" s="233"/>
      <c r="Q25" s="327"/>
      <c r="V25" s="1254" t="str">
        <f t="shared" si="8"/>
        <v>SEERtest-out</v>
      </c>
      <c r="W25" s="1532">
        <f>W24*(1+0.056)</f>
        <v>12.566400000000002</v>
      </c>
      <c r="X25" s="1532">
        <f t="shared" ref="X25" si="9">X24*(1+0.056)</f>
        <v>12.566400000000002</v>
      </c>
      <c r="Y25" s="1532">
        <f>Y24*(1+0.056)</f>
        <v>12.566400000000002</v>
      </c>
      <c r="Z25" s="1532"/>
      <c r="AA25" s="1532"/>
      <c r="AB25" s="1532"/>
      <c r="AC25" s="1532"/>
      <c r="AD25" s="1532"/>
      <c r="AE25" s="1532"/>
      <c r="AF25" s="1532"/>
      <c r="AG25" s="1532"/>
    </row>
    <row r="26" spans="1:54" ht="30" hidden="1" outlineLevel="1" x14ac:dyDescent="0.25">
      <c r="B26" s="327"/>
      <c r="C26" s="266"/>
      <c r="D26" s="2948"/>
      <c r="E26" s="2948"/>
      <c r="F26" s="1301" t="s">
        <v>1641</v>
      </c>
      <c r="G26" s="1692">
        <f>G24*(1+0.284)</f>
        <v>15.2796</v>
      </c>
      <c r="H26" s="1685" t="s">
        <v>1289</v>
      </c>
      <c r="I26" s="2947" t="s">
        <v>1643</v>
      </c>
      <c r="J26" s="2947"/>
      <c r="K26" s="2947"/>
      <c r="L26" s="2947"/>
      <c r="M26" s="327"/>
      <c r="N26" s="233"/>
      <c r="O26" s="233"/>
      <c r="P26" s="233"/>
      <c r="Q26" s="327"/>
      <c r="V26" s="1254">
        <f t="shared" si="8"/>
        <v>0</v>
      </c>
      <c r="W26" s="1532">
        <f>W24*(1+0.284)</f>
        <v>15.2796</v>
      </c>
      <c r="X26" s="1532">
        <f t="shared" ref="X26" si="10">X24*(1+0.284)</f>
        <v>15.2796</v>
      </c>
      <c r="Y26" s="1532">
        <f>Y24*(1+0.284)</f>
        <v>15.2796</v>
      </c>
      <c r="Z26" s="1532"/>
      <c r="AA26" s="1532"/>
      <c r="AB26" s="1532"/>
      <c r="AC26" s="1532"/>
      <c r="AD26" s="1532"/>
      <c r="AE26" s="1532"/>
      <c r="AF26" s="1532"/>
      <c r="AG26" s="1532"/>
    </row>
    <row r="27" spans="1:54" ht="27" hidden="1" customHeight="1" outlineLevel="1" x14ac:dyDescent="0.25">
      <c r="B27" s="327"/>
      <c r="C27" s="266"/>
      <c r="D27" s="2948"/>
      <c r="E27" s="2948"/>
      <c r="F27" s="2292" t="s">
        <v>2289</v>
      </c>
      <c r="G27" s="1692">
        <f>G24*(1+0.038)</f>
        <v>12.352200000000002</v>
      </c>
      <c r="H27" s="1685" t="s">
        <v>1289</v>
      </c>
      <c r="I27" s="2947" t="s">
        <v>1643</v>
      </c>
      <c r="J27" s="2947"/>
      <c r="K27" s="2947"/>
      <c r="L27" s="2947"/>
      <c r="M27" s="327"/>
      <c r="N27" s="233"/>
      <c r="O27" s="233"/>
      <c r="P27" s="233"/>
      <c r="Q27" s="327"/>
      <c r="V27" s="1254">
        <f t="shared" si="8"/>
        <v>0</v>
      </c>
      <c r="W27" s="1532">
        <f>W24*(1+0.038)</f>
        <v>12.352200000000002</v>
      </c>
      <c r="X27" s="1532">
        <f t="shared" ref="X27" si="11">X24*(1+0.038)</f>
        <v>12.352200000000002</v>
      </c>
      <c r="Y27" s="1532">
        <f>Y24*(1+0.038)</f>
        <v>12.352200000000002</v>
      </c>
      <c r="Z27" s="1532"/>
      <c r="AA27" s="1532"/>
      <c r="AB27" s="1532"/>
      <c r="AC27" s="1532"/>
      <c r="AD27" s="1532"/>
      <c r="AE27" s="1532"/>
      <c r="AF27" s="1532"/>
      <c r="AG27" s="1532"/>
    </row>
    <row r="28" spans="1:54" hidden="1" outlineLevel="1" x14ac:dyDescent="0.25">
      <c r="B28" s="327"/>
      <c r="C28" s="266"/>
      <c r="D28" s="2932"/>
      <c r="E28" s="2932"/>
      <c r="F28" s="2292" t="s">
        <v>2290</v>
      </c>
      <c r="G28" s="1692">
        <f>G24*(1+0.079)</f>
        <v>12.8401</v>
      </c>
      <c r="H28" s="1685" t="s">
        <v>1289</v>
      </c>
      <c r="I28" s="2947" t="s">
        <v>1643</v>
      </c>
      <c r="J28" s="2947"/>
      <c r="K28" s="2947"/>
      <c r="L28" s="2947"/>
      <c r="M28" s="327"/>
      <c r="N28" s="233"/>
      <c r="O28" s="233"/>
      <c r="P28" s="233"/>
      <c r="Q28" s="327"/>
      <c r="V28" s="1254">
        <f t="shared" si="8"/>
        <v>0</v>
      </c>
      <c r="W28" s="1532">
        <f>W24*(1+0.079)</f>
        <v>12.8401</v>
      </c>
      <c r="X28" s="1532">
        <f t="shared" ref="X28" si="12">X24*(1+0.079)</f>
        <v>12.8401</v>
      </c>
      <c r="Y28" s="1532">
        <f>Y24*(1+0.079)</f>
        <v>12.8401</v>
      </c>
      <c r="Z28" s="1532"/>
      <c r="AA28" s="1532"/>
      <c r="AB28" s="1532"/>
      <c r="AC28" s="1532"/>
      <c r="AD28" s="1532"/>
      <c r="AE28" s="1532"/>
      <c r="AF28" s="1532"/>
      <c r="AG28" s="1532"/>
    </row>
    <row r="29" spans="1:54" hidden="1" outlineLevel="1" x14ac:dyDescent="0.25">
      <c r="B29" s="2293"/>
      <c r="C29" s="2294"/>
      <c r="D29" s="1305">
        <v>1000</v>
      </c>
      <c r="E29" s="1533" t="s">
        <v>1647</v>
      </c>
      <c r="F29" s="1301"/>
      <c r="G29" s="2165">
        <v>1000</v>
      </c>
      <c r="H29" s="1642" t="s">
        <v>1648</v>
      </c>
      <c r="I29" s="2995"/>
      <c r="J29" s="2995"/>
      <c r="K29" s="2995"/>
      <c r="L29" s="2995"/>
      <c r="V29" s="1254">
        <f t="shared" si="8"/>
        <v>1000</v>
      </c>
      <c r="W29" s="1531">
        <v>1000</v>
      </c>
      <c r="X29" s="1531">
        <v>1000</v>
      </c>
      <c r="Y29" s="1531">
        <v>1000</v>
      </c>
      <c r="Z29" s="1531"/>
      <c r="AA29" s="1531"/>
      <c r="AB29" s="1531"/>
      <c r="AC29" s="1531"/>
      <c r="AD29" s="1531"/>
      <c r="AE29" s="1531"/>
      <c r="AF29" s="1531"/>
      <c r="AG29" s="1531"/>
    </row>
    <row r="30" spans="1:54" s="141" customFormat="1" hidden="1" outlineLevel="1" x14ac:dyDescent="0.25">
      <c r="A30" s="486"/>
      <c r="B30" s="486"/>
      <c r="C30" s="231"/>
      <c r="D30" s="1711" t="str">
        <f>$J$6</f>
        <v>EUL</v>
      </c>
      <c r="E30" s="1533" t="str">
        <f>'HVAC Deemed Table'!E80</f>
        <v>End Useful Life</v>
      </c>
      <c r="F30" s="1301"/>
      <c r="G30" s="1289">
        <v>2</v>
      </c>
      <c r="H30" s="1642"/>
      <c r="I30" s="2995"/>
      <c r="J30" s="2995"/>
      <c r="K30" s="2995"/>
      <c r="L30" s="2995"/>
      <c r="M30" s="327"/>
      <c r="N30" s="327"/>
      <c r="O30" s="327"/>
      <c r="P30" s="327"/>
      <c r="Q30" s="327"/>
      <c r="R30" s="327"/>
      <c r="S30" s="327"/>
      <c r="T30" s="327"/>
      <c r="U30" s="327"/>
      <c r="V30" s="433" t="str">
        <f t="shared" si="8"/>
        <v>EUL</v>
      </c>
      <c r="W30" s="501">
        <v>2</v>
      </c>
      <c r="X30" s="501">
        <v>2</v>
      </c>
      <c r="Y30" s="1289">
        <v>2</v>
      </c>
      <c r="Z30" s="1289"/>
      <c r="AA30" s="503"/>
      <c r="AB30" s="503"/>
      <c r="AC30" s="503"/>
      <c r="AD30" s="503"/>
      <c r="AE30" s="503"/>
      <c r="AF30" s="503"/>
      <c r="AG30" s="503"/>
      <c r="AU30" s="249"/>
      <c r="BB30" s="1299"/>
    </row>
    <row r="31" spans="1:54" s="141" customFormat="1" ht="30" hidden="1" outlineLevel="1" x14ac:dyDescent="0.25">
      <c r="A31" s="486"/>
      <c r="B31" s="486"/>
      <c r="C31" s="231"/>
      <c r="D31" s="3149" t="str">
        <f t="shared" ref="D31" si="13">$K$6</f>
        <v>Inc. Cost</v>
      </c>
      <c r="E31" s="2997" t="str">
        <f>'HVAC Deemed Table'!E92</f>
        <v>Incremental Cost ($)</v>
      </c>
      <c r="F31" s="1301" t="str">
        <f>E7</f>
        <v>General Tune-Up (no charge or coil clean) / MFMR</v>
      </c>
      <c r="G31" s="483">
        <v>70</v>
      </c>
      <c r="H31" s="1642"/>
      <c r="I31" s="2995"/>
      <c r="J31" s="2995"/>
      <c r="K31" s="2995"/>
      <c r="L31" s="2995"/>
      <c r="M31" s="327"/>
      <c r="N31" s="327"/>
      <c r="O31" s="327"/>
      <c r="P31" s="327"/>
      <c r="Q31" s="327"/>
      <c r="R31" s="327"/>
      <c r="S31" s="327"/>
      <c r="T31" s="327"/>
      <c r="U31" s="327"/>
      <c r="V31" s="3131" t="str">
        <f t="shared" si="8"/>
        <v>Inc. Cost</v>
      </c>
      <c r="W31" s="501">
        <v>70</v>
      </c>
      <c r="X31" s="501">
        <v>70</v>
      </c>
      <c r="Y31" s="483">
        <v>70</v>
      </c>
      <c r="Z31" s="483"/>
      <c r="AA31" s="503"/>
      <c r="AB31" s="503"/>
      <c r="AC31" s="503"/>
      <c r="AD31" s="503"/>
      <c r="AE31" s="503"/>
      <c r="AF31" s="503"/>
      <c r="AG31" s="503"/>
      <c r="AU31" s="249"/>
      <c r="BB31" s="1299"/>
    </row>
    <row r="32" spans="1:54" s="141" customFormat="1" ht="30" hidden="1" outlineLevel="1" x14ac:dyDescent="0.25">
      <c r="A32" s="486"/>
      <c r="B32" s="486"/>
      <c r="C32" s="231"/>
      <c r="D32" s="2689"/>
      <c r="E32" s="2857"/>
      <c r="F32" s="1301" t="str">
        <f>E9</f>
        <v>AC Tune-up / refrigerant charge / MFMR</v>
      </c>
      <c r="G32" s="483">
        <v>81</v>
      </c>
      <c r="H32" s="1642"/>
      <c r="I32" s="2995"/>
      <c r="J32" s="2995"/>
      <c r="K32" s="2995"/>
      <c r="L32" s="2995"/>
      <c r="M32" s="327"/>
      <c r="N32" s="327"/>
      <c r="O32" s="327"/>
      <c r="P32" s="327"/>
      <c r="Q32" s="327"/>
      <c r="R32" s="327"/>
      <c r="S32" s="327"/>
      <c r="T32" s="327"/>
      <c r="U32" s="327"/>
      <c r="V32" s="2857"/>
      <c r="W32" s="510">
        <v>81</v>
      </c>
      <c r="X32" s="510">
        <v>81</v>
      </c>
      <c r="Y32" s="483">
        <v>81</v>
      </c>
      <c r="Z32" s="483"/>
      <c r="AA32" s="490"/>
      <c r="AB32" s="490"/>
      <c r="AC32" s="490"/>
      <c r="AD32" s="490"/>
      <c r="AE32" s="490"/>
      <c r="AF32" s="490"/>
      <c r="AG32" s="490"/>
      <c r="AU32" s="249"/>
      <c r="BB32" s="1299"/>
    </row>
    <row r="33" spans="1:57" s="141" customFormat="1" ht="30" hidden="1" outlineLevel="1" x14ac:dyDescent="0.25">
      <c r="A33" s="486"/>
      <c r="B33" s="486"/>
      <c r="C33" s="231"/>
      <c r="D33" s="2689"/>
      <c r="E33" s="2857"/>
      <c r="F33" s="1301" t="str">
        <f>E11</f>
        <v>Indoor Coil (Evaporator) Cleaning / MFMR</v>
      </c>
      <c r="G33" s="483">
        <v>63</v>
      </c>
      <c r="H33" s="1642"/>
      <c r="I33" s="2995"/>
      <c r="J33" s="2995"/>
      <c r="K33" s="2995"/>
      <c r="L33" s="2995"/>
      <c r="M33" s="327"/>
      <c r="N33" s="327"/>
      <c r="O33" s="327"/>
      <c r="P33" s="327"/>
      <c r="Q33" s="327"/>
      <c r="R33" s="327"/>
      <c r="S33" s="327"/>
      <c r="T33" s="327"/>
      <c r="U33" s="327"/>
      <c r="V33" s="2857"/>
      <c r="W33" s="501">
        <v>63</v>
      </c>
      <c r="X33" s="501">
        <v>63</v>
      </c>
      <c r="Y33" s="483">
        <v>63</v>
      </c>
      <c r="Z33" s="483"/>
      <c r="AA33" s="503"/>
      <c r="AB33" s="503"/>
      <c r="AC33" s="503"/>
      <c r="AD33" s="503"/>
      <c r="AE33" s="503"/>
      <c r="AF33" s="503"/>
      <c r="AG33" s="503"/>
      <c r="AU33" s="249"/>
      <c r="BB33" s="1299"/>
    </row>
    <row r="34" spans="1:57" s="141" customFormat="1" ht="30" hidden="1" outlineLevel="1" x14ac:dyDescent="0.25">
      <c r="A34" s="486"/>
      <c r="B34" s="486"/>
      <c r="C34" s="231"/>
      <c r="D34" s="2683"/>
      <c r="E34" s="2939"/>
      <c r="F34" s="1301" t="str">
        <f>E13</f>
        <v>Outdoor Coil (Condenser) Cleaning / MFMR</v>
      </c>
      <c r="G34" s="483">
        <v>31</v>
      </c>
      <c r="H34" s="1642"/>
      <c r="I34" s="2995"/>
      <c r="J34" s="2995"/>
      <c r="K34" s="2995"/>
      <c r="L34" s="2995"/>
      <c r="M34" s="327"/>
      <c r="N34" s="327"/>
      <c r="O34" s="327"/>
      <c r="P34" s="327"/>
      <c r="Q34" s="327"/>
      <c r="R34" s="327"/>
      <c r="S34" s="327"/>
      <c r="T34" s="327"/>
      <c r="U34" s="327"/>
      <c r="V34" s="2939"/>
      <c r="W34" s="510">
        <v>31</v>
      </c>
      <c r="X34" s="510">
        <v>31</v>
      </c>
      <c r="Y34" s="483">
        <v>31</v>
      </c>
      <c r="Z34" s="483"/>
      <c r="AA34" s="490"/>
      <c r="AB34" s="490"/>
      <c r="AC34" s="490"/>
      <c r="AD34" s="490"/>
      <c r="AE34" s="490"/>
      <c r="AF34" s="490"/>
      <c r="AG34" s="490"/>
      <c r="AU34" s="249"/>
      <c r="BB34" s="1299"/>
    </row>
    <row r="35" spans="1:57" collapsed="1" x14ac:dyDescent="0.25">
      <c r="B35" s="2293"/>
      <c r="C35" s="2294"/>
      <c r="D35" s="1534"/>
      <c r="E35" s="1534"/>
      <c r="F35" s="2293"/>
      <c r="G35" s="2293"/>
      <c r="H35" s="2293"/>
      <c r="I35" s="2293"/>
      <c r="J35" s="2293"/>
      <c r="K35" s="2293"/>
      <c r="L35" s="2293"/>
    </row>
    <row r="36" spans="1:57" x14ac:dyDescent="0.25">
      <c r="B36" s="2293"/>
      <c r="C36" s="2294"/>
      <c r="D36" s="1534"/>
      <c r="E36" s="1534"/>
      <c r="F36" s="2293"/>
      <c r="G36" s="2293"/>
      <c r="H36" s="2293"/>
      <c r="I36" s="2293"/>
      <c r="J36" s="2293"/>
      <c r="K36" s="2293"/>
      <c r="L36" s="2293"/>
    </row>
    <row r="37" spans="1:57" x14ac:dyDescent="0.25">
      <c r="B37" s="2639" t="s">
        <v>1678</v>
      </c>
      <c r="C37" s="2640"/>
      <c r="D37" s="2640"/>
      <c r="E37" s="2640"/>
      <c r="F37" s="2640"/>
      <c r="G37" s="2640"/>
      <c r="H37" s="2640"/>
      <c r="I37" s="2641"/>
      <c r="J37" s="2641"/>
      <c r="K37" s="2641"/>
      <c r="L37" s="2641"/>
      <c r="M37" s="2641"/>
      <c r="N37" s="2641"/>
      <c r="O37" s="2641"/>
      <c r="P37" s="2641"/>
      <c r="Q37" s="2642"/>
      <c r="V37" s="2639" t="str">
        <f>B37</f>
        <v>Ceiling Insulation</v>
      </c>
      <c r="W37" s="2640"/>
      <c r="X37" s="2640"/>
      <c r="Y37" s="2640"/>
      <c r="Z37" s="2640"/>
      <c r="AA37" s="2640"/>
      <c r="AB37" s="2640"/>
      <c r="AC37" s="2615"/>
      <c r="AD37" s="2615"/>
      <c r="AE37" s="2615"/>
      <c r="AF37" s="2615"/>
      <c r="AG37" s="2615"/>
      <c r="AH37" s="2615"/>
      <c r="AI37" s="2616"/>
    </row>
    <row r="38" spans="1:57" x14ac:dyDescent="0.25">
      <c r="B38" s="1926"/>
      <c r="C38" s="329"/>
      <c r="D38" s="573"/>
      <c r="E38" s="573"/>
      <c r="F38" s="330"/>
      <c r="G38" s="330"/>
      <c r="H38" s="330"/>
      <c r="I38" s="330"/>
      <c r="J38" s="330"/>
      <c r="K38" s="330"/>
      <c r="L38" s="1902"/>
      <c r="M38" s="355"/>
      <c r="N38" s="355"/>
      <c r="O38" s="355"/>
      <c r="P38" s="355"/>
      <c r="Q38" s="355"/>
    </row>
    <row r="39" spans="1:57" ht="45" x14ac:dyDescent="0.25">
      <c r="B39" s="1580"/>
      <c r="C39" s="1641" t="s">
        <v>17</v>
      </c>
      <c r="D39" s="1641" t="s">
        <v>662</v>
      </c>
      <c r="E39" s="1641" t="s">
        <v>19</v>
      </c>
      <c r="F39" s="1641" t="s">
        <v>20</v>
      </c>
      <c r="G39" s="1641" t="s">
        <v>21</v>
      </c>
      <c r="H39" s="1641" t="s">
        <v>22</v>
      </c>
      <c r="I39" s="1641" t="s">
        <v>936</v>
      </c>
      <c r="J39" s="1641" t="s">
        <v>937</v>
      </c>
      <c r="K39" s="1641" t="s">
        <v>23</v>
      </c>
      <c r="L39" s="1646" t="s">
        <v>24</v>
      </c>
      <c r="M39" s="1641" t="s">
        <v>25</v>
      </c>
      <c r="N39" s="1641" t="s">
        <v>1679</v>
      </c>
      <c r="V39" s="55" t="s">
        <v>27</v>
      </c>
      <c r="W39" s="56">
        <f>W$6</f>
        <v>43252</v>
      </c>
      <c r="X39" s="56">
        <f t="shared" ref="X39:AG39" si="14">X$6</f>
        <v>43465</v>
      </c>
      <c r="Y39" s="56">
        <f t="shared" si="14"/>
        <v>43800</v>
      </c>
      <c r="Z39" s="56">
        <f t="shared" si="14"/>
        <v>43862</v>
      </c>
      <c r="AA39" s="56" t="str">
        <f t="shared" si="14"/>
        <v>-</v>
      </c>
      <c r="AB39" s="56" t="str">
        <f t="shared" si="14"/>
        <v>-</v>
      </c>
      <c r="AC39" s="56" t="str">
        <f t="shared" si="14"/>
        <v>-</v>
      </c>
      <c r="AD39" s="56" t="str">
        <f t="shared" si="14"/>
        <v>-</v>
      </c>
      <c r="AE39" s="56" t="str">
        <f t="shared" si="14"/>
        <v>-</v>
      </c>
      <c r="AF39" s="56" t="str">
        <f t="shared" si="14"/>
        <v>-</v>
      </c>
      <c r="AG39" s="56" t="str">
        <f t="shared" si="14"/>
        <v>-</v>
      </c>
      <c r="BB39" s="57" t="str">
        <f>$BB$6</f>
        <v>TRC (2020)</v>
      </c>
      <c r="BC39" s="103" t="str">
        <f>$BC$6</f>
        <v>Benefit Lookup</v>
      </c>
      <c r="BD39" s="883" t="str">
        <f>$BD$6</f>
        <v>Benefits (2019 $)</v>
      </c>
      <c r="BE39" s="334" t="str">
        <f>$BE$6</f>
        <v>Incremental Cost (2019 $)</v>
      </c>
    </row>
    <row r="40" spans="1:57" x14ac:dyDescent="0.25">
      <c r="B40" s="1580"/>
      <c r="C40" s="2544" t="s">
        <v>3432</v>
      </c>
      <c r="D40" s="1927" t="s">
        <v>2272</v>
      </c>
      <c r="E40" s="1670" t="s">
        <v>2291</v>
      </c>
      <c r="F40" s="788">
        <f>ROUND(I40+J40,2)</f>
        <v>1.06</v>
      </c>
      <c r="G40" s="1927" t="s">
        <v>1653</v>
      </c>
      <c r="H40" s="239">
        <f>VLOOKUP(G40,'CP FACTORS'!$A$3:$B$38, 2, FALSE)</f>
        <v>4.6608050000000002E-4</v>
      </c>
      <c r="I40" s="1276">
        <f t="shared" ref="I40:I49" si="15">F58*(1/(F68+5)-1/(F78+5))*F88*(1-F$98)*F$99*24*F$100/(F101*3412)+(F111*F$121*29.3)</f>
        <v>0.95509376709652194</v>
      </c>
      <c r="J40" s="1928">
        <f t="shared" ref="J40:J49" si="16">F124*(1/(F68+5)-1/(F78+5))*F88*(1-F$98)*F$122*24*F$123/(F134*1000)</f>
        <v>0.10025449318181817</v>
      </c>
      <c r="K40" s="1178">
        <f>ROUND(H40*F40,6)</f>
        <v>4.9399999999999997E-4</v>
      </c>
      <c r="L40" s="1276">
        <f t="shared" ref="L40:L49" si="17">$F$144</f>
        <v>25</v>
      </c>
      <c r="M40" s="1535">
        <f t="shared" ref="M40:M49" si="18">F145</f>
        <v>2.1249043458397581</v>
      </c>
      <c r="N40" s="1276">
        <f t="shared" ref="N40:N49" si="19">F88</f>
        <v>1</v>
      </c>
      <c r="V40" s="245" t="str">
        <f>F39</f>
        <v>kWh Annual Savings</v>
      </c>
      <c r="W40" s="865">
        <v>924.01016928670083</v>
      </c>
      <c r="X40" s="1416">
        <v>924.01016928670083</v>
      </c>
      <c r="Y40" s="2343">
        <v>1.06</v>
      </c>
      <c r="Z40" s="245"/>
      <c r="AA40" s="245"/>
      <c r="AB40" s="245"/>
      <c r="AC40" s="245"/>
      <c r="AD40" s="245"/>
      <c r="AE40" s="245"/>
      <c r="AF40" s="245"/>
      <c r="AG40" s="245"/>
      <c r="BB40" s="68">
        <f t="shared" ref="BB40:BB49" si="20">(BD40)/(BE40)</f>
        <v>0.73564454661671597</v>
      </c>
      <c r="BC40" s="69" t="str">
        <f>CONCATENATE(G40," ",L40," Year EUL")</f>
        <v>Building Shell RES 25 Year EUL</v>
      </c>
      <c r="BD40" s="162">
        <f>(INDEX('Avoided Cost Benefits'!$C$4:$C$857,MATCH(BC40,'Avoided Cost Benefits'!$A$4:$A$857,0)))*F40</f>
        <v>1.4753886683333441</v>
      </c>
      <c r="BE40" s="70">
        <f>M40/(1.0595^(2020-2019))</f>
        <v>2.0055727662480018</v>
      </c>
    </row>
    <row r="41" spans="1:57" x14ac:dyDescent="0.25">
      <c r="B41" s="1580"/>
      <c r="C41" s="2544" t="s">
        <v>3433</v>
      </c>
      <c r="D41" s="1927" t="s">
        <v>2272</v>
      </c>
      <c r="E41" s="1670" t="s">
        <v>2292</v>
      </c>
      <c r="F41" s="788">
        <f t="shared" ref="F41:F49" si="21">ROUND(I41+J41,2)</f>
        <v>0.53</v>
      </c>
      <c r="G41" s="1927" t="s">
        <v>1653</v>
      </c>
      <c r="H41" s="239">
        <f>VLOOKUP(G41,'CP FACTORS'!$A$3:$B$38, 2, FALSE)</f>
        <v>4.6608050000000002E-4</v>
      </c>
      <c r="I41" s="1276">
        <f t="shared" si="15"/>
        <v>0.42227362172751165</v>
      </c>
      <c r="J41" s="1928">
        <f t="shared" si="16"/>
        <v>0.11016977272727271</v>
      </c>
      <c r="K41" s="1178">
        <f t="shared" ref="K41:K49" si="22">ROUND(H41*F41,6)</f>
        <v>2.4699999999999999E-4</v>
      </c>
      <c r="L41" s="1276">
        <f t="shared" si="17"/>
        <v>25</v>
      </c>
      <c r="M41" s="1535">
        <f t="shared" si="18"/>
        <v>2.1249043458397581</v>
      </c>
      <c r="N41" s="1276">
        <f t="shared" si="19"/>
        <v>1</v>
      </c>
      <c r="V41" s="245" t="str">
        <f>V40</f>
        <v>kWh Annual Savings</v>
      </c>
      <c r="W41" s="865">
        <v>466.18081401488644</v>
      </c>
      <c r="X41" s="1416">
        <v>466.18081401488644</v>
      </c>
      <c r="Y41" s="2343">
        <v>0.53</v>
      </c>
      <c r="Z41" s="245"/>
      <c r="AA41" s="245"/>
      <c r="AB41" s="245"/>
      <c r="AC41" s="245"/>
      <c r="AD41" s="245"/>
      <c r="AE41" s="245"/>
      <c r="AF41" s="245"/>
      <c r="AG41" s="245"/>
      <c r="BB41" s="72">
        <f t="shared" si="20"/>
        <v>0.36782227330835798</v>
      </c>
      <c r="BC41" s="73" t="str">
        <f t="shared" ref="BC41:BC49" si="23">CONCATENATE(G41," ",L41," Year EUL")</f>
        <v>Building Shell RES 25 Year EUL</v>
      </c>
      <c r="BD41" s="165">
        <f>(INDEX('Avoided Cost Benefits'!$C$4:$C$857,MATCH(BC41,'Avoided Cost Benefits'!$A$4:$A$857,0)))*F41</f>
        <v>0.73769433416667207</v>
      </c>
      <c r="BE41" s="74">
        <f t="shared" ref="BE41:BE49" si="24">M41/(1.0595^(2020-2019))</f>
        <v>2.0055727662480018</v>
      </c>
    </row>
    <row r="42" spans="1:57" x14ac:dyDescent="0.25">
      <c r="B42" s="1580"/>
      <c r="C42" s="2544" t="s">
        <v>3434</v>
      </c>
      <c r="D42" s="1927" t="s">
        <v>2272</v>
      </c>
      <c r="E42" s="1670" t="s">
        <v>2293</v>
      </c>
      <c r="F42" s="788">
        <f t="shared" si="21"/>
        <v>1.71</v>
      </c>
      <c r="G42" s="1927" t="s">
        <v>1653</v>
      </c>
      <c r="H42" s="239">
        <f>VLOOKUP(G42,'CP FACTORS'!$A$3:$B$38, 2, FALSE)</f>
        <v>4.6608050000000002E-4</v>
      </c>
      <c r="I42" s="1276">
        <f t="shared" si="15"/>
        <v>1.5511297270139006</v>
      </c>
      <c r="J42" s="1928">
        <f t="shared" si="16"/>
        <v>0.1628193272727273</v>
      </c>
      <c r="K42" s="1178">
        <f t="shared" si="22"/>
        <v>7.9699999999999997E-4</v>
      </c>
      <c r="L42" s="1276">
        <f t="shared" si="17"/>
        <v>25</v>
      </c>
      <c r="M42" s="1535">
        <f t="shared" si="18"/>
        <v>1.1631103074141049</v>
      </c>
      <c r="N42" s="1276">
        <f t="shared" si="19"/>
        <v>1</v>
      </c>
      <c r="V42" s="245" t="str">
        <f t="shared" ref="V42:V49" si="25">V41</f>
        <v>kWh Annual Savings</v>
      </c>
      <c r="W42" s="865">
        <v>1232.157975126657</v>
      </c>
      <c r="X42" s="1416">
        <v>1232.157975126657</v>
      </c>
      <c r="Y42" s="2343">
        <v>1.71</v>
      </c>
      <c r="Z42" s="245"/>
      <c r="AA42" s="245"/>
      <c r="AB42" s="245"/>
      <c r="AC42" s="245"/>
      <c r="AD42" s="245"/>
      <c r="AE42" s="245"/>
      <c r="AF42" s="245"/>
      <c r="AG42" s="245"/>
      <c r="BB42" s="72">
        <f t="shared" si="20"/>
        <v>2.1680871992176587</v>
      </c>
      <c r="BC42" s="73" t="str">
        <f t="shared" si="23"/>
        <v>Building Shell RES 25 Year EUL</v>
      </c>
      <c r="BD42" s="165">
        <f>(INDEX('Avoided Cost Benefits'!$C$4:$C$857,MATCH(BC42,'Avoided Cost Benefits'!$A$4:$A$857,0)))*F42</f>
        <v>2.3801081347641682</v>
      </c>
      <c r="BE42" s="74">
        <f t="shared" si="24"/>
        <v>1.0977917011931144</v>
      </c>
    </row>
    <row r="43" spans="1:57" x14ac:dyDescent="0.25">
      <c r="B43" s="1580"/>
      <c r="C43" s="2544" t="s">
        <v>3435</v>
      </c>
      <c r="D43" s="1927" t="s">
        <v>2272</v>
      </c>
      <c r="E43" s="1670" t="s">
        <v>2294</v>
      </c>
      <c r="F43" s="788">
        <f t="shared" si="21"/>
        <v>0.86</v>
      </c>
      <c r="G43" s="1927" t="s">
        <v>1653</v>
      </c>
      <c r="H43" s="239">
        <f>VLOOKUP(G43,'CP FACTORS'!$A$3:$B$38, 2, FALSE)</f>
        <v>4.6608050000000002E-4</v>
      </c>
      <c r="I43" s="1276">
        <f t="shared" si="15"/>
        <v>0.68579776160257533</v>
      </c>
      <c r="J43" s="1928">
        <f t="shared" si="16"/>
        <v>0.17892233766233767</v>
      </c>
      <c r="K43" s="1178">
        <f t="shared" si="22"/>
        <v>4.0099999999999999E-4</v>
      </c>
      <c r="L43" s="1276">
        <f t="shared" si="17"/>
        <v>25</v>
      </c>
      <c r="M43" s="1535">
        <f t="shared" si="18"/>
        <v>1.1631103074141049</v>
      </c>
      <c r="N43" s="1276">
        <f t="shared" si="19"/>
        <v>1</v>
      </c>
      <c r="V43" s="245" t="str">
        <f t="shared" si="25"/>
        <v>kWh Annual Savings</v>
      </c>
      <c r="W43" s="865">
        <v>621.647279361546</v>
      </c>
      <c r="X43" s="1416">
        <v>621.647279361546</v>
      </c>
      <c r="Y43" s="2343">
        <v>0.86</v>
      </c>
      <c r="Z43" s="245"/>
      <c r="AA43" s="245"/>
      <c r="AB43" s="245"/>
      <c r="AC43" s="245"/>
      <c r="AD43" s="245"/>
      <c r="AE43" s="245"/>
      <c r="AF43" s="245"/>
      <c r="AG43" s="245"/>
      <c r="BB43" s="72">
        <f t="shared" si="20"/>
        <v>1.0903830358638518</v>
      </c>
      <c r="BC43" s="73" t="str">
        <f t="shared" si="23"/>
        <v>Building Shell RES 25 Year EUL</v>
      </c>
      <c r="BD43" s="165">
        <f>(INDEX('Avoided Cost Benefits'!$C$4:$C$857,MATCH(BC43,'Avoided Cost Benefits'!$A$4:$A$857,0)))*F43</f>
        <v>1.1970134478930905</v>
      </c>
      <c r="BE43" s="74">
        <f t="shared" si="24"/>
        <v>1.0977917011931144</v>
      </c>
    </row>
    <row r="44" spans="1:57" x14ac:dyDescent="0.25">
      <c r="B44" s="1580"/>
      <c r="C44" s="2544" t="s">
        <v>3436</v>
      </c>
      <c r="D44" s="1927" t="s">
        <v>2272</v>
      </c>
      <c r="E44" s="1670" t="s">
        <v>2295</v>
      </c>
      <c r="F44" s="788">
        <f t="shared" si="21"/>
        <v>1.84</v>
      </c>
      <c r="G44" s="1927" t="s">
        <v>1653</v>
      </c>
      <c r="H44" s="239">
        <f>VLOOKUP(G44,'CP FACTORS'!$A$3:$B$38, 2, FALSE)</f>
        <v>4.6608050000000002E-4</v>
      </c>
      <c r="I44" s="1276">
        <f t="shared" si="15"/>
        <v>1.6665626369312141</v>
      </c>
      <c r="J44" s="1928">
        <f t="shared" si="16"/>
        <v>0.17493611441860468</v>
      </c>
      <c r="K44" s="1178">
        <f t="shared" si="22"/>
        <v>8.5800000000000004E-4</v>
      </c>
      <c r="L44" s="1276">
        <f t="shared" si="17"/>
        <v>25</v>
      </c>
      <c r="M44" s="1535">
        <f t="shared" si="18"/>
        <v>1.6810404785088331</v>
      </c>
      <c r="N44" s="1276">
        <f t="shared" si="19"/>
        <v>1</v>
      </c>
      <c r="V44" s="245" t="str">
        <f t="shared" si="25"/>
        <v>kWh Annual Savings</v>
      </c>
      <c r="W44" s="865">
        <v>1323.8534523453845</v>
      </c>
      <c r="X44" s="1416">
        <v>1323.8534523453845</v>
      </c>
      <c r="Y44" s="2343">
        <v>1.84</v>
      </c>
      <c r="Z44" s="245"/>
      <c r="AA44" s="245"/>
      <c r="AB44" s="245"/>
      <c r="AC44" s="245"/>
      <c r="AD44" s="245"/>
      <c r="AE44" s="245"/>
      <c r="AF44" s="245"/>
      <c r="AG44" s="245"/>
      <c r="BB44" s="72">
        <f t="shared" si="20"/>
        <v>1.6141399677218247</v>
      </c>
      <c r="BC44" s="73" t="str">
        <f t="shared" si="23"/>
        <v>Building Shell RES 25 Year EUL</v>
      </c>
      <c r="BD44" s="165">
        <f>(INDEX('Avoided Cost Benefits'!$C$4:$C$857,MATCH(BC44,'Avoided Cost Benefits'!$A$4:$A$857,0)))*F44</f>
        <v>2.5610520280503333</v>
      </c>
      <c r="BE44" s="74">
        <f t="shared" si="24"/>
        <v>1.5866356569219753</v>
      </c>
    </row>
    <row r="45" spans="1:57" x14ac:dyDescent="0.25">
      <c r="B45" s="1580"/>
      <c r="C45" s="2544" t="s">
        <v>3437</v>
      </c>
      <c r="D45" s="1927" t="s">
        <v>2272</v>
      </c>
      <c r="E45" s="1670" t="s">
        <v>2296</v>
      </c>
      <c r="F45" s="788">
        <f>ROUND(I45+J45,2)</f>
        <v>0.93</v>
      </c>
      <c r="G45" s="1927" t="s">
        <v>1653</v>
      </c>
      <c r="H45" s="239">
        <f>VLOOKUP(G45,'CP FACTORS'!$A$3:$B$38, 2, FALSE)</f>
        <v>4.6608050000000002E-4</v>
      </c>
      <c r="I45" s="1276">
        <f t="shared" si="15"/>
        <v>0.73683387409392986</v>
      </c>
      <c r="J45" s="1928">
        <f t="shared" si="16"/>
        <v>0.19223748837209306</v>
      </c>
      <c r="K45" s="1178">
        <f t="shared" si="22"/>
        <v>4.3300000000000001E-4</v>
      </c>
      <c r="L45" s="1276">
        <f t="shared" si="17"/>
        <v>25</v>
      </c>
      <c r="M45" s="1535">
        <f t="shared" si="18"/>
        <v>1.6810404785088331</v>
      </c>
      <c r="N45" s="1276">
        <f t="shared" si="19"/>
        <v>1</v>
      </c>
      <c r="V45" s="245" t="str">
        <f t="shared" si="25"/>
        <v>kWh Annual Savings</v>
      </c>
      <c r="W45" s="865">
        <v>667.90940247682386</v>
      </c>
      <c r="X45" s="1416">
        <v>667.90940247682386</v>
      </c>
      <c r="Y45" s="2343">
        <v>0.93</v>
      </c>
      <c r="Z45" s="245"/>
      <c r="AA45" s="245"/>
      <c r="AB45" s="245"/>
      <c r="AC45" s="245"/>
      <c r="AD45" s="245"/>
      <c r="AE45" s="245"/>
      <c r="AF45" s="245"/>
      <c r="AG45" s="245"/>
      <c r="BB45" s="72">
        <f t="shared" si="20"/>
        <v>0.8158424836854874</v>
      </c>
      <c r="BC45" s="73" t="str">
        <f t="shared" si="23"/>
        <v>Building Shell RES 25 Year EUL</v>
      </c>
      <c r="BD45" s="165">
        <f>(INDEX('Avoided Cost Benefits'!$C$4:$C$857,MATCH(BC45,'Avoided Cost Benefits'!$A$4:$A$857,0)))*F45</f>
        <v>1.2944447750471793</v>
      </c>
      <c r="BE45" s="74">
        <f t="shared" si="24"/>
        <v>1.5866356569219753</v>
      </c>
    </row>
    <row r="46" spans="1:57" x14ac:dyDescent="0.25">
      <c r="B46" s="1580"/>
      <c r="C46" s="2544" t="s">
        <v>3438</v>
      </c>
      <c r="D46" s="1927" t="s">
        <v>2272</v>
      </c>
      <c r="E46" s="1670" t="s">
        <v>2297</v>
      </c>
      <c r="F46" s="788">
        <f t="shared" si="21"/>
        <v>1.96</v>
      </c>
      <c r="G46" s="1927" t="s">
        <v>1653</v>
      </c>
      <c r="H46" s="239">
        <f>VLOOKUP(G46,'CP FACTORS'!$A$3:$B$38, 2, FALSE)</f>
        <v>4.6608050000000002E-4</v>
      </c>
      <c r="I46" s="1276">
        <f t="shared" si="15"/>
        <v>1.76943687377882</v>
      </c>
      <c r="J46" s="1928">
        <f t="shared" si="16"/>
        <v>0.18573464000000001</v>
      </c>
      <c r="K46" s="1178">
        <f t="shared" si="22"/>
        <v>9.1399999999999999E-4</v>
      </c>
      <c r="L46" s="1276">
        <f t="shared" si="17"/>
        <v>25</v>
      </c>
      <c r="M46" s="1535">
        <f t="shared" si="18"/>
        <v>2.568757824454027</v>
      </c>
      <c r="N46" s="1276">
        <f t="shared" si="19"/>
        <v>1</v>
      </c>
      <c r="V46" s="245" t="str">
        <f t="shared" si="25"/>
        <v>kWh Annual Savings</v>
      </c>
      <c r="W46" s="865">
        <v>1405.5728012555933</v>
      </c>
      <c r="X46" s="1416">
        <v>1405.5728012555933</v>
      </c>
      <c r="Y46" s="2343">
        <v>1.96</v>
      </c>
      <c r="Z46" s="245"/>
      <c r="AA46" s="245"/>
      <c r="AB46" s="245"/>
      <c r="AC46" s="245"/>
      <c r="AD46" s="245"/>
      <c r="AE46" s="245"/>
      <c r="AF46" s="245"/>
      <c r="AG46" s="245"/>
      <c r="BB46" s="72">
        <f t="shared" si="20"/>
        <v>1.1252122422118687</v>
      </c>
      <c r="BC46" s="73" t="str">
        <f t="shared" si="23"/>
        <v>Building Shell RES 25 Year EUL</v>
      </c>
      <c r="BD46" s="165">
        <f>(INDEX('Avoided Cost Benefits'!$C$4:$C$857,MATCH(BC46,'Avoided Cost Benefits'!$A$4:$A$857,0)))*F46</f>
        <v>2.7280771603144851</v>
      </c>
      <c r="BE46" s="74">
        <f t="shared" si="24"/>
        <v>2.4245000702727952</v>
      </c>
    </row>
    <row r="47" spans="1:57" x14ac:dyDescent="0.25">
      <c r="B47" s="1580"/>
      <c r="C47" s="2544" t="s">
        <v>3439</v>
      </c>
      <c r="D47" s="1927" t="s">
        <v>2272</v>
      </c>
      <c r="E47" s="1670" t="s">
        <v>2298</v>
      </c>
      <c r="F47" s="788">
        <f t="shared" si="21"/>
        <v>0.99</v>
      </c>
      <c r="G47" s="1927" t="s">
        <v>1653</v>
      </c>
      <c r="H47" s="239">
        <f>VLOOKUP(G47,'CP FACTORS'!$A$3:$B$38, 2, FALSE)</f>
        <v>4.6608050000000002E-4</v>
      </c>
      <c r="I47" s="1276">
        <f t="shared" si="15"/>
        <v>0.78231744656886393</v>
      </c>
      <c r="J47" s="1928">
        <f t="shared" si="16"/>
        <v>0.20410400000000001</v>
      </c>
      <c r="K47" s="1178">
        <f t="shared" si="22"/>
        <v>4.6099999999999998E-4</v>
      </c>
      <c r="L47" s="1276">
        <f t="shared" si="17"/>
        <v>25</v>
      </c>
      <c r="M47" s="1535">
        <f t="shared" si="18"/>
        <v>2.568757824454027</v>
      </c>
      <c r="N47" s="1276">
        <f t="shared" si="19"/>
        <v>1</v>
      </c>
      <c r="V47" s="245" t="str">
        <f t="shared" si="25"/>
        <v>kWh Annual Savings</v>
      </c>
      <c r="W47" s="865">
        <v>709.13837793835614</v>
      </c>
      <c r="X47" s="1416">
        <v>709.13837793835614</v>
      </c>
      <c r="Y47" s="2343">
        <v>0.99</v>
      </c>
      <c r="Z47" s="245"/>
      <c r="AA47" s="245"/>
      <c r="AB47" s="245"/>
      <c r="AC47" s="245"/>
      <c r="AD47" s="245"/>
      <c r="AE47" s="245"/>
      <c r="AF47" s="245"/>
      <c r="AG47" s="245"/>
      <c r="BB47" s="72">
        <f t="shared" si="20"/>
        <v>0.56834699989272963</v>
      </c>
      <c r="BC47" s="73" t="str">
        <f t="shared" si="23"/>
        <v>Building Shell RES 25 Year EUL</v>
      </c>
      <c r="BD47" s="165">
        <f>(INDEX('Avoided Cost Benefits'!$C$4:$C$857,MATCH(BC47,'Avoided Cost Benefits'!$A$4:$A$857,0)))*F47</f>
        <v>1.3779573411792554</v>
      </c>
      <c r="BE47" s="74">
        <f t="shared" si="24"/>
        <v>2.4245000702727952</v>
      </c>
    </row>
    <row r="48" spans="1:57" x14ac:dyDescent="0.25">
      <c r="B48" s="1580"/>
      <c r="C48" s="2544" t="s">
        <v>3440</v>
      </c>
      <c r="D48" s="1927" t="s">
        <v>2272</v>
      </c>
      <c r="E48" s="1670" t="s">
        <v>2299</v>
      </c>
      <c r="F48" s="788">
        <f t="shared" si="21"/>
        <v>2.0299999999999998</v>
      </c>
      <c r="G48" s="1927" t="s">
        <v>1653</v>
      </c>
      <c r="H48" s="239">
        <f>VLOOKUP(G48,'CP FACTORS'!$A$3:$B$38, 2, FALSE)</f>
        <v>4.6608050000000002E-4</v>
      </c>
      <c r="I48" s="1276">
        <f t="shared" si="15"/>
        <v>1.8374921381549281</v>
      </c>
      <c r="J48" s="1928">
        <f t="shared" si="16"/>
        <v>0.19287827999999999</v>
      </c>
      <c r="K48" s="1178">
        <f t="shared" si="22"/>
        <v>9.4600000000000001E-4</v>
      </c>
      <c r="L48" s="1276">
        <f t="shared" si="17"/>
        <v>25</v>
      </c>
      <c r="M48" s="1535">
        <f t="shared" si="18"/>
        <v>3.424301015440256</v>
      </c>
      <c r="N48" s="1276">
        <f t="shared" si="19"/>
        <v>1</v>
      </c>
      <c r="V48" s="245" t="str">
        <f t="shared" si="25"/>
        <v>kWh Annual Savings</v>
      </c>
      <c r="W48" s="865">
        <v>1459.6332936115778</v>
      </c>
      <c r="X48" s="1416">
        <v>1459.6332936115778</v>
      </c>
      <c r="Y48" s="2343">
        <v>2.0299999999999998</v>
      </c>
      <c r="Z48" s="245"/>
      <c r="AA48" s="245"/>
      <c r="AB48" s="245"/>
      <c r="AC48" s="245"/>
      <c r="AD48" s="245"/>
      <c r="AE48" s="245"/>
      <c r="AF48" s="245"/>
      <c r="AG48" s="245"/>
      <c r="BB48" s="72">
        <f t="shared" si="20"/>
        <v>0.87422987318422674</v>
      </c>
      <c r="BC48" s="73" t="str">
        <f t="shared" si="23"/>
        <v>Building Shell RES 25 Year EUL</v>
      </c>
      <c r="BD48" s="165">
        <f>(INDEX('Avoided Cost Benefits'!$C$4:$C$857,MATCH(BC48,'Avoided Cost Benefits'!$A$4:$A$857,0)))*F48</f>
        <v>2.8255084874685736</v>
      </c>
      <c r="BE48" s="74">
        <f t="shared" si="24"/>
        <v>3.2319971830488492</v>
      </c>
    </row>
    <row r="49" spans="2:57" x14ac:dyDescent="0.25">
      <c r="B49" s="1580"/>
      <c r="C49" s="2544" t="s">
        <v>3441</v>
      </c>
      <c r="D49" s="1927" t="s">
        <v>2272</v>
      </c>
      <c r="E49" s="1670" t="s">
        <v>2300</v>
      </c>
      <c r="F49" s="788">
        <f t="shared" si="21"/>
        <v>1.02</v>
      </c>
      <c r="G49" s="1927" t="s">
        <v>1653</v>
      </c>
      <c r="H49" s="239">
        <f>VLOOKUP(G49,'CP FACTORS'!$A$3:$B$38, 2, FALSE)</f>
        <v>4.6608050000000002E-4</v>
      </c>
      <c r="I49" s="1276">
        <f t="shared" si="15"/>
        <v>0.81240657912920466</v>
      </c>
      <c r="J49" s="1928">
        <f t="shared" si="16"/>
        <v>0.21195415384615382</v>
      </c>
      <c r="K49" s="1178">
        <f t="shared" si="22"/>
        <v>4.75E-4</v>
      </c>
      <c r="L49" s="1276">
        <f t="shared" si="17"/>
        <v>25</v>
      </c>
      <c r="M49" s="1535">
        <f t="shared" si="18"/>
        <v>3.424301015440256</v>
      </c>
      <c r="N49" s="1276">
        <f t="shared" si="19"/>
        <v>1</v>
      </c>
      <c r="V49" s="245" t="str">
        <f t="shared" si="25"/>
        <v>kWh Annual Savings</v>
      </c>
      <c r="W49" s="865">
        <v>736.41293093598529</v>
      </c>
      <c r="X49" s="1416">
        <v>736.41293093598529</v>
      </c>
      <c r="Y49" s="2343">
        <v>1.02</v>
      </c>
      <c r="Z49" s="245"/>
      <c r="AA49" s="245"/>
      <c r="AB49" s="245"/>
      <c r="AC49" s="245"/>
      <c r="AD49" s="245"/>
      <c r="AE49" s="245"/>
      <c r="AF49" s="245"/>
      <c r="AG49" s="245"/>
      <c r="BB49" s="75">
        <f t="shared" si="20"/>
        <v>0.43926821214182832</v>
      </c>
      <c r="BC49" s="73" t="str">
        <f t="shared" si="23"/>
        <v>Building Shell RES 25 Year EUL</v>
      </c>
      <c r="BD49" s="170">
        <f>(INDEX('Avoided Cost Benefits'!$C$4:$C$857,MATCH(BC49,'Avoided Cost Benefits'!$A$4:$A$857,0)))*F49</f>
        <v>1.4197136242452935</v>
      </c>
      <c r="BE49" s="76">
        <f t="shared" si="24"/>
        <v>3.2319971830488492</v>
      </c>
    </row>
    <row r="50" spans="2:57" hidden="1" outlineLevel="1" x14ac:dyDescent="0.25">
      <c r="B50" s="1580"/>
      <c r="C50" s="1194"/>
      <c r="D50" s="590"/>
      <c r="E50" s="590"/>
      <c r="F50" s="1938"/>
      <c r="G50" s="1197"/>
      <c r="H50" s="1197"/>
      <c r="I50" s="1197"/>
      <c r="J50" s="1197"/>
      <c r="K50" s="1197"/>
      <c r="L50" s="1197"/>
      <c r="M50" s="1197"/>
      <c r="N50" s="1197"/>
      <c r="O50" s="355"/>
      <c r="P50" s="355"/>
      <c r="Q50" s="355"/>
    </row>
    <row r="51" spans="2:57" hidden="1" outlineLevel="1" x14ac:dyDescent="0.25">
      <c r="B51" s="1580"/>
      <c r="C51" s="1194"/>
      <c r="D51" s="590" t="s">
        <v>617</v>
      </c>
      <c r="E51" s="590"/>
      <c r="F51" s="1938"/>
      <c r="G51" s="1197"/>
      <c r="H51" s="1197"/>
      <c r="I51" s="1197"/>
      <c r="J51" s="1197"/>
      <c r="K51" s="1197"/>
      <c r="L51" s="1197"/>
      <c r="M51" s="1197"/>
      <c r="N51" s="1197"/>
      <c r="O51" s="355"/>
      <c r="P51" s="355"/>
      <c r="Q51" s="355"/>
    </row>
    <row r="52" spans="2:57" hidden="1" outlineLevel="1" x14ac:dyDescent="0.25">
      <c r="B52" s="1580"/>
      <c r="C52" s="1199"/>
      <c r="D52" s="2967"/>
      <c r="E52" s="2967"/>
      <c r="F52" s="2967"/>
      <c r="G52" s="2967"/>
      <c r="H52" s="2967"/>
      <c r="I52" s="2967"/>
      <c r="J52" s="2967"/>
      <c r="K52" s="2967"/>
      <c r="L52" s="2967"/>
      <c r="M52" s="1197"/>
      <c r="N52" s="1197"/>
      <c r="O52" s="355"/>
      <c r="P52" s="355"/>
      <c r="Q52" s="355"/>
    </row>
    <row r="53" spans="2:57" ht="48.75" hidden="1" customHeight="1" outlineLevel="1" x14ac:dyDescent="0.25">
      <c r="B53" s="1580"/>
      <c r="C53" s="1200"/>
      <c r="D53" s="2967"/>
      <c r="E53" s="2967"/>
      <c r="F53" s="2967"/>
      <c r="G53" s="2967"/>
      <c r="H53" s="2967"/>
      <c r="I53" s="2967"/>
      <c r="J53" s="2967"/>
      <c r="K53" s="2967"/>
      <c r="L53" s="2967"/>
      <c r="M53" s="1197"/>
      <c r="N53" s="1197"/>
      <c r="O53" s="355"/>
      <c r="P53" s="355"/>
      <c r="Q53" s="355"/>
    </row>
    <row r="54" spans="2:57" hidden="1" outlineLevel="1" x14ac:dyDescent="0.25">
      <c r="B54" s="1580"/>
      <c r="C54" s="1200"/>
      <c r="D54" s="2967"/>
      <c r="E54" s="2967"/>
      <c r="F54" s="2967"/>
      <c r="G54" s="2967"/>
      <c r="H54" s="2967"/>
      <c r="I54" s="2967"/>
      <c r="J54" s="2967"/>
      <c r="K54" s="2967"/>
      <c r="L54" s="2967"/>
      <c r="M54" s="1197"/>
      <c r="N54" s="1197"/>
      <c r="O54" s="355"/>
      <c r="P54" s="355"/>
      <c r="Q54" s="355"/>
    </row>
    <row r="55" spans="2:57" hidden="1" outlineLevel="1" x14ac:dyDescent="0.25">
      <c r="B55" s="1580"/>
      <c r="C55" s="1201"/>
      <c r="D55" s="2967"/>
      <c r="E55" s="2967"/>
      <c r="F55" s="2967"/>
      <c r="G55" s="2967"/>
      <c r="H55" s="2967"/>
      <c r="I55" s="2967"/>
      <c r="J55" s="2967"/>
      <c r="K55" s="2967"/>
      <c r="L55" s="2967"/>
      <c r="M55" s="1197"/>
      <c r="N55" s="1197"/>
      <c r="O55" s="355"/>
      <c r="P55" s="355"/>
      <c r="Q55" s="355"/>
    </row>
    <row r="56" spans="2:57" hidden="1" outlineLevel="1" x14ac:dyDescent="0.25">
      <c r="B56" s="1580"/>
      <c r="C56" s="1194"/>
      <c r="D56" s="590"/>
      <c r="E56" s="590"/>
      <c r="F56" s="1197"/>
      <c r="G56" s="1197"/>
      <c r="H56" s="1197"/>
      <c r="I56" s="1197"/>
      <c r="J56" s="1197"/>
      <c r="K56" s="1197"/>
      <c r="L56" s="1197"/>
      <c r="M56" s="1197"/>
      <c r="N56" s="1197"/>
      <c r="O56" s="355"/>
      <c r="P56" s="355"/>
      <c r="Q56" s="355"/>
    </row>
    <row r="57" spans="2:57" hidden="1" outlineLevel="1" x14ac:dyDescent="0.25">
      <c r="B57" s="1580"/>
      <c r="C57" s="329"/>
      <c r="D57" s="1701" t="s">
        <v>618</v>
      </c>
      <c r="E57" s="1701" t="s">
        <v>619</v>
      </c>
      <c r="F57" s="1641" t="s">
        <v>620</v>
      </c>
      <c r="G57" s="1641" t="s">
        <v>670</v>
      </c>
      <c r="H57" s="1641" t="s">
        <v>766</v>
      </c>
      <c r="I57" s="1197"/>
      <c r="J57" s="1197"/>
      <c r="K57" s="355"/>
      <c r="L57" s="355"/>
      <c r="M57" s="355"/>
      <c r="N57" s="355"/>
      <c r="O57" s="355"/>
      <c r="P57" s="355"/>
      <c r="Q57" s="355"/>
      <c r="V57" s="55" t="s">
        <v>27</v>
      </c>
      <c r="W57" s="56">
        <f>W$6</f>
        <v>43252</v>
      </c>
      <c r="X57" s="56">
        <f t="shared" ref="X57:AG57" si="26">X$6</f>
        <v>43465</v>
      </c>
      <c r="Y57" s="56">
        <f t="shared" si="26"/>
        <v>43800</v>
      </c>
      <c r="Z57" s="56">
        <f t="shared" si="26"/>
        <v>43862</v>
      </c>
      <c r="AA57" s="56" t="str">
        <f t="shared" si="26"/>
        <v>-</v>
      </c>
      <c r="AB57" s="56" t="str">
        <f t="shared" si="26"/>
        <v>-</v>
      </c>
      <c r="AC57" s="56" t="str">
        <f t="shared" si="26"/>
        <v>-</v>
      </c>
      <c r="AD57" s="56" t="str">
        <f t="shared" si="26"/>
        <v>-</v>
      </c>
      <c r="AE57" s="56" t="str">
        <f t="shared" si="26"/>
        <v>-</v>
      </c>
      <c r="AF57" s="56" t="str">
        <f t="shared" si="26"/>
        <v>-</v>
      </c>
      <c r="AG57" s="56" t="str">
        <f t="shared" si="26"/>
        <v>-</v>
      </c>
    </row>
    <row r="58" spans="2:57" hidden="1" outlineLevel="1" x14ac:dyDescent="0.25">
      <c r="B58" s="1580"/>
      <c r="C58" s="329"/>
      <c r="D58" s="2955" t="s">
        <v>200</v>
      </c>
      <c r="E58" s="574" t="s">
        <v>2301</v>
      </c>
      <c r="F58" s="1233">
        <v>1</v>
      </c>
      <c r="G58" s="1381"/>
      <c r="H58" s="1542"/>
      <c r="I58" s="1197"/>
      <c r="J58" s="1197"/>
      <c r="K58" s="355"/>
      <c r="L58" s="355"/>
      <c r="M58" s="355"/>
      <c r="N58" s="355"/>
      <c r="O58" s="355"/>
      <c r="P58" s="355"/>
      <c r="Q58" s="355"/>
      <c r="V58" s="2957" t="str">
        <f>D58</f>
        <v>%ElectricHeat</v>
      </c>
      <c r="W58" s="652">
        <v>1</v>
      </c>
      <c r="X58" s="652">
        <v>1</v>
      </c>
      <c r="Y58" s="1233">
        <v>1</v>
      </c>
      <c r="Z58" s="652"/>
      <c r="AA58" s="652"/>
      <c r="AB58" s="652"/>
      <c r="AC58" s="652"/>
      <c r="AD58" s="652"/>
      <c r="AE58" s="652"/>
      <c r="AF58" s="652"/>
      <c r="AG58" s="652"/>
    </row>
    <row r="59" spans="2:57" hidden="1" outlineLevel="1" x14ac:dyDescent="0.25">
      <c r="B59" s="1580"/>
      <c r="C59" s="329"/>
      <c r="D59" s="2956"/>
      <c r="E59" s="574" t="s">
        <v>2302</v>
      </c>
      <c r="F59" s="1233">
        <v>0</v>
      </c>
      <c r="G59" s="1381"/>
      <c r="H59" s="1542"/>
      <c r="I59" s="1197"/>
      <c r="J59" s="1197"/>
      <c r="K59" s="355"/>
      <c r="L59" s="355"/>
      <c r="M59" s="355"/>
      <c r="N59" s="355"/>
      <c r="O59" s="355"/>
      <c r="P59" s="355"/>
      <c r="Q59" s="355"/>
      <c r="V59" s="2958"/>
      <c r="W59" s="652">
        <v>0</v>
      </c>
      <c r="X59" s="652">
        <v>0</v>
      </c>
      <c r="Y59" s="1233">
        <v>0</v>
      </c>
      <c r="Z59" s="652"/>
      <c r="AA59" s="652"/>
      <c r="AB59" s="652"/>
      <c r="AC59" s="652"/>
      <c r="AD59" s="652"/>
      <c r="AE59" s="652"/>
      <c r="AF59" s="652"/>
      <c r="AG59" s="652"/>
    </row>
    <row r="60" spans="2:57" hidden="1" outlineLevel="1" x14ac:dyDescent="0.25">
      <c r="B60" s="1580"/>
      <c r="C60" s="329"/>
      <c r="D60" s="2956"/>
      <c r="E60" s="574" t="s">
        <v>2303</v>
      </c>
      <c r="F60" s="1233">
        <v>1</v>
      </c>
      <c r="G60" s="1381"/>
      <c r="H60" s="1542"/>
      <c r="I60" s="1197"/>
      <c r="J60" s="1197"/>
      <c r="K60" s="355"/>
      <c r="L60" s="355"/>
      <c r="M60" s="355"/>
      <c r="N60" s="355"/>
      <c r="O60" s="355"/>
      <c r="P60" s="355"/>
      <c r="Q60" s="355"/>
      <c r="V60" s="2958"/>
      <c r="W60" s="652">
        <v>1</v>
      </c>
      <c r="X60" s="652">
        <v>1</v>
      </c>
      <c r="Y60" s="1233">
        <v>1</v>
      </c>
      <c r="Z60" s="652"/>
      <c r="AA60" s="652"/>
      <c r="AB60" s="652"/>
      <c r="AC60" s="652"/>
      <c r="AD60" s="652"/>
      <c r="AE60" s="652"/>
      <c r="AF60" s="652"/>
      <c r="AG60" s="652"/>
    </row>
    <row r="61" spans="2:57" hidden="1" outlineLevel="1" x14ac:dyDescent="0.25">
      <c r="B61" s="1580"/>
      <c r="C61" s="329"/>
      <c r="D61" s="2956"/>
      <c r="E61" s="574" t="s">
        <v>2304</v>
      </c>
      <c r="F61" s="1233">
        <v>0</v>
      </c>
      <c r="G61" s="1381"/>
      <c r="H61" s="1542"/>
      <c r="I61" s="1197"/>
      <c r="J61" s="1197"/>
      <c r="K61" s="355"/>
      <c r="L61" s="355"/>
      <c r="M61" s="355"/>
      <c r="N61" s="355"/>
      <c r="O61" s="355"/>
      <c r="P61" s="355"/>
      <c r="Q61" s="355"/>
      <c r="V61" s="2958"/>
      <c r="W61" s="652">
        <v>0</v>
      </c>
      <c r="X61" s="652">
        <v>0</v>
      </c>
      <c r="Y61" s="1233">
        <v>0</v>
      </c>
      <c r="Z61" s="652"/>
      <c r="AA61" s="652"/>
      <c r="AB61" s="652"/>
      <c r="AC61" s="652"/>
      <c r="AD61" s="652"/>
      <c r="AE61" s="652"/>
      <c r="AF61" s="652"/>
      <c r="AG61" s="652"/>
    </row>
    <row r="62" spans="2:57" hidden="1" outlineLevel="1" x14ac:dyDescent="0.25">
      <c r="B62" s="1580"/>
      <c r="C62" s="329"/>
      <c r="D62" s="2956"/>
      <c r="E62" s="574" t="s">
        <v>2305</v>
      </c>
      <c r="F62" s="1233">
        <v>1</v>
      </c>
      <c r="G62" s="1381"/>
      <c r="H62" s="1542"/>
      <c r="I62" s="1197"/>
      <c r="J62" s="1197"/>
      <c r="K62" s="355"/>
      <c r="L62" s="355"/>
      <c r="M62" s="355"/>
      <c r="N62" s="355"/>
      <c r="O62" s="355"/>
      <c r="P62" s="355"/>
      <c r="Q62" s="355"/>
      <c r="V62" s="2958"/>
      <c r="W62" s="652">
        <v>1</v>
      </c>
      <c r="X62" s="652">
        <v>1</v>
      </c>
      <c r="Y62" s="1233">
        <v>1</v>
      </c>
      <c r="Z62" s="652"/>
      <c r="AA62" s="652"/>
      <c r="AB62" s="652"/>
      <c r="AC62" s="652"/>
      <c r="AD62" s="652"/>
      <c r="AE62" s="652"/>
      <c r="AF62" s="652"/>
      <c r="AG62" s="652"/>
    </row>
    <row r="63" spans="2:57" hidden="1" outlineLevel="1" x14ac:dyDescent="0.25">
      <c r="B63" s="1580"/>
      <c r="C63" s="329"/>
      <c r="D63" s="2956"/>
      <c r="E63" s="574" t="s">
        <v>2306</v>
      </c>
      <c r="F63" s="1233">
        <v>0</v>
      </c>
      <c r="G63" s="1381"/>
      <c r="H63" s="1542"/>
      <c r="I63" s="1197"/>
      <c r="J63" s="1197"/>
      <c r="K63" s="355"/>
      <c r="L63" s="355"/>
      <c r="M63" s="355"/>
      <c r="N63" s="355"/>
      <c r="O63" s="355"/>
      <c r="P63" s="355"/>
      <c r="Q63" s="355"/>
      <c r="V63" s="2958"/>
      <c r="W63" s="652">
        <v>0</v>
      </c>
      <c r="X63" s="652">
        <v>0</v>
      </c>
      <c r="Y63" s="1233">
        <v>0</v>
      </c>
      <c r="Z63" s="652"/>
      <c r="AA63" s="652"/>
      <c r="AB63" s="652"/>
      <c r="AC63" s="652"/>
      <c r="AD63" s="652"/>
      <c r="AE63" s="652"/>
      <c r="AF63" s="652"/>
      <c r="AG63" s="652"/>
    </row>
    <row r="64" spans="2:57" hidden="1" outlineLevel="1" x14ac:dyDescent="0.25">
      <c r="B64" s="1580"/>
      <c r="C64" s="329"/>
      <c r="D64" s="2956"/>
      <c r="E64" s="574" t="s">
        <v>2307</v>
      </c>
      <c r="F64" s="1233">
        <v>1</v>
      </c>
      <c r="G64" s="1381"/>
      <c r="H64" s="1542"/>
      <c r="I64" s="1197"/>
      <c r="J64" s="1197"/>
      <c r="K64" s="355"/>
      <c r="L64" s="355"/>
      <c r="M64" s="355"/>
      <c r="N64" s="355"/>
      <c r="O64" s="355"/>
      <c r="P64" s="355"/>
      <c r="Q64" s="355"/>
      <c r="V64" s="2958"/>
      <c r="W64" s="652">
        <v>1</v>
      </c>
      <c r="X64" s="652">
        <v>1</v>
      </c>
      <c r="Y64" s="1233">
        <v>1</v>
      </c>
      <c r="Z64" s="652"/>
      <c r="AA64" s="652"/>
      <c r="AB64" s="652"/>
      <c r="AC64" s="652"/>
      <c r="AD64" s="652"/>
      <c r="AE64" s="652"/>
      <c r="AF64" s="652"/>
      <c r="AG64" s="652"/>
    </row>
    <row r="65" spans="2:33" hidden="1" outlineLevel="1" x14ac:dyDescent="0.25">
      <c r="B65" s="1580"/>
      <c r="C65" s="329"/>
      <c r="D65" s="2956"/>
      <c r="E65" s="574" t="s">
        <v>2308</v>
      </c>
      <c r="F65" s="1233">
        <v>0</v>
      </c>
      <c r="G65" s="1381"/>
      <c r="H65" s="1542"/>
      <c r="I65" s="1197"/>
      <c r="J65" s="1197"/>
      <c r="K65" s="355"/>
      <c r="L65" s="355"/>
      <c r="M65" s="355"/>
      <c r="N65" s="355"/>
      <c r="O65" s="355"/>
      <c r="P65" s="355"/>
      <c r="Q65" s="355"/>
      <c r="V65" s="2958"/>
      <c r="W65" s="652">
        <v>0</v>
      </c>
      <c r="X65" s="652">
        <v>0</v>
      </c>
      <c r="Y65" s="1233">
        <v>0</v>
      </c>
      <c r="Z65" s="652"/>
      <c r="AA65" s="652"/>
      <c r="AB65" s="652"/>
      <c r="AC65" s="652"/>
      <c r="AD65" s="652"/>
      <c r="AE65" s="652"/>
      <c r="AF65" s="652"/>
      <c r="AG65" s="652"/>
    </row>
    <row r="66" spans="2:33" hidden="1" outlineLevel="1" x14ac:dyDescent="0.25">
      <c r="B66" s="1580"/>
      <c r="C66" s="329"/>
      <c r="D66" s="2956"/>
      <c r="E66" s="574" t="s">
        <v>2309</v>
      </c>
      <c r="F66" s="1233">
        <v>1</v>
      </c>
      <c r="G66" s="1381"/>
      <c r="H66" s="1542"/>
      <c r="I66" s="1197"/>
      <c r="J66" s="1197"/>
      <c r="K66" s="355"/>
      <c r="L66" s="355"/>
      <c r="M66" s="355"/>
      <c r="N66" s="355"/>
      <c r="O66" s="355"/>
      <c r="P66" s="355"/>
      <c r="Q66" s="355"/>
      <c r="V66" s="2958"/>
      <c r="W66" s="652">
        <v>1</v>
      </c>
      <c r="X66" s="652">
        <v>1</v>
      </c>
      <c r="Y66" s="1233">
        <v>1</v>
      </c>
      <c r="Z66" s="652"/>
      <c r="AA66" s="652"/>
      <c r="AB66" s="652"/>
      <c r="AC66" s="652"/>
      <c r="AD66" s="652"/>
      <c r="AE66" s="652"/>
      <c r="AF66" s="652"/>
      <c r="AG66" s="652"/>
    </row>
    <row r="67" spans="2:33" hidden="1" outlineLevel="1" x14ac:dyDescent="0.25">
      <c r="B67" s="1580"/>
      <c r="C67" s="329"/>
      <c r="D67" s="2956"/>
      <c r="E67" s="574" t="s">
        <v>2310</v>
      </c>
      <c r="F67" s="1233">
        <v>0</v>
      </c>
      <c r="G67" s="1381"/>
      <c r="H67" s="1542"/>
      <c r="I67" s="1197"/>
      <c r="J67" s="1197"/>
      <c r="K67" s="355"/>
      <c r="L67" s="355"/>
      <c r="M67" s="355"/>
      <c r="N67" s="355"/>
      <c r="O67" s="355"/>
      <c r="P67" s="355"/>
      <c r="Q67" s="355"/>
      <c r="V67" s="2958"/>
      <c r="W67" s="652">
        <v>0</v>
      </c>
      <c r="X67" s="652">
        <v>0</v>
      </c>
      <c r="Y67" s="1233">
        <v>0</v>
      </c>
      <c r="Z67" s="652"/>
      <c r="AA67" s="652"/>
      <c r="AB67" s="652"/>
      <c r="AC67" s="652"/>
      <c r="AD67" s="652"/>
      <c r="AE67" s="652"/>
      <c r="AF67" s="652"/>
      <c r="AG67" s="652"/>
    </row>
    <row r="68" spans="2:33" ht="15" hidden="1" customHeight="1" outlineLevel="1" x14ac:dyDescent="0.25">
      <c r="B68" s="1580"/>
      <c r="C68" s="329"/>
      <c r="D68" s="2955" t="s">
        <v>2311</v>
      </c>
      <c r="E68" s="574" t="s">
        <v>2301</v>
      </c>
      <c r="F68" s="1541">
        <v>11</v>
      </c>
      <c r="G68" s="1381"/>
      <c r="H68" s="1542" t="s">
        <v>1740</v>
      </c>
      <c r="I68" s="1197"/>
      <c r="J68" s="1197"/>
      <c r="K68" s="355"/>
      <c r="L68" s="355"/>
      <c r="M68" s="355"/>
      <c r="N68" s="355"/>
      <c r="O68" s="355"/>
      <c r="P68" s="355"/>
      <c r="Q68" s="355"/>
      <c r="V68" s="2957" t="str">
        <f>D68</f>
        <v>Rold</v>
      </c>
      <c r="W68" s="1537">
        <v>11</v>
      </c>
      <c r="X68" s="1537">
        <v>11</v>
      </c>
      <c r="Y68" s="1541">
        <v>11</v>
      </c>
      <c r="Z68" s="1537"/>
      <c r="AA68" s="1537"/>
      <c r="AB68" s="1537"/>
      <c r="AC68" s="1537"/>
      <c r="AD68" s="1537"/>
      <c r="AE68" s="1537"/>
      <c r="AF68" s="1537"/>
      <c r="AG68" s="1537"/>
    </row>
    <row r="69" spans="2:33" hidden="1" outlineLevel="1" x14ac:dyDescent="0.25">
      <c r="B69" s="1580"/>
      <c r="C69" s="329"/>
      <c r="D69" s="2956"/>
      <c r="E69" s="574" t="s">
        <v>2302</v>
      </c>
      <c r="F69" s="1541">
        <v>11</v>
      </c>
      <c r="G69" s="1381"/>
      <c r="H69" s="1542" t="s">
        <v>1740</v>
      </c>
      <c r="I69" s="1197"/>
      <c r="J69" s="1197"/>
      <c r="K69" s="355"/>
      <c r="L69" s="355"/>
      <c r="M69" s="355"/>
      <c r="N69" s="355"/>
      <c r="O69" s="355"/>
      <c r="P69" s="355"/>
      <c r="Q69" s="355"/>
      <c r="V69" s="2958"/>
      <c r="W69" s="1537">
        <v>11</v>
      </c>
      <c r="X69" s="1537">
        <v>11</v>
      </c>
      <c r="Y69" s="1541">
        <v>11</v>
      </c>
      <c r="Z69" s="1537"/>
      <c r="AA69" s="1537"/>
      <c r="AB69" s="1537"/>
      <c r="AC69" s="1537"/>
      <c r="AD69" s="1537"/>
      <c r="AE69" s="1537"/>
      <c r="AF69" s="1537"/>
      <c r="AG69" s="1537"/>
    </row>
    <row r="70" spans="2:33" hidden="1" outlineLevel="1" x14ac:dyDescent="0.25">
      <c r="B70" s="1580"/>
      <c r="C70" s="329"/>
      <c r="D70" s="2956"/>
      <c r="E70" s="574" t="s">
        <v>2303</v>
      </c>
      <c r="F70" s="1541">
        <v>5</v>
      </c>
      <c r="G70" s="1381"/>
      <c r="H70" s="1542" t="s">
        <v>1740</v>
      </c>
      <c r="I70" s="1197"/>
      <c r="J70" s="1197"/>
      <c r="K70" s="355"/>
      <c r="L70" s="355"/>
      <c r="M70" s="355"/>
      <c r="N70" s="355"/>
      <c r="O70" s="355"/>
      <c r="P70" s="355"/>
      <c r="Q70" s="355"/>
      <c r="V70" s="2958"/>
      <c r="W70" s="1537">
        <v>5</v>
      </c>
      <c r="X70" s="1537">
        <v>5</v>
      </c>
      <c r="Y70" s="1541">
        <v>5</v>
      </c>
      <c r="Z70" s="1537"/>
      <c r="AA70" s="1537"/>
      <c r="AB70" s="1537"/>
      <c r="AC70" s="1537"/>
      <c r="AD70" s="1537"/>
      <c r="AE70" s="1537"/>
      <c r="AF70" s="1537"/>
      <c r="AG70" s="1537"/>
    </row>
    <row r="71" spans="2:33" hidden="1" outlineLevel="1" x14ac:dyDescent="0.25">
      <c r="B71" s="1580"/>
      <c r="C71" s="329"/>
      <c r="D71" s="2956"/>
      <c r="E71" s="574" t="s">
        <v>2304</v>
      </c>
      <c r="F71" s="1541">
        <v>5</v>
      </c>
      <c r="G71" s="1381"/>
      <c r="H71" s="1542" t="s">
        <v>1740</v>
      </c>
      <c r="I71" s="1197"/>
      <c r="J71" s="1197"/>
      <c r="K71" s="355"/>
      <c r="L71" s="355"/>
      <c r="M71" s="355"/>
      <c r="N71" s="355"/>
      <c r="O71" s="355"/>
      <c r="P71" s="355"/>
      <c r="Q71" s="355"/>
      <c r="V71" s="2958"/>
      <c r="W71" s="1537">
        <v>5</v>
      </c>
      <c r="X71" s="1537">
        <v>5</v>
      </c>
      <c r="Y71" s="1541">
        <v>5</v>
      </c>
      <c r="Z71" s="1537"/>
      <c r="AA71" s="1537"/>
      <c r="AB71" s="1537"/>
      <c r="AC71" s="1537"/>
      <c r="AD71" s="1537"/>
      <c r="AE71" s="1537"/>
      <c r="AF71" s="1537"/>
      <c r="AG71" s="1537"/>
    </row>
    <row r="72" spans="2:33" hidden="1" outlineLevel="1" x14ac:dyDescent="0.25">
      <c r="B72" s="1580"/>
      <c r="C72" s="329"/>
      <c r="D72" s="2956"/>
      <c r="E72" s="574" t="s">
        <v>2305</v>
      </c>
      <c r="F72" s="1541">
        <v>5</v>
      </c>
      <c r="G72" s="1381"/>
      <c r="H72" s="1542" t="s">
        <v>1740</v>
      </c>
      <c r="I72" s="1197"/>
      <c r="J72" s="1197"/>
      <c r="K72" s="355"/>
      <c r="L72" s="355"/>
      <c r="M72" s="355"/>
      <c r="N72" s="355"/>
      <c r="O72" s="355"/>
      <c r="P72" s="355"/>
      <c r="Q72" s="355"/>
      <c r="V72" s="2958"/>
      <c r="W72" s="1537">
        <v>5</v>
      </c>
      <c r="X72" s="1537">
        <v>5</v>
      </c>
      <c r="Y72" s="1541">
        <v>5</v>
      </c>
      <c r="Z72" s="1537"/>
      <c r="AA72" s="1537"/>
      <c r="AB72" s="1537"/>
      <c r="AC72" s="1537"/>
      <c r="AD72" s="1537"/>
      <c r="AE72" s="1537"/>
      <c r="AF72" s="1537"/>
      <c r="AG72" s="1537"/>
    </row>
    <row r="73" spans="2:33" hidden="1" outlineLevel="1" x14ac:dyDescent="0.25">
      <c r="B73" s="1580"/>
      <c r="C73" s="329"/>
      <c r="D73" s="2956"/>
      <c r="E73" s="574" t="s">
        <v>2306</v>
      </c>
      <c r="F73" s="1541">
        <v>5</v>
      </c>
      <c r="G73" s="1381"/>
      <c r="H73" s="1542" t="s">
        <v>1740</v>
      </c>
      <c r="I73" s="1197"/>
      <c r="J73" s="1197"/>
      <c r="K73" s="355"/>
      <c r="L73" s="355"/>
      <c r="M73" s="355"/>
      <c r="N73" s="355"/>
      <c r="O73" s="355"/>
      <c r="P73" s="355"/>
      <c r="Q73" s="355"/>
      <c r="V73" s="2958"/>
      <c r="W73" s="1537">
        <v>5</v>
      </c>
      <c r="X73" s="1537">
        <v>5</v>
      </c>
      <c r="Y73" s="1541">
        <v>5</v>
      </c>
      <c r="Z73" s="1537"/>
      <c r="AA73" s="1537"/>
      <c r="AB73" s="1537"/>
      <c r="AC73" s="1537"/>
      <c r="AD73" s="1537"/>
      <c r="AE73" s="1537"/>
      <c r="AF73" s="1537"/>
      <c r="AG73" s="1537"/>
    </row>
    <row r="74" spans="2:33" hidden="1" outlineLevel="1" x14ac:dyDescent="0.25">
      <c r="B74" s="1580"/>
      <c r="C74" s="329"/>
      <c r="D74" s="2956"/>
      <c r="E74" s="574" t="s">
        <v>2307</v>
      </c>
      <c r="F74" s="1541">
        <v>5</v>
      </c>
      <c r="G74" s="1381"/>
      <c r="H74" s="1542" t="s">
        <v>1740</v>
      </c>
      <c r="I74" s="1197"/>
      <c r="J74" s="1197"/>
      <c r="K74" s="355"/>
      <c r="L74" s="355"/>
      <c r="M74" s="355"/>
      <c r="N74" s="355"/>
      <c r="O74" s="355"/>
      <c r="P74" s="355"/>
      <c r="Q74" s="355"/>
      <c r="V74" s="2958"/>
      <c r="W74" s="1537">
        <v>5</v>
      </c>
      <c r="X74" s="1537">
        <v>5</v>
      </c>
      <c r="Y74" s="1541">
        <v>5</v>
      </c>
      <c r="Z74" s="1537"/>
      <c r="AA74" s="1537"/>
      <c r="AB74" s="1537"/>
      <c r="AC74" s="1537"/>
      <c r="AD74" s="1537"/>
      <c r="AE74" s="1537"/>
      <c r="AF74" s="1537"/>
      <c r="AG74" s="1537"/>
    </row>
    <row r="75" spans="2:33" hidden="1" outlineLevel="1" x14ac:dyDescent="0.25">
      <c r="B75" s="1580"/>
      <c r="C75" s="329"/>
      <c r="D75" s="2956"/>
      <c r="E75" s="574" t="s">
        <v>2308</v>
      </c>
      <c r="F75" s="1541">
        <v>5</v>
      </c>
      <c r="G75" s="1381"/>
      <c r="H75" s="1542" t="s">
        <v>1740</v>
      </c>
      <c r="I75" s="1197"/>
      <c r="J75" s="1197"/>
      <c r="K75" s="355"/>
      <c r="L75" s="355"/>
      <c r="M75" s="355"/>
      <c r="N75" s="355"/>
      <c r="O75" s="355"/>
      <c r="P75" s="355"/>
      <c r="Q75" s="355"/>
      <c r="V75" s="2958"/>
      <c r="W75" s="1537">
        <v>5</v>
      </c>
      <c r="X75" s="1537">
        <v>5</v>
      </c>
      <c r="Y75" s="1541">
        <v>5</v>
      </c>
      <c r="Z75" s="1537"/>
      <c r="AA75" s="1537"/>
      <c r="AB75" s="1537"/>
      <c r="AC75" s="1537"/>
      <c r="AD75" s="1537"/>
      <c r="AE75" s="1537"/>
      <c r="AF75" s="1537"/>
      <c r="AG75" s="1537"/>
    </row>
    <row r="76" spans="2:33" hidden="1" outlineLevel="1" x14ac:dyDescent="0.25">
      <c r="B76" s="1580"/>
      <c r="C76" s="329"/>
      <c r="D76" s="2956"/>
      <c r="E76" s="574" t="s">
        <v>2309</v>
      </c>
      <c r="F76" s="1541">
        <v>5</v>
      </c>
      <c r="G76" s="1381"/>
      <c r="H76" s="1542" t="s">
        <v>1740</v>
      </c>
      <c r="I76" s="1197"/>
      <c r="J76" s="1197"/>
      <c r="K76" s="355"/>
      <c r="L76" s="355"/>
      <c r="M76" s="355"/>
      <c r="N76" s="355"/>
      <c r="O76" s="355"/>
      <c r="P76" s="355"/>
      <c r="Q76" s="355"/>
      <c r="V76" s="2958"/>
      <c r="W76" s="1537">
        <v>5</v>
      </c>
      <c r="X76" s="1537">
        <v>5</v>
      </c>
      <c r="Y76" s="1541">
        <v>5</v>
      </c>
      <c r="Z76" s="1537"/>
      <c r="AA76" s="1537"/>
      <c r="AB76" s="1537"/>
      <c r="AC76" s="1537"/>
      <c r="AD76" s="1537"/>
      <c r="AE76" s="1537"/>
      <c r="AF76" s="1537"/>
      <c r="AG76" s="1537"/>
    </row>
    <row r="77" spans="2:33" hidden="1" outlineLevel="1" x14ac:dyDescent="0.25">
      <c r="B77" s="1580"/>
      <c r="C77" s="329"/>
      <c r="D77" s="2956"/>
      <c r="E77" s="574" t="s">
        <v>2310</v>
      </c>
      <c r="F77" s="1541">
        <v>5</v>
      </c>
      <c r="G77" s="1381"/>
      <c r="H77" s="1542" t="s">
        <v>1740</v>
      </c>
      <c r="I77" s="1197"/>
      <c r="J77" s="1197"/>
      <c r="K77" s="355"/>
      <c r="L77" s="355"/>
      <c r="M77" s="355"/>
      <c r="N77" s="355"/>
      <c r="O77" s="355"/>
      <c r="P77" s="355"/>
      <c r="Q77" s="355"/>
      <c r="V77" s="2958"/>
      <c r="W77" s="1537">
        <v>5</v>
      </c>
      <c r="X77" s="1537">
        <v>5</v>
      </c>
      <c r="Y77" s="1541">
        <v>5</v>
      </c>
      <c r="Z77" s="1537"/>
      <c r="AA77" s="1537"/>
      <c r="AB77" s="1537"/>
      <c r="AC77" s="1537"/>
      <c r="AD77" s="1537"/>
      <c r="AE77" s="1537"/>
      <c r="AF77" s="1537"/>
      <c r="AG77" s="1537"/>
    </row>
    <row r="78" spans="2:33" ht="15" hidden="1" customHeight="1" outlineLevel="1" x14ac:dyDescent="0.25">
      <c r="B78" s="1580"/>
      <c r="C78" s="329"/>
      <c r="D78" s="2955" t="s">
        <v>2312</v>
      </c>
      <c r="E78" s="574" t="s">
        <v>2301</v>
      </c>
      <c r="F78" s="1541">
        <v>49</v>
      </c>
      <c r="G78" s="1381"/>
      <c r="H78" s="1542" t="s">
        <v>1740</v>
      </c>
      <c r="I78" s="1197"/>
      <c r="J78" s="1197"/>
      <c r="K78" s="355"/>
      <c r="L78" s="355"/>
      <c r="M78" s="355"/>
      <c r="N78" s="355"/>
      <c r="O78" s="355"/>
      <c r="P78" s="355"/>
      <c r="Q78" s="355"/>
      <c r="V78" s="2957" t="str">
        <f>D78</f>
        <v>RAttic</v>
      </c>
      <c r="W78" s="1537">
        <v>49</v>
      </c>
      <c r="X78" s="1537">
        <v>49</v>
      </c>
      <c r="Y78" s="1541">
        <v>49</v>
      </c>
      <c r="Z78" s="1537"/>
      <c r="AA78" s="1537"/>
      <c r="AB78" s="1537"/>
      <c r="AC78" s="1537"/>
      <c r="AD78" s="1537"/>
      <c r="AE78" s="1537"/>
      <c r="AF78" s="1537"/>
      <c r="AG78" s="1537"/>
    </row>
    <row r="79" spans="2:33" hidden="1" outlineLevel="1" x14ac:dyDescent="0.25">
      <c r="B79" s="1580"/>
      <c r="C79" s="329"/>
      <c r="D79" s="2956"/>
      <c r="E79" s="574" t="s">
        <v>2302</v>
      </c>
      <c r="F79" s="1541">
        <v>49</v>
      </c>
      <c r="G79" s="1381"/>
      <c r="H79" s="1542" t="s">
        <v>1740</v>
      </c>
      <c r="I79" s="1197"/>
      <c r="J79" s="1197"/>
      <c r="K79" s="355"/>
      <c r="L79" s="355"/>
      <c r="M79" s="355"/>
      <c r="N79" s="355"/>
      <c r="O79" s="355"/>
      <c r="P79" s="355"/>
      <c r="Q79" s="355"/>
      <c r="V79" s="2958"/>
      <c r="W79" s="1537">
        <v>49</v>
      </c>
      <c r="X79" s="1537">
        <v>49</v>
      </c>
      <c r="Y79" s="1541">
        <v>49</v>
      </c>
      <c r="Z79" s="1537"/>
      <c r="AA79" s="1537"/>
      <c r="AB79" s="1537"/>
      <c r="AC79" s="1537"/>
      <c r="AD79" s="1537"/>
      <c r="AE79" s="1537"/>
      <c r="AF79" s="1537"/>
      <c r="AG79" s="1537"/>
    </row>
    <row r="80" spans="2:33" hidden="1" outlineLevel="1" x14ac:dyDescent="0.25">
      <c r="B80" s="1580"/>
      <c r="C80" s="329"/>
      <c r="D80" s="2956"/>
      <c r="E80" s="574" t="s">
        <v>2303</v>
      </c>
      <c r="F80" s="1541">
        <v>30</v>
      </c>
      <c r="G80" s="1381"/>
      <c r="H80" s="1542" t="s">
        <v>1740</v>
      </c>
      <c r="I80" s="1197"/>
      <c r="J80" s="1197"/>
      <c r="K80" s="355"/>
      <c r="L80" s="355"/>
      <c r="M80" s="355"/>
      <c r="N80" s="355"/>
      <c r="O80" s="355"/>
      <c r="P80" s="355"/>
      <c r="Q80" s="355"/>
      <c r="V80" s="2958"/>
      <c r="W80" s="1537">
        <v>30</v>
      </c>
      <c r="X80" s="1537">
        <v>30</v>
      </c>
      <c r="Y80" s="1541">
        <v>30</v>
      </c>
      <c r="Z80" s="1537"/>
      <c r="AA80" s="1537"/>
      <c r="AB80" s="1537"/>
      <c r="AC80" s="1537"/>
      <c r="AD80" s="1537"/>
      <c r="AE80" s="1537"/>
      <c r="AF80" s="1537"/>
      <c r="AG80" s="1537"/>
    </row>
    <row r="81" spans="2:33" hidden="1" outlineLevel="1" x14ac:dyDescent="0.25">
      <c r="B81" s="1580"/>
      <c r="C81" s="329"/>
      <c r="D81" s="2956"/>
      <c r="E81" s="574" t="s">
        <v>2304</v>
      </c>
      <c r="F81" s="1541">
        <v>30</v>
      </c>
      <c r="G81" s="1381"/>
      <c r="H81" s="1542" t="s">
        <v>1740</v>
      </c>
      <c r="I81" s="1197"/>
      <c r="J81" s="1197"/>
      <c r="K81" s="355"/>
      <c r="L81" s="355"/>
      <c r="M81" s="355"/>
      <c r="N81" s="355"/>
      <c r="O81" s="355"/>
      <c r="P81" s="355"/>
      <c r="Q81" s="355"/>
      <c r="V81" s="2958"/>
      <c r="W81" s="1537">
        <v>30</v>
      </c>
      <c r="X81" s="1537">
        <v>30</v>
      </c>
      <c r="Y81" s="1541">
        <v>30</v>
      </c>
      <c r="Z81" s="1537"/>
      <c r="AA81" s="1537"/>
      <c r="AB81" s="1537"/>
      <c r="AC81" s="1537"/>
      <c r="AD81" s="1537"/>
      <c r="AE81" s="1537"/>
      <c r="AF81" s="1537"/>
      <c r="AG81" s="1537"/>
    </row>
    <row r="82" spans="2:33" hidden="1" outlineLevel="1" x14ac:dyDescent="0.25">
      <c r="B82" s="1580"/>
      <c r="C82" s="329"/>
      <c r="D82" s="2956"/>
      <c r="E82" s="574" t="s">
        <v>2305</v>
      </c>
      <c r="F82" s="1541">
        <v>38</v>
      </c>
      <c r="G82" s="1381"/>
      <c r="H82" s="1542" t="s">
        <v>1740</v>
      </c>
      <c r="I82" s="1197"/>
      <c r="J82" s="1197"/>
      <c r="K82" s="355"/>
      <c r="L82" s="355"/>
      <c r="M82" s="355"/>
      <c r="N82" s="355"/>
      <c r="O82" s="355"/>
      <c r="P82" s="355"/>
      <c r="Q82" s="355"/>
      <c r="V82" s="2958"/>
      <c r="W82" s="1537">
        <v>38</v>
      </c>
      <c r="X82" s="1537">
        <v>38</v>
      </c>
      <c r="Y82" s="1541">
        <v>38</v>
      </c>
      <c r="Z82" s="1537"/>
      <c r="AA82" s="1537"/>
      <c r="AB82" s="1537"/>
      <c r="AC82" s="1537"/>
      <c r="AD82" s="1537"/>
      <c r="AE82" s="1537"/>
      <c r="AF82" s="1537"/>
      <c r="AG82" s="1537"/>
    </row>
    <row r="83" spans="2:33" hidden="1" outlineLevel="1" x14ac:dyDescent="0.25">
      <c r="B83" s="1580"/>
      <c r="C83" s="329"/>
      <c r="D83" s="2956"/>
      <c r="E83" s="574" t="s">
        <v>2306</v>
      </c>
      <c r="F83" s="1541">
        <v>38</v>
      </c>
      <c r="G83" s="1381"/>
      <c r="H83" s="1542" t="s">
        <v>1740</v>
      </c>
      <c r="I83" s="1197"/>
      <c r="J83" s="1197"/>
      <c r="K83" s="355"/>
      <c r="L83" s="355"/>
      <c r="M83" s="355"/>
      <c r="N83" s="355"/>
      <c r="O83" s="355"/>
      <c r="P83" s="355"/>
      <c r="Q83" s="355"/>
      <c r="V83" s="2958"/>
      <c r="W83" s="1537">
        <v>38</v>
      </c>
      <c r="X83" s="1537">
        <v>38</v>
      </c>
      <c r="Y83" s="1541">
        <v>38</v>
      </c>
      <c r="Z83" s="1537"/>
      <c r="AA83" s="1537"/>
      <c r="AB83" s="1537"/>
      <c r="AC83" s="1537"/>
      <c r="AD83" s="1537"/>
      <c r="AE83" s="1537"/>
      <c r="AF83" s="1537"/>
      <c r="AG83" s="1537"/>
    </row>
    <row r="84" spans="2:33" hidden="1" outlineLevel="1" x14ac:dyDescent="0.25">
      <c r="B84" s="1580"/>
      <c r="C84" s="329"/>
      <c r="D84" s="2956"/>
      <c r="E84" s="574" t="s">
        <v>2307</v>
      </c>
      <c r="F84" s="1541">
        <v>49</v>
      </c>
      <c r="G84" s="1381"/>
      <c r="H84" s="1542" t="s">
        <v>1740</v>
      </c>
      <c r="I84" s="1197"/>
      <c r="J84" s="1197"/>
      <c r="K84" s="355"/>
      <c r="L84" s="355"/>
      <c r="M84" s="355"/>
      <c r="N84" s="355"/>
      <c r="O84" s="355"/>
      <c r="P84" s="355"/>
      <c r="Q84" s="355"/>
      <c r="V84" s="2958"/>
      <c r="W84" s="1537">
        <v>49</v>
      </c>
      <c r="X84" s="1537">
        <v>49</v>
      </c>
      <c r="Y84" s="1541">
        <v>49</v>
      </c>
      <c r="Z84" s="1537"/>
      <c r="AA84" s="1537"/>
      <c r="AB84" s="1537"/>
      <c r="AC84" s="1537"/>
      <c r="AD84" s="1537"/>
      <c r="AE84" s="1537"/>
      <c r="AF84" s="1537"/>
      <c r="AG84" s="1537"/>
    </row>
    <row r="85" spans="2:33" hidden="1" outlineLevel="1" x14ac:dyDescent="0.25">
      <c r="B85" s="1580"/>
      <c r="C85" s="329"/>
      <c r="D85" s="2956"/>
      <c r="E85" s="574" t="s">
        <v>2308</v>
      </c>
      <c r="F85" s="1541">
        <v>49</v>
      </c>
      <c r="G85" s="1381"/>
      <c r="H85" s="1542" t="s">
        <v>1740</v>
      </c>
      <c r="I85" s="1197"/>
      <c r="J85" s="1197"/>
      <c r="K85" s="355"/>
      <c r="L85" s="355"/>
      <c r="M85" s="355"/>
      <c r="N85" s="355"/>
      <c r="O85" s="355"/>
      <c r="P85" s="355"/>
      <c r="Q85" s="355"/>
      <c r="V85" s="2958"/>
      <c r="W85" s="1537">
        <v>49</v>
      </c>
      <c r="X85" s="1537">
        <v>49</v>
      </c>
      <c r="Y85" s="1541">
        <v>49</v>
      </c>
      <c r="Z85" s="1537"/>
      <c r="AA85" s="1537"/>
      <c r="AB85" s="1537"/>
      <c r="AC85" s="1537"/>
      <c r="AD85" s="1537"/>
      <c r="AE85" s="1537"/>
      <c r="AF85" s="1537"/>
      <c r="AG85" s="1537"/>
    </row>
    <row r="86" spans="2:33" hidden="1" outlineLevel="1" x14ac:dyDescent="0.25">
      <c r="B86" s="1580"/>
      <c r="C86" s="329"/>
      <c r="D86" s="2956"/>
      <c r="E86" s="574" t="s">
        <v>2309</v>
      </c>
      <c r="F86" s="1541">
        <v>60</v>
      </c>
      <c r="G86" s="1381"/>
      <c r="H86" s="1542" t="s">
        <v>1740</v>
      </c>
      <c r="I86" s="1197"/>
      <c r="J86" s="1197"/>
      <c r="K86" s="355"/>
      <c r="L86" s="355"/>
      <c r="M86" s="355"/>
      <c r="N86" s="355"/>
      <c r="O86" s="355"/>
      <c r="P86" s="355"/>
      <c r="Q86" s="355"/>
      <c r="V86" s="2958"/>
      <c r="W86" s="1537">
        <v>60</v>
      </c>
      <c r="X86" s="1537">
        <v>60</v>
      </c>
      <c r="Y86" s="1541">
        <v>60</v>
      </c>
      <c r="Z86" s="1537"/>
      <c r="AA86" s="1537"/>
      <c r="AB86" s="1537"/>
      <c r="AC86" s="1537"/>
      <c r="AD86" s="1537"/>
      <c r="AE86" s="1537"/>
      <c r="AF86" s="1537"/>
      <c r="AG86" s="1537"/>
    </row>
    <row r="87" spans="2:33" hidden="1" outlineLevel="1" x14ac:dyDescent="0.25">
      <c r="B87" s="1580"/>
      <c r="C87" s="329"/>
      <c r="D87" s="2956"/>
      <c r="E87" s="574" t="s">
        <v>2310</v>
      </c>
      <c r="F87" s="1541">
        <v>60</v>
      </c>
      <c r="G87" s="1381"/>
      <c r="H87" s="1542" t="s">
        <v>1740</v>
      </c>
      <c r="I87" s="1197"/>
      <c r="J87" s="1197"/>
      <c r="K87" s="355"/>
      <c r="L87" s="355"/>
      <c r="M87" s="355"/>
      <c r="N87" s="355"/>
      <c r="O87" s="355"/>
      <c r="P87" s="355"/>
      <c r="Q87" s="355"/>
      <c r="V87" s="2958"/>
      <c r="W87" s="1537">
        <v>60</v>
      </c>
      <c r="X87" s="1537">
        <v>60</v>
      </c>
      <c r="Y87" s="1541">
        <v>60</v>
      </c>
      <c r="Z87" s="1537"/>
      <c r="AA87" s="1537"/>
      <c r="AB87" s="1537"/>
      <c r="AC87" s="1537"/>
      <c r="AD87" s="1537"/>
      <c r="AE87" s="1537"/>
      <c r="AF87" s="1537"/>
      <c r="AG87" s="1537"/>
    </row>
    <row r="88" spans="2:33" ht="15" hidden="1" customHeight="1" outlineLevel="1" x14ac:dyDescent="0.25">
      <c r="B88" s="1339"/>
      <c r="C88" s="329"/>
      <c r="D88" s="2955" t="s">
        <v>2313</v>
      </c>
      <c r="E88" s="574" t="s">
        <v>2301</v>
      </c>
      <c r="F88" s="1541">
        <v>1</v>
      </c>
      <c r="G88" s="1381" t="s">
        <v>1741</v>
      </c>
      <c r="H88" s="1542" t="s">
        <v>3412</v>
      </c>
      <c r="I88" s="1205"/>
      <c r="J88" s="1205"/>
      <c r="K88" s="1339"/>
      <c r="L88" s="1339"/>
      <c r="M88" s="1339"/>
      <c r="N88" s="1339"/>
      <c r="O88" s="1339"/>
      <c r="P88" s="1339"/>
      <c r="Q88" s="1339"/>
      <c r="V88" s="2957" t="str">
        <f>D88</f>
        <v>AAttic</v>
      </c>
      <c r="W88" s="1537">
        <f t="shared" ref="W88:X89" si="27">1347*0.65</f>
        <v>875.55000000000007</v>
      </c>
      <c r="X88" s="1537">
        <f t="shared" si="27"/>
        <v>875.55000000000007</v>
      </c>
      <c r="Y88" s="1217">
        <v>1</v>
      </c>
      <c r="Z88" s="1537"/>
      <c r="AA88" s="1537"/>
      <c r="AB88" s="1537"/>
      <c r="AC88" s="1537"/>
      <c r="AD88" s="1537"/>
      <c r="AE88" s="1537"/>
      <c r="AF88" s="1537"/>
      <c r="AG88" s="1537"/>
    </row>
    <row r="89" spans="2:33" hidden="1" outlineLevel="1" x14ac:dyDescent="0.25">
      <c r="B89" s="1580"/>
      <c r="C89" s="329"/>
      <c r="D89" s="2956"/>
      <c r="E89" s="574" t="s">
        <v>2302</v>
      </c>
      <c r="F89" s="1541">
        <v>1</v>
      </c>
      <c r="G89" s="1381" t="s">
        <v>1741</v>
      </c>
      <c r="H89" s="1542" t="s">
        <v>3412</v>
      </c>
      <c r="I89" s="1197"/>
      <c r="J89" s="1197"/>
      <c r="K89" s="355"/>
      <c r="L89" s="355"/>
      <c r="M89" s="355"/>
      <c r="N89" s="355"/>
      <c r="O89" s="355"/>
      <c r="P89" s="355"/>
      <c r="Q89" s="355"/>
      <c r="V89" s="2958"/>
      <c r="W89" s="1537">
        <f t="shared" si="27"/>
        <v>875.55000000000007</v>
      </c>
      <c r="X89" s="1537">
        <f t="shared" si="27"/>
        <v>875.55000000000007</v>
      </c>
      <c r="Y89" s="1217">
        <v>1</v>
      </c>
      <c r="Z89" s="1537"/>
      <c r="AA89" s="1537"/>
      <c r="AB89" s="1537"/>
      <c r="AC89" s="1537"/>
      <c r="AD89" s="1537"/>
      <c r="AE89" s="1537"/>
      <c r="AF89" s="1537"/>
      <c r="AG89" s="1537"/>
    </row>
    <row r="90" spans="2:33" ht="30" hidden="1" outlineLevel="1" x14ac:dyDescent="0.25">
      <c r="B90" s="1580"/>
      <c r="C90" s="329"/>
      <c r="D90" s="2956"/>
      <c r="E90" s="574" t="s">
        <v>2303</v>
      </c>
      <c r="F90" s="1541">
        <v>1</v>
      </c>
      <c r="G90" s="1381" t="s">
        <v>2314</v>
      </c>
      <c r="H90" s="1542" t="s">
        <v>3413</v>
      </c>
      <c r="I90" s="1197"/>
      <c r="J90" s="1197"/>
      <c r="K90" s="355"/>
      <c r="L90" s="355"/>
      <c r="M90" s="355"/>
      <c r="N90" s="355"/>
      <c r="O90" s="355"/>
      <c r="P90" s="355"/>
      <c r="Q90" s="355"/>
      <c r="V90" s="2958"/>
      <c r="W90" s="1537">
        <f t="shared" ref="W90:X97" si="28">1106*0.65</f>
        <v>718.9</v>
      </c>
      <c r="X90" s="1537">
        <f t="shared" si="28"/>
        <v>718.9</v>
      </c>
      <c r="Y90" s="1217">
        <v>1</v>
      </c>
      <c r="Z90" s="1537"/>
      <c r="AA90" s="1537"/>
      <c r="AB90" s="1537"/>
      <c r="AC90" s="1537"/>
      <c r="AD90" s="1537"/>
      <c r="AE90" s="1537"/>
      <c r="AF90" s="1537"/>
      <c r="AG90" s="1537"/>
    </row>
    <row r="91" spans="2:33" ht="30" hidden="1" outlineLevel="1" x14ac:dyDescent="0.25">
      <c r="B91" s="1580"/>
      <c r="C91" s="329"/>
      <c r="D91" s="2956"/>
      <c r="E91" s="574" t="s">
        <v>2304</v>
      </c>
      <c r="F91" s="1541">
        <v>1</v>
      </c>
      <c r="G91" s="1381" t="s">
        <v>2314</v>
      </c>
      <c r="H91" s="1542" t="s">
        <v>3413</v>
      </c>
      <c r="I91" s="1197"/>
      <c r="J91" s="1197"/>
      <c r="K91" s="355"/>
      <c r="L91" s="355"/>
      <c r="M91" s="355"/>
      <c r="N91" s="355"/>
      <c r="O91" s="355"/>
      <c r="P91" s="355"/>
      <c r="Q91" s="355"/>
      <c r="V91" s="2958"/>
      <c r="W91" s="1537">
        <f t="shared" si="28"/>
        <v>718.9</v>
      </c>
      <c r="X91" s="1537">
        <f t="shared" si="28"/>
        <v>718.9</v>
      </c>
      <c r="Y91" s="1217">
        <v>1</v>
      </c>
      <c r="Z91" s="1537"/>
      <c r="AA91" s="1537"/>
      <c r="AB91" s="1537"/>
      <c r="AC91" s="1537"/>
      <c r="AD91" s="1537"/>
      <c r="AE91" s="1537"/>
      <c r="AF91" s="1537"/>
      <c r="AG91" s="1537"/>
    </row>
    <row r="92" spans="2:33" ht="30" hidden="1" outlineLevel="1" x14ac:dyDescent="0.25">
      <c r="B92" s="1580"/>
      <c r="C92" s="329"/>
      <c r="D92" s="2956"/>
      <c r="E92" s="574" t="s">
        <v>2305</v>
      </c>
      <c r="F92" s="1541">
        <v>1</v>
      </c>
      <c r="G92" s="1381" t="s">
        <v>2314</v>
      </c>
      <c r="H92" s="1542" t="s">
        <v>3413</v>
      </c>
      <c r="I92" s="1197"/>
      <c r="J92" s="1197"/>
      <c r="K92" s="355"/>
      <c r="L92" s="355"/>
      <c r="M92" s="355"/>
      <c r="N92" s="355"/>
      <c r="O92" s="355"/>
      <c r="P92" s="355"/>
      <c r="Q92" s="355"/>
      <c r="V92" s="2958"/>
      <c r="W92" s="1537">
        <f t="shared" si="28"/>
        <v>718.9</v>
      </c>
      <c r="X92" s="1537">
        <f t="shared" si="28"/>
        <v>718.9</v>
      </c>
      <c r="Y92" s="1217">
        <v>1</v>
      </c>
      <c r="Z92" s="1537"/>
      <c r="AA92" s="1537"/>
      <c r="AB92" s="1537"/>
      <c r="AC92" s="1537"/>
      <c r="AD92" s="1537"/>
      <c r="AE92" s="1537"/>
      <c r="AF92" s="1537"/>
      <c r="AG92" s="1537"/>
    </row>
    <row r="93" spans="2:33" ht="30" hidden="1" outlineLevel="1" x14ac:dyDescent="0.25">
      <c r="B93" s="1580"/>
      <c r="C93" s="329"/>
      <c r="D93" s="2956"/>
      <c r="E93" s="574" t="s">
        <v>2306</v>
      </c>
      <c r="F93" s="1541">
        <v>1</v>
      </c>
      <c r="G93" s="1381" t="s">
        <v>2314</v>
      </c>
      <c r="H93" s="1542" t="s">
        <v>3413</v>
      </c>
      <c r="I93" s="1197"/>
      <c r="J93" s="1197"/>
      <c r="K93" s="355"/>
      <c r="L93" s="355"/>
      <c r="M93" s="355"/>
      <c r="N93" s="355"/>
      <c r="O93" s="355"/>
      <c r="P93" s="355"/>
      <c r="Q93" s="355"/>
      <c r="V93" s="2958"/>
      <c r="W93" s="1537">
        <f t="shared" si="28"/>
        <v>718.9</v>
      </c>
      <c r="X93" s="1537">
        <f t="shared" si="28"/>
        <v>718.9</v>
      </c>
      <c r="Y93" s="1217">
        <v>1</v>
      </c>
      <c r="Z93" s="1537"/>
      <c r="AA93" s="1537"/>
      <c r="AB93" s="1537"/>
      <c r="AC93" s="1537"/>
      <c r="AD93" s="1537"/>
      <c r="AE93" s="1537"/>
      <c r="AF93" s="1537"/>
      <c r="AG93" s="1537"/>
    </row>
    <row r="94" spans="2:33" hidden="1" outlineLevel="1" x14ac:dyDescent="0.25">
      <c r="B94" s="1580"/>
      <c r="C94" s="329"/>
      <c r="D94" s="2956"/>
      <c r="E94" s="574" t="s">
        <v>2307</v>
      </c>
      <c r="F94" s="1541">
        <v>1</v>
      </c>
      <c r="G94" s="1381" t="s">
        <v>1741</v>
      </c>
      <c r="H94" s="1542" t="s">
        <v>3413</v>
      </c>
      <c r="I94" s="1197"/>
      <c r="J94" s="1197"/>
      <c r="K94" s="355"/>
      <c r="L94" s="355"/>
      <c r="M94" s="355"/>
      <c r="N94" s="355"/>
      <c r="O94" s="355"/>
      <c r="P94" s="355"/>
      <c r="Q94" s="355"/>
      <c r="V94" s="2958"/>
      <c r="W94" s="1537">
        <f t="shared" si="28"/>
        <v>718.9</v>
      </c>
      <c r="X94" s="1537">
        <f t="shared" si="28"/>
        <v>718.9</v>
      </c>
      <c r="Y94" s="1217">
        <v>1</v>
      </c>
      <c r="Z94" s="1537"/>
      <c r="AA94" s="1537"/>
      <c r="AB94" s="1537"/>
      <c r="AC94" s="1537"/>
      <c r="AD94" s="1537"/>
      <c r="AE94" s="1537"/>
      <c r="AF94" s="1537"/>
      <c r="AG94" s="1537"/>
    </row>
    <row r="95" spans="2:33" hidden="1" outlineLevel="1" x14ac:dyDescent="0.25">
      <c r="B95" s="1580"/>
      <c r="C95" s="329"/>
      <c r="D95" s="2956"/>
      <c r="E95" s="574" t="s">
        <v>2308</v>
      </c>
      <c r="F95" s="1541">
        <v>1</v>
      </c>
      <c r="G95" s="1381" t="s">
        <v>1741</v>
      </c>
      <c r="H95" s="1542" t="s">
        <v>3413</v>
      </c>
      <c r="I95" s="1197"/>
      <c r="J95" s="1197"/>
      <c r="K95" s="355"/>
      <c r="L95" s="355"/>
      <c r="M95" s="355"/>
      <c r="N95" s="355"/>
      <c r="O95" s="355"/>
      <c r="P95" s="355"/>
      <c r="Q95" s="355"/>
      <c r="V95" s="2958"/>
      <c r="W95" s="1537">
        <f t="shared" si="28"/>
        <v>718.9</v>
      </c>
      <c r="X95" s="1537">
        <f t="shared" si="28"/>
        <v>718.9</v>
      </c>
      <c r="Y95" s="1217">
        <v>1</v>
      </c>
      <c r="Z95" s="1537"/>
      <c r="AA95" s="1537"/>
      <c r="AB95" s="1537"/>
      <c r="AC95" s="1537"/>
      <c r="AD95" s="1537"/>
      <c r="AE95" s="1537"/>
      <c r="AF95" s="1537"/>
      <c r="AG95" s="1537"/>
    </row>
    <row r="96" spans="2:33" ht="30" hidden="1" outlineLevel="1" x14ac:dyDescent="0.25">
      <c r="B96" s="1580"/>
      <c r="C96" s="329"/>
      <c r="D96" s="2956"/>
      <c r="E96" s="574" t="s">
        <v>2309</v>
      </c>
      <c r="F96" s="1541">
        <v>1</v>
      </c>
      <c r="G96" s="1381" t="s">
        <v>2314</v>
      </c>
      <c r="H96" s="1542" t="s">
        <v>3413</v>
      </c>
      <c r="I96" s="1197"/>
      <c r="J96" s="1197"/>
      <c r="K96" s="355"/>
      <c r="L96" s="355"/>
      <c r="M96" s="355"/>
      <c r="N96" s="355"/>
      <c r="O96" s="355"/>
      <c r="P96" s="355"/>
      <c r="Q96" s="355"/>
      <c r="V96" s="2958"/>
      <c r="W96" s="1537">
        <f t="shared" si="28"/>
        <v>718.9</v>
      </c>
      <c r="X96" s="1537">
        <f t="shared" si="28"/>
        <v>718.9</v>
      </c>
      <c r="Y96" s="1217">
        <v>1</v>
      </c>
      <c r="Z96" s="1537"/>
      <c r="AA96" s="1537"/>
      <c r="AB96" s="1537"/>
      <c r="AC96" s="1537"/>
      <c r="AD96" s="1537"/>
      <c r="AE96" s="1537"/>
      <c r="AF96" s="1537"/>
      <c r="AG96" s="1537"/>
    </row>
    <row r="97" spans="2:33" ht="30" hidden="1" outlineLevel="1" x14ac:dyDescent="0.25">
      <c r="B97" s="1580"/>
      <c r="C97" s="329"/>
      <c r="D97" s="2956"/>
      <c r="E97" s="574" t="s">
        <v>2310</v>
      </c>
      <c r="F97" s="1541">
        <v>1</v>
      </c>
      <c r="G97" s="1381" t="s">
        <v>2315</v>
      </c>
      <c r="H97" s="1542" t="s">
        <v>3413</v>
      </c>
      <c r="I97" s="1197"/>
      <c r="J97" s="1197"/>
      <c r="K97" s="355"/>
      <c r="L97" s="355"/>
      <c r="M97" s="355"/>
      <c r="N97" s="355"/>
      <c r="O97" s="355"/>
      <c r="P97" s="355"/>
      <c r="Q97" s="355"/>
      <c r="V97" s="2958"/>
      <c r="W97" s="1537">
        <f t="shared" si="28"/>
        <v>718.9</v>
      </c>
      <c r="X97" s="1537">
        <f t="shared" si="28"/>
        <v>718.9</v>
      </c>
      <c r="Y97" s="1217">
        <v>1</v>
      </c>
      <c r="Z97" s="1537"/>
      <c r="AA97" s="1537"/>
      <c r="AB97" s="1537"/>
      <c r="AC97" s="1537"/>
      <c r="AD97" s="1537"/>
      <c r="AE97" s="1537"/>
      <c r="AF97" s="1537"/>
      <c r="AG97" s="1537"/>
    </row>
    <row r="98" spans="2:33" ht="18" hidden="1" outlineLevel="1" x14ac:dyDescent="0.25">
      <c r="B98" s="1339"/>
      <c r="C98" s="329"/>
      <c r="D98" s="1709" t="s">
        <v>2316</v>
      </c>
      <c r="E98" s="574" t="s">
        <v>637</v>
      </c>
      <c r="F98" s="1233">
        <v>7.0000000000000007E-2</v>
      </c>
      <c r="G98" s="1381" t="s">
        <v>1747</v>
      </c>
      <c r="H98" s="1542"/>
      <c r="I98" s="1205"/>
      <c r="J98" s="1205"/>
      <c r="K98" s="1339"/>
      <c r="L98" s="1339"/>
      <c r="M98" s="1339"/>
      <c r="N98" s="1339"/>
      <c r="O98" s="1339"/>
      <c r="P98" s="1339"/>
      <c r="Q98" s="1339"/>
      <c r="V98" s="1204" t="str">
        <f>D98</f>
        <v>Framing FactorAttic</v>
      </c>
      <c r="W98" s="652">
        <v>7.0000000000000007E-2</v>
      </c>
      <c r="X98" s="652">
        <v>7.0000000000000007E-2</v>
      </c>
      <c r="Y98" s="1233">
        <v>7.0000000000000007E-2</v>
      </c>
      <c r="Z98" s="652"/>
      <c r="AA98" s="652"/>
      <c r="AB98" s="652"/>
      <c r="AC98" s="652"/>
      <c r="AD98" s="652"/>
      <c r="AE98" s="652"/>
      <c r="AF98" s="652"/>
      <c r="AG98" s="652"/>
    </row>
    <row r="99" spans="2:33" hidden="1" outlineLevel="1" x14ac:dyDescent="0.25">
      <c r="B99" s="1339"/>
      <c r="C99" s="329"/>
      <c r="D99" s="1709" t="s">
        <v>1748</v>
      </c>
      <c r="E99" s="574" t="s">
        <v>637</v>
      </c>
      <c r="F99" s="1541">
        <v>4486</v>
      </c>
      <c r="G99" s="1381" t="s">
        <v>791</v>
      </c>
      <c r="H99" s="1542" t="s">
        <v>1749</v>
      </c>
      <c r="I99" s="1205"/>
      <c r="J99" s="1205"/>
      <c r="K99" s="1339"/>
      <c r="L99" s="1339"/>
      <c r="M99" s="1339"/>
      <c r="N99" s="1339"/>
      <c r="O99" s="1339"/>
      <c r="P99" s="1339"/>
      <c r="Q99" s="1339"/>
      <c r="V99" s="1204" t="str">
        <f t="shared" ref="V99:V100" si="29">D99</f>
        <v>HDD</v>
      </c>
      <c r="W99" s="1537">
        <v>4486</v>
      </c>
      <c r="X99" s="1537">
        <v>4486</v>
      </c>
      <c r="Y99" s="1541">
        <v>4486</v>
      </c>
      <c r="Z99" s="1539"/>
      <c r="AA99" s="1537"/>
      <c r="AB99" s="1537"/>
      <c r="AC99" s="1537"/>
      <c r="AD99" s="1537"/>
      <c r="AE99" s="1537"/>
      <c r="AF99" s="1537"/>
      <c r="AG99" s="1537"/>
    </row>
    <row r="100" spans="2:33" ht="18" hidden="1" outlineLevel="1" x14ac:dyDescent="0.25">
      <c r="B100" s="1339"/>
      <c r="C100" s="329"/>
      <c r="D100" s="1709" t="s">
        <v>2317</v>
      </c>
      <c r="E100" s="574" t="s">
        <v>637</v>
      </c>
      <c r="F100" s="1233">
        <v>0.74</v>
      </c>
      <c r="G100" s="1381" t="s">
        <v>767</v>
      </c>
      <c r="H100" s="1542"/>
      <c r="I100" s="1205"/>
      <c r="J100" s="1205"/>
      <c r="K100" s="1339"/>
      <c r="L100" s="1339"/>
      <c r="M100" s="1339"/>
      <c r="N100" s="1339"/>
      <c r="O100" s="1339"/>
      <c r="P100" s="1339"/>
      <c r="Q100" s="1339"/>
      <c r="V100" s="1204" t="str">
        <f t="shared" si="29"/>
        <v>AdjAttic</v>
      </c>
      <c r="W100" s="652">
        <v>0.74</v>
      </c>
      <c r="X100" s="652">
        <v>0.74</v>
      </c>
      <c r="Y100" s="1233">
        <v>0.74</v>
      </c>
      <c r="Z100" s="652"/>
      <c r="AA100" s="652"/>
      <c r="AB100" s="652"/>
      <c r="AC100" s="652"/>
      <c r="AD100" s="652"/>
      <c r="AE100" s="652"/>
      <c r="AF100" s="652"/>
      <c r="AG100" s="652"/>
    </row>
    <row r="101" spans="2:33" hidden="1" outlineLevel="1" x14ac:dyDescent="0.25">
      <c r="B101" s="1339"/>
      <c r="C101" s="329"/>
      <c r="D101" s="2955" t="s">
        <v>1750</v>
      </c>
      <c r="E101" s="574" t="s">
        <v>2301</v>
      </c>
      <c r="F101" s="1228">
        <v>1</v>
      </c>
      <c r="G101" s="1542" t="s">
        <v>2318</v>
      </c>
      <c r="H101" s="3152" t="s">
        <v>770</v>
      </c>
      <c r="I101" s="1205"/>
      <c r="J101" s="1205"/>
      <c r="K101" s="1339"/>
      <c r="L101" s="1339"/>
      <c r="M101" s="1339"/>
      <c r="N101" s="1339"/>
      <c r="O101" s="1339"/>
      <c r="P101" s="1339"/>
      <c r="Q101" s="1339"/>
      <c r="V101" s="2957" t="str">
        <f>D101</f>
        <v>ƞheat</v>
      </c>
      <c r="W101" s="1540">
        <v>1</v>
      </c>
      <c r="X101" s="1540">
        <v>1</v>
      </c>
      <c r="Y101" s="1228">
        <v>1</v>
      </c>
      <c r="Z101" s="1540"/>
      <c r="AA101" s="1540"/>
      <c r="AB101" s="1540"/>
      <c r="AC101" s="1540"/>
      <c r="AD101" s="1540"/>
      <c r="AE101" s="1540"/>
      <c r="AF101" s="1540"/>
      <c r="AG101" s="1540"/>
    </row>
    <row r="102" spans="2:33" hidden="1" outlineLevel="1" x14ac:dyDescent="0.25">
      <c r="B102" s="1339"/>
      <c r="C102" s="329"/>
      <c r="D102" s="2956"/>
      <c r="E102" s="574" t="s">
        <v>2302</v>
      </c>
      <c r="F102" s="1233">
        <v>0.71</v>
      </c>
      <c r="G102" s="1542" t="s">
        <v>1741</v>
      </c>
      <c r="H102" s="3153" t="s">
        <v>1741</v>
      </c>
      <c r="I102" s="1205"/>
      <c r="J102" s="1205"/>
      <c r="K102" s="1339"/>
      <c r="L102" s="1339"/>
      <c r="M102" s="1339"/>
      <c r="N102" s="1339"/>
      <c r="O102" s="1339"/>
      <c r="P102" s="1339"/>
      <c r="Q102" s="1339"/>
      <c r="V102" s="2958"/>
      <c r="W102" s="652">
        <v>0.71</v>
      </c>
      <c r="X102" s="652">
        <v>0.71</v>
      </c>
      <c r="Y102" s="1233">
        <v>0.71</v>
      </c>
      <c r="Z102" s="652"/>
      <c r="AA102" s="652"/>
      <c r="AB102" s="652"/>
      <c r="AC102" s="652"/>
      <c r="AD102" s="652"/>
      <c r="AE102" s="652"/>
      <c r="AF102" s="652"/>
      <c r="AG102" s="652"/>
    </row>
    <row r="103" spans="2:33" hidden="1" outlineLevel="1" x14ac:dyDescent="0.25">
      <c r="B103" s="1339"/>
      <c r="C103" s="329"/>
      <c r="D103" s="2956"/>
      <c r="E103" s="574" t="s">
        <v>2303</v>
      </c>
      <c r="F103" s="1228">
        <v>1</v>
      </c>
      <c r="G103" s="1542"/>
      <c r="H103" s="3153"/>
      <c r="I103" s="1205"/>
      <c r="J103" s="1205"/>
      <c r="K103" s="1339"/>
      <c r="L103" s="1339"/>
      <c r="M103" s="1339"/>
      <c r="N103" s="1339"/>
      <c r="O103" s="1339"/>
      <c r="P103" s="1339"/>
      <c r="Q103" s="1339"/>
      <c r="V103" s="2958"/>
      <c r="W103" s="1540">
        <v>1</v>
      </c>
      <c r="X103" s="1540">
        <v>1</v>
      </c>
      <c r="Y103" s="1228">
        <v>1</v>
      </c>
      <c r="Z103" s="1540"/>
      <c r="AA103" s="1540"/>
      <c r="AB103" s="1540"/>
      <c r="AC103" s="1540"/>
      <c r="AD103" s="1540"/>
      <c r="AE103" s="1540"/>
      <c r="AF103" s="1540"/>
      <c r="AG103" s="1540"/>
    </row>
    <row r="104" spans="2:33" hidden="1" outlineLevel="1" x14ac:dyDescent="0.25">
      <c r="B104" s="1339"/>
      <c r="C104" s="329"/>
      <c r="D104" s="2956"/>
      <c r="E104" s="574" t="s">
        <v>2304</v>
      </c>
      <c r="F104" s="1233">
        <v>0.71</v>
      </c>
      <c r="G104" s="1542" t="s">
        <v>1741</v>
      </c>
      <c r="H104" s="3153" t="s">
        <v>1741</v>
      </c>
      <c r="I104" s="1205"/>
      <c r="J104" s="1205"/>
      <c r="K104" s="1339"/>
      <c r="L104" s="1339"/>
      <c r="M104" s="1339"/>
      <c r="N104" s="1339"/>
      <c r="O104" s="1339"/>
      <c r="P104" s="1339"/>
      <c r="Q104" s="1339"/>
      <c r="V104" s="2958"/>
      <c r="W104" s="652">
        <v>0.71</v>
      </c>
      <c r="X104" s="652">
        <v>0.71</v>
      </c>
      <c r="Y104" s="1233">
        <v>0.71</v>
      </c>
      <c r="Z104" s="652"/>
      <c r="AA104" s="652"/>
      <c r="AB104" s="652"/>
      <c r="AC104" s="652"/>
      <c r="AD104" s="652"/>
      <c r="AE104" s="652"/>
      <c r="AF104" s="652"/>
      <c r="AG104" s="652"/>
    </row>
    <row r="105" spans="2:33" hidden="1" outlineLevel="1" x14ac:dyDescent="0.25">
      <c r="B105" s="1339"/>
      <c r="C105" s="329"/>
      <c r="D105" s="2956"/>
      <c r="E105" s="574" t="s">
        <v>2305</v>
      </c>
      <c r="F105" s="1228">
        <v>1</v>
      </c>
      <c r="G105" s="1542"/>
      <c r="H105" s="3153"/>
      <c r="I105" s="1205"/>
      <c r="J105" s="1205"/>
      <c r="K105" s="1339"/>
      <c r="L105" s="1339"/>
      <c r="M105" s="1339"/>
      <c r="N105" s="1339"/>
      <c r="O105" s="1339"/>
      <c r="P105" s="1339"/>
      <c r="Q105" s="1339"/>
      <c r="V105" s="2958"/>
      <c r="W105" s="1540">
        <v>1</v>
      </c>
      <c r="X105" s="1540">
        <v>1</v>
      </c>
      <c r="Y105" s="1228">
        <v>1</v>
      </c>
      <c r="Z105" s="1540"/>
      <c r="AA105" s="1540"/>
      <c r="AB105" s="1540"/>
      <c r="AC105" s="1540"/>
      <c r="AD105" s="1540"/>
      <c r="AE105" s="1540"/>
      <c r="AF105" s="1540"/>
      <c r="AG105" s="1540"/>
    </row>
    <row r="106" spans="2:33" hidden="1" outlineLevel="1" x14ac:dyDescent="0.25">
      <c r="B106" s="1339"/>
      <c r="C106" s="329"/>
      <c r="D106" s="2956"/>
      <c r="E106" s="574" t="s">
        <v>2306</v>
      </c>
      <c r="F106" s="1233">
        <v>0.71</v>
      </c>
      <c r="G106" s="1542" t="s">
        <v>1741</v>
      </c>
      <c r="H106" s="3153" t="s">
        <v>1741</v>
      </c>
      <c r="I106" s="1205"/>
      <c r="J106" s="1205"/>
      <c r="K106" s="1339"/>
      <c r="L106" s="1339"/>
      <c r="M106" s="1339"/>
      <c r="N106" s="1339"/>
      <c r="O106" s="1339"/>
      <c r="P106" s="1339"/>
      <c r="Q106" s="1339"/>
      <c r="V106" s="2958"/>
      <c r="W106" s="652">
        <v>0.71</v>
      </c>
      <c r="X106" s="652">
        <v>0.71</v>
      </c>
      <c r="Y106" s="1233">
        <v>0.71</v>
      </c>
      <c r="Z106" s="652"/>
      <c r="AA106" s="652"/>
      <c r="AB106" s="652"/>
      <c r="AC106" s="652"/>
      <c r="AD106" s="652"/>
      <c r="AE106" s="652"/>
      <c r="AF106" s="652"/>
      <c r="AG106" s="652"/>
    </row>
    <row r="107" spans="2:33" hidden="1" outlineLevel="1" x14ac:dyDescent="0.25">
      <c r="B107" s="1339"/>
      <c r="C107" s="329"/>
      <c r="D107" s="2956"/>
      <c r="E107" s="574" t="s">
        <v>2307</v>
      </c>
      <c r="F107" s="1228">
        <v>1</v>
      </c>
      <c r="G107" s="1542"/>
      <c r="H107" s="3153"/>
      <c r="I107" s="1205"/>
      <c r="J107" s="1205"/>
      <c r="K107" s="1339"/>
      <c r="L107" s="1339"/>
      <c r="M107" s="1339"/>
      <c r="N107" s="1339"/>
      <c r="O107" s="1339"/>
      <c r="P107" s="1339"/>
      <c r="Q107" s="1339"/>
      <c r="V107" s="2958"/>
      <c r="W107" s="1540">
        <v>1</v>
      </c>
      <c r="X107" s="1540">
        <v>1</v>
      </c>
      <c r="Y107" s="1228">
        <v>1</v>
      </c>
      <c r="Z107" s="1540"/>
      <c r="AA107" s="1540"/>
      <c r="AB107" s="1540"/>
      <c r="AC107" s="1540"/>
      <c r="AD107" s="1540"/>
      <c r="AE107" s="1540"/>
      <c r="AF107" s="1540"/>
      <c r="AG107" s="1540"/>
    </row>
    <row r="108" spans="2:33" hidden="1" outlineLevel="1" x14ac:dyDescent="0.25">
      <c r="B108" s="1339"/>
      <c r="C108" s="329"/>
      <c r="D108" s="2956"/>
      <c r="E108" s="574" t="s">
        <v>2308</v>
      </c>
      <c r="F108" s="1233">
        <v>0.71</v>
      </c>
      <c r="G108" s="1542" t="s">
        <v>1741</v>
      </c>
      <c r="H108" s="3153" t="s">
        <v>1741</v>
      </c>
      <c r="I108" s="1205"/>
      <c r="J108" s="1205"/>
      <c r="K108" s="1339"/>
      <c r="L108" s="1339"/>
      <c r="M108" s="1339"/>
      <c r="N108" s="1339"/>
      <c r="O108" s="1339"/>
      <c r="P108" s="1339"/>
      <c r="Q108" s="1339"/>
      <c r="V108" s="2958"/>
      <c r="W108" s="652">
        <v>0.71</v>
      </c>
      <c r="X108" s="652">
        <v>0.71</v>
      </c>
      <c r="Y108" s="1233">
        <v>0.71</v>
      </c>
      <c r="Z108" s="652"/>
      <c r="AA108" s="652"/>
      <c r="AB108" s="652"/>
      <c r="AC108" s="652"/>
      <c r="AD108" s="652"/>
      <c r="AE108" s="652"/>
      <c r="AF108" s="652"/>
      <c r="AG108" s="652"/>
    </row>
    <row r="109" spans="2:33" hidden="1" outlineLevel="1" x14ac:dyDescent="0.25">
      <c r="B109" s="1339"/>
      <c r="C109" s="329"/>
      <c r="D109" s="2956"/>
      <c r="E109" s="574" t="s">
        <v>2309</v>
      </c>
      <c r="F109" s="1228">
        <v>1</v>
      </c>
      <c r="G109" s="1542"/>
      <c r="H109" s="3153"/>
      <c r="I109" s="1205"/>
      <c r="J109" s="1205"/>
      <c r="K109" s="1339"/>
      <c r="L109" s="1339"/>
      <c r="M109" s="1339"/>
      <c r="N109" s="1339"/>
      <c r="O109" s="1339"/>
      <c r="P109" s="1339"/>
      <c r="Q109" s="1339"/>
      <c r="V109" s="2958"/>
      <c r="W109" s="1540">
        <v>1</v>
      </c>
      <c r="X109" s="1540">
        <v>1</v>
      </c>
      <c r="Y109" s="1228">
        <v>1</v>
      </c>
      <c r="Z109" s="1540"/>
      <c r="AA109" s="1540"/>
      <c r="AB109" s="1540"/>
      <c r="AC109" s="1540"/>
      <c r="AD109" s="1540"/>
      <c r="AE109" s="1540"/>
      <c r="AF109" s="1540"/>
      <c r="AG109" s="1540"/>
    </row>
    <row r="110" spans="2:33" hidden="1" outlineLevel="1" x14ac:dyDescent="0.25">
      <c r="B110" s="1339"/>
      <c r="C110" s="329"/>
      <c r="D110" s="2956"/>
      <c r="E110" s="574" t="s">
        <v>2310</v>
      </c>
      <c r="F110" s="1233">
        <v>0.71</v>
      </c>
      <c r="G110" s="1542" t="s">
        <v>1741</v>
      </c>
      <c r="H110" s="3154" t="s">
        <v>1741</v>
      </c>
      <c r="I110" s="1205"/>
      <c r="J110" s="1205"/>
      <c r="K110" s="1339"/>
      <c r="L110" s="1339"/>
      <c r="M110" s="1339"/>
      <c r="N110" s="1339"/>
      <c r="O110" s="1339"/>
      <c r="P110" s="1339"/>
      <c r="Q110" s="1339"/>
      <c r="V110" s="2958"/>
      <c r="W110" s="652">
        <v>0.71</v>
      </c>
      <c r="X110" s="652">
        <v>0.71</v>
      </c>
      <c r="Y110" s="1233">
        <v>0.71</v>
      </c>
      <c r="Z110" s="652"/>
      <c r="AA110" s="652"/>
      <c r="AB110" s="652"/>
      <c r="AC110" s="652"/>
      <c r="AD110" s="652"/>
      <c r="AE110" s="652"/>
      <c r="AF110" s="652"/>
      <c r="AG110" s="652"/>
    </row>
    <row r="111" spans="2:33" hidden="1" outlineLevel="1" x14ac:dyDescent="0.25">
      <c r="B111" s="1339"/>
      <c r="C111" s="329"/>
      <c r="D111" s="2980" t="s">
        <v>784</v>
      </c>
      <c r="E111" s="574" t="s">
        <v>2301</v>
      </c>
      <c r="F111" s="1228">
        <f t="shared" ref="F111:F120" si="30">(1-F58)*(1/(F68+5)-1/(F78+5))*F88*(1-F$98)*F$99*24*F$100/(F101*10000)</f>
        <v>0</v>
      </c>
      <c r="G111" s="1381" t="s">
        <v>785</v>
      </c>
      <c r="H111" s="1542"/>
      <c r="I111" s="1205"/>
      <c r="J111" s="1205"/>
      <c r="K111" s="1339"/>
      <c r="L111" s="1339"/>
      <c r="M111" s="1339"/>
      <c r="N111" s="1339"/>
      <c r="O111" s="1339"/>
      <c r="P111" s="1339"/>
      <c r="Q111" s="1339"/>
      <c r="V111" s="3150" t="str">
        <f>D111</f>
        <v>∆Therms</v>
      </c>
      <c r="W111" s="1540">
        <f t="shared" ref="W111:Y120" si="31">(1-W58)*(1/(W68+5)-1/(W78+5))*W88*(1-W$98)*W$99*24*W$100/(W101*10000)</f>
        <v>0</v>
      </c>
      <c r="X111" s="1540">
        <f t="shared" si="31"/>
        <v>0</v>
      </c>
      <c r="Y111" s="1228">
        <f t="shared" si="31"/>
        <v>0</v>
      </c>
      <c r="Z111" s="1540"/>
      <c r="AA111" s="1540"/>
      <c r="AB111" s="1540"/>
      <c r="AC111" s="1540"/>
      <c r="AD111" s="1540"/>
      <c r="AE111" s="1540"/>
      <c r="AF111" s="1540"/>
      <c r="AG111" s="1540"/>
    </row>
    <row r="112" spans="2:33" hidden="1" outlineLevel="1" x14ac:dyDescent="0.25">
      <c r="B112" s="1339"/>
      <c r="C112" s="329"/>
      <c r="D112" s="2981"/>
      <c r="E112" s="574" t="s">
        <v>2302</v>
      </c>
      <c r="F112" s="1228">
        <f t="shared" si="30"/>
        <v>0.45898308920187786</v>
      </c>
      <c r="G112" s="1381" t="s">
        <v>785</v>
      </c>
      <c r="H112" s="1542"/>
      <c r="I112" s="1205"/>
      <c r="J112" s="1205"/>
      <c r="K112" s="1339"/>
      <c r="L112" s="1339"/>
      <c r="M112" s="1339"/>
      <c r="N112" s="1339"/>
      <c r="O112" s="1339"/>
      <c r="P112" s="1339"/>
      <c r="Q112" s="1339"/>
      <c r="V112" s="3151"/>
      <c r="W112" s="1540">
        <f t="shared" si="31"/>
        <v>401.86264375070419</v>
      </c>
      <c r="X112" s="1540">
        <f t="shared" si="31"/>
        <v>401.86264375070419</v>
      </c>
      <c r="Y112" s="1203">
        <f t="shared" si="31"/>
        <v>0.45898308920187786</v>
      </c>
      <c r="Z112" s="1540"/>
      <c r="AA112" s="1540"/>
      <c r="AB112" s="1540"/>
      <c r="AC112" s="1540"/>
      <c r="AD112" s="1540"/>
      <c r="AE112" s="1540"/>
      <c r="AF112" s="1540"/>
      <c r="AG112" s="1540"/>
    </row>
    <row r="113" spans="2:33" hidden="1" outlineLevel="1" x14ac:dyDescent="0.25">
      <c r="B113" s="1339"/>
      <c r="C113" s="329"/>
      <c r="D113" s="2981"/>
      <c r="E113" s="574" t="s">
        <v>2303</v>
      </c>
      <c r="F113" s="1228">
        <f t="shared" si="30"/>
        <v>0</v>
      </c>
      <c r="G113" s="1381" t="s">
        <v>785</v>
      </c>
      <c r="H113" s="1542"/>
      <c r="I113" s="1205"/>
      <c r="J113" s="1205"/>
      <c r="K113" s="1339"/>
      <c r="L113" s="1339"/>
      <c r="M113" s="1339"/>
      <c r="N113" s="1339"/>
      <c r="O113" s="1339"/>
      <c r="P113" s="1339"/>
      <c r="Q113" s="1339"/>
      <c r="V113" s="3151"/>
      <c r="W113" s="1540">
        <f t="shared" si="31"/>
        <v>0</v>
      </c>
      <c r="X113" s="1540">
        <f t="shared" si="31"/>
        <v>0</v>
      </c>
      <c r="Y113" s="1203">
        <f t="shared" si="31"/>
        <v>0</v>
      </c>
      <c r="Z113" s="1540"/>
      <c r="AA113" s="1540"/>
      <c r="AB113" s="1540"/>
      <c r="AC113" s="1540"/>
      <c r="AD113" s="1540"/>
      <c r="AE113" s="1540"/>
      <c r="AF113" s="1540"/>
      <c r="AG113" s="1540"/>
    </row>
    <row r="114" spans="2:33" hidden="1" outlineLevel="1" x14ac:dyDescent="0.25">
      <c r="B114" s="1339"/>
      <c r="C114" s="329"/>
      <c r="D114" s="2981"/>
      <c r="E114" s="574" t="s">
        <v>2304</v>
      </c>
      <c r="F114" s="1228">
        <f t="shared" si="30"/>
        <v>0.74541614486921526</v>
      </c>
      <c r="G114" s="1381" t="s">
        <v>785</v>
      </c>
      <c r="H114" s="1542"/>
      <c r="I114" s="1205"/>
      <c r="J114" s="1205"/>
      <c r="K114" s="1339"/>
      <c r="L114" s="1339"/>
      <c r="M114" s="1339"/>
      <c r="N114" s="1339"/>
      <c r="O114" s="1339"/>
      <c r="P114" s="1339"/>
      <c r="Q114" s="1339"/>
      <c r="V114" s="3151"/>
      <c r="W114" s="1540">
        <f t="shared" si="31"/>
        <v>535.87966654647892</v>
      </c>
      <c r="X114" s="1540">
        <f t="shared" si="31"/>
        <v>535.87966654647892</v>
      </c>
      <c r="Y114" s="1203">
        <f t="shared" si="31"/>
        <v>0.74541614486921526</v>
      </c>
      <c r="Z114" s="1540"/>
      <c r="AA114" s="1540"/>
      <c r="AB114" s="1540"/>
      <c r="AC114" s="1540"/>
      <c r="AD114" s="1540"/>
      <c r="AE114" s="1540"/>
      <c r="AF114" s="1540"/>
      <c r="AG114" s="1540"/>
    </row>
    <row r="115" spans="2:33" hidden="1" outlineLevel="1" x14ac:dyDescent="0.25">
      <c r="B115" s="1339"/>
      <c r="C115" s="329"/>
      <c r="D115" s="2981"/>
      <c r="E115" s="574" t="s">
        <v>2305</v>
      </c>
      <c r="F115" s="1228">
        <f t="shared" si="30"/>
        <v>0</v>
      </c>
      <c r="G115" s="1381" t="s">
        <v>785</v>
      </c>
      <c r="H115" s="1542"/>
      <c r="I115" s="1205"/>
      <c r="J115" s="1205"/>
      <c r="K115" s="1339"/>
      <c r="L115" s="1339"/>
      <c r="M115" s="1339"/>
      <c r="N115" s="1339"/>
      <c r="O115" s="1339"/>
      <c r="P115" s="1339"/>
      <c r="Q115" s="1339"/>
      <c r="V115" s="3151"/>
      <c r="W115" s="1540">
        <f t="shared" si="31"/>
        <v>0</v>
      </c>
      <c r="X115" s="1540">
        <f t="shared" si="31"/>
        <v>0</v>
      </c>
      <c r="Y115" s="1203">
        <f t="shared" si="31"/>
        <v>0</v>
      </c>
      <c r="Z115" s="1540"/>
      <c r="AA115" s="1540"/>
      <c r="AB115" s="1540"/>
      <c r="AC115" s="1540"/>
      <c r="AD115" s="1540"/>
      <c r="AE115" s="1540"/>
      <c r="AF115" s="1540"/>
      <c r="AG115" s="1540"/>
    </row>
    <row r="116" spans="2:33" hidden="1" outlineLevel="1" x14ac:dyDescent="0.25">
      <c r="B116" s="1339"/>
      <c r="C116" s="329"/>
      <c r="D116" s="2981"/>
      <c r="E116" s="574" t="s">
        <v>2306</v>
      </c>
      <c r="F116" s="1228">
        <f t="shared" si="30"/>
        <v>0.8008889742548313</v>
      </c>
      <c r="G116" s="1381" t="s">
        <v>785</v>
      </c>
      <c r="H116" s="1542"/>
      <c r="I116" s="1205"/>
      <c r="J116" s="1205"/>
      <c r="K116" s="1339"/>
      <c r="L116" s="1339"/>
      <c r="M116" s="1339"/>
      <c r="N116" s="1339"/>
      <c r="O116" s="1339"/>
      <c r="P116" s="1339"/>
      <c r="Q116" s="1339"/>
      <c r="V116" s="3151"/>
      <c r="W116" s="1540">
        <f t="shared" si="31"/>
        <v>575.75908359179823</v>
      </c>
      <c r="X116" s="1540">
        <f t="shared" si="31"/>
        <v>575.75908359179823</v>
      </c>
      <c r="Y116" s="1203">
        <f t="shared" si="31"/>
        <v>0.8008889742548313</v>
      </c>
      <c r="Z116" s="1540"/>
      <c r="AA116" s="1540"/>
      <c r="AB116" s="1540"/>
      <c r="AC116" s="1540"/>
      <c r="AD116" s="1540"/>
      <c r="AE116" s="1540"/>
      <c r="AF116" s="1540"/>
      <c r="AG116" s="1540"/>
    </row>
    <row r="117" spans="2:33" hidden="1" outlineLevel="1" x14ac:dyDescent="0.25">
      <c r="B117" s="1339"/>
      <c r="C117" s="329"/>
      <c r="D117" s="2981"/>
      <c r="E117" s="574" t="s">
        <v>2307</v>
      </c>
      <c r="F117" s="1228">
        <f t="shared" si="30"/>
        <v>0</v>
      </c>
      <c r="G117" s="1381" t="s">
        <v>785</v>
      </c>
      <c r="H117" s="1542"/>
      <c r="I117" s="1205"/>
      <c r="J117" s="1205"/>
      <c r="K117" s="1339"/>
      <c r="L117" s="1339"/>
      <c r="M117" s="1339"/>
      <c r="N117" s="1339"/>
      <c r="O117" s="1339"/>
      <c r="P117" s="1339"/>
      <c r="Q117" s="1339"/>
      <c r="V117" s="3151"/>
      <c r="W117" s="1540">
        <f t="shared" si="31"/>
        <v>0</v>
      </c>
      <c r="X117" s="1540">
        <f t="shared" si="31"/>
        <v>0</v>
      </c>
      <c r="Y117" s="1203">
        <f t="shared" si="31"/>
        <v>0</v>
      </c>
      <c r="Z117" s="1540"/>
      <c r="AA117" s="1540"/>
      <c r="AB117" s="1540"/>
      <c r="AC117" s="1540"/>
      <c r="AD117" s="1540"/>
      <c r="AE117" s="1540"/>
      <c r="AF117" s="1540"/>
      <c r="AG117" s="1540"/>
    </row>
    <row r="118" spans="2:33" hidden="1" outlineLevel="1" x14ac:dyDescent="0.25">
      <c r="B118" s="1339"/>
      <c r="C118" s="329"/>
      <c r="D118" s="2981"/>
      <c r="E118" s="574" t="s">
        <v>2308</v>
      </c>
      <c r="F118" s="1228">
        <f t="shared" si="30"/>
        <v>0.85032656525821604</v>
      </c>
      <c r="G118" s="1381" t="s">
        <v>785</v>
      </c>
      <c r="H118" s="1542"/>
      <c r="I118" s="1205"/>
      <c r="J118" s="1205"/>
      <c r="K118" s="1339"/>
      <c r="L118" s="1339"/>
      <c r="M118" s="1339"/>
      <c r="N118" s="1339"/>
      <c r="O118" s="1339"/>
      <c r="P118" s="1339"/>
      <c r="Q118" s="1339"/>
      <c r="V118" s="3151"/>
      <c r="W118" s="1540">
        <f t="shared" si="31"/>
        <v>611.29976776413139</v>
      </c>
      <c r="X118" s="1540">
        <f t="shared" si="31"/>
        <v>611.29976776413139</v>
      </c>
      <c r="Y118" s="1203">
        <f t="shared" si="31"/>
        <v>0.85032656525821604</v>
      </c>
      <c r="Z118" s="1540"/>
      <c r="AA118" s="1540"/>
      <c r="AB118" s="1540"/>
      <c r="AC118" s="1540"/>
      <c r="AD118" s="1540"/>
      <c r="AE118" s="1540"/>
      <c r="AF118" s="1540"/>
      <c r="AG118" s="1540"/>
    </row>
    <row r="119" spans="2:33" hidden="1" outlineLevel="1" x14ac:dyDescent="0.25">
      <c r="B119" s="1339"/>
      <c r="C119" s="329"/>
      <c r="D119" s="2981"/>
      <c r="E119" s="574" t="s">
        <v>2309</v>
      </c>
      <c r="F119" s="1228">
        <f t="shared" si="30"/>
        <v>0</v>
      </c>
      <c r="G119" s="1381" t="s">
        <v>785</v>
      </c>
      <c r="H119" s="1542"/>
      <c r="I119" s="1205"/>
      <c r="J119" s="1205"/>
      <c r="K119" s="1339"/>
      <c r="L119" s="1339"/>
      <c r="M119" s="1339"/>
      <c r="N119" s="1339"/>
      <c r="O119" s="1339"/>
      <c r="P119" s="1339"/>
      <c r="Q119" s="1339"/>
      <c r="V119" s="3151"/>
      <c r="W119" s="1540">
        <f t="shared" si="31"/>
        <v>0</v>
      </c>
      <c r="X119" s="1540">
        <f t="shared" si="31"/>
        <v>0</v>
      </c>
      <c r="Y119" s="1203">
        <f t="shared" si="31"/>
        <v>0</v>
      </c>
      <c r="Z119" s="1540"/>
      <c r="AA119" s="1540"/>
      <c r="AB119" s="1540"/>
      <c r="AC119" s="1540"/>
      <c r="AD119" s="1540"/>
      <c r="AE119" s="1540"/>
      <c r="AF119" s="1540"/>
      <c r="AG119" s="1540"/>
    </row>
    <row r="120" spans="2:33" hidden="1" outlineLevel="1" x14ac:dyDescent="0.25">
      <c r="B120" s="1339"/>
      <c r="C120" s="329"/>
      <c r="D120" s="2981"/>
      <c r="E120" s="574" t="s">
        <v>2310</v>
      </c>
      <c r="F120" s="1228">
        <f t="shared" si="30"/>
        <v>0.88303143315276267</v>
      </c>
      <c r="G120" s="1381" t="s">
        <v>785</v>
      </c>
      <c r="H120" s="1542"/>
      <c r="I120" s="1205"/>
      <c r="J120" s="1205"/>
      <c r="K120" s="1339"/>
      <c r="L120" s="1339"/>
      <c r="M120" s="1339"/>
      <c r="N120" s="1339"/>
      <c r="O120" s="1339"/>
      <c r="P120" s="1339"/>
      <c r="Q120" s="1339"/>
      <c r="V120" s="3151"/>
      <c r="W120" s="1540">
        <f t="shared" si="31"/>
        <v>634.81129729352108</v>
      </c>
      <c r="X120" s="1540">
        <f t="shared" si="31"/>
        <v>634.81129729352108</v>
      </c>
      <c r="Y120" s="1203">
        <f t="shared" si="31"/>
        <v>0.88303143315276267</v>
      </c>
      <c r="Z120" s="1540"/>
      <c r="AA120" s="1540"/>
      <c r="AB120" s="1540"/>
      <c r="AC120" s="1540"/>
      <c r="AD120" s="1540"/>
      <c r="AE120" s="1540"/>
      <c r="AF120" s="1540"/>
      <c r="AG120" s="1540"/>
    </row>
    <row r="121" spans="2:33" hidden="1" outlineLevel="1" x14ac:dyDescent="0.25">
      <c r="B121" s="1339"/>
      <c r="C121" s="329"/>
      <c r="D121" s="1709" t="s">
        <v>786</v>
      </c>
      <c r="E121" s="574" t="s">
        <v>637</v>
      </c>
      <c r="F121" s="1231">
        <v>3.1399999999999997E-2</v>
      </c>
      <c r="G121" s="1381" t="s">
        <v>767</v>
      </c>
      <c r="H121" s="1542"/>
      <c r="I121" s="1205"/>
      <c r="J121" s="1205"/>
      <c r="K121" s="1339"/>
      <c r="L121" s="1339"/>
      <c r="M121" s="1339"/>
      <c r="N121" s="1339"/>
      <c r="O121" s="1339"/>
      <c r="P121" s="1339"/>
      <c r="Q121" s="1339"/>
      <c r="V121" s="1204" t="str">
        <f>D121</f>
        <v>Fe</v>
      </c>
      <c r="W121" s="774">
        <v>3.1399999999999997E-2</v>
      </c>
      <c r="X121" s="774">
        <v>3.1399999999999997E-2</v>
      </c>
      <c r="Y121" s="1231">
        <v>3.1399999999999997E-2</v>
      </c>
      <c r="Z121" s="774"/>
      <c r="AA121" s="774"/>
      <c r="AB121" s="774"/>
      <c r="AC121" s="774"/>
      <c r="AD121" s="774"/>
      <c r="AE121" s="774"/>
      <c r="AF121" s="774"/>
      <c r="AG121" s="774"/>
    </row>
    <row r="122" spans="2:33" hidden="1" outlineLevel="1" x14ac:dyDescent="0.25">
      <c r="B122" s="1339"/>
      <c r="C122" s="329"/>
      <c r="D122" s="1709" t="s">
        <v>1751</v>
      </c>
      <c r="E122" s="574" t="s">
        <v>637</v>
      </c>
      <c r="F122" s="1541">
        <v>1646</v>
      </c>
      <c r="G122" s="1381" t="s">
        <v>791</v>
      </c>
      <c r="H122" s="1542" t="s">
        <v>1752</v>
      </c>
      <c r="I122" s="1205"/>
      <c r="J122" s="1205"/>
      <c r="K122" s="1339"/>
      <c r="L122" s="1339"/>
      <c r="M122" s="1339"/>
      <c r="N122" s="1339"/>
      <c r="O122" s="1339"/>
      <c r="P122" s="1339"/>
      <c r="Q122" s="1339"/>
      <c r="V122" s="1204" t="str">
        <f t="shared" ref="V122:V123" si="32">D122</f>
        <v>CDD</v>
      </c>
      <c r="W122" s="1537">
        <v>1646</v>
      </c>
      <c r="X122" s="1537">
        <v>1646</v>
      </c>
      <c r="Y122" s="1541">
        <v>1646</v>
      </c>
      <c r="Z122" s="1539"/>
      <c r="AA122" s="1537"/>
      <c r="AB122" s="1537"/>
      <c r="AC122" s="1537"/>
      <c r="AD122" s="1537"/>
      <c r="AE122" s="1537"/>
      <c r="AF122" s="1537"/>
      <c r="AG122" s="1537"/>
    </row>
    <row r="123" spans="2:33" hidden="1" outlineLevel="1" x14ac:dyDescent="0.25">
      <c r="B123" s="1339"/>
      <c r="C123" s="329"/>
      <c r="D123" s="1709" t="s">
        <v>1753</v>
      </c>
      <c r="E123" s="574" t="s">
        <v>637</v>
      </c>
      <c r="F123" s="1233">
        <v>0.75</v>
      </c>
      <c r="G123" s="1381" t="s">
        <v>767</v>
      </c>
      <c r="H123" s="1542"/>
      <c r="I123" s="1205"/>
      <c r="J123" s="1205"/>
      <c r="K123" s="1339"/>
      <c r="L123" s="1339"/>
      <c r="M123" s="1339"/>
      <c r="N123" s="1339"/>
      <c r="O123" s="1339"/>
      <c r="P123" s="1339"/>
      <c r="Q123" s="1339"/>
      <c r="V123" s="1204" t="str">
        <f t="shared" si="32"/>
        <v>DUA</v>
      </c>
      <c r="W123" s="652">
        <v>0.75</v>
      </c>
      <c r="X123" s="652">
        <v>0.75</v>
      </c>
      <c r="Y123" s="1233">
        <v>0.75</v>
      </c>
      <c r="Z123" s="652"/>
      <c r="AA123" s="652"/>
      <c r="AB123" s="652"/>
      <c r="AC123" s="652"/>
      <c r="AD123" s="652"/>
      <c r="AE123" s="652"/>
      <c r="AF123" s="652"/>
      <c r="AG123" s="652"/>
    </row>
    <row r="124" spans="2:33" hidden="1" outlineLevel="1" x14ac:dyDescent="0.25">
      <c r="B124" s="1339"/>
      <c r="C124" s="329"/>
      <c r="D124" s="2955" t="s">
        <v>1754</v>
      </c>
      <c r="E124" s="574" t="s">
        <v>2301</v>
      </c>
      <c r="F124" s="1233">
        <v>0.91</v>
      </c>
      <c r="G124" s="1381" t="s">
        <v>767</v>
      </c>
      <c r="H124" s="1542" t="s">
        <v>1756</v>
      </c>
      <c r="I124" s="1205"/>
      <c r="J124" s="1205"/>
      <c r="K124" s="1339"/>
      <c r="L124" s="1339"/>
      <c r="M124" s="1339"/>
      <c r="N124" s="1339"/>
      <c r="O124" s="1339"/>
      <c r="P124" s="1339"/>
      <c r="Q124" s="1339"/>
      <c r="V124" s="2957" t="str">
        <f>D124</f>
        <v>%cool</v>
      </c>
      <c r="W124" s="652">
        <v>0.91</v>
      </c>
      <c r="X124" s="652">
        <v>0.91</v>
      </c>
      <c r="Y124" s="1233">
        <v>0.91</v>
      </c>
      <c r="Z124" s="652"/>
      <c r="AA124" s="652"/>
      <c r="AB124" s="652"/>
      <c r="AC124" s="652"/>
      <c r="AD124" s="652"/>
      <c r="AE124" s="652"/>
      <c r="AF124" s="652"/>
      <c r="AG124" s="652"/>
    </row>
    <row r="125" spans="2:33" hidden="1" outlineLevel="1" x14ac:dyDescent="0.25">
      <c r="B125" s="1339"/>
      <c r="C125" s="329"/>
      <c r="D125" s="2956"/>
      <c r="E125" s="574" t="s">
        <v>2302</v>
      </c>
      <c r="F125" s="1233">
        <v>1</v>
      </c>
      <c r="G125" s="1381" t="s">
        <v>798</v>
      </c>
      <c r="H125" s="1542" t="s">
        <v>1756</v>
      </c>
      <c r="I125" s="1205"/>
      <c r="J125" s="1205"/>
      <c r="K125" s="1339"/>
      <c r="L125" s="1339"/>
      <c r="M125" s="1339"/>
      <c r="N125" s="1339"/>
      <c r="O125" s="1339"/>
      <c r="P125" s="1339"/>
      <c r="Q125" s="1339"/>
      <c r="V125" s="2958"/>
      <c r="W125" s="652">
        <v>1</v>
      </c>
      <c r="X125" s="652">
        <v>1</v>
      </c>
      <c r="Y125" s="1233">
        <v>1</v>
      </c>
      <c r="Z125" s="652"/>
      <c r="AA125" s="652"/>
      <c r="AB125" s="652"/>
      <c r="AC125" s="652"/>
      <c r="AD125" s="652"/>
      <c r="AE125" s="652"/>
      <c r="AF125" s="652"/>
      <c r="AG125" s="652"/>
    </row>
    <row r="126" spans="2:33" hidden="1" outlineLevel="1" x14ac:dyDescent="0.25">
      <c r="B126" s="1339"/>
      <c r="C126" s="329"/>
      <c r="D126" s="2956"/>
      <c r="E126" s="574" t="s">
        <v>2303</v>
      </c>
      <c r="F126" s="1233">
        <v>0.91</v>
      </c>
      <c r="G126" s="1381" t="s">
        <v>767</v>
      </c>
      <c r="H126" s="1542" t="s">
        <v>1756</v>
      </c>
      <c r="I126" s="1205"/>
      <c r="J126" s="1205"/>
      <c r="K126" s="1339"/>
      <c r="L126" s="1339"/>
      <c r="M126" s="1339"/>
      <c r="N126" s="1339"/>
      <c r="O126" s="1339"/>
      <c r="P126" s="1339"/>
      <c r="Q126" s="1339"/>
      <c r="V126" s="2958"/>
      <c r="W126" s="652">
        <v>0.91</v>
      </c>
      <c r="X126" s="652">
        <v>0.91</v>
      </c>
      <c r="Y126" s="1233">
        <v>0.91</v>
      </c>
      <c r="Z126" s="652"/>
      <c r="AA126" s="652"/>
      <c r="AB126" s="652"/>
      <c r="AC126" s="652"/>
      <c r="AD126" s="652"/>
      <c r="AE126" s="652"/>
      <c r="AF126" s="652"/>
      <c r="AG126" s="652"/>
    </row>
    <row r="127" spans="2:33" hidden="1" outlineLevel="1" x14ac:dyDescent="0.25">
      <c r="B127" s="1339"/>
      <c r="C127" s="329"/>
      <c r="D127" s="2956"/>
      <c r="E127" s="574" t="s">
        <v>2304</v>
      </c>
      <c r="F127" s="1233">
        <v>1</v>
      </c>
      <c r="G127" s="1381" t="s">
        <v>767</v>
      </c>
      <c r="H127" s="1542" t="s">
        <v>1756</v>
      </c>
      <c r="I127" s="1205"/>
      <c r="J127" s="1205"/>
      <c r="K127" s="1339"/>
      <c r="L127" s="1339"/>
      <c r="M127" s="1339"/>
      <c r="N127" s="1339"/>
      <c r="O127" s="1339"/>
      <c r="P127" s="1339"/>
      <c r="Q127" s="1339"/>
      <c r="V127" s="2958"/>
      <c r="W127" s="652">
        <v>1</v>
      </c>
      <c r="X127" s="652">
        <v>1</v>
      </c>
      <c r="Y127" s="1233">
        <v>1</v>
      </c>
      <c r="Z127" s="652"/>
      <c r="AA127" s="652"/>
      <c r="AB127" s="652"/>
      <c r="AC127" s="652"/>
      <c r="AD127" s="652"/>
      <c r="AE127" s="652"/>
      <c r="AF127" s="652"/>
      <c r="AG127" s="652"/>
    </row>
    <row r="128" spans="2:33" hidden="1" outlineLevel="1" x14ac:dyDescent="0.25">
      <c r="B128" s="1339"/>
      <c r="C128" s="329"/>
      <c r="D128" s="2956"/>
      <c r="E128" s="574" t="s">
        <v>2305</v>
      </c>
      <c r="F128" s="1233">
        <v>0.91</v>
      </c>
      <c r="G128" s="1381" t="s">
        <v>767</v>
      </c>
      <c r="H128" s="1542" t="s">
        <v>1756</v>
      </c>
      <c r="I128" s="1205"/>
      <c r="J128" s="1205"/>
      <c r="K128" s="1339"/>
      <c r="L128" s="1339"/>
      <c r="M128" s="1339"/>
      <c r="N128" s="1339"/>
      <c r="O128" s="1339"/>
      <c r="P128" s="1339"/>
      <c r="Q128" s="1339"/>
      <c r="V128" s="2958"/>
      <c r="W128" s="652">
        <v>0.91</v>
      </c>
      <c r="X128" s="652">
        <v>0.91</v>
      </c>
      <c r="Y128" s="1233">
        <v>0.91</v>
      </c>
      <c r="Z128" s="652"/>
      <c r="AA128" s="652"/>
      <c r="AB128" s="652"/>
      <c r="AC128" s="652"/>
      <c r="AD128" s="652"/>
      <c r="AE128" s="652"/>
      <c r="AF128" s="652"/>
      <c r="AG128" s="652"/>
    </row>
    <row r="129" spans="2:33" hidden="1" outlineLevel="1" x14ac:dyDescent="0.25">
      <c r="B129" s="1339"/>
      <c r="C129" s="329"/>
      <c r="D129" s="2956"/>
      <c r="E129" s="574" t="s">
        <v>2306</v>
      </c>
      <c r="F129" s="1233">
        <v>1</v>
      </c>
      <c r="G129" s="1381" t="s">
        <v>767</v>
      </c>
      <c r="H129" s="1542" t="s">
        <v>1756</v>
      </c>
      <c r="I129" s="1205"/>
      <c r="J129" s="1205"/>
      <c r="K129" s="1339"/>
      <c r="L129" s="1339"/>
      <c r="M129" s="1339"/>
      <c r="N129" s="1339"/>
      <c r="O129" s="1339"/>
      <c r="P129" s="1339"/>
      <c r="Q129" s="1339"/>
      <c r="V129" s="2958"/>
      <c r="W129" s="652">
        <v>1</v>
      </c>
      <c r="X129" s="652">
        <v>1</v>
      </c>
      <c r="Y129" s="1233">
        <v>1</v>
      </c>
      <c r="Z129" s="652"/>
      <c r="AA129" s="652"/>
      <c r="AB129" s="652"/>
      <c r="AC129" s="652"/>
      <c r="AD129" s="652"/>
      <c r="AE129" s="652"/>
      <c r="AF129" s="652"/>
      <c r="AG129" s="652"/>
    </row>
    <row r="130" spans="2:33" hidden="1" outlineLevel="1" x14ac:dyDescent="0.25">
      <c r="B130" s="1339"/>
      <c r="C130" s="329"/>
      <c r="D130" s="2956"/>
      <c r="E130" s="574" t="s">
        <v>2307</v>
      </c>
      <c r="F130" s="1233">
        <v>0.91</v>
      </c>
      <c r="G130" s="1381" t="s">
        <v>767</v>
      </c>
      <c r="H130" s="1542" t="s">
        <v>1756</v>
      </c>
      <c r="I130" s="1205"/>
      <c r="J130" s="1205"/>
      <c r="K130" s="1339"/>
      <c r="L130" s="1339"/>
      <c r="M130" s="1339"/>
      <c r="N130" s="1339"/>
      <c r="O130" s="1339"/>
      <c r="P130" s="1339"/>
      <c r="Q130" s="1339"/>
      <c r="V130" s="2958"/>
      <c r="W130" s="652">
        <v>0.91</v>
      </c>
      <c r="X130" s="652">
        <v>0.91</v>
      </c>
      <c r="Y130" s="1233">
        <v>0.91</v>
      </c>
      <c r="Z130" s="652"/>
      <c r="AA130" s="652"/>
      <c r="AB130" s="652"/>
      <c r="AC130" s="652"/>
      <c r="AD130" s="652"/>
      <c r="AE130" s="652"/>
      <c r="AF130" s="652"/>
      <c r="AG130" s="652"/>
    </row>
    <row r="131" spans="2:33" hidden="1" outlineLevel="1" x14ac:dyDescent="0.25">
      <c r="B131" s="1339"/>
      <c r="C131" s="329"/>
      <c r="D131" s="2956"/>
      <c r="E131" s="574" t="s">
        <v>2308</v>
      </c>
      <c r="F131" s="1233">
        <v>1</v>
      </c>
      <c r="G131" s="1381" t="s">
        <v>767</v>
      </c>
      <c r="H131" s="1542" t="s">
        <v>1756</v>
      </c>
      <c r="I131" s="1205"/>
      <c r="J131" s="1205"/>
      <c r="K131" s="1339"/>
      <c r="L131" s="1339"/>
      <c r="M131" s="1339"/>
      <c r="N131" s="1339"/>
      <c r="O131" s="1339"/>
      <c r="P131" s="1339"/>
      <c r="Q131" s="1339"/>
      <c r="V131" s="2958"/>
      <c r="W131" s="652">
        <v>1</v>
      </c>
      <c r="X131" s="652">
        <v>1</v>
      </c>
      <c r="Y131" s="1233">
        <v>1</v>
      </c>
      <c r="Z131" s="652"/>
      <c r="AA131" s="652"/>
      <c r="AB131" s="652"/>
      <c r="AC131" s="652"/>
      <c r="AD131" s="652"/>
      <c r="AE131" s="652"/>
      <c r="AF131" s="652"/>
      <c r="AG131" s="652"/>
    </row>
    <row r="132" spans="2:33" hidden="1" outlineLevel="1" x14ac:dyDescent="0.25">
      <c r="B132" s="1339"/>
      <c r="C132" s="329"/>
      <c r="D132" s="2956"/>
      <c r="E132" s="574" t="s">
        <v>2309</v>
      </c>
      <c r="F132" s="1233">
        <v>0.91</v>
      </c>
      <c r="G132" s="1381" t="s">
        <v>767</v>
      </c>
      <c r="H132" s="1542" t="s">
        <v>1756</v>
      </c>
      <c r="I132" s="1205"/>
      <c r="J132" s="1205"/>
      <c r="K132" s="1339"/>
      <c r="L132" s="1339"/>
      <c r="M132" s="1339"/>
      <c r="N132" s="1339"/>
      <c r="O132" s="1339"/>
      <c r="P132" s="1339"/>
      <c r="Q132" s="1339"/>
      <c r="V132" s="2958"/>
      <c r="W132" s="652">
        <v>0.91</v>
      </c>
      <c r="X132" s="652">
        <v>0.91</v>
      </c>
      <c r="Y132" s="1233">
        <v>0.91</v>
      </c>
      <c r="Z132" s="652"/>
      <c r="AA132" s="652"/>
      <c r="AB132" s="652"/>
      <c r="AC132" s="652"/>
      <c r="AD132" s="652"/>
      <c r="AE132" s="652"/>
      <c r="AF132" s="652"/>
      <c r="AG132" s="652"/>
    </row>
    <row r="133" spans="2:33" hidden="1" outlineLevel="1" x14ac:dyDescent="0.25">
      <c r="B133" s="1339"/>
      <c r="C133" s="329"/>
      <c r="D133" s="2956"/>
      <c r="E133" s="574" t="s">
        <v>2310</v>
      </c>
      <c r="F133" s="1233">
        <v>1</v>
      </c>
      <c r="G133" s="1381" t="s">
        <v>767</v>
      </c>
      <c r="H133" s="1542" t="s">
        <v>1756</v>
      </c>
      <c r="I133" s="1205"/>
      <c r="J133" s="1205"/>
      <c r="K133" s="1339"/>
      <c r="L133" s="1339"/>
      <c r="M133" s="1339"/>
      <c r="N133" s="1339"/>
      <c r="O133" s="1339"/>
      <c r="P133" s="1339"/>
      <c r="Q133" s="1339"/>
      <c r="V133" s="2958"/>
      <c r="W133" s="652">
        <v>1</v>
      </c>
      <c r="X133" s="652">
        <v>1</v>
      </c>
      <c r="Y133" s="1233">
        <v>1</v>
      </c>
      <c r="Z133" s="652"/>
      <c r="AA133" s="652"/>
      <c r="AB133" s="652"/>
      <c r="AC133" s="652"/>
      <c r="AD133" s="652"/>
      <c r="AE133" s="652"/>
      <c r="AF133" s="652"/>
      <c r="AG133" s="652"/>
    </row>
    <row r="134" spans="2:33" hidden="1" outlineLevel="1" x14ac:dyDescent="0.25">
      <c r="B134" s="1339"/>
      <c r="C134" s="329"/>
      <c r="D134" s="2955" t="s">
        <v>1757</v>
      </c>
      <c r="E134" s="574" t="s">
        <v>2301</v>
      </c>
      <c r="F134" s="1541">
        <v>11</v>
      </c>
      <c r="G134" s="1542" t="s">
        <v>1741</v>
      </c>
      <c r="H134" s="3152" t="s">
        <v>770</v>
      </c>
      <c r="I134" s="1205"/>
      <c r="J134" s="1205"/>
      <c r="K134" s="1339"/>
      <c r="L134" s="1339"/>
      <c r="M134" s="1339"/>
      <c r="N134" s="1339"/>
      <c r="O134" s="1339"/>
      <c r="P134" s="1339"/>
      <c r="Q134" s="1339"/>
      <c r="V134" s="2955" t="str">
        <f>D134</f>
        <v>ƞcool</v>
      </c>
      <c r="W134" s="1537">
        <v>11</v>
      </c>
      <c r="X134" s="1537">
        <v>11</v>
      </c>
      <c r="Y134" s="1541">
        <v>11</v>
      </c>
      <c r="Z134" s="1537"/>
      <c r="AA134" s="1537"/>
      <c r="AB134" s="1537"/>
      <c r="AC134" s="1537"/>
      <c r="AD134" s="1537"/>
      <c r="AE134" s="1537"/>
      <c r="AF134" s="1537"/>
      <c r="AG134" s="1537"/>
    </row>
    <row r="135" spans="2:33" hidden="1" outlineLevel="1" x14ac:dyDescent="0.25">
      <c r="B135" s="1339"/>
      <c r="C135" s="329"/>
      <c r="D135" s="2956"/>
      <c r="E135" s="574" t="s">
        <v>2302</v>
      </c>
      <c r="F135" s="1541">
        <v>11</v>
      </c>
      <c r="G135" s="1542" t="s">
        <v>1741</v>
      </c>
      <c r="H135" s="3153" t="s">
        <v>1741</v>
      </c>
      <c r="I135" s="1205"/>
      <c r="J135" s="1205"/>
      <c r="K135" s="1339"/>
      <c r="L135" s="1339"/>
      <c r="M135" s="1339"/>
      <c r="N135" s="1339"/>
      <c r="O135" s="1339"/>
      <c r="P135" s="1339"/>
      <c r="Q135" s="1339"/>
      <c r="V135" s="2956"/>
      <c r="W135" s="1537">
        <v>11</v>
      </c>
      <c r="X135" s="1537">
        <v>11</v>
      </c>
      <c r="Y135" s="1541">
        <v>11</v>
      </c>
      <c r="Z135" s="1537"/>
      <c r="AA135" s="1537"/>
      <c r="AB135" s="1537"/>
      <c r="AC135" s="1537"/>
      <c r="AD135" s="1537"/>
      <c r="AE135" s="1537"/>
      <c r="AF135" s="1537"/>
      <c r="AG135" s="1537"/>
    </row>
    <row r="136" spans="2:33" hidden="1" outlineLevel="1" x14ac:dyDescent="0.25">
      <c r="B136" s="1339"/>
      <c r="C136" s="329"/>
      <c r="D136" s="2956"/>
      <c r="E136" s="574" t="s">
        <v>2303</v>
      </c>
      <c r="F136" s="1541">
        <v>11</v>
      </c>
      <c r="G136" s="1542" t="s">
        <v>1741</v>
      </c>
      <c r="H136" s="3153"/>
      <c r="I136" s="1205"/>
      <c r="J136" s="1205"/>
      <c r="K136" s="1339"/>
      <c r="L136" s="1339"/>
      <c r="M136" s="1339"/>
      <c r="N136" s="1339"/>
      <c r="O136" s="1339"/>
      <c r="P136" s="1339"/>
      <c r="Q136" s="1339"/>
      <c r="V136" s="2956"/>
      <c r="W136" s="1537">
        <v>11</v>
      </c>
      <c r="X136" s="1537">
        <v>11</v>
      </c>
      <c r="Y136" s="1541">
        <v>11</v>
      </c>
      <c r="Z136" s="1537"/>
      <c r="AA136" s="1537"/>
      <c r="AB136" s="1537"/>
      <c r="AC136" s="1537"/>
      <c r="AD136" s="1537"/>
      <c r="AE136" s="1537"/>
      <c r="AF136" s="1537"/>
      <c r="AG136" s="1537"/>
    </row>
    <row r="137" spans="2:33" hidden="1" outlineLevel="1" x14ac:dyDescent="0.25">
      <c r="B137" s="1339"/>
      <c r="C137" s="329"/>
      <c r="D137" s="2956"/>
      <c r="E137" s="574" t="s">
        <v>2304</v>
      </c>
      <c r="F137" s="1541">
        <v>11</v>
      </c>
      <c r="G137" s="1542" t="s">
        <v>1741</v>
      </c>
      <c r="H137" s="3153" t="s">
        <v>1741</v>
      </c>
      <c r="I137" s="1205"/>
      <c r="J137" s="1205"/>
      <c r="K137" s="1339"/>
      <c r="L137" s="1339"/>
      <c r="M137" s="1339"/>
      <c r="N137" s="1339"/>
      <c r="O137" s="1339"/>
      <c r="P137" s="1339"/>
      <c r="Q137" s="1339"/>
      <c r="V137" s="2956"/>
      <c r="W137" s="1537">
        <v>11</v>
      </c>
      <c r="X137" s="1537">
        <v>11</v>
      </c>
      <c r="Y137" s="1541">
        <v>11</v>
      </c>
      <c r="Z137" s="1537"/>
      <c r="AA137" s="1537"/>
      <c r="AB137" s="1537"/>
      <c r="AC137" s="1537"/>
      <c r="AD137" s="1537"/>
      <c r="AE137" s="1537"/>
      <c r="AF137" s="1537"/>
      <c r="AG137" s="1537"/>
    </row>
    <row r="138" spans="2:33" hidden="1" outlineLevel="1" x14ac:dyDescent="0.25">
      <c r="B138" s="1339"/>
      <c r="C138" s="329"/>
      <c r="D138" s="2956"/>
      <c r="E138" s="574" t="s">
        <v>2305</v>
      </c>
      <c r="F138" s="1541">
        <v>11</v>
      </c>
      <c r="G138" s="1542" t="s">
        <v>1741</v>
      </c>
      <c r="H138" s="3153"/>
      <c r="I138" s="1205"/>
      <c r="J138" s="1205"/>
      <c r="K138" s="1339"/>
      <c r="L138" s="1339"/>
      <c r="M138" s="1339"/>
      <c r="N138" s="1339"/>
      <c r="O138" s="1339"/>
      <c r="P138" s="1339"/>
      <c r="Q138" s="1339"/>
      <c r="V138" s="2956"/>
      <c r="W138" s="1537">
        <v>11</v>
      </c>
      <c r="X138" s="1537">
        <v>11</v>
      </c>
      <c r="Y138" s="1541">
        <v>11</v>
      </c>
      <c r="Z138" s="1537"/>
      <c r="AA138" s="1537"/>
      <c r="AB138" s="1537"/>
      <c r="AC138" s="1537"/>
      <c r="AD138" s="1537"/>
      <c r="AE138" s="1537"/>
      <c r="AF138" s="1537"/>
      <c r="AG138" s="1537"/>
    </row>
    <row r="139" spans="2:33" hidden="1" outlineLevel="1" x14ac:dyDescent="0.25">
      <c r="B139" s="1339"/>
      <c r="C139" s="329"/>
      <c r="D139" s="2956"/>
      <c r="E139" s="574" t="s">
        <v>2306</v>
      </c>
      <c r="F139" s="1541">
        <v>11</v>
      </c>
      <c r="G139" s="1542" t="s">
        <v>1741</v>
      </c>
      <c r="H139" s="3153" t="s">
        <v>1741</v>
      </c>
      <c r="I139" s="1205"/>
      <c r="J139" s="1205"/>
      <c r="K139" s="1339"/>
      <c r="L139" s="1339"/>
      <c r="M139" s="1339"/>
      <c r="N139" s="1339"/>
      <c r="O139" s="1339"/>
      <c r="P139" s="1339"/>
      <c r="Q139" s="1339"/>
      <c r="V139" s="2956"/>
      <c r="W139" s="1537">
        <v>11</v>
      </c>
      <c r="X139" s="1537">
        <v>11</v>
      </c>
      <c r="Y139" s="1541">
        <v>11</v>
      </c>
      <c r="Z139" s="1537"/>
      <c r="AA139" s="1537"/>
      <c r="AB139" s="1537"/>
      <c r="AC139" s="1537"/>
      <c r="AD139" s="1537"/>
      <c r="AE139" s="1537"/>
      <c r="AF139" s="1537"/>
      <c r="AG139" s="1537"/>
    </row>
    <row r="140" spans="2:33" hidden="1" outlineLevel="1" x14ac:dyDescent="0.25">
      <c r="B140" s="1339"/>
      <c r="C140" s="329"/>
      <c r="D140" s="2956"/>
      <c r="E140" s="574" t="s">
        <v>2307</v>
      </c>
      <c r="F140" s="1541">
        <v>11</v>
      </c>
      <c r="G140" s="1542" t="s">
        <v>1741</v>
      </c>
      <c r="H140" s="3153"/>
      <c r="I140" s="1205"/>
      <c r="J140" s="1205"/>
      <c r="K140" s="1339"/>
      <c r="L140" s="1339"/>
      <c r="M140" s="1339"/>
      <c r="N140" s="1339"/>
      <c r="O140" s="1339"/>
      <c r="P140" s="1339"/>
      <c r="Q140" s="1339"/>
      <c r="V140" s="2956"/>
      <c r="W140" s="1537">
        <v>11</v>
      </c>
      <c r="X140" s="1537">
        <v>11</v>
      </c>
      <c r="Y140" s="1541">
        <v>11</v>
      </c>
      <c r="Z140" s="1537"/>
      <c r="AA140" s="1537"/>
      <c r="AB140" s="1537"/>
      <c r="AC140" s="1537"/>
      <c r="AD140" s="1537"/>
      <c r="AE140" s="1537"/>
      <c r="AF140" s="1537"/>
      <c r="AG140" s="1537"/>
    </row>
    <row r="141" spans="2:33" hidden="1" outlineLevel="1" x14ac:dyDescent="0.25">
      <c r="B141" s="1339"/>
      <c r="C141" s="329"/>
      <c r="D141" s="2956"/>
      <c r="E141" s="574" t="s">
        <v>2308</v>
      </c>
      <c r="F141" s="1541">
        <v>11</v>
      </c>
      <c r="G141" s="1542" t="s">
        <v>1741</v>
      </c>
      <c r="H141" s="3153" t="s">
        <v>1741</v>
      </c>
      <c r="I141" s="1205"/>
      <c r="J141" s="1205"/>
      <c r="K141" s="1339"/>
      <c r="L141" s="1339"/>
      <c r="M141" s="1339"/>
      <c r="N141" s="1339"/>
      <c r="O141" s="1339"/>
      <c r="P141" s="1339"/>
      <c r="Q141" s="1339"/>
      <c r="V141" s="2956"/>
      <c r="W141" s="1537">
        <v>11</v>
      </c>
      <c r="X141" s="1537">
        <v>11</v>
      </c>
      <c r="Y141" s="1541">
        <v>11</v>
      </c>
      <c r="Z141" s="1537"/>
      <c r="AA141" s="1537"/>
      <c r="AB141" s="1537"/>
      <c r="AC141" s="1537"/>
      <c r="AD141" s="1537"/>
      <c r="AE141" s="1537"/>
      <c r="AF141" s="1537"/>
      <c r="AG141" s="1537"/>
    </row>
    <row r="142" spans="2:33" hidden="1" outlineLevel="1" x14ac:dyDescent="0.25">
      <c r="B142" s="1339"/>
      <c r="C142" s="329"/>
      <c r="D142" s="2956"/>
      <c r="E142" s="574" t="s">
        <v>2309</v>
      </c>
      <c r="F142" s="1541">
        <v>11</v>
      </c>
      <c r="G142" s="1542" t="s">
        <v>1741</v>
      </c>
      <c r="H142" s="3153"/>
      <c r="I142" s="1205"/>
      <c r="J142" s="1205"/>
      <c r="K142" s="1339"/>
      <c r="L142" s="1339"/>
      <c r="M142" s="1339"/>
      <c r="N142" s="1339"/>
      <c r="O142" s="1339"/>
      <c r="P142" s="1339"/>
      <c r="Q142" s="1339"/>
      <c r="V142" s="2956"/>
      <c r="W142" s="1537">
        <v>11</v>
      </c>
      <c r="X142" s="1537">
        <v>11</v>
      </c>
      <c r="Y142" s="1541">
        <v>11</v>
      </c>
      <c r="Z142" s="1537"/>
      <c r="AA142" s="1537"/>
      <c r="AB142" s="1537"/>
      <c r="AC142" s="1537"/>
      <c r="AD142" s="1537"/>
      <c r="AE142" s="1537"/>
      <c r="AF142" s="1537"/>
      <c r="AG142" s="1537"/>
    </row>
    <row r="143" spans="2:33" hidden="1" outlineLevel="1" x14ac:dyDescent="0.25">
      <c r="B143" s="1339"/>
      <c r="C143" s="329"/>
      <c r="D143" s="2969"/>
      <c r="E143" s="574" t="s">
        <v>2310</v>
      </c>
      <c r="F143" s="1541">
        <v>11</v>
      </c>
      <c r="G143" s="1542" t="s">
        <v>1741</v>
      </c>
      <c r="H143" s="3154" t="s">
        <v>1741</v>
      </c>
      <c r="I143" s="1205"/>
      <c r="J143" s="1205"/>
      <c r="K143" s="1339"/>
      <c r="L143" s="1339"/>
      <c r="M143" s="1339"/>
      <c r="N143" s="1339"/>
      <c r="O143" s="1339"/>
      <c r="P143" s="1339"/>
      <c r="Q143" s="1339"/>
      <c r="V143" s="2969"/>
      <c r="W143" s="1537">
        <v>11</v>
      </c>
      <c r="X143" s="1537">
        <v>11</v>
      </c>
      <c r="Y143" s="1541">
        <v>11</v>
      </c>
      <c r="Z143" s="1537"/>
      <c r="AA143" s="1537"/>
      <c r="AB143" s="1537"/>
      <c r="AC143" s="1537"/>
      <c r="AD143" s="1537"/>
      <c r="AE143" s="1537"/>
      <c r="AF143" s="1537"/>
      <c r="AG143" s="1537"/>
    </row>
    <row r="144" spans="2:33" hidden="1" outlineLevel="1" x14ac:dyDescent="0.25">
      <c r="B144" s="1339"/>
      <c r="C144" s="329"/>
      <c r="D144" s="1708" t="str">
        <f>$D$30</f>
        <v>EUL</v>
      </c>
      <c r="E144" s="574"/>
      <c r="F144" s="1541">
        <v>25</v>
      </c>
      <c r="G144" s="1381"/>
      <c r="H144" s="1542"/>
      <c r="I144" s="1205"/>
      <c r="J144" s="1205"/>
      <c r="K144" s="1339"/>
      <c r="L144" s="1339"/>
      <c r="M144" s="1339"/>
      <c r="N144" s="1339"/>
      <c r="O144" s="1339"/>
      <c r="P144" s="1339"/>
      <c r="Q144" s="1339"/>
      <c r="V144" s="1538" t="str">
        <f t="shared" ref="V144" si="33">D144</f>
        <v>EUL</v>
      </c>
      <c r="W144" s="1541">
        <v>25</v>
      </c>
      <c r="X144" s="1541">
        <v>25</v>
      </c>
      <c r="Y144" s="1541">
        <v>25</v>
      </c>
      <c r="Z144" s="652"/>
      <c r="AA144" s="652"/>
      <c r="AB144" s="652"/>
      <c r="AC144" s="652"/>
      <c r="AD144" s="652"/>
      <c r="AE144" s="652"/>
      <c r="AF144" s="652"/>
      <c r="AG144" s="652"/>
    </row>
    <row r="145" spans="2:57" hidden="1" outlineLevel="1" x14ac:dyDescent="0.25">
      <c r="B145" s="1339"/>
      <c r="C145" s="329"/>
      <c r="D145" s="3158" t="str">
        <f>$D$31</f>
        <v>Inc. Cost</v>
      </c>
      <c r="E145" s="574"/>
      <c r="F145" s="1535">
        <f>1860.46/875.55</f>
        <v>2.1249043458397581</v>
      </c>
      <c r="G145" s="3152" t="s">
        <v>1676</v>
      </c>
      <c r="H145" s="1542" t="str">
        <f>CONCATENATE("Avg. size home ",I145," sq.ft.")</f>
        <v>Avg. size home 875.55 sq.ft.</v>
      </c>
      <c r="I145" s="588">
        <v>875.55000000000007</v>
      </c>
      <c r="J145" s="1205"/>
      <c r="K145" s="1339"/>
      <c r="L145" s="1339"/>
      <c r="M145" s="1339"/>
      <c r="N145" s="1339"/>
      <c r="O145" s="1339"/>
      <c r="P145" s="1339"/>
      <c r="Q145" s="1339"/>
      <c r="V145" s="3159" t="str">
        <f>D145</f>
        <v>Inc. Cost</v>
      </c>
      <c r="W145" s="1535">
        <v>1860.46</v>
      </c>
      <c r="X145" s="1535">
        <v>1860.46</v>
      </c>
      <c r="Y145" s="2342">
        <f>1860.46/875.55</f>
        <v>2.1249043458397581</v>
      </c>
      <c r="Z145" s="652"/>
      <c r="AA145" s="652"/>
      <c r="AB145" s="652"/>
      <c r="AC145" s="652"/>
      <c r="AD145" s="652"/>
      <c r="AE145" s="652"/>
      <c r="AF145" s="652"/>
      <c r="AG145" s="652"/>
    </row>
    <row r="146" spans="2:57" hidden="1" outlineLevel="1" x14ac:dyDescent="0.25">
      <c r="B146" s="1339"/>
      <c r="C146" s="329"/>
      <c r="D146" s="3159"/>
      <c r="E146" s="574"/>
      <c r="F146" s="1535">
        <f>1860.46/875.55</f>
        <v>2.1249043458397581</v>
      </c>
      <c r="G146" s="3153"/>
      <c r="H146" s="1542" t="str">
        <f t="shared" ref="H146:H154" si="34">CONCATENATE("Avg. size home ",I146," sq.ft.")</f>
        <v>Avg. size home 875.55 sq.ft.</v>
      </c>
      <c r="I146" s="588">
        <v>875.55000000000007</v>
      </c>
      <c r="J146" s="1205"/>
      <c r="K146" s="1339"/>
      <c r="L146" s="1339"/>
      <c r="M146" s="1339"/>
      <c r="N146" s="1339"/>
      <c r="O146" s="1339"/>
      <c r="P146" s="1339"/>
      <c r="Q146" s="1339"/>
      <c r="V146" s="3159"/>
      <c r="W146" s="1535">
        <v>1860.46</v>
      </c>
      <c r="X146" s="1535">
        <v>1860.46</v>
      </c>
      <c r="Y146" s="2342">
        <f>1860.46/875.55</f>
        <v>2.1249043458397581</v>
      </c>
      <c r="Z146" s="652"/>
      <c r="AA146" s="652"/>
      <c r="AB146" s="652"/>
      <c r="AC146" s="652"/>
      <c r="AD146" s="652"/>
      <c r="AE146" s="652"/>
      <c r="AF146" s="652"/>
      <c r="AG146" s="652"/>
    </row>
    <row r="147" spans="2:57" hidden="1" outlineLevel="1" x14ac:dyDescent="0.25">
      <c r="B147" s="1339"/>
      <c r="C147" s="329"/>
      <c r="D147" s="3159"/>
      <c r="E147" s="574"/>
      <c r="F147" s="1535">
        <f>836.16/718.9</f>
        <v>1.1631103074141049</v>
      </c>
      <c r="G147" s="3153"/>
      <c r="H147" s="1542" t="str">
        <f t="shared" si="34"/>
        <v>Avg. size home 718.9 sq.ft.</v>
      </c>
      <c r="I147" s="588">
        <v>718.9</v>
      </c>
      <c r="J147" s="1205"/>
      <c r="K147" s="1339"/>
      <c r="L147" s="1339"/>
      <c r="M147" s="1339"/>
      <c r="N147" s="1339"/>
      <c r="O147" s="1339"/>
      <c r="P147" s="1339"/>
      <c r="Q147" s="1339"/>
      <c r="V147" s="3159"/>
      <c r="W147" s="1535">
        <v>836.16</v>
      </c>
      <c r="X147" s="1535">
        <v>836.16</v>
      </c>
      <c r="Y147" s="2342">
        <f>836.16/718.9</f>
        <v>1.1631103074141049</v>
      </c>
      <c r="Z147" s="652"/>
      <c r="AA147" s="652"/>
      <c r="AB147" s="652"/>
      <c r="AC147" s="652"/>
      <c r="AD147" s="652"/>
      <c r="AE147" s="652"/>
      <c r="AF147" s="652"/>
      <c r="AG147" s="652"/>
    </row>
    <row r="148" spans="2:57" hidden="1" outlineLevel="1" x14ac:dyDescent="0.25">
      <c r="B148" s="1339"/>
      <c r="C148" s="329"/>
      <c r="D148" s="3159"/>
      <c r="E148" s="574"/>
      <c r="F148" s="1535">
        <f>836.16/718.9</f>
        <v>1.1631103074141049</v>
      </c>
      <c r="G148" s="3153"/>
      <c r="H148" s="1542" t="str">
        <f t="shared" si="34"/>
        <v>Avg. size home 718.9 sq.ft.</v>
      </c>
      <c r="I148" s="588">
        <v>718.9</v>
      </c>
      <c r="J148" s="1205"/>
      <c r="K148" s="1339"/>
      <c r="L148" s="1339"/>
      <c r="M148" s="1339"/>
      <c r="N148" s="1339"/>
      <c r="O148" s="1339"/>
      <c r="P148" s="1339"/>
      <c r="Q148" s="1339"/>
      <c r="V148" s="3159"/>
      <c r="W148" s="1535">
        <v>836.16</v>
      </c>
      <c r="X148" s="1535">
        <v>836.16</v>
      </c>
      <c r="Y148" s="2342">
        <f>836.16/718.9</f>
        <v>1.1631103074141049</v>
      </c>
      <c r="Z148" s="652"/>
      <c r="AA148" s="652"/>
      <c r="AB148" s="652"/>
      <c r="AC148" s="652"/>
      <c r="AD148" s="652"/>
      <c r="AE148" s="652"/>
      <c r="AF148" s="652"/>
      <c r="AG148" s="652"/>
    </row>
    <row r="149" spans="2:57" hidden="1" outlineLevel="1" x14ac:dyDescent="0.25">
      <c r="B149" s="1339"/>
      <c r="C149" s="329"/>
      <c r="D149" s="3159"/>
      <c r="E149" s="574"/>
      <c r="F149" s="1535">
        <f>1208.5/718.9</f>
        <v>1.6810404785088331</v>
      </c>
      <c r="G149" s="3153"/>
      <c r="H149" s="1542" t="str">
        <f t="shared" si="34"/>
        <v>Avg. size home 718.9 sq.ft.</v>
      </c>
      <c r="I149" s="588">
        <v>718.9</v>
      </c>
      <c r="J149" s="1205"/>
      <c r="K149" s="1339"/>
      <c r="L149" s="1339"/>
      <c r="M149" s="1339"/>
      <c r="N149" s="1339"/>
      <c r="O149" s="1339"/>
      <c r="P149" s="1339"/>
      <c r="Q149" s="1339"/>
      <c r="V149" s="3159"/>
      <c r="W149" s="1535">
        <v>1208.5</v>
      </c>
      <c r="X149" s="1535">
        <v>1208.5</v>
      </c>
      <c r="Y149" s="2342">
        <f>1208.5/718.9</f>
        <v>1.6810404785088331</v>
      </c>
      <c r="Z149" s="652"/>
      <c r="AA149" s="652"/>
      <c r="AB149" s="652"/>
      <c r="AC149" s="652"/>
      <c r="AD149" s="652"/>
      <c r="AE149" s="652"/>
      <c r="AF149" s="652"/>
      <c r="AG149" s="652"/>
    </row>
    <row r="150" spans="2:57" hidden="1" outlineLevel="1" x14ac:dyDescent="0.25">
      <c r="B150" s="1339"/>
      <c r="C150" s="329"/>
      <c r="D150" s="3159"/>
      <c r="E150" s="574"/>
      <c r="F150" s="1535">
        <f>1208.5/718.9</f>
        <v>1.6810404785088331</v>
      </c>
      <c r="G150" s="3153"/>
      <c r="H150" s="1542" t="str">
        <f t="shared" si="34"/>
        <v>Avg. size home 718.9 sq.ft.</v>
      </c>
      <c r="I150" s="588">
        <v>718.9</v>
      </c>
      <c r="J150" s="1205"/>
      <c r="K150" s="1339"/>
      <c r="L150" s="1339"/>
      <c r="M150" s="1339"/>
      <c r="N150" s="1339"/>
      <c r="O150" s="1339"/>
      <c r="P150" s="1339"/>
      <c r="Q150" s="1339"/>
      <c r="V150" s="3159"/>
      <c r="W150" s="1535">
        <v>1208.5</v>
      </c>
      <c r="X150" s="1535">
        <v>1208.5</v>
      </c>
      <c r="Y150" s="2342">
        <f>1208.5/718.9</f>
        <v>1.6810404785088331</v>
      </c>
      <c r="Z150" s="652"/>
      <c r="AA150" s="652"/>
      <c r="AB150" s="652"/>
      <c r="AC150" s="652"/>
      <c r="AD150" s="652"/>
      <c r="AE150" s="652"/>
      <c r="AF150" s="652"/>
      <c r="AG150" s="652"/>
    </row>
    <row r="151" spans="2:57" hidden="1" outlineLevel="1" x14ac:dyDescent="0.25">
      <c r="B151" s="1339"/>
      <c r="C151" s="329"/>
      <c r="D151" s="3159"/>
      <c r="E151" s="574"/>
      <c r="F151" s="1535">
        <f>1846.68/718.9</f>
        <v>2.568757824454027</v>
      </c>
      <c r="G151" s="3153"/>
      <c r="H151" s="1542" t="str">
        <f t="shared" si="34"/>
        <v>Avg. size home 718.9 sq.ft.</v>
      </c>
      <c r="I151" s="588">
        <v>718.9</v>
      </c>
      <c r="J151" s="1205"/>
      <c r="K151" s="1339"/>
      <c r="L151" s="1339"/>
      <c r="M151" s="1339"/>
      <c r="N151" s="1339"/>
      <c r="O151" s="1339"/>
      <c r="P151" s="1339"/>
      <c r="Q151" s="1339"/>
      <c r="V151" s="3159"/>
      <c r="W151" s="1535">
        <v>1846.68</v>
      </c>
      <c r="X151" s="1535">
        <v>1846.68</v>
      </c>
      <c r="Y151" s="2342">
        <f>1846.68/718.9</f>
        <v>2.568757824454027</v>
      </c>
      <c r="Z151" s="652"/>
      <c r="AA151" s="652"/>
      <c r="AB151" s="652"/>
      <c r="AC151" s="652"/>
      <c r="AD151" s="652"/>
      <c r="AE151" s="652"/>
      <c r="AF151" s="652"/>
      <c r="AG151" s="652"/>
    </row>
    <row r="152" spans="2:57" hidden="1" outlineLevel="1" x14ac:dyDescent="0.25">
      <c r="B152" s="1339"/>
      <c r="C152" s="329"/>
      <c r="D152" s="3159"/>
      <c r="E152" s="574"/>
      <c r="F152" s="1535">
        <f>1846.68/718.9</f>
        <v>2.568757824454027</v>
      </c>
      <c r="G152" s="3153"/>
      <c r="H152" s="1542" t="str">
        <f t="shared" si="34"/>
        <v>Avg. size home 718.9 sq.ft.</v>
      </c>
      <c r="I152" s="588">
        <v>718.9</v>
      </c>
      <c r="J152" s="1205"/>
      <c r="K152" s="1339"/>
      <c r="L152" s="1339"/>
      <c r="M152" s="1339"/>
      <c r="N152" s="1339"/>
      <c r="O152" s="1339"/>
      <c r="P152" s="1339"/>
      <c r="Q152" s="1339"/>
      <c r="V152" s="3159"/>
      <c r="W152" s="1535">
        <v>1846.68</v>
      </c>
      <c r="X152" s="1535">
        <v>1846.68</v>
      </c>
      <c r="Y152" s="2342">
        <f>1846.68/718.9</f>
        <v>2.568757824454027</v>
      </c>
      <c r="Z152" s="652"/>
      <c r="AA152" s="652"/>
      <c r="AB152" s="652"/>
      <c r="AC152" s="652"/>
      <c r="AD152" s="652"/>
      <c r="AE152" s="652"/>
      <c r="AF152" s="652"/>
      <c r="AG152" s="652"/>
    </row>
    <row r="153" spans="2:57" hidden="1" outlineLevel="1" x14ac:dyDescent="0.25">
      <c r="B153" s="1339"/>
      <c r="C153" s="329"/>
      <c r="D153" s="3159"/>
      <c r="E153" s="574"/>
      <c r="F153" s="1535">
        <f>2461.73/718.9</f>
        <v>3.424301015440256</v>
      </c>
      <c r="G153" s="3153"/>
      <c r="H153" s="1542" t="str">
        <f t="shared" si="34"/>
        <v>Avg. size home 718.9 sq.ft.</v>
      </c>
      <c r="I153" s="588">
        <v>718.9</v>
      </c>
      <c r="J153" s="1205"/>
      <c r="K153" s="1339"/>
      <c r="L153" s="1339"/>
      <c r="M153" s="1339"/>
      <c r="N153" s="1339"/>
      <c r="O153" s="1339"/>
      <c r="P153" s="1339"/>
      <c r="Q153" s="1339"/>
      <c r="V153" s="3159"/>
      <c r="W153" s="1535">
        <v>2461.73</v>
      </c>
      <c r="X153" s="1535">
        <v>2461.73</v>
      </c>
      <c r="Y153" s="2342">
        <f>2461.73/718.9</f>
        <v>3.424301015440256</v>
      </c>
      <c r="Z153" s="652"/>
      <c r="AA153" s="652"/>
      <c r="AB153" s="652"/>
      <c r="AC153" s="652"/>
      <c r="AD153" s="652"/>
      <c r="AE153" s="652"/>
      <c r="AF153" s="652"/>
      <c r="AG153" s="652"/>
    </row>
    <row r="154" spans="2:57" hidden="1" outlineLevel="1" x14ac:dyDescent="0.25">
      <c r="B154" s="1339"/>
      <c r="C154" s="329"/>
      <c r="D154" s="3159"/>
      <c r="E154" s="574"/>
      <c r="F154" s="1535">
        <f>2461.73/718.9</f>
        <v>3.424301015440256</v>
      </c>
      <c r="G154" s="3154"/>
      <c r="H154" s="1542" t="str">
        <f t="shared" si="34"/>
        <v>Avg. size home 718.9 sq.ft.</v>
      </c>
      <c r="I154" s="588">
        <v>718.9</v>
      </c>
      <c r="J154" s="1205"/>
      <c r="K154" s="1339"/>
      <c r="L154" s="1339"/>
      <c r="M154" s="1339"/>
      <c r="N154" s="1339"/>
      <c r="O154" s="1339"/>
      <c r="P154" s="1339"/>
      <c r="Q154" s="1339"/>
      <c r="V154" s="3159"/>
      <c r="W154" s="1535">
        <v>2461.73</v>
      </c>
      <c r="X154" s="1535">
        <v>2461.73</v>
      </c>
      <c r="Y154" s="2342">
        <f>2461.73/718.9</f>
        <v>3.424301015440256</v>
      </c>
      <c r="Z154" s="652"/>
      <c r="AA154" s="652"/>
      <c r="AB154" s="652"/>
      <c r="AC154" s="652"/>
      <c r="AD154" s="652"/>
      <c r="AE154" s="652"/>
      <c r="AF154" s="652"/>
      <c r="AG154" s="652"/>
    </row>
    <row r="155" spans="2:57" collapsed="1" x14ac:dyDescent="0.25">
      <c r="B155" s="1580"/>
      <c r="C155" s="329"/>
      <c r="D155" s="353"/>
      <c r="E155" s="353"/>
      <c r="F155" s="355"/>
      <c r="G155" s="355"/>
      <c r="H155" s="355"/>
      <c r="I155" s="355"/>
      <c r="J155" s="355"/>
      <c r="K155" s="355"/>
      <c r="L155" s="355"/>
      <c r="M155" s="355"/>
      <c r="N155" s="355"/>
      <c r="O155" s="355"/>
      <c r="P155" s="355"/>
      <c r="Q155" s="355"/>
    </row>
    <row r="157" spans="2:57" x14ac:dyDescent="0.25">
      <c r="B157" s="2639" t="s">
        <v>935</v>
      </c>
      <c r="C157" s="2640"/>
      <c r="D157" s="2640"/>
      <c r="E157" s="2640"/>
      <c r="F157" s="2640"/>
      <c r="G157" s="2640"/>
      <c r="H157" s="2640"/>
      <c r="I157" s="2641"/>
      <c r="J157" s="2641"/>
      <c r="K157" s="2641"/>
      <c r="L157" s="2641"/>
      <c r="M157" s="2641"/>
      <c r="N157" s="2641"/>
      <c r="O157" s="2641"/>
      <c r="P157" s="2641"/>
      <c r="Q157" s="2642"/>
      <c r="V157" s="2639" t="str">
        <f>B157</f>
        <v>Dirty Filter Alarm</v>
      </c>
      <c r="W157" s="2640"/>
      <c r="X157" s="2640"/>
      <c r="Y157" s="2640"/>
      <c r="Z157" s="2640"/>
      <c r="AA157" s="2640"/>
      <c r="AB157" s="2640"/>
      <c r="AC157" s="2615"/>
      <c r="AD157" s="2615"/>
      <c r="AE157" s="2615"/>
      <c r="AF157" s="2615"/>
      <c r="AG157" s="2615"/>
      <c r="AH157" s="2615"/>
      <c r="AI157" s="2616"/>
    </row>
    <row r="158" spans="2:57" x14ac:dyDescent="0.25">
      <c r="B158" s="1580"/>
      <c r="C158" s="329"/>
      <c r="D158" s="456" t="s">
        <v>2270</v>
      </c>
      <c r="E158" s="573"/>
      <c r="F158" s="330"/>
      <c r="G158" s="330"/>
      <c r="H158" s="330"/>
      <c r="I158" s="330"/>
      <c r="J158" s="330"/>
      <c r="K158" s="330"/>
      <c r="L158" s="1902"/>
      <c r="M158" s="355"/>
      <c r="N158" s="355"/>
      <c r="O158" s="355"/>
      <c r="P158" s="355"/>
      <c r="Q158" s="355"/>
    </row>
    <row r="159" spans="2:57" ht="30" x14ac:dyDescent="0.25">
      <c r="B159" s="1580"/>
      <c r="C159" s="1641" t="s">
        <v>17</v>
      </c>
      <c r="D159" s="1641" t="s">
        <v>662</v>
      </c>
      <c r="E159" s="1641" t="s">
        <v>19</v>
      </c>
      <c r="F159" s="1641" t="s">
        <v>20</v>
      </c>
      <c r="G159" s="1641" t="s">
        <v>21</v>
      </c>
      <c r="H159" s="1641" t="s">
        <v>22</v>
      </c>
      <c r="I159" s="1641" t="s">
        <v>936</v>
      </c>
      <c r="J159" s="1641" t="s">
        <v>937</v>
      </c>
      <c r="K159" s="1641" t="s">
        <v>23</v>
      </c>
      <c r="L159" s="1646" t="s">
        <v>24</v>
      </c>
      <c r="M159" s="1641" t="s">
        <v>25</v>
      </c>
      <c r="N159" s="1641" t="s">
        <v>26</v>
      </c>
      <c r="V159" s="55" t="s">
        <v>27</v>
      </c>
      <c r="W159" s="56">
        <f>W$6</f>
        <v>43252</v>
      </c>
      <c r="X159" s="56">
        <f t="shared" ref="X159:AG159" si="35">X$6</f>
        <v>43465</v>
      </c>
      <c r="Y159" s="56">
        <f t="shared" si="35"/>
        <v>43800</v>
      </c>
      <c r="Z159" s="56">
        <f t="shared" si="35"/>
        <v>43862</v>
      </c>
      <c r="AA159" s="56" t="str">
        <f t="shared" si="35"/>
        <v>-</v>
      </c>
      <c r="AB159" s="56" t="str">
        <f t="shared" si="35"/>
        <v>-</v>
      </c>
      <c r="AC159" s="56" t="str">
        <f t="shared" si="35"/>
        <v>-</v>
      </c>
      <c r="AD159" s="56" t="str">
        <f t="shared" si="35"/>
        <v>-</v>
      </c>
      <c r="AE159" s="56" t="str">
        <f t="shared" si="35"/>
        <v>-</v>
      </c>
      <c r="AF159" s="56" t="str">
        <f t="shared" si="35"/>
        <v>-</v>
      </c>
      <c r="AG159" s="56" t="str">
        <f t="shared" si="35"/>
        <v>-</v>
      </c>
      <c r="BB159" s="57" t="str">
        <f>$BB$6</f>
        <v>TRC (2020)</v>
      </c>
      <c r="BC159" s="103" t="str">
        <f>$BC$6</f>
        <v>Benefit Lookup</v>
      </c>
      <c r="BD159" s="883" t="str">
        <f>$BD$6</f>
        <v>Benefits (2019 $)</v>
      </c>
      <c r="BE159" s="334" t="str">
        <f>$BE$6</f>
        <v>Incremental Cost (2019 $)</v>
      </c>
    </row>
    <row r="160" spans="2:57" x14ac:dyDescent="0.25">
      <c r="B160" s="1580"/>
      <c r="C160" s="2543" t="s">
        <v>3442</v>
      </c>
      <c r="D160" s="1927" t="s">
        <v>2272</v>
      </c>
      <c r="E160" s="1706" t="s">
        <v>2319</v>
      </c>
      <c r="F160" s="1909">
        <f>ROUND(I160+J160,2)</f>
        <v>79.2</v>
      </c>
      <c r="G160" s="1672" t="s">
        <v>941</v>
      </c>
      <c r="H160" s="239">
        <f>VLOOKUP(G160,'CP FACTORS'!$A$3:$B$38, 2, FALSE)</f>
        <v>4.6608050000000002E-4</v>
      </c>
      <c r="I160" s="1545">
        <f>F$170*F$171*F$172*F$174*F175*F176</f>
        <v>50.097299999999997</v>
      </c>
      <c r="J160" s="1545">
        <f>F$177*F$171*F$178*F$174*F175*F176</f>
        <v>29.100637499999994</v>
      </c>
      <c r="K160" s="1178">
        <f>ROUND(H160*F160,6)</f>
        <v>3.6914000000000002E-2</v>
      </c>
      <c r="L160" s="1545">
        <f>F180</f>
        <v>14</v>
      </c>
      <c r="M160" s="1535">
        <f>F181</f>
        <v>5</v>
      </c>
      <c r="N160" s="291" t="s">
        <v>37</v>
      </c>
      <c r="V160" s="245" t="str">
        <f>F159</f>
        <v>kWh Annual Savings</v>
      </c>
      <c r="W160" s="575">
        <v>79.197937499999995</v>
      </c>
      <c r="X160" s="1536">
        <v>79.197937499999995</v>
      </c>
      <c r="Y160" s="405">
        <v>79.2</v>
      </c>
      <c r="Z160" s="245"/>
      <c r="AA160" s="245"/>
      <c r="AB160" s="245"/>
      <c r="AC160" s="245"/>
      <c r="AD160" s="245"/>
      <c r="AE160" s="245"/>
      <c r="AF160" s="245"/>
      <c r="AG160" s="245"/>
      <c r="BB160" s="68">
        <f t="shared" ref="BB160:BB161" si="36">(BD160)/(BE160)</f>
        <v>14.901460188305345</v>
      </c>
      <c r="BC160" s="69" t="str">
        <f t="shared" ref="BC160:BC161" si="37">CONCATENATE(G160," ",L160," Year EUL")</f>
        <v>HVAC RES 14 Year EUL</v>
      </c>
      <c r="BD160" s="162">
        <f>(INDEX('Avoided Cost Benefits'!$C$4:$C$857,MATCH(BC160,'Avoided Cost Benefits'!$A$4:$A$857,0)))*F160</f>
        <v>70.323077811728851</v>
      </c>
      <c r="BE160" s="70">
        <f t="shared" ref="BE160:BE161" si="38">M160/(1.0595^(2020-2019))</f>
        <v>4.7192071731949028</v>
      </c>
    </row>
    <row r="161" spans="2:57" x14ac:dyDescent="0.25">
      <c r="B161" s="1580"/>
      <c r="C161" s="2543" t="s">
        <v>3443</v>
      </c>
      <c r="D161" s="1927" t="s">
        <v>2275</v>
      </c>
      <c r="E161" s="458" t="str">
        <f>CONCATENATE(E160,"_CompE")</f>
        <v>Dirty Filter Alarm_MFMR_CompE</v>
      </c>
      <c r="F161" s="1909">
        <f>ROUND(I161+J161,2)</f>
        <v>38.24</v>
      </c>
      <c r="G161" s="1672" t="s">
        <v>941</v>
      </c>
      <c r="H161" s="239">
        <f>VLOOKUP(G161,'CP FACTORS'!$A$3:$B$38, 2, FALSE)</f>
        <v>4.6608050000000002E-4</v>
      </c>
      <c r="I161" s="1545">
        <f>F$170*F$171*F$173*F$174*F175*F176</f>
        <v>17.078624999999999</v>
      </c>
      <c r="J161" s="1545">
        <f>F$177*F$171*F$179*F$174*F175*F176</f>
        <v>21.164099999999998</v>
      </c>
      <c r="K161" s="1178">
        <f t="shared" ref="K161" si="39">ROUND(H161*F161,6)</f>
        <v>1.7822999999999999E-2</v>
      </c>
      <c r="L161" s="1545">
        <f>L160</f>
        <v>14</v>
      </c>
      <c r="M161" s="1535">
        <f>M160</f>
        <v>5</v>
      </c>
      <c r="N161" s="291" t="s">
        <v>37</v>
      </c>
      <c r="V161" s="245" t="str">
        <f>V160</f>
        <v>kWh Annual Savings</v>
      </c>
      <c r="W161" s="575"/>
      <c r="X161" s="1536"/>
      <c r="Y161" s="402">
        <v>38.24</v>
      </c>
      <c r="Z161" s="245"/>
      <c r="AA161" s="245"/>
      <c r="AB161" s="245"/>
      <c r="AC161" s="245"/>
      <c r="AD161" s="245"/>
      <c r="AE161" s="245"/>
      <c r="AF161" s="245"/>
      <c r="AG161" s="245"/>
      <c r="BB161" s="75">
        <f t="shared" si="36"/>
        <v>7.1948464343534893</v>
      </c>
      <c r="BC161" s="73" t="str">
        <f t="shared" si="37"/>
        <v>HVAC RES 14 Year EUL</v>
      </c>
      <c r="BD161" s="170">
        <f>(INDEX('Avoided Cost Benefits'!$C$4:$C$857,MATCH(BC161,'Avoided Cost Benefits'!$A$4:$A$857,0)))*F161</f>
        <v>33.953970903036755</v>
      </c>
      <c r="BE161" s="76">
        <f t="shared" si="38"/>
        <v>4.7192071731949028</v>
      </c>
    </row>
    <row r="162" spans="2:57" hidden="1" outlineLevel="1" x14ac:dyDescent="0.25">
      <c r="B162" s="1580"/>
      <c r="C162" s="329"/>
      <c r="D162" s="1546"/>
      <c r="E162" s="1546"/>
      <c r="F162" s="2295"/>
      <c r="G162" s="1931"/>
      <c r="H162" s="1932"/>
      <c r="I162" s="2296"/>
      <c r="J162" s="2297"/>
      <c r="K162" s="1324"/>
      <c r="L162" s="1324"/>
      <c r="M162" s="2298"/>
      <c r="N162" s="2299"/>
      <c r="O162" s="2298"/>
      <c r="P162" s="2255"/>
      <c r="Q162" s="1339"/>
    </row>
    <row r="163" spans="2:57" hidden="1" outlineLevel="1" x14ac:dyDescent="0.25">
      <c r="B163" s="1580"/>
      <c r="C163" s="329"/>
      <c r="D163" s="259" t="s">
        <v>617</v>
      </c>
      <c r="E163" s="2157"/>
      <c r="F163" s="2300"/>
      <c r="G163" s="1248"/>
      <c r="H163" s="1248"/>
      <c r="I163" s="1248"/>
      <c r="J163" s="1248"/>
      <c r="K163" s="1248"/>
      <c r="L163" s="1248"/>
      <c r="M163" s="1197"/>
      <c r="N163" s="1197"/>
      <c r="O163" s="355"/>
      <c r="P163" s="355"/>
      <c r="Q163" s="355"/>
    </row>
    <row r="164" spans="2:57" hidden="1" outlineLevel="1" x14ac:dyDescent="0.25">
      <c r="B164" s="1580"/>
      <c r="C164" s="329"/>
      <c r="D164" s="3156"/>
      <c r="E164" s="3156"/>
      <c r="F164" s="3156"/>
      <c r="G164" s="3156"/>
      <c r="H164" s="3156"/>
      <c r="I164" s="3156"/>
      <c r="J164" s="3156"/>
      <c r="K164" s="3156"/>
      <c r="L164" s="3156"/>
      <c r="M164" s="1197"/>
      <c r="N164" s="1197"/>
      <c r="O164" s="355"/>
      <c r="P164" s="355"/>
      <c r="Q164" s="355"/>
    </row>
    <row r="165" spans="2:57" hidden="1" outlineLevel="1" x14ac:dyDescent="0.25">
      <c r="B165" s="1580"/>
      <c r="C165" s="329"/>
      <c r="D165" s="3156"/>
      <c r="E165" s="3156"/>
      <c r="F165" s="3156"/>
      <c r="G165" s="3156"/>
      <c r="H165" s="3156"/>
      <c r="I165" s="3156"/>
      <c r="J165" s="3156"/>
      <c r="K165" s="3156"/>
      <c r="L165" s="3156"/>
      <c r="M165" s="1197"/>
      <c r="N165" s="1197"/>
      <c r="O165" s="355"/>
      <c r="P165" s="355"/>
      <c r="Q165" s="355"/>
    </row>
    <row r="166" spans="2:57" hidden="1" outlineLevel="1" x14ac:dyDescent="0.25">
      <c r="B166" s="1580"/>
      <c r="C166" s="329"/>
      <c r="D166" s="3156"/>
      <c r="E166" s="3156"/>
      <c r="F166" s="3156"/>
      <c r="G166" s="3156"/>
      <c r="H166" s="3156"/>
      <c r="I166" s="3156"/>
      <c r="J166" s="3156"/>
      <c r="K166" s="3156"/>
      <c r="L166" s="3156"/>
      <c r="M166" s="1197"/>
      <c r="N166" s="1197"/>
      <c r="O166" s="355"/>
      <c r="P166" s="355"/>
      <c r="Q166" s="355"/>
    </row>
    <row r="167" spans="2:57" hidden="1" outlineLevel="1" x14ac:dyDescent="0.25">
      <c r="B167" s="1580"/>
      <c r="C167" s="329"/>
      <c r="D167" s="3156"/>
      <c r="E167" s="3156"/>
      <c r="F167" s="3156"/>
      <c r="G167" s="3156"/>
      <c r="H167" s="3156"/>
      <c r="I167" s="3156"/>
      <c r="J167" s="3156"/>
      <c r="K167" s="3156"/>
      <c r="L167" s="3156"/>
      <c r="M167" s="1197"/>
      <c r="N167" s="1197"/>
      <c r="O167" s="355"/>
      <c r="P167" s="355"/>
      <c r="Q167" s="355"/>
    </row>
    <row r="168" spans="2:57" hidden="1" outlineLevel="1" x14ac:dyDescent="0.25">
      <c r="B168" s="1580"/>
      <c r="C168" s="329"/>
      <c r="D168" s="353"/>
      <c r="E168" s="353"/>
      <c r="F168" s="355"/>
      <c r="G168" s="355"/>
      <c r="H168" s="355"/>
      <c r="I168" s="355"/>
      <c r="J168" s="355"/>
      <c r="K168" s="355"/>
      <c r="L168" s="355"/>
      <c r="M168" s="355"/>
      <c r="N168" s="355"/>
      <c r="O168" s="355"/>
      <c r="P168" s="355"/>
      <c r="Q168" s="355"/>
    </row>
    <row r="169" spans="2:57" hidden="1" outlineLevel="1" x14ac:dyDescent="0.25">
      <c r="B169" s="1580"/>
      <c r="C169" s="329"/>
      <c r="D169" s="1701" t="s">
        <v>618</v>
      </c>
      <c r="E169" s="1701" t="s">
        <v>619</v>
      </c>
      <c r="F169" s="1641" t="s">
        <v>620</v>
      </c>
      <c r="G169" s="1641" t="s">
        <v>670</v>
      </c>
      <c r="H169" s="1641" t="s">
        <v>766</v>
      </c>
      <c r="I169" s="355"/>
      <c r="J169" s="355"/>
      <c r="K169" s="355"/>
      <c r="L169" s="355"/>
      <c r="M169" s="355"/>
      <c r="N169" s="355"/>
      <c r="O169" s="355"/>
      <c r="P169" s="355"/>
      <c r="Q169" s="355"/>
      <c r="V169" s="55" t="s">
        <v>27</v>
      </c>
      <c r="W169" s="56">
        <f>W$6</f>
        <v>43252</v>
      </c>
      <c r="X169" s="56">
        <f t="shared" ref="X169:AG169" si="40">X$6</f>
        <v>43465</v>
      </c>
      <c r="Y169" s="56">
        <f t="shared" si="40"/>
        <v>43800</v>
      </c>
      <c r="Z169" s="56">
        <f t="shared" si="40"/>
        <v>43862</v>
      </c>
      <c r="AA169" s="56" t="str">
        <f t="shared" si="40"/>
        <v>-</v>
      </c>
      <c r="AB169" s="56" t="str">
        <f t="shared" si="40"/>
        <v>-</v>
      </c>
      <c r="AC169" s="56" t="str">
        <f t="shared" si="40"/>
        <v>-</v>
      </c>
      <c r="AD169" s="56" t="str">
        <f t="shared" si="40"/>
        <v>-</v>
      </c>
      <c r="AE169" s="56" t="str">
        <f t="shared" si="40"/>
        <v>-</v>
      </c>
      <c r="AF169" s="56" t="str">
        <f t="shared" si="40"/>
        <v>-</v>
      </c>
      <c r="AG169" s="56" t="str">
        <f t="shared" si="40"/>
        <v>-</v>
      </c>
    </row>
    <row r="170" spans="2:57" hidden="1" outlineLevel="1" x14ac:dyDescent="0.25">
      <c r="B170" s="1580"/>
      <c r="C170" s="329"/>
      <c r="D170" s="1547" t="s">
        <v>945</v>
      </c>
      <c r="E170" s="435" t="s">
        <v>637</v>
      </c>
      <c r="F170" s="401">
        <v>0.95</v>
      </c>
      <c r="G170" s="1498" t="s">
        <v>949</v>
      </c>
      <c r="H170" s="1499"/>
      <c r="I170" s="355"/>
      <c r="J170" s="355"/>
      <c r="K170" s="355"/>
      <c r="L170" s="355"/>
      <c r="M170" s="355"/>
      <c r="N170" s="355"/>
      <c r="O170" s="355"/>
      <c r="P170" s="355"/>
      <c r="Q170" s="355"/>
      <c r="V170" s="1254" t="str">
        <f>D170</f>
        <v>%Heating</v>
      </c>
      <c r="W170" s="381">
        <v>0.95</v>
      </c>
      <c r="X170" s="381">
        <v>0.95</v>
      </c>
      <c r="Y170" s="381">
        <v>0.95</v>
      </c>
      <c r="Z170" s="381"/>
      <c r="AA170" s="381"/>
      <c r="AB170" s="381"/>
      <c r="AC170" s="381"/>
      <c r="AD170" s="381"/>
      <c r="AE170" s="381"/>
      <c r="AF170" s="381"/>
      <c r="AG170" s="381"/>
    </row>
    <row r="171" spans="2:57" hidden="1" outlineLevel="1" x14ac:dyDescent="0.25">
      <c r="B171" s="1580"/>
      <c r="C171" s="329"/>
      <c r="D171" s="1547" t="s">
        <v>23</v>
      </c>
      <c r="E171" s="435" t="s">
        <v>637</v>
      </c>
      <c r="F171" s="598">
        <v>0.5</v>
      </c>
      <c r="G171" s="1498" t="s">
        <v>767</v>
      </c>
      <c r="H171" s="1499"/>
      <c r="I171" s="355"/>
      <c r="J171" s="355"/>
      <c r="K171" s="355"/>
      <c r="L171" s="355"/>
      <c r="M171" s="355"/>
      <c r="N171" s="355"/>
      <c r="O171" s="355"/>
      <c r="P171" s="355"/>
      <c r="Q171" s="355"/>
      <c r="V171" s="1254" t="str">
        <f t="shared" ref="V171:V178" si="41">D171</f>
        <v>kW</v>
      </c>
      <c r="W171" s="1548">
        <v>0.5</v>
      </c>
      <c r="X171" s="1548">
        <v>0.5</v>
      </c>
      <c r="Y171" s="1548">
        <v>0.5</v>
      </c>
      <c r="Z171" s="1548"/>
      <c r="AA171" s="1548"/>
      <c r="AB171" s="1548"/>
      <c r="AC171" s="1548"/>
      <c r="AD171" s="1548"/>
      <c r="AE171" s="1548"/>
      <c r="AF171" s="1548"/>
      <c r="AG171" s="1548"/>
    </row>
    <row r="172" spans="2:57" hidden="1" outlineLevel="1" x14ac:dyDescent="0.25">
      <c r="B172" s="1580"/>
      <c r="C172" s="329"/>
      <c r="D172" s="3155" t="s">
        <v>950</v>
      </c>
      <c r="E172" s="377" t="s">
        <v>790</v>
      </c>
      <c r="F172" s="599">
        <v>1496</v>
      </c>
      <c r="G172" s="1498" t="s">
        <v>767</v>
      </c>
      <c r="H172" s="1499"/>
      <c r="I172" s="355"/>
      <c r="J172" s="355"/>
      <c r="K172" s="355"/>
      <c r="L172" s="355"/>
      <c r="M172" s="355"/>
      <c r="N172" s="355"/>
      <c r="O172" s="355"/>
      <c r="P172" s="355"/>
      <c r="Q172" s="355"/>
      <c r="V172" s="2937" t="str">
        <f t="shared" si="41"/>
        <v>EFLHheat</v>
      </c>
      <c r="W172" s="388">
        <v>1496</v>
      </c>
      <c r="X172" s="388">
        <v>1496</v>
      </c>
      <c r="Y172" s="388">
        <v>1496</v>
      </c>
      <c r="Z172" s="390"/>
      <c r="AA172" s="388"/>
      <c r="AB172" s="388"/>
      <c r="AC172" s="388"/>
      <c r="AD172" s="388"/>
      <c r="AE172" s="388"/>
      <c r="AF172" s="388"/>
      <c r="AG172" s="388"/>
    </row>
    <row r="173" spans="2:57" ht="38.25" hidden="1" outlineLevel="1" x14ac:dyDescent="0.25">
      <c r="B173" s="1580"/>
      <c r="C173" s="329"/>
      <c r="D173" s="2683"/>
      <c r="E173" s="377" t="s">
        <v>952</v>
      </c>
      <c r="F173" s="604">
        <v>510</v>
      </c>
      <c r="G173" s="1952" t="s">
        <v>953</v>
      </c>
      <c r="H173" s="1499"/>
      <c r="I173" s="355"/>
      <c r="J173" s="355"/>
      <c r="K173" s="355"/>
      <c r="L173" s="355"/>
      <c r="M173" s="355"/>
      <c r="N173" s="355"/>
      <c r="O173" s="355"/>
      <c r="P173" s="355"/>
      <c r="Q173" s="355"/>
      <c r="V173" s="2946"/>
      <c r="W173" s="388"/>
      <c r="X173" s="388"/>
      <c r="Y173" s="422">
        <v>510</v>
      </c>
      <c r="Z173" s="390"/>
      <c r="AA173" s="388"/>
      <c r="AB173" s="388"/>
      <c r="AC173" s="388"/>
      <c r="AD173" s="388"/>
      <c r="AE173" s="388"/>
      <c r="AF173" s="388"/>
      <c r="AG173" s="388"/>
    </row>
    <row r="174" spans="2:57" hidden="1" outlineLevel="1" x14ac:dyDescent="0.25">
      <c r="B174" s="1580"/>
      <c r="C174" s="329"/>
      <c r="D174" s="435" t="s">
        <v>954</v>
      </c>
      <c r="E174" s="435" t="s">
        <v>637</v>
      </c>
      <c r="F174" s="401">
        <v>0.15</v>
      </c>
      <c r="G174" s="1498" t="s">
        <v>767</v>
      </c>
      <c r="H174" s="1499"/>
      <c r="I174" s="355"/>
      <c r="J174" s="355"/>
      <c r="K174" s="355"/>
      <c r="L174" s="355"/>
      <c r="M174" s="355"/>
      <c r="N174" s="355"/>
      <c r="O174" s="355"/>
      <c r="P174" s="355"/>
      <c r="Q174" s="355"/>
      <c r="V174" s="1254" t="str">
        <f t="shared" si="41"/>
        <v>EI</v>
      </c>
      <c r="W174" s="381">
        <v>0.15</v>
      </c>
      <c r="X174" s="381">
        <v>0.15</v>
      </c>
      <c r="Y174" s="381">
        <v>0.15</v>
      </c>
      <c r="Z174" s="381"/>
      <c r="AA174" s="381"/>
      <c r="AB174" s="381"/>
      <c r="AC174" s="381"/>
      <c r="AD174" s="381"/>
      <c r="AE174" s="381"/>
      <c r="AF174" s="381"/>
      <c r="AG174" s="381"/>
    </row>
    <row r="175" spans="2:57" ht="15" hidden="1" customHeight="1" outlineLevel="1" x14ac:dyDescent="0.25">
      <c r="B175" s="1580"/>
      <c r="C175" s="329"/>
      <c r="D175" s="1547" t="s">
        <v>956</v>
      </c>
      <c r="E175" s="435" t="s">
        <v>1770</v>
      </c>
      <c r="F175" s="401">
        <v>1</v>
      </c>
      <c r="G175" s="1498" t="s">
        <v>767</v>
      </c>
      <c r="H175" s="1499" t="s">
        <v>2320</v>
      </c>
      <c r="I175" s="355"/>
      <c r="J175" s="355"/>
      <c r="K175" s="355"/>
      <c r="L175" s="355"/>
      <c r="M175" s="355"/>
      <c r="N175" s="355"/>
      <c r="O175" s="355"/>
      <c r="P175" s="355"/>
      <c r="Q175" s="355"/>
      <c r="V175" s="1254" t="str">
        <f t="shared" si="41"/>
        <v>Utility Adjustment</v>
      </c>
      <c r="W175" s="381">
        <v>1</v>
      </c>
      <c r="X175" s="381">
        <v>1</v>
      </c>
      <c r="Y175" s="381">
        <v>1</v>
      </c>
      <c r="Z175" s="381"/>
      <c r="AA175" s="381"/>
      <c r="AB175" s="381"/>
      <c r="AC175" s="381"/>
      <c r="AD175" s="381"/>
      <c r="AE175" s="381"/>
      <c r="AF175" s="381"/>
      <c r="AG175" s="381"/>
    </row>
    <row r="176" spans="2:57" hidden="1" outlineLevel="1" x14ac:dyDescent="0.25">
      <c r="B176" s="1580"/>
      <c r="C176" s="329"/>
      <c r="D176" s="1547" t="s">
        <v>82</v>
      </c>
      <c r="E176" s="435" t="s">
        <v>1770</v>
      </c>
      <c r="F176" s="378">
        <v>0.47</v>
      </c>
      <c r="G176" s="1498" t="s">
        <v>767</v>
      </c>
      <c r="H176" s="1499" t="s">
        <v>2321</v>
      </c>
      <c r="I176" s="355"/>
      <c r="J176" s="355"/>
      <c r="K176" s="355"/>
      <c r="L176" s="355"/>
      <c r="M176" s="355"/>
      <c r="N176" s="355"/>
      <c r="O176" s="355"/>
      <c r="P176" s="355"/>
      <c r="Q176" s="355"/>
      <c r="V176" s="1254" t="str">
        <f t="shared" si="41"/>
        <v>ISR</v>
      </c>
      <c r="W176" s="382">
        <v>0.47</v>
      </c>
      <c r="X176" s="382">
        <v>0.47</v>
      </c>
      <c r="Y176" s="382">
        <v>0.47</v>
      </c>
      <c r="Z176" s="382"/>
      <c r="AA176" s="382"/>
      <c r="AB176" s="382"/>
      <c r="AC176" s="382"/>
      <c r="AD176" s="382"/>
      <c r="AE176" s="382"/>
      <c r="AF176" s="382"/>
      <c r="AG176" s="382"/>
    </row>
    <row r="177" spans="2:57" hidden="1" outlineLevel="1" x14ac:dyDescent="0.25">
      <c r="B177" s="1580"/>
      <c r="C177" s="329"/>
      <c r="D177" s="1547" t="s">
        <v>788</v>
      </c>
      <c r="E177" s="435" t="s">
        <v>637</v>
      </c>
      <c r="F177" s="401">
        <v>0.95</v>
      </c>
      <c r="G177" s="1498" t="s">
        <v>2322</v>
      </c>
      <c r="H177" s="1499"/>
      <c r="I177" s="355"/>
      <c r="J177" s="355"/>
      <c r="K177" s="355"/>
      <c r="L177" s="355"/>
      <c r="M177" s="355"/>
      <c r="N177" s="355"/>
      <c r="O177" s="355"/>
      <c r="P177" s="355"/>
      <c r="Q177" s="355"/>
      <c r="V177" s="1254" t="str">
        <f t="shared" si="41"/>
        <v>%AC</v>
      </c>
      <c r="W177" s="381">
        <v>0.95</v>
      </c>
      <c r="X177" s="381">
        <v>0.95</v>
      </c>
      <c r="Y177" s="381">
        <v>0.95</v>
      </c>
      <c r="Z177" s="381"/>
      <c r="AA177" s="381"/>
      <c r="AB177" s="381"/>
      <c r="AC177" s="381"/>
      <c r="AD177" s="381"/>
      <c r="AE177" s="381"/>
      <c r="AF177" s="381"/>
      <c r="AG177" s="381"/>
    </row>
    <row r="178" spans="2:57" hidden="1" outlineLevel="1" x14ac:dyDescent="0.25">
      <c r="B178" s="1580"/>
      <c r="C178" s="329"/>
      <c r="D178" s="3155" t="s">
        <v>959</v>
      </c>
      <c r="E178" s="377" t="s">
        <v>790</v>
      </c>
      <c r="F178" s="604">
        <v>869</v>
      </c>
      <c r="G178" s="1498" t="s">
        <v>767</v>
      </c>
      <c r="H178" s="1499"/>
      <c r="I178" s="355"/>
      <c r="J178" s="355"/>
      <c r="K178" s="355"/>
      <c r="L178" s="355"/>
      <c r="M178" s="355"/>
      <c r="N178" s="355"/>
      <c r="O178" s="355"/>
      <c r="P178" s="355"/>
      <c r="Q178" s="355"/>
      <c r="V178" s="2931" t="str">
        <f t="shared" si="41"/>
        <v>EFLHcool</v>
      </c>
      <c r="W178" s="388">
        <v>869</v>
      </c>
      <c r="X178" s="388">
        <v>869</v>
      </c>
      <c r="Y178" s="388">
        <v>869</v>
      </c>
      <c r="Z178" s="381"/>
      <c r="AA178" s="388"/>
      <c r="AB178" s="388"/>
      <c r="AC178" s="388"/>
      <c r="AD178" s="388"/>
      <c r="AE178" s="388"/>
      <c r="AF178" s="388"/>
      <c r="AG178" s="388"/>
    </row>
    <row r="179" spans="2:57" ht="38.25" hidden="1" outlineLevel="1" x14ac:dyDescent="0.25">
      <c r="B179" s="1580"/>
      <c r="C179" s="329"/>
      <c r="D179" s="2683"/>
      <c r="E179" s="377" t="s">
        <v>952</v>
      </c>
      <c r="F179" s="604">
        <v>632</v>
      </c>
      <c r="G179" s="1952" t="s">
        <v>953</v>
      </c>
      <c r="H179" s="1499"/>
      <c r="I179" s="355"/>
      <c r="J179" s="355"/>
      <c r="K179" s="355"/>
      <c r="L179" s="355"/>
      <c r="M179" s="355"/>
      <c r="N179" s="355"/>
      <c r="O179" s="355"/>
      <c r="P179" s="355"/>
      <c r="Q179" s="355"/>
      <c r="V179" s="2946"/>
      <c r="W179" s="388"/>
      <c r="X179" s="388"/>
      <c r="Y179" s="422">
        <v>632</v>
      </c>
      <c r="Z179" s="381"/>
      <c r="AA179" s="388"/>
      <c r="AB179" s="388"/>
      <c r="AC179" s="388"/>
      <c r="AD179" s="388"/>
      <c r="AE179" s="388"/>
      <c r="AF179" s="388"/>
      <c r="AG179" s="388"/>
    </row>
    <row r="180" spans="2:57" hidden="1" outlineLevel="1" x14ac:dyDescent="0.25">
      <c r="B180" s="1580"/>
      <c r="C180" s="329"/>
      <c r="D180" s="377" t="s">
        <v>961</v>
      </c>
      <c r="E180" s="377" t="s">
        <v>657</v>
      </c>
      <c r="F180" s="1647">
        <v>14</v>
      </c>
      <c r="G180" s="597"/>
      <c r="H180" s="380"/>
      <c r="I180" s="355"/>
      <c r="J180" s="355"/>
      <c r="K180" s="355"/>
      <c r="L180" s="355"/>
      <c r="M180" s="1494"/>
      <c r="N180" s="355"/>
      <c r="O180" s="355"/>
      <c r="P180" s="355"/>
      <c r="Q180" s="355"/>
      <c r="V180" s="1547" t="str">
        <f>D180</f>
        <v xml:space="preserve">EUL </v>
      </c>
      <c r="W180" s="608">
        <f>F180</f>
        <v>14</v>
      </c>
      <c r="X180" s="608">
        <f>W180</f>
        <v>14</v>
      </c>
      <c r="Y180" s="608">
        <f>X180</f>
        <v>14</v>
      </c>
      <c r="Z180" s="381"/>
      <c r="AA180" s="608"/>
      <c r="AB180" s="608"/>
      <c r="AC180" s="608"/>
      <c r="AD180" s="608"/>
      <c r="AE180" s="608"/>
      <c r="AF180" s="608"/>
      <c r="AG180" s="608"/>
    </row>
    <row r="181" spans="2:57" hidden="1" outlineLevel="1" x14ac:dyDescent="0.25">
      <c r="B181" s="1580"/>
      <c r="C181" s="329"/>
      <c r="D181" s="1653" t="s">
        <v>25</v>
      </c>
      <c r="E181" s="377" t="s">
        <v>962</v>
      </c>
      <c r="F181" s="1648">
        <v>5</v>
      </c>
      <c r="G181" s="597"/>
      <c r="H181" s="380"/>
      <c r="I181" s="355"/>
      <c r="J181" s="355"/>
      <c r="K181" s="355"/>
      <c r="L181" s="355"/>
      <c r="M181" s="1494"/>
      <c r="N181" s="355"/>
      <c r="O181" s="355"/>
      <c r="P181" s="355"/>
      <c r="Q181" s="355"/>
      <c r="V181" s="1549" t="str">
        <f>D181</f>
        <v>Inc. Cost</v>
      </c>
      <c r="W181" s="610">
        <f>F181</f>
        <v>5</v>
      </c>
      <c r="X181" s="610">
        <f>W181</f>
        <v>5</v>
      </c>
      <c r="Y181" s="610">
        <f>X181</f>
        <v>5</v>
      </c>
      <c r="Z181" s="611"/>
      <c r="AA181" s="611"/>
      <c r="AB181" s="611"/>
      <c r="AC181" s="611"/>
      <c r="AD181" s="611"/>
      <c r="AE181" s="611"/>
      <c r="AF181" s="611"/>
      <c r="AG181" s="611"/>
    </row>
    <row r="182" spans="2:57" hidden="1" outlineLevel="1" x14ac:dyDescent="0.25">
      <c r="B182" s="1580"/>
      <c r="C182" s="1237"/>
      <c r="D182" s="1653" t="s">
        <v>963</v>
      </c>
      <c r="E182" s="377" t="s">
        <v>964</v>
      </c>
      <c r="F182" s="612" t="s">
        <v>965</v>
      </c>
      <c r="G182" s="597"/>
      <c r="H182" s="380"/>
      <c r="I182" s="355"/>
      <c r="J182" s="355"/>
      <c r="K182" s="355"/>
      <c r="L182" s="355"/>
      <c r="M182" s="1494"/>
      <c r="N182" s="355"/>
      <c r="O182" s="355"/>
      <c r="P182" s="355"/>
      <c r="Q182" s="355"/>
      <c r="V182" s="1547" t="str">
        <f>D182</f>
        <v>P</v>
      </c>
      <c r="W182" s="608" t="s">
        <v>965</v>
      </c>
      <c r="X182" s="608" t="s">
        <v>965</v>
      </c>
      <c r="Y182" s="608" t="s">
        <v>965</v>
      </c>
      <c r="Z182" s="608"/>
      <c r="AA182" s="608"/>
      <c r="AB182" s="608"/>
      <c r="AC182" s="608"/>
      <c r="AD182" s="608"/>
      <c r="AE182" s="608"/>
      <c r="AF182" s="608"/>
      <c r="AG182" s="608"/>
    </row>
    <row r="183" spans="2:57" collapsed="1" x14ac:dyDescent="0.25">
      <c r="B183" s="1580"/>
      <c r="C183" s="329"/>
      <c r="D183" s="353"/>
      <c r="E183" s="427"/>
      <c r="F183" s="355"/>
      <c r="G183" s="355"/>
      <c r="H183" s="355"/>
      <c r="I183" s="355"/>
      <c r="J183" s="355"/>
      <c r="K183" s="355"/>
      <c r="L183" s="355"/>
      <c r="M183" s="355"/>
      <c r="N183" s="355"/>
      <c r="O183" s="355"/>
      <c r="P183" s="355"/>
      <c r="Q183" s="355"/>
    </row>
    <row r="184" spans="2:57" x14ac:dyDescent="0.25">
      <c r="B184" s="1580"/>
      <c r="C184" s="329"/>
      <c r="D184" s="353"/>
      <c r="E184" s="353"/>
      <c r="F184" s="355"/>
      <c r="G184" s="355"/>
      <c r="H184" s="355"/>
      <c r="I184" s="355"/>
      <c r="J184" s="355"/>
      <c r="K184" s="355"/>
      <c r="L184" s="355"/>
      <c r="M184" s="355"/>
      <c r="N184" s="355"/>
      <c r="O184" s="355"/>
      <c r="P184" s="355"/>
      <c r="Q184" s="355"/>
    </row>
    <row r="185" spans="2:57" x14ac:dyDescent="0.25">
      <c r="B185" s="2639" t="str">
        <f>'Income Eligble Deemed Table'!B577:L577</f>
        <v>ECM/ Blower Motor</v>
      </c>
      <c r="C185" s="2640"/>
      <c r="D185" s="2640"/>
      <c r="E185" s="2640"/>
      <c r="F185" s="2640"/>
      <c r="G185" s="2640"/>
      <c r="H185" s="2640"/>
      <c r="I185" s="2641"/>
      <c r="J185" s="2641"/>
      <c r="K185" s="2641"/>
      <c r="L185" s="2641"/>
      <c r="M185" s="2641"/>
      <c r="N185" s="2641"/>
      <c r="O185" s="2641"/>
      <c r="P185" s="2641"/>
      <c r="Q185" s="2642"/>
      <c r="V185" s="2639" t="str">
        <f>B185</f>
        <v>ECM/ Blower Motor</v>
      </c>
      <c r="W185" s="2640"/>
      <c r="X185" s="2640"/>
      <c r="Y185" s="2640"/>
      <c r="Z185" s="2640"/>
      <c r="AA185" s="2640"/>
      <c r="AB185" s="2640"/>
      <c r="AC185" s="2615"/>
      <c r="AD185" s="2615"/>
      <c r="AE185" s="2615"/>
      <c r="AF185" s="2615"/>
      <c r="AG185" s="2615"/>
      <c r="AH185" s="2615"/>
      <c r="AI185" s="2616"/>
    </row>
    <row r="186" spans="2:57" x14ac:dyDescent="0.25">
      <c r="B186" s="1580"/>
      <c r="C186" s="329"/>
      <c r="D186" s="573"/>
      <c r="E186" s="573"/>
      <c r="F186" s="330"/>
      <c r="G186" s="330"/>
      <c r="H186" s="330"/>
      <c r="I186" s="330"/>
      <c r="J186" s="330"/>
      <c r="K186" s="330"/>
      <c r="L186" s="1902"/>
      <c r="M186" s="355"/>
      <c r="N186" s="355"/>
      <c r="O186" s="355"/>
      <c r="P186" s="355"/>
      <c r="Q186" s="355"/>
    </row>
    <row r="187" spans="2:57" ht="30" x14ac:dyDescent="0.25">
      <c r="B187" s="1580"/>
      <c r="C187" s="1641" t="s">
        <v>17</v>
      </c>
      <c r="D187" s="1641" t="s">
        <v>662</v>
      </c>
      <c r="E187" s="1641" t="s">
        <v>19</v>
      </c>
      <c r="F187" s="1641" t="s">
        <v>20</v>
      </c>
      <c r="G187" s="1641" t="s">
        <v>21</v>
      </c>
      <c r="H187" s="1641" t="s">
        <v>22</v>
      </c>
      <c r="I187" s="1641" t="s">
        <v>936</v>
      </c>
      <c r="J187" s="1641" t="s">
        <v>937</v>
      </c>
      <c r="K187" s="1641" t="s">
        <v>1146</v>
      </c>
      <c r="L187" s="1641" t="s">
        <v>1147</v>
      </c>
      <c r="M187" s="1641" t="s">
        <v>23</v>
      </c>
      <c r="N187" s="1646" t="s">
        <v>2323</v>
      </c>
      <c r="O187" s="1641" t="s">
        <v>25</v>
      </c>
      <c r="P187" s="1641" t="s">
        <v>26</v>
      </c>
      <c r="R187" s="332"/>
      <c r="S187" s="332"/>
      <c r="T187" s="332"/>
      <c r="U187" s="332"/>
      <c r="V187" s="55" t="s">
        <v>27</v>
      </c>
      <c r="W187" s="56">
        <f>W$6</f>
        <v>43252</v>
      </c>
      <c r="X187" s="56">
        <f t="shared" ref="X187:AG187" si="42">X$6</f>
        <v>43465</v>
      </c>
      <c r="Y187" s="56">
        <f t="shared" si="42"/>
        <v>43800</v>
      </c>
      <c r="Z187" s="56">
        <f t="shared" si="42"/>
        <v>43862</v>
      </c>
      <c r="AA187" s="56" t="str">
        <f t="shared" si="42"/>
        <v>-</v>
      </c>
      <c r="AB187" s="56" t="str">
        <f t="shared" si="42"/>
        <v>-</v>
      </c>
      <c r="AC187" s="56" t="str">
        <f t="shared" si="42"/>
        <v>-</v>
      </c>
      <c r="AD187" s="56" t="str">
        <f t="shared" si="42"/>
        <v>-</v>
      </c>
      <c r="AE187" s="56" t="str">
        <f t="shared" si="42"/>
        <v>-</v>
      </c>
      <c r="AF187" s="56" t="str">
        <f t="shared" si="42"/>
        <v>-</v>
      </c>
      <c r="AG187" s="56" t="str">
        <f t="shared" si="42"/>
        <v>-</v>
      </c>
      <c r="BB187" s="57" t="str">
        <f>$BB$6</f>
        <v>TRC (2020)</v>
      </c>
      <c r="BC187" s="103" t="str">
        <f>$BC$6</f>
        <v>Benefit Lookup</v>
      </c>
      <c r="BD187" s="883" t="str">
        <f>$BD$6</f>
        <v>Benefits (2019 $)</v>
      </c>
      <c r="BE187" s="334" t="str">
        <f>$BE$6</f>
        <v>Incremental Cost (2019 $)</v>
      </c>
    </row>
    <row r="188" spans="2:57" x14ac:dyDescent="0.25">
      <c r="B188" s="1580"/>
      <c r="C188" s="1927" t="s">
        <v>2324</v>
      </c>
      <c r="D188" s="1927" t="s">
        <v>2272</v>
      </c>
      <c r="E188" s="794" t="s">
        <v>2325</v>
      </c>
      <c r="F188" s="893">
        <f>ROUND(I188+J188+K188+L188,2)</f>
        <v>582</v>
      </c>
      <c r="G188" s="1672" t="s">
        <v>941</v>
      </c>
      <c r="H188" s="239">
        <f>VLOOKUP(G188,'CP FACTORS'!$A$3:$B$38, 2, FALSE)</f>
        <v>4.6608050000000002E-4</v>
      </c>
      <c r="I188" s="608">
        <f>(1-I198)*400*I$201/I$202*I213</f>
        <v>264.14545423487061</v>
      </c>
      <c r="J188" s="608">
        <f>(1-I203)*70*I$206/I$207*I213</f>
        <v>31.133309957924254</v>
      </c>
      <c r="K188" s="608">
        <f>(25*I$206/I$207+2960*0.0880846122963064-30)*I213</f>
        <v>286.72123580720518</v>
      </c>
      <c r="L188" s="608">
        <v>0</v>
      </c>
      <c r="M188" s="1550">
        <f>ROUND(H188*F188,6)</f>
        <v>0.27125899999999997</v>
      </c>
      <c r="N188" s="608">
        <f>I215</f>
        <v>6</v>
      </c>
      <c r="O188" s="1535">
        <f>I217</f>
        <v>74.327224020150311</v>
      </c>
      <c r="P188" s="291" t="s">
        <v>37</v>
      </c>
      <c r="R188" s="332"/>
      <c r="S188" s="332"/>
      <c r="T188" s="332"/>
      <c r="U188" s="332"/>
      <c r="V188" s="245" t="str">
        <f>F187</f>
        <v>kWh Annual Savings</v>
      </c>
      <c r="W188" s="575">
        <v>513.93550400425124</v>
      </c>
      <c r="X188" s="575">
        <v>513.93550400425124</v>
      </c>
      <c r="Y188" s="896">
        <v>582</v>
      </c>
      <c r="Z188" s="575"/>
      <c r="AA188" s="575"/>
      <c r="AB188" s="575"/>
      <c r="AC188" s="575"/>
      <c r="AD188" s="575"/>
      <c r="AE188" s="575"/>
      <c r="AF188" s="575"/>
      <c r="AG188" s="575"/>
      <c r="BB188" s="68">
        <f>IFERROR((BD188+BD189)/(BE188+BE189),"")</f>
        <v>9.106187302806509</v>
      </c>
      <c r="BC188" s="2545" t="str">
        <f>CONCATENATE(G188," ",N188," Year EUL")</f>
        <v>HVAC RES 6 Year EUL</v>
      </c>
      <c r="BD188" s="162">
        <f>(INDEX('Avoided Cost Benefits'!$C$4:$C$857,MATCH(BC188,'Avoided Cost Benefits'!$A$4:$A$857,0)))*F188</f>
        <v>214.66614365077814</v>
      </c>
      <c r="BE188" s="70">
        <f>O188/(1.0595^(2020-2019))</f>
        <v>70.153113751911562</v>
      </c>
    </row>
    <row r="189" spans="2:57" x14ac:dyDescent="0.25">
      <c r="B189" s="1580"/>
      <c r="C189" s="1927" t="s">
        <v>2324</v>
      </c>
      <c r="D189" s="1927" t="s">
        <v>2272</v>
      </c>
      <c r="E189" s="73" t="s">
        <v>2326</v>
      </c>
      <c r="F189" s="893">
        <f>ROUND(I189+J189+K189+L189,2)</f>
        <v>582</v>
      </c>
      <c r="G189" s="1672" t="s">
        <v>2327</v>
      </c>
      <c r="H189" s="239">
        <f>VLOOKUP(G189,'CP FACTORS'!$A$3:$B$38, 2, FALSE)</f>
        <v>4.6608050000000002E-4</v>
      </c>
      <c r="I189" s="608">
        <f>(1-I199)*400*I$201/I$202*I214</f>
        <v>264.14545423487061</v>
      </c>
      <c r="J189" s="608">
        <f>(1-I204)*70*I$206/I$207*I214</f>
        <v>31.133309957924254</v>
      </c>
      <c r="K189" s="608">
        <f>(25*I$206/I$207+2960*0.0880846122963064-30)*I214</f>
        <v>286.72123580720518</v>
      </c>
      <c r="L189" s="608">
        <v>0</v>
      </c>
      <c r="M189" s="1550">
        <f t="shared" ref="M189" si="43">ROUND(H189*F189,6)</f>
        <v>0.27125899999999997</v>
      </c>
      <c r="N189" s="608">
        <f>I216</f>
        <v>12</v>
      </c>
      <c r="O189" s="1535"/>
      <c r="P189" s="291" t="s">
        <v>37</v>
      </c>
      <c r="V189" s="245" t="str">
        <f>V188</f>
        <v>kWh Annual Savings</v>
      </c>
      <c r="W189" s="575">
        <v>513.93550400425124</v>
      </c>
      <c r="X189" s="575">
        <v>513.93550400425124</v>
      </c>
      <c r="Y189" s="896">
        <v>582</v>
      </c>
      <c r="Z189" s="575"/>
      <c r="AA189" s="575"/>
      <c r="AB189" s="575"/>
      <c r="AC189" s="575"/>
      <c r="AD189" s="575"/>
      <c r="AE189" s="575"/>
      <c r="AF189" s="575"/>
      <c r="AG189" s="575"/>
      <c r="BB189" s="1277"/>
      <c r="BC189" s="2545" t="str">
        <f>CONCATENATE(G189," ",N189," Year EUL")</f>
        <v>HVAC RES ER2 12 Year EUL</v>
      </c>
      <c r="BD189" s="170">
        <f>(INDEX('Avoided Cost Benefits'!$C$4:$C$857,MATCH(BC189,'Avoided Cost Benefits'!$A$4:$A$857,0)))*F189</f>
        <v>424.16125004921963</v>
      </c>
      <c r="BE189" s="76">
        <f>O189/(1.0595^(2020-2019))</f>
        <v>0</v>
      </c>
    </row>
    <row r="190" spans="2:57" hidden="1" outlineLevel="1" x14ac:dyDescent="0.25">
      <c r="B190" s="1580"/>
      <c r="C190" s="329"/>
      <c r="D190" s="1552"/>
      <c r="E190" s="1552"/>
      <c r="F190" s="1982"/>
      <c r="G190" s="1325"/>
      <c r="H190" s="1325"/>
      <c r="I190" s="1325"/>
      <c r="J190" s="1325"/>
      <c r="K190" s="1248" t="s">
        <v>2328</v>
      </c>
      <c r="L190" s="1325"/>
      <c r="M190" s="1553"/>
      <c r="N190" s="1325"/>
      <c r="O190" s="1325"/>
      <c r="P190" s="1325"/>
      <c r="Q190" s="355"/>
    </row>
    <row r="191" spans="2:57" hidden="1" outlineLevel="1" x14ac:dyDescent="0.25">
      <c r="B191" s="1580"/>
      <c r="C191" s="329"/>
      <c r="D191" s="259" t="s">
        <v>617</v>
      </c>
      <c r="E191" s="2157"/>
      <c r="F191" s="2300"/>
      <c r="G191" s="1248"/>
      <c r="H191" s="1248"/>
      <c r="I191" s="1248"/>
      <c r="J191" s="1248"/>
      <c r="K191" s="1248"/>
      <c r="L191" s="1248"/>
      <c r="M191" s="1553"/>
      <c r="N191" s="1325"/>
      <c r="O191" s="1325"/>
      <c r="P191" s="1325"/>
      <c r="Q191" s="355"/>
    </row>
    <row r="192" spans="2:57" ht="18" hidden="1" customHeight="1" outlineLevel="1" x14ac:dyDescent="0.25">
      <c r="B192" s="1580"/>
      <c r="C192" s="359"/>
      <c r="D192" s="3156"/>
      <c r="E192" s="3156"/>
      <c r="F192" s="3156"/>
      <c r="G192" s="3156"/>
      <c r="H192" s="3156"/>
      <c r="I192" s="3156"/>
      <c r="J192" s="3156"/>
      <c r="K192" s="3156"/>
      <c r="L192" s="3156"/>
      <c r="M192" s="1553"/>
      <c r="N192" s="1325"/>
      <c r="O192" s="1325"/>
      <c r="P192" s="1325"/>
      <c r="Q192" s="355"/>
    </row>
    <row r="193" spans="2:33" hidden="1" outlineLevel="1" x14ac:dyDescent="0.25">
      <c r="B193" s="1580"/>
      <c r="C193" s="375"/>
      <c r="D193" s="3156"/>
      <c r="E193" s="3156"/>
      <c r="F193" s="3156"/>
      <c r="G193" s="3156"/>
      <c r="H193" s="3156"/>
      <c r="I193" s="3156"/>
      <c r="J193" s="3156"/>
      <c r="K193" s="3156"/>
      <c r="L193" s="3156"/>
      <c r="M193" s="1553"/>
      <c r="N193" s="1325"/>
      <c r="O193" s="1325"/>
      <c r="P193" s="1325"/>
      <c r="Q193" s="355"/>
    </row>
    <row r="194" spans="2:33" hidden="1" outlineLevel="1" x14ac:dyDescent="0.25">
      <c r="B194" s="1580"/>
      <c r="C194" s="375"/>
      <c r="D194" s="3156"/>
      <c r="E194" s="3156"/>
      <c r="F194" s="3156"/>
      <c r="G194" s="3156"/>
      <c r="H194" s="3156"/>
      <c r="I194" s="3156"/>
      <c r="J194" s="3156"/>
      <c r="K194" s="3156"/>
      <c r="L194" s="3156"/>
      <c r="M194" s="1553"/>
      <c r="N194" s="1325"/>
      <c r="O194" s="1325"/>
      <c r="P194" s="1325"/>
      <c r="Q194" s="355"/>
    </row>
    <row r="195" spans="2:33" ht="75" hidden="1" customHeight="1" outlineLevel="1" x14ac:dyDescent="0.25">
      <c r="B195" s="1580"/>
      <c r="C195" s="376"/>
      <c r="D195" s="3156"/>
      <c r="E195" s="3156"/>
      <c r="F195" s="3156"/>
      <c r="G195" s="3156"/>
      <c r="H195" s="3156"/>
      <c r="I195" s="3156"/>
      <c r="J195" s="3156"/>
      <c r="K195" s="3156"/>
      <c r="L195" s="3156"/>
      <c r="M195" s="1553"/>
      <c r="N195" s="1325"/>
      <c r="O195" s="1325"/>
      <c r="P195" s="1325"/>
      <c r="Q195" s="355"/>
    </row>
    <row r="196" spans="2:33" hidden="1" outlineLevel="1" x14ac:dyDescent="0.25">
      <c r="B196" s="1580"/>
      <c r="C196" s="329"/>
      <c r="D196" s="1552"/>
      <c r="E196" s="1552"/>
      <c r="F196" s="1325"/>
      <c r="G196" s="1325"/>
      <c r="H196" s="1325"/>
      <c r="I196" s="1325"/>
      <c r="J196" s="1325"/>
      <c r="K196" s="1325"/>
      <c r="L196" s="1325"/>
      <c r="M196" s="1553"/>
      <c r="N196" s="1325"/>
      <c r="O196" s="1325"/>
      <c r="P196" s="1325"/>
      <c r="Q196" s="355"/>
    </row>
    <row r="197" spans="2:33" hidden="1" outlineLevel="1" x14ac:dyDescent="0.25">
      <c r="B197" s="1580"/>
      <c r="C197" s="329"/>
      <c r="D197" s="1677" t="s">
        <v>618</v>
      </c>
      <c r="E197" s="1677"/>
      <c r="F197" s="3113" t="s">
        <v>619</v>
      </c>
      <c r="G197" s="3157"/>
      <c r="H197" s="3157"/>
      <c r="I197" s="1677" t="s">
        <v>620</v>
      </c>
      <c r="J197" s="1677" t="s">
        <v>670</v>
      </c>
      <c r="K197" s="1677" t="s">
        <v>766</v>
      </c>
      <c r="L197" s="333"/>
      <c r="M197" s="1553"/>
      <c r="N197" s="333"/>
      <c r="O197" s="1325"/>
      <c r="P197" s="1325"/>
      <c r="Q197" s="355"/>
      <c r="V197" s="55" t="s">
        <v>27</v>
      </c>
      <c r="W197" s="56">
        <f t="shared" ref="W197:AG197" si="44">W$6</f>
        <v>43252</v>
      </c>
      <c r="X197" s="56">
        <f t="shared" si="44"/>
        <v>43465</v>
      </c>
      <c r="Y197" s="56">
        <f t="shared" si="44"/>
        <v>43800</v>
      </c>
      <c r="Z197" s="56">
        <f t="shared" si="44"/>
        <v>43862</v>
      </c>
      <c r="AA197" s="56" t="str">
        <f t="shared" si="44"/>
        <v>-</v>
      </c>
      <c r="AB197" s="56" t="str">
        <f t="shared" si="44"/>
        <v>-</v>
      </c>
      <c r="AC197" s="56" t="str">
        <f t="shared" si="44"/>
        <v>-</v>
      </c>
      <c r="AD197" s="56" t="str">
        <f t="shared" si="44"/>
        <v>-</v>
      </c>
      <c r="AE197" s="56" t="str">
        <f t="shared" si="44"/>
        <v>-</v>
      </c>
      <c r="AF197" s="56" t="str">
        <f t="shared" si="44"/>
        <v>-</v>
      </c>
      <c r="AG197" s="56" t="str">
        <f t="shared" si="44"/>
        <v>-</v>
      </c>
    </row>
    <row r="198" spans="2:33" hidden="1" outlineLevel="1" x14ac:dyDescent="0.25">
      <c r="B198" s="1580"/>
      <c r="C198" s="329"/>
      <c r="D198" s="3162" t="s">
        <v>1168</v>
      </c>
      <c r="E198" s="3163" t="s">
        <v>1169</v>
      </c>
      <c r="F198" s="3161" t="s">
        <v>1864</v>
      </c>
      <c r="G198" s="2709"/>
      <c r="H198" s="2709"/>
      <c r="I198" s="2301">
        <v>0.16336956521739129</v>
      </c>
      <c r="J198" s="1554" t="s">
        <v>767</v>
      </c>
      <c r="K198" s="1238"/>
      <c r="L198" s="333"/>
      <c r="M198" s="1553"/>
      <c r="N198" s="333"/>
      <c r="O198" s="1325"/>
      <c r="P198" s="1325"/>
      <c r="Q198" s="355"/>
      <c r="V198" s="3162" t="s">
        <v>1168</v>
      </c>
      <c r="W198" s="400">
        <v>0</v>
      </c>
      <c r="X198" s="400">
        <v>0</v>
      </c>
      <c r="Y198" s="810">
        <v>0.16336956521739129</v>
      </c>
      <c r="Z198" s="400"/>
      <c r="AA198" s="400"/>
      <c r="AB198" s="400"/>
      <c r="AC198" s="400"/>
      <c r="AD198" s="400"/>
      <c r="AE198" s="400"/>
      <c r="AF198" s="400"/>
      <c r="AG198" s="400"/>
    </row>
    <row r="199" spans="2:33" hidden="1" outlineLevel="1" x14ac:dyDescent="0.25">
      <c r="B199" s="1580"/>
      <c r="C199" s="329"/>
      <c r="D199" s="3162"/>
      <c r="E199" s="3163"/>
      <c r="F199" s="3161" t="s">
        <v>1865</v>
      </c>
      <c r="G199" s="2709"/>
      <c r="H199" s="2709"/>
      <c r="I199" s="811">
        <v>0.16336956521739129</v>
      </c>
      <c r="J199" s="1554" t="s">
        <v>767</v>
      </c>
      <c r="K199" s="1238"/>
      <c r="L199" s="333"/>
      <c r="M199" s="1553"/>
      <c r="N199" s="333"/>
      <c r="V199" s="3162"/>
      <c r="W199" s="400">
        <v>0</v>
      </c>
      <c r="X199" s="400">
        <v>0</v>
      </c>
      <c r="Y199" s="810">
        <v>0.16336956521739129</v>
      </c>
      <c r="Z199" s="400"/>
      <c r="AA199" s="400"/>
      <c r="AB199" s="400"/>
      <c r="AC199" s="400"/>
      <c r="AD199" s="400"/>
      <c r="AE199" s="400"/>
      <c r="AF199" s="400"/>
      <c r="AG199" s="400"/>
    </row>
    <row r="200" spans="2:33" hidden="1" outlineLevel="1" x14ac:dyDescent="0.25">
      <c r="B200" s="1580"/>
      <c r="C200" s="329"/>
      <c r="D200" s="1707" t="s">
        <v>1171</v>
      </c>
      <c r="E200" s="458" t="s">
        <v>1172</v>
      </c>
      <c r="F200" s="3164" t="s">
        <v>637</v>
      </c>
      <c r="G200" s="3165"/>
      <c r="H200" s="3166"/>
      <c r="I200" s="2302">
        <v>400</v>
      </c>
      <c r="J200" s="3167" t="s">
        <v>1173</v>
      </c>
      <c r="K200" s="3080"/>
      <c r="L200" s="333"/>
      <c r="M200" s="1553"/>
      <c r="N200" s="333"/>
      <c r="V200" s="1707" t="s">
        <v>1171</v>
      </c>
      <c r="W200" s="400"/>
      <c r="X200" s="400"/>
      <c r="Y200" s="1230">
        <v>400</v>
      </c>
      <c r="Z200" s="400"/>
      <c r="AA200" s="400"/>
      <c r="AB200" s="400"/>
      <c r="AC200" s="400"/>
      <c r="AD200" s="400"/>
      <c r="AE200" s="400"/>
      <c r="AF200" s="400"/>
      <c r="AG200" s="400"/>
    </row>
    <row r="201" spans="2:33" ht="18" hidden="1" outlineLevel="1" x14ac:dyDescent="0.25">
      <c r="B201" s="1580"/>
      <c r="C201" s="329"/>
      <c r="D201" s="1707" t="s">
        <v>2329</v>
      </c>
      <c r="E201" s="1555" t="str">
        <f>'HVAC Deemed Table'!E46</f>
        <v>Effective full load heating hours (in St. Louis)</v>
      </c>
      <c r="F201" s="3161" t="s">
        <v>637</v>
      </c>
      <c r="G201" s="2709"/>
      <c r="H201" s="2709"/>
      <c r="I201" s="387">
        <v>2009</v>
      </c>
      <c r="J201" s="1554" t="s">
        <v>767</v>
      </c>
      <c r="K201" s="1238"/>
      <c r="L201" s="333"/>
      <c r="M201" s="1553"/>
      <c r="N201" s="333"/>
      <c r="V201" s="1707" t="s">
        <v>2329</v>
      </c>
      <c r="W201" s="390">
        <v>2009</v>
      </c>
      <c r="X201" s="390">
        <v>2009</v>
      </c>
      <c r="Y201" s="387">
        <v>2009</v>
      </c>
      <c r="Z201" s="400"/>
      <c r="AA201" s="390"/>
      <c r="AB201" s="390"/>
      <c r="AC201" s="390"/>
      <c r="AD201" s="390"/>
      <c r="AE201" s="390"/>
      <c r="AF201" s="390"/>
      <c r="AG201" s="390"/>
    </row>
    <row r="202" spans="2:33" ht="18" hidden="1" outlineLevel="1" x14ac:dyDescent="0.25">
      <c r="B202" s="1580"/>
      <c r="C202" s="329"/>
      <c r="D202" s="1707" t="s">
        <v>2330</v>
      </c>
      <c r="E202" s="1555" t="str">
        <f>'HVAC Deemed Table'!E47</f>
        <v>Wisconsin effective full load heating hours</v>
      </c>
      <c r="F202" s="3161" t="s">
        <v>637</v>
      </c>
      <c r="G202" s="2709"/>
      <c r="H202" s="2709"/>
      <c r="I202" s="1556">
        <v>2545.25</v>
      </c>
      <c r="J202" s="1554" t="s">
        <v>767</v>
      </c>
      <c r="K202" s="1238"/>
      <c r="L202" s="333"/>
      <c r="M202" s="1553"/>
      <c r="N202" s="333"/>
      <c r="O202" s="333"/>
      <c r="P202" s="333"/>
      <c r="Q202" s="333"/>
      <c r="R202" s="333"/>
      <c r="V202" s="1707" t="s">
        <v>2330</v>
      </c>
      <c r="W202" s="1557">
        <v>2545.25</v>
      </c>
      <c r="X202" s="1557">
        <v>2545.25</v>
      </c>
      <c r="Y202" s="1556">
        <v>2545.25</v>
      </c>
      <c r="Z202" s="400"/>
      <c r="AA202" s="1557"/>
      <c r="AB202" s="1557"/>
      <c r="AC202" s="1557"/>
      <c r="AD202" s="1557"/>
      <c r="AE202" s="1557"/>
      <c r="AF202" s="1557"/>
      <c r="AG202" s="1557"/>
    </row>
    <row r="203" spans="2:33" ht="15" hidden="1" customHeight="1" outlineLevel="1" x14ac:dyDescent="0.25">
      <c r="B203" s="1580"/>
      <c r="C203" s="329"/>
      <c r="D203" s="3160" t="s">
        <v>1179</v>
      </c>
      <c r="E203" s="3163" t="str">
        <f>'HVAC Deemed Table'!E48</f>
        <v>% of furnaces with new central cooling</v>
      </c>
      <c r="F203" s="3161" t="s">
        <v>1864</v>
      </c>
      <c r="G203" s="2709"/>
      <c r="H203" s="2709"/>
      <c r="I203" s="807">
        <v>0.80141304347826092</v>
      </c>
      <c r="J203" s="1554" t="s">
        <v>767</v>
      </c>
      <c r="K203" s="1238"/>
      <c r="L203" s="333"/>
      <c r="M203" s="1553"/>
      <c r="N203" s="333"/>
      <c r="O203" s="333"/>
      <c r="P203" s="1559"/>
      <c r="Q203" s="333"/>
      <c r="R203" s="1559"/>
      <c r="S203" s="355"/>
      <c r="V203" s="3160" t="s">
        <v>1179</v>
      </c>
      <c r="W203" s="382">
        <v>0.97</v>
      </c>
      <c r="X203" s="382">
        <v>0.97</v>
      </c>
      <c r="Y203" s="1558">
        <v>0.80141304347826092</v>
      </c>
      <c r="Z203" s="400"/>
      <c r="AA203" s="382"/>
      <c r="AB203" s="382"/>
      <c r="AC203" s="382"/>
      <c r="AD203" s="382"/>
      <c r="AE203" s="382"/>
      <c r="AF203" s="382"/>
      <c r="AG203" s="382"/>
    </row>
    <row r="204" spans="2:33" ht="24.75" hidden="1" customHeight="1" outlineLevel="1" x14ac:dyDescent="0.25">
      <c r="B204" s="1580"/>
      <c r="C204" s="329"/>
      <c r="D204" s="3160"/>
      <c r="E204" s="3163"/>
      <c r="F204" s="3161" t="s">
        <v>1865</v>
      </c>
      <c r="G204" s="2709"/>
      <c r="H204" s="2709"/>
      <c r="I204" s="378">
        <v>0.80141304347826092</v>
      </c>
      <c r="J204" s="1554" t="s">
        <v>767</v>
      </c>
      <c r="K204" s="1238"/>
      <c r="L204" s="333"/>
      <c r="M204" s="1553"/>
      <c r="N204" s="333"/>
      <c r="O204" s="333"/>
      <c r="P204" s="333"/>
      <c r="Q204" s="333"/>
      <c r="R204" s="333"/>
      <c r="S204" s="355"/>
      <c r="V204" s="3160"/>
      <c r="W204" s="382">
        <v>0.97</v>
      </c>
      <c r="X204" s="382">
        <v>0.97</v>
      </c>
      <c r="Y204" s="384">
        <v>0.80141304347826092</v>
      </c>
      <c r="Z204" s="400"/>
      <c r="AA204" s="382"/>
      <c r="AB204" s="382"/>
      <c r="AC204" s="382"/>
      <c r="AD204" s="382"/>
      <c r="AE204" s="382"/>
      <c r="AF204" s="382"/>
      <c r="AG204" s="382"/>
    </row>
    <row r="205" spans="2:33" ht="30" hidden="1" outlineLevel="1" x14ac:dyDescent="0.25">
      <c r="B205" s="1580"/>
      <c r="C205" s="329"/>
      <c r="D205" s="1707" t="s">
        <v>1181</v>
      </c>
      <c r="E205" s="458" t="s">
        <v>1182</v>
      </c>
      <c r="F205" s="3164" t="s">
        <v>637</v>
      </c>
      <c r="G205" s="3165"/>
      <c r="H205" s="3166"/>
      <c r="I205" s="2302">
        <v>70</v>
      </c>
      <c r="J205" s="3167" t="s">
        <v>1173</v>
      </c>
      <c r="K205" s="3080"/>
      <c r="L205" s="333"/>
      <c r="M205" s="1553"/>
      <c r="N205" s="333"/>
      <c r="O205" s="2722" t="s">
        <v>1879</v>
      </c>
      <c r="P205" s="2770"/>
      <c r="Q205" s="1646"/>
      <c r="R205" s="1659" t="s">
        <v>1880</v>
      </c>
      <c r="S205" s="355"/>
      <c r="V205" s="1707" t="s">
        <v>1181</v>
      </c>
      <c r="W205" s="382"/>
      <c r="X205" s="382"/>
      <c r="Y205" s="1230">
        <v>70</v>
      </c>
      <c r="Z205" s="400"/>
      <c r="AA205" s="382"/>
      <c r="AB205" s="382"/>
      <c r="AC205" s="382"/>
      <c r="AD205" s="382"/>
      <c r="AE205" s="382"/>
      <c r="AF205" s="382"/>
      <c r="AG205" s="382"/>
    </row>
    <row r="206" spans="2:33" ht="18" hidden="1" outlineLevel="1" x14ac:dyDescent="0.25">
      <c r="B206" s="1580"/>
      <c r="C206" s="329"/>
      <c r="D206" s="1707" t="s">
        <v>2331</v>
      </c>
      <c r="E206" s="1555" t="str">
        <f>'HVAC Deemed Table'!E61</f>
        <v>Effective full load cooling hours (in St. Louis)</v>
      </c>
      <c r="F206" s="3168" t="s">
        <v>637</v>
      </c>
      <c r="G206" s="3169"/>
      <c r="H206" s="3170"/>
      <c r="I206" s="1556">
        <v>1215</v>
      </c>
      <c r="J206" s="1554" t="s">
        <v>767</v>
      </c>
      <c r="K206" s="1238"/>
      <c r="L206" s="333"/>
      <c r="M206" s="1553"/>
      <c r="N206" s="333"/>
      <c r="O206" s="1645"/>
      <c r="P206" s="1649"/>
      <c r="Q206" s="1646"/>
      <c r="R206" s="1659"/>
      <c r="S206" s="355"/>
      <c r="T206" s="1283"/>
      <c r="V206" s="1707" t="s">
        <v>2331</v>
      </c>
      <c r="W206" s="1557">
        <v>1215</v>
      </c>
      <c r="X206" s="1557">
        <v>1215</v>
      </c>
      <c r="Y206" s="1556">
        <v>1215</v>
      </c>
      <c r="Z206" s="400"/>
      <c r="AA206" s="1557"/>
      <c r="AB206" s="1557"/>
      <c r="AC206" s="1557"/>
      <c r="AD206" s="1557"/>
      <c r="AE206" s="1557"/>
      <c r="AF206" s="1557"/>
      <c r="AG206" s="1557"/>
    </row>
    <row r="207" spans="2:33" ht="18" hidden="1" outlineLevel="1" x14ac:dyDescent="0.25">
      <c r="B207" s="1580"/>
      <c r="C207" s="329"/>
      <c r="D207" s="1707" t="s">
        <v>2332</v>
      </c>
      <c r="E207" s="1555" t="str">
        <f>'HVAC Deemed Table'!E62</f>
        <v>Wisconsin effective full load cooling hours</v>
      </c>
      <c r="F207" s="3168" t="s">
        <v>637</v>
      </c>
      <c r="G207" s="3169"/>
      <c r="H207" s="3170"/>
      <c r="I207" s="1560">
        <v>542.5</v>
      </c>
      <c r="J207" s="1554" t="s">
        <v>767</v>
      </c>
      <c r="K207" s="1238"/>
      <c r="L207" s="333"/>
      <c r="M207" s="1553"/>
      <c r="N207" s="333"/>
      <c r="O207" s="2768" t="s">
        <v>3356</v>
      </c>
      <c r="P207" s="2769"/>
      <c r="Q207" s="867">
        <v>0</v>
      </c>
      <c r="R207" s="1561">
        <f>($Q$213/1+Q207)-$Q$212/((1+$Q$215)^($Q$216-1))</f>
        <v>74.327224020150311</v>
      </c>
      <c r="V207" s="1707" t="s">
        <v>2332</v>
      </c>
      <c r="W207" s="1562">
        <v>542.5</v>
      </c>
      <c r="X207" s="1562">
        <v>542.5</v>
      </c>
      <c r="Y207" s="1560">
        <v>542.5</v>
      </c>
      <c r="Z207" s="400"/>
      <c r="AA207" s="1562"/>
      <c r="AB207" s="1562"/>
      <c r="AC207" s="1562"/>
      <c r="AD207" s="1562"/>
      <c r="AE207" s="1562"/>
      <c r="AF207" s="1562"/>
      <c r="AG207" s="1562"/>
    </row>
    <row r="208" spans="2:33" hidden="1" outlineLevel="1" x14ac:dyDescent="0.25">
      <c r="B208" s="1580"/>
      <c r="C208" s="329"/>
      <c r="D208" s="1704" t="s">
        <v>1188</v>
      </c>
      <c r="E208" s="1555" t="s">
        <v>1189</v>
      </c>
      <c r="F208" s="3168" t="s">
        <v>637</v>
      </c>
      <c r="G208" s="3169"/>
      <c r="H208" s="3170"/>
      <c r="I208" s="1242">
        <v>25</v>
      </c>
      <c r="J208" s="3171" t="s">
        <v>1173</v>
      </c>
      <c r="K208" s="3172"/>
      <c r="L208" s="333"/>
      <c r="M208" s="1553"/>
      <c r="N208" s="333"/>
      <c r="R208" s="333"/>
      <c r="V208" s="1704" t="s">
        <v>1188</v>
      </c>
      <c r="W208" s="382"/>
      <c r="X208" s="382"/>
      <c r="Y208" s="844">
        <v>25</v>
      </c>
      <c r="Z208" s="382"/>
      <c r="AA208" s="382"/>
      <c r="AB208" s="382"/>
      <c r="AC208" s="382"/>
      <c r="AD208" s="382"/>
      <c r="AE208" s="382"/>
      <c r="AF208" s="382"/>
      <c r="AG208" s="382"/>
    </row>
    <row r="209" spans="1:57" hidden="1" outlineLevel="1" x14ac:dyDescent="0.25">
      <c r="B209" s="1580"/>
      <c r="C209" s="329"/>
      <c r="D209" s="1704" t="s">
        <v>1190</v>
      </c>
      <c r="E209" s="1555" t="s">
        <v>1191</v>
      </c>
      <c r="F209" s="3168" t="s">
        <v>637</v>
      </c>
      <c r="G209" s="3169"/>
      <c r="H209" s="3170"/>
      <c r="I209" s="1242">
        <v>2960</v>
      </c>
      <c r="J209" s="3025"/>
      <c r="K209" s="3026"/>
      <c r="L209" s="333"/>
      <c r="M209" s="1553"/>
      <c r="N209" s="333"/>
      <c r="R209" s="333"/>
      <c r="V209" s="1704" t="s">
        <v>1190</v>
      </c>
      <c r="W209" s="382"/>
      <c r="X209" s="382"/>
      <c r="Y209" s="844">
        <v>2960</v>
      </c>
      <c r="Z209" s="382"/>
      <c r="AA209" s="382"/>
      <c r="AB209" s="382"/>
      <c r="AC209" s="382"/>
      <c r="AD209" s="382"/>
      <c r="AE209" s="382"/>
      <c r="AF209" s="382"/>
      <c r="AG209" s="382"/>
    </row>
    <row r="210" spans="1:57" ht="15" hidden="1" customHeight="1" outlineLevel="1" x14ac:dyDescent="0.25">
      <c r="B210" s="1580"/>
      <c r="C210" s="329"/>
      <c r="D210" s="2750" t="s">
        <v>2333</v>
      </c>
      <c r="E210" s="3173" t="s">
        <v>1193</v>
      </c>
      <c r="F210" s="3168" t="s">
        <v>1194</v>
      </c>
      <c r="G210" s="3169"/>
      <c r="H210" s="3170"/>
      <c r="I210" s="849">
        <v>8.8084612296306403E-2</v>
      </c>
      <c r="J210" s="3167" t="s">
        <v>1195</v>
      </c>
      <c r="K210" s="3080"/>
      <c r="L210" s="333"/>
      <c r="M210" s="1553"/>
      <c r="N210" s="333"/>
      <c r="R210" s="333"/>
      <c r="V210" s="2750" t="s">
        <v>2333</v>
      </c>
      <c r="W210" s="382"/>
      <c r="X210" s="382"/>
      <c r="Y210" s="848">
        <v>8.8084612296306403E-2</v>
      </c>
      <c r="Z210" s="382"/>
      <c r="AA210" s="382"/>
      <c r="AB210" s="382"/>
      <c r="AC210" s="382"/>
      <c r="AD210" s="382"/>
      <c r="AE210" s="382"/>
      <c r="AF210" s="382"/>
      <c r="AG210" s="382"/>
    </row>
    <row r="211" spans="1:57" hidden="1" outlineLevel="1" x14ac:dyDescent="0.25">
      <c r="B211" s="1580"/>
      <c r="C211" s="329"/>
      <c r="D211" s="2750"/>
      <c r="E211" s="3174"/>
      <c r="F211" s="3168" t="s">
        <v>1196</v>
      </c>
      <c r="G211" s="3169"/>
      <c r="H211" s="3170"/>
      <c r="I211" s="849">
        <v>8.8084612296306403E-2</v>
      </c>
      <c r="J211" s="3167" t="s">
        <v>1195</v>
      </c>
      <c r="K211" s="3080"/>
      <c r="L211" s="333"/>
      <c r="M211" s="1553"/>
      <c r="N211" s="333"/>
      <c r="O211" s="2722" t="s">
        <v>1201</v>
      </c>
      <c r="P211" s="2770"/>
      <c r="Q211" s="2726"/>
      <c r="R211" s="333"/>
      <c r="V211" s="2750"/>
      <c r="W211" s="382"/>
      <c r="X211" s="382"/>
      <c r="Y211" s="848">
        <v>8.8084612296306403E-2</v>
      </c>
      <c r="Z211" s="382"/>
      <c r="AA211" s="382"/>
      <c r="AB211" s="382"/>
      <c r="AC211" s="382"/>
      <c r="AD211" s="382"/>
      <c r="AE211" s="382"/>
      <c r="AF211" s="382"/>
      <c r="AG211" s="382"/>
    </row>
    <row r="212" spans="1:57" hidden="1" outlineLevel="1" x14ac:dyDescent="0.25">
      <c r="B212" s="1580"/>
      <c r="C212" s="329"/>
      <c r="D212" s="1704" t="s">
        <v>1197</v>
      </c>
      <c r="E212" s="1555" t="s">
        <v>1198</v>
      </c>
      <c r="F212" s="3168" t="s">
        <v>637</v>
      </c>
      <c r="G212" s="3169"/>
      <c r="H212" s="3170"/>
      <c r="I212" s="1242">
        <v>30</v>
      </c>
      <c r="J212" s="3171" t="s">
        <v>1173</v>
      </c>
      <c r="K212" s="3172"/>
      <c r="L212" s="333"/>
      <c r="M212" s="1553"/>
      <c r="N212" s="333"/>
      <c r="O212" s="2763" t="s">
        <v>1202</v>
      </c>
      <c r="P212" s="2764"/>
      <c r="Q212" s="874">
        <f>Q213*(1+Q214)^Q216</f>
        <v>534.92714915040006</v>
      </c>
      <c r="R212" s="333"/>
      <c r="V212" s="1704" t="s">
        <v>1197</v>
      </c>
      <c r="W212" s="382"/>
      <c r="X212" s="382"/>
      <c r="Y212" s="1230">
        <v>30</v>
      </c>
      <c r="Z212" s="382"/>
      <c r="AA212" s="382"/>
      <c r="AB212" s="382"/>
      <c r="AC212" s="382"/>
      <c r="AD212" s="382"/>
      <c r="AE212" s="382"/>
      <c r="AF212" s="382"/>
      <c r="AG212" s="382"/>
    </row>
    <row r="213" spans="1:57" hidden="1" outlineLevel="1" x14ac:dyDescent="0.25">
      <c r="B213" s="1580"/>
      <c r="C213" s="329"/>
      <c r="D213" s="3175" t="s">
        <v>775</v>
      </c>
      <c r="E213" s="3163" t="str">
        <f>'HVAC Deemed Table'!E68</f>
        <v>65% MF value is not applicable in this case, because it should be based upon pressure drop in the system and many of the components will have the same pressure drop, filters, coils, grills, duct length, etc.</v>
      </c>
      <c r="F213" s="3161" t="s">
        <v>1864</v>
      </c>
      <c r="G213" s="2709"/>
      <c r="H213" s="2709"/>
      <c r="I213" s="1563">
        <v>1</v>
      </c>
      <c r="J213" s="3025"/>
      <c r="K213" s="3026"/>
      <c r="L213" s="333"/>
      <c r="M213" s="1553"/>
      <c r="N213" s="333"/>
      <c r="O213" s="2763" t="s">
        <v>1203</v>
      </c>
      <c r="P213" s="2764"/>
      <c r="Q213" s="876">
        <v>475</v>
      </c>
      <c r="R213" s="1564" t="s">
        <v>1204</v>
      </c>
      <c r="V213" s="3176" t="s">
        <v>775</v>
      </c>
      <c r="W213" s="382">
        <v>0.8</v>
      </c>
      <c r="X213" s="382">
        <v>0.8</v>
      </c>
      <c r="Y213" s="378">
        <v>1</v>
      </c>
      <c r="Z213" s="382"/>
      <c r="AA213" s="382"/>
      <c r="AB213" s="382"/>
      <c r="AC213" s="382"/>
      <c r="AD213" s="382"/>
      <c r="AE213" s="382"/>
      <c r="AF213" s="382"/>
      <c r="AG213" s="382"/>
    </row>
    <row r="214" spans="1:57" hidden="1" outlineLevel="1" x14ac:dyDescent="0.25">
      <c r="B214" s="1580"/>
      <c r="C214" s="329"/>
      <c r="D214" s="3176"/>
      <c r="E214" s="3163"/>
      <c r="F214" s="3161" t="s">
        <v>1865</v>
      </c>
      <c r="G214" s="2709"/>
      <c r="H214" s="2709"/>
      <c r="I214" s="378">
        <v>1</v>
      </c>
      <c r="J214" s="1238"/>
      <c r="K214" s="1238"/>
      <c r="L214" s="333"/>
      <c r="M214" s="1553"/>
      <c r="N214" s="333"/>
      <c r="O214" s="2763" t="s">
        <v>1205</v>
      </c>
      <c r="P214" s="2764"/>
      <c r="Q214" s="877">
        <v>0.02</v>
      </c>
      <c r="R214" s="333"/>
      <c r="V214" s="3176"/>
      <c r="W214" s="382">
        <v>0.8</v>
      </c>
      <c r="X214" s="382">
        <v>0.8</v>
      </c>
      <c r="Y214" s="378">
        <v>1</v>
      </c>
      <c r="Z214" s="382"/>
      <c r="AA214" s="382"/>
      <c r="AB214" s="382"/>
      <c r="AC214" s="382"/>
      <c r="AD214" s="382"/>
      <c r="AE214" s="382"/>
      <c r="AF214" s="382"/>
      <c r="AG214" s="382"/>
    </row>
    <row r="215" spans="1:57" hidden="1" outlineLevel="1" x14ac:dyDescent="0.25">
      <c r="A215" s="785"/>
      <c r="B215" s="1580"/>
      <c r="C215" s="375"/>
      <c r="D215" s="3177" t="str">
        <f>D30</f>
        <v>EUL</v>
      </c>
      <c r="E215" s="3177" t="str">
        <f>E30</f>
        <v>End Useful Life</v>
      </c>
      <c r="F215" s="2747" t="str">
        <f>E188</f>
        <v>ECM Auto Fan Early Replacement ER1 (Full Cost) - MFMR</v>
      </c>
      <c r="G215" s="2747"/>
      <c r="H215" s="2747"/>
      <c r="I215" s="1565">
        <v>6</v>
      </c>
      <c r="J215" s="856"/>
      <c r="K215" s="856" t="s">
        <v>37</v>
      </c>
      <c r="L215" s="333"/>
      <c r="M215" s="1553"/>
      <c r="N215" s="1559"/>
      <c r="O215" s="2774" t="s">
        <v>1206</v>
      </c>
      <c r="P215" s="2775"/>
      <c r="Q215" s="877">
        <v>5.9499999999999997E-2</v>
      </c>
      <c r="R215" s="333"/>
      <c r="V215" s="3177" t="str">
        <f>V30</f>
        <v>EUL</v>
      </c>
      <c r="W215" s="865">
        <v>6</v>
      </c>
      <c r="X215" s="865">
        <v>6</v>
      </c>
      <c r="Y215" s="1565">
        <v>6</v>
      </c>
      <c r="Z215" s="865"/>
      <c r="AA215" s="865"/>
      <c r="AB215" s="865"/>
      <c r="AC215" s="865"/>
      <c r="AD215" s="865"/>
      <c r="AE215" s="865"/>
      <c r="AF215" s="865"/>
      <c r="AG215" s="865"/>
    </row>
    <row r="216" spans="1:57" hidden="1" outlineLevel="1" x14ac:dyDescent="0.25">
      <c r="A216" s="785"/>
      <c r="B216" s="1580"/>
      <c r="C216" s="376"/>
      <c r="D216" s="2750"/>
      <c r="E216" s="2750"/>
      <c r="F216" s="2747" t="str">
        <f>E189</f>
        <v>ECM Auto Fan Early Replacement ER2 (Remaining Life) - MFMR</v>
      </c>
      <c r="G216" s="2747"/>
      <c r="H216" s="2747"/>
      <c r="I216" s="1565">
        <v>12</v>
      </c>
      <c r="J216" s="856"/>
      <c r="K216" s="856" t="s">
        <v>37</v>
      </c>
      <c r="L216" s="333"/>
      <c r="M216" s="1553"/>
      <c r="N216" s="1559"/>
      <c r="O216" s="878" t="s">
        <v>1207</v>
      </c>
      <c r="P216" s="879"/>
      <c r="Q216" s="876">
        <v>6</v>
      </c>
      <c r="R216" s="333"/>
      <c r="V216" s="2750"/>
      <c r="W216" s="865">
        <v>12</v>
      </c>
      <c r="X216" s="865">
        <v>12</v>
      </c>
      <c r="Y216" s="1565">
        <v>12</v>
      </c>
      <c r="Z216" s="865"/>
      <c r="AA216" s="865"/>
      <c r="AB216" s="865"/>
      <c r="AC216" s="865"/>
      <c r="AD216" s="865"/>
      <c r="AE216" s="865"/>
      <c r="AF216" s="865"/>
      <c r="AG216" s="865"/>
    </row>
    <row r="217" spans="1:57" ht="18" hidden="1" customHeight="1" outlineLevel="1" x14ac:dyDescent="0.25">
      <c r="A217" s="785"/>
      <c r="B217" s="1580"/>
      <c r="C217" s="359"/>
      <c r="D217" s="3178" t="str">
        <f>D31</f>
        <v>Inc. Cost</v>
      </c>
      <c r="E217" s="3178" t="str">
        <f>E31</f>
        <v>Incremental Cost ($)</v>
      </c>
      <c r="F217" s="2747" t="str">
        <f>E188</f>
        <v>ECM Auto Fan Early Replacement ER1 (Full Cost) - MFMR</v>
      </c>
      <c r="G217" s="2747"/>
      <c r="H217" s="2747"/>
      <c r="I217" s="1566">
        <f>R207</f>
        <v>74.327224020150311</v>
      </c>
      <c r="J217" s="856"/>
      <c r="K217" s="856" t="s">
        <v>37</v>
      </c>
      <c r="L217" s="333"/>
      <c r="M217" s="1553"/>
      <c r="N217" s="1559"/>
      <c r="V217" s="3177" t="str">
        <f>V31</f>
        <v>Inc. Cost</v>
      </c>
      <c r="W217" s="875">
        <v>96.828432298395683</v>
      </c>
      <c r="X217" s="875">
        <v>96.828432298395683</v>
      </c>
      <c r="Y217" s="1567">
        <v>74.327224020150311</v>
      </c>
      <c r="Z217" s="875"/>
      <c r="AA217" s="875"/>
      <c r="AB217" s="875"/>
      <c r="AC217" s="875"/>
      <c r="AD217" s="875"/>
      <c r="AE217" s="875"/>
      <c r="AF217" s="875"/>
      <c r="AG217" s="875"/>
    </row>
    <row r="218" spans="1:57" hidden="1" outlineLevel="1" x14ac:dyDescent="0.25">
      <c r="A218" s="785"/>
      <c r="B218" s="1339"/>
      <c r="C218" s="329"/>
      <c r="D218" s="2939"/>
      <c r="E218" s="2939"/>
      <c r="F218" s="2747" t="str">
        <f>E189</f>
        <v>ECM Auto Fan Early Replacement ER2 (Remaining Life) - MFMR</v>
      </c>
      <c r="G218" s="2747"/>
      <c r="H218" s="2747"/>
      <c r="I218" s="1566"/>
      <c r="J218" s="856"/>
      <c r="K218" s="856"/>
      <c r="L218" s="333"/>
      <c r="M218" s="1553"/>
      <c r="N218" s="1559"/>
      <c r="O218" s="355"/>
      <c r="P218" s="355"/>
      <c r="Q218" s="355"/>
      <c r="R218" s="355"/>
      <c r="V218" s="2901"/>
      <c r="W218" s="875"/>
      <c r="X218" s="875"/>
      <c r="Y218" s="1566"/>
      <c r="Z218" s="875"/>
      <c r="AA218" s="875"/>
      <c r="AB218" s="875"/>
      <c r="AC218" s="875"/>
      <c r="AD218" s="875"/>
      <c r="AE218" s="875"/>
      <c r="AF218" s="875"/>
      <c r="AG218" s="875"/>
    </row>
    <row r="219" spans="1:57" collapsed="1" x14ac:dyDescent="0.25">
      <c r="D219" s="1099"/>
      <c r="E219" s="1099"/>
      <c r="F219" s="785"/>
      <c r="G219" s="785"/>
      <c r="H219" s="785"/>
      <c r="I219" s="785"/>
      <c r="J219" s="785"/>
      <c r="K219" s="785"/>
      <c r="L219" s="332"/>
      <c r="M219" s="332"/>
      <c r="N219" s="332"/>
      <c r="O219" s="785"/>
      <c r="P219" s="785"/>
    </row>
    <row r="220" spans="1:57" x14ac:dyDescent="0.25">
      <c r="L220" s="332"/>
      <c r="M220" s="332"/>
      <c r="N220" s="332"/>
    </row>
    <row r="221" spans="1:57" x14ac:dyDescent="0.25">
      <c r="B221" s="2639" t="s">
        <v>16</v>
      </c>
      <c r="C221" s="2640"/>
      <c r="D221" s="2640"/>
      <c r="E221" s="2640"/>
      <c r="F221" s="2640"/>
      <c r="G221" s="2640"/>
      <c r="H221" s="2640"/>
      <c r="I221" s="2641"/>
      <c r="J221" s="2641"/>
      <c r="K221" s="2641"/>
      <c r="L221" s="2641"/>
      <c r="M221" s="2641"/>
      <c r="N221" s="2641"/>
      <c r="O221" s="2641"/>
      <c r="P221" s="2641"/>
      <c r="Q221" s="2642"/>
      <c r="V221" s="2639" t="str">
        <f>B221</f>
        <v>Lighting</v>
      </c>
      <c r="W221" s="2640"/>
      <c r="X221" s="2640"/>
      <c r="Y221" s="2640"/>
      <c r="Z221" s="2640"/>
      <c r="AA221" s="2640"/>
      <c r="AB221" s="2640"/>
      <c r="AC221" s="2615"/>
      <c r="AD221" s="2615"/>
      <c r="AE221" s="2615"/>
      <c r="AF221" s="2615"/>
      <c r="AG221" s="2615"/>
      <c r="AH221" s="2615"/>
      <c r="AI221" s="2616"/>
    </row>
    <row r="223" spans="1:57" ht="30" x14ac:dyDescent="0.25">
      <c r="C223" s="1641" t="s">
        <v>17</v>
      </c>
      <c r="D223" s="1641" t="s">
        <v>662</v>
      </c>
      <c r="E223" s="1641" t="s">
        <v>19</v>
      </c>
      <c r="F223" s="1641" t="s">
        <v>20</v>
      </c>
      <c r="G223" s="1641" t="s">
        <v>558</v>
      </c>
      <c r="H223" s="1641" t="s">
        <v>559</v>
      </c>
      <c r="I223" s="1641" t="s">
        <v>560</v>
      </c>
      <c r="J223" s="1641" t="s">
        <v>561</v>
      </c>
      <c r="K223" s="1641" t="s">
        <v>562</v>
      </c>
      <c r="L223" s="1641" t="s">
        <v>563</v>
      </c>
      <c r="M223" s="1641" t="s">
        <v>23</v>
      </c>
      <c r="N223" s="1641" t="s">
        <v>566</v>
      </c>
      <c r="O223" s="1641" t="s">
        <v>567</v>
      </c>
      <c r="P223" s="1641" t="s">
        <v>568</v>
      </c>
      <c r="Q223" s="1641" t="s">
        <v>26</v>
      </c>
      <c r="R223" s="785"/>
      <c r="S223" s="785"/>
      <c r="T223" s="785"/>
      <c r="U223" s="785"/>
      <c r="V223" s="55" t="s">
        <v>27</v>
      </c>
      <c r="W223" s="56">
        <f>W$6</f>
        <v>43252</v>
      </c>
      <c r="X223" s="56">
        <f t="shared" ref="X223:AG223" si="45">X$6</f>
        <v>43465</v>
      </c>
      <c r="Y223" s="56">
        <f t="shared" si="45"/>
        <v>43800</v>
      </c>
      <c r="Z223" s="56">
        <f t="shared" si="45"/>
        <v>43862</v>
      </c>
      <c r="AA223" s="56" t="str">
        <f t="shared" si="45"/>
        <v>-</v>
      </c>
      <c r="AB223" s="56" t="str">
        <f t="shared" si="45"/>
        <v>-</v>
      </c>
      <c r="AC223" s="56" t="str">
        <f t="shared" si="45"/>
        <v>-</v>
      </c>
      <c r="AD223" s="56" t="str">
        <f t="shared" si="45"/>
        <v>-</v>
      </c>
      <c r="AE223" s="56" t="str">
        <f t="shared" si="45"/>
        <v>-</v>
      </c>
      <c r="AF223" s="56" t="str">
        <f t="shared" si="45"/>
        <v>-</v>
      </c>
      <c r="AG223" s="56" t="str">
        <f t="shared" si="45"/>
        <v>-</v>
      </c>
      <c r="BB223" s="57" t="str">
        <f>$BB$6</f>
        <v>TRC (2020)</v>
      </c>
      <c r="BC223" s="103" t="str">
        <f>$BC$6</f>
        <v>Benefit Lookup</v>
      </c>
      <c r="BD223" s="883" t="str">
        <f>$BD$6</f>
        <v>Benefits (2019 $)</v>
      </c>
      <c r="BE223" s="334" t="str">
        <f>$BE$6</f>
        <v>Incremental Cost (2019 $)</v>
      </c>
    </row>
    <row r="224" spans="1:57" x14ac:dyDescent="0.25">
      <c r="C224" s="92" t="s">
        <v>2334</v>
      </c>
      <c r="D224" s="1927" t="s">
        <v>2272</v>
      </c>
      <c r="E224" s="1666" t="s">
        <v>576</v>
      </c>
      <c r="F224" s="87">
        <f>ROUND(K224+L224,2)</f>
        <v>4.1100000000000003</v>
      </c>
      <c r="G224" s="459" t="s">
        <v>571</v>
      </c>
      <c r="H224" s="239">
        <f>VLOOKUP(G224,'CP FACTORS'!$A$3:$B$38, 2, FALSE)</f>
        <v>1.4925290000000001E-4</v>
      </c>
      <c r="I224" s="459" t="s">
        <v>36</v>
      </c>
      <c r="J224" s="239">
        <f>VLOOKUP(I224,'CP FACTORS'!$A$3:$B$38, 2, FALSE)</f>
        <v>1.899635E-4</v>
      </c>
      <c r="K224" s="157">
        <f t="shared" ref="K224:K235" si="46">(((F249-F262)*$F$275*(1-$F$276)*$F$277*$F$278/1000)*$F$281)</f>
        <v>4.1104694483127764</v>
      </c>
      <c r="L224" s="1565">
        <f t="shared" ref="L224:L235" si="47">(((F249-F262)*$F$275*(1-$F$276)*$F$279*$F$280/1000)*(1-$F$281))</f>
        <v>0</v>
      </c>
      <c r="M224" s="153">
        <f>ROUND(((K224/F224)*H224+(L224/F224)*J224)*F224,6)</f>
        <v>6.1300000000000005E-4</v>
      </c>
      <c r="N224" s="156">
        <v>19</v>
      </c>
      <c r="O224" s="157">
        <f t="shared" ref="O224:O236" si="48">20000/3351</f>
        <v>5.9683676514473287</v>
      </c>
      <c r="P224" s="1535">
        <v>2.0299999999999998</v>
      </c>
      <c r="Q224" s="291" t="s">
        <v>37</v>
      </c>
      <c r="V224" s="245" t="str">
        <f>F223</f>
        <v>kWh Annual Savings</v>
      </c>
      <c r="W224" s="1568">
        <v>4.1104694483127764</v>
      </c>
      <c r="X224" s="1568">
        <v>4.1104694483127764</v>
      </c>
      <c r="Y224" s="85">
        <v>4.1100000000000003</v>
      </c>
      <c r="Z224" s="1568"/>
      <c r="AA224" s="1568"/>
      <c r="AB224" s="1568"/>
      <c r="AC224" s="1568"/>
      <c r="AD224" s="1568"/>
      <c r="AE224" s="1568"/>
      <c r="AF224" s="1568"/>
      <c r="AG224" s="1568"/>
      <c r="BB224" s="68">
        <f t="shared" ref="BB224:BB236" si="49">(BD224)/(BE224)</f>
        <v>1.256579415716806</v>
      </c>
      <c r="BC224" s="69" t="str">
        <f>CONCATENATE(G224," ",N224," Year EUL")</f>
        <v>Lighting RES 19 Year EUL</v>
      </c>
      <c r="BD224" s="162">
        <f>(INDEX('Avoided Cost Benefits'!$C$4:$C$857,MATCH(BC224,'Avoided Cost Benefits'!$A$4:$A$857,0)))*F224</f>
        <v>2.407603788489963</v>
      </c>
      <c r="BE224" s="70">
        <f>P224/(1.0595^(2020-2019))</f>
        <v>1.9159981123171304</v>
      </c>
    </row>
    <row r="225" spans="3:57" x14ac:dyDescent="0.25">
      <c r="C225" s="92" t="s">
        <v>2335</v>
      </c>
      <c r="D225" s="1927" t="s">
        <v>2272</v>
      </c>
      <c r="E225" s="1666" t="s">
        <v>578</v>
      </c>
      <c r="F225" s="87">
        <f t="shared" ref="F225:F235" si="50">ROUND(K225+L225,2)</f>
        <v>22.04</v>
      </c>
      <c r="G225" s="459" t="s">
        <v>571</v>
      </c>
      <c r="H225" s="239">
        <f>VLOOKUP(G225,'CP FACTORS'!$A$3:$B$38, 2, FALSE)</f>
        <v>1.4925290000000001E-4</v>
      </c>
      <c r="I225" s="459" t="s">
        <v>36</v>
      </c>
      <c r="J225" s="239">
        <f>VLOOKUP(I225,'CP FACTORS'!$A$3:$B$38, 2, FALSE)</f>
        <v>1.899635E-4</v>
      </c>
      <c r="K225" s="157">
        <f t="shared" si="46"/>
        <v>22.042392416577254</v>
      </c>
      <c r="L225" s="1565">
        <f t="shared" si="47"/>
        <v>0</v>
      </c>
      <c r="M225" s="153">
        <f t="shared" ref="M225:M235" si="51">ROUND(((K225/F225)*H225+(L225/F225)*J225)*F225,6)</f>
        <v>3.29E-3</v>
      </c>
      <c r="N225" s="156">
        <v>19</v>
      </c>
      <c r="O225" s="157">
        <f t="shared" si="48"/>
        <v>5.9683676514473287</v>
      </c>
      <c r="P225" s="1535">
        <v>2.0299999999999998</v>
      </c>
      <c r="Q225" s="291" t="s">
        <v>37</v>
      </c>
      <c r="V225" s="245">
        <f t="shared" ref="V225:V236" si="52">F224</f>
        <v>4.1100000000000003</v>
      </c>
      <c r="W225" s="1568">
        <v>22.042392416577254</v>
      </c>
      <c r="X225" s="1568">
        <v>22.042392416577254</v>
      </c>
      <c r="Y225" s="85">
        <v>22.04</v>
      </c>
      <c r="Z225" s="1568"/>
      <c r="AA225" s="1568"/>
      <c r="AB225" s="1568"/>
      <c r="AC225" s="1568"/>
      <c r="AD225" s="1568"/>
      <c r="AE225" s="1568"/>
      <c r="AF225" s="1568"/>
      <c r="AG225" s="1568"/>
      <c r="BB225" s="72">
        <f t="shared" si="49"/>
        <v>6.7384453339168857</v>
      </c>
      <c r="BC225" s="73" t="str">
        <f t="shared" ref="BC225:BC236" si="53">CONCATENATE(G225," ",N225," Year EUL")</f>
        <v>Lighting RES 19 Year EUL</v>
      </c>
      <c r="BD225" s="165">
        <f>(INDEX('Avoided Cost Benefits'!$C$4:$C$857,MATCH(BC225,'Avoided Cost Benefits'!$A$4:$A$857,0)))*F225</f>
        <v>12.910848539736929</v>
      </c>
      <c r="BE225" s="74">
        <f t="shared" ref="BE225:BE236" si="54">P225/(1.0595^(2020-2019))</f>
        <v>1.9159981123171304</v>
      </c>
    </row>
    <row r="226" spans="3:57" x14ac:dyDescent="0.25">
      <c r="C226" s="92" t="s">
        <v>2336</v>
      </c>
      <c r="D226" s="1927" t="s">
        <v>2272</v>
      </c>
      <c r="E226" s="1666" t="s">
        <v>580</v>
      </c>
      <c r="F226" s="87">
        <f t="shared" si="50"/>
        <v>5.46</v>
      </c>
      <c r="G226" s="459" t="s">
        <v>571</v>
      </c>
      <c r="H226" s="239">
        <f>VLOOKUP(G226,'CP FACTORS'!$A$3:$B$38, 2, FALSE)</f>
        <v>1.4925290000000001E-4</v>
      </c>
      <c r="I226" s="459" t="s">
        <v>36</v>
      </c>
      <c r="J226" s="239">
        <f>VLOOKUP(I226,'CP FACTORS'!$A$3:$B$38, 2, FALSE)</f>
        <v>1.899635E-4</v>
      </c>
      <c r="K226" s="157">
        <f t="shared" si="46"/>
        <v>5.4592172360404048</v>
      </c>
      <c r="L226" s="1565">
        <f t="shared" si="47"/>
        <v>0</v>
      </c>
      <c r="M226" s="153">
        <f t="shared" si="51"/>
        <v>8.1499999999999997E-4</v>
      </c>
      <c r="N226" s="156">
        <v>19</v>
      </c>
      <c r="O226" s="157">
        <f t="shared" si="48"/>
        <v>5.9683676514473287</v>
      </c>
      <c r="P226" s="1535">
        <v>4.1399999999999997</v>
      </c>
      <c r="Q226" s="291" t="s">
        <v>37</v>
      </c>
      <c r="V226" s="245">
        <f t="shared" si="52"/>
        <v>22.04</v>
      </c>
      <c r="W226" s="1568">
        <v>5.4592172360404048</v>
      </c>
      <c r="X226" s="1568">
        <v>5.4592172360404048</v>
      </c>
      <c r="Y226" s="85">
        <v>5.46</v>
      </c>
      <c r="Z226" s="1568"/>
      <c r="AA226" s="1568"/>
      <c r="AB226" s="1568"/>
      <c r="AC226" s="1568"/>
      <c r="AD226" s="1568"/>
      <c r="AE226" s="1568"/>
      <c r="AF226" s="1568"/>
      <c r="AG226" s="1568"/>
      <c r="BB226" s="72">
        <f t="shared" si="49"/>
        <v>0.81853350070653241</v>
      </c>
      <c r="BC226" s="73" t="str">
        <f t="shared" si="53"/>
        <v>Lighting RES 19 Year EUL</v>
      </c>
      <c r="BD226" s="165">
        <f>(INDEX('Avoided Cost Benefits'!$C$4:$C$857,MATCH(BC226,'Avoided Cost Benefits'!$A$4:$A$857,0)))*F226</f>
        <v>3.1984225511326509</v>
      </c>
      <c r="BE226" s="74">
        <f t="shared" si="54"/>
        <v>3.9075035394053792</v>
      </c>
    </row>
    <row r="227" spans="3:57" ht="30" x14ac:dyDescent="0.25">
      <c r="C227" s="92" t="s">
        <v>2337</v>
      </c>
      <c r="D227" s="1927" t="s">
        <v>2272</v>
      </c>
      <c r="E227" s="1666" t="s">
        <v>2338</v>
      </c>
      <c r="F227" s="87">
        <f t="shared" si="50"/>
        <v>42.87</v>
      </c>
      <c r="G227" s="459" t="s">
        <v>571</v>
      </c>
      <c r="H227" s="239">
        <f>VLOOKUP(G227,'CP FACTORS'!$A$3:$B$38, 2, FALSE)</f>
        <v>1.4925290000000001E-4</v>
      </c>
      <c r="I227" s="459" t="s">
        <v>36</v>
      </c>
      <c r="J227" s="239">
        <f>VLOOKUP(I227,'CP FACTORS'!$A$3:$B$38, 2, FALSE)</f>
        <v>1.899635E-4</v>
      </c>
      <c r="K227" s="157">
        <f t="shared" si="46"/>
        <v>42.870911824199645</v>
      </c>
      <c r="L227" s="1565">
        <f t="shared" si="47"/>
        <v>0</v>
      </c>
      <c r="M227" s="153">
        <f>ROUND(((K227/F227)*H227+(L227/F227)*J227)*F227,6)</f>
        <v>6.3990000000000002E-3</v>
      </c>
      <c r="N227" s="156">
        <v>19</v>
      </c>
      <c r="O227" s="157">
        <f t="shared" si="48"/>
        <v>5.9683676514473287</v>
      </c>
      <c r="P227" s="1535">
        <v>4.1399999999999997</v>
      </c>
      <c r="Q227" s="291" t="s">
        <v>37</v>
      </c>
      <c r="V227" s="245">
        <f t="shared" si="52"/>
        <v>5.46</v>
      </c>
      <c r="W227" s="1568">
        <v>42.870911824199645</v>
      </c>
      <c r="X227" s="1568">
        <v>42.870911824199645</v>
      </c>
      <c r="Y227" s="85">
        <v>42.87</v>
      </c>
      <c r="Z227" s="1568"/>
      <c r="AA227" s="1568"/>
      <c r="AB227" s="1568"/>
      <c r="AC227" s="1568"/>
      <c r="AD227" s="1568"/>
      <c r="AE227" s="1568"/>
      <c r="AF227" s="1568"/>
      <c r="AG227" s="1568"/>
      <c r="BB227" s="72">
        <f t="shared" si="49"/>
        <v>6.4268372115914003</v>
      </c>
      <c r="BC227" s="73" t="str">
        <f t="shared" si="53"/>
        <v>Lighting RES 19 Year EUL</v>
      </c>
      <c r="BD227" s="165">
        <f>(INDEX('Avoided Cost Benefits'!$C$4:$C$857,MATCH(BC227,'Avoided Cost Benefits'!$A$4:$A$857,0)))*F227</f>
        <v>25.112889151475596</v>
      </c>
      <c r="BE227" s="74">
        <f t="shared" si="54"/>
        <v>3.9075035394053792</v>
      </c>
    </row>
    <row r="228" spans="3:57" x14ac:dyDescent="0.25">
      <c r="C228" s="92" t="s">
        <v>2339</v>
      </c>
      <c r="D228" s="1927" t="s">
        <v>2272</v>
      </c>
      <c r="E228" s="1666" t="s">
        <v>2340</v>
      </c>
      <c r="F228" s="87">
        <f t="shared" si="50"/>
        <v>22.49</v>
      </c>
      <c r="G228" s="459" t="s">
        <v>571</v>
      </c>
      <c r="H228" s="239">
        <f>VLOOKUP(G228,'CP FACTORS'!$A$3:$B$38, 2, FALSE)</f>
        <v>1.4925290000000001E-4</v>
      </c>
      <c r="I228" s="459" t="s">
        <v>36</v>
      </c>
      <c r="J228" s="239">
        <f>VLOOKUP(I228,'CP FACTORS'!$A$3:$B$38, 2, FALSE)</f>
        <v>1.899635E-4</v>
      </c>
      <c r="K228" s="157">
        <f t="shared" si="46"/>
        <v>22.491975012486467</v>
      </c>
      <c r="L228" s="1565">
        <f t="shared" si="47"/>
        <v>0</v>
      </c>
      <c r="M228" s="153">
        <f t="shared" si="51"/>
        <v>3.3570000000000002E-3</v>
      </c>
      <c r="N228" s="156">
        <v>19</v>
      </c>
      <c r="O228" s="157">
        <f t="shared" si="48"/>
        <v>5.9683676514473287</v>
      </c>
      <c r="P228" s="1535">
        <f>'Income Eligble Deemed Table'!$Q$1034</f>
        <v>4.72</v>
      </c>
      <c r="Q228" s="291" t="s">
        <v>37</v>
      </c>
      <c r="V228" s="245">
        <f t="shared" si="52"/>
        <v>42.87</v>
      </c>
      <c r="W228" s="1568">
        <v>27.938347031500896</v>
      </c>
      <c r="X228" s="1568">
        <v>22.491975012486467</v>
      </c>
      <c r="Y228" s="85">
        <v>22.49</v>
      </c>
      <c r="Z228" s="1568"/>
      <c r="AA228" s="1568"/>
      <c r="AB228" s="1568"/>
      <c r="AC228" s="1568"/>
      <c r="AD228" s="1568"/>
      <c r="AE228" s="1568"/>
      <c r="AF228" s="1568"/>
      <c r="AG228" s="1568"/>
      <c r="BB228" s="72">
        <f t="shared" si="49"/>
        <v>2.9572743335150959</v>
      </c>
      <c r="BC228" s="73" t="str">
        <f t="shared" si="53"/>
        <v>Lighting RES 19 Year EUL</v>
      </c>
      <c r="BD228" s="165">
        <f>(INDEX('Avoided Cost Benefits'!$C$4:$C$857,MATCH(BC228,'Avoided Cost Benefits'!$A$4:$A$857,0)))*F228</f>
        <v>13.174454793951156</v>
      </c>
      <c r="BE228" s="74">
        <f t="shared" si="54"/>
        <v>4.4549315714959876</v>
      </c>
    </row>
    <row r="229" spans="3:57" x14ac:dyDescent="0.25">
      <c r="C229" s="92" t="s">
        <v>2341</v>
      </c>
      <c r="D229" s="1927" t="s">
        <v>2272</v>
      </c>
      <c r="E229" s="1666" t="s">
        <v>2342</v>
      </c>
      <c r="F229" s="87">
        <f t="shared" si="50"/>
        <v>5.46</v>
      </c>
      <c r="G229" s="459" t="s">
        <v>571</v>
      </c>
      <c r="H229" s="239">
        <f>VLOOKUP(G229,'CP FACTORS'!$A$3:$B$38, 2, FALSE)</f>
        <v>1.4925290000000001E-4</v>
      </c>
      <c r="I229" s="459" t="s">
        <v>36</v>
      </c>
      <c r="J229" s="239">
        <f>VLOOKUP(I229,'CP FACTORS'!$A$3:$B$38, 2, FALSE)</f>
        <v>1.899635E-4</v>
      </c>
      <c r="K229" s="157">
        <f t="shared" si="46"/>
        <v>5.4592172360404048</v>
      </c>
      <c r="L229" s="1565">
        <f t="shared" si="47"/>
        <v>0</v>
      </c>
      <c r="M229" s="153">
        <f t="shared" si="51"/>
        <v>8.1499999999999997E-4</v>
      </c>
      <c r="N229" s="156">
        <v>19</v>
      </c>
      <c r="O229" s="157">
        <f t="shared" si="48"/>
        <v>5.9683676514473287</v>
      </c>
      <c r="P229" s="1535">
        <f>$P$228</f>
        <v>4.72</v>
      </c>
      <c r="Q229" s="291" t="s">
        <v>37</v>
      </c>
      <c r="V229" s="245">
        <f t="shared" si="52"/>
        <v>22.49</v>
      </c>
      <c r="W229" s="1568">
        <v>5.4592172360404048</v>
      </c>
      <c r="X229" s="1568">
        <v>5.4592172360404048</v>
      </c>
      <c r="Y229" s="85">
        <v>5.46</v>
      </c>
      <c r="Z229" s="1568"/>
      <c r="AA229" s="1568"/>
      <c r="AB229" s="1568"/>
      <c r="AC229" s="1568"/>
      <c r="AD229" s="1568"/>
      <c r="AE229" s="1568"/>
      <c r="AF229" s="1568"/>
      <c r="AG229" s="1568"/>
      <c r="BB229" s="72">
        <f t="shared" si="49"/>
        <v>0.71795099426378062</v>
      </c>
      <c r="BC229" s="73" t="str">
        <f t="shared" si="53"/>
        <v>Lighting RES 19 Year EUL</v>
      </c>
      <c r="BD229" s="165">
        <f>(INDEX('Avoided Cost Benefits'!$C$4:$C$857,MATCH(BC229,'Avoided Cost Benefits'!$A$4:$A$857,0)))*F229</f>
        <v>3.1984225511326509</v>
      </c>
      <c r="BE229" s="74">
        <f t="shared" si="54"/>
        <v>4.4549315714959876</v>
      </c>
    </row>
    <row r="230" spans="3:57" x14ac:dyDescent="0.25">
      <c r="C230" s="92" t="s">
        <v>2343</v>
      </c>
      <c r="D230" s="1927" t="s">
        <v>2272</v>
      </c>
      <c r="E230" s="1666" t="s">
        <v>584</v>
      </c>
      <c r="F230" s="87">
        <f t="shared" si="50"/>
        <v>27.23</v>
      </c>
      <c r="G230" s="459" t="s">
        <v>571</v>
      </c>
      <c r="H230" s="239">
        <f>VLOOKUP(G230,'CP FACTORS'!$A$3:$B$38, 2, FALSE)</f>
        <v>1.4925290000000001E-4</v>
      </c>
      <c r="I230" s="459" t="s">
        <v>36</v>
      </c>
      <c r="J230" s="239">
        <f>VLOOKUP(I230,'CP FACTORS'!$A$3:$B$38, 2, FALSE)</f>
        <v>1.899635E-4</v>
      </c>
      <c r="K230" s="157">
        <f t="shared" si="46"/>
        <v>27.231860095072133</v>
      </c>
      <c r="L230" s="1565">
        <f t="shared" si="47"/>
        <v>0</v>
      </c>
      <c r="M230" s="153">
        <f>ROUND(((K230/F230)*H230+(L230/F230)*J230)*F230,6)</f>
        <v>4.0639999999999999E-3</v>
      </c>
      <c r="N230" s="156">
        <v>19</v>
      </c>
      <c r="O230" s="157">
        <f t="shared" si="48"/>
        <v>5.9683676514473287</v>
      </c>
      <c r="P230" s="1535">
        <f>'Income Eligble Deemed Table'!$Q$1036</f>
        <v>6.27</v>
      </c>
      <c r="Q230" s="291" t="s">
        <v>37</v>
      </c>
      <c r="V230" s="245">
        <f t="shared" si="52"/>
        <v>5.46</v>
      </c>
      <c r="W230" s="1568">
        <v>27.231860095072133</v>
      </c>
      <c r="X230" s="1568">
        <v>27.231860095072133</v>
      </c>
      <c r="Y230" s="85">
        <v>27.23</v>
      </c>
      <c r="Z230" s="1568"/>
      <c r="AA230" s="1568"/>
      <c r="AB230" s="1568"/>
      <c r="AC230" s="1568"/>
      <c r="AD230" s="1568"/>
      <c r="AE230" s="1568"/>
      <c r="AF230" s="1568"/>
      <c r="AG230" s="1568"/>
      <c r="BB230" s="72">
        <f t="shared" si="49"/>
        <v>2.6954064154660826</v>
      </c>
      <c r="BC230" s="73" t="str">
        <f t="shared" si="53"/>
        <v>Lighting RES 19 Year EUL</v>
      </c>
      <c r="BD230" s="165">
        <f>(INDEX('Avoided Cost Benefits'!$C$4:$C$857,MATCH(BC230,'Avoided Cost Benefits'!$A$4:$A$857,0)))*F230</f>
        <v>15.951107338341043</v>
      </c>
      <c r="BE230" s="74">
        <f t="shared" si="54"/>
        <v>5.9178857951864074</v>
      </c>
    </row>
    <row r="231" spans="3:57" x14ac:dyDescent="0.25">
      <c r="C231" s="92" t="s">
        <v>2344</v>
      </c>
      <c r="D231" s="1927" t="s">
        <v>2272</v>
      </c>
      <c r="E231" s="1666" t="s">
        <v>586</v>
      </c>
      <c r="F231" s="87">
        <f t="shared" si="50"/>
        <v>5.33</v>
      </c>
      <c r="G231" s="459" t="s">
        <v>571</v>
      </c>
      <c r="H231" s="239">
        <f>VLOOKUP(G231,'CP FACTORS'!$A$3:$B$38, 2, FALSE)</f>
        <v>1.4925290000000001E-4</v>
      </c>
      <c r="I231" s="459" t="s">
        <v>36</v>
      </c>
      <c r="J231" s="239">
        <f>VLOOKUP(I231,'CP FACTORS'!$A$3:$B$38, 2, FALSE)</f>
        <v>1.899635E-4</v>
      </c>
      <c r="K231" s="157">
        <f t="shared" si="46"/>
        <v>5.3307650657806303</v>
      </c>
      <c r="L231" s="1565">
        <f t="shared" si="47"/>
        <v>0</v>
      </c>
      <c r="M231" s="153">
        <f t="shared" si="51"/>
        <v>7.9600000000000005E-4</v>
      </c>
      <c r="N231" s="156">
        <v>19</v>
      </c>
      <c r="O231" s="157">
        <f t="shared" si="48"/>
        <v>5.9683676514473287</v>
      </c>
      <c r="P231" s="1535">
        <f>$P$230</f>
        <v>6.27</v>
      </c>
      <c r="Q231" s="291" t="s">
        <v>37</v>
      </c>
      <c r="V231" s="245">
        <f t="shared" si="52"/>
        <v>27.23</v>
      </c>
      <c r="W231" s="1568">
        <v>5.3307650657806303</v>
      </c>
      <c r="X231" s="1568">
        <v>5.3307650657806303</v>
      </c>
      <c r="Y231" s="85">
        <v>5.33</v>
      </c>
      <c r="Z231" s="1568"/>
      <c r="AA231" s="1568"/>
      <c r="AB231" s="1568"/>
      <c r="AC231" s="1568"/>
      <c r="AD231" s="1568"/>
      <c r="AE231" s="1568"/>
      <c r="AF231" s="1568"/>
      <c r="AG231" s="1568"/>
      <c r="BB231" s="72">
        <f t="shared" si="49"/>
        <v>0.52759883196600144</v>
      </c>
      <c r="BC231" s="73" t="str">
        <f t="shared" si="53"/>
        <v>Lighting RES 19 Year EUL</v>
      </c>
      <c r="BD231" s="165">
        <f>(INDEX('Avoided Cost Benefits'!$C$4:$C$857,MATCH(BC231,'Avoided Cost Benefits'!$A$4:$A$857,0)))*F231</f>
        <v>3.1222696332485405</v>
      </c>
      <c r="BE231" s="74">
        <f t="shared" si="54"/>
        <v>5.9178857951864074</v>
      </c>
    </row>
    <row r="232" spans="3:57" x14ac:dyDescent="0.25">
      <c r="C232" s="92" t="s">
        <v>2345</v>
      </c>
      <c r="D232" s="1927" t="s">
        <v>2272</v>
      </c>
      <c r="E232" s="1666" t="s">
        <v>598</v>
      </c>
      <c r="F232" s="87">
        <f t="shared" si="50"/>
        <v>36.61</v>
      </c>
      <c r="G232" s="459" t="s">
        <v>571</v>
      </c>
      <c r="H232" s="239">
        <f>VLOOKUP(G232,'CP FACTORS'!$A$3:$B$38, 2, FALSE)</f>
        <v>1.4925290000000001E-4</v>
      </c>
      <c r="I232" s="459" t="s">
        <v>36</v>
      </c>
      <c r="J232" s="239">
        <f>VLOOKUP(I232,'CP FACTORS'!$A$3:$B$38, 2, FALSE)</f>
        <v>1.899635E-4</v>
      </c>
      <c r="K232" s="157">
        <f t="shared" si="46"/>
        <v>36.60886852403565</v>
      </c>
      <c r="L232" s="1565">
        <f t="shared" si="47"/>
        <v>0</v>
      </c>
      <c r="M232" s="153">
        <f t="shared" si="51"/>
        <v>5.4640000000000001E-3</v>
      </c>
      <c r="N232" s="156">
        <v>19</v>
      </c>
      <c r="O232" s="157">
        <f t="shared" si="48"/>
        <v>5.9683676514473287</v>
      </c>
      <c r="P232" s="1535">
        <f>'Income Eligble Deemed Table'!$Q$1039</f>
        <v>7.83</v>
      </c>
      <c r="Q232" s="291" t="s">
        <v>37</v>
      </c>
      <c r="V232" s="245">
        <f t="shared" si="52"/>
        <v>5.33</v>
      </c>
      <c r="W232" s="1568">
        <v>36.60886852403565</v>
      </c>
      <c r="X232" s="1568">
        <v>36.60886852403565</v>
      </c>
      <c r="Y232" s="85">
        <v>36.61</v>
      </c>
      <c r="Z232" s="1568"/>
      <c r="AA232" s="1568"/>
      <c r="AB232" s="1568"/>
      <c r="AC232" s="1568"/>
      <c r="AD232" s="1568"/>
      <c r="AE232" s="1568"/>
      <c r="AF232" s="1568"/>
      <c r="AG232" s="1568"/>
      <c r="BB232" s="72">
        <f t="shared" si="49"/>
        <v>2.9018978720892656</v>
      </c>
      <c r="BC232" s="73" t="str">
        <f t="shared" si="53"/>
        <v>Lighting RES 19 Year EUL</v>
      </c>
      <c r="BD232" s="165">
        <f>(INDEX('Avoided Cost Benefits'!$C$4:$C$857,MATCH(BC232,'Avoided Cost Benefits'!$A$4:$A$857,0)))*F232</f>
        <v>21.445833259517649</v>
      </c>
      <c r="BE232" s="74">
        <f t="shared" si="54"/>
        <v>7.3902784332232176</v>
      </c>
    </row>
    <row r="233" spans="3:57" x14ac:dyDescent="0.25">
      <c r="C233" s="92" t="s">
        <v>2346</v>
      </c>
      <c r="D233" s="1927" t="s">
        <v>2272</v>
      </c>
      <c r="E233" s="1666" t="s">
        <v>596</v>
      </c>
      <c r="F233" s="87">
        <f t="shared" si="50"/>
        <v>6.29</v>
      </c>
      <c r="G233" s="459" t="s">
        <v>571</v>
      </c>
      <c r="H233" s="239">
        <f>VLOOKUP(G233,'CP FACTORS'!$A$3:$B$38, 2, FALSE)</f>
        <v>1.4925290000000001E-4</v>
      </c>
      <c r="I233" s="459" t="s">
        <v>36</v>
      </c>
      <c r="J233" s="239">
        <f>VLOOKUP(I233,'CP FACTORS'!$A$3:$B$38, 2, FALSE)</f>
        <v>1.899635E-4</v>
      </c>
      <c r="K233" s="157">
        <f t="shared" si="46"/>
        <v>6.2941563427289378</v>
      </c>
      <c r="L233" s="1565">
        <f t="shared" si="47"/>
        <v>0</v>
      </c>
      <c r="M233" s="153">
        <f>ROUND(((K233/F233)*H233+(L233/F233)*J233)*F233,6)</f>
        <v>9.3899999999999995E-4</v>
      </c>
      <c r="N233" s="156">
        <v>19</v>
      </c>
      <c r="O233" s="157">
        <f t="shared" si="48"/>
        <v>5.9683676514473287</v>
      </c>
      <c r="P233" s="1535">
        <f>$P$232</f>
        <v>7.83</v>
      </c>
      <c r="Q233" s="291" t="s">
        <v>37</v>
      </c>
      <c r="V233" s="245">
        <f t="shared" si="52"/>
        <v>36.61</v>
      </c>
      <c r="W233" s="1568">
        <v>6.2941563427289378</v>
      </c>
      <c r="X233" s="1568">
        <v>6.2941563427289378</v>
      </c>
      <c r="Y233" s="85">
        <v>6.29</v>
      </c>
      <c r="Z233" s="1568"/>
      <c r="AA233" s="1568"/>
      <c r="AB233" s="1568"/>
      <c r="AC233" s="1568"/>
      <c r="AD233" s="1568"/>
      <c r="AE233" s="1568"/>
      <c r="AF233" s="1568"/>
      <c r="AG233" s="1568"/>
      <c r="BB233" s="72">
        <f t="shared" si="49"/>
        <v>0.49857791902325815</v>
      </c>
      <c r="BC233" s="73" t="str">
        <f t="shared" si="53"/>
        <v>Lighting RES 19 Year EUL</v>
      </c>
      <c r="BD233" s="165">
        <f>(INDEX('Avoided Cost Benefits'!$C$4:$C$857,MATCH(BC233,'Avoided Cost Benefits'!$A$4:$A$857,0)))*F233</f>
        <v>3.6846296422388964</v>
      </c>
      <c r="BE233" s="74">
        <f t="shared" si="54"/>
        <v>7.3902784332232176</v>
      </c>
    </row>
    <row r="234" spans="3:57" x14ac:dyDescent="0.25">
      <c r="C234" s="92" t="s">
        <v>2347</v>
      </c>
      <c r="D234" s="1927" t="s">
        <v>2272</v>
      </c>
      <c r="E234" s="1666" t="s">
        <v>590</v>
      </c>
      <c r="F234" s="87">
        <f t="shared" si="50"/>
        <v>32.31</v>
      </c>
      <c r="G234" s="459" t="s">
        <v>571</v>
      </c>
      <c r="H234" s="239">
        <f>VLOOKUP(G234,'CP FACTORS'!$A$3:$B$38, 2, FALSE)</f>
        <v>1.4925290000000001E-4</v>
      </c>
      <c r="I234" s="459" t="s">
        <v>36</v>
      </c>
      <c r="J234" s="239">
        <f>VLOOKUP(I234,'CP FACTORS'!$A$3:$B$38, 2, FALSE)</f>
        <v>1.899635E-4</v>
      </c>
      <c r="K234" s="157">
        <f t="shared" si="46"/>
        <v>32.305720820333214</v>
      </c>
      <c r="L234" s="1565">
        <f t="shared" si="47"/>
        <v>0</v>
      </c>
      <c r="M234" s="153">
        <f t="shared" si="51"/>
        <v>4.8219999999999999E-3</v>
      </c>
      <c r="N234" s="156">
        <v>19</v>
      </c>
      <c r="O234" s="157">
        <f t="shared" si="48"/>
        <v>5.9683676514473287</v>
      </c>
      <c r="P234" s="1535">
        <f>$P$235</f>
        <v>3.05</v>
      </c>
      <c r="Q234" s="291" t="s">
        <v>37</v>
      </c>
      <c r="V234" s="245">
        <f t="shared" si="52"/>
        <v>6.29</v>
      </c>
      <c r="W234" s="1568">
        <v>32.691077331112538</v>
      </c>
      <c r="X234" s="1568">
        <v>32.305720820333214</v>
      </c>
      <c r="Y234" s="85">
        <v>32.31</v>
      </c>
      <c r="Z234" s="1568"/>
      <c r="AA234" s="1568"/>
      <c r="AB234" s="1568"/>
      <c r="AC234" s="1568"/>
      <c r="AD234" s="1568"/>
      <c r="AE234" s="1568"/>
      <c r="AF234" s="1568"/>
      <c r="AG234" s="1568"/>
      <c r="BB234" s="72">
        <f t="shared" si="49"/>
        <v>6.5747807643312424</v>
      </c>
      <c r="BC234" s="73" t="str">
        <f t="shared" si="53"/>
        <v>Lighting RES 19 Year EUL</v>
      </c>
      <c r="BD234" s="165">
        <f>(INDEX('Avoided Cost Benefits'!$C$4:$C$857,MATCH(BC234,'Avoided Cost Benefits'!$A$4:$A$857,0)))*F234</f>
        <v>18.926929052581677</v>
      </c>
      <c r="BE234" s="74">
        <f t="shared" si="54"/>
        <v>2.8787163756488905</v>
      </c>
    </row>
    <row r="235" spans="3:57" x14ac:dyDescent="0.25">
      <c r="C235" s="92" t="s">
        <v>2348</v>
      </c>
      <c r="D235" s="1927" t="s">
        <v>2272</v>
      </c>
      <c r="E235" s="1666" t="s">
        <v>588</v>
      </c>
      <c r="F235" s="87">
        <f t="shared" si="50"/>
        <v>3.08</v>
      </c>
      <c r="G235" s="459" t="s">
        <v>571</v>
      </c>
      <c r="H235" s="239">
        <f>VLOOKUP(G235,'CP FACTORS'!$A$3:$B$38, 2, FALSE)</f>
        <v>1.4925290000000001E-4</v>
      </c>
      <c r="I235" s="459" t="s">
        <v>36</v>
      </c>
      <c r="J235" s="239">
        <f>VLOOKUP(I235,'CP FACTORS'!$A$3:$B$38, 2, FALSE)</f>
        <v>1.899635E-4</v>
      </c>
      <c r="K235" s="157">
        <f t="shared" si="46"/>
        <v>3.0828520862345816</v>
      </c>
      <c r="L235" s="1565">
        <f t="shared" si="47"/>
        <v>0</v>
      </c>
      <c r="M235" s="153">
        <f t="shared" si="51"/>
        <v>4.6000000000000001E-4</v>
      </c>
      <c r="N235" s="156">
        <v>19</v>
      </c>
      <c r="O235" s="157">
        <f t="shared" si="48"/>
        <v>5.9683676514473287</v>
      </c>
      <c r="P235" s="1535">
        <v>3.05</v>
      </c>
      <c r="Q235" s="291" t="s">
        <v>37</v>
      </c>
      <c r="V235" s="245">
        <f t="shared" si="52"/>
        <v>32.31</v>
      </c>
      <c r="W235" s="1568">
        <v>3.0828520862345816</v>
      </c>
      <c r="X235" s="1568">
        <v>3.0828520862345816</v>
      </c>
      <c r="Y235" s="85">
        <v>3.08</v>
      </c>
      <c r="Z235" s="1568"/>
      <c r="AA235" s="1568"/>
      <c r="AB235" s="1568"/>
      <c r="AC235" s="1568"/>
      <c r="AD235" s="1568"/>
      <c r="AE235" s="1568"/>
      <c r="AF235" s="1568"/>
      <c r="AG235" s="1568"/>
      <c r="BB235" s="72">
        <f t="shared" si="49"/>
        <v>0.62675099827113057</v>
      </c>
      <c r="BC235" s="73" t="str">
        <f t="shared" si="53"/>
        <v>Lighting RES 19 Year EUL</v>
      </c>
      <c r="BD235" s="165">
        <f>(INDEX('Avoided Cost Benefits'!$C$4:$C$857,MATCH(BC235,'Avoided Cost Benefits'!$A$4:$A$857,0)))*F235</f>
        <v>1.804238362177393</v>
      </c>
      <c r="BE235" s="74">
        <f t="shared" si="54"/>
        <v>2.8787163756488905</v>
      </c>
    </row>
    <row r="236" spans="3:57" x14ac:dyDescent="0.25">
      <c r="C236" s="92" t="s">
        <v>2349</v>
      </c>
      <c r="D236" s="1927" t="s">
        <v>2272</v>
      </c>
      <c r="E236" s="1555" t="s">
        <v>2350</v>
      </c>
      <c r="F236" s="87">
        <f>ROUND(K236+L236,2)</f>
        <v>22</v>
      </c>
      <c r="G236" s="459" t="s">
        <v>571</v>
      </c>
      <c r="H236" s="239">
        <f>VLOOKUP(G236,'CP FACTORS'!$A$3:$B$38, 2, FALSE)</f>
        <v>1.4925290000000001E-4</v>
      </c>
      <c r="I236" s="459" t="s">
        <v>36</v>
      </c>
      <c r="J236" s="239">
        <f>VLOOKUP(I236,'CP FACTORS'!$A$3:$B$38, 2, FALSE)</f>
        <v>1.899635E-4</v>
      </c>
      <c r="K236" s="157">
        <f>22*F281</f>
        <v>22</v>
      </c>
      <c r="L236" s="1565">
        <f>22*(1-F281)</f>
        <v>0</v>
      </c>
      <c r="M236" s="153">
        <f>ROUND(((K236/F236)*H236+(L236/F236)*J236)*F236,6)</f>
        <v>3.284E-3</v>
      </c>
      <c r="N236" s="156">
        <v>19</v>
      </c>
      <c r="O236" s="157">
        <f t="shared" si="48"/>
        <v>5.9683676514473287</v>
      </c>
      <c r="P236" s="1535">
        <v>0.35</v>
      </c>
      <c r="Q236" s="291" t="s">
        <v>37</v>
      </c>
      <c r="V236" s="245">
        <f t="shared" si="52"/>
        <v>3.08</v>
      </c>
      <c r="W236" s="1568">
        <v>22</v>
      </c>
      <c r="X236" s="1568">
        <v>22</v>
      </c>
      <c r="Y236" s="85">
        <v>22</v>
      </c>
      <c r="Z236" s="1568"/>
      <c r="AA236" s="1568"/>
      <c r="AB236" s="1568"/>
      <c r="AC236" s="1568"/>
      <c r="AD236" s="1568"/>
      <c r="AE236" s="1568"/>
      <c r="AF236" s="1568"/>
      <c r="AG236" s="1568"/>
      <c r="BB236" s="75">
        <f t="shared" si="49"/>
        <v>39.012051933203018</v>
      </c>
      <c r="BC236" s="73" t="str">
        <f t="shared" si="53"/>
        <v>Lighting RES 19 Year EUL</v>
      </c>
      <c r="BD236" s="170">
        <f>(INDEX('Avoided Cost Benefits'!$C$4:$C$857,MATCH(BC236,'Avoided Cost Benefits'!$A$4:$A$857,0)))*F236</f>
        <v>12.887416872695663</v>
      </c>
      <c r="BE236" s="76">
        <f t="shared" si="54"/>
        <v>0.33034450212364319</v>
      </c>
    </row>
    <row r="237" spans="3:57" hidden="1" outlineLevel="1" x14ac:dyDescent="0.25">
      <c r="D237" s="711"/>
      <c r="E237" s="1421"/>
      <c r="F237" s="911"/>
      <c r="G237" s="2250"/>
      <c r="H237" s="1569"/>
      <c r="I237" s="2303"/>
      <c r="J237" s="177" t="s">
        <v>616</v>
      </c>
      <c r="L237" s="2255"/>
      <c r="M237" s="911"/>
    </row>
    <row r="238" spans="3:57" hidden="1" outlineLevel="1" x14ac:dyDescent="0.25">
      <c r="D238" s="711"/>
      <c r="E238" s="653" t="s">
        <v>2351</v>
      </c>
      <c r="L238" s="2255"/>
      <c r="M238" s="911"/>
    </row>
    <row r="239" spans="3:57" hidden="1" outlineLevel="1" x14ac:dyDescent="0.25">
      <c r="D239" s="711"/>
      <c r="L239" s="2255"/>
      <c r="M239" s="911"/>
    </row>
    <row r="240" spans="3:57" hidden="1" outlineLevel="1" x14ac:dyDescent="0.25">
      <c r="D240" s="711"/>
      <c r="L240" s="2255"/>
      <c r="M240" s="911"/>
    </row>
    <row r="241" spans="4:33" hidden="1" outlineLevel="1" x14ac:dyDescent="0.25">
      <c r="D241" s="711"/>
      <c r="L241" s="2255"/>
      <c r="M241" s="911"/>
    </row>
    <row r="242" spans="4:33" hidden="1" outlineLevel="1" x14ac:dyDescent="0.25">
      <c r="D242" s="711"/>
      <c r="L242" s="2255"/>
      <c r="M242" s="911"/>
    </row>
    <row r="243" spans="4:33" hidden="1" outlineLevel="1" x14ac:dyDescent="0.25">
      <c r="D243" s="711"/>
      <c r="L243" s="2255"/>
      <c r="M243" s="911"/>
    </row>
    <row r="244" spans="4:33" hidden="1" outlineLevel="1" x14ac:dyDescent="0.25">
      <c r="D244" s="711"/>
      <c r="L244" s="2255"/>
      <c r="M244" s="911"/>
    </row>
    <row r="245" spans="4:33" hidden="1" outlineLevel="1" x14ac:dyDescent="0.25"/>
    <row r="246" spans="4:33" hidden="1" outlineLevel="1" x14ac:dyDescent="0.25"/>
    <row r="247" spans="4:33" hidden="1" outlineLevel="1" x14ac:dyDescent="0.25"/>
    <row r="248" spans="4:33" hidden="1" outlineLevel="1" x14ac:dyDescent="0.25">
      <c r="D248" s="1428" t="s">
        <v>619</v>
      </c>
      <c r="E248" s="1428" t="s">
        <v>77</v>
      </c>
      <c r="F248" s="1678" t="s">
        <v>620</v>
      </c>
      <c r="G248" s="3101" t="s">
        <v>621</v>
      </c>
      <c r="H248" s="3101"/>
      <c r="V248" s="55" t="s">
        <v>27</v>
      </c>
      <c r="W248" s="56">
        <f>W$6</f>
        <v>43252</v>
      </c>
      <c r="X248" s="56">
        <f t="shared" ref="X248:AG248" si="55">X$6</f>
        <v>43465</v>
      </c>
      <c r="Y248" s="56">
        <f t="shared" si="55"/>
        <v>43800</v>
      </c>
      <c r="Z248" s="56">
        <f t="shared" si="55"/>
        <v>43862</v>
      </c>
      <c r="AA248" s="56" t="str">
        <f t="shared" si="55"/>
        <v>-</v>
      </c>
      <c r="AB248" s="56" t="str">
        <f t="shared" si="55"/>
        <v>-</v>
      </c>
      <c r="AC248" s="56" t="str">
        <f t="shared" si="55"/>
        <v>-</v>
      </c>
      <c r="AD248" s="56" t="str">
        <f t="shared" si="55"/>
        <v>-</v>
      </c>
      <c r="AE248" s="56" t="str">
        <f t="shared" si="55"/>
        <v>-</v>
      </c>
      <c r="AF248" s="56" t="str">
        <f t="shared" si="55"/>
        <v>-</v>
      </c>
      <c r="AG248" s="56" t="str">
        <f t="shared" si="55"/>
        <v>-</v>
      </c>
    </row>
    <row r="249" spans="4:33" ht="15" hidden="1" customHeight="1" outlineLevel="1" x14ac:dyDescent="0.25">
      <c r="D249" s="1570" t="s">
        <v>2352</v>
      </c>
      <c r="E249" s="1555" t="str">
        <f t="shared" ref="E249:E261" si="56">E224</f>
        <v>LED - 10W (CFL baseline)</v>
      </c>
      <c r="F249" s="87">
        <v>13.4</v>
      </c>
      <c r="G249" s="2655"/>
      <c r="H249" s="2655"/>
      <c r="V249" s="1254" t="str">
        <f>D249</f>
        <v xml:space="preserve"> Watts Base CFL</v>
      </c>
      <c r="W249" s="85">
        <v>13.4</v>
      </c>
      <c r="X249" s="85">
        <v>13.4</v>
      </c>
      <c r="Y249" s="87">
        <v>13.4</v>
      </c>
      <c r="Z249" s="85"/>
      <c r="AA249" s="85"/>
      <c r="AB249" s="85"/>
      <c r="AC249" s="85"/>
      <c r="AD249" s="85"/>
      <c r="AE249" s="85"/>
      <c r="AF249" s="85"/>
      <c r="AG249" s="85"/>
    </row>
    <row r="250" spans="4:33" ht="15" hidden="1" customHeight="1" outlineLevel="1" x14ac:dyDescent="0.25">
      <c r="D250" s="1570" t="s">
        <v>2115</v>
      </c>
      <c r="E250" s="1555" t="str">
        <f t="shared" si="56"/>
        <v>LED - 10W (Halogen baseline)</v>
      </c>
      <c r="F250" s="87">
        <v>41.32</v>
      </c>
      <c r="G250" s="2654" t="s">
        <v>628</v>
      </c>
      <c r="H250" s="2654"/>
      <c r="J250" s="785"/>
      <c r="K250" s="785"/>
      <c r="L250" s="785"/>
      <c r="M250" s="785"/>
      <c r="V250" s="1254" t="str">
        <f t="shared" ref="V250:V281" si="57">D250</f>
        <v>Watts Base EISA</v>
      </c>
      <c r="W250" s="85">
        <v>41.32</v>
      </c>
      <c r="X250" s="85">
        <v>41.32</v>
      </c>
      <c r="Y250" s="87">
        <v>41.32</v>
      </c>
      <c r="Z250" s="85"/>
      <c r="AA250" s="85"/>
      <c r="AB250" s="85"/>
      <c r="AC250" s="85"/>
      <c r="AD250" s="85"/>
      <c r="AE250" s="85"/>
      <c r="AF250" s="85"/>
      <c r="AG250" s="85"/>
    </row>
    <row r="251" spans="4:33" ht="15" hidden="1" customHeight="1" outlineLevel="1" x14ac:dyDescent="0.25">
      <c r="D251" s="1570" t="s">
        <v>2352</v>
      </c>
      <c r="E251" s="1555" t="str">
        <f t="shared" si="56"/>
        <v>LED - 12W Dimmable Light Bulb (Replacing CFL)</v>
      </c>
      <c r="F251" s="87">
        <v>18</v>
      </c>
      <c r="G251" s="2655"/>
      <c r="H251" s="2655"/>
      <c r="V251" s="1254" t="str">
        <f t="shared" si="57"/>
        <v xml:space="preserve"> Watts Base CFL</v>
      </c>
      <c r="W251" s="1571">
        <f>'Lighting Deemed Table'!W44</f>
        <v>18</v>
      </c>
      <c r="X251" s="1571">
        <f>'Lighting Deemed Table'!X44</f>
        <v>18</v>
      </c>
      <c r="Y251" s="95">
        <v>18</v>
      </c>
      <c r="Z251" s="1571"/>
      <c r="AA251" s="1571"/>
      <c r="AB251" s="1571"/>
      <c r="AC251" s="1571"/>
      <c r="AD251" s="1571"/>
      <c r="AE251" s="1571"/>
      <c r="AF251" s="1571"/>
      <c r="AG251" s="1571"/>
    </row>
    <row r="252" spans="4:33" ht="15" hidden="1" customHeight="1" outlineLevel="1" x14ac:dyDescent="0.25">
      <c r="D252" s="1433" t="s">
        <v>2115</v>
      </c>
      <c r="E252" s="1555" t="str">
        <f t="shared" si="56"/>
        <v>LED - 12W Dimmable Light Bulb (Replacing Specialty Incandescent)</v>
      </c>
      <c r="F252" s="87">
        <v>76.25</v>
      </c>
      <c r="G252" s="2654" t="s">
        <v>628</v>
      </c>
      <c r="H252" s="2654"/>
      <c r="V252" s="1254" t="str">
        <f t="shared" si="57"/>
        <v>Watts Base EISA</v>
      </c>
      <c r="W252" s="1571">
        <v>76.25</v>
      </c>
      <c r="X252" s="1571">
        <v>76.25</v>
      </c>
      <c r="Y252" s="95">
        <v>76.25</v>
      </c>
      <c r="Z252" s="1571"/>
      <c r="AA252" s="1571"/>
      <c r="AB252" s="1571"/>
      <c r="AC252" s="1571"/>
      <c r="AD252" s="1571"/>
      <c r="AE252" s="1571"/>
      <c r="AF252" s="1571"/>
      <c r="AG252" s="1571"/>
    </row>
    <row r="253" spans="4:33" ht="15" hidden="1" customHeight="1" outlineLevel="1" x14ac:dyDescent="0.25">
      <c r="D253" s="1433" t="s">
        <v>2352</v>
      </c>
      <c r="E253" s="1555" t="str">
        <f t="shared" si="56"/>
        <v>LED - 12W (Halogen baseline)</v>
      </c>
      <c r="F253" s="87">
        <v>44.25</v>
      </c>
      <c r="G253" s="158" t="str">
        <f>'Income Eligble Deemed Table'!H1066</f>
        <v>Ameren Missouri Community Savers Evaluation PY2018</v>
      </c>
      <c r="H253" s="1635"/>
      <c r="V253" s="1254" t="str">
        <f t="shared" si="57"/>
        <v xml:space="preserve"> Watts Base CFL</v>
      </c>
      <c r="W253" s="1571">
        <f>'Income Eligble Deemed Table'!W1066</f>
        <v>53</v>
      </c>
      <c r="X253" s="744">
        <f>'Income Eligble Deemed Table'!X1066</f>
        <v>44.25</v>
      </c>
      <c r="Y253" s="95">
        <v>44.25</v>
      </c>
      <c r="Z253" s="1571"/>
      <c r="AA253" s="1571"/>
      <c r="AB253" s="1571"/>
      <c r="AC253" s="1571"/>
      <c r="AD253" s="1571"/>
      <c r="AE253" s="1571"/>
      <c r="AF253" s="1571"/>
      <c r="AG253" s="1571"/>
    </row>
    <row r="254" spans="4:33" ht="15" hidden="1" customHeight="1" outlineLevel="1" x14ac:dyDescent="0.25">
      <c r="D254" s="1433" t="s">
        <v>2352</v>
      </c>
      <c r="E254" s="1555" t="str">
        <f t="shared" si="56"/>
        <v>LED - 12W (Replacing CFL)</v>
      </c>
      <c r="F254" s="87">
        <v>18</v>
      </c>
      <c r="G254" s="158"/>
      <c r="H254" s="1635"/>
      <c r="V254" s="1254" t="str">
        <f t="shared" si="57"/>
        <v xml:space="preserve"> Watts Base CFL</v>
      </c>
      <c r="W254" s="1571">
        <f>'Income Eligble Deemed Table'!W1079</f>
        <v>18</v>
      </c>
      <c r="X254" s="1571">
        <f>'Income Eligble Deemed Table'!X1079</f>
        <v>18</v>
      </c>
      <c r="Y254" s="95">
        <v>18</v>
      </c>
      <c r="Z254" s="1571"/>
      <c r="AA254" s="1571"/>
      <c r="AB254" s="1571"/>
      <c r="AC254" s="1571"/>
      <c r="AD254" s="1571"/>
      <c r="AE254" s="1571"/>
      <c r="AF254" s="1571"/>
      <c r="AG254" s="1571"/>
    </row>
    <row r="255" spans="4:33" ht="15" hidden="1" customHeight="1" outlineLevel="1" x14ac:dyDescent="0.25">
      <c r="D255" s="1433" t="s">
        <v>2352</v>
      </c>
      <c r="E255" s="1555" t="str">
        <f t="shared" si="56"/>
        <v>LED - 15W (Halogen baseline)</v>
      </c>
      <c r="F255" s="87">
        <v>53</v>
      </c>
      <c r="G255" s="158" t="str">
        <f>'Income Eligble Deemed Table'!H1068</f>
        <v>Average lumen-equivalent halogen wattage for program bulbs</v>
      </c>
      <c r="H255" s="1635"/>
      <c r="V255" s="1254" t="str">
        <f t="shared" si="57"/>
        <v xml:space="preserve"> Watts Base CFL</v>
      </c>
      <c r="W255" s="1571">
        <f>'Income Eligble Deemed Table'!W1068</f>
        <v>53</v>
      </c>
      <c r="X255" s="1571">
        <f>'Income Eligble Deemed Table'!X1068</f>
        <v>53</v>
      </c>
      <c r="Y255" s="95">
        <v>53</v>
      </c>
      <c r="Z255" s="1571"/>
      <c r="AA255" s="1571"/>
      <c r="AB255" s="1571"/>
      <c r="AC255" s="1571"/>
      <c r="AD255" s="1571"/>
      <c r="AE255" s="1571"/>
      <c r="AF255" s="1571"/>
      <c r="AG255" s="1571"/>
    </row>
    <row r="256" spans="4:33" ht="15" hidden="1" customHeight="1" outlineLevel="1" x14ac:dyDescent="0.25">
      <c r="D256" s="1433" t="s">
        <v>2352</v>
      </c>
      <c r="E256" s="1555" t="str">
        <f t="shared" si="56"/>
        <v>LED - 15W (CFL baseline)</v>
      </c>
      <c r="F256" s="87">
        <v>18.899999999999999</v>
      </c>
      <c r="G256" s="158"/>
      <c r="H256" s="1635"/>
      <c r="V256" s="1254" t="str">
        <f t="shared" si="57"/>
        <v xml:space="preserve"> Watts Base CFL</v>
      </c>
      <c r="W256" s="1571">
        <f>'Income Eligble Deemed Table'!W1080</f>
        <v>18.899999999999999</v>
      </c>
      <c r="X256" s="1571">
        <f>'Income Eligble Deemed Table'!X1080</f>
        <v>18.899999999999999</v>
      </c>
      <c r="Y256" s="95">
        <v>18.899999999999999</v>
      </c>
      <c r="Z256" s="1571"/>
      <c r="AA256" s="1571"/>
      <c r="AB256" s="1571"/>
      <c r="AC256" s="1571"/>
      <c r="AD256" s="1571"/>
      <c r="AE256" s="1571"/>
      <c r="AF256" s="1571"/>
      <c r="AG256" s="1571"/>
    </row>
    <row r="257" spans="4:33" ht="15" hidden="1" customHeight="1" outlineLevel="1" x14ac:dyDescent="0.25">
      <c r="D257" s="1433" t="s">
        <v>2352</v>
      </c>
      <c r="E257" s="1555" t="str">
        <f t="shared" si="56"/>
        <v>LED - 20W (Halogen baseline)</v>
      </c>
      <c r="F257" s="87">
        <v>72</v>
      </c>
      <c r="G257" s="158" t="str">
        <f>'Income Eligble Deemed Table'!H1071</f>
        <v>Average lumen-equivalent halogen wattage for program bulbs</v>
      </c>
      <c r="H257" s="1635"/>
      <c r="V257" s="1254" t="str">
        <f t="shared" si="57"/>
        <v xml:space="preserve"> Watts Base CFL</v>
      </c>
      <c r="W257" s="1571">
        <f>'Income Eligble Deemed Table'!W1071</f>
        <v>72</v>
      </c>
      <c r="X257" s="1571">
        <f>'Income Eligble Deemed Table'!X1071</f>
        <v>72</v>
      </c>
      <c r="Y257" s="95">
        <v>72</v>
      </c>
      <c r="Z257" s="1571"/>
      <c r="AA257" s="1571"/>
      <c r="AB257" s="1571"/>
      <c r="AC257" s="1571"/>
      <c r="AD257" s="1571"/>
      <c r="AE257" s="1571"/>
      <c r="AF257" s="1571"/>
      <c r="AG257" s="1571"/>
    </row>
    <row r="258" spans="4:33" ht="15" hidden="1" customHeight="1" outlineLevel="1" x14ac:dyDescent="0.25">
      <c r="D258" s="1433" t="s">
        <v>2352</v>
      </c>
      <c r="E258" s="1555" t="str">
        <f t="shared" si="56"/>
        <v>LED - 20W (CFL baseline)</v>
      </c>
      <c r="F258" s="87">
        <v>24.8</v>
      </c>
      <c r="G258" s="158"/>
      <c r="H258" s="1635"/>
      <c r="V258" s="1254" t="str">
        <f t="shared" si="57"/>
        <v xml:space="preserve"> Watts Base CFL</v>
      </c>
      <c r="W258" s="1571">
        <f>'Income Eligble Deemed Table'!W1083</f>
        <v>24.8</v>
      </c>
      <c r="X258" s="1571">
        <f>'Income Eligble Deemed Table'!X1083</f>
        <v>24.8</v>
      </c>
      <c r="Y258" s="95">
        <v>24.8</v>
      </c>
      <c r="Z258" s="1571"/>
      <c r="AA258" s="1571"/>
      <c r="AB258" s="1571"/>
      <c r="AC258" s="1571"/>
      <c r="AD258" s="1571"/>
      <c r="AE258" s="1571"/>
      <c r="AF258" s="1571"/>
      <c r="AG258" s="1571"/>
    </row>
    <row r="259" spans="4:33" ht="15" hidden="1" customHeight="1" outlineLevel="1" x14ac:dyDescent="0.25">
      <c r="D259" s="1570" t="s">
        <v>2115</v>
      </c>
      <c r="E259" s="1555" t="str">
        <f t="shared" si="56"/>
        <v>LED - 15W Flood Light PAR30 Bulb (Halogen baseline)</v>
      </c>
      <c r="F259" s="87">
        <v>60.9</v>
      </c>
      <c r="G259" s="158"/>
      <c r="H259" s="1635"/>
      <c r="V259" s="1254" t="str">
        <f t="shared" si="57"/>
        <v>Watts Base EISA</v>
      </c>
      <c r="W259" s="1571">
        <f>'Lighting Deemed Table'!W49</f>
        <v>62.1</v>
      </c>
      <c r="X259" s="744">
        <f>'Lighting Deemed Table'!X49</f>
        <v>60.9</v>
      </c>
      <c r="Y259" s="95">
        <v>60.9</v>
      </c>
      <c r="Z259" s="1571"/>
      <c r="AA259" s="1571"/>
      <c r="AB259" s="1571"/>
      <c r="AC259" s="1571"/>
      <c r="AD259" s="1571"/>
      <c r="AE259" s="1571"/>
      <c r="AF259" s="1571"/>
      <c r="AG259" s="1571"/>
    </row>
    <row r="260" spans="4:33" ht="15" hidden="1" customHeight="1" outlineLevel="1" x14ac:dyDescent="0.25">
      <c r="D260" s="1570" t="s">
        <v>2352</v>
      </c>
      <c r="E260" s="1555" t="str">
        <f t="shared" si="56"/>
        <v>LED - 15W Flood Light PAR30 Bulb (CFL baseline)</v>
      </c>
      <c r="F260" s="87">
        <v>16</v>
      </c>
      <c r="G260" s="2655"/>
      <c r="H260" s="2655"/>
      <c r="V260" s="1254" t="str">
        <f t="shared" si="57"/>
        <v xml:space="preserve"> Watts Base CFL</v>
      </c>
      <c r="W260" s="1450">
        <f>'Lighting Deemed Table'!W48</f>
        <v>16</v>
      </c>
      <c r="X260" s="1450">
        <f>'Lighting Deemed Table'!X48</f>
        <v>16</v>
      </c>
      <c r="Y260" s="1450">
        <v>16</v>
      </c>
      <c r="Z260" s="1450"/>
      <c r="AA260" s="1450"/>
      <c r="AB260" s="1450"/>
      <c r="AC260" s="1450"/>
      <c r="AD260" s="1450"/>
      <c r="AE260" s="1450"/>
      <c r="AF260" s="1450"/>
      <c r="AG260" s="1450"/>
    </row>
    <row r="261" spans="4:33" hidden="1" outlineLevel="1" x14ac:dyDescent="0.25">
      <c r="D261" s="1429" t="s">
        <v>2353</v>
      </c>
      <c r="E261" s="1555" t="str">
        <f t="shared" si="56"/>
        <v>LED Nightlights</v>
      </c>
      <c r="F261" s="87" t="s">
        <v>923</v>
      </c>
      <c r="G261" s="2694" t="s">
        <v>2354</v>
      </c>
      <c r="H261" s="2694"/>
      <c r="V261" s="1254" t="str">
        <f t="shared" si="57"/>
        <v>Watts Base Nightlights</v>
      </c>
      <c r="W261" s="1074" t="s">
        <v>923</v>
      </c>
      <c r="X261" s="1074" t="s">
        <v>923</v>
      </c>
      <c r="Y261" s="1572" t="s">
        <v>923</v>
      </c>
      <c r="Z261" s="1074"/>
      <c r="AA261" s="1074"/>
      <c r="AB261" s="1074"/>
      <c r="AC261" s="1074"/>
      <c r="AD261" s="1074"/>
      <c r="AE261" s="1074"/>
      <c r="AF261" s="1074"/>
      <c r="AG261" s="1074"/>
    </row>
    <row r="262" spans="4:33" hidden="1" outlineLevel="1" x14ac:dyDescent="0.25">
      <c r="D262" s="1570" t="s">
        <v>2355</v>
      </c>
      <c r="E262" s="1555" t="str">
        <f>E224</f>
        <v>LED - 10W (CFL baseline)</v>
      </c>
      <c r="F262" s="87">
        <v>7</v>
      </c>
      <c r="G262" s="2655" t="s">
        <v>2122</v>
      </c>
      <c r="H262" s="2655"/>
      <c r="V262" s="1254" t="str">
        <f t="shared" si="57"/>
        <v xml:space="preserve"> Watts EE CFL</v>
      </c>
      <c r="W262" s="1571">
        <v>7</v>
      </c>
      <c r="X262" s="1571">
        <v>7</v>
      </c>
      <c r="Y262" s="95">
        <v>7</v>
      </c>
      <c r="Z262" s="1571"/>
      <c r="AA262" s="1571"/>
      <c r="AB262" s="1571"/>
      <c r="AC262" s="1571"/>
      <c r="AD262" s="1571"/>
      <c r="AE262" s="1571"/>
      <c r="AF262" s="1571"/>
      <c r="AG262" s="1571"/>
    </row>
    <row r="263" spans="4:33" hidden="1" outlineLevel="1" x14ac:dyDescent="0.25">
      <c r="D263" s="1570" t="s">
        <v>2120</v>
      </c>
      <c r="E263" s="1555" t="str">
        <f>E225</f>
        <v>LED - 10W (Halogen baseline)</v>
      </c>
      <c r="F263" s="87">
        <v>7</v>
      </c>
      <c r="G263" s="2655" t="s">
        <v>2122</v>
      </c>
      <c r="H263" s="2655"/>
      <c r="V263" s="1254" t="str">
        <f t="shared" si="57"/>
        <v>Watts EE EISA</v>
      </c>
      <c r="W263" s="1571">
        <v>7</v>
      </c>
      <c r="X263" s="1571">
        <v>7</v>
      </c>
      <c r="Y263" s="95">
        <v>7</v>
      </c>
      <c r="Z263" s="1571"/>
      <c r="AA263" s="1571"/>
      <c r="AB263" s="1571"/>
      <c r="AC263" s="1571"/>
      <c r="AD263" s="1571"/>
      <c r="AE263" s="1571"/>
      <c r="AF263" s="1571"/>
      <c r="AG263" s="1571"/>
    </row>
    <row r="264" spans="4:33" hidden="1" outlineLevel="1" x14ac:dyDescent="0.25">
      <c r="D264" s="1429" t="s">
        <v>2355</v>
      </c>
      <c r="E264" s="1555" t="str">
        <f>E226</f>
        <v>LED - 12W Dimmable Light Bulb (Replacing CFL)</v>
      </c>
      <c r="F264" s="87">
        <v>9.5</v>
      </c>
      <c r="G264" s="3179" t="s">
        <v>2122</v>
      </c>
      <c r="H264" s="3179"/>
      <c r="V264" s="1254" t="str">
        <f t="shared" si="57"/>
        <v xml:space="preserve"> Watts EE CFL</v>
      </c>
      <c r="W264" s="1571">
        <f>'Lighting Deemed Table'!W66</f>
        <v>9.5</v>
      </c>
      <c r="X264" s="1571">
        <f>'Lighting Deemed Table'!X66</f>
        <v>9.5</v>
      </c>
      <c r="Y264" s="95">
        <v>9.5</v>
      </c>
      <c r="Z264" s="95"/>
      <c r="AA264" s="95"/>
      <c r="AB264" s="95"/>
      <c r="AC264" s="95"/>
      <c r="AD264" s="95"/>
      <c r="AE264" s="95"/>
      <c r="AF264" s="95"/>
      <c r="AG264" s="95"/>
    </row>
    <row r="265" spans="4:33" hidden="1" outlineLevel="1" x14ac:dyDescent="0.25">
      <c r="D265" s="1433" t="s">
        <v>2120</v>
      </c>
      <c r="E265" s="1555" t="str">
        <f>E227</f>
        <v>LED - 12W Dimmable Light Bulb (Replacing Specialty Incandescent)</v>
      </c>
      <c r="F265" s="87">
        <v>9.5</v>
      </c>
      <c r="G265" s="3179" t="s">
        <v>2122</v>
      </c>
      <c r="H265" s="3179"/>
      <c r="V265" s="1254" t="str">
        <f t="shared" si="57"/>
        <v>Watts EE EISA</v>
      </c>
      <c r="W265" s="95">
        <v>9.5</v>
      </c>
      <c r="X265" s="95">
        <v>9.5</v>
      </c>
      <c r="Y265" s="95">
        <v>9.5</v>
      </c>
      <c r="Z265" s="95"/>
      <c r="AA265" s="95"/>
      <c r="AB265" s="95"/>
      <c r="AC265" s="95"/>
      <c r="AD265" s="95"/>
      <c r="AE265" s="95"/>
      <c r="AF265" s="95"/>
      <c r="AG265" s="95"/>
    </row>
    <row r="266" spans="4:33" ht="15" hidden="1" customHeight="1" outlineLevel="1" x14ac:dyDescent="0.25">
      <c r="D266" s="1433" t="s">
        <v>2355</v>
      </c>
      <c r="E266" s="1555" t="str">
        <f t="shared" ref="E266:E271" si="58">E228</f>
        <v>LED - 12W (Halogen baseline)</v>
      </c>
      <c r="F266" s="87">
        <v>9.23</v>
      </c>
      <c r="G266" s="158" t="str">
        <f>'Income Eligble Deemed Table'!H1086</f>
        <v>Program Wattage - Ameren Missouri Community Savers Evaluation PY2017 workpapers</v>
      </c>
      <c r="H266" s="1635"/>
      <c r="V266" s="1254" t="str">
        <f t="shared" si="57"/>
        <v xml:space="preserve"> Watts EE CFL</v>
      </c>
      <c r="W266" s="1571">
        <f>'Income Eligble Deemed Table'!W1086</f>
        <v>9.5</v>
      </c>
      <c r="X266" s="744">
        <f>'Income Eligble Deemed Table'!X1086</f>
        <v>9.23</v>
      </c>
      <c r="Y266" s="95">
        <v>9.23</v>
      </c>
      <c r="Z266" s="1571"/>
      <c r="AA266" s="1571"/>
      <c r="AB266" s="1571"/>
      <c r="AC266" s="1571"/>
      <c r="AD266" s="1571"/>
      <c r="AE266" s="1571"/>
      <c r="AF266" s="1571"/>
      <c r="AG266" s="1571"/>
    </row>
    <row r="267" spans="4:33" ht="15" hidden="1" customHeight="1" outlineLevel="1" x14ac:dyDescent="0.25">
      <c r="D267" s="1433" t="s">
        <v>2355</v>
      </c>
      <c r="E267" s="1555" t="str">
        <f t="shared" si="58"/>
        <v>LED - 12W (Replacing CFL)</v>
      </c>
      <c r="F267" s="87">
        <v>9.5</v>
      </c>
      <c r="G267" s="158"/>
      <c r="H267" s="1635"/>
      <c r="V267" s="1254" t="str">
        <f t="shared" si="57"/>
        <v xml:space="preserve"> Watts EE CFL</v>
      </c>
      <c r="W267" s="1571">
        <f>'Income Eligble Deemed Table'!W1099</f>
        <v>9.5</v>
      </c>
      <c r="X267" s="1571">
        <f>'Income Eligble Deemed Table'!X1099</f>
        <v>9.5</v>
      </c>
      <c r="Y267" s="95">
        <v>9.5</v>
      </c>
      <c r="Z267" s="1571"/>
      <c r="AA267" s="1571"/>
      <c r="AB267" s="1571"/>
      <c r="AC267" s="1571"/>
      <c r="AD267" s="1571"/>
      <c r="AE267" s="1571"/>
      <c r="AF267" s="1571"/>
      <c r="AG267" s="1571"/>
    </row>
    <row r="268" spans="4:33" ht="15" hidden="1" customHeight="1" outlineLevel="1" x14ac:dyDescent="0.25">
      <c r="D268" s="1433" t="s">
        <v>2355</v>
      </c>
      <c r="E268" s="1555" t="str">
        <f t="shared" si="58"/>
        <v>LED - 15W (Halogen baseline)</v>
      </c>
      <c r="F268" s="87">
        <v>10.6</v>
      </c>
      <c r="G268" s="158" t="str">
        <f>'Income Eligble Deemed Table'!H1088</f>
        <v>Program Wattage</v>
      </c>
      <c r="H268" s="1635"/>
      <c r="V268" s="1254" t="str">
        <f t="shared" si="57"/>
        <v xml:space="preserve"> Watts EE CFL</v>
      </c>
      <c r="W268" s="1571">
        <f>'Income Eligble Deemed Table'!W1088</f>
        <v>10.6</v>
      </c>
      <c r="X268" s="1571">
        <f>'Income Eligble Deemed Table'!X1088</f>
        <v>10.6</v>
      </c>
      <c r="Y268" s="95">
        <v>10.6</v>
      </c>
      <c r="Z268" s="1571"/>
      <c r="AA268" s="1571"/>
      <c r="AB268" s="1571"/>
      <c r="AC268" s="1571"/>
      <c r="AD268" s="1571"/>
      <c r="AE268" s="1571"/>
      <c r="AF268" s="1571"/>
      <c r="AG268" s="1571"/>
    </row>
    <row r="269" spans="4:33" ht="15" hidden="1" customHeight="1" outlineLevel="1" x14ac:dyDescent="0.25">
      <c r="D269" s="1433" t="s">
        <v>2355</v>
      </c>
      <c r="E269" s="1555" t="str">
        <f t="shared" si="58"/>
        <v>LED - 15W (CFL baseline)</v>
      </c>
      <c r="F269" s="87">
        <v>10.6</v>
      </c>
      <c r="G269" s="158"/>
      <c r="H269" s="1635"/>
      <c r="V269" s="1254" t="str">
        <f t="shared" si="57"/>
        <v xml:space="preserve"> Watts EE CFL</v>
      </c>
      <c r="W269" s="1571">
        <f>'Income Eligble Deemed Table'!W1100</f>
        <v>10.6</v>
      </c>
      <c r="X269" s="1571">
        <f>'Income Eligble Deemed Table'!X1100</f>
        <v>10.6</v>
      </c>
      <c r="Y269" s="95">
        <v>10.6</v>
      </c>
      <c r="Z269" s="1571"/>
      <c r="AA269" s="1571"/>
      <c r="AB269" s="1571"/>
      <c r="AC269" s="1571"/>
      <c r="AD269" s="1571"/>
      <c r="AE269" s="1571"/>
      <c r="AF269" s="1571"/>
      <c r="AG269" s="1571"/>
    </row>
    <row r="270" spans="4:33" ht="15" hidden="1" customHeight="1" outlineLevel="1" x14ac:dyDescent="0.25">
      <c r="D270" s="1433" t="s">
        <v>2355</v>
      </c>
      <c r="E270" s="1555" t="str">
        <f t="shared" si="58"/>
        <v>LED - 20W (Halogen baseline)</v>
      </c>
      <c r="F270" s="87">
        <v>15</v>
      </c>
      <c r="G270" s="158" t="str">
        <f>'Income Eligble Deemed Table'!H1091</f>
        <v>Program Wattage</v>
      </c>
      <c r="H270" s="1635"/>
      <c r="V270" s="1254" t="str">
        <f t="shared" si="57"/>
        <v xml:space="preserve"> Watts EE CFL</v>
      </c>
      <c r="W270" s="1571">
        <f>'Income Eligble Deemed Table'!W1091</f>
        <v>15</v>
      </c>
      <c r="X270" s="1571">
        <f>'Income Eligble Deemed Table'!X1091</f>
        <v>15</v>
      </c>
      <c r="Y270" s="95">
        <v>15</v>
      </c>
      <c r="Z270" s="1571"/>
      <c r="AA270" s="1571"/>
      <c r="AB270" s="1571"/>
      <c r="AC270" s="1571"/>
      <c r="AD270" s="1571"/>
      <c r="AE270" s="1571"/>
      <c r="AF270" s="1571"/>
      <c r="AG270" s="1571"/>
    </row>
    <row r="271" spans="4:33" ht="15" hidden="1" customHeight="1" outlineLevel="1" x14ac:dyDescent="0.25">
      <c r="D271" s="1433" t="s">
        <v>2355</v>
      </c>
      <c r="E271" s="1555" t="str">
        <f t="shared" si="58"/>
        <v>LED - 20W (CFL baseline)</v>
      </c>
      <c r="F271" s="87">
        <v>15</v>
      </c>
      <c r="G271" s="158"/>
      <c r="H271" s="1635"/>
      <c r="V271" s="1254" t="str">
        <f t="shared" si="57"/>
        <v xml:space="preserve"> Watts EE CFL</v>
      </c>
      <c r="W271" s="1571">
        <f>'Income Eligble Deemed Table'!W1103</f>
        <v>15</v>
      </c>
      <c r="X271" s="1571">
        <f>'Income Eligble Deemed Table'!X1103</f>
        <v>15</v>
      </c>
      <c r="Y271" s="95">
        <v>15</v>
      </c>
      <c r="Z271" s="1571"/>
      <c r="AA271" s="1571"/>
      <c r="AB271" s="1571"/>
      <c r="AC271" s="1571"/>
      <c r="AD271" s="1571"/>
      <c r="AE271" s="1571"/>
      <c r="AF271" s="1571"/>
      <c r="AG271" s="1571"/>
    </row>
    <row r="272" spans="4:33" ht="15" hidden="1" customHeight="1" outlineLevel="1" x14ac:dyDescent="0.25">
      <c r="D272" s="1433" t="s">
        <v>2120</v>
      </c>
      <c r="E272" s="1555" t="str">
        <f>E234</f>
        <v>LED - 15W Flood Light PAR30 Bulb (Halogen baseline)</v>
      </c>
      <c r="F272" s="87">
        <v>10.6</v>
      </c>
      <c r="G272" s="158"/>
      <c r="H272" s="1635"/>
      <c r="V272" s="1254" t="str">
        <f t="shared" si="57"/>
        <v>Watts EE EISA</v>
      </c>
      <c r="W272" s="1571">
        <f>'Lighting Deemed Table'!W71</f>
        <v>11.2</v>
      </c>
      <c r="X272" s="744">
        <f>'Lighting Deemed Table'!X71</f>
        <v>10.6</v>
      </c>
      <c r="Y272" s="95">
        <v>10.6</v>
      </c>
      <c r="Z272" s="1571"/>
      <c r="AA272" s="1571"/>
      <c r="AB272" s="1571"/>
      <c r="AC272" s="1571"/>
      <c r="AD272" s="1571"/>
      <c r="AE272" s="1571"/>
      <c r="AF272" s="1571"/>
      <c r="AG272" s="1571"/>
    </row>
    <row r="273" spans="2:33" hidden="1" outlineLevel="1" x14ac:dyDescent="0.25">
      <c r="D273" s="1570" t="s">
        <v>2355</v>
      </c>
      <c r="E273" s="1555" t="str">
        <f>E235</f>
        <v>LED - 15W Flood Light PAR30 Bulb (CFL baseline)</v>
      </c>
      <c r="F273" s="87">
        <v>11.2</v>
      </c>
      <c r="G273" s="2655" t="s">
        <v>2122</v>
      </c>
      <c r="H273" s="2655"/>
      <c r="V273" s="1254" t="str">
        <f t="shared" si="57"/>
        <v xml:space="preserve"> Watts EE CFL</v>
      </c>
      <c r="W273" s="1571">
        <f>'Lighting Deemed Table'!W70</f>
        <v>11.2</v>
      </c>
      <c r="X273" s="1571">
        <f>'Lighting Deemed Table'!X70</f>
        <v>11.2</v>
      </c>
      <c r="Y273" s="95">
        <v>11.2</v>
      </c>
      <c r="Z273" s="1571"/>
      <c r="AA273" s="1571"/>
      <c r="AB273" s="1571"/>
      <c r="AC273" s="1571"/>
      <c r="AD273" s="1571"/>
      <c r="AE273" s="1571"/>
      <c r="AF273" s="1571"/>
      <c r="AG273" s="1571"/>
    </row>
    <row r="274" spans="2:33" hidden="1" outlineLevel="1" x14ac:dyDescent="0.25">
      <c r="D274" s="1570" t="s">
        <v>2356</v>
      </c>
      <c r="E274" s="1555" t="s">
        <v>2350</v>
      </c>
      <c r="F274" s="1572" t="s">
        <v>923</v>
      </c>
      <c r="G274" s="2694" t="s">
        <v>2354</v>
      </c>
      <c r="H274" s="2694"/>
      <c r="V274" s="1254" t="str">
        <f t="shared" si="57"/>
        <v xml:space="preserve"> Watts EE Nightlights</v>
      </c>
      <c r="W274" s="1074" t="s">
        <v>923</v>
      </c>
      <c r="X274" s="1074" t="s">
        <v>923</v>
      </c>
      <c r="Y274" s="1572" t="s">
        <v>923</v>
      </c>
      <c r="Z274" s="1074"/>
      <c r="AA274" s="1074"/>
      <c r="AB274" s="1074"/>
      <c r="AC274" s="1074"/>
      <c r="AD274" s="1074"/>
      <c r="AE274" s="1074"/>
      <c r="AF274" s="1074"/>
      <c r="AG274" s="1074"/>
    </row>
    <row r="275" spans="2:33" ht="15" hidden="1" customHeight="1" outlineLevel="1" x14ac:dyDescent="0.25">
      <c r="D275" s="1570" t="s">
        <v>82</v>
      </c>
      <c r="E275" s="1570" t="s">
        <v>637</v>
      </c>
      <c r="F275" s="1573">
        <v>0.95118909047730049</v>
      </c>
      <c r="G275" s="2655" t="s">
        <v>638</v>
      </c>
      <c r="H275" s="2655"/>
      <c r="V275" s="1254" t="str">
        <f t="shared" si="57"/>
        <v>ISR</v>
      </c>
      <c r="W275" s="1574">
        <v>0.95118909047730049</v>
      </c>
      <c r="X275" s="1574">
        <v>0.95118909047730049</v>
      </c>
      <c r="Y275" s="1573">
        <v>0.95118909047730049</v>
      </c>
      <c r="Z275" s="1574"/>
      <c r="AA275" s="1574"/>
      <c r="AB275" s="1574"/>
      <c r="AC275" s="1574"/>
      <c r="AD275" s="1574"/>
      <c r="AE275" s="1574"/>
      <c r="AF275" s="1574"/>
      <c r="AG275" s="1574"/>
    </row>
    <row r="276" spans="2:33" hidden="1" outlineLevel="1" x14ac:dyDescent="0.25">
      <c r="D276" s="1570" t="s">
        <v>639</v>
      </c>
      <c r="E276" s="1570" t="s">
        <v>637</v>
      </c>
      <c r="F276" s="1573">
        <v>1.6525893496695268E-2</v>
      </c>
      <c r="G276" s="2655" t="s">
        <v>2129</v>
      </c>
      <c r="H276" s="2655"/>
      <c r="V276" s="1254" t="str">
        <f t="shared" si="57"/>
        <v>Leakage</v>
      </c>
      <c r="W276" s="1574">
        <v>1.6525893496695268E-2</v>
      </c>
      <c r="X276" s="1574">
        <v>1.6525893496695268E-2</v>
      </c>
      <c r="Y276" s="1573">
        <v>1.6525893496695268E-2</v>
      </c>
      <c r="Z276" s="1574"/>
      <c r="AA276" s="1574"/>
      <c r="AB276" s="1574"/>
      <c r="AC276" s="1574"/>
      <c r="AD276" s="1574"/>
      <c r="AE276" s="1574"/>
      <c r="AF276" s="1574"/>
      <c r="AG276" s="1574"/>
    </row>
    <row r="277" spans="2:33" ht="15" hidden="1" customHeight="1" outlineLevel="1" x14ac:dyDescent="0.25">
      <c r="D277" s="1570" t="s">
        <v>641</v>
      </c>
      <c r="E277" s="1570" t="s">
        <v>643</v>
      </c>
      <c r="F277" s="208">
        <v>693.5</v>
      </c>
      <c r="G277" s="2655" t="s">
        <v>2357</v>
      </c>
      <c r="H277" s="2655"/>
      <c r="V277" s="1254" t="str">
        <f t="shared" si="57"/>
        <v>HOU_Res</v>
      </c>
      <c r="W277" s="206">
        <f>1.9*365</f>
        <v>693.5</v>
      </c>
      <c r="X277" s="206">
        <f>1.9*365</f>
        <v>693.5</v>
      </c>
      <c r="Y277" s="208">
        <f>1.9*365</f>
        <v>693.5</v>
      </c>
      <c r="Z277" s="206"/>
      <c r="AA277" s="206"/>
      <c r="AB277" s="206"/>
      <c r="AC277" s="206"/>
      <c r="AD277" s="206"/>
      <c r="AE277" s="206"/>
      <c r="AF277" s="206"/>
      <c r="AG277" s="206"/>
    </row>
    <row r="278" spans="2:33" hidden="1" outlineLevel="1" x14ac:dyDescent="0.25">
      <c r="D278" s="1570" t="s">
        <v>644</v>
      </c>
      <c r="E278" s="1570" t="s">
        <v>646</v>
      </c>
      <c r="F278" s="208">
        <v>0.99</v>
      </c>
      <c r="G278" s="2655" t="s">
        <v>647</v>
      </c>
      <c r="H278" s="2655"/>
      <c r="V278" s="1254" t="str">
        <f t="shared" si="57"/>
        <v>WHF_Res</v>
      </c>
      <c r="W278" s="206">
        <v>0.99</v>
      </c>
      <c r="X278" s="206">
        <v>0.99</v>
      </c>
      <c r="Y278" s="208">
        <v>0.99</v>
      </c>
      <c r="Z278" s="206"/>
      <c r="AA278" s="206"/>
      <c r="AB278" s="206"/>
      <c r="AC278" s="206"/>
      <c r="AD278" s="206"/>
      <c r="AE278" s="206"/>
      <c r="AF278" s="206"/>
      <c r="AG278" s="206"/>
    </row>
    <row r="279" spans="2:33" ht="15" hidden="1" customHeight="1" outlineLevel="1" x14ac:dyDescent="0.25">
      <c r="D279" s="1570" t="s">
        <v>648</v>
      </c>
      <c r="E279" s="1570" t="s">
        <v>650</v>
      </c>
      <c r="F279" s="208">
        <v>3611.9999999999986</v>
      </c>
      <c r="G279" s="2654" t="s">
        <v>651</v>
      </c>
      <c r="H279" s="2654"/>
      <c r="V279" s="1254" t="str">
        <f t="shared" si="57"/>
        <v>HOU_NRES</v>
      </c>
      <c r="W279" s="206">
        <f>9.8958904109589*365</f>
        <v>3611.9999999999986</v>
      </c>
      <c r="X279" s="206">
        <f>9.8958904109589*365</f>
        <v>3611.9999999999986</v>
      </c>
      <c r="Y279" s="208">
        <f>9.8958904109589*365</f>
        <v>3611.9999999999986</v>
      </c>
      <c r="Z279" s="206"/>
      <c r="AA279" s="206"/>
      <c r="AB279" s="206"/>
      <c r="AC279" s="206"/>
      <c r="AD279" s="206"/>
      <c r="AE279" s="206"/>
      <c r="AF279" s="206"/>
      <c r="AG279" s="206"/>
    </row>
    <row r="280" spans="2:33" hidden="1" outlineLevel="1" x14ac:dyDescent="0.25">
      <c r="D280" s="1570" t="s">
        <v>652</v>
      </c>
      <c r="E280" s="1570" t="s">
        <v>643</v>
      </c>
      <c r="F280" s="208">
        <v>1.1000000000000001</v>
      </c>
      <c r="G280" s="2655" t="s">
        <v>653</v>
      </c>
      <c r="H280" s="2655"/>
      <c r="V280" s="1685" t="str">
        <f t="shared" si="57"/>
        <v>WHF_Nres</v>
      </c>
      <c r="W280" s="206">
        <v>1.1000000000000001</v>
      </c>
      <c r="X280" s="206">
        <v>1.1000000000000001</v>
      </c>
      <c r="Y280" s="208">
        <v>1.1000000000000001</v>
      </c>
      <c r="Z280" s="206"/>
      <c r="AA280" s="206"/>
      <c r="AB280" s="206"/>
      <c r="AC280" s="206"/>
      <c r="AD280" s="206"/>
      <c r="AE280" s="206"/>
      <c r="AF280" s="206"/>
      <c r="AG280" s="206"/>
    </row>
    <row r="281" spans="2:33" hidden="1" outlineLevel="1" x14ac:dyDescent="0.25">
      <c r="D281" s="1570" t="s">
        <v>654</v>
      </c>
      <c r="E281" s="1570" t="s">
        <v>637</v>
      </c>
      <c r="F281" s="1575">
        <v>1</v>
      </c>
      <c r="G281" s="2655" t="s">
        <v>2129</v>
      </c>
      <c r="H281" s="2655"/>
      <c r="V281" s="1685" t="str">
        <f t="shared" si="57"/>
        <v>%Res</v>
      </c>
      <c r="W281" s="1575">
        <v>1</v>
      </c>
      <c r="X281" s="1575">
        <v>1</v>
      </c>
      <c r="Y281" s="1575">
        <v>1</v>
      </c>
      <c r="Z281" s="1575"/>
      <c r="AA281" s="1575"/>
      <c r="AB281" s="1575"/>
      <c r="AC281" s="1575"/>
      <c r="AD281" s="1575"/>
      <c r="AE281" s="1575"/>
      <c r="AF281" s="1575"/>
      <c r="AG281" s="1575"/>
    </row>
    <row r="282" spans="2:33" hidden="1" outlineLevel="1" x14ac:dyDescent="0.25">
      <c r="B282" s="1580"/>
      <c r="C282" s="329"/>
      <c r="D282" s="377" t="s">
        <v>961</v>
      </c>
      <c r="E282" s="377" t="s">
        <v>657</v>
      </c>
      <c r="F282" s="515">
        <v>19</v>
      </c>
      <c r="G282" s="2655"/>
      <c r="H282" s="2655"/>
      <c r="K282" s="355"/>
      <c r="L282" s="355"/>
      <c r="M282" s="1494"/>
      <c r="N282" s="355"/>
      <c r="O282" s="355"/>
      <c r="P282" s="355"/>
      <c r="Q282" s="355"/>
      <c r="V282" s="377" t="str">
        <f>D282</f>
        <v xml:space="preserve">EUL </v>
      </c>
      <c r="W282" s="515">
        <v>19</v>
      </c>
      <c r="X282" s="515">
        <v>19</v>
      </c>
      <c r="Y282" s="515">
        <v>19</v>
      </c>
      <c r="Z282" s="1576"/>
      <c r="AA282" s="1576"/>
      <c r="AB282" s="1576"/>
      <c r="AC282" s="1576"/>
      <c r="AD282" s="1576"/>
      <c r="AE282" s="1576"/>
      <c r="AF282" s="1576"/>
      <c r="AG282" s="1576"/>
    </row>
    <row r="283" spans="2:33" ht="15" hidden="1" customHeight="1" outlineLevel="1" x14ac:dyDescent="0.25">
      <c r="B283" s="1580"/>
      <c r="C283" s="329"/>
      <c r="D283" s="3180" t="s">
        <v>25</v>
      </c>
      <c r="E283" s="3180" t="s">
        <v>659</v>
      </c>
      <c r="F283" s="1535">
        <v>2.0299999999999998</v>
      </c>
      <c r="G283" s="2655"/>
      <c r="H283" s="2655"/>
      <c r="K283" s="355"/>
      <c r="L283" s="355"/>
      <c r="M283" s="1494"/>
      <c r="N283" s="355"/>
      <c r="O283" s="355"/>
      <c r="P283" s="355"/>
      <c r="Q283" s="355"/>
      <c r="V283" s="3180" t="str">
        <f>D283</f>
        <v>Inc. Cost</v>
      </c>
      <c r="W283" s="1535">
        <v>2.0299999999999998</v>
      </c>
      <c r="X283" s="1535">
        <v>2.0299999999999998</v>
      </c>
      <c r="Y283" s="1535">
        <v>2.0299999999999998</v>
      </c>
      <c r="Z283" s="1577"/>
      <c r="AA283" s="1577"/>
      <c r="AB283" s="1577"/>
      <c r="AC283" s="1577"/>
      <c r="AD283" s="1577"/>
      <c r="AE283" s="1577"/>
      <c r="AF283" s="1577"/>
      <c r="AG283" s="1577"/>
    </row>
    <row r="284" spans="2:33" ht="15" hidden="1" customHeight="1" outlineLevel="1" x14ac:dyDescent="0.25">
      <c r="D284" s="2857"/>
      <c r="E284" s="2857" t="s">
        <v>659</v>
      </c>
      <c r="F284" s="1535">
        <v>2.0299999999999998</v>
      </c>
      <c r="G284" s="2655"/>
      <c r="H284" s="2655"/>
      <c r="V284" s="2857"/>
      <c r="W284" s="1535">
        <v>2.0299999999999998</v>
      </c>
      <c r="X284" s="1535">
        <v>2.0299999999999998</v>
      </c>
      <c r="Y284" s="1535">
        <v>2.0299999999999998</v>
      </c>
      <c r="Z284" s="1577"/>
      <c r="AA284" s="1577"/>
      <c r="AB284" s="1577"/>
      <c r="AC284" s="1577"/>
      <c r="AD284" s="1577"/>
      <c r="AE284" s="1577"/>
      <c r="AF284" s="1577"/>
      <c r="AG284" s="1577"/>
    </row>
    <row r="285" spans="2:33" ht="15" hidden="1" customHeight="1" outlineLevel="1" x14ac:dyDescent="0.25">
      <c r="D285" s="2857"/>
      <c r="E285" s="2857" t="s">
        <v>659</v>
      </c>
      <c r="F285" s="1535">
        <v>4.1399999999999997</v>
      </c>
      <c r="G285" s="2655"/>
      <c r="H285" s="2655"/>
      <c r="V285" s="2857"/>
      <c r="W285" s="1535">
        <v>4.1399999999999997</v>
      </c>
      <c r="X285" s="1535">
        <v>4.1399999999999997</v>
      </c>
      <c r="Y285" s="1535">
        <v>4.1399999999999997</v>
      </c>
      <c r="Z285" s="1577"/>
      <c r="AA285" s="1577"/>
      <c r="AB285" s="1577"/>
      <c r="AC285" s="1577"/>
      <c r="AD285" s="1577"/>
      <c r="AE285" s="1577"/>
      <c r="AF285" s="1577"/>
      <c r="AG285" s="1577"/>
    </row>
    <row r="286" spans="2:33" ht="15" hidden="1" customHeight="1" outlineLevel="1" x14ac:dyDescent="0.25">
      <c r="D286" s="2857"/>
      <c r="E286" s="2857" t="s">
        <v>659</v>
      </c>
      <c r="F286" s="1535">
        <v>4.1399999999999997</v>
      </c>
      <c r="G286" s="2655"/>
      <c r="H286" s="2655"/>
      <c r="V286" s="2857"/>
      <c r="W286" s="1535">
        <v>4.1399999999999997</v>
      </c>
      <c r="X286" s="1535">
        <v>4.1399999999999997</v>
      </c>
      <c r="Y286" s="1535">
        <v>4.1399999999999997</v>
      </c>
      <c r="Z286" s="1577"/>
      <c r="AA286" s="1577"/>
      <c r="AB286" s="1577"/>
      <c r="AC286" s="1577"/>
      <c r="AD286" s="1577"/>
      <c r="AE286" s="1577"/>
      <c r="AF286" s="1577"/>
      <c r="AG286" s="1577"/>
    </row>
    <row r="287" spans="2:33" ht="15" hidden="1" customHeight="1" outlineLevel="1" x14ac:dyDescent="0.25">
      <c r="D287" s="2857"/>
      <c r="E287" s="2857" t="s">
        <v>659</v>
      </c>
      <c r="F287" s="1535">
        <f>'Income Eligble Deemed Table'!$Q$1034</f>
        <v>4.72</v>
      </c>
      <c r="G287" s="2655"/>
      <c r="H287" s="2655"/>
      <c r="V287" s="2857"/>
      <c r="W287" s="1535">
        <f>'Income Eligble Deemed Table'!$Q$1034</f>
        <v>4.72</v>
      </c>
      <c r="X287" s="1535">
        <v>4.72</v>
      </c>
      <c r="Y287" s="1535">
        <v>4.72</v>
      </c>
      <c r="Z287" s="1577"/>
      <c r="AA287" s="1577"/>
      <c r="AB287" s="1577"/>
      <c r="AC287" s="1577"/>
      <c r="AD287" s="1577"/>
      <c r="AE287" s="1577"/>
      <c r="AF287" s="1577"/>
      <c r="AG287" s="1577"/>
    </row>
    <row r="288" spans="2:33" ht="15" hidden="1" customHeight="1" outlineLevel="1" x14ac:dyDescent="0.25">
      <c r="D288" s="2857"/>
      <c r="E288" s="2857" t="s">
        <v>659</v>
      </c>
      <c r="F288" s="1535">
        <f>$P$228</f>
        <v>4.72</v>
      </c>
      <c r="G288" s="2655"/>
      <c r="H288" s="2655"/>
      <c r="V288" s="2857"/>
      <c r="W288" s="1535">
        <f>$P$228</f>
        <v>4.72</v>
      </c>
      <c r="X288" s="1535">
        <v>4.72</v>
      </c>
      <c r="Y288" s="1535">
        <v>4.72</v>
      </c>
      <c r="Z288" s="1577"/>
      <c r="AA288" s="1577"/>
      <c r="AB288" s="1577"/>
      <c r="AC288" s="1577"/>
      <c r="AD288" s="1577"/>
      <c r="AE288" s="1577"/>
      <c r="AF288" s="1577"/>
      <c r="AG288" s="1577"/>
    </row>
    <row r="289" spans="2:57" ht="15" hidden="1" customHeight="1" outlineLevel="1" x14ac:dyDescent="0.25">
      <c r="D289" s="2857"/>
      <c r="E289" s="2857" t="s">
        <v>659</v>
      </c>
      <c r="F289" s="1535">
        <f>'Income Eligble Deemed Table'!$Q$1036</f>
        <v>6.27</v>
      </c>
      <c r="G289" s="2655"/>
      <c r="H289" s="2655"/>
      <c r="V289" s="2857"/>
      <c r="W289" s="1535">
        <f>'Income Eligble Deemed Table'!$Q$1036</f>
        <v>6.27</v>
      </c>
      <c r="X289" s="1535">
        <v>6.27</v>
      </c>
      <c r="Y289" s="1535">
        <v>6.27</v>
      </c>
      <c r="Z289" s="1577"/>
      <c r="AA289" s="1577"/>
      <c r="AB289" s="1577"/>
      <c r="AC289" s="1577"/>
      <c r="AD289" s="1577"/>
      <c r="AE289" s="1577"/>
      <c r="AF289" s="1577"/>
      <c r="AG289" s="1577"/>
    </row>
    <row r="290" spans="2:57" ht="15" hidden="1" customHeight="1" outlineLevel="1" x14ac:dyDescent="0.25">
      <c r="D290" s="2857"/>
      <c r="E290" s="2857" t="s">
        <v>659</v>
      </c>
      <c r="F290" s="1535">
        <f>$P$230</f>
        <v>6.27</v>
      </c>
      <c r="G290" s="2655"/>
      <c r="H290" s="2655"/>
      <c r="V290" s="2857"/>
      <c r="W290" s="1535">
        <f>$P$230</f>
        <v>6.27</v>
      </c>
      <c r="X290" s="1535">
        <v>6.27</v>
      </c>
      <c r="Y290" s="1535">
        <v>6.27</v>
      </c>
      <c r="Z290" s="1577"/>
      <c r="AA290" s="1577"/>
      <c r="AB290" s="1577"/>
      <c r="AC290" s="1577"/>
      <c r="AD290" s="1577"/>
      <c r="AE290" s="1577"/>
      <c r="AF290" s="1577"/>
      <c r="AG290" s="1577"/>
    </row>
    <row r="291" spans="2:57" ht="15" hidden="1" customHeight="1" outlineLevel="1" x14ac:dyDescent="0.25">
      <c r="D291" s="2857"/>
      <c r="E291" s="2857" t="s">
        <v>659</v>
      </c>
      <c r="F291" s="1535">
        <f>'Income Eligble Deemed Table'!$Q$1039</f>
        <v>7.83</v>
      </c>
      <c r="G291" s="2655"/>
      <c r="H291" s="2655"/>
      <c r="V291" s="2857"/>
      <c r="W291" s="1535">
        <f>'Income Eligble Deemed Table'!$Q$1039</f>
        <v>7.83</v>
      </c>
      <c r="X291" s="1535">
        <v>7.83</v>
      </c>
      <c r="Y291" s="1535">
        <v>7.83</v>
      </c>
      <c r="Z291" s="1577"/>
      <c r="AA291" s="1577"/>
      <c r="AB291" s="1577"/>
      <c r="AC291" s="1577"/>
      <c r="AD291" s="1577"/>
      <c r="AE291" s="1577"/>
      <c r="AF291" s="1577"/>
      <c r="AG291" s="1577"/>
    </row>
    <row r="292" spans="2:57" ht="15" hidden="1" customHeight="1" outlineLevel="1" x14ac:dyDescent="0.25">
      <c r="D292" s="2857"/>
      <c r="E292" s="2857" t="s">
        <v>659</v>
      </c>
      <c r="F292" s="1535">
        <f>$P$232</f>
        <v>7.83</v>
      </c>
      <c r="G292" s="2655"/>
      <c r="H292" s="2655"/>
      <c r="V292" s="2857"/>
      <c r="W292" s="1535">
        <f>$P$232</f>
        <v>7.83</v>
      </c>
      <c r="X292" s="1535">
        <v>7.83</v>
      </c>
      <c r="Y292" s="1535">
        <v>7.83</v>
      </c>
      <c r="Z292" s="1577"/>
      <c r="AA292" s="1577"/>
      <c r="AB292" s="1577"/>
      <c r="AC292" s="1577"/>
      <c r="AD292" s="1577"/>
      <c r="AE292" s="1577"/>
      <c r="AF292" s="1577"/>
      <c r="AG292" s="1577"/>
    </row>
    <row r="293" spans="2:57" ht="15" hidden="1" customHeight="1" outlineLevel="1" x14ac:dyDescent="0.25">
      <c r="D293" s="2857"/>
      <c r="E293" s="2857" t="s">
        <v>659</v>
      </c>
      <c r="F293" s="1535">
        <f>$P$235</f>
        <v>3.05</v>
      </c>
      <c r="G293" s="2655"/>
      <c r="H293" s="2655"/>
      <c r="V293" s="2857"/>
      <c r="W293" s="1535">
        <f>$P$235</f>
        <v>3.05</v>
      </c>
      <c r="X293" s="1535">
        <v>3.05</v>
      </c>
      <c r="Y293" s="1535">
        <v>3.05</v>
      </c>
      <c r="Z293" s="1577"/>
      <c r="AA293" s="1577"/>
      <c r="AB293" s="1577"/>
      <c r="AC293" s="1577"/>
      <c r="AD293" s="1577"/>
      <c r="AE293" s="1577"/>
      <c r="AF293" s="1577"/>
      <c r="AG293" s="1577"/>
    </row>
    <row r="294" spans="2:57" ht="15" hidden="1" customHeight="1" outlineLevel="1" x14ac:dyDescent="0.25">
      <c r="D294" s="2857"/>
      <c r="E294" s="2857" t="s">
        <v>659</v>
      </c>
      <c r="F294" s="1535">
        <v>3.05</v>
      </c>
      <c r="G294" s="2655"/>
      <c r="H294" s="2655"/>
      <c r="V294" s="2857"/>
      <c r="W294" s="1535">
        <v>3.05</v>
      </c>
      <c r="X294" s="1535">
        <v>3.05</v>
      </c>
      <c r="Y294" s="1535">
        <v>3.05</v>
      </c>
      <c r="Z294" s="1577"/>
      <c r="AA294" s="1577"/>
      <c r="AB294" s="1577"/>
      <c r="AC294" s="1577"/>
      <c r="AD294" s="1577"/>
      <c r="AE294" s="1577"/>
      <c r="AF294" s="1577"/>
      <c r="AG294" s="1577"/>
    </row>
    <row r="295" spans="2:57" ht="15" hidden="1" customHeight="1" outlineLevel="1" x14ac:dyDescent="0.25">
      <c r="D295" s="2939"/>
      <c r="E295" s="2939" t="s">
        <v>659</v>
      </c>
      <c r="F295" s="1535">
        <v>0.35</v>
      </c>
      <c r="G295" s="2655"/>
      <c r="H295" s="2655"/>
      <c r="V295" s="2939"/>
      <c r="W295" s="1535">
        <v>0.35</v>
      </c>
      <c r="X295" s="1535">
        <v>0.35</v>
      </c>
      <c r="Y295" s="1535">
        <v>0.35</v>
      </c>
      <c r="Z295" s="1577"/>
      <c r="AA295" s="1577"/>
      <c r="AB295" s="1577"/>
      <c r="AC295" s="1577"/>
      <c r="AD295" s="1577"/>
      <c r="AE295" s="1577"/>
      <c r="AF295" s="1577"/>
      <c r="AG295" s="1577"/>
    </row>
    <row r="296" spans="2:57" collapsed="1" x14ac:dyDescent="0.25"/>
    <row r="298" spans="2:57" s="229" customFormat="1" x14ac:dyDescent="0.25">
      <c r="B298" s="2639" t="s">
        <v>2358</v>
      </c>
      <c r="C298" s="2640"/>
      <c r="D298" s="2640"/>
      <c r="E298" s="2640"/>
      <c r="F298" s="2640"/>
      <c r="G298" s="2640"/>
      <c r="H298" s="2640"/>
      <c r="I298" s="2641"/>
      <c r="J298" s="2641"/>
      <c r="K298" s="2641"/>
      <c r="L298" s="2641"/>
      <c r="M298" s="2641"/>
      <c r="N298" s="2641"/>
      <c r="O298" s="2641"/>
      <c r="P298" s="2641"/>
      <c r="Q298" s="2642"/>
      <c r="V298" s="2639" t="str">
        <f>B298</f>
        <v>Faucet Aerators (Kitchen)</v>
      </c>
      <c r="W298" s="2640"/>
      <c r="X298" s="2640"/>
      <c r="Y298" s="2640"/>
      <c r="Z298" s="2640"/>
      <c r="AA298" s="2640"/>
      <c r="AB298" s="2640"/>
      <c r="AC298" s="2615"/>
      <c r="AD298" s="2615"/>
      <c r="AE298" s="2615"/>
      <c r="AF298" s="2615"/>
      <c r="AG298" s="2615"/>
      <c r="AH298" s="2615"/>
      <c r="AI298" s="2616"/>
      <c r="AJ298"/>
      <c r="BB298" s="1116"/>
    </row>
    <row r="299" spans="2:57" ht="18" customHeight="1" x14ac:dyDescent="0.25"/>
    <row r="300" spans="2:57" ht="30" x14ac:dyDescent="0.25">
      <c r="C300" s="1641" t="s">
        <v>17</v>
      </c>
      <c r="D300" s="1641" t="s">
        <v>662</v>
      </c>
      <c r="E300" s="1641" t="s">
        <v>19</v>
      </c>
      <c r="F300" s="1641" t="s">
        <v>20</v>
      </c>
      <c r="G300" s="1641" t="s">
        <v>21</v>
      </c>
      <c r="H300" s="1641" t="s">
        <v>22</v>
      </c>
      <c r="I300" s="1641" t="s">
        <v>1007</v>
      </c>
      <c r="J300" s="1641" t="s">
        <v>23</v>
      </c>
      <c r="K300" s="1641" t="s">
        <v>24</v>
      </c>
      <c r="L300" s="1641" t="s">
        <v>25</v>
      </c>
      <c r="M300" s="1641" t="s">
        <v>26</v>
      </c>
      <c r="V300" s="55" t="s">
        <v>27</v>
      </c>
      <c r="W300" s="56">
        <f>W$6</f>
        <v>43252</v>
      </c>
      <c r="X300" s="56">
        <f t="shared" ref="X300:AG300" si="59">X$6</f>
        <v>43465</v>
      </c>
      <c r="Y300" s="56">
        <f t="shared" si="59"/>
        <v>43800</v>
      </c>
      <c r="Z300" s="56">
        <f t="shared" si="59"/>
        <v>43862</v>
      </c>
      <c r="AA300" s="56" t="str">
        <f t="shared" si="59"/>
        <v>-</v>
      </c>
      <c r="AB300" s="56" t="str">
        <f t="shared" si="59"/>
        <v>-</v>
      </c>
      <c r="AC300" s="56" t="str">
        <f t="shared" si="59"/>
        <v>-</v>
      </c>
      <c r="AD300" s="56" t="str">
        <f t="shared" si="59"/>
        <v>-</v>
      </c>
      <c r="AE300" s="56" t="str">
        <f t="shared" si="59"/>
        <v>-</v>
      </c>
      <c r="AF300" s="56" t="str">
        <f t="shared" si="59"/>
        <v>-</v>
      </c>
      <c r="AG300" s="56" t="str">
        <f t="shared" si="59"/>
        <v>-</v>
      </c>
      <c r="BB300" s="57" t="str">
        <f>$BB$6</f>
        <v>TRC (2020)</v>
      </c>
      <c r="BC300" s="103" t="str">
        <f>$BC$6</f>
        <v>Benefit Lookup</v>
      </c>
      <c r="BD300" s="883" t="str">
        <f>$BD$6</f>
        <v>Benefits (2019 $)</v>
      </c>
      <c r="BE300" s="334" t="str">
        <f>$BE$6</f>
        <v>Incremental Cost (2019 $)</v>
      </c>
    </row>
    <row r="301" spans="2:57" x14ac:dyDescent="0.25">
      <c r="C301" s="92" t="s">
        <v>2359</v>
      </c>
      <c r="D301" s="1927" t="s">
        <v>2272</v>
      </c>
      <c r="E301" s="2304" t="s">
        <v>2360</v>
      </c>
      <c r="F301" s="712">
        <f>ROUND(F312*(F313*F314-F315*F316)*F317*F318*F319/F320*I301*F328*F327,2)</f>
        <v>115.9</v>
      </c>
      <c r="G301" s="1699" t="s">
        <v>668</v>
      </c>
      <c r="H301" s="239">
        <f>VLOOKUP(G301,'CP FACTORS'!$A$3:$B$38, 2, FALSE)</f>
        <v>8.8731800000000003E-5</v>
      </c>
      <c r="I301" s="707">
        <f>F321*F322*(F323-F324)/(F325*F326)</f>
        <v>7.8971277842907403E-2</v>
      </c>
      <c r="J301" s="153">
        <f>ROUND(F301*H301,6)</f>
        <v>1.0284E-2</v>
      </c>
      <c r="K301" s="156">
        <f>F329</f>
        <v>10</v>
      </c>
      <c r="L301" s="1535">
        <f>F330</f>
        <v>8</v>
      </c>
      <c r="M301" s="291" t="s">
        <v>37</v>
      </c>
      <c r="N301" s="332"/>
      <c r="O301" s="332"/>
      <c r="P301" s="332"/>
      <c r="Q301" s="332"/>
      <c r="R301" s="332"/>
      <c r="S301" s="332"/>
      <c r="T301" s="332"/>
      <c r="U301" s="332"/>
      <c r="V301" s="245" t="str">
        <f>F300</f>
        <v>kWh Annual Savings</v>
      </c>
      <c r="W301" s="575">
        <v>115.90265988240036</v>
      </c>
      <c r="X301" s="1536">
        <v>115.90265988240036</v>
      </c>
      <c r="Y301" s="1536">
        <v>115.9</v>
      </c>
      <c r="Z301" s="245"/>
      <c r="AA301" s="245"/>
      <c r="AB301" s="245"/>
      <c r="AC301" s="245"/>
      <c r="AD301" s="245"/>
      <c r="AE301" s="245"/>
      <c r="AF301" s="245"/>
      <c r="AG301" s="245"/>
      <c r="BB301" s="120">
        <f t="shared" ref="BB301" si="60">(BD301)/(BE301)</f>
        <v>5.1771034134181892</v>
      </c>
      <c r="BC301" s="69" t="str">
        <f>CONCATENATE(G301," ",K301," Year EUL")</f>
        <v>Water Heating RES 10 Year EUL</v>
      </c>
      <c r="BD301" s="251">
        <f>(INDEX('Avoided Cost Benefits'!$C$4:$C$857,MATCH(BC301,'Avoided Cost Benefits'!$A$4:$A$857,0)))*F301</f>
        <v>39.090917703959896</v>
      </c>
      <c r="BE301" s="122">
        <f>L301/(1.0595^(2020-2019))</f>
        <v>7.5507314771118441</v>
      </c>
    </row>
    <row r="302" spans="2:57" hidden="1" outlineLevel="1" x14ac:dyDescent="0.25">
      <c r="G302" s="1965"/>
    </row>
    <row r="303" spans="2:57" hidden="1" outlineLevel="1" x14ac:dyDescent="0.25">
      <c r="D303" s="259" t="s">
        <v>617</v>
      </c>
    </row>
    <row r="304" spans="2:57" hidden="1" outlineLevel="1" x14ac:dyDescent="0.25"/>
    <row r="305" spans="4:33" hidden="1" outlineLevel="1" x14ac:dyDescent="0.25"/>
    <row r="306" spans="4:33" hidden="1" outlineLevel="1" x14ac:dyDescent="0.25"/>
    <row r="307" spans="4:33" hidden="1" outlineLevel="1" x14ac:dyDescent="0.25"/>
    <row r="308" spans="4:33" hidden="1" outlineLevel="1" x14ac:dyDescent="0.25"/>
    <row r="309" spans="4:33" hidden="1" outlineLevel="1" x14ac:dyDescent="0.25">
      <c r="D309" s="1578"/>
      <c r="E309" s="1578"/>
      <c r="F309" s="763"/>
      <c r="G309" s="763"/>
      <c r="H309" s="763"/>
      <c r="I309" s="763"/>
      <c r="J309" s="763"/>
      <c r="K309" s="763"/>
      <c r="L309" s="763"/>
      <c r="M309" s="763"/>
    </row>
    <row r="310" spans="4:33" hidden="1" outlineLevel="1" x14ac:dyDescent="0.25">
      <c r="D310" s="1578"/>
      <c r="E310" s="1578"/>
      <c r="F310" s="763"/>
      <c r="G310" s="763"/>
      <c r="H310" s="763"/>
      <c r="I310" s="763"/>
      <c r="J310" s="763"/>
      <c r="K310" s="763"/>
      <c r="L310" s="763"/>
      <c r="M310" s="763"/>
    </row>
    <row r="311" spans="4:33" hidden="1" outlineLevel="1" x14ac:dyDescent="0.25">
      <c r="D311" s="1701" t="s">
        <v>618</v>
      </c>
      <c r="E311" s="1701" t="s">
        <v>619</v>
      </c>
      <c r="F311" s="1641" t="s">
        <v>620</v>
      </c>
      <c r="G311" s="2669" t="s">
        <v>670</v>
      </c>
      <c r="H311" s="2669"/>
      <c r="I311" s="2722" t="s">
        <v>621</v>
      </c>
      <c r="J311" s="2727"/>
      <c r="K311" s="2723"/>
      <c r="V311" s="55" t="s">
        <v>27</v>
      </c>
      <c r="W311" s="56">
        <f>W$6</f>
        <v>43252</v>
      </c>
      <c r="X311" s="56">
        <f t="shared" ref="X311:AG311" si="61">X$6</f>
        <v>43465</v>
      </c>
      <c r="Y311" s="56">
        <f t="shared" si="61"/>
        <v>43800</v>
      </c>
      <c r="Z311" s="56">
        <f t="shared" si="61"/>
        <v>43862</v>
      </c>
      <c r="AA311" s="56" t="str">
        <f t="shared" si="61"/>
        <v>-</v>
      </c>
      <c r="AB311" s="56" t="str">
        <f t="shared" si="61"/>
        <v>-</v>
      </c>
      <c r="AC311" s="56" t="str">
        <f t="shared" si="61"/>
        <v>-</v>
      </c>
      <c r="AD311" s="56" t="str">
        <f t="shared" si="61"/>
        <v>-</v>
      </c>
      <c r="AE311" s="56" t="str">
        <f t="shared" si="61"/>
        <v>-</v>
      </c>
      <c r="AF311" s="56" t="str">
        <f t="shared" si="61"/>
        <v>-</v>
      </c>
      <c r="AG311" s="56" t="str">
        <f t="shared" si="61"/>
        <v>-</v>
      </c>
    </row>
    <row r="312" spans="4:33" hidden="1" outlineLevel="1" x14ac:dyDescent="0.25">
      <c r="D312" s="1642" t="s">
        <v>1011</v>
      </c>
      <c r="E312" s="1642" t="s">
        <v>1012</v>
      </c>
      <c r="F312" s="1341">
        <v>1</v>
      </c>
      <c r="G312" s="3004" t="s">
        <v>1003</v>
      </c>
      <c r="H312" s="3004"/>
      <c r="I312" s="2692" t="s">
        <v>2361</v>
      </c>
      <c r="J312" s="2692"/>
      <c r="K312" s="2692"/>
      <c r="L312" s="763"/>
      <c r="V312" s="1254" t="str">
        <f>D312</f>
        <v>%Electric DHW</v>
      </c>
      <c r="W312" s="667">
        <v>1</v>
      </c>
      <c r="X312" s="667">
        <v>1</v>
      </c>
      <c r="Y312" s="667">
        <v>1</v>
      </c>
      <c r="Z312" s="667"/>
      <c r="AA312" s="667"/>
      <c r="AB312" s="667"/>
      <c r="AC312" s="667"/>
      <c r="AD312" s="667"/>
      <c r="AE312" s="667"/>
      <c r="AF312" s="667"/>
      <c r="AG312" s="667"/>
    </row>
    <row r="313" spans="4:33" ht="31.5" hidden="1" customHeight="1" outlineLevel="1" x14ac:dyDescent="0.25">
      <c r="D313" s="1642" t="s">
        <v>1015</v>
      </c>
      <c r="E313" s="1642" t="s">
        <v>1016</v>
      </c>
      <c r="F313" s="1699">
        <v>2.2000000000000002</v>
      </c>
      <c r="G313" s="2699" t="s">
        <v>1017</v>
      </c>
      <c r="H313" s="2699"/>
      <c r="I313" s="2692" t="s">
        <v>2362</v>
      </c>
      <c r="J313" s="2692"/>
      <c r="K313" s="2692"/>
      <c r="L313" s="763"/>
      <c r="V313" s="1254" t="str">
        <f t="shared" ref="V313:V328" si="62">D313</f>
        <v>GPM_base</v>
      </c>
      <c r="W313" s="657">
        <v>2.2000000000000002</v>
      </c>
      <c r="X313" s="657">
        <v>2.2000000000000002</v>
      </c>
      <c r="Y313" s="657">
        <v>2.2000000000000002</v>
      </c>
      <c r="Z313" s="657"/>
      <c r="AA313" s="657"/>
      <c r="AB313" s="657"/>
      <c r="AC313" s="657"/>
      <c r="AD313" s="657"/>
      <c r="AE313" s="657"/>
      <c r="AF313" s="657"/>
      <c r="AG313" s="657"/>
    </row>
    <row r="314" spans="4:33" ht="30" hidden="1" outlineLevel="1" x14ac:dyDescent="0.25">
      <c r="D314" s="1642" t="s">
        <v>1018</v>
      </c>
      <c r="E314" s="1666" t="s">
        <v>1019</v>
      </c>
      <c r="F314" s="1699">
        <v>3.7</v>
      </c>
      <c r="G314" s="2699" t="s">
        <v>1021</v>
      </c>
      <c r="H314" s="2699"/>
      <c r="I314" s="2692" t="s">
        <v>2362</v>
      </c>
      <c r="J314" s="2692"/>
      <c r="K314" s="2692"/>
      <c r="L314" s="763"/>
      <c r="V314" s="1254" t="str">
        <f t="shared" si="62"/>
        <v>L_base</v>
      </c>
      <c r="W314" s="657">
        <v>3.7</v>
      </c>
      <c r="X314" s="657">
        <v>3.7</v>
      </c>
      <c r="Y314" s="657">
        <v>3.7</v>
      </c>
      <c r="Z314" s="657"/>
      <c r="AA314" s="657"/>
      <c r="AB314" s="657"/>
      <c r="AC314" s="657"/>
      <c r="AD314" s="657"/>
      <c r="AE314" s="657"/>
      <c r="AF314" s="657"/>
      <c r="AG314" s="657"/>
    </row>
    <row r="315" spans="4:33" hidden="1" outlineLevel="1" x14ac:dyDescent="0.25">
      <c r="D315" s="1642" t="s">
        <v>1022</v>
      </c>
      <c r="E315" s="1642" t="s">
        <v>1023</v>
      </c>
      <c r="F315" s="515">
        <v>1.5</v>
      </c>
      <c r="G315" s="2699" t="s">
        <v>509</v>
      </c>
      <c r="H315" s="2699"/>
      <c r="I315" s="2692" t="s">
        <v>2362</v>
      </c>
      <c r="J315" s="2692"/>
      <c r="K315" s="2692"/>
      <c r="L315" s="763"/>
      <c r="V315" s="1254" t="str">
        <f t="shared" si="62"/>
        <v>GPM_low</v>
      </c>
      <c r="W315" s="643">
        <v>1.5</v>
      </c>
      <c r="X315" s="643">
        <v>1.5</v>
      </c>
      <c r="Y315" s="643">
        <v>1.5</v>
      </c>
      <c r="Z315" s="643"/>
      <c r="AA315" s="643"/>
      <c r="AB315" s="643"/>
      <c r="AC315" s="643"/>
      <c r="AD315" s="643"/>
      <c r="AE315" s="643"/>
      <c r="AF315" s="643"/>
      <c r="AG315" s="643"/>
    </row>
    <row r="316" spans="4:33" ht="30" hidden="1" outlineLevel="1" x14ac:dyDescent="0.25">
      <c r="D316" s="1642" t="s">
        <v>1024</v>
      </c>
      <c r="E316" s="1666" t="s">
        <v>1025</v>
      </c>
      <c r="F316" s="1699">
        <v>3.7</v>
      </c>
      <c r="G316" s="2699" t="s">
        <v>1021</v>
      </c>
      <c r="H316" s="2699"/>
      <c r="I316" s="2692" t="s">
        <v>2362</v>
      </c>
      <c r="J316" s="2692"/>
      <c r="K316" s="2692"/>
      <c r="L316" s="763"/>
      <c r="V316" s="1254" t="str">
        <f t="shared" si="62"/>
        <v>L_low</v>
      </c>
      <c r="W316" s="657">
        <v>3.7</v>
      </c>
      <c r="X316" s="657">
        <v>3.7</v>
      </c>
      <c r="Y316" s="657">
        <v>3.7</v>
      </c>
      <c r="Z316" s="657"/>
      <c r="AA316" s="657"/>
      <c r="AB316" s="657"/>
      <c r="AC316" s="657"/>
      <c r="AD316" s="657"/>
      <c r="AE316" s="657"/>
      <c r="AF316" s="657"/>
      <c r="AG316" s="657"/>
    </row>
    <row r="317" spans="4:33" hidden="1" outlineLevel="1" x14ac:dyDescent="0.25">
      <c r="D317" s="1642" t="s">
        <v>683</v>
      </c>
      <c r="E317" s="1666" t="s">
        <v>1026</v>
      </c>
      <c r="F317" s="1699">
        <v>2.0699999999999998</v>
      </c>
      <c r="G317" s="2699" t="s">
        <v>2363</v>
      </c>
      <c r="H317" s="2699"/>
      <c r="I317" s="2692" t="s">
        <v>2362</v>
      </c>
      <c r="J317" s="2692"/>
      <c r="K317" s="2692"/>
      <c r="L317" s="763"/>
      <c r="V317" s="1254" t="str">
        <f t="shared" si="62"/>
        <v>Household</v>
      </c>
      <c r="W317" s="657">
        <v>2.0699999999999998</v>
      </c>
      <c r="X317" s="657">
        <v>2.0699999999999998</v>
      </c>
      <c r="Y317" s="657">
        <v>2.0699999999999998</v>
      </c>
      <c r="Z317" s="657"/>
      <c r="AA317" s="657"/>
      <c r="AB317" s="657"/>
      <c r="AC317" s="657"/>
      <c r="AD317" s="657"/>
      <c r="AE317" s="657"/>
      <c r="AF317" s="657"/>
      <c r="AG317" s="657"/>
    </row>
    <row r="318" spans="4:33" ht="78.75" hidden="1" customHeight="1" outlineLevel="1" x14ac:dyDescent="0.25">
      <c r="D318" s="615" t="s">
        <v>1028</v>
      </c>
      <c r="E318" s="1666" t="s">
        <v>1029</v>
      </c>
      <c r="F318" s="1699">
        <v>0.75</v>
      </c>
      <c r="G318" s="2901" t="s">
        <v>1030</v>
      </c>
      <c r="H318" s="2901"/>
      <c r="I318" s="2692" t="s">
        <v>2362</v>
      </c>
      <c r="J318" s="2692"/>
      <c r="K318" s="2692"/>
      <c r="L318" s="763"/>
      <c r="V318" s="1254" t="str">
        <f t="shared" si="62"/>
        <v>DF</v>
      </c>
      <c r="W318" s="657">
        <v>0.75</v>
      </c>
      <c r="X318" s="657">
        <v>0.75</v>
      </c>
      <c r="Y318" s="657">
        <v>0.75</v>
      </c>
      <c r="Z318" s="657"/>
      <c r="AA318" s="657"/>
      <c r="AB318" s="657"/>
      <c r="AC318" s="657"/>
      <c r="AD318" s="657"/>
      <c r="AE318" s="657"/>
      <c r="AF318" s="657"/>
      <c r="AG318" s="657"/>
    </row>
    <row r="319" spans="4:33" hidden="1" outlineLevel="1" x14ac:dyDescent="0.25">
      <c r="D319" s="615">
        <v>365.25</v>
      </c>
      <c r="E319" s="1666" t="s">
        <v>235</v>
      </c>
      <c r="F319" s="150">
        <v>365</v>
      </c>
      <c r="G319" s="2699" t="s">
        <v>992</v>
      </c>
      <c r="H319" s="2699"/>
      <c r="I319" s="2692" t="s">
        <v>2362</v>
      </c>
      <c r="J319" s="2692"/>
      <c r="K319" s="2692"/>
      <c r="L319" s="763"/>
      <c r="V319" s="1254">
        <f t="shared" si="62"/>
        <v>365.25</v>
      </c>
      <c r="W319" s="678">
        <v>365</v>
      </c>
      <c r="X319" s="678">
        <v>365</v>
      </c>
      <c r="Y319" s="678">
        <v>365</v>
      </c>
      <c r="Z319" s="678"/>
      <c r="AA319" s="678"/>
      <c r="AB319" s="678"/>
      <c r="AC319" s="678"/>
      <c r="AD319" s="678"/>
      <c r="AE319" s="678"/>
      <c r="AF319" s="678"/>
      <c r="AG319" s="678"/>
    </row>
    <row r="320" spans="4:33" hidden="1" outlineLevel="1" x14ac:dyDescent="0.25">
      <c r="D320" s="615" t="s">
        <v>1031</v>
      </c>
      <c r="E320" s="1666" t="s">
        <v>1032</v>
      </c>
      <c r="F320" s="2305">
        <v>1</v>
      </c>
      <c r="G320" s="3004" t="s">
        <v>2364</v>
      </c>
      <c r="H320" s="3004"/>
      <c r="I320" s="2692" t="s">
        <v>2362</v>
      </c>
      <c r="J320" s="2692"/>
      <c r="K320" s="2692"/>
      <c r="L320" s="763"/>
      <c r="V320" s="1254" t="str">
        <f t="shared" si="62"/>
        <v>FPH</v>
      </c>
      <c r="W320" s="684">
        <v>1</v>
      </c>
      <c r="X320" s="684">
        <v>1</v>
      </c>
      <c r="Y320" s="684">
        <v>1</v>
      </c>
      <c r="Z320" s="684"/>
      <c r="AA320" s="684"/>
      <c r="AB320" s="684"/>
      <c r="AC320" s="684"/>
      <c r="AD320" s="684"/>
      <c r="AE320" s="684"/>
      <c r="AF320" s="684"/>
      <c r="AG320" s="684"/>
    </row>
    <row r="321" spans="1:57" hidden="1" outlineLevel="1" x14ac:dyDescent="0.25">
      <c r="D321" s="615">
        <v>8.33</v>
      </c>
      <c r="E321" s="2306" t="s">
        <v>1033</v>
      </c>
      <c r="F321" s="150">
        <v>8.33</v>
      </c>
      <c r="G321" s="3181" t="s">
        <v>1034</v>
      </c>
      <c r="H321" s="3181"/>
      <c r="I321" s="2692" t="s">
        <v>2362</v>
      </c>
      <c r="J321" s="2692"/>
      <c r="K321" s="2692"/>
      <c r="L321" s="763"/>
      <c r="V321" s="1254">
        <f t="shared" si="62"/>
        <v>8.33</v>
      </c>
      <c r="W321" s="678">
        <v>8.33</v>
      </c>
      <c r="X321" s="678">
        <v>8.33</v>
      </c>
      <c r="Y321" s="678">
        <v>8.33</v>
      </c>
      <c r="Z321" s="678"/>
      <c r="AA321" s="678"/>
      <c r="AB321" s="678"/>
      <c r="AC321" s="678"/>
      <c r="AD321" s="678"/>
      <c r="AE321" s="678"/>
      <c r="AF321" s="678"/>
      <c r="AG321" s="678"/>
    </row>
    <row r="322" spans="1:57" hidden="1" outlineLevel="1" x14ac:dyDescent="0.25">
      <c r="D322" s="615">
        <v>1</v>
      </c>
      <c r="E322" s="1666" t="s">
        <v>1035</v>
      </c>
      <c r="F322" s="156">
        <v>1</v>
      </c>
      <c r="G322" s="2901" t="s">
        <v>1036</v>
      </c>
      <c r="H322" s="2901"/>
      <c r="I322" s="2692" t="s">
        <v>2362</v>
      </c>
      <c r="J322" s="2692"/>
      <c r="K322" s="2692"/>
      <c r="L322" s="763"/>
      <c r="V322" s="1254">
        <f t="shared" si="62"/>
        <v>1</v>
      </c>
      <c r="W322" s="460">
        <v>1</v>
      </c>
      <c r="X322" s="460">
        <v>1</v>
      </c>
      <c r="Y322" s="460">
        <v>1</v>
      </c>
      <c r="Z322" s="460"/>
      <c r="AA322" s="460"/>
      <c r="AB322" s="460"/>
      <c r="AC322" s="460"/>
      <c r="AD322" s="460"/>
      <c r="AE322" s="460"/>
      <c r="AF322" s="460"/>
      <c r="AG322" s="460"/>
    </row>
    <row r="323" spans="1:57" ht="78" hidden="1" customHeight="1" outlineLevel="1" x14ac:dyDescent="0.25">
      <c r="D323" s="1642" t="s">
        <v>1037</v>
      </c>
      <c r="E323" s="1666" t="s">
        <v>1038</v>
      </c>
      <c r="F323" s="150">
        <v>93</v>
      </c>
      <c r="G323" s="2901" t="s">
        <v>1039</v>
      </c>
      <c r="H323" s="2901"/>
      <c r="I323" s="2692" t="s">
        <v>2362</v>
      </c>
      <c r="J323" s="2692"/>
      <c r="K323" s="2692"/>
      <c r="L323" s="763"/>
      <c r="V323" s="1254" t="str">
        <f t="shared" si="62"/>
        <v>WaterTemp</v>
      </c>
      <c r="W323" s="678">
        <v>93</v>
      </c>
      <c r="X323" s="678">
        <v>93</v>
      </c>
      <c r="Y323" s="678">
        <v>93</v>
      </c>
      <c r="Z323" s="678"/>
      <c r="AA323" s="678"/>
      <c r="AB323" s="678"/>
      <c r="AC323" s="678"/>
      <c r="AD323" s="678"/>
      <c r="AE323" s="678"/>
      <c r="AF323" s="678"/>
      <c r="AG323" s="678"/>
    </row>
    <row r="324" spans="1:57" s="624" customFormat="1" ht="60.75" hidden="1" customHeight="1" outlineLevel="1" x14ac:dyDescent="0.25">
      <c r="A324" s="763"/>
      <c r="B324" s="763"/>
      <c r="C324" s="1955"/>
      <c r="D324" s="1642" t="s">
        <v>1040</v>
      </c>
      <c r="E324" s="1666" t="s">
        <v>1041</v>
      </c>
      <c r="F324" s="150">
        <v>61.3</v>
      </c>
      <c r="G324" s="2901" t="s">
        <v>1042</v>
      </c>
      <c r="H324" s="2901"/>
      <c r="I324" s="2692" t="s">
        <v>2362</v>
      </c>
      <c r="J324" s="2692"/>
      <c r="K324" s="2692"/>
      <c r="L324" s="763"/>
      <c r="M324" s="763"/>
      <c r="N324" s="763"/>
      <c r="O324" s="763"/>
      <c r="P324" s="763"/>
      <c r="Q324" s="763"/>
      <c r="R324" s="763"/>
      <c r="S324" s="763"/>
      <c r="T324" s="763"/>
      <c r="U324" s="763"/>
      <c r="V324" s="1254" t="str">
        <f t="shared" si="62"/>
        <v>SupplyTemp</v>
      </c>
      <c r="W324" s="678">
        <v>61.3</v>
      </c>
      <c r="X324" s="678">
        <v>61.3</v>
      </c>
      <c r="Y324" s="678">
        <v>61.3</v>
      </c>
      <c r="Z324" s="678"/>
      <c r="AA324" s="678"/>
      <c r="AB324" s="678"/>
      <c r="AC324" s="678"/>
      <c r="AD324" s="678"/>
      <c r="AE324" s="678"/>
      <c r="AF324" s="678"/>
      <c r="AG324" s="678"/>
      <c r="AH324"/>
      <c r="AI324"/>
      <c r="AJ324"/>
      <c r="BB324" s="1579"/>
    </row>
    <row r="325" spans="1:57" s="624" customFormat="1" ht="59.25" hidden="1" customHeight="1" outlineLevel="1" x14ac:dyDescent="0.25">
      <c r="A325" s="763"/>
      <c r="B325" s="763"/>
      <c r="C325" s="1955"/>
      <c r="D325" s="1642" t="s">
        <v>1043</v>
      </c>
      <c r="E325" s="1666" t="s">
        <v>1044</v>
      </c>
      <c r="F325" s="150">
        <v>0.98</v>
      </c>
      <c r="G325" s="3181" t="s">
        <v>1045</v>
      </c>
      <c r="H325" s="3181"/>
      <c r="I325" s="2692" t="s">
        <v>2362</v>
      </c>
      <c r="J325" s="2692"/>
      <c r="K325" s="2692"/>
      <c r="L325" s="763"/>
      <c r="M325" s="763"/>
      <c r="N325" s="763"/>
      <c r="O325" s="763"/>
      <c r="P325" s="763"/>
      <c r="Q325" s="763"/>
      <c r="R325" s="763"/>
      <c r="S325" s="763"/>
      <c r="T325" s="763"/>
      <c r="U325" s="763"/>
      <c r="V325" s="1254" t="str">
        <f t="shared" si="62"/>
        <v>RE_electric</v>
      </c>
      <c r="W325" s="678">
        <v>0.98</v>
      </c>
      <c r="X325" s="678">
        <v>0.98</v>
      </c>
      <c r="Y325" s="678">
        <v>0.98</v>
      </c>
      <c r="Z325" s="678"/>
      <c r="AA325" s="678"/>
      <c r="AB325" s="678"/>
      <c r="AC325" s="678"/>
      <c r="AD325" s="678"/>
      <c r="AE325" s="678"/>
      <c r="AF325" s="678"/>
      <c r="AG325" s="678"/>
      <c r="AH325"/>
      <c r="AI325"/>
      <c r="AJ325"/>
      <c r="BB325" s="1579"/>
    </row>
    <row r="326" spans="1:57" s="624" customFormat="1" hidden="1" outlineLevel="1" x14ac:dyDescent="0.25">
      <c r="A326" s="763"/>
      <c r="B326" s="763"/>
      <c r="C326" s="1955"/>
      <c r="D326" s="1642">
        <v>3412</v>
      </c>
      <c r="E326" s="2306" t="s">
        <v>1046</v>
      </c>
      <c r="F326" s="526">
        <v>3412</v>
      </c>
      <c r="G326" s="3181" t="s">
        <v>701</v>
      </c>
      <c r="H326" s="3181"/>
      <c r="I326" s="2692" t="s">
        <v>2362</v>
      </c>
      <c r="J326" s="2692"/>
      <c r="K326" s="2692"/>
      <c r="L326" s="763"/>
      <c r="M326" s="763"/>
      <c r="N326" s="763"/>
      <c r="O326" s="763"/>
      <c r="P326" s="763"/>
      <c r="Q326" s="763"/>
      <c r="R326" s="763"/>
      <c r="S326" s="763"/>
      <c r="T326" s="763"/>
      <c r="U326" s="763"/>
      <c r="V326" s="1254">
        <f t="shared" si="62"/>
        <v>3412</v>
      </c>
      <c r="W326" s="687">
        <v>3412</v>
      </c>
      <c r="X326" s="687">
        <v>3412</v>
      </c>
      <c r="Y326" s="687">
        <v>3412</v>
      </c>
      <c r="Z326" s="687"/>
      <c r="AA326" s="687"/>
      <c r="AB326" s="687"/>
      <c r="AC326" s="687"/>
      <c r="AD326" s="687"/>
      <c r="AE326" s="687"/>
      <c r="AF326" s="687"/>
      <c r="AG326" s="687"/>
      <c r="AH326"/>
      <c r="AI326"/>
      <c r="AJ326"/>
      <c r="BB326" s="1579"/>
    </row>
    <row r="327" spans="1:57" s="624" customFormat="1" ht="15" hidden="1" customHeight="1" outlineLevel="1" x14ac:dyDescent="0.25">
      <c r="A327" s="763"/>
      <c r="B327" s="763"/>
      <c r="C327" s="1955"/>
      <c r="D327" s="1642" t="s">
        <v>956</v>
      </c>
      <c r="E327" s="1642" t="s">
        <v>1001</v>
      </c>
      <c r="F327" s="1341">
        <v>1</v>
      </c>
      <c r="G327" s="3004" t="s">
        <v>1003</v>
      </c>
      <c r="H327" s="3004"/>
      <c r="I327" s="2692" t="s">
        <v>2361</v>
      </c>
      <c r="J327" s="2692"/>
      <c r="K327" s="2692"/>
      <c r="L327" s="763"/>
      <c r="M327" s="763"/>
      <c r="N327" s="763"/>
      <c r="O327" s="763"/>
      <c r="P327" s="763"/>
      <c r="Q327" s="763"/>
      <c r="R327" s="763"/>
      <c r="S327" s="763"/>
      <c r="T327" s="763"/>
      <c r="U327" s="763"/>
      <c r="V327" s="1254" t="str">
        <f t="shared" si="62"/>
        <v>Utility Adjustment</v>
      </c>
      <c r="W327" s="667">
        <v>1</v>
      </c>
      <c r="X327" s="667">
        <v>1</v>
      </c>
      <c r="Y327" s="667">
        <v>1</v>
      </c>
      <c r="Z327" s="667"/>
      <c r="AA327" s="667"/>
      <c r="AB327" s="667"/>
      <c r="AC327" s="667"/>
      <c r="AD327" s="667"/>
      <c r="AE327" s="667"/>
      <c r="AF327" s="667"/>
      <c r="AG327" s="667"/>
      <c r="AH327"/>
      <c r="AI327"/>
      <c r="AJ327"/>
      <c r="BB327" s="1579"/>
    </row>
    <row r="328" spans="1:57" s="624" customFormat="1" hidden="1" outlineLevel="1" x14ac:dyDescent="0.25">
      <c r="A328" s="763"/>
      <c r="B328" s="763"/>
      <c r="C328" s="1955"/>
      <c r="D328" s="1642" t="s">
        <v>82</v>
      </c>
      <c r="E328" s="1642" t="s">
        <v>731</v>
      </c>
      <c r="F328" s="1341">
        <v>1</v>
      </c>
      <c r="G328" s="3004" t="s">
        <v>2365</v>
      </c>
      <c r="H328" s="3004"/>
      <c r="I328" s="2692" t="s">
        <v>2362</v>
      </c>
      <c r="J328" s="2692"/>
      <c r="K328" s="2692"/>
      <c r="L328" s="763"/>
      <c r="M328" s="763"/>
      <c r="N328" s="763"/>
      <c r="O328" s="763"/>
      <c r="P328" s="763"/>
      <c r="Q328" s="763"/>
      <c r="R328" s="763"/>
      <c r="S328" s="763"/>
      <c r="T328" s="763"/>
      <c r="U328" s="763"/>
      <c r="V328" s="1254" t="str">
        <f t="shared" si="62"/>
        <v>ISR</v>
      </c>
      <c r="W328" s="667">
        <v>1</v>
      </c>
      <c r="X328" s="667">
        <v>1</v>
      </c>
      <c r="Y328" s="667">
        <v>1</v>
      </c>
      <c r="Z328" s="667"/>
      <c r="AA328" s="667"/>
      <c r="AB328" s="667"/>
      <c r="AC328" s="667"/>
      <c r="AD328" s="667"/>
      <c r="AE328" s="667"/>
      <c r="AF328" s="667"/>
      <c r="AG328" s="667"/>
      <c r="AH328"/>
      <c r="AI328"/>
      <c r="AJ328"/>
      <c r="BB328" s="1579"/>
    </row>
    <row r="329" spans="1:57" s="355" customFormat="1" ht="15" hidden="1" customHeight="1" outlineLevel="1" x14ac:dyDescent="0.25">
      <c r="B329" s="1580"/>
      <c r="C329" s="1192"/>
      <c r="D329" s="537" t="str">
        <f>$D$30</f>
        <v>EUL</v>
      </c>
      <c r="E329" s="1642" t="s">
        <v>637</v>
      </c>
      <c r="F329" s="1332">
        <v>10</v>
      </c>
      <c r="G329" s="3004"/>
      <c r="H329" s="3004"/>
      <c r="I329" s="2692"/>
      <c r="J329" s="2692"/>
      <c r="K329" s="2692"/>
      <c r="V329" s="1352" t="str">
        <f>D329</f>
        <v>EUL</v>
      </c>
      <c r="W329" s="1332">
        <v>10</v>
      </c>
      <c r="X329" s="1332">
        <v>10</v>
      </c>
      <c r="Y329" s="1332">
        <v>10</v>
      </c>
      <c r="Z329" s="1499"/>
      <c r="AA329" s="1499"/>
      <c r="AB329" s="1499"/>
      <c r="AC329" s="1499"/>
      <c r="AD329" s="1499"/>
      <c r="AE329" s="1499"/>
      <c r="AF329" s="1499"/>
      <c r="AG329" s="1499"/>
      <c r="AK329" s="1581"/>
      <c r="BB329" s="1582"/>
    </row>
    <row r="330" spans="1:57" s="355" customFormat="1" ht="15" hidden="1" customHeight="1" outlineLevel="1" x14ac:dyDescent="0.25">
      <c r="B330" s="1580"/>
      <c r="C330" s="1192"/>
      <c r="D330" s="537" t="str">
        <f>$D$31</f>
        <v>Inc. Cost</v>
      </c>
      <c r="E330" s="1642" t="s">
        <v>1948</v>
      </c>
      <c r="F330" s="1356">
        <v>8</v>
      </c>
      <c r="G330" s="3004"/>
      <c r="H330" s="3004"/>
      <c r="I330" s="2692"/>
      <c r="J330" s="2692"/>
      <c r="K330" s="2692"/>
      <c r="V330" s="1352" t="str">
        <f>D330</f>
        <v>Inc. Cost</v>
      </c>
      <c r="W330" s="1356">
        <v>8</v>
      </c>
      <c r="X330" s="1356">
        <v>8</v>
      </c>
      <c r="Y330" s="1356">
        <v>8</v>
      </c>
      <c r="Z330" s="1499"/>
      <c r="AA330" s="1499"/>
      <c r="AB330" s="1499"/>
      <c r="AC330" s="1499"/>
      <c r="AD330" s="1499"/>
      <c r="AE330" s="1499"/>
      <c r="AF330" s="1499"/>
      <c r="AG330" s="1499"/>
      <c r="AK330" s="1581"/>
      <c r="BB330" s="1582"/>
    </row>
    <row r="331" spans="1:57" collapsed="1" x14ac:dyDescent="0.25">
      <c r="B331" s="2293"/>
      <c r="C331" s="2294"/>
      <c r="D331" s="1534"/>
      <c r="E331" s="1534"/>
      <c r="F331" s="2293"/>
      <c r="G331" s="2293"/>
      <c r="H331" s="2293"/>
      <c r="I331" s="2293"/>
      <c r="J331" s="2293"/>
      <c r="K331" s="2293"/>
      <c r="L331" s="2293"/>
    </row>
    <row r="332" spans="1:57" x14ac:dyDescent="0.25">
      <c r="B332" s="2293"/>
      <c r="C332" s="2294"/>
      <c r="D332" s="1534"/>
      <c r="E332" s="1534"/>
      <c r="F332" s="2293"/>
      <c r="G332" s="2293"/>
      <c r="H332" s="2293"/>
      <c r="I332" s="2293"/>
      <c r="J332" s="2293"/>
      <c r="K332" s="2293"/>
      <c r="L332" s="2293"/>
    </row>
    <row r="333" spans="1:57" s="229" customFormat="1" x14ac:dyDescent="0.25">
      <c r="B333" s="2639" t="s">
        <v>2366</v>
      </c>
      <c r="C333" s="2640"/>
      <c r="D333" s="2640"/>
      <c r="E333" s="2640"/>
      <c r="F333" s="2640"/>
      <c r="G333" s="2640"/>
      <c r="H333" s="2640"/>
      <c r="I333" s="2641"/>
      <c r="J333" s="2641"/>
      <c r="K333" s="2641"/>
      <c r="L333" s="2641"/>
      <c r="M333" s="2641"/>
      <c r="N333" s="2641"/>
      <c r="O333" s="2641"/>
      <c r="P333" s="2641"/>
      <c r="Q333" s="2642"/>
      <c r="V333" s="2639" t="str">
        <f>B333</f>
        <v>Faucet Aerators (Bathroom)</v>
      </c>
      <c r="W333" s="2640"/>
      <c r="X333" s="2640"/>
      <c r="Y333" s="2640"/>
      <c r="Z333" s="2640"/>
      <c r="AA333" s="2640"/>
      <c r="AB333" s="2640"/>
      <c r="AC333" s="2615"/>
      <c r="AD333" s="2615"/>
      <c r="AE333" s="2615"/>
      <c r="AF333" s="2615"/>
      <c r="AG333" s="2615"/>
      <c r="AH333" s="2615"/>
      <c r="AI333" s="2616"/>
      <c r="AJ333"/>
      <c r="BB333" s="1116"/>
    </row>
    <row r="334" spans="1:57" ht="18" customHeight="1" x14ac:dyDescent="0.25">
      <c r="B334" s="2293"/>
      <c r="C334" s="2294"/>
      <c r="D334" s="1534"/>
      <c r="E334" s="1534"/>
      <c r="F334" s="2293"/>
      <c r="G334" s="2293"/>
      <c r="H334" s="2293"/>
      <c r="I334" s="2293"/>
      <c r="J334" s="2293"/>
      <c r="K334" s="2293"/>
      <c r="L334" s="2293"/>
    </row>
    <row r="335" spans="1:57" ht="30" x14ac:dyDescent="0.25">
      <c r="B335" s="2293"/>
      <c r="C335" s="1641" t="s">
        <v>17</v>
      </c>
      <c r="D335" s="1641" t="s">
        <v>662</v>
      </c>
      <c r="E335" s="1641" t="s">
        <v>19</v>
      </c>
      <c r="F335" s="1641" t="s">
        <v>20</v>
      </c>
      <c r="G335" s="1641" t="s">
        <v>21</v>
      </c>
      <c r="H335" s="1641" t="s">
        <v>22</v>
      </c>
      <c r="I335" s="1641" t="s">
        <v>1007</v>
      </c>
      <c r="J335" s="1641" t="s">
        <v>23</v>
      </c>
      <c r="K335" s="1641" t="s">
        <v>24</v>
      </c>
      <c r="L335" s="1641" t="s">
        <v>25</v>
      </c>
      <c r="M335" s="1641" t="s">
        <v>26</v>
      </c>
      <c r="V335" s="55" t="s">
        <v>27</v>
      </c>
      <c r="W335" s="56">
        <f>W$6</f>
        <v>43252</v>
      </c>
      <c r="X335" s="56">
        <f t="shared" ref="X335:AG335" si="63">X$6</f>
        <v>43465</v>
      </c>
      <c r="Y335" s="56">
        <f t="shared" si="63"/>
        <v>43800</v>
      </c>
      <c r="Z335" s="56">
        <f t="shared" si="63"/>
        <v>43862</v>
      </c>
      <c r="AA335" s="56" t="str">
        <f t="shared" si="63"/>
        <v>-</v>
      </c>
      <c r="AB335" s="56" t="str">
        <f t="shared" si="63"/>
        <v>-</v>
      </c>
      <c r="AC335" s="56" t="str">
        <f t="shared" si="63"/>
        <v>-</v>
      </c>
      <c r="AD335" s="56" t="str">
        <f t="shared" si="63"/>
        <v>-</v>
      </c>
      <c r="AE335" s="56" t="str">
        <f t="shared" si="63"/>
        <v>-</v>
      </c>
      <c r="AF335" s="56" t="str">
        <f t="shared" si="63"/>
        <v>-</v>
      </c>
      <c r="AG335" s="56" t="str">
        <f t="shared" si="63"/>
        <v>-</v>
      </c>
      <c r="BB335" s="57" t="str">
        <f>$BB$6</f>
        <v>TRC (2020)</v>
      </c>
      <c r="BC335" s="103" t="str">
        <f>$BC$6</f>
        <v>Benefit Lookup</v>
      </c>
      <c r="BD335" s="883" t="str">
        <f>$BD$6</f>
        <v>Benefits (2019 $)</v>
      </c>
      <c r="BE335" s="334" t="str">
        <f>$BE$6</f>
        <v>Incremental Cost (2019 $)</v>
      </c>
    </row>
    <row r="336" spans="1:57" x14ac:dyDescent="0.25">
      <c r="B336" s="2293"/>
      <c r="C336" s="92" t="s">
        <v>2367</v>
      </c>
      <c r="D336" s="1927" t="s">
        <v>2272</v>
      </c>
      <c r="E336" s="2304" t="s">
        <v>2368</v>
      </c>
      <c r="F336" s="712">
        <f>ROUND(F346*(F347*F348-F349*F350)*F351*F352*F353/F354*I336*F362*F361,2)</f>
        <v>33.47</v>
      </c>
      <c r="G336" s="1699" t="s">
        <v>668</v>
      </c>
      <c r="H336" s="239">
        <f>VLOOKUP(G336,'CP FACTORS'!$A$3:$B$38, 2, FALSE)</f>
        <v>8.8731800000000003E-5</v>
      </c>
      <c r="I336" s="707">
        <f>F355*F356*(F357-F358)/(F359*F360)</f>
        <v>6.1532825322391571E-2</v>
      </c>
      <c r="J336" s="153">
        <f>ROUND(F336*H336,6)</f>
        <v>2.97E-3</v>
      </c>
      <c r="K336" s="156">
        <f>F363</f>
        <v>10</v>
      </c>
      <c r="L336" s="1535">
        <f>F364</f>
        <v>8</v>
      </c>
      <c r="M336" s="291" t="s">
        <v>37</v>
      </c>
      <c r="V336" s="245" t="str">
        <f>F335</f>
        <v>kWh Annual Savings</v>
      </c>
      <c r="W336" s="575">
        <v>33.473610844079722</v>
      </c>
      <c r="X336" s="1536">
        <v>33.473610844079722</v>
      </c>
      <c r="Y336" s="1536">
        <v>33.47</v>
      </c>
      <c r="Z336" s="245"/>
      <c r="AA336" s="245"/>
      <c r="AB336" s="245"/>
      <c r="AC336" s="245"/>
      <c r="AD336" s="245"/>
      <c r="AE336" s="245"/>
      <c r="AF336" s="245"/>
      <c r="AG336" s="245"/>
      <c r="BB336" s="120">
        <f t="shared" ref="BB336" si="64">(BD336)/(BE336)</f>
        <v>1.4950617018732253</v>
      </c>
      <c r="BC336" s="69" t="str">
        <f>CONCATENATE(G336," ",K336," Year EUL")</f>
        <v>Water Heating RES 10 Year EUL</v>
      </c>
      <c r="BD336" s="251">
        <f>(INDEX('Avoided Cost Benefits'!$C$4:$C$857,MATCH(BC336,'Avoided Cost Benefits'!$A$4:$A$857,0)))*F336</f>
        <v>11.288809452558565</v>
      </c>
      <c r="BE336" s="122">
        <f>L336/(1.0595^(2020-2019))</f>
        <v>7.5507314771118441</v>
      </c>
    </row>
    <row r="337" spans="2:33" hidden="1" outlineLevel="1" x14ac:dyDescent="0.25">
      <c r="B337" s="2293"/>
      <c r="C337" s="2294"/>
      <c r="D337" s="1534"/>
      <c r="E337" s="1534"/>
      <c r="F337" s="2293"/>
      <c r="G337" s="2307"/>
      <c r="H337" s="2293"/>
      <c r="I337" s="2293"/>
      <c r="J337" s="2293"/>
      <c r="K337" s="2293"/>
      <c r="L337" s="2293"/>
    </row>
    <row r="338" spans="2:33" hidden="1" outlineLevel="1" x14ac:dyDescent="0.25">
      <c r="B338" s="2293"/>
      <c r="C338" s="2294"/>
      <c r="D338" s="259" t="s">
        <v>617</v>
      </c>
      <c r="E338" s="1534"/>
      <c r="F338" s="2293"/>
      <c r="G338" s="2293"/>
      <c r="H338" s="2293"/>
      <c r="I338" s="2293"/>
      <c r="J338" s="2293"/>
      <c r="K338" s="2293"/>
      <c r="L338" s="2293"/>
    </row>
    <row r="339" spans="2:33" hidden="1" outlineLevel="1" x14ac:dyDescent="0.25">
      <c r="B339" s="2293"/>
      <c r="C339" s="2294"/>
      <c r="D339" s="1534"/>
      <c r="E339" s="1534"/>
      <c r="F339" s="2293"/>
      <c r="G339" s="2293"/>
      <c r="H339" s="2293"/>
      <c r="I339" s="2293"/>
      <c r="J339" s="2293"/>
      <c r="K339" s="2293"/>
      <c r="L339" s="2293"/>
    </row>
    <row r="340" spans="2:33" hidden="1" outlineLevel="1" x14ac:dyDescent="0.25">
      <c r="B340" s="2293"/>
      <c r="C340" s="2294"/>
      <c r="D340" s="1534"/>
      <c r="E340" s="1534"/>
      <c r="F340" s="2293"/>
      <c r="G340" s="2293"/>
      <c r="H340" s="2293"/>
      <c r="I340" s="2293"/>
      <c r="J340" s="2293"/>
      <c r="K340" s="2293"/>
      <c r="L340" s="2293"/>
    </row>
    <row r="341" spans="2:33" hidden="1" outlineLevel="1" x14ac:dyDescent="0.25">
      <c r="B341" s="2293"/>
      <c r="C341" s="2294"/>
      <c r="D341" s="1534"/>
      <c r="E341" s="1534"/>
      <c r="F341" s="2293"/>
      <c r="G341" s="2293"/>
      <c r="H341" s="2293"/>
      <c r="I341" s="2293"/>
      <c r="J341" s="2293"/>
      <c r="K341" s="2293"/>
      <c r="L341" s="2293"/>
    </row>
    <row r="342" spans="2:33" hidden="1" outlineLevel="1" x14ac:dyDescent="0.25">
      <c r="B342" s="2293"/>
      <c r="C342" s="2294"/>
      <c r="D342" s="1534"/>
      <c r="E342" s="1534"/>
      <c r="F342" s="2293"/>
      <c r="G342" s="2293"/>
      <c r="H342" s="2293"/>
      <c r="I342" s="2293"/>
      <c r="J342" s="2293"/>
      <c r="K342" s="2293"/>
      <c r="L342" s="2293"/>
    </row>
    <row r="343" spans="2:33" hidden="1" outlineLevel="1" x14ac:dyDescent="0.25">
      <c r="B343" s="2293"/>
      <c r="C343" s="2294"/>
      <c r="D343" s="1534"/>
      <c r="E343" s="1534"/>
      <c r="F343" s="2293"/>
      <c r="G343" s="2293"/>
      <c r="H343" s="2293"/>
      <c r="I343" s="2293"/>
      <c r="J343" s="2293"/>
      <c r="K343" s="2293"/>
      <c r="L343" s="2293"/>
    </row>
    <row r="344" spans="2:33" hidden="1" outlineLevel="1" x14ac:dyDescent="0.25">
      <c r="B344" s="2293"/>
      <c r="C344" s="2294"/>
      <c r="D344" s="1534"/>
      <c r="E344" s="1534"/>
      <c r="F344" s="2293"/>
      <c r="G344" s="2293"/>
      <c r="H344" s="2293"/>
      <c r="I344" s="2293"/>
      <c r="J344" s="2293"/>
      <c r="K344" s="2293"/>
      <c r="L344" s="2293"/>
    </row>
    <row r="345" spans="2:33" ht="15" hidden="1" customHeight="1" outlineLevel="1" x14ac:dyDescent="0.25">
      <c r="B345" s="2293"/>
      <c r="C345" s="2294"/>
      <c r="D345" s="1701" t="s">
        <v>618</v>
      </c>
      <c r="E345" s="1701" t="s">
        <v>619</v>
      </c>
      <c r="F345" s="1641" t="s">
        <v>976</v>
      </c>
      <c r="G345" s="2669" t="s">
        <v>977</v>
      </c>
      <c r="H345" s="2669"/>
      <c r="I345" s="2669" t="s">
        <v>621</v>
      </c>
      <c r="J345" s="2669"/>
      <c r="K345" s="1641"/>
      <c r="L345" s="2293"/>
      <c r="V345" s="55" t="s">
        <v>27</v>
      </c>
      <c r="W345" s="56">
        <f>W$6</f>
        <v>43252</v>
      </c>
      <c r="X345" s="56">
        <f t="shared" ref="X345:AG345" si="65">X$6</f>
        <v>43465</v>
      </c>
      <c r="Y345" s="56">
        <f t="shared" si="65"/>
        <v>43800</v>
      </c>
      <c r="Z345" s="56">
        <f t="shared" si="65"/>
        <v>43862</v>
      </c>
      <c r="AA345" s="56" t="str">
        <f t="shared" si="65"/>
        <v>-</v>
      </c>
      <c r="AB345" s="56" t="str">
        <f t="shared" si="65"/>
        <v>-</v>
      </c>
      <c r="AC345" s="56" t="str">
        <f t="shared" si="65"/>
        <v>-</v>
      </c>
      <c r="AD345" s="56" t="str">
        <f t="shared" si="65"/>
        <v>-</v>
      </c>
      <c r="AE345" s="56" t="str">
        <f t="shared" si="65"/>
        <v>-</v>
      </c>
      <c r="AF345" s="56" t="str">
        <f t="shared" si="65"/>
        <v>-</v>
      </c>
      <c r="AG345" s="56" t="str">
        <f t="shared" si="65"/>
        <v>-</v>
      </c>
    </row>
    <row r="346" spans="2:33" hidden="1" outlineLevel="1" x14ac:dyDescent="0.25">
      <c r="B346" s="2293"/>
      <c r="C346" s="2294"/>
      <c r="D346" s="1642" t="s">
        <v>1011</v>
      </c>
      <c r="E346" s="1642" t="s">
        <v>1012</v>
      </c>
      <c r="F346" s="1341">
        <v>1</v>
      </c>
      <c r="G346" s="3004" t="s">
        <v>1003</v>
      </c>
      <c r="H346" s="3004"/>
      <c r="I346" s="2692" t="s">
        <v>2361</v>
      </c>
      <c r="J346" s="2692"/>
      <c r="K346" s="2692"/>
      <c r="L346" s="2293"/>
      <c r="V346" s="630" t="str">
        <f>D346</f>
        <v>%Electric DHW</v>
      </c>
      <c r="W346" s="667">
        <v>1</v>
      </c>
      <c r="X346" s="667">
        <v>1</v>
      </c>
      <c r="Y346" s="667">
        <v>1</v>
      </c>
      <c r="Z346" s="667"/>
      <c r="AA346" s="667"/>
      <c r="AB346" s="667"/>
      <c r="AC346" s="667"/>
      <c r="AD346" s="667"/>
      <c r="AE346" s="667"/>
      <c r="AF346" s="667"/>
      <c r="AG346" s="667"/>
    </row>
    <row r="347" spans="2:33" ht="27.75" hidden="1" customHeight="1" outlineLevel="1" x14ac:dyDescent="0.25">
      <c r="B347" s="2293"/>
      <c r="C347" s="2294"/>
      <c r="D347" s="1642" t="s">
        <v>1015</v>
      </c>
      <c r="E347" s="1642" t="s">
        <v>1016</v>
      </c>
      <c r="F347" s="1699">
        <v>2.2000000000000002</v>
      </c>
      <c r="G347" s="2699" t="s">
        <v>1017</v>
      </c>
      <c r="H347" s="2699"/>
      <c r="I347" s="2692" t="s">
        <v>2362</v>
      </c>
      <c r="J347" s="2692"/>
      <c r="K347" s="2692"/>
      <c r="L347" s="2293"/>
      <c r="V347" s="630" t="str">
        <f t="shared" ref="V347:V362" si="66">D347</f>
        <v>GPM_base</v>
      </c>
      <c r="W347" s="657">
        <v>2.2000000000000002</v>
      </c>
      <c r="X347" s="657">
        <v>2.2000000000000002</v>
      </c>
      <c r="Y347" s="657">
        <v>2.2000000000000002</v>
      </c>
      <c r="Z347" s="657"/>
      <c r="AA347" s="657"/>
      <c r="AB347" s="657"/>
      <c r="AC347" s="657"/>
      <c r="AD347" s="657"/>
      <c r="AE347" s="657"/>
      <c r="AF347" s="657"/>
      <c r="AG347" s="657"/>
    </row>
    <row r="348" spans="2:33" ht="69.75" hidden="1" customHeight="1" outlineLevel="1" x14ac:dyDescent="0.25">
      <c r="B348" s="2293"/>
      <c r="C348" s="2294"/>
      <c r="D348" s="1642" t="s">
        <v>1018</v>
      </c>
      <c r="E348" s="1666" t="s">
        <v>1019</v>
      </c>
      <c r="F348" s="1699">
        <v>1.6</v>
      </c>
      <c r="G348" s="2699" t="s">
        <v>1051</v>
      </c>
      <c r="H348" s="2699"/>
      <c r="I348" s="2692" t="s">
        <v>2362</v>
      </c>
      <c r="J348" s="2692"/>
      <c r="K348" s="2692"/>
      <c r="L348" s="2293"/>
      <c r="V348" s="630" t="str">
        <f t="shared" si="66"/>
        <v>L_base</v>
      </c>
      <c r="W348" s="657">
        <v>1.6</v>
      </c>
      <c r="X348" s="657">
        <v>1.6</v>
      </c>
      <c r="Y348" s="657">
        <v>1.6</v>
      </c>
      <c r="Z348" s="657"/>
      <c r="AA348" s="657"/>
      <c r="AB348" s="657"/>
      <c r="AC348" s="657"/>
      <c r="AD348" s="657"/>
      <c r="AE348" s="657"/>
      <c r="AF348" s="657"/>
      <c r="AG348" s="657"/>
    </row>
    <row r="349" spans="2:33" hidden="1" outlineLevel="1" x14ac:dyDescent="0.25">
      <c r="B349" s="2293"/>
      <c r="C349" s="2294"/>
      <c r="D349" s="1642" t="s">
        <v>1022</v>
      </c>
      <c r="E349" s="1642" t="s">
        <v>1023</v>
      </c>
      <c r="F349" s="637">
        <v>1.5</v>
      </c>
      <c r="G349" s="2699" t="s">
        <v>509</v>
      </c>
      <c r="H349" s="2699"/>
      <c r="I349" s="2692" t="s">
        <v>2362</v>
      </c>
      <c r="J349" s="2692"/>
      <c r="K349" s="2692"/>
      <c r="L349" s="2293"/>
      <c r="V349" s="630" t="str">
        <f t="shared" si="66"/>
        <v>GPM_low</v>
      </c>
      <c r="W349" s="638">
        <v>1.5</v>
      </c>
      <c r="X349" s="638">
        <v>1.5</v>
      </c>
      <c r="Y349" s="638">
        <v>1.5</v>
      </c>
      <c r="Z349" s="638"/>
      <c r="AA349" s="638"/>
      <c r="AB349" s="638"/>
      <c r="AC349" s="638"/>
      <c r="AD349" s="638"/>
      <c r="AE349" s="638"/>
      <c r="AF349" s="638"/>
      <c r="AG349" s="638"/>
    </row>
    <row r="350" spans="2:33" ht="72.75" hidden="1" customHeight="1" outlineLevel="1" x14ac:dyDescent="0.25">
      <c r="B350" s="2293"/>
      <c r="C350" s="2294"/>
      <c r="D350" s="1642" t="s">
        <v>1024</v>
      </c>
      <c r="E350" s="1666" t="s">
        <v>1025</v>
      </c>
      <c r="F350" s="1699">
        <v>1.6</v>
      </c>
      <c r="G350" s="2699" t="s">
        <v>1051</v>
      </c>
      <c r="H350" s="2699"/>
      <c r="I350" s="2692" t="s">
        <v>2362</v>
      </c>
      <c r="J350" s="2692"/>
      <c r="K350" s="2692"/>
      <c r="L350" s="2293"/>
      <c r="V350" s="630" t="str">
        <f t="shared" si="66"/>
        <v>L_low</v>
      </c>
      <c r="W350" s="657">
        <v>1.6</v>
      </c>
      <c r="X350" s="657">
        <v>1.6</v>
      </c>
      <c r="Y350" s="657">
        <v>1.6</v>
      </c>
      <c r="Z350" s="657"/>
      <c r="AA350" s="657"/>
      <c r="AB350" s="657"/>
      <c r="AC350" s="657"/>
      <c r="AD350" s="657"/>
      <c r="AE350" s="657"/>
      <c r="AF350" s="657"/>
      <c r="AG350" s="657"/>
    </row>
    <row r="351" spans="2:33" ht="45" hidden="1" customHeight="1" outlineLevel="1" x14ac:dyDescent="0.25">
      <c r="B351" s="2293"/>
      <c r="C351" s="2294"/>
      <c r="D351" s="1642" t="s">
        <v>683</v>
      </c>
      <c r="E351" s="458" t="s">
        <v>1026</v>
      </c>
      <c r="F351" s="1699">
        <v>2.0699999999999998</v>
      </c>
      <c r="G351" s="2699" t="s">
        <v>2363</v>
      </c>
      <c r="H351" s="2699"/>
      <c r="I351" s="2692" t="s">
        <v>2362</v>
      </c>
      <c r="J351" s="2692"/>
      <c r="K351" s="2692"/>
      <c r="L351" s="2293"/>
      <c r="V351" s="630" t="str">
        <f t="shared" si="66"/>
        <v>Household</v>
      </c>
      <c r="W351" s="657">
        <v>2.0699999999999998</v>
      </c>
      <c r="X351" s="657">
        <v>2.0699999999999998</v>
      </c>
      <c r="Y351" s="657">
        <v>2.0699999999999998</v>
      </c>
      <c r="Z351" s="657"/>
      <c r="AA351" s="657"/>
      <c r="AB351" s="657"/>
      <c r="AC351" s="657"/>
      <c r="AD351" s="657"/>
      <c r="AE351" s="657"/>
      <c r="AF351" s="657"/>
      <c r="AG351" s="657"/>
    </row>
    <row r="352" spans="2:33" ht="82.5" hidden="1" customHeight="1" outlineLevel="1" x14ac:dyDescent="0.25">
      <c r="B352" s="2293"/>
      <c r="C352" s="2294"/>
      <c r="D352" s="615" t="s">
        <v>1028</v>
      </c>
      <c r="E352" s="2306" t="s">
        <v>1029</v>
      </c>
      <c r="F352" s="150">
        <v>0.9</v>
      </c>
      <c r="G352" s="2901" t="s">
        <v>1030</v>
      </c>
      <c r="H352" s="2901"/>
      <c r="I352" s="2692" t="s">
        <v>2362</v>
      </c>
      <c r="J352" s="2692"/>
      <c r="K352" s="2692"/>
      <c r="L352" s="2293"/>
      <c r="V352" s="630" t="str">
        <f t="shared" si="66"/>
        <v>DF</v>
      </c>
      <c r="W352" s="678">
        <v>0.9</v>
      </c>
      <c r="X352" s="678">
        <v>0.9</v>
      </c>
      <c r="Y352" s="678">
        <v>0.9</v>
      </c>
      <c r="Z352" s="678"/>
      <c r="AA352" s="678"/>
      <c r="AB352" s="678"/>
      <c r="AC352" s="678"/>
      <c r="AD352" s="678"/>
      <c r="AE352" s="678"/>
      <c r="AF352" s="678"/>
      <c r="AG352" s="678"/>
    </row>
    <row r="353" spans="1:54" s="624" customFormat="1" hidden="1" outlineLevel="1" x14ac:dyDescent="0.25">
      <c r="A353" s="763"/>
      <c r="B353" s="2308"/>
      <c r="C353" s="2309"/>
      <c r="D353" s="615">
        <v>365.25</v>
      </c>
      <c r="E353" s="458" t="s">
        <v>235</v>
      </c>
      <c r="F353" s="61">
        <v>365</v>
      </c>
      <c r="G353" s="2729"/>
      <c r="H353" s="2729"/>
      <c r="I353" s="2692" t="s">
        <v>2362</v>
      </c>
      <c r="J353" s="2692"/>
      <c r="K353" s="2692"/>
      <c r="L353" s="2308"/>
      <c r="M353" s="763"/>
      <c r="N353" s="763"/>
      <c r="O353" s="763"/>
      <c r="P353" s="763"/>
      <c r="Q353" s="763"/>
      <c r="R353" s="763"/>
      <c r="S353" s="763"/>
      <c r="T353" s="763"/>
      <c r="U353" s="763"/>
      <c r="V353" s="630">
        <f t="shared" si="66"/>
        <v>365.25</v>
      </c>
      <c r="W353" s="669">
        <v>365</v>
      </c>
      <c r="X353" s="669">
        <v>365</v>
      </c>
      <c r="Y353" s="669">
        <v>365</v>
      </c>
      <c r="Z353" s="669"/>
      <c r="AA353" s="669"/>
      <c r="AB353" s="669"/>
      <c r="AC353" s="669"/>
      <c r="AD353" s="669"/>
      <c r="AE353" s="669"/>
      <c r="AF353" s="669"/>
      <c r="AG353" s="669"/>
      <c r="AH353"/>
      <c r="AI353"/>
      <c r="AJ353"/>
      <c r="BB353" s="1579"/>
    </row>
    <row r="354" spans="1:54" s="624" customFormat="1" ht="30" hidden="1" customHeight="1" outlineLevel="1" x14ac:dyDescent="0.25">
      <c r="A354" s="763"/>
      <c r="B354" s="2308"/>
      <c r="C354" s="2309"/>
      <c r="D354" s="615" t="s">
        <v>1031</v>
      </c>
      <c r="E354" s="1642" t="s">
        <v>1032</v>
      </c>
      <c r="F354" s="2305">
        <v>1.4</v>
      </c>
      <c r="G354" s="3004" t="s">
        <v>2364</v>
      </c>
      <c r="H354" s="3004"/>
      <c r="I354" s="2692" t="s">
        <v>2362</v>
      </c>
      <c r="J354" s="2692"/>
      <c r="K354" s="2692"/>
      <c r="L354" s="2308"/>
      <c r="M354" s="763"/>
      <c r="N354" s="763"/>
      <c r="O354" s="763"/>
      <c r="P354" s="763"/>
      <c r="Q354" s="763"/>
      <c r="R354" s="763"/>
      <c r="S354" s="763"/>
      <c r="T354" s="763"/>
      <c r="U354" s="763"/>
      <c r="V354" s="630" t="str">
        <f t="shared" si="66"/>
        <v>FPH</v>
      </c>
      <c r="W354" s="684">
        <v>1.4</v>
      </c>
      <c r="X354" s="684">
        <v>1.4</v>
      </c>
      <c r="Y354" s="684">
        <v>1.4</v>
      </c>
      <c r="Z354" s="684"/>
      <c r="AA354" s="684"/>
      <c r="AB354" s="684"/>
      <c r="AC354" s="684"/>
      <c r="AD354" s="684"/>
      <c r="AE354" s="684"/>
      <c r="AF354" s="684"/>
      <c r="AG354" s="684"/>
      <c r="AH354"/>
      <c r="AI354"/>
      <c r="AJ354"/>
      <c r="BB354" s="1579"/>
    </row>
    <row r="355" spans="1:54" s="624" customFormat="1" hidden="1" outlineLevel="1" x14ac:dyDescent="0.25">
      <c r="A355" s="763"/>
      <c r="B355" s="2308"/>
      <c r="C355" s="2309"/>
      <c r="D355" s="615">
        <v>8.33</v>
      </c>
      <c r="E355" s="2306" t="s">
        <v>1033</v>
      </c>
      <c r="F355" s="150">
        <v>8.33</v>
      </c>
      <c r="G355" s="3181" t="s">
        <v>1034</v>
      </c>
      <c r="H355" s="3181"/>
      <c r="I355" s="2692" t="s">
        <v>2362</v>
      </c>
      <c r="J355" s="2692"/>
      <c r="K355" s="2692"/>
      <c r="L355" s="2308"/>
      <c r="M355" s="763"/>
      <c r="N355" s="763"/>
      <c r="O355" s="763"/>
      <c r="P355" s="763"/>
      <c r="Q355" s="763"/>
      <c r="R355" s="763"/>
      <c r="S355" s="763"/>
      <c r="T355" s="763"/>
      <c r="U355" s="763"/>
      <c r="V355" s="630">
        <f t="shared" si="66"/>
        <v>8.33</v>
      </c>
      <c r="W355" s="678">
        <v>8.33</v>
      </c>
      <c r="X355" s="678">
        <v>8.33</v>
      </c>
      <c r="Y355" s="678">
        <v>8.33</v>
      </c>
      <c r="Z355" s="678"/>
      <c r="AA355" s="678"/>
      <c r="AB355" s="678"/>
      <c r="AC355" s="678"/>
      <c r="AD355" s="678"/>
      <c r="AE355" s="678"/>
      <c r="AF355" s="678"/>
      <c r="AG355" s="678"/>
      <c r="AH355"/>
      <c r="AI355"/>
      <c r="AJ355"/>
      <c r="BB355" s="1579"/>
    </row>
    <row r="356" spans="1:54" s="624" customFormat="1" ht="30" hidden="1" customHeight="1" outlineLevel="1" x14ac:dyDescent="0.25">
      <c r="A356" s="763"/>
      <c r="B356" s="2308"/>
      <c r="C356" s="2309"/>
      <c r="D356" s="615">
        <v>1</v>
      </c>
      <c r="E356" s="1666" t="s">
        <v>1035</v>
      </c>
      <c r="F356" s="150">
        <v>1</v>
      </c>
      <c r="G356" s="2901" t="s">
        <v>1036</v>
      </c>
      <c r="H356" s="2901"/>
      <c r="I356" s="2692" t="s">
        <v>2362</v>
      </c>
      <c r="J356" s="2692"/>
      <c r="K356" s="2692"/>
      <c r="L356" s="2308"/>
      <c r="M356" s="763"/>
      <c r="N356" s="763"/>
      <c r="O356" s="763"/>
      <c r="P356" s="763"/>
      <c r="Q356" s="763"/>
      <c r="R356" s="763"/>
      <c r="S356" s="763"/>
      <c r="T356" s="763"/>
      <c r="U356" s="763"/>
      <c r="V356" s="630">
        <f t="shared" si="66"/>
        <v>1</v>
      </c>
      <c r="W356" s="678">
        <v>1</v>
      </c>
      <c r="X356" s="678">
        <v>1</v>
      </c>
      <c r="Y356" s="678">
        <v>1</v>
      </c>
      <c r="Z356" s="678"/>
      <c r="AA356" s="678"/>
      <c r="AB356" s="678"/>
      <c r="AC356" s="678"/>
      <c r="AD356" s="678"/>
      <c r="AE356" s="678"/>
      <c r="AF356" s="678"/>
      <c r="AG356" s="678"/>
      <c r="AH356"/>
      <c r="AI356"/>
      <c r="AJ356"/>
      <c r="BB356" s="1579"/>
    </row>
    <row r="357" spans="1:54" s="624" customFormat="1" ht="75.75" hidden="1" customHeight="1" outlineLevel="1" x14ac:dyDescent="0.25">
      <c r="A357" s="763"/>
      <c r="B357" s="2308"/>
      <c r="C357" s="2309"/>
      <c r="D357" s="1642" t="s">
        <v>1037</v>
      </c>
      <c r="E357" s="458" t="s">
        <v>1038</v>
      </c>
      <c r="F357" s="219">
        <v>86</v>
      </c>
      <c r="G357" s="2729" t="s">
        <v>1039</v>
      </c>
      <c r="H357" s="2729"/>
      <c r="I357" s="2692" t="s">
        <v>2362</v>
      </c>
      <c r="J357" s="2692"/>
      <c r="K357" s="2692"/>
      <c r="L357" s="2308"/>
      <c r="M357" s="763"/>
      <c r="N357" s="763"/>
      <c r="O357" s="763"/>
      <c r="P357" s="763"/>
      <c r="Q357" s="763"/>
      <c r="R357" s="763"/>
      <c r="S357" s="763"/>
      <c r="T357" s="763"/>
      <c r="U357" s="763"/>
      <c r="V357" s="630" t="str">
        <f t="shared" si="66"/>
        <v>WaterTemp</v>
      </c>
      <c r="W357" s="1069">
        <v>86</v>
      </c>
      <c r="X357" s="1069">
        <v>86</v>
      </c>
      <c r="Y357" s="1069">
        <v>86</v>
      </c>
      <c r="Z357" s="1069"/>
      <c r="AA357" s="1069"/>
      <c r="AB357" s="1069"/>
      <c r="AC357" s="1069"/>
      <c r="AD357" s="1069"/>
      <c r="AE357" s="1069"/>
      <c r="AF357" s="1069"/>
      <c r="AG357" s="1069"/>
      <c r="AH357"/>
      <c r="AI357"/>
      <c r="AJ357"/>
      <c r="BB357" s="1579"/>
    </row>
    <row r="358" spans="1:54" s="624" customFormat="1" ht="66.75" hidden="1" customHeight="1" outlineLevel="1" x14ac:dyDescent="0.25">
      <c r="A358" s="763"/>
      <c r="B358" s="2308"/>
      <c r="C358" s="2309"/>
      <c r="D358" s="1642" t="s">
        <v>1040</v>
      </c>
      <c r="E358" s="458" t="s">
        <v>1041</v>
      </c>
      <c r="F358" s="755">
        <v>61.3</v>
      </c>
      <c r="G358" s="3182" t="s">
        <v>1042</v>
      </c>
      <c r="H358" s="3182"/>
      <c r="I358" s="2692" t="s">
        <v>2362</v>
      </c>
      <c r="J358" s="2692"/>
      <c r="K358" s="2692"/>
      <c r="L358" s="2308"/>
      <c r="M358" s="763"/>
      <c r="N358" s="763"/>
      <c r="O358" s="763"/>
      <c r="P358" s="763"/>
      <c r="Q358" s="763"/>
      <c r="R358" s="763"/>
      <c r="S358" s="763"/>
      <c r="T358" s="763"/>
      <c r="U358" s="763"/>
      <c r="V358" s="630" t="str">
        <f t="shared" si="66"/>
        <v>SupplyTemp</v>
      </c>
      <c r="W358" s="1583">
        <v>61.3</v>
      </c>
      <c r="X358" s="1583">
        <v>61.3</v>
      </c>
      <c r="Y358" s="1583">
        <v>61.3</v>
      </c>
      <c r="Z358" s="1583"/>
      <c r="AA358" s="1583"/>
      <c r="AB358" s="1583"/>
      <c r="AC358" s="1583"/>
      <c r="AD358" s="1583"/>
      <c r="AE358" s="1583"/>
      <c r="AF358" s="1583"/>
      <c r="AG358" s="1583"/>
      <c r="AH358"/>
      <c r="AI358"/>
      <c r="AJ358"/>
      <c r="BB358" s="1579"/>
    </row>
    <row r="359" spans="1:54" s="624" customFormat="1" ht="66.75" hidden="1" customHeight="1" outlineLevel="1" x14ac:dyDescent="0.25">
      <c r="A359" s="763"/>
      <c r="B359" s="2308"/>
      <c r="C359" s="2309"/>
      <c r="D359" s="1642" t="s">
        <v>1043</v>
      </c>
      <c r="E359" s="1666" t="s">
        <v>1044</v>
      </c>
      <c r="F359" s="150">
        <v>0.98</v>
      </c>
      <c r="G359" s="3181" t="s">
        <v>1045</v>
      </c>
      <c r="H359" s="3181"/>
      <c r="I359" s="2692" t="s">
        <v>2362</v>
      </c>
      <c r="J359" s="2692"/>
      <c r="K359" s="2692"/>
      <c r="L359" s="2308"/>
      <c r="M359" s="763"/>
      <c r="N359" s="763"/>
      <c r="O359" s="763"/>
      <c r="P359" s="763"/>
      <c r="Q359" s="763"/>
      <c r="R359" s="763"/>
      <c r="S359" s="763"/>
      <c r="T359" s="763"/>
      <c r="U359" s="763"/>
      <c r="V359" s="630" t="str">
        <f t="shared" si="66"/>
        <v>RE_electric</v>
      </c>
      <c r="W359" s="678">
        <v>0.98</v>
      </c>
      <c r="X359" s="678">
        <v>0.98</v>
      </c>
      <c r="Y359" s="678">
        <v>0.98</v>
      </c>
      <c r="Z359" s="678"/>
      <c r="AA359" s="678"/>
      <c r="AB359" s="678"/>
      <c r="AC359" s="678"/>
      <c r="AD359" s="678"/>
      <c r="AE359" s="678"/>
      <c r="AF359" s="678"/>
      <c r="AG359" s="678"/>
      <c r="AH359"/>
      <c r="AI359"/>
      <c r="AJ359"/>
      <c r="BB359" s="1579"/>
    </row>
    <row r="360" spans="1:54" s="624" customFormat="1" ht="30" hidden="1" customHeight="1" outlineLevel="1" x14ac:dyDescent="0.25">
      <c r="A360" s="763"/>
      <c r="B360" s="2308"/>
      <c r="C360" s="2309"/>
      <c r="D360" s="1642">
        <v>3412</v>
      </c>
      <c r="E360" s="2306" t="s">
        <v>1046</v>
      </c>
      <c r="F360" s="526">
        <v>3412</v>
      </c>
      <c r="G360" s="3181" t="s">
        <v>701</v>
      </c>
      <c r="H360" s="3181"/>
      <c r="I360" s="2692" t="s">
        <v>2362</v>
      </c>
      <c r="J360" s="2692"/>
      <c r="K360" s="2692"/>
      <c r="L360" s="2308"/>
      <c r="M360" s="763"/>
      <c r="N360" s="763"/>
      <c r="O360" s="763"/>
      <c r="P360" s="763"/>
      <c r="Q360" s="763"/>
      <c r="R360" s="763"/>
      <c r="S360" s="763"/>
      <c r="T360" s="763"/>
      <c r="U360" s="763"/>
      <c r="V360" s="630">
        <f t="shared" si="66"/>
        <v>3412</v>
      </c>
      <c r="W360" s="687">
        <v>3412</v>
      </c>
      <c r="X360" s="687">
        <v>3412</v>
      </c>
      <c r="Y360" s="687">
        <v>3412</v>
      </c>
      <c r="Z360" s="687"/>
      <c r="AA360" s="687"/>
      <c r="AB360" s="687"/>
      <c r="AC360" s="687"/>
      <c r="AD360" s="687"/>
      <c r="AE360" s="687"/>
      <c r="AF360" s="687"/>
      <c r="AG360" s="687"/>
      <c r="AH360"/>
      <c r="AI360"/>
      <c r="AJ360"/>
      <c r="BB360" s="1579"/>
    </row>
    <row r="361" spans="1:54" s="624" customFormat="1" hidden="1" outlineLevel="1" x14ac:dyDescent="0.25">
      <c r="A361" s="763"/>
      <c r="B361" s="2308"/>
      <c r="C361" s="2309"/>
      <c r="D361" s="1642" t="s">
        <v>956</v>
      </c>
      <c r="E361" s="1642" t="s">
        <v>1001</v>
      </c>
      <c r="F361" s="1341">
        <v>1</v>
      </c>
      <c r="G361" s="3004" t="s">
        <v>1003</v>
      </c>
      <c r="H361" s="3004"/>
      <c r="I361" s="2692" t="s">
        <v>2361</v>
      </c>
      <c r="J361" s="2692"/>
      <c r="K361" s="2692"/>
      <c r="L361" s="2308"/>
      <c r="M361" s="763"/>
      <c r="N361" s="763"/>
      <c r="O361" s="763"/>
      <c r="P361" s="763"/>
      <c r="Q361" s="763"/>
      <c r="R361" s="763"/>
      <c r="S361" s="763"/>
      <c r="T361" s="763"/>
      <c r="U361" s="763"/>
      <c r="V361" s="630" t="str">
        <f t="shared" si="66"/>
        <v>Utility Adjustment</v>
      </c>
      <c r="W361" s="667">
        <v>1</v>
      </c>
      <c r="X361" s="667">
        <v>1</v>
      </c>
      <c r="Y361" s="667">
        <v>1</v>
      </c>
      <c r="Z361" s="667"/>
      <c r="AA361" s="667"/>
      <c r="AB361" s="667"/>
      <c r="AC361" s="667"/>
      <c r="AD361" s="667"/>
      <c r="AE361" s="667"/>
      <c r="AF361" s="667"/>
      <c r="AG361" s="667"/>
      <c r="AH361"/>
      <c r="AI361"/>
      <c r="AJ361"/>
      <c r="BB361" s="1579"/>
    </row>
    <row r="362" spans="1:54" s="624" customFormat="1" hidden="1" outlineLevel="1" x14ac:dyDescent="0.25">
      <c r="A362" s="763"/>
      <c r="B362" s="2308"/>
      <c r="C362" s="2309"/>
      <c r="D362" s="1642" t="s">
        <v>82</v>
      </c>
      <c r="E362" s="1642" t="s">
        <v>731</v>
      </c>
      <c r="F362" s="1341">
        <v>1</v>
      </c>
      <c r="G362" s="3004" t="s">
        <v>2365</v>
      </c>
      <c r="H362" s="3004"/>
      <c r="I362" s="2692" t="s">
        <v>2362</v>
      </c>
      <c r="J362" s="2692"/>
      <c r="K362" s="2692"/>
      <c r="L362" s="2308"/>
      <c r="M362" s="763"/>
      <c r="N362" s="763"/>
      <c r="O362" s="763"/>
      <c r="P362" s="763"/>
      <c r="Q362" s="763"/>
      <c r="R362" s="763"/>
      <c r="S362" s="763"/>
      <c r="T362" s="763"/>
      <c r="U362" s="763"/>
      <c r="V362" s="630" t="str">
        <f t="shared" si="66"/>
        <v>ISR</v>
      </c>
      <c r="W362" s="667">
        <v>1</v>
      </c>
      <c r="X362" s="667">
        <v>1</v>
      </c>
      <c r="Y362" s="667">
        <v>1</v>
      </c>
      <c r="Z362" s="667"/>
      <c r="AA362" s="667"/>
      <c r="AB362" s="667"/>
      <c r="AC362" s="667"/>
      <c r="AD362" s="667"/>
      <c r="AE362" s="667"/>
      <c r="AF362" s="667"/>
      <c r="AG362" s="667"/>
      <c r="AH362"/>
      <c r="AI362"/>
      <c r="AJ362"/>
      <c r="BB362" s="1579"/>
    </row>
    <row r="363" spans="1:54" s="355" customFormat="1" ht="15" hidden="1" customHeight="1" outlineLevel="1" x14ac:dyDescent="0.25">
      <c r="B363" s="1580"/>
      <c r="C363" s="1192"/>
      <c r="D363" s="537" t="str">
        <f>$D$30</f>
        <v>EUL</v>
      </c>
      <c r="E363" s="1642" t="s">
        <v>637</v>
      </c>
      <c r="F363" s="1332">
        <v>10</v>
      </c>
      <c r="G363" s="3004"/>
      <c r="H363" s="3004"/>
      <c r="I363" s="2692"/>
      <c r="J363" s="2692"/>
      <c r="K363" s="2692"/>
      <c r="V363" s="1352" t="str">
        <f>D363</f>
        <v>EUL</v>
      </c>
      <c r="W363" s="1332">
        <v>10</v>
      </c>
      <c r="X363" s="1332">
        <v>10</v>
      </c>
      <c r="Y363" s="1332">
        <v>10</v>
      </c>
      <c r="Z363" s="1499"/>
      <c r="AA363" s="1499"/>
      <c r="AB363" s="1499"/>
      <c r="AC363" s="1499"/>
      <c r="AD363" s="1499"/>
      <c r="AE363" s="1499"/>
      <c r="AF363" s="1499"/>
      <c r="AG363" s="1499"/>
      <c r="AK363" s="1581"/>
      <c r="BB363" s="1582"/>
    </row>
    <row r="364" spans="1:54" s="355" customFormat="1" ht="15" hidden="1" customHeight="1" outlineLevel="1" x14ac:dyDescent="0.25">
      <c r="B364" s="1580"/>
      <c r="C364" s="1192"/>
      <c r="D364" s="537" t="str">
        <f>$D$31</f>
        <v>Inc. Cost</v>
      </c>
      <c r="E364" s="1642" t="s">
        <v>1948</v>
      </c>
      <c r="F364" s="1356">
        <v>8</v>
      </c>
      <c r="G364" s="3004"/>
      <c r="H364" s="3004"/>
      <c r="I364" s="2692"/>
      <c r="J364" s="2692"/>
      <c r="K364" s="2692"/>
      <c r="V364" s="1352" t="str">
        <f>D364</f>
        <v>Inc. Cost</v>
      </c>
      <c r="W364" s="1356">
        <v>8</v>
      </c>
      <c r="X364" s="1356">
        <v>8</v>
      </c>
      <c r="Y364" s="1356">
        <v>8</v>
      </c>
      <c r="Z364" s="1499"/>
      <c r="AA364" s="1499"/>
      <c r="AB364" s="1499"/>
      <c r="AC364" s="1499"/>
      <c r="AD364" s="1499"/>
      <c r="AE364" s="1499"/>
      <c r="AF364" s="1499"/>
      <c r="AG364" s="1499"/>
      <c r="AK364" s="1581"/>
      <c r="BB364" s="1582"/>
    </row>
    <row r="365" spans="1:54" s="624" customFormat="1" collapsed="1" x14ac:dyDescent="0.25">
      <c r="A365" s="763"/>
      <c r="B365" s="2308"/>
      <c r="C365" s="2309"/>
      <c r="D365" s="1584"/>
      <c r="E365" s="1584"/>
      <c r="F365" s="1340"/>
      <c r="G365" s="2310"/>
      <c r="H365" s="2293"/>
      <c r="I365" s="2293"/>
      <c r="J365" s="2311"/>
      <c r="K365" s="2311"/>
      <c r="L365" s="2308"/>
      <c r="M365" s="763"/>
      <c r="N365" s="763"/>
      <c r="O365" s="763"/>
      <c r="P365" s="763"/>
      <c r="Q365" s="763"/>
      <c r="R365" s="763"/>
      <c r="S365" s="763"/>
      <c r="T365" s="763"/>
      <c r="U365" s="763"/>
      <c r="V365"/>
      <c r="W365"/>
      <c r="X365"/>
      <c r="Y365"/>
      <c r="Z365"/>
      <c r="AA365"/>
      <c r="AB365"/>
      <c r="AC365"/>
      <c r="AD365"/>
      <c r="AE365"/>
      <c r="AF365"/>
      <c r="AG365"/>
      <c r="AH365"/>
      <c r="AI365"/>
      <c r="AJ365"/>
      <c r="BB365" s="1579"/>
    </row>
    <row r="366" spans="1:54" x14ac:dyDescent="0.25">
      <c r="B366" s="2293"/>
      <c r="C366" s="2294"/>
      <c r="D366" s="1534"/>
      <c r="E366" s="1534"/>
      <c r="F366" s="2293"/>
      <c r="G366" s="2293"/>
      <c r="H366" s="2293"/>
      <c r="I366" s="2293"/>
      <c r="J366" s="2293"/>
      <c r="K366" s="2293"/>
      <c r="L366" s="2293"/>
    </row>
    <row r="367" spans="1:54" s="229" customFormat="1" x14ac:dyDescent="0.25">
      <c r="B367" s="2639" t="s">
        <v>2369</v>
      </c>
      <c r="C367" s="2640"/>
      <c r="D367" s="2640"/>
      <c r="E367" s="2640"/>
      <c r="F367" s="2640"/>
      <c r="G367" s="2640"/>
      <c r="H367" s="2640"/>
      <c r="I367" s="2641"/>
      <c r="J367" s="2641"/>
      <c r="K367" s="2641"/>
      <c r="L367" s="2641"/>
      <c r="M367" s="2641"/>
      <c r="N367" s="2641"/>
      <c r="O367" s="2641"/>
      <c r="P367" s="2641"/>
      <c r="Q367" s="2642"/>
      <c r="V367" s="2639" t="str">
        <f>B367</f>
        <v>Low Flow Showerhead</v>
      </c>
      <c r="W367" s="2640"/>
      <c r="X367" s="2640"/>
      <c r="Y367" s="2640"/>
      <c r="Z367" s="2640"/>
      <c r="AA367" s="2640"/>
      <c r="AB367" s="2640"/>
      <c r="AC367" s="2615"/>
      <c r="AD367" s="2615"/>
      <c r="AE367" s="2615"/>
      <c r="AF367" s="2615"/>
      <c r="AG367" s="2615"/>
      <c r="AH367" s="2615"/>
      <c r="AI367" s="2616"/>
      <c r="AJ367"/>
      <c r="BB367" s="1116"/>
    </row>
    <row r="369" spans="1:57" ht="30" x14ac:dyDescent="0.25">
      <c r="C369" s="1641" t="s">
        <v>17</v>
      </c>
      <c r="D369" s="1641" t="s">
        <v>662</v>
      </c>
      <c r="E369" s="1641" t="s">
        <v>19</v>
      </c>
      <c r="F369" s="1641" t="s">
        <v>20</v>
      </c>
      <c r="G369" s="1641" t="s">
        <v>21</v>
      </c>
      <c r="H369" s="1641" t="s">
        <v>22</v>
      </c>
      <c r="I369" s="1641" t="s">
        <v>1007</v>
      </c>
      <c r="J369" s="1641" t="s">
        <v>23</v>
      </c>
      <c r="K369" s="1641" t="s">
        <v>24</v>
      </c>
      <c r="L369" s="1641" t="s">
        <v>25</v>
      </c>
      <c r="M369" s="1641" t="s">
        <v>26</v>
      </c>
      <c r="O369" s="332"/>
      <c r="P369" s="332"/>
      <c r="V369" s="55" t="s">
        <v>27</v>
      </c>
      <c r="W369" s="56">
        <f>W$6</f>
        <v>43252</v>
      </c>
      <c r="X369" s="56">
        <f t="shared" ref="X369:AG369" si="67">X$6</f>
        <v>43465</v>
      </c>
      <c r="Y369" s="56">
        <f t="shared" si="67"/>
        <v>43800</v>
      </c>
      <c r="Z369" s="56">
        <f t="shared" si="67"/>
        <v>43862</v>
      </c>
      <c r="AA369" s="56" t="str">
        <f t="shared" si="67"/>
        <v>-</v>
      </c>
      <c r="AB369" s="56" t="str">
        <f t="shared" si="67"/>
        <v>-</v>
      </c>
      <c r="AC369" s="56" t="str">
        <f t="shared" si="67"/>
        <v>-</v>
      </c>
      <c r="AD369" s="56" t="str">
        <f t="shared" si="67"/>
        <v>-</v>
      </c>
      <c r="AE369" s="56" t="str">
        <f t="shared" si="67"/>
        <v>-</v>
      </c>
      <c r="AF369" s="56" t="str">
        <f t="shared" si="67"/>
        <v>-</v>
      </c>
      <c r="AG369" s="56" t="str">
        <f t="shared" si="67"/>
        <v>-</v>
      </c>
      <c r="BB369" s="57" t="str">
        <f>$BB$6</f>
        <v>TRC (2020)</v>
      </c>
      <c r="BC369" s="103" t="str">
        <f>$BC$6</f>
        <v>Benefit Lookup</v>
      </c>
      <c r="BD369" s="883" t="str">
        <f>$BD$6</f>
        <v>Benefits (2019 $)</v>
      </c>
      <c r="BE369" s="334" t="str">
        <f>$BE$6</f>
        <v>Incremental Cost (2019 $)</v>
      </c>
    </row>
    <row r="370" spans="1:57" x14ac:dyDescent="0.25">
      <c r="C370" s="92" t="s">
        <v>2370</v>
      </c>
      <c r="D370" s="1927" t="s">
        <v>2272</v>
      </c>
      <c r="E370" s="458" t="s">
        <v>2371</v>
      </c>
      <c r="F370" s="152">
        <f>ROUND(F380*(F381*F382-F383*F384)*F385*F386*F387/F388*I370*F396*F395,2)</f>
        <v>204.74</v>
      </c>
      <c r="G370" s="1699" t="s">
        <v>668</v>
      </c>
      <c r="H370" s="239">
        <f>VLOOKUP(G370,'CP FACTORS'!$A$3:$B$38, 2, FALSE)</f>
        <v>8.8731800000000003E-5</v>
      </c>
      <c r="I370" s="707">
        <f>F389*F390*(F391-F392)/(F393*F394)</f>
        <v>0.10886576787807739</v>
      </c>
      <c r="J370" s="153">
        <f>ROUND(F370*H370,6)</f>
        <v>1.8166999999999999E-2</v>
      </c>
      <c r="K370" s="157">
        <f>F397</f>
        <v>10</v>
      </c>
      <c r="L370" s="1535">
        <f>F399</f>
        <v>7</v>
      </c>
      <c r="M370" s="291" t="s">
        <v>37</v>
      </c>
      <c r="O370" s="332"/>
      <c r="P370" s="332"/>
      <c r="V370" s="245" t="str">
        <f>F369</f>
        <v>kWh Annual Savings</v>
      </c>
      <c r="W370" s="575">
        <v>204.74086651832664</v>
      </c>
      <c r="X370" s="1536">
        <v>204.74086651832664</v>
      </c>
      <c r="Y370" s="745">
        <v>204.74</v>
      </c>
      <c r="Z370" s="245"/>
      <c r="AA370" s="245"/>
      <c r="AB370" s="245"/>
      <c r="AC370" s="245"/>
      <c r="AD370" s="245"/>
      <c r="AE370" s="245"/>
      <c r="AF370" s="245"/>
      <c r="AG370" s="245"/>
      <c r="BB370" s="120">
        <f t="shared" ref="BB370" si="68">(BD370)/(BE370)</f>
        <v>10.451967487866289</v>
      </c>
      <c r="BC370" s="69" t="str">
        <f>CONCATENATE(G370," ",K370," Year EUL")</f>
        <v>Water Heating RES 10 Year EUL</v>
      </c>
      <c r="BD370" s="251">
        <f>(INDEX('Avoided Cost Benefits'!$C$4:$C$857,MATCH(BC370,'Avoided Cost Benefits'!$A$4:$A$857,0)))*F370</f>
        <v>69.054999919833904</v>
      </c>
      <c r="BE370" s="122">
        <f>L370/(1.0595^(2020-2019))</f>
        <v>6.6068900424728643</v>
      </c>
    </row>
    <row r="371" spans="1:57" hidden="1" outlineLevel="1" x14ac:dyDescent="0.25">
      <c r="B371" s="2293"/>
      <c r="C371" s="2294"/>
      <c r="D371" s="1585"/>
      <c r="E371" s="1585"/>
      <c r="F371" s="2312"/>
      <c r="G371" s="2313"/>
      <c r="H371" s="2312"/>
      <c r="I371" s="2314"/>
      <c r="J371" s="2314"/>
      <c r="K371" s="2314"/>
      <c r="L371" s="2315"/>
      <c r="O371" s="332"/>
      <c r="P371" s="332"/>
    </row>
    <row r="372" spans="1:57" hidden="1" outlineLevel="1" x14ac:dyDescent="0.25">
      <c r="B372" s="2293"/>
      <c r="C372" s="2294"/>
      <c r="D372" s="259" t="s">
        <v>617</v>
      </c>
      <c r="E372" s="1534"/>
      <c r="F372" s="2293"/>
      <c r="G372" s="2293"/>
      <c r="H372" s="2293"/>
      <c r="I372" s="2293"/>
      <c r="J372" s="2293"/>
      <c r="K372" s="2293"/>
      <c r="L372" s="2293"/>
      <c r="O372" s="332"/>
      <c r="P372" s="332"/>
    </row>
    <row r="373" spans="1:57" hidden="1" outlineLevel="1" x14ac:dyDescent="0.25">
      <c r="B373" s="2293"/>
      <c r="C373" s="2294"/>
      <c r="D373" s="1534"/>
      <c r="E373" s="1534"/>
      <c r="F373" s="2293"/>
      <c r="G373" s="2293"/>
      <c r="H373" s="2293"/>
      <c r="I373" s="2293"/>
      <c r="J373" s="2293"/>
      <c r="K373" s="2293"/>
      <c r="L373" s="2293"/>
    </row>
    <row r="374" spans="1:57" hidden="1" outlineLevel="1" x14ac:dyDescent="0.25">
      <c r="B374" s="2293"/>
      <c r="C374" s="2294"/>
      <c r="D374" s="1534"/>
      <c r="E374" s="1534"/>
      <c r="F374" s="2293"/>
      <c r="G374" s="2293"/>
      <c r="H374" s="2293"/>
      <c r="I374" s="2293"/>
      <c r="J374" s="2293"/>
      <c r="K374" s="2293"/>
      <c r="L374" s="2293"/>
    </row>
    <row r="375" spans="1:57" hidden="1" outlineLevel="1" x14ac:dyDescent="0.25">
      <c r="B375" s="2293"/>
      <c r="C375" s="2294"/>
      <c r="D375" s="1534"/>
      <c r="E375" s="1534"/>
      <c r="F375" s="2293"/>
      <c r="G375" s="2293"/>
      <c r="H375" s="2293"/>
      <c r="I375" s="2293"/>
      <c r="J375" s="2293"/>
      <c r="K375" s="2293"/>
      <c r="L375" s="2293"/>
    </row>
    <row r="376" spans="1:57" hidden="1" outlineLevel="1" x14ac:dyDescent="0.25">
      <c r="B376" s="2293"/>
      <c r="C376" s="2294"/>
      <c r="D376" s="1534"/>
      <c r="E376" s="1534"/>
      <c r="F376" s="2293"/>
      <c r="G376" s="2293"/>
      <c r="H376" s="2293"/>
      <c r="I376" s="2293"/>
      <c r="J376" s="2293"/>
      <c r="K376" s="2293"/>
      <c r="L376" s="2293"/>
    </row>
    <row r="377" spans="1:57" hidden="1" outlineLevel="1" x14ac:dyDescent="0.25">
      <c r="B377" s="2293"/>
      <c r="C377" s="2294"/>
      <c r="D377" s="1534"/>
      <c r="E377" s="1534"/>
      <c r="F377" s="2293"/>
      <c r="G377" s="2293"/>
      <c r="H377" s="2293"/>
      <c r="I377" s="2293"/>
      <c r="J377" s="2293"/>
      <c r="K377" s="2293"/>
      <c r="L377" s="2293"/>
      <c r="M377" s="229"/>
      <c r="N377" s="229"/>
      <c r="O377" s="229"/>
      <c r="P377" s="229"/>
      <c r="Q377" s="229"/>
      <c r="R377" s="229"/>
      <c r="S377" s="229"/>
      <c r="T377" s="229"/>
      <c r="U377" s="229"/>
    </row>
    <row r="378" spans="1:57" hidden="1" outlineLevel="1" x14ac:dyDescent="0.25">
      <c r="B378" s="2293"/>
      <c r="C378" s="2294"/>
      <c r="D378" s="1534"/>
      <c r="E378" s="1534"/>
      <c r="F378" s="2293"/>
      <c r="G378" s="2293"/>
      <c r="H378" s="2293"/>
      <c r="I378" s="2293"/>
      <c r="J378" s="2293"/>
      <c r="K378" s="2293"/>
      <c r="L378" s="2293"/>
      <c r="M378" s="229"/>
      <c r="N378" s="229"/>
      <c r="O378" s="229"/>
      <c r="P378" s="229"/>
      <c r="Q378" s="229"/>
      <c r="R378" s="229"/>
      <c r="S378" s="229"/>
      <c r="T378" s="229"/>
      <c r="U378" s="229"/>
    </row>
    <row r="379" spans="1:57" ht="15" hidden="1" customHeight="1" outlineLevel="1" x14ac:dyDescent="0.25">
      <c r="B379" s="2293"/>
      <c r="C379" s="2294"/>
      <c r="D379" s="1701" t="s">
        <v>618</v>
      </c>
      <c r="E379" s="1701" t="s">
        <v>619</v>
      </c>
      <c r="F379" s="1641" t="s">
        <v>620</v>
      </c>
      <c r="G379" s="2669" t="s">
        <v>670</v>
      </c>
      <c r="H379" s="2669"/>
      <c r="I379" s="2722" t="s">
        <v>621</v>
      </c>
      <c r="J379" s="2727"/>
      <c r="K379" s="2723"/>
      <c r="L379" s="2293"/>
      <c r="M379" s="229"/>
      <c r="N379" s="229"/>
      <c r="O379" s="229"/>
      <c r="P379" s="229"/>
      <c r="Q379" s="229"/>
      <c r="R379" s="229"/>
      <c r="S379" s="229"/>
      <c r="T379" s="229"/>
      <c r="U379" s="229"/>
      <c r="V379" s="55" t="s">
        <v>27</v>
      </c>
      <c r="W379" s="56">
        <f>W$6</f>
        <v>43252</v>
      </c>
      <c r="X379" s="56">
        <f t="shared" ref="X379:AG379" si="69">X$6</f>
        <v>43465</v>
      </c>
      <c r="Y379" s="56">
        <f t="shared" si="69"/>
        <v>43800</v>
      </c>
      <c r="Z379" s="56">
        <f t="shared" si="69"/>
        <v>43862</v>
      </c>
      <c r="AA379" s="56" t="str">
        <f t="shared" si="69"/>
        <v>-</v>
      </c>
      <c r="AB379" s="56" t="str">
        <f t="shared" si="69"/>
        <v>-</v>
      </c>
      <c r="AC379" s="56" t="str">
        <f t="shared" si="69"/>
        <v>-</v>
      </c>
      <c r="AD379" s="56" t="str">
        <f t="shared" si="69"/>
        <v>-</v>
      </c>
      <c r="AE379" s="56" t="str">
        <f t="shared" si="69"/>
        <v>-</v>
      </c>
      <c r="AF379" s="56" t="str">
        <f t="shared" si="69"/>
        <v>-</v>
      </c>
      <c r="AG379" s="56" t="str">
        <f t="shared" si="69"/>
        <v>-</v>
      </c>
    </row>
    <row r="380" spans="1:57" hidden="1" outlineLevel="1" x14ac:dyDescent="0.25">
      <c r="B380" s="2293"/>
      <c r="C380" s="2294"/>
      <c r="D380" s="1642" t="s">
        <v>1011</v>
      </c>
      <c r="E380" s="1642" t="s">
        <v>1012</v>
      </c>
      <c r="F380" s="665">
        <v>1</v>
      </c>
      <c r="G380" s="3004" t="s">
        <v>1003</v>
      </c>
      <c r="H380" s="3004"/>
      <c r="I380" s="2692" t="s">
        <v>2361</v>
      </c>
      <c r="J380" s="2692"/>
      <c r="K380" s="2692"/>
      <c r="L380" s="2293"/>
      <c r="M380" s="1340"/>
      <c r="N380" s="1340"/>
      <c r="O380" s="229"/>
      <c r="P380" s="229"/>
      <c r="Q380" s="229"/>
      <c r="R380" s="229"/>
      <c r="S380" s="229"/>
      <c r="T380" s="229"/>
      <c r="U380" s="1340"/>
      <c r="V380" s="1254" t="str">
        <f>D380</f>
        <v>%Electric DHW</v>
      </c>
      <c r="W380" s="666">
        <v>1</v>
      </c>
      <c r="X380" s="666">
        <v>1</v>
      </c>
      <c r="Y380" s="666">
        <v>1</v>
      </c>
      <c r="Z380" s="666"/>
      <c r="AA380" s="666"/>
      <c r="AB380" s="666"/>
      <c r="AC380" s="666"/>
      <c r="AD380" s="666"/>
      <c r="AE380" s="666"/>
      <c r="AF380" s="666"/>
      <c r="AG380" s="666"/>
    </row>
    <row r="381" spans="1:57" hidden="1" outlineLevel="1" x14ac:dyDescent="0.25">
      <c r="B381" s="2293"/>
      <c r="C381" s="2294"/>
      <c r="D381" s="1642" t="s">
        <v>1015</v>
      </c>
      <c r="E381" s="1642" t="s">
        <v>1059</v>
      </c>
      <c r="F381" s="61">
        <v>2.67</v>
      </c>
      <c r="G381" s="2996" t="s">
        <v>2372</v>
      </c>
      <c r="H381" s="3055"/>
      <c r="I381" s="2933" t="s">
        <v>2373</v>
      </c>
      <c r="J381" s="2934"/>
      <c r="K381" s="2935"/>
      <c r="L381" s="2293"/>
      <c r="M381" s="443"/>
      <c r="N381" s="443"/>
      <c r="O381" s="229"/>
      <c r="P381" s="229"/>
      <c r="Q381" s="229"/>
      <c r="R381" s="229"/>
      <c r="S381" s="229"/>
      <c r="T381" s="229"/>
      <c r="U381" s="443"/>
      <c r="V381" s="1254" t="str">
        <f t="shared" ref="V381:V396" si="70">D381</f>
        <v>GPM_base</v>
      </c>
      <c r="W381" s="669">
        <v>2.67</v>
      </c>
      <c r="X381" s="669">
        <v>2.67</v>
      </c>
      <c r="Y381" s="669">
        <v>2.67</v>
      </c>
      <c r="Z381" s="669"/>
      <c r="AA381" s="669"/>
      <c r="AB381" s="669"/>
      <c r="AC381" s="669"/>
      <c r="AD381" s="669"/>
      <c r="AE381" s="669"/>
      <c r="AF381" s="669"/>
      <c r="AG381" s="669"/>
    </row>
    <row r="382" spans="1:57" ht="63.75" hidden="1" customHeight="1" outlineLevel="1" x14ac:dyDescent="0.25">
      <c r="B382" s="2293"/>
      <c r="C382" s="2294"/>
      <c r="D382" s="1642" t="s">
        <v>1018</v>
      </c>
      <c r="E382" s="1642" t="s">
        <v>1062</v>
      </c>
      <c r="F382" s="61">
        <v>8.66</v>
      </c>
      <c r="G382" s="2996" t="s">
        <v>2374</v>
      </c>
      <c r="H382" s="3055"/>
      <c r="I382" s="2933" t="s">
        <v>2373</v>
      </c>
      <c r="J382" s="2934"/>
      <c r="K382" s="2935"/>
      <c r="L382" s="2293"/>
      <c r="M382" s="443"/>
      <c r="N382" s="443"/>
      <c r="O382" s="229"/>
      <c r="P382" s="229"/>
      <c r="Q382" s="229"/>
      <c r="R382" s="229"/>
      <c r="S382" s="229"/>
      <c r="T382" s="229"/>
      <c r="U382" s="443"/>
      <c r="V382" s="1254" t="str">
        <f t="shared" si="70"/>
        <v>L_base</v>
      </c>
      <c r="W382" s="669">
        <v>8.66</v>
      </c>
      <c r="X382" s="669">
        <v>8.66</v>
      </c>
      <c r="Y382" s="669">
        <v>8.66</v>
      </c>
      <c r="Z382" s="669"/>
      <c r="AA382" s="669"/>
      <c r="AB382" s="669"/>
      <c r="AC382" s="669"/>
      <c r="AD382" s="669"/>
      <c r="AE382" s="669"/>
      <c r="AF382" s="669"/>
      <c r="AG382" s="669"/>
    </row>
    <row r="383" spans="1:57" s="624" customFormat="1" ht="45" hidden="1" customHeight="1" outlineLevel="1" x14ac:dyDescent="0.25">
      <c r="A383" s="763"/>
      <c r="B383" s="2308"/>
      <c r="C383" s="2309"/>
      <c r="D383" s="1642" t="s">
        <v>1022</v>
      </c>
      <c r="E383" s="1642" t="s">
        <v>1064</v>
      </c>
      <c r="F383" s="219">
        <v>2</v>
      </c>
      <c r="G383" s="2996" t="s">
        <v>2375</v>
      </c>
      <c r="H383" s="3055"/>
      <c r="I383" s="2933" t="s">
        <v>2373</v>
      </c>
      <c r="J383" s="2934"/>
      <c r="K383" s="2935"/>
      <c r="L383" s="2293"/>
      <c r="M383" s="2250"/>
      <c r="N383" s="2250"/>
      <c r="O383" s="2316"/>
      <c r="P383" s="2316"/>
      <c r="Q383" s="2316"/>
      <c r="R383" s="2316"/>
      <c r="S383" s="2316"/>
      <c r="T383" s="2316"/>
      <c r="U383" s="2250"/>
      <c r="V383" s="1254" t="str">
        <f t="shared" si="70"/>
        <v>GPM_low</v>
      </c>
      <c r="W383" s="1069">
        <v>2</v>
      </c>
      <c r="X383" s="1069">
        <v>2</v>
      </c>
      <c r="Y383" s="1069">
        <v>2</v>
      </c>
      <c r="Z383" s="1069"/>
      <c r="AA383" s="1069"/>
      <c r="AB383" s="1069"/>
      <c r="AC383" s="1069"/>
      <c r="AD383" s="1069"/>
      <c r="AE383" s="1069"/>
      <c r="AF383" s="1069"/>
      <c r="AG383" s="1069"/>
      <c r="AH383"/>
      <c r="AI383"/>
      <c r="AJ383"/>
      <c r="BB383" s="1579"/>
    </row>
    <row r="384" spans="1:57" ht="72.75" hidden="1" customHeight="1" outlineLevel="1" x14ac:dyDescent="0.25">
      <c r="B384" s="2293"/>
      <c r="C384" s="2294"/>
      <c r="D384" s="1642" t="s">
        <v>1024</v>
      </c>
      <c r="E384" s="1642" t="s">
        <v>1065</v>
      </c>
      <c r="F384" s="61">
        <v>8.66</v>
      </c>
      <c r="G384" s="2996" t="s">
        <v>2374</v>
      </c>
      <c r="H384" s="3055"/>
      <c r="I384" s="2933" t="s">
        <v>2373</v>
      </c>
      <c r="J384" s="2934"/>
      <c r="K384" s="2935"/>
      <c r="L384" s="2293"/>
      <c r="M384" s="443"/>
      <c r="N384" s="443"/>
      <c r="O384" s="229"/>
      <c r="P384" s="229"/>
      <c r="Q384" s="229"/>
      <c r="R384" s="229"/>
      <c r="S384" s="229"/>
      <c r="T384" s="229"/>
      <c r="U384" s="443"/>
      <c r="V384" s="1254" t="str">
        <f t="shared" si="70"/>
        <v>L_low</v>
      </c>
      <c r="W384" s="669">
        <v>8.66</v>
      </c>
      <c r="X384" s="669">
        <v>8.66</v>
      </c>
      <c r="Y384" s="669">
        <v>8.66</v>
      </c>
      <c r="Z384" s="669"/>
      <c r="AA384" s="669"/>
      <c r="AB384" s="669"/>
      <c r="AC384" s="669"/>
      <c r="AD384" s="669"/>
      <c r="AE384" s="669"/>
      <c r="AF384" s="669"/>
      <c r="AG384" s="669"/>
    </row>
    <row r="385" spans="1:54" ht="27" hidden="1" customHeight="1" outlineLevel="1" x14ac:dyDescent="0.25">
      <c r="B385" s="2293"/>
      <c r="C385" s="2294"/>
      <c r="D385" s="1642" t="s">
        <v>683</v>
      </c>
      <c r="E385" s="1642" t="s">
        <v>1066</v>
      </c>
      <c r="F385" s="61">
        <v>2.0699999999999998</v>
      </c>
      <c r="G385" s="2996" t="s">
        <v>1289</v>
      </c>
      <c r="H385" s="3055"/>
      <c r="I385" s="2933" t="s">
        <v>2373</v>
      </c>
      <c r="J385" s="2934"/>
      <c r="K385" s="2935"/>
      <c r="L385" s="2293"/>
      <c r="M385" s="443"/>
      <c r="N385" s="443"/>
      <c r="O385" s="229"/>
      <c r="P385" s="229"/>
      <c r="Q385" s="229"/>
      <c r="R385" s="229"/>
      <c r="S385" s="229"/>
      <c r="T385" s="229"/>
      <c r="U385" s="443"/>
      <c r="V385" s="1254" t="str">
        <f t="shared" si="70"/>
        <v>Household</v>
      </c>
      <c r="W385" s="669">
        <v>2.0699999999999998</v>
      </c>
      <c r="X385" s="669">
        <v>2.0699999999999998</v>
      </c>
      <c r="Y385" s="669">
        <v>2.0699999999999998</v>
      </c>
      <c r="Z385" s="669"/>
      <c r="AA385" s="669"/>
      <c r="AB385" s="669"/>
      <c r="AC385" s="669"/>
      <c r="AD385" s="669"/>
      <c r="AE385" s="669"/>
      <c r="AF385" s="669"/>
      <c r="AG385" s="669"/>
    </row>
    <row r="386" spans="1:54" ht="64.5" hidden="1" customHeight="1" outlineLevel="1" x14ac:dyDescent="0.25">
      <c r="B386" s="2293"/>
      <c r="C386" s="2294"/>
      <c r="D386" s="1642" t="s">
        <v>1067</v>
      </c>
      <c r="E386" s="1642" t="s">
        <v>1068</v>
      </c>
      <c r="F386" s="61">
        <v>0.66</v>
      </c>
      <c r="G386" s="2996" t="s">
        <v>2374</v>
      </c>
      <c r="H386" s="3055"/>
      <c r="I386" s="2933" t="s">
        <v>2373</v>
      </c>
      <c r="J386" s="2934"/>
      <c r="K386" s="2935"/>
      <c r="L386" s="2293"/>
      <c r="M386" s="443"/>
      <c r="N386" s="443"/>
      <c r="O386" s="229"/>
      <c r="P386" s="229"/>
      <c r="Q386" s="229"/>
      <c r="R386" s="229"/>
      <c r="S386" s="229"/>
      <c r="T386" s="229"/>
      <c r="U386" s="443"/>
      <c r="V386" s="1254" t="str">
        <f t="shared" si="70"/>
        <v>SPDC</v>
      </c>
      <c r="W386" s="669">
        <v>0.66</v>
      </c>
      <c r="X386" s="669">
        <v>0.66</v>
      </c>
      <c r="Y386" s="669">
        <v>0.66</v>
      </c>
      <c r="Z386" s="669"/>
      <c r="AA386" s="669"/>
      <c r="AB386" s="669"/>
      <c r="AC386" s="669"/>
      <c r="AD386" s="669"/>
      <c r="AE386" s="669"/>
      <c r="AF386" s="669"/>
      <c r="AG386" s="669"/>
    </row>
    <row r="387" spans="1:54" ht="30" hidden="1" customHeight="1" outlineLevel="1" x14ac:dyDescent="0.25">
      <c r="B387" s="2293"/>
      <c r="C387" s="2294"/>
      <c r="D387" s="1642">
        <v>365.25</v>
      </c>
      <c r="E387" s="1642" t="s">
        <v>1070</v>
      </c>
      <c r="F387" s="61">
        <v>365</v>
      </c>
      <c r="G387" s="2996" t="s">
        <v>992</v>
      </c>
      <c r="H387" s="3055"/>
      <c r="I387" s="2933" t="s">
        <v>2373</v>
      </c>
      <c r="J387" s="2934"/>
      <c r="K387" s="2935"/>
      <c r="L387" s="2293"/>
      <c r="M387" s="443"/>
      <c r="N387" s="443"/>
      <c r="O387" s="229"/>
      <c r="P387" s="229"/>
      <c r="Q387" s="229"/>
      <c r="R387" s="229"/>
      <c r="S387" s="229"/>
      <c r="T387" s="229"/>
      <c r="U387" s="443"/>
      <c r="V387" s="1254">
        <f t="shared" si="70"/>
        <v>365.25</v>
      </c>
      <c r="W387" s="669">
        <v>365</v>
      </c>
      <c r="X387" s="669">
        <v>365</v>
      </c>
      <c r="Y387" s="669">
        <v>365</v>
      </c>
      <c r="Z387" s="669"/>
      <c r="AA387" s="669"/>
      <c r="AB387" s="669"/>
      <c r="AC387" s="669"/>
      <c r="AD387" s="669"/>
      <c r="AE387" s="669"/>
      <c r="AF387" s="669"/>
      <c r="AG387" s="669"/>
    </row>
    <row r="388" spans="1:54" ht="33.75" hidden="1" customHeight="1" outlineLevel="1" x14ac:dyDescent="0.25">
      <c r="B388" s="2293"/>
      <c r="C388" s="2294"/>
      <c r="D388" s="1642" t="s">
        <v>1071</v>
      </c>
      <c r="E388" s="1642" t="s">
        <v>1072</v>
      </c>
      <c r="F388" s="219">
        <v>1.4</v>
      </c>
      <c r="G388" s="2996" t="s">
        <v>1289</v>
      </c>
      <c r="H388" s="3055"/>
      <c r="I388" s="2933" t="s">
        <v>2373</v>
      </c>
      <c r="J388" s="2934"/>
      <c r="K388" s="2935"/>
      <c r="L388" s="2293"/>
      <c r="M388" s="2250"/>
      <c r="N388" s="2250"/>
      <c r="O388" s="229"/>
      <c r="P388" s="229"/>
      <c r="Q388" s="229"/>
      <c r="R388" s="229"/>
      <c r="S388" s="229"/>
      <c r="T388" s="229"/>
      <c r="U388" s="2250"/>
      <c r="V388" s="1254" t="str">
        <f t="shared" si="70"/>
        <v>SPH</v>
      </c>
      <c r="W388" s="1069">
        <v>1.4</v>
      </c>
      <c r="X388" s="1069">
        <v>1.4</v>
      </c>
      <c r="Y388" s="1069">
        <v>1.4</v>
      </c>
      <c r="Z388" s="1069"/>
      <c r="AA388" s="1069"/>
      <c r="AB388" s="1069"/>
      <c r="AC388" s="1069"/>
      <c r="AD388" s="1069"/>
      <c r="AE388" s="1069"/>
      <c r="AF388" s="1069"/>
      <c r="AG388" s="1069"/>
    </row>
    <row r="389" spans="1:54" ht="15" hidden="1" customHeight="1" outlineLevel="1" x14ac:dyDescent="0.25">
      <c r="B389" s="2293"/>
      <c r="C389" s="2294"/>
      <c r="D389" s="1642">
        <v>8.33</v>
      </c>
      <c r="E389" s="1680" t="s">
        <v>1033</v>
      </c>
      <c r="F389" s="61">
        <v>8.33</v>
      </c>
      <c r="G389" s="3005" t="s">
        <v>1034</v>
      </c>
      <c r="H389" s="3043"/>
      <c r="I389" s="2933" t="s">
        <v>2373</v>
      </c>
      <c r="J389" s="2934"/>
      <c r="K389" s="2935"/>
      <c r="L389" s="2293"/>
      <c r="M389" s="443"/>
      <c r="N389" s="443"/>
      <c r="O389" s="229"/>
      <c r="P389" s="229"/>
      <c r="Q389" s="229"/>
      <c r="R389" s="229"/>
      <c r="S389" s="229"/>
      <c r="T389" s="229"/>
      <c r="U389" s="443"/>
      <c r="V389" s="1254">
        <f t="shared" si="70"/>
        <v>8.33</v>
      </c>
      <c r="W389" s="669">
        <v>8.33</v>
      </c>
      <c r="X389" s="669">
        <v>8.33</v>
      </c>
      <c r="Y389" s="669">
        <v>8.33</v>
      </c>
      <c r="Z389" s="669"/>
      <c r="AA389" s="669"/>
      <c r="AB389" s="669"/>
      <c r="AC389" s="669"/>
      <c r="AD389" s="669"/>
      <c r="AE389" s="669"/>
      <c r="AF389" s="669"/>
      <c r="AG389" s="669"/>
    </row>
    <row r="390" spans="1:54" ht="30" hidden="1" customHeight="1" outlineLevel="1" x14ac:dyDescent="0.25">
      <c r="B390" s="2293"/>
      <c r="C390" s="2294"/>
      <c r="D390" s="1642">
        <v>1</v>
      </c>
      <c r="E390" s="1642" t="s">
        <v>1035</v>
      </c>
      <c r="F390" s="61">
        <v>1</v>
      </c>
      <c r="G390" s="2996" t="s">
        <v>1036</v>
      </c>
      <c r="H390" s="3055"/>
      <c r="I390" s="2933" t="s">
        <v>2373</v>
      </c>
      <c r="J390" s="2934"/>
      <c r="K390" s="2935"/>
      <c r="L390" s="2293"/>
      <c r="M390" s="443"/>
      <c r="N390" s="443"/>
      <c r="O390" s="229"/>
      <c r="P390" s="229"/>
      <c r="Q390" s="229"/>
      <c r="R390" s="229"/>
      <c r="S390" s="229"/>
      <c r="T390" s="229"/>
      <c r="U390" s="443"/>
      <c r="V390" s="1254">
        <f t="shared" si="70"/>
        <v>1</v>
      </c>
      <c r="W390" s="669">
        <v>1</v>
      </c>
      <c r="X390" s="669">
        <v>1</v>
      </c>
      <c r="Y390" s="669">
        <v>1</v>
      </c>
      <c r="Z390" s="669"/>
      <c r="AA390" s="669"/>
      <c r="AB390" s="669"/>
      <c r="AC390" s="669"/>
      <c r="AD390" s="669"/>
      <c r="AE390" s="669"/>
      <c r="AF390" s="669"/>
      <c r="AG390" s="669"/>
    </row>
    <row r="391" spans="1:54" ht="90.75" hidden="1" customHeight="1" outlineLevel="1" x14ac:dyDescent="0.25">
      <c r="B391" s="2293"/>
      <c r="C391" s="2294"/>
      <c r="D391" s="1642" t="s">
        <v>1073</v>
      </c>
      <c r="E391" s="1642" t="s">
        <v>1074</v>
      </c>
      <c r="F391" s="61">
        <v>105</v>
      </c>
      <c r="G391" s="2996" t="s">
        <v>1075</v>
      </c>
      <c r="H391" s="3055"/>
      <c r="I391" s="2933" t="s">
        <v>2373</v>
      </c>
      <c r="J391" s="2934"/>
      <c r="K391" s="2935"/>
      <c r="L391" s="2293"/>
      <c r="M391" s="443"/>
      <c r="N391" s="443"/>
      <c r="O391" s="229"/>
      <c r="P391" s="229"/>
      <c r="Q391" s="229"/>
      <c r="R391" s="229"/>
      <c r="S391" s="229"/>
      <c r="T391" s="229"/>
      <c r="U391" s="443"/>
      <c r="V391" s="1254" t="str">
        <f t="shared" si="70"/>
        <v>ShowerTemp</v>
      </c>
      <c r="W391" s="669">
        <v>105</v>
      </c>
      <c r="X391" s="669">
        <v>105</v>
      </c>
      <c r="Y391" s="669">
        <v>105</v>
      </c>
      <c r="Z391" s="669"/>
      <c r="AA391" s="669"/>
      <c r="AB391" s="669"/>
      <c r="AC391" s="669"/>
      <c r="AD391" s="669"/>
      <c r="AE391" s="669"/>
      <c r="AF391" s="669"/>
      <c r="AG391" s="669"/>
    </row>
    <row r="392" spans="1:54" s="624" customFormat="1" ht="67.5" hidden="1" customHeight="1" outlineLevel="1" x14ac:dyDescent="0.25">
      <c r="A392" s="763"/>
      <c r="B392" s="2308"/>
      <c r="C392" s="2309"/>
      <c r="D392" s="1642" t="s">
        <v>1040</v>
      </c>
      <c r="E392" s="1642" t="s">
        <v>1041</v>
      </c>
      <c r="F392" s="61">
        <v>61.3</v>
      </c>
      <c r="G392" s="2996" t="s">
        <v>1042</v>
      </c>
      <c r="H392" s="3055"/>
      <c r="I392" s="2933" t="s">
        <v>2373</v>
      </c>
      <c r="J392" s="2934"/>
      <c r="K392" s="2935"/>
      <c r="L392" s="2293"/>
      <c r="M392" s="443"/>
      <c r="N392" s="443"/>
      <c r="O392" s="2316"/>
      <c r="P392" s="2316"/>
      <c r="Q392" s="2316"/>
      <c r="R392" s="2316"/>
      <c r="S392" s="2316"/>
      <c r="T392" s="2316"/>
      <c r="U392" s="443"/>
      <c r="V392" s="1254" t="str">
        <f t="shared" si="70"/>
        <v>SupplyTemp</v>
      </c>
      <c r="W392" s="669">
        <v>61.3</v>
      </c>
      <c r="X392" s="669">
        <v>61.3</v>
      </c>
      <c r="Y392" s="669">
        <v>61.3</v>
      </c>
      <c r="Z392" s="669"/>
      <c r="AA392" s="669"/>
      <c r="AB392" s="669"/>
      <c r="AC392" s="669"/>
      <c r="AD392" s="669"/>
      <c r="AE392" s="669"/>
      <c r="AF392" s="669"/>
      <c r="AG392" s="669"/>
      <c r="AH392"/>
      <c r="AI392"/>
      <c r="AJ392"/>
      <c r="BB392" s="1579"/>
    </row>
    <row r="393" spans="1:54" s="624" customFormat="1" ht="62.25" hidden="1" customHeight="1" outlineLevel="1" x14ac:dyDescent="0.25">
      <c r="A393" s="763"/>
      <c r="B393" s="2308"/>
      <c r="C393" s="2309"/>
      <c r="D393" s="1642" t="s">
        <v>1043</v>
      </c>
      <c r="E393" s="1642" t="s">
        <v>1044</v>
      </c>
      <c r="F393" s="61">
        <v>0.98</v>
      </c>
      <c r="G393" s="3005" t="s">
        <v>1045</v>
      </c>
      <c r="H393" s="3043"/>
      <c r="I393" s="2933" t="s">
        <v>2373</v>
      </c>
      <c r="J393" s="2934"/>
      <c r="K393" s="2935"/>
      <c r="L393" s="2293"/>
      <c r="M393" s="443"/>
      <c r="N393" s="443"/>
      <c r="O393" s="2316"/>
      <c r="P393" s="2316"/>
      <c r="Q393" s="2316"/>
      <c r="R393" s="2316"/>
      <c r="S393" s="2316"/>
      <c r="T393" s="2316"/>
      <c r="U393" s="443"/>
      <c r="V393" s="1254" t="str">
        <f t="shared" si="70"/>
        <v>RE_electric</v>
      </c>
      <c r="W393" s="669">
        <v>0.98</v>
      </c>
      <c r="X393" s="669">
        <v>0.98</v>
      </c>
      <c r="Y393" s="669">
        <v>0.98</v>
      </c>
      <c r="Z393" s="669"/>
      <c r="AA393" s="669"/>
      <c r="AB393" s="669"/>
      <c r="AC393" s="669"/>
      <c r="AD393" s="669"/>
      <c r="AE393" s="669"/>
      <c r="AF393" s="669"/>
      <c r="AG393" s="669"/>
      <c r="AH393"/>
      <c r="AI393"/>
      <c r="AJ393"/>
      <c r="BB393" s="1579"/>
    </row>
    <row r="394" spans="1:54" s="624" customFormat="1" ht="30" hidden="1" customHeight="1" outlineLevel="1" x14ac:dyDescent="0.25">
      <c r="A394" s="763"/>
      <c r="B394" s="2308"/>
      <c r="C394" s="2309"/>
      <c r="D394" s="1642">
        <v>3412</v>
      </c>
      <c r="E394" s="1680" t="s">
        <v>1046</v>
      </c>
      <c r="F394" s="685">
        <v>3412</v>
      </c>
      <c r="G394" s="3005" t="s">
        <v>701</v>
      </c>
      <c r="H394" s="3043"/>
      <c r="I394" s="2933" t="s">
        <v>2373</v>
      </c>
      <c r="J394" s="2934"/>
      <c r="K394" s="2935"/>
      <c r="L394" s="2293"/>
      <c r="M394" s="2317"/>
      <c r="N394" s="2317"/>
      <c r="O394" s="2316"/>
      <c r="P394" s="2316"/>
      <c r="Q394" s="2316"/>
      <c r="R394" s="2316"/>
      <c r="S394" s="2316"/>
      <c r="T394" s="2316"/>
      <c r="U394" s="2317"/>
      <c r="V394" s="1254">
        <f t="shared" si="70"/>
        <v>3412</v>
      </c>
      <c r="W394" s="688">
        <v>3412</v>
      </c>
      <c r="X394" s="688">
        <v>3412</v>
      </c>
      <c r="Y394" s="688">
        <v>3412</v>
      </c>
      <c r="Z394" s="688"/>
      <c r="AA394" s="688"/>
      <c r="AB394" s="688"/>
      <c r="AC394" s="688"/>
      <c r="AD394" s="688"/>
      <c r="AE394" s="688"/>
      <c r="AF394" s="688"/>
      <c r="AG394" s="688"/>
      <c r="AH394"/>
      <c r="AI394"/>
      <c r="AJ394"/>
      <c r="BB394" s="1579"/>
    </row>
    <row r="395" spans="1:54" ht="15" hidden="1" customHeight="1" outlineLevel="1" x14ac:dyDescent="0.25">
      <c r="B395" s="2293"/>
      <c r="C395" s="2294"/>
      <c r="D395" s="1642" t="s">
        <v>956</v>
      </c>
      <c r="E395" s="1642" t="s">
        <v>1001</v>
      </c>
      <c r="F395" s="665">
        <v>1</v>
      </c>
      <c r="G395" s="2996" t="s">
        <v>1003</v>
      </c>
      <c r="H395" s="3055"/>
      <c r="I395" s="2720" t="s">
        <v>2361</v>
      </c>
      <c r="J395" s="3035"/>
      <c r="K395" s="2721"/>
      <c r="L395" s="2293"/>
      <c r="M395" s="1340"/>
      <c r="N395" s="1340"/>
      <c r="O395" s="229"/>
      <c r="P395" s="229"/>
      <c r="Q395" s="229"/>
      <c r="R395" s="229"/>
      <c r="S395" s="229"/>
      <c r="T395" s="229"/>
      <c r="U395" s="1340"/>
      <c r="V395" s="1254" t="str">
        <f t="shared" si="70"/>
        <v>Utility Adjustment</v>
      </c>
      <c r="W395" s="666">
        <v>1</v>
      </c>
      <c r="X395" s="666">
        <v>1</v>
      </c>
      <c r="Y395" s="666">
        <v>1</v>
      </c>
      <c r="Z395" s="666"/>
      <c r="AA395" s="666"/>
      <c r="AB395" s="666"/>
      <c r="AC395" s="666"/>
      <c r="AD395" s="666"/>
      <c r="AE395" s="666"/>
      <c r="AF395" s="666"/>
      <c r="AG395" s="666"/>
    </row>
    <row r="396" spans="1:54" ht="33.75" hidden="1" customHeight="1" outlineLevel="1" x14ac:dyDescent="0.25">
      <c r="B396" s="2293"/>
      <c r="C396" s="2294"/>
      <c r="D396" s="1642" t="s">
        <v>82</v>
      </c>
      <c r="E396" s="1642" t="s">
        <v>731</v>
      </c>
      <c r="F396" s="665">
        <v>0.91</v>
      </c>
      <c r="G396" s="2996" t="s">
        <v>2040</v>
      </c>
      <c r="H396" s="3055"/>
      <c r="I396" s="2933" t="s">
        <v>2373</v>
      </c>
      <c r="J396" s="2934"/>
      <c r="K396" s="2935"/>
      <c r="L396" s="2293"/>
      <c r="M396" s="1340"/>
      <c r="N396" s="1340"/>
      <c r="O396" s="229"/>
      <c r="P396" s="229"/>
      <c r="Q396" s="229"/>
      <c r="R396" s="229"/>
      <c r="S396" s="229"/>
      <c r="T396" s="229"/>
      <c r="U396" s="1340"/>
      <c r="V396" s="1173" t="str">
        <f t="shared" si="70"/>
        <v>ISR</v>
      </c>
      <c r="W396" s="666">
        <v>0.91</v>
      </c>
      <c r="X396" s="666">
        <v>0.91</v>
      </c>
      <c r="Y396" s="666">
        <v>0.91</v>
      </c>
      <c r="Z396" s="666"/>
      <c r="AA396" s="666"/>
      <c r="AB396" s="666"/>
      <c r="AC396" s="666"/>
      <c r="AD396" s="666"/>
      <c r="AE396" s="666"/>
      <c r="AF396" s="666"/>
      <c r="AG396" s="666"/>
    </row>
    <row r="397" spans="1:54" s="355" customFormat="1" ht="15" hidden="1" customHeight="1" outlineLevel="1" x14ac:dyDescent="0.25">
      <c r="B397" s="1580"/>
      <c r="C397" s="1192"/>
      <c r="D397" s="537" t="str">
        <f>$D$30</f>
        <v>EUL</v>
      </c>
      <c r="E397" s="1642" t="s">
        <v>637</v>
      </c>
      <c r="F397" s="1332">
        <v>10</v>
      </c>
      <c r="G397" s="3004"/>
      <c r="H397" s="3004"/>
      <c r="I397" s="2692"/>
      <c r="J397" s="2692"/>
      <c r="K397" s="2692"/>
      <c r="V397" s="1352" t="str">
        <f>D397</f>
        <v>EUL</v>
      </c>
      <c r="W397" s="1332">
        <v>10</v>
      </c>
      <c r="X397" s="1332">
        <v>10</v>
      </c>
      <c r="Y397" s="1332">
        <v>10</v>
      </c>
      <c r="Z397" s="1332"/>
      <c r="AA397" s="1332"/>
      <c r="AB397" s="1332"/>
      <c r="AC397" s="1332"/>
      <c r="AD397" s="1332"/>
      <c r="AE397" s="1332"/>
      <c r="AF397" s="1332"/>
      <c r="AG397" s="1332"/>
      <c r="AK397" s="1581"/>
      <c r="BB397" s="1582"/>
    </row>
    <row r="398" spans="1:54" s="355" customFormat="1" ht="15" hidden="1" customHeight="1" outlineLevel="1" x14ac:dyDescent="0.25">
      <c r="B398" s="1580"/>
      <c r="C398" s="1192"/>
      <c r="D398" s="537" t="str">
        <f>$D$31</f>
        <v>Inc. Cost</v>
      </c>
      <c r="E398" s="1642" t="s">
        <v>2376</v>
      </c>
      <c r="F398" s="1356">
        <v>15.33</v>
      </c>
      <c r="G398" s="3004"/>
      <c r="H398" s="3004"/>
      <c r="I398" s="2692"/>
      <c r="J398" s="2692"/>
      <c r="K398" s="2692"/>
      <c r="V398" s="1352" t="str">
        <f>CONCATENATE(D398,"_",E398)</f>
        <v>Inc. Cost_Direct Install</v>
      </c>
      <c r="W398" s="1356">
        <v>15.33</v>
      </c>
      <c r="X398" s="1356">
        <v>15.33</v>
      </c>
      <c r="Y398" s="1356">
        <v>15.33</v>
      </c>
      <c r="Z398" s="1356"/>
      <c r="AA398" s="1356"/>
      <c r="AB398" s="1356"/>
      <c r="AC398" s="1356"/>
      <c r="AD398" s="1356"/>
      <c r="AE398" s="1356"/>
      <c r="AF398" s="1356"/>
      <c r="AG398" s="1356"/>
      <c r="AK398" s="1581"/>
      <c r="BB398" s="1582"/>
    </row>
    <row r="399" spans="1:54" s="355" customFormat="1" ht="15" hidden="1" customHeight="1" outlineLevel="1" x14ac:dyDescent="0.25">
      <c r="B399" s="1580"/>
      <c r="C399" s="1192"/>
      <c r="D399" s="537" t="str">
        <f>$D$31</f>
        <v>Inc. Cost</v>
      </c>
      <c r="E399" s="1642" t="s">
        <v>2377</v>
      </c>
      <c r="F399" s="1356">
        <v>7</v>
      </c>
      <c r="G399" s="3004"/>
      <c r="H399" s="3004"/>
      <c r="I399" s="2692"/>
      <c r="J399" s="2692"/>
      <c r="K399" s="2692"/>
      <c r="V399" s="1352" t="str">
        <f>CONCATENATE(D399,"_",E399)</f>
        <v>Inc. Cost_Time of Sale</v>
      </c>
      <c r="W399" s="1356">
        <v>7</v>
      </c>
      <c r="X399" s="1356">
        <v>7</v>
      </c>
      <c r="Y399" s="1356">
        <v>7</v>
      </c>
      <c r="Z399" s="1356"/>
      <c r="AA399" s="1356"/>
      <c r="AB399" s="1356"/>
      <c r="AC399" s="1356"/>
      <c r="AD399" s="1356"/>
      <c r="AE399" s="1356"/>
      <c r="AF399" s="1356"/>
      <c r="AG399" s="1356"/>
      <c r="AK399" s="1581"/>
      <c r="BB399" s="1582"/>
    </row>
    <row r="400" spans="1:54" collapsed="1" x14ac:dyDescent="0.25">
      <c r="B400" s="2293"/>
      <c r="C400" s="2294"/>
      <c r="D400" s="1534"/>
      <c r="E400" s="1534"/>
      <c r="F400" s="2293"/>
      <c r="G400" s="2293"/>
      <c r="H400" s="2293"/>
      <c r="I400" s="2293"/>
      <c r="J400" s="2293"/>
      <c r="K400" s="2293"/>
      <c r="L400" s="2293"/>
    </row>
    <row r="401" spans="2:57" x14ac:dyDescent="0.25">
      <c r="B401" s="2293"/>
      <c r="C401" s="2294"/>
      <c r="D401" s="1534"/>
      <c r="E401" s="1534"/>
      <c r="F401" s="2293"/>
      <c r="G401" s="2293"/>
      <c r="H401" s="2293"/>
      <c r="I401" s="2293"/>
      <c r="J401" s="2293"/>
      <c r="K401" s="2293"/>
      <c r="L401" s="2293"/>
    </row>
    <row r="402" spans="2:57" x14ac:dyDescent="0.25">
      <c r="B402" s="2639" t="s">
        <v>1118</v>
      </c>
      <c r="C402" s="2640"/>
      <c r="D402" s="2640"/>
      <c r="E402" s="2640"/>
      <c r="F402" s="2640"/>
      <c r="G402" s="2640"/>
      <c r="H402" s="2640"/>
      <c r="I402" s="2641"/>
      <c r="J402" s="2641"/>
      <c r="K402" s="2641"/>
      <c r="L402" s="2641"/>
      <c r="M402" s="2641"/>
      <c r="N402" s="2641"/>
      <c r="O402" s="2641"/>
      <c r="P402" s="2641"/>
      <c r="Q402" s="2642"/>
      <c r="V402" s="2639" t="str">
        <f>B402</f>
        <v>Advanced Power Strips Tier 1  / Load Sensing</v>
      </c>
      <c r="W402" s="2640"/>
      <c r="X402" s="2640"/>
      <c r="Y402" s="2640"/>
      <c r="Z402" s="2640"/>
      <c r="AA402" s="2640"/>
      <c r="AB402" s="2640"/>
      <c r="AC402" s="2615"/>
      <c r="AD402" s="2615"/>
      <c r="AE402" s="2615"/>
      <c r="AF402" s="2615"/>
      <c r="AG402" s="2615"/>
      <c r="AH402" s="2615"/>
      <c r="AI402" s="2616"/>
    </row>
    <row r="404" spans="2:57" ht="30" x14ac:dyDescent="0.25">
      <c r="C404" s="1641" t="s">
        <v>17</v>
      </c>
      <c r="D404" s="1641" t="s">
        <v>662</v>
      </c>
      <c r="E404" s="1641" t="s">
        <v>19</v>
      </c>
      <c r="F404" s="1641" t="s">
        <v>20</v>
      </c>
      <c r="G404" s="1641" t="s">
        <v>21</v>
      </c>
      <c r="H404" s="1641" t="s">
        <v>22</v>
      </c>
      <c r="I404" s="1641" t="s">
        <v>23</v>
      </c>
      <c r="J404" s="1641" t="s">
        <v>24</v>
      </c>
      <c r="K404" s="1641" t="s">
        <v>25</v>
      </c>
      <c r="L404" s="1641" t="s">
        <v>26</v>
      </c>
      <c r="V404" s="55" t="s">
        <v>27</v>
      </c>
      <c r="W404" s="56">
        <f>W$6</f>
        <v>43252</v>
      </c>
      <c r="X404" s="56">
        <f t="shared" ref="X404:AG404" si="71">X$6</f>
        <v>43465</v>
      </c>
      <c r="Y404" s="56">
        <f t="shared" si="71"/>
        <v>43800</v>
      </c>
      <c r="Z404" s="56">
        <f t="shared" si="71"/>
        <v>43862</v>
      </c>
      <c r="AA404" s="56" t="str">
        <f t="shared" si="71"/>
        <v>-</v>
      </c>
      <c r="AB404" s="56" t="str">
        <f t="shared" si="71"/>
        <v>-</v>
      </c>
      <c r="AC404" s="56" t="str">
        <f t="shared" si="71"/>
        <v>-</v>
      </c>
      <c r="AD404" s="56" t="str">
        <f t="shared" si="71"/>
        <v>-</v>
      </c>
      <c r="AE404" s="56" t="str">
        <f t="shared" si="71"/>
        <v>-</v>
      </c>
      <c r="AF404" s="56" t="str">
        <f t="shared" si="71"/>
        <v>-</v>
      </c>
      <c r="AG404" s="56" t="str">
        <f t="shared" si="71"/>
        <v>-</v>
      </c>
      <c r="BB404" s="57" t="str">
        <f>$BB$6</f>
        <v>TRC (2020)</v>
      </c>
      <c r="BC404" s="103" t="str">
        <f>$BC$6</f>
        <v>Benefit Lookup</v>
      </c>
      <c r="BD404" s="883" t="str">
        <f>$BD$6</f>
        <v>Benefits (2019 $)</v>
      </c>
      <c r="BE404" s="334" t="str">
        <f>$BE$6</f>
        <v>Incremental Cost (2019 $)</v>
      </c>
    </row>
    <row r="405" spans="2:57" x14ac:dyDescent="0.25">
      <c r="C405" s="92" t="s">
        <v>2378</v>
      </c>
      <c r="D405" s="1927" t="s">
        <v>2272</v>
      </c>
      <c r="E405" s="458" t="s">
        <v>2142</v>
      </c>
      <c r="F405" s="712">
        <f>ROUND((F419*F421+G419*G421)*H422,2)</f>
        <v>31</v>
      </c>
      <c r="G405" s="459" t="s">
        <v>840</v>
      </c>
      <c r="H405" s="239">
        <f>VLOOKUP(G405,'CP FACTORS'!$A$3:$B$38, 2, FALSE)</f>
        <v>1.148238E-4</v>
      </c>
      <c r="I405" s="2015">
        <f>ROUND(F405*H405,6)</f>
        <v>3.5599999999999998E-3</v>
      </c>
      <c r="J405" s="156">
        <f>$F$424</f>
        <v>10</v>
      </c>
      <c r="K405" s="1535">
        <f>$F$425</f>
        <v>20</v>
      </c>
      <c r="L405" s="291" t="s">
        <v>37</v>
      </c>
      <c r="V405" s="245" t="str">
        <f>F404</f>
        <v>kWh Annual Savings</v>
      </c>
      <c r="W405" s="699">
        <v>31</v>
      </c>
      <c r="X405" s="699">
        <v>31</v>
      </c>
      <c r="Y405" s="656">
        <v>31</v>
      </c>
      <c r="Z405" s="699"/>
      <c r="AA405" s="699"/>
      <c r="AB405" s="699"/>
      <c r="AC405" s="699"/>
      <c r="AD405" s="699"/>
      <c r="AE405" s="699"/>
      <c r="AF405" s="699"/>
      <c r="AG405" s="699"/>
      <c r="BB405" s="68">
        <f t="shared" ref="BB405:BB410" si="72">(BD405)/(BE405)</f>
        <v>0.56629728930217338</v>
      </c>
      <c r="BC405" s="69" t="str">
        <f>CONCATENATE(G405," ",J405," Year EUL")</f>
        <v>Miscellaneous RES 10 Year EUL</v>
      </c>
      <c r="BD405" s="162">
        <f>(INDEX('Avoided Cost Benefits'!$C$4:$C$857,MATCH(BC405,'Avoided Cost Benefits'!$A$4:$A$857,0)))*F405</f>
        <v>10.689896919342583</v>
      </c>
      <c r="BE405" s="70">
        <f>K405/(1.0595^(2020-2019))</f>
        <v>18.876828692779611</v>
      </c>
    </row>
    <row r="406" spans="2:57" x14ac:dyDescent="0.25">
      <c r="C406" s="92" t="s">
        <v>2379</v>
      </c>
      <c r="D406" s="1927" t="s">
        <v>2272</v>
      </c>
      <c r="E406" s="458" t="s">
        <v>2144</v>
      </c>
      <c r="F406" s="712">
        <f>ROUND((F419*F421+G419*G421)*I422,2)</f>
        <v>24.18</v>
      </c>
      <c r="G406" s="459" t="s">
        <v>840</v>
      </c>
      <c r="H406" s="239">
        <f>VLOOKUP(G406,'CP FACTORS'!$A$3:$B$38, 2, FALSE)</f>
        <v>1.148238E-4</v>
      </c>
      <c r="I406" s="2015">
        <f t="shared" ref="I406:I410" si="73">ROUND(F406*H406,6)</f>
        <v>2.7759999999999998E-3</v>
      </c>
      <c r="J406" s="156">
        <f t="shared" ref="J406:J410" si="74">$F$424</f>
        <v>10</v>
      </c>
      <c r="K406" s="1535">
        <f t="shared" ref="K406:K410" si="75">$F$425</f>
        <v>20</v>
      </c>
      <c r="L406" s="291" t="s">
        <v>37</v>
      </c>
      <c r="V406" s="245" t="str">
        <f>V405</f>
        <v>kWh Annual Savings</v>
      </c>
      <c r="W406" s="699">
        <v>24.18</v>
      </c>
      <c r="X406" s="699">
        <v>24.18</v>
      </c>
      <c r="Y406" s="656">
        <v>24.18</v>
      </c>
      <c r="Z406" s="699"/>
      <c r="AA406" s="699"/>
      <c r="AB406" s="699"/>
      <c r="AC406" s="699"/>
      <c r="AD406" s="699"/>
      <c r="AE406" s="699"/>
      <c r="AF406" s="699"/>
      <c r="AG406" s="699"/>
      <c r="BB406" s="72">
        <f t="shared" si="72"/>
        <v>0.4417118856556953</v>
      </c>
      <c r="BC406" s="73" t="str">
        <f t="shared" ref="BC406:BC410" si="76">CONCATENATE(G406," ",J406," Year EUL")</f>
        <v>Miscellaneous RES 10 Year EUL</v>
      </c>
      <c r="BD406" s="165">
        <f>(INDEX('Avoided Cost Benefits'!$C$4:$C$857,MATCH(BC406,'Avoided Cost Benefits'!$A$4:$A$857,0)))*F406</f>
        <v>8.338119597087216</v>
      </c>
      <c r="BE406" s="74">
        <f t="shared" ref="BE406:BE410" si="77">K406/(1.0595^(2020-2019))</f>
        <v>18.876828692779611</v>
      </c>
    </row>
    <row r="407" spans="2:57" x14ac:dyDescent="0.25">
      <c r="C407" s="1942" t="s">
        <v>2380</v>
      </c>
      <c r="D407" s="1927" t="s">
        <v>2272</v>
      </c>
      <c r="E407" s="458" t="s">
        <v>2146</v>
      </c>
      <c r="F407" s="712">
        <f>ROUND((F419*F420+G419*G420)*H422,2)</f>
        <v>75.099999999999994</v>
      </c>
      <c r="G407" s="459" t="s">
        <v>840</v>
      </c>
      <c r="H407" s="239">
        <f>VLOOKUP(G407,'CP FACTORS'!$A$3:$B$38, 2, FALSE)</f>
        <v>1.148238E-4</v>
      </c>
      <c r="I407" s="2015">
        <f t="shared" si="73"/>
        <v>8.6230000000000005E-3</v>
      </c>
      <c r="J407" s="156">
        <f t="shared" si="74"/>
        <v>10</v>
      </c>
      <c r="K407" s="1535">
        <f t="shared" si="75"/>
        <v>20</v>
      </c>
      <c r="L407" s="291" t="s">
        <v>37</v>
      </c>
      <c r="V407" s="245" t="str">
        <f t="shared" ref="V407:V410" si="78">V406</f>
        <v>kWh Annual Savings</v>
      </c>
      <c r="W407" s="699">
        <v>75.099999999999994</v>
      </c>
      <c r="X407" s="699">
        <v>75.099999999999994</v>
      </c>
      <c r="Y407" s="656">
        <v>75.099999999999994</v>
      </c>
      <c r="Z407" s="699"/>
      <c r="AA407" s="699"/>
      <c r="AB407" s="699"/>
      <c r="AC407" s="699"/>
      <c r="AD407" s="699"/>
      <c r="AE407" s="699"/>
      <c r="AF407" s="699"/>
      <c r="AG407" s="699"/>
      <c r="BB407" s="72">
        <f t="shared" si="72"/>
        <v>1.3719008524707492</v>
      </c>
      <c r="BC407" s="73" t="str">
        <f t="shared" si="76"/>
        <v>Miscellaneous RES 10 Year EUL</v>
      </c>
      <c r="BD407" s="165">
        <f>(INDEX('Avoided Cost Benefits'!$C$4:$C$857,MATCH(BC407,'Avoided Cost Benefits'!$A$4:$A$857,0)))*F407</f>
        <v>25.897137375568647</v>
      </c>
      <c r="BE407" s="74">
        <f t="shared" si="77"/>
        <v>18.876828692779611</v>
      </c>
    </row>
    <row r="408" spans="2:57" x14ac:dyDescent="0.25">
      <c r="C408" s="92" t="s">
        <v>2381</v>
      </c>
      <c r="D408" s="1927" t="s">
        <v>2272</v>
      </c>
      <c r="E408" s="458" t="s">
        <v>2148</v>
      </c>
      <c r="F408" s="712">
        <f>ROUND((F419*F420+G419*G420)*I422,2)</f>
        <v>58.58</v>
      </c>
      <c r="G408" s="459" t="s">
        <v>840</v>
      </c>
      <c r="H408" s="239">
        <f>VLOOKUP(G408,'CP FACTORS'!$A$3:$B$38, 2, FALSE)</f>
        <v>1.148238E-4</v>
      </c>
      <c r="I408" s="2015">
        <f t="shared" si="73"/>
        <v>6.7260000000000002E-3</v>
      </c>
      <c r="J408" s="156">
        <f t="shared" si="74"/>
        <v>10</v>
      </c>
      <c r="K408" s="1535">
        <f t="shared" si="75"/>
        <v>20</v>
      </c>
      <c r="L408" s="291" t="s">
        <v>37</v>
      </c>
      <c r="V408" s="245" t="str">
        <f t="shared" si="78"/>
        <v>kWh Annual Savings</v>
      </c>
      <c r="W408" s="699">
        <v>58.577999999999996</v>
      </c>
      <c r="X408" s="699">
        <v>58.577999999999996</v>
      </c>
      <c r="Y408" s="656">
        <v>58.58</v>
      </c>
      <c r="Z408" s="699"/>
      <c r="AA408" s="699"/>
      <c r="AB408" s="699"/>
      <c r="AC408" s="699"/>
      <c r="AD408" s="699"/>
      <c r="AE408" s="699"/>
      <c r="AF408" s="699"/>
      <c r="AG408" s="699"/>
      <c r="BB408" s="72">
        <f t="shared" si="72"/>
        <v>1.0701192002361717</v>
      </c>
      <c r="BC408" s="73" t="str">
        <f t="shared" si="76"/>
        <v>Miscellaneous RES 10 Year EUL</v>
      </c>
      <c r="BD408" s="165">
        <f>(INDEX('Avoided Cost Benefits'!$C$4:$C$857,MATCH(BC408,'Avoided Cost Benefits'!$A$4:$A$857,0)))*F408</f>
        <v>20.200456823712535</v>
      </c>
      <c r="BE408" s="74">
        <f t="shared" si="77"/>
        <v>18.876828692779611</v>
      </c>
    </row>
    <row r="409" spans="2:57" x14ac:dyDescent="0.25">
      <c r="C409" s="92" t="s">
        <v>2382</v>
      </c>
      <c r="D409" s="1927" t="s">
        <v>2272</v>
      </c>
      <c r="E409" s="458" t="s">
        <v>2150</v>
      </c>
      <c r="F409" s="712">
        <f>ROUND((F419*H421+G419*H420)*H422,2)</f>
        <v>59.22</v>
      </c>
      <c r="G409" s="459" t="s">
        <v>840</v>
      </c>
      <c r="H409" s="239">
        <f>VLOOKUP(G409,'CP FACTORS'!$A$3:$B$38, 2, FALSE)</f>
        <v>1.148238E-4</v>
      </c>
      <c r="I409" s="2015">
        <f t="shared" si="73"/>
        <v>6.7999999999999996E-3</v>
      </c>
      <c r="J409" s="156">
        <f t="shared" si="74"/>
        <v>10</v>
      </c>
      <c r="K409" s="1535">
        <f t="shared" si="75"/>
        <v>20</v>
      </c>
      <c r="L409" s="291" t="s">
        <v>37</v>
      </c>
      <c r="V409" s="245" t="str">
        <f t="shared" si="78"/>
        <v>kWh Annual Savings</v>
      </c>
      <c r="W409" s="699">
        <v>59.224000000000004</v>
      </c>
      <c r="X409" s="699">
        <v>59.224000000000004</v>
      </c>
      <c r="Y409" s="656">
        <v>59.22</v>
      </c>
      <c r="Z409" s="699"/>
      <c r="AA409" s="699"/>
      <c r="AB409" s="699"/>
      <c r="AC409" s="699"/>
      <c r="AD409" s="699"/>
      <c r="AE409" s="699"/>
      <c r="AF409" s="699"/>
      <c r="AG409" s="699"/>
      <c r="BB409" s="72">
        <f t="shared" si="72"/>
        <v>1.0818104991120874</v>
      </c>
      <c r="BC409" s="73" t="str">
        <f t="shared" si="76"/>
        <v>Miscellaneous RES 10 Year EUL</v>
      </c>
      <c r="BD409" s="165">
        <f>(INDEX('Avoided Cost Benefits'!$C$4:$C$857,MATCH(BC409,'Avoided Cost Benefits'!$A$4:$A$857,0)))*F409</f>
        <v>20.421151469789283</v>
      </c>
      <c r="BE409" s="74">
        <f t="shared" si="77"/>
        <v>18.876828692779611</v>
      </c>
    </row>
    <row r="410" spans="2:57" x14ac:dyDescent="0.25">
      <c r="C410" s="92" t="s">
        <v>2383</v>
      </c>
      <c r="D410" s="1927" t="s">
        <v>2272</v>
      </c>
      <c r="E410" s="458" t="s">
        <v>2152</v>
      </c>
      <c r="F410" s="712">
        <f>ROUND((F419*I421+G419*I420)*I422,2)</f>
        <v>42.07</v>
      </c>
      <c r="G410" s="459" t="s">
        <v>840</v>
      </c>
      <c r="H410" s="239">
        <f>VLOOKUP(G410,'CP FACTORS'!$A$3:$B$38, 2, FALSE)</f>
        <v>1.148238E-4</v>
      </c>
      <c r="I410" s="2015">
        <f t="shared" si="73"/>
        <v>4.8310000000000002E-3</v>
      </c>
      <c r="J410" s="156">
        <f t="shared" si="74"/>
        <v>10</v>
      </c>
      <c r="K410" s="1535">
        <f t="shared" si="75"/>
        <v>20</v>
      </c>
      <c r="L410" s="291" t="s">
        <v>37</v>
      </c>
      <c r="V410" s="245" t="str">
        <f t="shared" si="78"/>
        <v>kWh Annual Savings</v>
      </c>
      <c r="W410" s="699">
        <v>42.066960000000002</v>
      </c>
      <c r="X410" s="699">
        <v>42.066960000000002</v>
      </c>
      <c r="Y410" s="656">
        <v>42.07</v>
      </c>
      <c r="Z410" s="699"/>
      <c r="AA410" s="699"/>
      <c r="AB410" s="699"/>
      <c r="AC410" s="699"/>
      <c r="AD410" s="699"/>
      <c r="AE410" s="699"/>
      <c r="AF410" s="699"/>
      <c r="AG410" s="699"/>
      <c r="BB410" s="75">
        <f t="shared" si="72"/>
        <v>0.76852022454653024</v>
      </c>
      <c r="BC410" s="73" t="str">
        <f t="shared" si="76"/>
        <v>Miscellaneous RES 10 Year EUL</v>
      </c>
      <c r="BD410" s="170">
        <f>(INDEX('Avoided Cost Benefits'!$C$4:$C$857,MATCH(BC410,'Avoided Cost Benefits'!$A$4:$A$857,0)))*F410</f>
        <v>14.507224625701372</v>
      </c>
      <c r="BE410" s="76">
        <f t="shared" si="77"/>
        <v>18.876828692779611</v>
      </c>
    </row>
    <row r="411" spans="2:57" hidden="1" outlineLevel="1" x14ac:dyDescent="0.25">
      <c r="E411" s="1099"/>
    </row>
    <row r="412" spans="2:57" hidden="1" outlineLevel="1" x14ac:dyDescent="0.25">
      <c r="D412" s="259" t="s">
        <v>617</v>
      </c>
      <c r="E412" s="1099"/>
    </row>
    <row r="413" spans="2:57" hidden="1" outlineLevel="1" x14ac:dyDescent="0.25">
      <c r="E413" s="1099"/>
    </row>
    <row r="414" spans="2:57" hidden="1" outlineLevel="1" x14ac:dyDescent="0.25">
      <c r="E414" s="1099"/>
    </row>
    <row r="415" spans="2:57" hidden="1" outlineLevel="1" x14ac:dyDescent="0.25">
      <c r="E415" s="1099"/>
    </row>
    <row r="416" spans="2:57" hidden="1" outlineLevel="1" x14ac:dyDescent="0.25">
      <c r="E416" s="1099"/>
    </row>
    <row r="417" spans="2:57" hidden="1" outlineLevel="1" x14ac:dyDescent="0.25">
      <c r="D417" s="520" t="s">
        <v>618</v>
      </c>
      <c r="E417" s="520" t="s">
        <v>619</v>
      </c>
      <c r="F417" s="520" t="s">
        <v>1132</v>
      </c>
      <c r="G417" s="520" t="s">
        <v>1133</v>
      </c>
      <c r="H417" s="2722" t="s">
        <v>1134</v>
      </c>
      <c r="I417" s="2726"/>
      <c r="J417" s="520" t="s">
        <v>863</v>
      </c>
      <c r="V417" s="55" t="s">
        <v>27</v>
      </c>
      <c r="W417" s="56">
        <f>$W$6</f>
        <v>43252</v>
      </c>
      <c r="X417" s="56">
        <f>$X$6</f>
        <v>43465</v>
      </c>
      <c r="Y417" s="56">
        <f>$Y$6</f>
        <v>43800</v>
      </c>
      <c r="Z417" s="56">
        <f>$Z$6</f>
        <v>43862</v>
      </c>
      <c r="AA417" s="56" t="str">
        <f>$AA$6</f>
        <v>-</v>
      </c>
      <c r="AB417" s="56" t="str">
        <f>$AB$6</f>
        <v>-</v>
      </c>
      <c r="AC417" s="56" t="str">
        <f>$AC$6</f>
        <v>-</v>
      </c>
      <c r="AD417" s="56" t="str">
        <f>$AD$6</f>
        <v>-</v>
      </c>
      <c r="AE417" s="56" t="str">
        <f>$AE$6</f>
        <v>-</v>
      </c>
      <c r="AF417" s="56" t="str">
        <f>$AF$6</f>
        <v>-</v>
      </c>
      <c r="AG417" s="56" t="str">
        <f>$AG$6</f>
        <v>-</v>
      </c>
      <c r="AH417" s="663"/>
      <c r="AI417" s="56">
        <f>$W$6</f>
        <v>43252</v>
      </c>
      <c r="AJ417" s="56">
        <f>$X$6</f>
        <v>43465</v>
      </c>
      <c r="AK417" s="56">
        <f>$Y$6</f>
        <v>43800</v>
      </c>
      <c r="AL417" s="56">
        <f>$Z$6</f>
        <v>43862</v>
      </c>
      <c r="AM417" s="56" t="str">
        <f>$AA$6</f>
        <v>-</v>
      </c>
      <c r="AN417" s="56" t="str">
        <f>$AB$6</f>
        <v>-</v>
      </c>
      <c r="AO417" s="56" t="str">
        <f>$AC$6</f>
        <v>-</v>
      </c>
      <c r="AP417" s="56" t="str">
        <f>$AD$6</f>
        <v>-</v>
      </c>
      <c r="AQ417" s="56" t="str">
        <f>$AE$6</f>
        <v>-</v>
      </c>
      <c r="AR417" s="56" t="str">
        <f>$AF$6</f>
        <v>-</v>
      </c>
      <c r="AS417" s="56" t="str">
        <f>$AG$6</f>
        <v>-</v>
      </c>
      <c r="AT417" s="663"/>
      <c r="AU417" s="56">
        <f>$W$6</f>
        <v>43252</v>
      </c>
      <c r="AV417" s="56">
        <f>$X$6</f>
        <v>43465</v>
      </c>
      <c r="AW417" s="56">
        <f>$Y$6</f>
        <v>43800</v>
      </c>
      <c r="AX417" s="56">
        <f>$Z$6</f>
        <v>43862</v>
      </c>
      <c r="AY417" s="56" t="str">
        <f>$AA$6</f>
        <v>-</v>
      </c>
      <c r="AZ417" s="56" t="str">
        <f>$AB$6</f>
        <v>-</v>
      </c>
      <c r="BA417" s="56" t="str">
        <f>$AC$6</f>
        <v>-</v>
      </c>
    </row>
    <row r="418" spans="2:57" ht="45" hidden="1" outlineLevel="1" x14ac:dyDescent="0.25">
      <c r="D418" s="769"/>
      <c r="E418" s="769"/>
      <c r="F418" s="769"/>
      <c r="G418" s="769"/>
      <c r="H418" s="1641" t="s">
        <v>1135</v>
      </c>
      <c r="I418" s="1641" t="s">
        <v>1136</v>
      </c>
      <c r="J418" s="769"/>
      <c r="V418" s="79"/>
      <c r="W418" s="80" t="s">
        <v>1132</v>
      </c>
      <c r="X418" s="80" t="s">
        <v>1132</v>
      </c>
      <c r="Y418" s="80" t="s">
        <v>1132</v>
      </c>
      <c r="Z418" s="80" t="s">
        <v>1132</v>
      </c>
      <c r="AA418" s="80" t="s">
        <v>1132</v>
      </c>
      <c r="AB418" s="80" t="s">
        <v>1132</v>
      </c>
      <c r="AC418" s="80" t="s">
        <v>1132</v>
      </c>
      <c r="AD418" s="80" t="s">
        <v>1132</v>
      </c>
      <c r="AE418" s="80" t="s">
        <v>1132</v>
      </c>
      <c r="AF418" s="80" t="s">
        <v>1132</v>
      </c>
      <c r="AG418" s="80" t="s">
        <v>1132</v>
      </c>
      <c r="AI418" s="80" t="str">
        <f>G417</f>
        <v>Entertainment</v>
      </c>
      <c r="AJ418" s="80" t="str">
        <f>AI418</f>
        <v>Entertainment</v>
      </c>
      <c r="AK418" s="80" t="str">
        <f t="shared" ref="AK418:AS418" si="79">AJ418</f>
        <v>Entertainment</v>
      </c>
      <c r="AL418" s="80" t="str">
        <f t="shared" si="79"/>
        <v>Entertainment</v>
      </c>
      <c r="AM418" s="80" t="str">
        <f t="shared" si="79"/>
        <v>Entertainment</v>
      </c>
      <c r="AN418" s="80" t="str">
        <f t="shared" si="79"/>
        <v>Entertainment</v>
      </c>
      <c r="AO418" s="80" t="str">
        <f t="shared" si="79"/>
        <v>Entertainment</v>
      </c>
      <c r="AP418" s="80" t="str">
        <f t="shared" si="79"/>
        <v>Entertainment</v>
      </c>
      <c r="AQ418" s="80" t="str">
        <f t="shared" si="79"/>
        <v>Entertainment</v>
      </c>
      <c r="AR418" s="80" t="str">
        <f t="shared" si="79"/>
        <v>Entertainment</v>
      </c>
      <c r="AS418" s="80" t="str">
        <f t="shared" si="79"/>
        <v>Entertainment</v>
      </c>
      <c r="AU418" s="80" t="str">
        <f>CONCATENATE(H417," ",H418)</f>
        <v>Location Unknown TOS / NC / DI</v>
      </c>
      <c r="AV418" s="80" t="str">
        <f>AU418</f>
        <v>Location Unknown TOS / NC / DI</v>
      </c>
      <c r="AW418" s="80" t="str">
        <f t="shared" ref="AW418:BA418" si="80">AV418</f>
        <v>Location Unknown TOS / NC / DI</v>
      </c>
      <c r="AX418" s="80" t="str">
        <f t="shared" si="80"/>
        <v>Location Unknown TOS / NC / DI</v>
      </c>
      <c r="AY418" s="80" t="str">
        <f t="shared" si="80"/>
        <v>Location Unknown TOS / NC / DI</v>
      </c>
      <c r="AZ418" s="80" t="str">
        <f t="shared" si="80"/>
        <v>Location Unknown TOS / NC / DI</v>
      </c>
      <c r="BA418" s="80" t="str">
        <f t="shared" si="80"/>
        <v>Location Unknown TOS / NC / DI</v>
      </c>
    </row>
    <row r="419" spans="2:57" hidden="1" outlineLevel="1" x14ac:dyDescent="0.25">
      <c r="D419" s="458" t="s">
        <v>1137</v>
      </c>
      <c r="E419" s="458" t="s">
        <v>1138</v>
      </c>
      <c r="F419" s="61">
        <v>31</v>
      </c>
      <c r="G419" s="61">
        <v>75.099999999999994</v>
      </c>
      <c r="H419" s="61"/>
      <c r="I419" s="61"/>
      <c r="J419" s="150"/>
      <c r="V419" s="151" t="s">
        <v>1138</v>
      </c>
      <c r="W419" s="771">
        <v>31</v>
      </c>
      <c r="X419" s="771">
        <v>31</v>
      </c>
      <c r="Y419" s="771">
        <v>31</v>
      </c>
      <c r="Z419" s="771"/>
      <c r="AA419" s="771"/>
      <c r="AB419" s="771"/>
      <c r="AC419" s="771"/>
      <c r="AD419" s="771"/>
      <c r="AE419" s="771"/>
      <c r="AF419" s="771"/>
      <c r="AG419" s="771"/>
      <c r="AI419" s="669">
        <v>75.099999999999994</v>
      </c>
      <c r="AJ419" s="669">
        <v>75.099999999999994</v>
      </c>
      <c r="AK419" s="669">
        <v>75.099999999999994</v>
      </c>
      <c r="AL419" s="771"/>
      <c r="AM419" s="771"/>
      <c r="AN419" s="771"/>
      <c r="AO419" s="771"/>
      <c r="AP419" s="771"/>
      <c r="AQ419" s="771"/>
      <c r="AR419" s="771"/>
      <c r="AS419" s="771"/>
      <c r="AU419" s="669"/>
      <c r="AV419" s="669"/>
      <c r="AW419" s="669"/>
      <c r="AX419" s="771"/>
      <c r="AY419" s="771"/>
      <c r="AZ419" s="771"/>
      <c r="BA419" s="771"/>
    </row>
    <row r="420" spans="2:57" ht="30" hidden="1" outlineLevel="1" x14ac:dyDescent="0.25">
      <c r="D420" s="458" t="s">
        <v>1139</v>
      </c>
      <c r="E420" s="458" t="s">
        <v>1140</v>
      </c>
      <c r="F420" s="2318">
        <v>0</v>
      </c>
      <c r="G420" s="318">
        <v>1</v>
      </c>
      <c r="H420" s="318">
        <f>1-H421</f>
        <v>0.64</v>
      </c>
      <c r="I420" s="318">
        <f>1-I421</f>
        <v>0.52</v>
      </c>
      <c r="J420" s="1699"/>
      <c r="V420" s="773" t="s">
        <v>1140</v>
      </c>
      <c r="W420" s="774">
        <v>0</v>
      </c>
      <c r="X420" s="774">
        <v>0</v>
      </c>
      <c r="Y420" s="774">
        <v>0</v>
      </c>
      <c r="Z420" s="774"/>
      <c r="AA420" s="774"/>
      <c r="AB420" s="774"/>
      <c r="AC420" s="774"/>
      <c r="AD420" s="774"/>
      <c r="AE420" s="774"/>
      <c r="AF420" s="774"/>
      <c r="AG420" s="774"/>
      <c r="AI420" s="772">
        <v>1</v>
      </c>
      <c r="AJ420" s="772">
        <v>1</v>
      </c>
      <c r="AK420" s="772">
        <v>1</v>
      </c>
      <c r="AL420" s="774"/>
      <c r="AM420" s="774"/>
      <c r="AN420" s="774"/>
      <c r="AO420" s="774"/>
      <c r="AP420" s="774"/>
      <c r="AQ420" s="774"/>
      <c r="AR420" s="774"/>
      <c r="AS420" s="774"/>
      <c r="AU420" s="772">
        <f>1-AU421</f>
        <v>0.64</v>
      </c>
      <c r="AV420" s="772">
        <f>1-AV421</f>
        <v>0.64</v>
      </c>
      <c r="AW420" s="772">
        <f>1-AW421</f>
        <v>0.64</v>
      </c>
      <c r="AX420" s="774"/>
      <c r="AY420" s="774"/>
      <c r="AZ420" s="774"/>
      <c r="BA420" s="774"/>
    </row>
    <row r="421" spans="2:57" hidden="1" outlineLevel="1" x14ac:dyDescent="0.25">
      <c r="D421" s="458" t="s">
        <v>1141</v>
      </c>
      <c r="E421" s="458" t="s">
        <v>1142</v>
      </c>
      <c r="F421" s="318">
        <v>1</v>
      </c>
      <c r="G421" s="318">
        <v>0</v>
      </c>
      <c r="H421" s="318">
        <v>0.36</v>
      </c>
      <c r="I421" s="318">
        <v>0.48</v>
      </c>
      <c r="J421" s="150"/>
      <c r="V421" s="773" t="s">
        <v>1142</v>
      </c>
      <c r="W421" s="776">
        <v>1</v>
      </c>
      <c r="X421" s="776">
        <v>1</v>
      </c>
      <c r="Y421" s="776">
        <v>1</v>
      </c>
      <c r="Z421" s="776"/>
      <c r="AA421" s="776"/>
      <c r="AB421" s="776"/>
      <c r="AC421" s="776"/>
      <c r="AD421" s="776"/>
      <c r="AE421" s="776"/>
      <c r="AF421" s="776"/>
      <c r="AG421" s="776"/>
      <c r="AI421" s="772">
        <v>0</v>
      </c>
      <c r="AJ421" s="772">
        <v>0</v>
      </c>
      <c r="AK421" s="772">
        <v>0</v>
      </c>
      <c r="AL421" s="776"/>
      <c r="AM421" s="776"/>
      <c r="AN421" s="776"/>
      <c r="AO421" s="776"/>
      <c r="AP421" s="776"/>
      <c r="AQ421" s="776"/>
      <c r="AR421" s="776"/>
      <c r="AS421" s="776"/>
      <c r="AU421" s="772">
        <v>0.36</v>
      </c>
      <c r="AV421" s="772">
        <v>0.36</v>
      </c>
      <c r="AW421" s="772">
        <v>0.36</v>
      </c>
      <c r="AX421" s="776"/>
      <c r="AY421" s="776"/>
      <c r="AZ421" s="776"/>
      <c r="BA421" s="776"/>
    </row>
    <row r="422" spans="2:57" hidden="1" outlineLevel="1" x14ac:dyDescent="0.25">
      <c r="D422" s="458" t="s">
        <v>82</v>
      </c>
      <c r="E422" s="458" t="s">
        <v>1143</v>
      </c>
      <c r="G422" s="1341"/>
      <c r="H422" s="1341">
        <v>1</v>
      </c>
      <c r="I422" s="1341">
        <v>0.78</v>
      </c>
      <c r="J422" s="1699"/>
      <c r="V422" s="236" t="s">
        <v>82</v>
      </c>
      <c r="W422" s="777"/>
      <c r="X422" s="777"/>
      <c r="Y422" s="777"/>
      <c r="Z422" s="777"/>
      <c r="AA422" s="777"/>
      <c r="AB422" s="777"/>
      <c r="AC422" s="777"/>
      <c r="AD422" s="777"/>
      <c r="AE422" s="777"/>
      <c r="AF422" s="777"/>
      <c r="AG422" s="777"/>
      <c r="AI422" s="777"/>
      <c r="AJ422" s="777"/>
      <c r="AK422" s="777"/>
      <c r="AL422" s="777"/>
      <c r="AM422" s="777"/>
      <c r="AN422" s="777"/>
      <c r="AO422" s="777"/>
      <c r="AP422" s="777"/>
      <c r="AQ422" s="777"/>
      <c r="AR422" s="777"/>
      <c r="AS422" s="777"/>
      <c r="AU422" s="667">
        <v>1</v>
      </c>
      <c r="AV422" s="667">
        <v>1</v>
      </c>
      <c r="AW422" s="667">
        <v>1</v>
      </c>
      <c r="AX422" s="777"/>
      <c r="AY422" s="777"/>
      <c r="AZ422" s="777"/>
      <c r="BA422" s="777"/>
    </row>
    <row r="423" spans="2:57" hidden="1" outlineLevel="1" x14ac:dyDescent="0.25">
      <c r="D423" s="458" t="s">
        <v>731</v>
      </c>
      <c r="E423" s="458" t="s">
        <v>731</v>
      </c>
      <c r="F423" s="1341">
        <v>0.47315310825962376</v>
      </c>
      <c r="G423" s="1341"/>
      <c r="H423" s="1341"/>
      <c r="I423" s="1341"/>
      <c r="J423" s="1699"/>
      <c r="V423" s="236" t="s">
        <v>731</v>
      </c>
      <c r="W423" s="667">
        <v>0.47315310825962376</v>
      </c>
      <c r="X423" s="667">
        <v>0.47315310825962376</v>
      </c>
      <c r="Y423" s="667">
        <v>0.47315310825962376</v>
      </c>
      <c r="Z423" s="692"/>
      <c r="AA423" s="692"/>
      <c r="AB423" s="692"/>
      <c r="AC423" s="692"/>
      <c r="AD423" s="692"/>
      <c r="AE423" s="692"/>
      <c r="AF423" s="692"/>
      <c r="AG423" s="692"/>
      <c r="AI423" s="692"/>
      <c r="AJ423" s="692"/>
      <c r="AK423" s="692"/>
      <c r="AL423" s="692"/>
      <c r="AM423" s="692"/>
      <c r="AN423" s="692"/>
      <c r="AO423" s="692"/>
      <c r="AP423" s="692"/>
      <c r="AQ423" s="692"/>
      <c r="AR423" s="692"/>
      <c r="AS423" s="692"/>
      <c r="AU423" s="667"/>
      <c r="AV423" s="667"/>
      <c r="AW423" s="692"/>
      <c r="AX423" s="692"/>
      <c r="AY423" s="692"/>
      <c r="AZ423" s="692"/>
      <c r="BA423" s="692"/>
    </row>
    <row r="424" spans="2:57" hidden="1" outlineLevel="1" x14ac:dyDescent="0.25">
      <c r="D424" s="377" t="s">
        <v>961</v>
      </c>
      <c r="E424" s="377" t="s">
        <v>657</v>
      </c>
      <c r="F424" s="2730">
        <v>10</v>
      </c>
      <c r="G424" s="2731"/>
      <c r="H424" s="2731"/>
      <c r="I424" s="2731"/>
      <c r="J424" s="1644"/>
      <c r="V424" s="217" t="s">
        <v>961</v>
      </c>
      <c r="W424" s="608">
        <v>10</v>
      </c>
      <c r="X424" s="608">
        <v>10</v>
      </c>
      <c r="Y424" s="608">
        <v>10</v>
      </c>
      <c r="Z424" s="608"/>
      <c r="AA424" s="608"/>
      <c r="AB424" s="608"/>
      <c r="AC424" s="608"/>
      <c r="AD424" s="608"/>
      <c r="AE424" s="608"/>
      <c r="AF424" s="608"/>
      <c r="AG424" s="608"/>
    </row>
    <row r="425" spans="2:57" hidden="1" outlineLevel="1" x14ac:dyDescent="0.25">
      <c r="D425" s="1653" t="s">
        <v>25</v>
      </c>
      <c r="E425" s="377" t="s">
        <v>659</v>
      </c>
      <c r="F425" s="2732">
        <v>20</v>
      </c>
      <c r="G425" s="2731"/>
      <c r="H425" s="2731"/>
      <c r="I425" s="2731"/>
      <c r="J425" s="1644"/>
      <c r="V425" s="220" t="s">
        <v>25</v>
      </c>
      <c r="W425" s="610">
        <v>20</v>
      </c>
      <c r="X425" s="610">
        <v>20</v>
      </c>
      <c r="Y425" s="610">
        <v>20</v>
      </c>
      <c r="Z425" s="610"/>
      <c r="AA425" s="610"/>
      <c r="AB425" s="610"/>
      <c r="AC425" s="610"/>
      <c r="AD425" s="610"/>
      <c r="AE425" s="610"/>
      <c r="AF425" s="610"/>
      <c r="AG425" s="610"/>
    </row>
    <row r="426" spans="2:57" collapsed="1" x14ac:dyDescent="0.25">
      <c r="E426" s="1099"/>
    </row>
    <row r="428" spans="2:57" x14ac:dyDescent="0.25">
      <c r="B428" s="2639" t="s">
        <v>837</v>
      </c>
      <c r="C428" s="2640"/>
      <c r="D428" s="2640"/>
      <c r="E428" s="2640"/>
      <c r="F428" s="2640"/>
      <c r="G428" s="2640"/>
      <c r="H428" s="2640"/>
      <c r="I428" s="2641"/>
      <c r="J428" s="2641"/>
      <c r="K428" s="2641"/>
      <c r="L428" s="2641"/>
      <c r="M428" s="2641"/>
      <c r="N428" s="2641"/>
      <c r="O428" s="2641"/>
      <c r="P428" s="2641"/>
      <c r="Q428" s="2642"/>
      <c r="V428" s="2639" t="str">
        <f>B428</f>
        <v>Advanced Power Strips Tier 2  /  Advanced Control Stategies</v>
      </c>
      <c r="W428" s="2640"/>
      <c r="X428" s="2640"/>
      <c r="Y428" s="2640"/>
      <c r="Z428" s="2640"/>
      <c r="AA428" s="2640"/>
      <c r="AB428" s="2640"/>
      <c r="AC428" s="2615"/>
      <c r="AD428" s="2615"/>
      <c r="AE428" s="2615"/>
      <c r="AF428" s="2615"/>
      <c r="AG428" s="2615"/>
      <c r="AH428" s="2615"/>
      <c r="AI428" s="2616"/>
    </row>
    <row r="430" spans="2:57" ht="30" x14ac:dyDescent="0.25">
      <c r="C430" s="1641" t="s">
        <v>17</v>
      </c>
      <c r="D430" s="1641" t="s">
        <v>662</v>
      </c>
      <c r="E430" s="1641" t="s">
        <v>19</v>
      </c>
      <c r="F430" s="1641" t="s">
        <v>20</v>
      </c>
      <c r="G430" s="1641" t="s">
        <v>21</v>
      </c>
      <c r="H430" s="1641" t="s">
        <v>22</v>
      </c>
      <c r="I430" s="1641" t="s">
        <v>23</v>
      </c>
      <c r="J430" s="1641" t="s">
        <v>24</v>
      </c>
      <c r="K430" s="1641" t="s">
        <v>25</v>
      </c>
      <c r="L430" s="1641" t="s">
        <v>26</v>
      </c>
      <c r="V430" s="55" t="s">
        <v>27</v>
      </c>
      <c r="W430" s="56">
        <f>W$6</f>
        <v>43252</v>
      </c>
      <c r="X430" s="56">
        <f t="shared" ref="X430:AG430" si="81">X$6</f>
        <v>43465</v>
      </c>
      <c r="Y430" s="56">
        <f t="shared" si="81"/>
        <v>43800</v>
      </c>
      <c r="Z430" s="56">
        <f t="shared" si="81"/>
        <v>43862</v>
      </c>
      <c r="AA430" s="56" t="str">
        <f t="shared" si="81"/>
        <v>-</v>
      </c>
      <c r="AB430" s="56" t="str">
        <f t="shared" si="81"/>
        <v>-</v>
      </c>
      <c r="AC430" s="56" t="str">
        <f t="shared" si="81"/>
        <v>-</v>
      </c>
      <c r="AD430" s="56" t="str">
        <f t="shared" si="81"/>
        <v>-</v>
      </c>
      <c r="AE430" s="56" t="str">
        <f t="shared" si="81"/>
        <v>-</v>
      </c>
      <c r="AF430" s="56" t="str">
        <f t="shared" si="81"/>
        <v>-</v>
      </c>
      <c r="AG430" s="56" t="str">
        <f t="shared" si="81"/>
        <v>-</v>
      </c>
      <c r="BB430" s="57" t="str">
        <f>$BB$6</f>
        <v>TRC (2020)</v>
      </c>
      <c r="BC430" s="103" t="str">
        <f>$BC$6</f>
        <v>Benefit Lookup</v>
      </c>
      <c r="BD430" s="883" t="str">
        <f>$BD$6</f>
        <v>Benefits (2019 $)</v>
      </c>
      <c r="BE430" s="334" t="str">
        <f>$BE$6</f>
        <v>Incremental Cost (2019 $)</v>
      </c>
    </row>
    <row r="431" spans="2:57" x14ac:dyDescent="0.25">
      <c r="C431" s="150" t="s">
        <v>2384</v>
      </c>
      <c r="D431" s="1927" t="s">
        <v>2272</v>
      </c>
      <c r="E431" s="458" t="str">
        <f>'Efficient Products Deemed Table'!E202</f>
        <v>Advanced Tier 2 Power Strips  -  A</v>
      </c>
      <c r="F431" s="152">
        <f t="shared" ref="F431:F438" si="82">ROUND(E447*F447,2)</f>
        <v>237.6</v>
      </c>
      <c r="G431" s="1469" t="str">
        <f>'Efficient Products Deemed Table'!G202</f>
        <v>Miscellaneous RES</v>
      </c>
      <c r="H431" s="239">
        <f>'Efficient Products Deemed Table'!H202</f>
        <v>1.148238E-4</v>
      </c>
      <c r="I431" s="2015">
        <f t="shared" ref="I431:I439" si="83">ROUND(F431*H431,6)</f>
        <v>2.7282000000000001E-2</v>
      </c>
      <c r="J431" s="219">
        <f t="shared" ref="J431:J439" si="84">$E$456</f>
        <v>10</v>
      </c>
      <c r="K431" s="1535">
        <f t="shared" ref="K431:K439" si="85">$E$457</f>
        <v>30</v>
      </c>
      <c r="L431" s="291" t="s">
        <v>37</v>
      </c>
      <c r="V431" s="245" t="str">
        <f>F430</f>
        <v>kWh Annual Savings</v>
      </c>
      <c r="W431" s="1069">
        <f>'Efficient Products Deemed Table'!W202</f>
        <v>237.60000000000002</v>
      </c>
      <c r="X431" s="1069">
        <f>'Efficient Products Deemed Table'!X202</f>
        <v>237.60000000000002</v>
      </c>
      <c r="Y431" s="771">
        <v>237.6</v>
      </c>
      <c r="Z431" s="1069"/>
      <c r="AA431" s="1069"/>
      <c r="AB431" s="1069"/>
      <c r="AC431" s="1069"/>
      <c r="AD431" s="1069"/>
      <c r="AE431" s="1069"/>
      <c r="AF431" s="1069"/>
      <c r="AG431" s="1069"/>
      <c r="BB431" s="68">
        <f t="shared" ref="BB431:BB439" si="86">(BD431)/(BE431)</f>
        <v>2.8935964717891705</v>
      </c>
      <c r="BC431" s="69" t="str">
        <f>CONCATENATE(G431," ",J431," Year EUL")</f>
        <v>Miscellaneous RES 10 Year EUL</v>
      </c>
      <c r="BD431" s="162">
        <f>(INDEX('Avoided Cost Benefits'!$C$4:$C$857,MATCH(BC431,'Avoided Cost Benefits'!$A$4:$A$857,0)))*F431</f>
        <v>81.932887355993486</v>
      </c>
      <c r="BE431" s="70">
        <f>K431/(1.0595^(2020-2019))</f>
        <v>28.315243039169417</v>
      </c>
    </row>
    <row r="432" spans="2:57" x14ac:dyDescent="0.25">
      <c r="C432" s="150" t="s">
        <v>2385</v>
      </c>
      <c r="D432" s="1927" t="s">
        <v>2272</v>
      </c>
      <c r="E432" s="458" t="str">
        <f>'Efficient Products Deemed Table'!E203</f>
        <v>Advanced Tier 2 Power Strips -  B</v>
      </c>
      <c r="F432" s="152">
        <f t="shared" si="82"/>
        <v>216</v>
      </c>
      <c r="G432" s="1469" t="str">
        <f>'Efficient Products Deemed Table'!G203</f>
        <v>Miscellaneous RES</v>
      </c>
      <c r="H432" s="239">
        <f>'Efficient Products Deemed Table'!H203</f>
        <v>1.148238E-4</v>
      </c>
      <c r="I432" s="2015">
        <f t="shared" si="83"/>
        <v>2.4802000000000001E-2</v>
      </c>
      <c r="J432" s="219">
        <f t="shared" si="84"/>
        <v>10</v>
      </c>
      <c r="K432" s="1535">
        <f t="shared" si="85"/>
        <v>30</v>
      </c>
      <c r="L432" s="1572" t="str">
        <f>'Efficient Products Deemed Table'!L203</f>
        <v>per measure</v>
      </c>
      <c r="V432" s="245" t="str">
        <f>V431</f>
        <v>kWh Annual Savings</v>
      </c>
      <c r="W432" s="1069">
        <f>'Efficient Products Deemed Table'!W203</f>
        <v>216</v>
      </c>
      <c r="X432" s="1069">
        <f>'Efficient Products Deemed Table'!X203</f>
        <v>216</v>
      </c>
      <c r="Y432" s="771">
        <v>216</v>
      </c>
      <c r="Z432" s="1069"/>
      <c r="AA432" s="1069"/>
      <c r="AB432" s="1069"/>
      <c r="AC432" s="1069"/>
      <c r="AD432" s="1069"/>
      <c r="AE432" s="1069"/>
      <c r="AF432" s="1069"/>
      <c r="AG432" s="1069"/>
      <c r="BB432" s="72">
        <f t="shared" si="86"/>
        <v>2.6305422470810638</v>
      </c>
      <c r="BC432" s="73" t="str">
        <f t="shared" ref="BC432:BC439" si="87">CONCATENATE(G432," ",J432," Year EUL")</f>
        <v>Miscellaneous RES 10 Year EUL</v>
      </c>
      <c r="BD432" s="165">
        <f>(INDEX('Avoided Cost Benefits'!$C$4:$C$857,MATCH(BC432,'Avoided Cost Benefits'!$A$4:$A$857,0)))*F432</f>
        <v>74.484443050903167</v>
      </c>
      <c r="BE432" s="74">
        <f t="shared" ref="BE432:BE439" si="88">K432/(1.0595^(2020-2019))</f>
        <v>28.315243039169417</v>
      </c>
    </row>
    <row r="433" spans="1:57" x14ac:dyDescent="0.25">
      <c r="C433" s="150" t="s">
        <v>2386</v>
      </c>
      <c r="D433" s="1927" t="s">
        <v>2272</v>
      </c>
      <c r="E433" s="458" t="str">
        <f>'Efficient Products Deemed Table'!E204</f>
        <v>Advanced Tier 2 Power Strips -  C</v>
      </c>
      <c r="F433" s="152">
        <f t="shared" si="82"/>
        <v>194.4</v>
      </c>
      <c r="G433" s="1469" t="str">
        <f>'Efficient Products Deemed Table'!G204</f>
        <v>Miscellaneous RES</v>
      </c>
      <c r="H433" s="239">
        <f>'Efficient Products Deemed Table'!H204</f>
        <v>1.148238E-4</v>
      </c>
      <c r="I433" s="2015">
        <f t="shared" si="83"/>
        <v>2.2322000000000002E-2</v>
      </c>
      <c r="J433" s="219">
        <f t="shared" si="84"/>
        <v>10</v>
      </c>
      <c r="K433" s="1535">
        <f t="shared" si="85"/>
        <v>30</v>
      </c>
      <c r="L433" s="1572" t="str">
        <f>'Efficient Products Deemed Table'!L204</f>
        <v>per measure</v>
      </c>
      <c r="V433" s="245" t="str">
        <f t="shared" ref="V433:V439" si="89">V432</f>
        <v>kWh Annual Savings</v>
      </c>
      <c r="W433" s="1069">
        <f>'Efficient Products Deemed Table'!W204</f>
        <v>194.4</v>
      </c>
      <c r="X433" s="1069">
        <f>'Efficient Products Deemed Table'!X204</f>
        <v>194.4</v>
      </c>
      <c r="Y433" s="771">
        <v>194.4</v>
      </c>
      <c r="Z433" s="1069"/>
      <c r="AA433" s="1069"/>
      <c r="AB433" s="1069"/>
      <c r="AC433" s="1069"/>
      <c r="AD433" s="1069"/>
      <c r="AE433" s="1069"/>
      <c r="AF433" s="1069"/>
      <c r="AG433" s="1069"/>
      <c r="BB433" s="72">
        <f t="shared" si="86"/>
        <v>2.3674880223729571</v>
      </c>
      <c r="BC433" s="73" t="str">
        <f t="shared" si="87"/>
        <v>Miscellaneous RES 10 Year EUL</v>
      </c>
      <c r="BD433" s="165">
        <f>(INDEX('Avoided Cost Benefits'!$C$4:$C$857,MATCH(BC433,'Avoided Cost Benefits'!$A$4:$A$857,0)))*F433</f>
        <v>67.035998745812847</v>
      </c>
      <c r="BE433" s="74">
        <f t="shared" si="88"/>
        <v>28.315243039169417</v>
      </c>
    </row>
    <row r="434" spans="1:57" x14ac:dyDescent="0.25">
      <c r="C434" s="150" t="s">
        <v>2387</v>
      </c>
      <c r="D434" s="1927" t="s">
        <v>2272</v>
      </c>
      <c r="E434" s="458" t="str">
        <f>'Efficient Products Deemed Table'!E205</f>
        <v>Advanced Tier 2 Power Strips -  D</v>
      </c>
      <c r="F434" s="152">
        <f t="shared" si="82"/>
        <v>172.8</v>
      </c>
      <c r="G434" s="1469" t="str">
        <f>'Efficient Products Deemed Table'!G205</f>
        <v>Miscellaneous RES</v>
      </c>
      <c r="H434" s="239">
        <f>'Efficient Products Deemed Table'!H205</f>
        <v>1.148238E-4</v>
      </c>
      <c r="I434" s="2015">
        <f t="shared" si="83"/>
        <v>1.9841999999999999E-2</v>
      </c>
      <c r="J434" s="219">
        <f t="shared" si="84"/>
        <v>10</v>
      </c>
      <c r="K434" s="1535">
        <f t="shared" si="85"/>
        <v>30</v>
      </c>
      <c r="L434" s="1572" t="str">
        <f>'Efficient Products Deemed Table'!L205</f>
        <v>per measure</v>
      </c>
      <c r="V434" s="245" t="str">
        <f t="shared" si="89"/>
        <v>kWh Annual Savings</v>
      </c>
      <c r="W434" s="1069">
        <f>'Efficient Products Deemed Table'!W205</f>
        <v>172.8</v>
      </c>
      <c r="X434" s="1069">
        <f>'Efficient Products Deemed Table'!X205</f>
        <v>172.8</v>
      </c>
      <c r="Y434" s="771">
        <v>172.8</v>
      </c>
      <c r="Z434" s="1069"/>
      <c r="AA434" s="1069"/>
      <c r="AB434" s="1069"/>
      <c r="AC434" s="1069"/>
      <c r="AD434" s="1069"/>
      <c r="AE434" s="1069"/>
      <c r="AF434" s="1069"/>
      <c r="AG434" s="1069"/>
      <c r="BB434" s="72">
        <f t="shared" si="86"/>
        <v>2.1044337976648513</v>
      </c>
      <c r="BC434" s="73" t="str">
        <f t="shared" si="87"/>
        <v>Miscellaneous RES 10 Year EUL</v>
      </c>
      <c r="BD434" s="165">
        <f>(INDEX('Avoided Cost Benefits'!$C$4:$C$857,MATCH(BC434,'Avoided Cost Benefits'!$A$4:$A$857,0)))*F434</f>
        <v>59.587554440722535</v>
      </c>
      <c r="BE434" s="74">
        <f t="shared" si="88"/>
        <v>28.315243039169417</v>
      </c>
    </row>
    <row r="435" spans="1:57" x14ac:dyDescent="0.25">
      <c r="C435" s="150" t="s">
        <v>2388</v>
      </c>
      <c r="D435" s="1927" t="s">
        <v>2272</v>
      </c>
      <c r="E435" s="458" t="str">
        <f>'Efficient Products Deemed Table'!E206</f>
        <v>Advanced Tier 2 Power Strips -  E</v>
      </c>
      <c r="F435" s="152">
        <f t="shared" si="82"/>
        <v>151.19999999999999</v>
      </c>
      <c r="G435" s="1469" t="str">
        <f>'Efficient Products Deemed Table'!G206</f>
        <v>Miscellaneous RES</v>
      </c>
      <c r="H435" s="239">
        <f>'Efficient Products Deemed Table'!H206</f>
        <v>1.148238E-4</v>
      </c>
      <c r="I435" s="2015">
        <f t="shared" si="83"/>
        <v>1.7361000000000001E-2</v>
      </c>
      <c r="J435" s="219">
        <f t="shared" si="84"/>
        <v>10</v>
      </c>
      <c r="K435" s="1535">
        <f t="shared" si="85"/>
        <v>30</v>
      </c>
      <c r="L435" s="1572" t="str">
        <f>'Efficient Products Deemed Table'!L206</f>
        <v>per measure</v>
      </c>
      <c r="V435" s="245" t="str">
        <f t="shared" si="89"/>
        <v>kWh Annual Savings</v>
      </c>
      <c r="W435" s="1069">
        <f>'Efficient Products Deemed Table'!W206</f>
        <v>151.19999999999999</v>
      </c>
      <c r="X435" s="1069">
        <f>'Efficient Products Deemed Table'!X206</f>
        <v>151.19999999999999</v>
      </c>
      <c r="Y435" s="771">
        <v>151.19999999999999</v>
      </c>
      <c r="Z435" s="1069"/>
      <c r="AA435" s="1069"/>
      <c r="AB435" s="1069"/>
      <c r="AC435" s="1069"/>
      <c r="AD435" s="1069"/>
      <c r="AE435" s="1069"/>
      <c r="AF435" s="1069"/>
      <c r="AG435" s="1069"/>
      <c r="BB435" s="72">
        <f t="shared" si="86"/>
        <v>1.8413795729567446</v>
      </c>
      <c r="BC435" s="73" t="str">
        <f t="shared" si="87"/>
        <v>Miscellaneous RES 10 Year EUL</v>
      </c>
      <c r="BD435" s="165">
        <f>(INDEX('Avoided Cost Benefits'!$C$4:$C$857,MATCH(BC435,'Avoided Cost Benefits'!$A$4:$A$857,0)))*F435</f>
        <v>52.139110135632215</v>
      </c>
      <c r="BE435" s="74">
        <f t="shared" si="88"/>
        <v>28.315243039169417</v>
      </c>
    </row>
    <row r="436" spans="1:57" x14ac:dyDescent="0.25">
      <c r="C436" s="150" t="s">
        <v>2389</v>
      </c>
      <c r="D436" s="1927" t="s">
        <v>2272</v>
      </c>
      <c r="E436" s="458" t="str">
        <f>'Efficient Products Deemed Table'!E207</f>
        <v>Advanced Tier 2 Power Strips -  F</v>
      </c>
      <c r="F436" s="152">
        <f t="shared" si="82"/>
        <v>129.6</v>
      </c>
      <c r="G436" s="1469" t="str">
        <f>'Efficient Products Deemed Table'!G207</f>
        <v>Miscellaneous RES</v>
      </c>
      <c r="H436" s="239">
        <f>'Efficient Products Deemed Table'!H207</f>
        <v>1.148238E-4</v>
      </c>
      <c r="I436" s="2015">
        <f t="shared" si="83"/>
        <v>1.4881E-2</v>
      </c>
      <c r="J436" s="219">
        <f t="shared" si="84"/>
        <v>10</v>
      </c>
      <c r="K436" s="1535">
        <f t="shared" si="85"/>
        <v>30</v>
      </c>
      <c r="L436" s="1572" t="str">
        <f>'Efficient Products Deemed Table'!L207</f>
        <v>per measure</v>
      </c>
      <c r="V436" s="245" t="str">
        <f t="shared" si="89"/>
        <v>kWh Annual Savings</v>
      </c>
      <c r="W436" s="1069">
        <f>'Efficient Products Deemed Table'!W207</f>
        <v>129.6</v>
      </c>
      <c r="X436" s="1069">
        <f>'Efficient Products Deemed Table'!X207</f>
        <v>129.6</v>
      </c>
      <c r="Y436" s="771">
        <v>129.6</v>
      </c>
      <c r="Z436" s="1069"/>
      <c r="AA436" s="1069"/>
      <c r="AB436" s="1069"/>
      <c r="AC436" s="1069"/>
      <c r="AD436" s="1069"/>
      <c r="AE436" s="1069"/>
      <c r="AF436" s="1069"/>
      <c r="AG436" s="1069"/>
      <c r="BB436" s="72">
        <f t="shared" si="86"/>
        <v>1.5783253482486381</v>
      </c>
      <c r="BC436" s="73" t="str">
        <f t="shared" si="87"/>
        <v>Miscellaneous RES 10 Year EUL</v>
      </c>
      <c r="BD436" s="165">
        <f>(INDEX('Avoided Cost Benefits'!$C$4:$C$857,MATCH(BC436,'Avoided Cost Benefits'!$A$4:$A$857,0)))*F436</f>
        <v>44.690665830541896</v>
      </c>
      <c r="BE436" s="74">
        <f t="shared" si="88"/>
        <v>28.315243039169417</v>
      </c>
    </row>
    <row r="437" spans="1:57" x14ac:dyDescent="0.25">
      <c r="C437" s="150" t="s">
        <v>2390</v>
      </c>
      <c r="D437" s="1927" t="s">
        <v>2272</v>
      </c>
      <c r="E437" s="458" t="str">
        <f>'Efficient Products Deemed Table'!E208</f>
        <v>Advanced Tier 2 Power Strips -  G</v>
      </c>
      <c r="F437" s="152">
        <f t="shared" si="82"/>
        <v>108</v>
      </c>
      <c r="G437" s="1469" t="str">
        <f>'Efficient Products Deemed Table'!G208</f>
        <v>Miscellaneous RES</v>
      </c>
      <c r="H437" s="239">
        <f>'Efficient Products Deemed Table'!H208</f>
        <v>1.148238E-4</v>
      </c>
      <c r="I437" s="2015">
        <f t="shared" si="83"/>
        <v>1.2401000000000001E-2</v>
      </c>
      <c r="J437" s="219">
        <f t="shared" si="84"/>
        <v>10</v>
      </c>
      <c r="K437" s="1535">
        <f t="shared" si="85"/>
        <v>30</v>
      </c>
      <c r="L437" s="1572" t="str">
        <f>'Efficient Products Deemed Table'!L208</f>
        <v>per measure</v>
      </c>
      <c r="V437" s="245" t="str">
        <f t="shared" si="89"/>
        <v>kWh Annual Savings</v>
      </c>
      <c r="W437" s="1069">
        <f>'Efficient Products Deemed Table'!W208</f>
        <v>108</v>
      </c>
      <c r="X437" s="1069">
        <f>'Efficient Products Deemed Table'!X208</f>
        <v>108</v>
      </c>
      <c r="Y437" s="771">
        <v>108</v>
      </c>
      <c r="Z437" s="1069"/>
      <c r="AA437" s="1069"/>
      <c r="AB437" s="1069"/>
      <c r="AC437" s="1069"/>
      <c r="AD437" s="1069"/>
      <c r="AE437" s="1069"/>
      <c r="AF437" s="1069"/>
      <c r="AG437" s="1069"/>
      <c r="BB437" s="72">
        <f t="shared" si="86"/>
        <v>1.3152711235405319</v>
      </c>
      <c r="BC437" s="73" t="str">
        <f t="shared" si="87"/>
        <v>Miscellaneous RES 10 Year EUL</v>
      </c>
      <c r="BD437" s="165">
        <f>(INDEX('Avoided Cost Benefits'!$C$4:$C$857,MATCH(BC437,'Avoided Cost Benefits'!$A$4:$A$857,0)))*F437</f>
        <v>37.242221525451583</v>
      </c>
      <c r="BE437" s="74">
        <f t="shared" si="88"/>
        <v>28.315243039169417</v>
      </c>
    </row>
    <row r="438" spans="1:57" x14ac:dyDescent="0.25">
      <c r="C438" s="150" t="s">
        <v>2391</v>
      </c>
      <c r="D438" s="1927" t="s">
        <v>2272</v>
      </c>
      <c r="E438" s="458" t="str">
        <f>'Efficient Products Deemed Table'!E209</f>
        <v>Advanced Tier 2 Power Strips -  H</v>
      </c>
      <c r="F438" s="152">
        <f t="shared" si="82"/>
        <v>86.4</v>
      </c>
      <c r="G438" s="1469" t="str">
        <f>'Efficient Products Deemed Table'!G209</f>
        <v>Miscellaneous RES</v>
      </c>
      <c r="H438" s="239">
        <f>'Efficient Products Deemed Table'!H209</f>
        <v>1.148238E-4</v>
      </c>
      <c r="I438" s="2015">
        <f t="shared" si="83"/>
        <v>9.9209999999999993E-3</v>
      </c>
      <c r="J438" s="219">
        <f t="shared" si="84"/>
        <v>10</v>
      </c>
      <c r="K438" s="1535">
        <f t="shared" si="85"/>
        <v>30</v>
      </c>
      <c r="L438" s="1572" t="str">
        <f>'Efficient Products Deemed Table'!L209</f>
        <v>per measure</v>
      </c>
      <c r="V438" s="245" t="str">
        <f t="shared" si="89"/>
        <v>kWh Annual Savings</v>
      </c>
      <c r="W438" s="1069">
        <f>'Efficient Products Deemed Table'!W209</f>
        <v>86.4</v>
      </c>
      <c r="X438" s="1069">
        <f>'Efficient Products Deemed Table'!X209</f>
        <v>86.4</v>
      </c>
      <c r="Y438" s="771">
        <v>86.4</v>
      </c>
      <c r="Z438" s="1069"/>
      <c r="AA438" s="1069"/>
      <c r="AB438" s="1069"/>
      <c r="AC438" s="1069"/>
      <c r="AD438" s="1069"/>
      <c r="AE438" s="1069"/>
      <c r="AF438" s="1069"/>
      <c r="AG438" s="1069"/>
      <c r="BB438" s="72">
        <f t="shared" si="86"/>
        <v>1.0522168988324256</v>
      </c>
      <c r="BC438" s="73" t="str">
        <f t="shared" si="87"/>
        <v>Miscellaneous RES 10 Year EUL</v>
      </c>
      <c r="BD438" s="165">
        <f>(INDEX('Avoided Cost Benefits'!$C$4:$C$857,MATCH(BC438,'Avoided Cost Benefits'!$A$4:$A$857,0)))*F438</f>
        <v>29.793777220361267</v>
      </c>
      <c r="BE438" s="74">
        <f t="shared" si="88"/>
        <v>28.315243039169417</v>
      </c>
    </row>
    <row r="439" spans="1:57" x14ac:dyDescent="0.25">
      <c r="C439" s="150" t="s">
        <v>2392</v>
      </c>
      <c r="D439" s="1927" t="s">
        <v>2272</v>
      </c>
      <c r="E439" s="458" t="str">
        <f>'Efficient Products Deemed Table'!E210</f>
        <v>Advanced Tier 2 Power Strips -  Average</v>
      </c>
      <c r="F439" s="152">
        <f>AVERAGE(F432,F437)</f>
        <v>162</v>
      </c>
      <c r="G439" s="1469" t="str">
        <f>'Efficient Products Deemed Table'!G210</f>
        <v>Miscellaneous RES</v>
      </c>
      <c r="H439" s="239">
        <f>'Efficient Products Deemed Table'!H210</f>
        <v>1.148238E-4</v>
      </c>
      <c r="I439" s="2015">
        <f t="shared" si="83"/>
        <v>1.8600999999999999E-2</v>
      </c>
      <c r="J439" s="219">
        <f t="shared" si="84"/>
        <v>10</v>
      </c>
      <c r="K439" s="1535">
        <f t="shared" si="85"/>
        <v>30</v>
      </c>
      <c r="L439" s="1572" t="str">
        <f>'Efficient Products Deemed Table'!L210</f>
        <v>per measure</v>
      </c>
      <c r="V439" s="245" t="str">
        <f t="shared" si="89"/>
        <v>kWh Annual Savings</v>
      </c>
      <c r="W439" s="1069">
        <f>'Efficient Products Deemed Table'!W210</f>
        <v>162</v>
      </c>
      <c r="X439" s="1069">
        <f>'Efficient Products Deemed Table'!X210</f>
        <v>162</v>
      </c>
      <c r="Y439" s="771">
        <v>162</v>
      </c>
      <c r="Z439" s="1069"/>
      <c r="AA439" s="1069"/>
      <c r="AB439" s="1069"/>
      <c r="AC439" s="1069"/>
      <c r="AD439" s="1069"/>
      <c r="AE439" s="1069"/>
      <c r="AF439" s="1069"/>
      <c r="AG439" s="1069"/>
      <c r="BB439" s="75">
        <f t="shared" si="86"/>
        <v>1.9729066853107977</v>
      </c>
      <c r="BC439" s="73" t="str">
        <f t="shared" si="87"/>
        <v>Miscellaneous RES 10 Year EUL</v>
      </c>
      <c r="BD439" s="170">
        <f>(INDEX('Avoided Cost Benefits'!$C$4:$C$857,MATCH(BC439,'Avoided Cost Benefits'!$A$4:$A$857,0)))*F439</f>
        <v>55.863332288177375</v>
      </c>
      <c r="BE439" s="76">
        <f t="shared" si="88"/>
        <v>28.315243039169417</v>
      </c>
    </row>
    <row r="440" spans="1:57" hidden="1" outlineLevel="1" x14ac:dyDescent="0.25">
      <c r="H440" s="177" t="s">
        <v>2393</v>
      </c>
      <c r="I440" s="233"/>
    </row>
    <row r="441" spans="1:57" hidden="1" outlineLevel="1" x14ac:dyDescent="0.25">
      <c r="D441" s="259" t="s">
        <v>617</v>
      </c>
    </row>
    <row r="442" spans="1:57" hidden="1" outlineLevel="1" x14ac:dyDescent="0.25"/>
    <row r="443" spans="1:57" hidden="1" outlineLevel="1" x14ac:dyDescent="0.25"/>
    <row r="444" spans="1:57" hidden="1" outlineLevel="1" x14ac:dyDescent="0.25"/>
    <row r="445" spans="1:57" hidden="1" outlineLevel="1" x14ac:dyDescent="0.25">
      <c r="D445" s="1701" t="str">
        <f>'Efficient Products Deemed Table'!D216</f>
        <v>Product Class</v>
      </c>
      <c r="E445" s="1701" t="str">
        <f>'Efficient Products Deemed Table'!E216</f>
        <v>ERP</v>
      </c>
      <c r="F445" s="1641" t="str">
        <f>'Efficient Products Deemed Table'!F216</f>
        <v>Baseline Energy AV</v>
      </c>
      <c r="G445" s="1641" t="str">
        <f>'Efficient Products Deemed Table'!G216</f>
        <v>Comments:</v>
      </c>
      <c r="V445" s="55" t="s">
        <v>27</v>
      </c>
      <c r="W445" s="56">
        <v>43252</v>
      </c>
      <c r="X445" s="56">
        <f>$X$6</f>
        <v>43465</v>
      </c>
      <c r="Y445" s="56">
        <f>$Y$6</f>
        <v>43800</v>
      </c>
      <c r="Z445" s="56">
        <f>$Z$6</f>
        <v>43862</v>
      </c>
      <c r="AA445" s="56" t="str">
        <f>$AA$6</f>
        <v>-</v>
      </c>
      <c r="AB445" s="56" t="str">
        <f>$AB$6</f>
        <v>-</v>
      </c>
      <c r="AC445" s="56" t="str">
        <f>$AC$6</f>
        <v>-</v>
      </c>
      <c r="AD445" s="56" t="str">
        <f>$AD$6</f>
        <v>-</v>
      </c>
      <c r="AE445" s="56" t="str">
        <f>$AE$6</f>
        <v>-</v>
      </c>
      <c r="AF445" s="56" t="str">
        <f>$AF$6</f>
        <v>-</v>
      </c>
      <c r="AG445" s="56" t="str">
        <f>$AG$6</f>
        <v>-</v>
      </c>
      <c r="AH445" s="141"/>
      <c r="AI445" s="56">
        <v>43252</v>
      </c>
      <c r="AJ445" s="56">
        <f>$Y$6</f>
        <v>43800</v>
      </c>
      <c r="AK445" s="56">
        <f>$Y$6</f>
        <v>43800</v>
      </c>
      <c r="AL445" s="56">
        <f>$Z$6</f>
        <v>43862</v>
      </c>
      <c r="AM445" s="56" t="str">
        <f>$AA$6</f>
        <v>-</v>
      </c>
      <c r="AN445" s="56" t="str">
        <f>$AB$6</f>
        <v>-</v>
      </c>
      <c r="AO445" s="56" t="str">
        <f>$AC$6</f>
        <v>-</v>
      </c>
      <c r="AP445" s="56" t="str">
        <f>$AD$6</f>
        <v>-</v>
      </c>
      <c r="AQ445" s="56" t="str">
        <f>$AE$6</f>
        <v>-</v>
      </c>
      <c r="AR445" s="56" t="str">
        <f>$AF$6</f>
        <v>-</v>
      </c>
      <c r="AS445" s="56" t="str">
        <f>$AG$6</f>
        <v>-</v>
      </c>
    </row>
    <row r="446" spans="1:57" ht="30" hidden="1" outlineLevel="1" x14ac:dyDescent="0.25">
      <c r="D446" s="1701"/>
      <c r="E446" s="1701"/>
      <c r="F446" s="1641"/>
      <c r="G446" s="1641"/>
      <c r="V446" s="79"/>
      <c r="W446" s="469" t="s">
        <v>861</v>
      </c>
      <c r="X446" s="469" t="s">
        <v>861</v>
      </c>
      <c r="Y446" s="469" t="s">
        <v>861</v>
      </c>
      <c r="Z446" s="469" t="s">
        <v>861</v>
      </c>
      <c r="AA446" s="469" t="s">
        <v>861</v>
      </c>
      <c r="AB446" s="469" t="s">
        <v>861</v>
      </c>
      <c r="AC446" s="469" t="s">
        <v>861</v>
      </c>
      <c r="AD446" s="469" t="s">
        <v>861</v>
      </c>
      <c r="AE446" s="469" t="s">
        <v>861</v>
      </c>
      <c r="AF446" s="469" t="s">
        <v>861</v>
      </c>
      <c r="AG446" s="469" t="s">
        <v>861</v>
      </c>
      <c r="AH446" s="141"/>
      <c r="AI446" s="469" t="s">
        <v>862</v>
      </c>
      <c r="AJ446" s="469" t="s">
        <v>862</v>
      </c>
      <c r="AK446" s="469" t="s">
        <v>862</v>
      </c>
      <c r="AL446" s="469" t="s">
        <v>862</v>
      </c>
      <c r="AM446" s="469" t="s">
        <v>862</v>
      </c>
      <c r="AN446" s="469" t="s">
        <v>862</v>
      </c>
      <c r="AO446" s="469" t="s">
        <v>862</v>
      </c>
      <c r="AP446" s="469" t="s">
        <v>862</v>
      </c>
      <c r="AQ446" s="469" t="s">
        <v>862</v>
      </c>
      <c r="AR446" s="469" t="s">
        <v>862</v>
      </c>
      <c r="AS446" s="469" t="s">
        <v>862</v>
      </c>
    </row>
    <row r="447" spans="1:57" hidden="1" outlineLevel="1" x14ac:dyDescent="0.25">
      <c r="A447" s="233"/>
      <c r="B447" s="233"/>
      <c r="C447" s="231"/>
      <c r="D447" s="470" t="str">
        <f>'Efficient Products Deemed Table'!D218</f>
        <v>A</v>
      </c>
      <c r="E447" s="471">
        <f>'Efficient Products Deemed Table'!E218</f>
        <v>0.55000000000000004</v>
      </c>
      <c r="F447" s="472">
        <f>'Efficient Products Deemed Table'!F218</f>
        <v>432</v>
      </c>
      <c r="G447" s="473"/>
      <c r="H447" s="233"/>
      <c r="I447" s="233"/>
      <c r="J447" s="233"/>
      <c r="K447" s="233"/>
      <c r="L447" s="233"/>
      <c r="V447" s="474" t="str">
        <f>D447</f>
        <v>A</v>
      </c>
      <c r="W447" s="475">
        <f>'Efficient Products Deemed Table'!W218</f>
        <v>0.55000000000000004</v>
      </c>
      <c r="X447" s="475">
        <f>'Efficient Products Deemed Table'!X218</f>
        <v>0.55000000000000004</v>
      </c>
      <c r="Y447" s="475">
        <f>'Efficient Products Deemed Table'!Y218</f>
        <v>0.55000000000000004</v>
      </c>
      <c r="Z447" s="475"/>
      <c r="AA447" s="475"/>
      <c r="AB447" s="475"/>
      <c r="AC447" s="475"/>
      <c r="AD447" s="475"/>
      <c r="AE447" s="475"/>
      <c r="AF447" s="475"/>
      <c r="AG447" s="475"/>
      <c r="AH447" s="141"/>
      <c r="AI447" s="476">
        <f>'Efficient Products Deemed Table'!AI218</f>
        <v>432</v>
      </c>
      <c r="AJ447" s="476">
        <f>'Efficient Products Deemed Table'!AJ218</f>
        <v>432</v>
      </c>
      <c r="AK447" s="476">
        <f>'Efficient Products Deemed Table'!AK218</f>
        <v>432</v>
      </c>
      <c r="AL447" s="391"/>
      <c r="AM447" s="391"/>
      <c r="AN447" s="391"/>
      <c r="AO447" s="391"/>
      <c r="AP447" s="391"/>
      <c r="AQ447" s="391"/>
      <c r="AR447" s="391"/>
      <c r="AS447" s="391"/>
    </row>
    <row r="448" spans="1:57" hidden="1" outlineLevel="1" x14ac:dyDescent="0.25">
      <c r="A448" s="233"/>
      <c r="B448" s="233"/>
      <c r="C448" s="231"/>
      <c r="D448" s="470" t="str">
        <f>'Efficient Products Deemed Table'!D219</f>
        <v>B</v>
      </c>
      <c r="E448" s="471">
        <f>'Efficient Products Deemed Table'!E219</f>
        <v>0.5</v>
      </c>
      <c r="F448" s="472">
        <f>'Efficient Products Deemed Table'!F219</f>
        <v>432</v>
      </c>
      <c r="G448" s="473"/>
      <c r="H448" s="233"/>
      <c r="I448" s="233"/>
      <c r="J448" s="233"/>
      <c r="K448" s="233"/>
      <c r="L448" s="233"/>
      <c r="V448" s="474" t="str">
        <f t="shared" ref="V448:V457" si="90">D448</f>
        <v>B</v>
      </c>
      <c r="W448" s="475">
        <f>'Efficient Products Deemed Table'!W219</f>
        <v>0.5</v>
      </c>
      <c r="X448" s="475">
        <f>'Efficient Products Deemed Table'!X219</f>
        <v>0.5</v>
      </c>
      <c r="Y448" s="475">
        <f>'Efficient Products Deemed Table'!Y219</f>
        <v>0.5</v>
      </c>
      <c r="Z448" s="475"/>
      <c r="AA448" s="475"/>
      <c r="AB448" s="475"/>
      <c r="AC448" s="475"/>
      <c r="AD448" s="475"/>
      <c r="AE448" s="475"/>
      <c r="AF448" s="475"/>
      <c r="AG448" s="475"/>
      <c r="AH448" s="141"/>
      <c r="AI448" s="476">
        <f>'Efficient Products Deemed Table'!AI219</f>
        <v>432</v>
      </c>
      <c r="AJ448" s="476">
        <f>'Efficient Products Deemed Table'!AJ219</f>
        <v>432</v>
      </c>
      <c r="AK448" s="476">
        <f>'Efficient Products Deemed Table'!AK219</f>
        <v>432</v>
      </c>
      <c r="AL448" s="391"/>
      <c r="AM448" s="391"/>
      <c r="AN448" s="391"/>
      <c r="AO448" s="391"/>
      <c r="AP448" s="391"/>
      <c r="AQ448" s="391"/>
      <c r="AR448" s="391"/>
      <c r="AS448" s="391"/>
    </row>
    <row r="449" spans="1:57" hidden="1" outlineLevel="1" x14ac:dyDescent="0.25">
      <c r="A449" s="233"/>
      <c r="B449" s="233"/>
      <c r="C449" s="231"/>
      <c r="D449" s="470" t="str">
        <f>'Efficient Products Deemed Table'!D220</f>
        <v>C</v>
      </c>
      <c r="E449" s="471">
        <f>'Efficient Products Deemed Table'!E220</f>
        <v>0.45</v>
      </c>
      <c r="F449" s="472">
        <f>'Efficient Products Deemed Table'!F220</f>
        <v>432</v>
      </c>
      <c r="G449" s="473"/>
      <c r="H449" s="233"/>
      <c r="I449" s="233"/>
      <c r="J449" s="233"/>
      <c r="K449" s="233"/>
      <c r="L449" s="233"/>
      <c r="V449" s="474" t="str">
        <f t="shared" si="90"/>
        <v>C</v>
      </c>
      <c r="W449" s="475">
        <f>'Efficient Products Deemed Table'!W220</f>
        <v>0.45</v>
      </c>
      <c r="X449" s="475">
        <f>'Efficient Products Deemed Table'!X220</f>
        <v>0.45</v>
      </c>
      <c r="Y449" s="475">
        <f>'Efficient Products Deemed Table'!Y220</f>
        <v>0.45</v>
      </c>
      <c r="Z449" s="475"/>
      <c r="AA449" s="475"/>
      <c r="AB449" s="475"/>
      <c r="AC449" s="475"/>
      <c r="AD449" s="475"/>
      <c r="AE449" s="475"/>
      <c r="AF449" s="475"/>
      <c r="AG449" s="475"/>
      <c r="AH449" s="141"/>
      <c r="AI449" s="476">
        <f>'Efficient Products Deemed Table'!AI220</f>
        <v>432</v>
      </c>
      <c r="AJ449" s="476">
        <f>'Efficient Products Deemed Table'!AJ220</f>
        <v>432</v>
      </c>
      <c r="AK449" s="476">
        <f>'Efficient Products Deemed Table'!AK220</f>
        <v>432</v>
      </c>
      <c r="AL449" s="391"/>
      <c r="AM449" s="391"/>
      <c r="AN449" s="391"/>
      <c r="AO449" s="391"/>
      <c r="AP449" s="391"/>
      <c r="AQ449" s="391"/>
      <c r="AR449" s="391"/>
      <c r="AS449" s="391"/>
    </row>
    <row r="450" spans="1:57" hidden="1" outlineLevel="1" x14ac:dyDescent="0.25">
      <c r="A450" s="233"/>
      <c r="B450" s="233"/>
      <c r="C450" s="231"/>
      <c r="D450" s="470" t="str">
        <f>'Efficient Products Deemed Table'!D221</f>
        <v>D</v>
      </c>
      <c r="E450" s="471">
        <f>'Efficient Products Deemed Table'!E221</f>
        <v>0.4</v>
      </c>
      <c r="F450" s="472">
        <f>'Efficient Products Deemed Table'!F221</f>
        <v>432</v>
      </c>
      <c r="G450" s="473"/>
      <c r="H450" s="233"/>
      <c r="I450" s="233"/>
      <c r="J450" s="233"/>
      <c r="K450" s="233"/>
      <c r="L450" s="233"/>
      <c r="V450" s="474" t="str">
        <f t="shared" si="90"/>
        <v>D</v>
      </c>
      <c r="W450" s="475">
        <f>'Efficient Products Deemed Table'!W221</f>
        <v>0.4</v>
      </c>
      <c r="X450" s="475">
        <f>'Efficient Products Deemed Table'!X221</f>
        <v>0.4</v>
      </c>
      <c r="Y450" s="475">
        <f>'Efficient Products Deemed Table'!Y221</f>
        <v>0.4</v>
      </c>
      <c r="Z450" s="475"/>
      <c r="AA450" s="475"/>
      <c r="AB450" s="475"/>
      <c r="AC450" s="475"/>
      <c r="AD450" s="475"/>
      <c r="AE450" s="475"/>
      <c r="AF450" s="475"/>
      <c r="AG450" s="475"/>
      <c r="AH450" s="141"/>
      <c r="AI450" s="476">
        <f>'Efficient Products Deemed Table'!AI221</f>
        <v>432</v>
      </c>
      <c r="AJ450" s="476">
        <f>'Efficient Products Deemed Table'!AJ221</f>
        <v>432</v>
      </c>
      <c r="AK450" s="476">
        <f>'Efficient Products Deemed Table'!AK221</f>
        <v>432</v>
      </c>
      <c r="AL450" s="391"/>
      <c r="AM450" s="391"/>
      <c r="AN450" s="391"/>
      <c r="AO450" s="391"/>
      <c r="AP450" s="391"/>
      <c r="AQ450" s="391"/>
      <c r="AR450" s="391"/>
      <c r="AS450" s="391"/>
    </row>
    <row r="451" spans="1:57" hidden="1" outlineLevel="1" x14ac:dyDescent="0.25">
      <c r="A451" s="233"/>
      <c r="B451" s="233"/>
      <c r="C451" s="231"/>
      <c r="D451" s="470" t="str">
        <f>'Efficient Products Deemed Table'!D222</f>
        <v>E</v>
      </c>
      <c r="E451" s="471">
        <f>'Efficient Products Deemed Table'!E222</f>
        <v>0.35</v>
      </c>
      <c r="F451" s="472">
        <f>'Efficient Products Deemed Table'!F222</f>
        <v>432</v>
      </c>
      <c r="G451" s="473"/>
      <c r="H451" s="233"/>
      <c r="I451" s="233"/>
      <c r="J451" s="233"/>
      <c r="K451" s="233"/>
      <c r="L451" s="233"/>
      <c r="V451" s="474" t="str">
        <f t="shared" si="90"/>
        <v>E</v>
      </c>
      <c r="W451" s="475">
        <f>'Efficient Products Deemed Table'!W222</f>
        <v>0.35</v>
      </c>
      <c r="X451" s="475">
        <f>'Efficient Products Deemed Table'!X222</f>
        <v>0.35</v>
      </c>
      <c r="Y451" s="475">
        <f>'Efficient Products Deemed Table'!Y222</f>
        <v>0.35</v>
      </c>
      <c r="Z451" s="475"/>
      <c r="AA451" s="475"/>
      <c r="AB451" s="475"/>
      <c r="AC451" s="475"/>
      <c r="AD451" s="475"/>
      <c r="AE451" s="475"/>
      <c r="AF451" s="475"/>
      <c r="AG451" s="475"/>
      <c r="AH451" s="141"/>
      <c r="AI451" s="476">
        <f>'Efficient Products Deemed Table'!AI222</f>
        <v>432</v>
      </c>
      <c r="AJ451" s="476">
        <f>'Efficient Products Deemed Table'!AJ222</f>
        <v>432</v>
      </c>
      <c r="AK451" s="476">
        <f>'Efficient Products Deemed Table'!AK222</f>
        <v>432</v>
      </c>
      <c r="AL451" s="391"/>
      <c r="AM451" s="391"/>
      <c r="AN451" s="391"/>
      <c r="AO451" s="391"/>
      <c r="AP451" s="391"/>
      <c r="AQ451" s="391"/>
      <c r="AR451" s="391"/>
      <c r="AS451" s="391"/>
    </row>
    <row r="452" spans="1:57" hidden="1" outlineLevel="1" x14ac:dyDescent="0.25">
      <c r="A452" s="233"/>
      <c r="B452" s="233"/>
      <c r="C452" s="231"/>
      <c r="D452" s="470" t="str">
        <f>'Efficient Products Deemed Table'!D223</f>
        <v>F</v>
      </c>
      <c r="E452" s="471">
        <f>'Efficient Products Deemed Table'!E223</f>
        <v>0.3</v>
      </c>
      <c r="F452" s="472">
        <f>'Efficient Products Deemed Table'!F223</f>
        <v>432</v>
      </c>
      <c r="G452" s="473"/>
      <c r="H452" s="233"/>
      <c r="I452" s="233"/>
      <c r="J452" s="233"/>
      <c r="K452" s="233"/>
      <c r="L452" s="233"/>
      <c r="V452" s="474" t="str">
        <f t="shared" si="90"/>
        <v>F</v>
      </c>
      <c r="W452" s="475">
        <f>'Efficient Products Deemed Table'!W223</f>
        <v>0.3</v>
      </c>
      <c r="X452" s="475">
        <f>'Efficient Products Deemed Table'!X223</f>
        <v>0.3</v>
      </c>
      <c r="Y452" s="475">
        <f>'Efficient Products Deemed Table'!Y223</f>
        <v>0.3</v>
      </c>
      <c r="Z452" s="475"/>
      <c r="AA452" s="475"/>
      <c r="AB452" s="475"/>
      <c r="AC452" s="475"/>
      <c r="AD452" s="475"/>
      <c r="AE452" s="475"/>
      <c r="AF452" s="475"/>
      <c r="AG452" s="475"/>
      <c r="AH452" s="141"/>
      <c r="AI452" s="476">
        <f>'Efficient Products Deemed Table'!AI223</f>
        <v>432</v>
      </c>
      <c r="AJ452" s="476">
        <f>'Efficient Products Deemed Table'!AJ223</f>
        <v>432</v>
      </c>
      <c r="AK452" s="476">
        <f>'Efficient Products Deemed Table'!AK223</f>
        <v>432</v>
      </c>
      <c r="AL452" s="391"/>
      <c r="AM452" s="391"/>
      <c r="AN452" s="391"/>
      <c r="AO452" s="391"/>
      <c r="AP452" s="391"/>
      <c r="AQ452" s="391"/>
      <c r="AR452" s="391"/>
      <c r="AS452" s="391"/>
    </row>
    <row r="453" spans="1:57" hidden="1" outlineLevel="1" x14ac:dyDescent="0.25">
      <c r="A453" s="233"/>
      <c r="B453" s="233"/>
      <c r="C453" s="231"/>
      <c r="D453" s="470" t="str">
        <f>'Efficient Products Deemed Table'!D224</f>
        <v>G</v>
      </c>
      <c r="E453" s="471">
        <f>'Efficient Products Deemed Table'!E224</f>
        <v>0.25</v>
      </c>
      <c r="F453" s="472">
        <f>'Efficient Products Deemed Table'!F224</f>
        <v>432</v>
      </c>
      <c r="G453" s="473"/>
      <c r="H453" s="233"/>
      <c r="I453" s="233"/>
      <c r="J453" s="233"/>
      <c r="K453" s="233"/>
      <c r="L453" s="233"/>
      <c r="V453" s="474" t="str">
        <f t="shared" si="90"/>
        <v>G</v>
      </c>
      <c r="W453" s="475">
        <f>'Efficient Products Deemed Table'!W224</f>
        <v>0.25</v>
      </c>
      <c r="X453" s="475">
        <f>'Efficient Products Deemed Table'!X224</f>
        <v>0.25</v>
      </c>
      <c r="Y453" s="475">
        <f>'Efficient Products Deemed Table'!Y224</f>
        <v>0.25</v>
      </c>
      <c r="Z453" s="475"/>
      <c r="AA453" s="475"/>
      <c r="AB453" s="475"/>
      <c r="AC453" s="475"/>
      <c r="AD453" s="475"/>
      <c r="AE453" s="475"/>
      <c r="AF453" s="475"/>
      <c r="AG453" s="475"/>
      <c r="AH453" s="141"/>
      <c r="AI453" s="476">
        <f>'Efficient Products Deemed Table'!AI224</f>
        <v>432</v>
      </c>
      <c r="AJ453" s="476">
        <f>'Efficient Products Deemed Table'!AJ224</f>
        <v>432</v>
      </c>
      <c r="AK453" s="476">
        <f>'Efficient Products Deemed Table'!AK224</f>
        <v>432</v>
      </c>
      <c r="AL453" s="391"/>
      <c r="AM453" s="391"/>
      <c r="AN453" s="391"/>
      <c r="AO453" s="391"/>
      <c r="AP453" s="391"/>
      <c r="AQ453" s="391"/>
      <c r="AR453" s="391"/>
      <c r="AS453" s="391"/>
    </row>
    <row r="454" spans="1:57" hidden="1" outlineLevel="1" x14ac:dyDescent="0.25">
      <c r="A454" s="233"/>
      <c r="B454" s="233"/>
      <c r="C454" s="231"/>
      <c r="D454" s="470" t="str">
        <f>'Efficient Products Deemed Table'!D225</f>
        <v>H</v>
      </c>
      <c r="E454" s="471">
        <f>'Efficient Products Deemed Table'!E225</f>
        <v>0.2</v>
      </c>
      <c r="F454" s="472">
        <f>'Efficient Products Deemed Table'!F225</f>
        <v>432</v>
      </c>
      <c r="G454" s="473"/>
      <c r="H454" s="233"/>
      <c r="I454" s="233"/>
      <c r="J454" s="233"/>
      <c r="K454" s="233"/>
      <c r="L454" s="233"/>
      <c r="V454" s="474" t="str">
        <f t="shared" si="90"/>
        <v>H</v>
      </c>
      <c r="W454" s="475">
        <f>'Efficient Products Deemed Table'!W225</f>
        <v>0.2</v>
      </c>
      <c r="X454" s="475">
        <f>'Efficient Products Deemed Table'!X225</f>
        <v>0.2</v>
      </c>
      <c r="Y454" s="475">
        <f>'Efficient Products Deemed Table'!Y225</f>
        <v>0.2</v>
      </c>
      <c r="Z454" s="475"/>
      <c r="AA454" s="475"/>
      <c r="AB454" s="475"/>
      <c r="AC454" s="475"/>
      <c r="AD454" s="475"/>
      <c r="AE454" s="475"/>
      <c r="AF454" s="475"/>
      <c r="AG454" s="475"/>
      <c r="AH454" s="141"/>
      <c r="AI454" s="476">
        <f>'Efficient Products Deemed Table'!AI225</f>
        <v>432</v>
      </c>
      <c r="AJ454" s="476">
        <f>'Efficient Products Deemed Table'!AJ225</f>
        <v>432</v>
      </c>
      <c r="AK454" s="476">
        <f>'Efficient Products Deemed Table'!AK225</f>
        <v>432</v>
      </c>
      <c r="AL454" s="391"/>
      <c r="AM454" s="391"/>
      <c r="AN454" s="391"/>
      <c r="AO454" s="391"/>
      <c r="AP454" s="391"/>
      <c r="AQ454" s="391"/>
      <c r="AR454" s="391"/>
      <c r="AS454" s="391"/>
    </row>
    <row r="455" spans="1:57" hidden="1" outlineLevel="1" x14ac:dyDescent="0.25">
      <c r="A455" s="233"/>
      <c r="B455" s="233"/>
      <c r="C455" s="231"/>
      <c r="D455" s="1701" t="s">
        <v>618</v>
      </c>
      <c r="E455" s="2722" t="s">
        <v>620</v>
      </c>
      <c r="F455" s="3183"/>
      <c r="G455" s="1641" t="s">
        <v>863</v>
      </c>
      <c r="H455" s="233"/>
      <c r="I455" s="233"/>
      <c r="J455" s="233"/>
      <c r="K455" s="233"/>
      <c r="L455" s="233"/>
      <c r="V455" s="477"/>
      <c r="W455" s="478"/>
      <c r="X455" s="478"/>
      <c r="Y455" s="478"/>
      <c r="Z455" s="479"/>
      <c r="AA455" s="479"/>
      <c r="AB455" s="479"/>
      <c r="AC455" s="479"/>
      <c r="AD455" s="479"/>
      <c r="AE455" s="479"/>
      <c r="AF455" s="479"/>
      <c r="AG455" s="479"/>
      <c r="AH455" s="141"/>
      <c r="AI455" s="480"/>
      <c r="AJ455" s="480"/>
      <c r="AK455" s="445"/>
      <c r="AL455" s="445"/>
      <c r="AM455" s="445"/>
      <c r="AN455" s="445"/>
      <c r="AO455" s="445"/>
      <c r="AP455" s="445"/>
      <c r="AQ455" s="445"/>
      <c r="AR455" s="445"/>
      <c r="AS455" s="445"/>
    </row>
    <row r="456" spans="1:57" hidden="1" outlineLevel="1" x14ac:dyDescent="0.25">
      <c r="A456" s="233"/>
      <c r="B456" s="233"/>
      <c r="C456" s="231"/>
      <c r="D456" s="423" t="str">
        <f>J430</f>
        <v>EUL</v>
      </c>
      <c r="E456" s="3184">
        <v>10</v>
      </c>
      <c r="F456" s="2642"/>
      <c r="G456" s="481" t="s">
        <v>37</v>
      </c>
      <c r="H456" s="233"/>
      <c r="I456" s="233"/>
      <c r="J456" s="233"/>
      <c r="K456" s="233"/>
      <c r="L456" s="233"/>
      <c r="V456" s="1586" t="str">
        <f t="shared" si="90"/>
        <v>EUL</v>
      </c>
      <c r="W456" s="1587">
        <v>10</v>
      </c>
      <c r="X456" s="1587">
        <v>10</v>
      </c>
      <c r="Y456" s="1587">
        <v>10</v>
      </c>
      <c r="Z456" s="482"/>
      <c r="AA456" s="482"/>
      <c r="AB456" s="482"/>
      <c r="AC456" s="482"/>
      <c r="AD456" s="482"/>
      <c r="AE456" s="482"/>
      <c r="AF456" s="482"/>
      <c r="AG456" s="482"/>
      <c r="AH456" s="141"/>
      <c r="AI456" s="480"/>
      <c r="AJ456" s="480"/>
      <c r="AK456" s="445"/>
      <c r="AL456" s="445"/>
      <c r="AM456" s="445"/>
      <c r="AN456" s="445"/>
      <c r="AO456" s="445"/>
      <c r="AP456" s="445"/>
      <c r="AQ456" s="445"/>
      <c r="AR456" s="445"/>
      <c r="AS456" s="445"/>
    </row>
    <row r="457" spans="1:57" hidden="1" outlineLevel="1" x14ac:dyDescent="0.25">
      <c r="A457" s="233"/>
      <c r="B457" s="233"/>
      <c r="C457" s="231"/>
      <c r="D457" s="423" t="str">
        <f>K430</f>
        <v>Inc. Cost</v>
      </c>
      <c r="E457" s="3185">
        <v>30</v>
      </c>
      <c r="F457" s="2642"/>
      <c r="G457" s="481" t="s">
        <v>37</v>
      </c>
      <c r="H457" s="233"/>
      <c r="I457" s="233"/>
      <c r="J457" s="233"/>
      <c r="K457" s="233"/>
      <c r="L457" s="233"/>
      <c r="V457" s="1586" t="str">
        <f t="shared" si="90"/>
        <v>Inc. Cost</v>
      </c>
      <c r="W457" s="1588">
        <v>30</v>
      </c>
      <c r="X457" s="1588">
        <v>30</v>
      </c>
      <c r="Y457" s="1588">
        <v>30</v>
      </c>
      <c r="Z457" s="484"/>
      <c r="AA457" s="484"/>
      <c r="AB457" s="484"/>
      <c r="AC457" s="484"/>
      <c r="AD457" s="484"/>
      <c r="AE457" s="484"/>
      <c r="AF457" s="484"/>
      <c r="AG457" s="484"/>
      <c r="AH457" s="141"/>
      <c r="AI457" s="480"/>
      <c r="AJ457" s="480"/>
      <c r="AK457" s="445"/>
      <c r="AL457" s="445"/>
      <c r="AM457" s="445"/>
      <c r="AN457" s="445"/>
      <c r="AO457" s="445"/>
      <c r="AP457" s="445"/>
      <c r="AQ457" s="445"/>
      <c r="AR457" s="445"/>
      <c r="AS457" s="445"/>
    </row>
    <row r="458" spans="1:57" collapsed="1" x14ac:dyDescent="0.25">
      <c r="A458" s="327"/>
      <c r="B458" s="327"/>
      <c r="C458" s="266"/>
      <c r="D458" s="326"/>
      <c r="E458" s="326"/>
      <c r="F458" s="327"/>
      <c r="G458" s="327"/>
      <c r="H458" s="327"/>
      <c r="I458" s="327"/>
      <c r="J458" s="327"/>
      <c r="K458" s="327"/>
      <c r="L458" s="327"/>
    </row>
    <row r="459" spans="1:57" x14ac:dyDescent="0.25">
      <c r="A459" s="327"/>
      <c r="B459" s="327"/>
      <c r="C459" s="266"/>
      <c r="D459" s="326"/>
      <c r="E459" s="326"/>
      <c r="F459" s="327"/>
      <c r="G459" s="327"/>
      <c r="H459" s="327"/>
      <c r="I459" s="327"/>
      <c r="J459" s="327"/>
      <c r="K459" s="327"/>
      <c r="L459" s="327"/>
    </row>
    <row r="460" spans="1:57" s="229" customFormat="1" x14ac:dyDescent="0.25">
      <c r="B460" s="2639" t="s">
        <v>2394</v>
      </c>
      <c r="C460" s="2640"/>
      <c r="D460" s="2640"/>
      <c r="E460" s="2640"/>
      <c r="F460" s="2640"/>
      <c r="G460" s="2640"/>
      <c r="H460" s="2640"/>
      <c r="I460" s="2641"/>
      <c r="J460" s="2641"/>
      <c r="K460" s="2641"/>
      <c r="L460" s="2641"/>
      <c r="M460" s="2641"/>
      <c r="N460" s="2641"/>
      <c r="O460" s="2641"/>
      <c r="P460" s="2641"/>
      <c r="Q460" s="2642"/>
      <c r="V460" s="2639" t="str">
        <f>B460</f>
        <v>High Efficienty Pool Pump</v>
      </c>
      <c r="W460" s="2640"/>
      <c r="X460" s="2640"/>
      <c r="Y460" s="2640"/>
      <c r="Z460" s="2640"/>
      <c r="AA460" s="2640"/>
      <c r="AB460" s="2640"/>
      <c r="AC460" s="2640"/>
      <c r="AD460" s="2640"/>
      <c r="AE460" s="2640"/>
      <c r="AF460" s="2640"/>
      <c r="AG460" s="2640"/>
      <c r="AH460" s="2640"/>
      <c r="AI460" s="2734"/>
      <c r="AJ460"/>
      <c r="BB460" s="1116"/>
    </row>
    <row r="461" spans="1:57" ht="23.25" customHeight="1" x14ac:dyDescent="0.25">
      <c r="B461" s="2293"/>
      <c r="C461" s="2294"/>
      <c r="D461" s="1534"/>
      <c r="E461" s="1534"/>
      <c r="F461" s="2293"/>
      <c r="G461" s="2293"/>
      <c r="H461" s="2293"/>
      <c r="I461" s="2293"/>
      <c r="J461" s="2293"/>
      <c r="K461" s="2293"/>
      <c r="L461" s="2293"/>
    </row>
    <row r="462" spans="1:57" ht="30" x14ac:dyDescent="0.25">
      <c r="B462" s="2293"/>
      <c r="C462" s="1641" t="s">
        <v>17</v>
      </c>
      <c r="D462" s="1641" t="s">
        <v>662</v>
      </c>
      <c r="E462" s="1641" t="s">
        <v>19</v>
      </c>
      <c r="F462" s="1641" t="s">
        <v>20</v>
      </c>
      <c r="G462" s="1641" t="s">
        <v>21</v>
      </c>
      <c r="H462" s="1641" t="s">
        <v>22</v>
      </c>
      <c r="I462" s="1641" t="s">
        <v>2395</v>
      </c>
      <c r="J462" s="1641" t="s">
        <v>2396</v>
      </c>
      <c r="K462" s="1641" t="s">
        <v>2397</v>
      </c>
      <c r="L462" s="1641" t="s">
        <v>23</v>
      </c>
      <c r="M462" s="1641" t="s">
        <v>24</v>
      </c>
      <c r="N462" s="1641" t="s">
        <v>25</v>
      </c>
      <c r="O462" s="1641" t="s">
        <v>26</v>
      </c>
      <c r="V462" s="55" t="s">
        <v>27</v>
      </c>
      <c r="W462" s="56">
        <f>W$6</f>
        <v>43252</v>
      </c>
      <c r="X462" s="56">
        <f t="shared" ref="X462:AG462" si="91">X$6</f>
        <v>43465</v>
      </c>
      <c r="Y462" s="56">
        <f t="shared" si="91"/>
        <v>43800</v>
      </c>
      <c r="Z462" s="56">
        <f t="shared" si="91"/>
        <v>43862</v>
      </c>
      <c r="AA462" s="56" t="str">
        <f t="shared" si="91"/>
        <v>-</v>
      </c>
      <c r="AB462" s="56" t="str">
        <f t="shared" si="91"/>
        <v>-</v>
      </c>
      <c r="AC462" s="56" t="str">
        <f t="shared" si="91"/>
        <v>-</v>
      </c>
      <c r="AD462" s="56" t="str">
        <f t="shared" si="91"/>
        <v>-</v>
      </c>
      <c r="AE462" s="56" t="str">
        <f t="shared" si="91"/>
        <v>-</v>
      </c>
      <c r="AF462" s="56" t="str">
        <f t="shared" si="91"/>
        <v>-</v>
      </c>
      <c r="AG462" s="56" t="str">
        <f t="shared" si="91"/>
        <v>-</v>
      </c>
      <c r="BB462" s="57" t="str">
        <f>$BB$6</f>
        <v>TRC (2020)</v>
      </c>
      <c r="BC462" s="103" t="str">
        <f>$BC$6</f>
        <v>Benefit Lookup</v>
      </c>
      <c r="BD462" s="883" t="str">
        <f>$BD$6</f>
        <v>Benefits (2019 $)</v>
      </c>
      <c r="BE462" s="334" t="str">
        <f>$BE$6</f>
        <v>Incremental Cost (2019 $)</v>
      </c>
    </row>
    <row r="463" spans="1:57" x14ac:dyDescent="0.25">
      <c r="B463" s="2293"/>
      <c r="C463" s="92" t="s">
        <v>2398</v>
      </c>
      <c r="D463" s="1927" t="s">
        <v>2272</v>
      </c>
      <c r="E463" s="1666" t="s">
        <v>2399</v>
      </c>
      <c r="F463" s="712">
        <f>ROUND(F480*(I463-(J463+K463)),2)</f>
        <v>2052.85</v>
      </c>
      <c r="G463" s="1699" t="s">
        <v>810</v>
      </c>
      <c r="H463" s="239">
        <f>VLOOKUP(G463,'CP FACTORS'!$A$3:$B$38, 2, FALSE)</f>
        <v>2.3544589999999999E-4</v>
      </c>
      <c r="I463" s="2319">
        <f>(F481*F482*F487)/(F488*F491)</f>
        <v>20.976000000000003</v>
      </c>
      <c r="J463" s="87">
        <f>(F483*F484*F487)/(F489*F491)</f>
        <v>1.5789473684210527</v>
      </c>
      <c r="K463" s="87">
        <f>(F485*F486*F487)/(F490*F491)</f>
        <v>2.515068493150685</v>
      </c>
      <c r="L463" s="153">
        <f>ROUND(F463*H463,6)</f>
        <v>0.48333500000000001</v>
      </c>
      <c r="M463" s="156">
        <f>F492</f>
        <v>10</v>
      </c>
      <c r="N463" s="1535">
        <f>F493</f>
        <v>549</v>
      </c>
      <c r="O463" s="1551" t="s">
        <v>37</v>
      </c>
      <c r="V463" s="245" t="str">
        <f>F462</f>
        <v>kWh Annual Savings</v>
      </c>
      <c r="W463" s="865">
        <v>2052.8492712328771</v>
      </c>
      <c r="X463" s="1589">
        <v>2052.8492712328771</v>
      </c>
      <c r="Y463" s="1536">
        <v>2052.85</v>
      </c>
      <c r="Z463" s="245"/>
      <c r="AA463" s="245"/>
      <c r="AB463" s="245"/>
      <c r="AC463" s="245"/>
      <c r="AD463" s="245"/>
      <c r="AE463" s="245"/>
      <c r="AF463" s="245"/>
      <c r="AG463" s="245"/>
      <c r="BB463" s="120">
        <f t="shared" ref="BB463" si="92">(BD463)/(BE463)</f>
        <v>1.6535777334024884</v>
      </c>
      <c r="BC463" s="69" t="str">
        <f>CONCATENATE(G463," ",M463," Year EUL")</f>
        <v>Pool Spa RES 10 Year EUL</v>
      </c>
      <c r="BD463" s="251">
        <f>(INDEX('Avoided Cost Benefits'!$C$4:$C$857,MATCH(BC463,'Avoided Cost Benefits'!$A$4:$A$857,0)))*F463</f>
        <v>856.8326339197414</v>
      </c>
      <c r="BE463" s="122">
        <f>N463/(1.0595^(2020-2019))</f>
        <v>518.16894761680032</v>
      </c>
    </row>
    <row r="464" spans="1:57" hidden="1" outlineLevel="1" x14ac:dyDescent="0.25">
      <c r="B464" s="2293"/>
      <c r="C464" s="2294"/>
      <c r="D464" s="1534"/>
      <c r="E464" s="1534"/>
      <c r="F464" s="2293"/>
      <c r="G464" s="2293"/>
      <c r="H464" s="2293"/>
      <c r="I464" s="2293"/>
      <c r="J464" s="2293"/>
      <c r="K464" s="2293"/>
      <c r="L464" s="2293"/>
    </row>
    <row r="465" spans="1:54" hidden="1" outlineLevel="1" x14ac:dyDescent="0.25">
      <c r="B465" s="2293"/>
      <c r="C465" s="2294"/>
      <c r="D465" s="259" t="s">
        <v>617</v>
      </c>
      <c r="E465" s="1534"/>
      <c r="F465" s="2293"/>
      <c r="G465" s="2293"/>
      <c r="H465" s="2293"/>
      <c r="I465" s="2293"/>
      <c r="J465" s="2293"/>
      <c r="K465" s="2293"/>
      <c r="L465" s="2293"/>
    </row>
    <row r="466" spans="1:54" hidden="1" outlineLevel="1" x14ac:dyDescent="0.25">
      <c r="B466" s="2293"/>
      <c r="C466" s="2294"/>
      <c r="D466" s="1534"/>
      <c r="E466" s="1534"/>
      <c r="F466" s="2293"/>
      <c r="G466" s="2293"/>
      <c r="H466" s="2293"/>
      <c r="I466" s="2293"/>
      <c r="J466" s="2293"/>
      <c r="K466" s="2293"/>
      <c r="L466" s="2293"/>
    </row>
    <row r="467" spans="1:54" hidden="1" outlineLevel="1" x14ac:dyDescent="0.25">
      <c r="B467" s="2293"/>
      <c r="C467" s="2294"/>
      <c r="D467" s="1534"/>
      <c r="E467" s="1534"/>
      <c r="F467" s="2293"/>
      <c r="G467" s="2293"/>
      <c r="H467" s="2293"/>
      <c r="I467" s="2293"/>
      <c r="J467" s="2293"/>
      <c r="K467" s="2293"/>
      <c r="L467" s="2293"/>
    </row>
    <row r="468" spans="1:54" hidden="1" outlineLevel="1" x14ac:dyDescent="0.25">
      <c r="B468" s="2293"/>
      <c r="C468" s="2294"/>
      <c r="D468" s="1534"/>
      <c r="E468" s="1534"/>
      <c r="F468" s="2293"/>
      <c r="G468" s="2293"/>
      <c r="H468" s="2293"/>
      <c r="I468" s="2293"/>
      <c r="J468" s="2293"/>
      <c r="K468" s="2293"/>
      <c r="L468" s="2293"/>
    </row>
    <row r="469" spans="1:54" hidden="1" outlineLevel="1" x14ac:dyDescent="0.25">
      <c r="B469" s="2293"/>
      <c r="C469" s="2294"/>
      <c r="D469" s="1534"/>
      <c r="E469" s="1534"/>
      <c r="F469" s="2293"/>
      <c r="G469" s="2293"/>
      <c r="H469" s="2293"/>
      <c r="I469" s="2293"/>
      <c r="J469" s="2293"/>
      <c r="K469" s="2293"/>
      <c r="L469" s="2293"/>
    </row>
    <row r="470" spans="1:54" hidden="1" outlineLevel="1" x14ac:dyDescent="0.25">
      <c r="B470" s="2293"/>
      <c r="C470" s="2294"/>
      <c r="D470" s="1534"/>
      <c r="E470" s="1534"/>
      <c r="F470" s="2293"/>
      <c r="G470" s="2293"/>
      <c r="H470" s="2293"/>
      <c r="I470" s="2293"/>
      <c r="J470" s="2293"/>
      <c r="K470" s="2293"/>
      <c r="L470" s="2293"/>
    </row>
    <row r="471" spans="1:54" hidden="1" outlineLevel="1" x14ac:dyDescent="0.25">
      <c r="B471" s="2293"/>
      <c r="C471" s="2294"/>
      <c r="D471" s="1534"/>
      <c r="E471" s="1534"/>
      <c r="F471" s="2293"/>
      <c r="G471" s="2293"/>
      <c r="H471" s="2293"/>
      <c r="I471" s="2293"/>
      <c r="J471" s="2293"/>
      <c r="K471" s="2293"/>
      <c r="L471" s="2293"/>
    </row>
    <row r="472" spans="1:54" hidden="1" outlineLevel="1" x14ac:dyDescent="0.25">
      <c r="B472" s="2293"/>
      <c r="C472" s="2294"/>
      <c r="D472" s="1534"/>
      <c r="E472" s="1534"/>
      <c r="F472" s="2293"/>
      <c r="G472" s="2293"/>
      <c r="H472" s="2293"/>
      <c r="I472" s="2293"/>
      <c r="J472" s="2293"/>
      <c r="K472" s="2293"/>
      <c r="L472" s="2293"/>
    </row>
    <row r="473" spans="1:54" hidden="1" outlineLevel="1" x14ac:dyDescent="0.25">
      <c r="B473" s="2293"/>
      <c r="C473" s="2294"/>
      <c r="D473" s="1534"/>
      <c r="E473" s="1534"/>
      <c r="F473" s="2293"/>
      <c r="G473" s="2293"/>
      <c r="H473" s="2293"/>
      <c r="I473" s="2293"/>
      <c r="J473" s="2293"/>
      <c r="K473" s="2293"/>
      <c r="L473" s="2293"/>
    </row>
    <row r="474" spans="1:54" hidden="1" outlineLevel="1" x14ac:dyDescent="0.25">
      <c r="B474" s="2293"/>
      <c r="C474" s="2294"/>
      <c r="D474" s="1534"/>
      <c r="E474" s="1534"/>
      <c r="F474" s="2293"/>
      <c r="G474" s="2293"/>
      <c r="H474" s="2293"/>
      <c r="I474" s="2293"/>
      <c r="J474" s="2293"/>
      <c r="K474" s="2293"/>
      <c r="L474" s="2293"/>
    </row>
    <row r="475" spans="1:54" hidden="1" outlineLevel="1" x14ac:dyDescent="0.25">
      <c r="B475" s="2293"/>
      <c r="C475" s="2294"/>
      <c r="D475" s="1534"/>
      <c r="E475" s="1534"/>
      <c r="F475" s="2293"/>
      <c r="G475" s="2293"/>
      <c r="H475" s="2293"/>
      <c r="I475" s="2293"/>
      <c r="J475" s="2293"/>
      <c r="K475" s="2293"/>
      <c r="L475" s="2293"/>
    </row>
    <row r="476" spans="1:54" hidden="1" outlineLevel="1" x14ac:dyDescent="0.25">
      <c r="B476" s="2293"/>
      <c r="C476" s="2294"/>
      <c r="D476" s="1534"/>
      <c r="E476" s="1534"/>
      <c r="F476" s="2293"/>
      <c r="G476" s="2293"/>
      <c r="H476" s="2293"/>
      <c r="I476" s="2293"/>
      <c r="J476" s="2293"/>
      <c r="K476" s="2293"/>
      <c r="L476" s="2293"/>
    </row>
    <row r="477" spans="1:54" hidden="1" outlineLevel="1" x14ac:dyDescent="0.25">
      <c r="B477" s="2293"/>
      <c r="C477" s="2294"/>
      <c r="D477" s="1534"/>
      <c r="E477" s="1534"/>
      <c r="F477" s="2293" t="s">
        <v>2037</v>
      </c>
      <c r="G477" s="2293"/>
      <c r="H477" s="2293"/>
      <c r="I477" s="2293"/>
      <c r="J477" s="2293"/>
      <c r="K477" s="2293"/>
      <c r="L477" s="2293"/>
    </row>
    <row r="478" spans="1:54" ht="10.5" hidden="1" customHeight="1" outlineLevel="1" x14ac:dyDescent="0.25">
      <c r="B478" s="2293"/>
      <c r="C478" s="2294"/>
      <c r="D478" s="1534"/>
      <c r="E478" s="1534"/>
      <c r="F478" s="2293"/>
      <c r="G478" s="2293"/>
      <c r="H478" s="2293"/>
      <c r="I478" s="2293"/>
      <c r="J478" s="2293"/>
      <c r="K478" s="2293"/>
      <c r="L478" s="2293"/>
    </row>
    <row r="479" spans="1:54" ht="15" hidden="1" customHeight="1" outlineLevel="1" x14ac:dyDescent="0.25">
      <c r="B479" s="2293"/>
      <c r="C479" s="2294"/>
      <c r="D479" s="1701" t="s">
        <v>618</v>
      </c>
      <c r="E479" s="1701" t="s">
        <v>619</v>
      </c>
      <c r="F479" s="1641" t="s">
        <v>620</v>
      </c>
      <c r="G479" s="1641" t="s">
        <v>670</v>
      </c>
      <c r="H479" s="2293"/>
      <c r="I479" s="2293"/>
      <c r="J479" s="2293"/>
      <c r="K479" s="2293"/>
      <c r="L479" s="2293"/>
      <c r="V479" s="55" t="s">
        <v>27</v>
      </c>
      <c r="W479" s="56">
        <f>W$6</f>
        <v>43252</v>
      </c>
      <c r="X479" s="56">
        <f t="shared" ref="X479:AG479" si="93">X$6</f>
        <v>43465</v>
      </c>
      <c r="Y479" s="56">
        <f t="shared" si="93"/>
        <v>43800</v>
      </c>
      <c r="Z479" s="56">
        <f t="shared" si="93"/>
        <v>43862</v>
      </c>
      <c r="AA479" s="56" t="str">
        <f t="shared" si="93"/>
        <v>-</v>
      </c>
      <c r="AB479" s="56" t="str">
        <f t="shared" si="93"/>
        <v>-</v>
      </c>
      <c r="AC479" s="56" t="str">
        <f t="shared" si="93"/>
        <v>-</v>
      </c>
      <c r="AD479" s="56" t="str">
        <f t="shared" si="93"/>
        <v>-</v>
      </c>
      <c r="AE479" s="56" t="str">
        <f t="shared" si="93"/>
        <v>-</v>
      </c>
      <c r="AF479" s="56" t="str">
        <f t="shared" si="93"/>
        <v>-</v>
      </c>
      <c r="AG479" s="56" t="str">
        <f t="shared" si="93"/>
        <v>-</v>
      </c>
    </row>
    <row r="480" spans="1:54" s="624" customFormat="1" ht="18" hidden="1" outlineLevel="1" x14ac:dyDescent="0.25">
      <c r="A480" s="763"/>
      <c r="B480" s="2308"/>
      <c r="C480" s="2309"/>
      <c r="D480" s="458" t="s">
        <v>815</v>
      </c>
      <c r="E480" s="458" t="s">
        <v>2400</v>
      </c>
      <c r="F480" s="61">
        <v>121.6</v>
      </c>
      <c r="G480" s="1666" t="s">
        <v>2401</v>
      </c>
      <c r="H480" s="2308"/>
      <c r="I480" s="2308"/>
      <c r="J480" s="2308"/>
      <c r="K480" s="2308"/>
      <c r="L480" s="2308"/>
      <c r="M480" s="763"/>
      <c r="N480" s="763"/>
      <c r="O480" s="763"/>
      <c r="P480" s="763"/>
      <c r="Q480" s="763"/>
      <c r="R480" s="763"/>
      <c r="S480" s="763"/>
      <c r="T480" s="763"/>
      <c r="U480" s="763"/>
      <c r="V480" s="1254" t="str">
        <f>D480</f>
        <v>Daysoper</v>
      </c>
      <c r="W480" s="669">
        <v>121.6</v>
      </c>
      <c r="X480" s="669">
        <v>121.6</v>
      </c>
      <c r="Y480" s="669">
        <v>121.6</v>
      </c>
      <c r="Z480" s="669"/>
      <c r="AA480" s="669"/>
      <c r="AB480" s="669"/>
      <c r="AC480" s="669"/>
      <c r="AD480" s="669"/>
      <c r="AE480" s="669"/>
      <c r="AF480" s="669"/>
      <c r="AG480" s="669"/>
      <c r="AH480"/>
      <c r="AI480"/>
      <c r="AJ480"/>
      <c r="BB480" s="1579"/>
    </row>
    <row r="481" spans="1:54" s="624" customFormat="1" ht="31.5" hidden="1" customHeight="1" outlineLevel="1" x14ac:dyDescent="0.25">
      <c r="A481" s="763"/>
      <c r="B481" s="2308"/>
      <c r="C481" s="2309"/>
      <c r="D481" s="458" t="s">
        <v>818</v>
      </c>
      <c r="E481" s="1666" t="s">
        <v>819</v>
      </c>
      <c r="F481" s="150">
        <v>11.4</v>
      </c>
      <c r="G481" s="1666" t="s">
        <v>2401</v>
      </c>
      <c r="H481" s="2308"/>
      <c r="I481" s="2308"/>
      <c r="J481" s="2308"/>
      <c r="K481" s="2308"/>
      <c r="L481" s="2308"/>
      <c r="M481" s="763"/>
      <c r="N481" s="763"/>
      <c r="O481" s="763"/>
      <c r="P481" s="763"/>
      <c r="Q481" s="763"/>
      <c r="R481" s="763"/>
      <c r="S481" s="763"/>
      <c r="T481" s="763"/>
      <c r="U481" s="763"/>
      <c r="V481" s="1254" t="str">
        <f t="shared" ref="V481:V493" si="94">D481</f>
        <v>RTss</v>
      </c>
      <c r="W481" s="678">
        <v>11.4</v>
      </c>
      <c r="X481" s="678">
        <v>11.4</v>
      </c>
      <c r="Y481" s="678">
        <v>11.4</v>
      </c>
      <c r="Z481" s="678"/>
      <c r="AA481" s="678"/>
      <c r="AB481" s="678"/>
      <c r="AC481" s="678"/>
      <c r="AD481" s="678"/>
      <c r="AE481" s="678"/>
      <c r="AF481" s="678"/>
      <c r="AG481" s="678"/>
      <c r="AH481"/>
      <c r="AI481"/>
      <c r="AJ481"/>
      <c r="BB481" s="1579"/>
    </row>
    <row r="482" spans="1:54" s="624" customFormat="1" ht="31.5" hidden="1" customHeight="1" outlineLevel="1" x14ac:dyDescent="0.25">
      <c r="A482" s="763"/>
      <c r="B482" s="2308"/>
      <c r="C482" s="2309"/>
      <c r="D482" s="458" t="s">
        <v>824</v>
      </c>
      <c r="E482" s="2306" t="s">
        <v>825</v>
      </c>
      <c r="F482" s="1699">
        <v>64.400000000000006</v>
      </c>
      <c r="G482" s="1666" t="s">
        <v>2401</v>
      </c>
      <c r="H482" s="2308"/>
      <c r="I482" s="2308"/>
      <c r="J482" s="2308"/>
      <c r="K482" s="2308"/>
      <c r="L482" s="2308"/>
      <c r="M482" s="763"/>
      <c r="N482" s="763"/>
      <c r="O482" s="763"/>
      <c r="P482" s="763"/>
      <c r="Q482" s="763"/>
      <c r="R482" s="763"/>
      <c r="S482" s="763"/>
      <c r="T482" s="763"/>
      <c r="U482" s="763"/>
      <c r="V482" s="1254" t="str">
        <f t="shared" si="94"/>
        <v>GPMss</v>
      </c>
      <c r="W482" s="657">
        <v>64.400000000000006</v>
      </c>
      <c r="X482" s="657">
        <v>64.400000000000006</v>
      </c>
      <c r="Y482" s="657">
        <v>64.400000000000006</v>
      </c>
      <c r="Z482" s="657"/>
      <c r="AA482" s="657"/>
      <c r="AB482" s="657"/>
      <c r="AC482" s="657"/>
      <c r="AD482" s="657"/>
      <c r="AE482" s="657"/>
      <c r="AF482" s="657"/>
      <c r="AG482" s="657"/>
      <c r="AH482"/>
      <c r="AI482"/>
      <c r="AJ482"/>
      <c r="BB482" s="1579"/>
    </row>
    <row r="483" spans="1:54" s="624" customFormat="1" ht="36" hidden="1" customHeight="1" outlineLevel="1" x14ac:dyDescent="0.25">
      <c r="A483" s="763"/>
      <c r="B483" s="2308"/>
      <c r="C483" s="2309"/>
      <c r="D483" s="458" t="s">
        <v>822</v>
      </c>
      <c r="E483" s="1666" t="s">
        <v>2402</v>
      </c>
      <c r="F483" s="156">
        <v>2</v>
      </c>
      <c r="G483" s="1666" t="s">
        <v>2401</v>
      </c>
      <c r="H483" s="2308"/>
      <c r="I483" s="2308"/>
      <c r="J483" s="2308"/>
      <c r="K483" s="2308"/>
      <c r="L483" s="2308"/>
      <c r="M483" s="763"/>
      <c r="N483" s="763"/>
      <c r="O483" s="763"/>
      <c r="P483" s="763"/>
      <c r="Q483" s="763"/>
      <c r="R483" s="763"/>
      <c r="S483" s="763"/>
      <c r="T483" s="763"/>
      <c r="U483" s="763"/>
      <c r="V483" s="1254" t="str">
        <f t="shared" si="94"/>
        <v>RThs</v>
      </c>
      <c r="W483" s="460">
        <v>2</v>
      </c>
      <c r="X483" s="460">
        <v>2</v>
      </c>
      <c r="Y483" s="460">
        <v>2</v>
      </c>
      <c r="Z483" s="460"/>
      <c r="AA483" s="460"/>
      <c r="AB483" s="460"/>
      <c r="AC483" s="460"/>
      <c r="AD483" s="460"/>
      <c r="AE483" s="460"/>
      <c r="AF483" s="460"/>
      <c r="AG483" s="460"/>
      <c r="AH483"/>
      <c r="AI483"/>
      <c r="AJ483"/>
      <c r="BB483" s="1579"/>
    </row>
    <row r="484" spans="1:54" s="624" customFormat="1" ht="18" hidden="1" outlineLevel="1" x14ac:dyDescent="0.25">
      <c r="A484" s="763"/>
      <c r="B484" s="2308"/>
      <c r="C484" s="2309"/>
      <c r="D484" s="458" t="s">
        <v>828</v>
      </c>
      <c r="E484" s="1666" t="s">
        <v>2403</v>
      </c>
      <c r="F484" s="156">
        <v>50</v>
      </c>
      <c r="G484" s="1666" t="s">
        <v>2401</v>
      </c>
      <c r="H484" s="2308"/>
      <c r="I484" s="2308"/>
      <c r="J484" s="2308"/>
      <c r="K484" s="2308"/>
      <c r="L484" s="2308"/>
      <c r="M484" s="763"/>
      <c r="N484" s="763"/>
      <c r="O484" s="763"/>
      <c r="P484" s="763"/>
      <c r="Q484" s="763"/>
      <c r="R484" s="763"/>
      <c r="S484" s="763"/>
      <c r="T484" s="763"/>
      <c r="U484" s="763"/>
      <c r="V484" s="1254" t="str">
        <f t="shared" si="94"/>
        <v>GPMhs</v>
      </c>
      <c r="W484" s="460">
        <v>50</v>
      </c>
      <c r="X484" s="460">
        <v>50</v>
      </c>
      <c r="Y484" s="460">
        <v>50</v>
      </c>
      <c r="Z484" s="460"/>
      <c r="AA484" s="460"/>
      <c r="AB484" s="460"/>
      <c r="AC484" s="460"/>
      <c r="AD484" s="460"/>
      <c r="AE484" s="460"/>
      <c r="AF484" s="460"/>
      <c r="AG484" s="460"/>
      <c r="AH484"/>
      <c r="AI484"/>
      <c r="AJ484"/>
      <c r="BB484" s="1579"/>
    </row>
    <row r="485" spans="1:54" s="624" customFormat="1" ht="18" hidden="1" outlineLevel="1" x14ac:dyDescent="0.25">
      <c r="A485" s="763"/>
      <c r="B485" s="2308"/>
      <c r="C485" s="2309"/>
      <c r="D485" s="458" t="s">
        <v>820</v>
      </c>
      <c r="E485" s="1666" t="s">
        <v>2404</v>
      </c>
      <c r="F485" s="156">
        <v>10</v>
      </c>
      <c r="G485" s="1666" t="s">
        <v>2401</v>
      </c>
      <c r="H485" s="2308"/>
      <c r="I485" s="2308"/>
      <c r="J485" s="2308"/>
      <c r="K485" s="2308"/>
      <c r="L485" s="2308"/>
      <c r="M485" s="763"/>
      <c r="N485" s="763"/>
      <c r="O485" s="763"/>
      <c r="P485" s="763"/>
      <c r="Q485" s="763"/>
      <c r="R485" s="763"/>
      <c r="S485" s="763"/>
      <c r="T485" s="763"/>
      <c r="U485" s="763"/>
      <c r="V485" s="1254" t="str">
        <f t="shared" si="94"/>
        <v>RTls</v>
      </c>
      <c r="W485" s="460">
        <v>10</v>
      </c>
      <c r="X485" s="460">
        <v>10</v>
      </c>
      <c r="Y485" s="460">
        <v>10</v>
      </c>
      <c r="Z485" s="460"/>
      <c r="AA485" s="460"/>
      <c r="AB485" s="460"/>
      <c r="AC485" s="460"/>
      <c r="AD485" s="460"/>
      <c r="AE485" s="460"/>
      <c r="AF485" s="460"/>
      <c r="AG485" s="460"/>
      <c r="AH485"/>
      <c r="AI485"/>
      <c r="AJ485"/>
      <c r="BB485" s="1579"/>
    </row>
    <row r="486" spans="1:54" s="624" customFormat="1" ht="18" hidden="1" outlineLevel="1" x14ac:dyDescent="0.25">
      <c r="A486" s="763"/>
      <c r="B486" s="2308"/>
      <c r="C486" s="2309"/>
      <c r="D486" s="458" t="s">
        <v>826</v>
      </c>
      <c r="E486" s="1666" t="s">
        <v>2405</v>
      </c>
      <c r="F486" s="156">
        <v>30.6</v>
      </c>
      <c r="G486" s="1666" t="s">
        <v>2401</v>
      </c>
      <c r="H486" s="2308"/>
      <c r="I486" s="2308"/>
      <c r="J486" s="2308"/>
      <c r="K486" s="2308"/>
      <c r="L486" s="2308"/>
      <c r="M486" s="763"/>
      <c r="N486" s="763"/>
      <c r="O486" s="763"/>
      <c r="P486" s="763"/>
      <c r="Q486" s="763"/>
      <c r="R486" s="763"/>
      <c r="S486" s="763"/>
      <c r="T486" s="763"/>
      <c r="U486" s="763"/>
      <c r="V486" s="1254" t="str">
        <f t="shared" si="94"/>
        <v>GPMls</v>
      </c>
      <c r="W486" s="460">
        <v>30.6</v>
      </c>
      <c r="X486" s="460">
        <v>30.6</v>
      </c>
      <c r="Y486" s="460">
        <v>30.6</v>
      </c>
      <c r="Z486" s="460"/>
      <c r="AA486" s="460"/>
      <c r="AB486" s="460"/>
      <c r="AC486" s="460"/>
      <c r="AD486" s="460"/>
      <c r="AE486" s="460"/>
      <c r="AF486" s="460"/>
      <c r="AG486" s="460"/>
      <c r="AH486"/>
      <c r="AI486"/>
      <c r="AJ486"/>
      <c r="BB486" s="1579"/>
    </row>
    <row r="487" spans="1:54" s="624" customFormat="1" hidden="1" outlineLevel="1" x14ac:dyDescent="0.25">
      <c r="A487" s="763"/>
      <c r="B487" s="2308"/>
      <c r="C487" s="2309"/>
      <c r="D487" s="458">
        <v>60</v>
      </c>
      <c r="E487" s="2306" t="s">
        <v>2406</v>
      </c>
      <c r="F487" s="526">
        <v>60</v>
      </c>
      <c r="G487" s="1666" t="s">
        <v>2401</v>
      </c>
      <c r="H487" s="2308"/>
      <c r="I487" s="2308"/>
      <c r="J487" s="2308"/>
      <c r="K487" s="2308"/>
      <c r="L487" s="2308"/>
      <c r="M487" s="763"/>
      <c r="N487" s="763"/>
      <c r="O487" s="763"/>
      <c r="P487" s="763"/>
      <c r="Q487" s="763"/>
      <c r="R487" s="763"/>
      <c r="S487" s="763"/>
      <c r="T487" s="763"/>
      <c r="U487" s="763"/>
      <c r="V487" s="1254">
        <f t="shared" si="94"/>
        <v>60</v>
      </c>
      <c r="W487" s="687">
        <v>60</v>
      </c>
      <c r="X487" s="687">
        <v>60</v>
      </c>
      <c r="Y487" s="687">
        <v>60</v>
      </c>
      <c r="Z487" s="687"/>
      <c r="AA487" s="687"/>
      <c r="AB487" s="687"/>
      <c r="AC487" s="687"/>
      <c r="AD487" s="687"/>
      <c r="AE487" s="687"/>
      <c r="AF487" s="687"/>
      <c r="AG487" s="687"/>
      <c r="AH487"/>
      <c r="AI487"/>
      <c r="AJ487"/>
      <c r="BB487" s="1579"/>
    </row>
    <row r="488" spans="1:54" s="624" customFormat="1" ht="18" hidden="1" outlineLevel="1" x14ac:dyDescent="0.25">
      <c r="A488" s="763"/>
      <c r="B488" s="2308"/>
      <c r="C488" s="2309"/>
      <c r="D488" s="458" t="s">
        <v>2407</v>
      </c>
      <c r="E488" s="2320" t="s">
        <v>831</v>
      </c>
      <c r="F488" s="156">
        <v>2.1</v>
      </c>
      <c r="G488" s="1666" t="s">
        <v>2401</v>
      </c>
      <c r="H488" s="2308"/>
      <c r="I488" s="2308"/>
      <c r="J488" s="2308"/>
      <c r="K488" s="2308"/>
      <c r="L488" s="2308"/>
      <c r="M488" s="763"/>
      <c r="N488" s="763"/>
      <c r="O488" s="763"/>
      <c r="P488" s="763"/>
      <c r="Q488" s="763"/>
      <c r="R488" s="763"/>
      <c r="S488" s="763"/>
      <c r="T488" s="763"/>
      <c r="U488" s="763"/>
      <c r="V488" s="1254" t="str">
        <f t="shared" si="94"/>
        <v>EFss</v>
      </c>
      <c r="W488" s="460">
        <v>2.1</v>
      </c>
      <c r="X488" s="460">
        <v>2.1</v>
      </c>
      <c r="Y488" s="460">
        <v>2.1</v>
      </c>
      <c r="Z488" s="460"/>
      <c r="AA488" s="460"/>
      <c r="AB488" s="460"/>
      <c r="AC488" s="460"/>
      <c r="AD488" s="460"/>
      <c r="AE488" s="460"/>
      <c r="AF488" s="460"/>
      <c r="AG488" s="460"/>
      <c r="AH488"/>
      <c r="AI488"/>
      <c r="AJ488"/>
      <c r="BB488" s="1579"/>
    </row>
    <row r="489" spans="1:54" s="624" customFormat="1" ht="30" hidden="1" outlineLevel="1" x14ac:dyDescent="0.25">
      <c r="A489" s="763"/>
      <c r="B489" s="2308"/>
      <c r="C489" s="2309"/>
      <c r="D489" s="458" t="s">
        <v>2408</v>
      </c>
      <c r="E489" s="1666" t="s">
        <v>2409</v>
      </c>
      <c r="F489" s="156">
        <v>3.8</v>
      </c>
      <c r="G489" s="1666" t="s">
        <v>2401</v>
      </c>
      <c r="H489" s="2308"/>
      <c r="I489" s="2308"/>
      <c r="J489" s="2308"/>
      <c r="K489" s="2308"/>
      <c r="L489" s="2308"/>
      <c r="M489" s="763"/>
      <c r="N489" s="763"/>
      <c r="O489" s="763"/>
      <c r="P489" s="763"/>
      <c r="Q489" s="763"/>
      <c r="R489" s="763"/>
      <c r="S489" s="763"/>
      <c r="T489" s="763"/>
      <c r="U489" s="763"/>
      <c r="V489" s="1254" t="str">
        <f t="shared" si="94"/>
        <v>EFhs</v>
      </c>
      <c r="W489" s="460">
        <v>3.8</v>
      </c>
      <c r="X489" s="460">
        <v>3.8</v>
      </c>
      <c r="Y489" s="460">
        <v>3.8</v>
      </c>
      <c r="Z489" s="460"/>
      <c r="AA489" s="460"/>
      <c r="AB489" s="460"/>
      <c r="AC489" s="460"/>
      <c r="AD489" s="460"/>
      <c r="AE489" s="460"/>
      <c r="AF489" s="460"/>
      <c r="AG489" s="460"/>
      <c r="AH489"/>
      <c r="AI489"/>
      <c r="AJ489"/>
      <c r="BB489" s="1579"/>
    </row>
    <row r="490" spans="1:54" s="624" customFormat="1" ht="30" hidden="1" outlineLevel="1" x14ac:dyDescent="0.25">
      <c r="A490" s="763"/>
      <c r="B490" s="2308"/>
      <c r="C490" s="2309"/>
      <c r="D490" s="458" t="s">
        <v>2410</v>
      </c>
      <c r="E490" s="1666" t="s">
        <v>2411</v>
      </c>
      <c r="F490" s="156">
        <v>7.3</v>
      </c>
      <c r="G490" s="1666" t="s">
        <v>2401</v>
      </c>
      <c r="H490" s="2308"/>
      <c r="I490" s="2308"/>
      <c r="J490" s="2308"/>
      <c r="K490" s="2308"/>
      <c r="L490" s="2308"/>
      <c r="M490" s="763"/>
      <c r="N490" s="763"/>
      <c r="O490" s="763"/>
      <c r="P490" s="763"/>
      <c r="Q490" s="763"/>
      <c r="R490" s="763"/>
      <c r="S490" s="763"/>
      <c r="T490" s="763"/>
      <c r="U490" s="763"/>
      <c r="V490" s="1254" t="str">
        <f t="shared" si="94"/>
        <v>EFls</v>
      </c>
      <c r="W490" s="460">
        <v>7.3</v>
      </c>
      <c r="X490" s="460">
        <v>7.3</v>
      </c>
      <c r="Y490" s="460">
        <v>7.3</v>
      </c>
      <c r="Z490" s="460"/>
      <c r="AA490" s="460"/>
      <c r="AB490" s="460"/>
      <c r="AC490" s="460"/>
      <c r="AD490" s="460"/>
      <c r="AE490" s="460"/>
      <c r="AF490" s="460"/>
      <c r="AG490" s="460"/>
      <c r="AH490"/>
      <c r="AI490"/>
      <c r="AJ490"/>
      <c r="BB490" s="1579"/>
    </row>
    <row r="491" spans="1:54" s="624" customFormat="1" ht="30" hidden="1" outlineLevel="1" x14ac:dyDescent="0.25">
      <c r="A491" s="763"/>
      <c r="B491" s="2308"/>
      <c r="C491" s="2309"/>
      <c r="D491" s="458">
        <v>1000</v>
      </c>
      <c r="E491" s="1666" t="s">
        <v>1647</v>
      </c>
      <c r="F491" s="156">
        <v>1000</v>
      </c>
      <c r="G491" s="1642" t="s">
        <v>1648</v>
      </c>
      <c r="H491" s="2308"/>
      <c r="I491" s="2308"/>
      <c r="J491" s="2308"/>
      <c r="K491" s="2308"/>
      <c r="L491" s="2308"/>
      <c r="M491" s="763"/>
      <c r="N491" s="763"/>
      <c r="O491" s="763"/>
      <c r="P491" s="763"/>
      <c r="Q491" s="763"/>
      <c r="R491" s="763"/>
      <c r="S491" s="763"/>
      <c r="T491" s="763"/>
      <c r="U491" s="763"/>
      <c r="V491" s="1254">
        <f t="shared" si="94"/>
        <v>1000</v>
      </c>
      <c r="W491" s="460">
        <v>1000</v>
      </c>
      <c r="X491" s="460">
        <v>1000</v>
      </c>
      <c r="Y491" s="460">
        <v>1000</v>
      </c>
      <c r="Z491" s="460"/>
      <c r="AA491" s="460"/>
      <c r="AB491" s="460"/>
      <c r="AC491" s="460"/>
      <c r="AD491" s="460"/>
      <c r="AE491" s="460"/>
      <c r="AF491" s="460"/>
      <c r="AG491" s="460"/>
      <c r="AH491"/>
      <c r="AI491"/>
      <c r="AJ491"/>
      <c r="BB491" s="1579"/>
    </row>
    <row r="492" spans="1:54" s="141" customFormat="1" ht="15" hidden="1" customHeight="1" outlineLevel="1" x14ac:dyDescent="0.25">
      <c r="A492" s="486"/>
      <c r="B492" s="486"/>
      <c r="C492" s="231"/>
      <c r="D492" s="423" t="str">
        <f>$D$30</f>
        <v>EUL</v>
      </c>
      <c r="E492" s="423" t="str">
        <f>$E$30</f>
        <v>End Useful Life</v>
      </c>
      <c r="F492" s="501">
        <v>10</v>
      </c>
      <c r="G492" s="1642"/>
      <c r="H492" s="2308"/>
      <c r="I492" s="486"/>
      <c r="J492" s="486"/>
      <c r="K492" s="486"/>
      <c r="L492" s="486"/>
      <c r="M492" s="327"/>
      <c r="N492" s="327"/>
      <c r="O492" s="327"/>
      <c r="P492" s="327"/>
      <c r="Q492" s="327"/>
      <c r="R492" s="327"/>
      <c r="S492" s="327"/>
      <c r="T492" s="327"/>
      <c r="U492" s="327"/>
      <c r="V492" s="433" t="str">
        <f t="shared" si="94"/>
        <v>EUL</v>
      </c>
      <c r="W492" s="501">
        <v>10</v>
      </c>
      <c r="X492" s="501">
        <v>10</v>
      </c>
      <c r="Y492" s="501">
        <v>10</v>
      </c>
      <c r="Z492" s="503"/>
      <c r="AA492" s="503"/>
      <c r="AB492" s="503"/>
      <c r="AC492" s="503"/>
      <c r="AD492" s="503"/>
      <c r="AE492" s="503"/>
      <c r="AF492" s="503"/>
      <c r="AG492" s="503"/>
      <c r="AU492" s="249"/>
      <c r="BB492" s="1299"/>
    </row>
    <row r="493" spans="1:54" s="141" customFormat="1" ht="15" hidden="1" customHeight="1" outlineLevel="1" x14ac:dyDescent="0.25">
      <c r="A493" s="486"/>
      <c r="B493" s="486"/>
      <c r="C493" s="231"/>
      <c r="D493" s="423" t="str">
        <f>$D$31</f>
        <v>Inc. Cost</v>
      </c>
      <c r="E493" s="423" t="str">
        <f>$E$31</f>
        <v>Incremental Cost ($)</v>
      </c>
      <c r="F493" s="510">
        <v>549</v>
      </c>
      <c r="G493" s="1642"/>
      <c r="H493" s="2308"/>
      <c r="I493" s="486"/>
      <c r="J493" s="486"/>
      <c r="K493" s="486"/>
      <c r="L493" s="486"/>
      <c r="M493" s="327"/>
      <c r="N493" s="327"/>
      <c r="O493" s="327"/>
      <c r="P493" s="327"/>
      <c r="Q493" s="327"/>
      <c r="R493" s="327"/>
      <c r="S493" s="327"/>
      <c r="T493" s="327"/>
      <c r="U493" s="327"/>
      <c r="V493" s="433" t="str">
        <f t="shared" si="94"/>
        <v>Inc. Cost</v>
      </c>
      <c r="W493" s="510">
        <v>549</v>
      </c>
      <c r="X493" s="1505">
        <v>549</v>
      </c>
      <c r="Y493" s="1505">
        <v>549</v>
      </c>
      <c r="Z493" s="490"/>
      <c r="AA493" s="490"/>
      <c r="AB493" s="490"/>
      <c r="AC493" s="490"/>
      <c r="AD493" s="490"/>
      <c r="AE493" s="490"/>
      <c r="AF493" s="490"/>
      <c r="AG493" s="490"/>
      <c r="AU493" s="249"/>
      <c r="BB493" s="1299"/>
    </row>
    <row r="494" spans="1:54" s="624" customFormat="1" collapsed="1" x14ac:dyDescent="0.25">
      <c r="A494" s="763"/>
      <c r="B494" s="2308"/>
      <c r="C494" s="2309"/>
      <c r="D494" s="1424"/>
      <c r="E494" s="1421"/>
      <c r="F494" s="1423"/>
      <c r="G494" s="1584"/>
      <c r="H494" s="2308"/>
      <c r="I494" s="2308"/>
      <c r="J494" s="2308"/>
      <c r="K494" s="2308"/>
      <c r="L494" s="2308"/>
      <c r="M494" s="763"/>
      <c r="N494" s="763"/>
      <c r="O494" s="763"/>
      <c r="P494" s="763"/>
      <c r="Q494" s="763"/>
      <c r="R494" s="763"/>
      <c r="S494" s="763"/>
      <c r="T494" s="763"/>
      <c r="U494" s="763"/>
      <c r="V494"/>
      <c r="W494"/>
      <c r="X494"/>
      <c r="Y494"/>
      <c r="Z494"/>
      <c r="AA494"/>
      <c r="AB494"/>
      <c r="AC494"/>
      <c r="AD494"/>
      <c r="AE494"/>
      <c r="AF494"/>
      <c r="AG494"/>
      <c r="AH494"/>
      <c r="AI494"/>
      <c r="AJ494"/>
      <c r="BB494" s="1579"/>
    </row>
    <row r="495" spans="1:54" s="624" customFormat="1" x14ac:dyDescent="0.25">
      <c r="A495" s="763"/>
      <c r="B495" s="2308"/>
      <c r="C495" s="2309"/>
      <c r="D495" s="1424"/>
      <c r="E495" s="2321"/>
      <c r="F495" s="2322"/>
      <c r="G495" s="2321"/>
      <c r="H495" s="2308"/>
      <c r="I495" s="2308"/>
      <c r="J495" s="2308"/>
      <c r="K495" s="2308"/>
      <c r="L495" s="2308"/>
      <c r="M495" s="763"/>
      <c r="N495" s="763"/>
      <c r="O495" s="763"/>
      <c r="P495" s="763"/>
      <c r="Q495" s="763"/>
      <c r="R495" s="763"/>
      <c r="S495" s="763"/>
      <c r="T495" s="763"/>
      <c r="U495" s="763"/>
      <c r="V495"/>
      <c r="W495"/>
      <c r="X495"/>
      <c r="Y495"/>
      <c r="Z495"/>
      <c r="AA495"/>
      <c r="AB495"/>
      <c r="AC495"/>
      <c r="AD495"/>
      <c r="AE495"/>
      <c r="AF495"/>
      <c r="AG495"/>
      <c r="AH495"/>
      <c r="AI495"/>
      <c r="AJ495"/>
      <c r="BB495" s="1579"/>
    </row>
    <row r="496" spans="1:54" x14ac:dyDescent="0.25">
      <c r="B496" s="2639" t="s">
        <v>139</v>
      </c>
      <c r="C496" s="2640"/>
      <c r="D496" s="2640"/>
      <c r="E496" s="2640"/>
      <c r="F496" s="2640"/>
      <c r="G496" s="2640"/>
      <c r="H496" s="2640"/>
      <c r="I496" s="2641"/>
      <c r="J496" s="2641"/>
      <c r="K496" s="2641"/>
      <c r="L496" s="2641"/>
      <c r="M496" s="2641"/>
      <c r="N496" s="2641"/>
      <c r="O496" s="2641"/>
      <c r="P496" s="2641"/>
      <c r="Q496" s="2642"/>
      <c r="R496" s="355"/>
      <c r="V496" s="2639" t="str">
        <f>B496</f>
        <v>Refrigerator</v>
      </c>
      <c r="W496" s="2640"/>
      <c r="X496" s="2640"/>
      <c r="Y496" s="2640"/>
      <c r="Z496" s="2640"/>
      <c r="AA496" s="2640"/>
      <c r="AB496" s="2640"/>
      <c r="AC496" s="2615"/>
      <c r="AD496" s="2615"/>
      <c r="AE496" s="2615"/>
      <c r="AF496" s="2615"/>
      <c r="AG496" s="2615"/>
      <c r="AH496" s="2615"/>
      <c r="AI496" s="2616"/>
    </row>
    <row r="497" spans="1:57" x14ac:dyDescent="0.25">
      <c r="O497" s="355"/>
      <c r="P497" s="355"/>
      <c r="Q497" s="355"/>
      <c r="R497" s="355"/>
    </row>
    <row r="498" spans="1:57" ht="30" x14ac:dyDescent="0.25">
      <c r="A498" s="355"/>
      <c r="B498" s="355"/>
      <c r="C498" s="1641" t="s">
        <v>17</v>
      </c>
      <c r="D498" s="1641" t="s">
        <v>662</v>
      </c>
      <c r="E498" s="1641" t="s">
        <v>19</v>
      </c>
      <c r="F498" s="1641" t="s">
        <v>20</v>
      </c>
      <c r="G498" s="1641" t="s">
        <v>21</v>
      </c>
      <c r="H498" s="1641" t="s">
        <v>22</v>
      </c>
      <c r="I498" s="1641" t="s">
        <v>23</v>
      </c>
      <c r="J498" s="1641" t="s">
        <v>24</v>
      </c>
      <c r="K498" s="1641" t="s">
        <v>25</v>
      </c>
      <c r="L498" s="1641" t="s">
        <v>26</v>
      </c>
      <c r="O498" s="355"/>
      <c r="P498" s="355"/>
      <c r="Q498" s="355"/>
      <c r="R498" s="355"/>
      <c r="V498" s="55" t="s">
        <v>27</v>
      </c>
      <c r="W498" s="56">
        <f>W$6</f>
        <v>43252</v>
      </c>
      <c r="X498" s="56">
        <f t="shared" ref="X498:AG498" si="95">X$6</f>
        <v>43465</v>
      </c>
      <c r="Y498" s="56">
        <f t="shared" si="95"/>
        <v>43800</v>
      </c>
      <c r="Z498" s="56">
        <f t="shared" si="95"/>
        <v>43862</v>
      </c>
      <c r="AA498" s="56" t="str">
        <f t="shared" si="95"/>
        <v>-</v>
      </c>
      <c r="AB498" s="56" t="str">
        <f t="shared" si="95"/>
        <v>-</v>
      </c>
      <c r="AC498" s="56" t="str">
        <f t="shared" si="95"/>
        <v>-</v>
      </c>
      <c r="AD498" s="56" t="str">
        <f t="shared" si="95"/>
        <v>-</v>
      </c>
      <c r="AE498" s="56" t="str">
        <f t="shared" si="95"/>
        <v>-</v>
      </c>
      <c r="AF498" s="56" t="str">
        <f t="shared" si="95"/>
        <v>-</v>
      </c>
      <c r="AG498" s="56" t="str">
        <f t="shared" si="95"/>
        <v>-</v>
      </c>
      <c r="BB498" s="57" t="str">
        <f>$BB$6</f>
        <v>TRC (2020)</v>
      </c>
      <c r="BC498" s="103" t="str">
        <f>$BC$6</f>
        <v>Benefit Lookup</v>
      </c>
      <c r="BD498" s="883" t="str">
        <f>$BD$6</f>
        <v>Benefits (2019 $)</v>
      </c>
      <c r="BE498" s="334" t="str">
        <f>$BE$6</f>
        <v>Incremental Cost (2019 $)</v>
      </c>
    </row>
    <row r="499" spans="1:57" x14ac:dyDescent="0.25">
      <c r="A499" s="355"/>
      <c r="B499" s="355"/>
      <c r="C499" s="92" t="s">
        <v>2412</v>
      </c>
      <c r="D499" s="1927" t="s">
        <v>2272</v>
      </c>
      <c r="E499" s="458" t="s">
        <v>2413</v>
      </c>
      <c r="F499" s="2269">
        <f>ROUND(F506-(F507*(1-F508)),2)</f>
        <v>564.66</v>
      </c>
      <c r="G499" s="219" t="s">
        <v>2161</v>
      </c>
      <c r="H499" s="239">
        <f>VLOOKUP(G499,'CP FACTORS'!$A$3:$B$38, 2, FALSE)</f>
        <v>1.286107E-4</v>
      </c>
      <c r="I499" s="2015">
        <f t="shared" ref="I499:I500" si="96">ROUND(F499*H499,6)</f>
        <v>7.2621000000000005E-2</v>
      </c>
      <c r="J499" s="219">
        <f>F521</f>
        <v>6</v>
      </c>
      <c r="K499" s="1535">
        <f>F523</f>
        <v>753</v>
      </c>
      <c r="L499" s="1551" t="s">
        <v>37</v>
      </c>
      <c r="O499" s="763"/>
      <c r="P499" s="763"/>
      <c r="Q499" s="763"/>
      <c r="R499" s="763"/>
      <c r="V499" s="245" t="str">
        <f>F498</f>
        <v>kWh Annual Savings</v>
      </c>
      <c r="W499" s="1544">
        <v>564.66038920276219</v>
      </c>
      <c r="X499" s="1544">
        <v>564.66038920276219</v>
      </c>
      <c r="Y499" s="1493">
        <v>564.66</v>
      </c>
      <c r="Z499" s="1544"/>
      <c r="AA499" s="1544"/>
      <c r="AB499" s="1544"/>
      <c r="AC499" s="1544"/>
      <c r="AD499" s="1544"/>
      <c r="AE499" s="1544"/>
      <c r="AF499" s="1544"/>
      <c r="AG499" s="1544"/>
      <c r="BB499" s="68">
        <f>(BD499+BD500)/(BE499+BE500)</f>
        <v>0.18847747808723556</v>
      </c>
      <c r="BC499" s="69" t="str">
        <f t="shared" ref="BC499:BC500" si="97">CONCATENATE(G499," ",J499," Year EUL")</f>
        <v>Refrigeration RES 6 Year EUL</v>
      </c>
      <c r="BD499" s="162">
        <f>(INDEX('Avoided Cost Benefits'!$C$4:$C$857,MATCH(BC499,'Avoided Cost Benefits'!$A$4:$A$857,0)))*F499</f>
        <v>117.12499089042501</v>
      </c>
      <c r="BE499" s="70">
        <f t="shared" ref="BE499:BE500" si="98">K499/(1.0595^(2020-2019))</f>
        <v>710.71260028315237</v>
      </c>
    </row>
    <row r="500" spans="1:57" ht="30" x14ac:dyDescent="0.25">
      <c r="A500" s="355"/>
      <c r="B500" s="355"/>
      <c r="C500" s="92" t="s">
        <v>2412</v>
      </c>
      <c r="D500" s="1927" t="s">
        <v>2272</v>
      </c>
      <c r="E500" s="458" t="s">
        <v>2414</v>
      </c>
      <c r="F500" s="2323">
        <f>ROUND(F509-(F507*(1-F508)),2)</f>
        <v>46.72</v>
      </c>
      <c r="G500" s="219" t="s">
        <v>2163</v>
      </c>
      <c r="H500" s="239">
        <f>VLOOKUP(G500,'CP FACTORS'!$A$3:$B$38, 2, FALSE)</f>
        <v>1.286107E-4</v>
      </c>
      <c r="I500" s="2015">
        <f t="shared" si="96"/>
        <v>6.0089999999999996E-3</v>
      </c>
      <c r="J500" s="219">
        <f>F522</f>
        <v>11</v>
      </c>
      <c r="K500" s="1535">
        <v>0</v>
      </c>
      <c r="L500" s="1551" t="s">
        <v>37</v>
      </c>
      <c r="O500" s="355"/>
      <c r="P500" s="355"/>
      <c r="Q500" s="355"/>
      <c r="R500" s="355"/>
      <c r="V500" s="245" t="str">
        <f>V499</f>
        <v>kWh Annual Savings</v>
      </c>
      <c r="W500" s="578">
        <v>46.722222222222229</v>
      </c>
      <c r="X500" s="578">
        <v>46.722222222222229</v>
      </c>
      <c r="Y500" s="1590">
        <v>46.72</v>
      </c>
      <c r="Z500" s="578"/>
      <c r="AA500" s="578"/>
      <c r="AB500" s="578"/>
      <c r="AC500" s="578"/>
      <c r="AD500" s="578"/>
      <c r="AE500" s="578"/>
      <c r="AF500" s="578"/>
      <c r="AG500" s="578"/>
      <c r="BB500" s="1277"/>
      <c r="BC500" s="73" t="str">
        <f t="shared" si="97"/>
        <v>Refrigeration RES ER2 11 Year EUL</v>
      </c>
      <c r="BD500" s="170">
        <f>(INDEX('Avoided Cost Benefits'!$C$4:$C$857,MATCH(BC500,'Avoided Cost Benefits'!$A$4:$A$857,0)))*F500</f>
        <v>16.828327655765037</v>
      </c>
      <c r="BE500" s="76">
        <f t="shared" si="98"/>
        <v>0</v>
      </c>
    </row>
    <row r="501" spans="1:57" hidden="1" outlineLevel="1" x14ac:dyDescent="0.25">
      <c r="A501" s="355"/>
      <c r="B501" s="355"/>
      <c r="C501" s="171"/>
      <c r="D501" s="1421"/>
      <c r="E501" s="1421"/>
      <c r="F501" s="1205"/>
      <c r="G501" s="1423"/>
      <c r="H501" s="1197"/>
      <c r="I501" s="1426"/>
      <c r="J501" s="2253"/>
      <c r="K501" s="911"/>
      <c r="M501" s="1197"/>
      <c r="N501" s="355"/>
      <c r="O501" s="355"/>
      <c r="P501" s="355"/>
      <c r="Q501" s="355"/>
      <c r="R501" s="355"/>
    </row>
    <row r="502" spans="1:57" hidden="1" outlineLevel="1" x14ac:dyDescent="0.25">
      <c r="A502" s="355"/>
      <c r="B502" s="355"/>
      <c r="C502" s="171"/>
      <c r="D502" s="259" t="s">
        <v>617</v>
      </c>
      <c r="E502" s="1421"/>
      <c r="F502" s="1205"/>
      <c r="G502" s="1423"/>
      <c r="H502" s="1197"/>
      <c r="I502" s="1426"/>
      <c r="J502" s="2253"/>
      <c r="K502" s="1426"/>
      <c r="L502" s="911"/>
      <c r="M502" s="1197"/>
      <c r="N502" s="355"/>
      <c r="O502" s="355"/>
      <c r="P502" s="355"/>
      <c r="Q502" s="355"/>
      <c r="R502" s="355"/>
    </row>
    <row r="503" spans="1:57" hidden="1" outlineLevel="1" x14ac:dyDescent="0.25">
      <c r="A503" s="355"/>
      <c r="B503" s="355"/>
      <c r="C503" s="171"/>
      <c r="D503" s="1421"/>
      <c r="E503" s="1421"/>
      <c r="F503" s="1205"/>
      <c r="G503" s="1423"/>
      <c r="H503" s="1197"/>
      <c r="I503" s="1426"/>
      <c r="J503" s="2253"/>
      <c r="K503" s="1426"/>
      <c r="L503" s="911"/>
      <c r="M503" s="1197"/>
      <c r="N503" s="355"/>
      <c r="O503" s="355"/>
      <c r="P503" s="355"/>
      <c r="Q503" s="355"/>
      <c r="R503" s="355"/>
    </row>
    <row r="504" spans="1:57" hidden="1" outlineLevel="1" x14ac:dyDescent="0.25">
      <c r="A504" s="355"/>
      <c r="B504" s="355"/>
      <c r="C504" s="171"/>
      <c r="D504" s="1421"/>
      <c r="E504" s="1421"/>
      <c r="F504" s="1339"/>
      <c r="G504" s="1423"/>
      <c r="H504" s="355"/>
      <c r="I504" s="1426"/>
      <c r="J504" s="2253"/>
      <c r="K504" s="1426"/>
      <c r="L504" s="911"/>
      <c r="M504" s="355"/>
      <c r="N504" s="355"/>
      <c r="O504" s="355"/>
      <c r="P504" s="355"/>
      <c r="Q504" s="355"/>
      <c r="R504" s="355"/>
    </row>
    <row r="505" spans="1:57" hidden="1" outlineLevel="1" x14ac:dyDescent="0.25">
      <c r="A505" s="355"/>
      <c r="B505" s="355"/>
      <c r="C505" s="1192"/>
      <c r="D505" s="1701" t="s">
        <v>618</v>
      </c>
      <c r="E505" s="1701" t="s">
        <v>619</v>
      </c>
      <c r="F505" s="1641" t="s">
        <v>620</v>
      </c>
      <c r="G505" s="2669" t="s">
        <v>670</v>
      </c>
      <c r="H505" s="2669"/>
      <c r="I505" s="1591"/>
      <c r="L505" s="2173"/>
      <c r="M505" s="2173"/>
      <c r="N505" s="2173"/>
      <c r="O505" s="2173"/>
      <c r="P505" s="2173"/>
      <c r="Q505" s="2173"/>
      <c r="R505" s="2173"/>
      <c r="S505" s="2173"/>
      <c r="V505" s="55" t="s">
        <v>27</v>
      </c>
      <c r="W505" s="56">
        <f>W$6</f>
        <v>43252</v>
      </c>
      <c r="X505" s="56">
        <f t="shared" ref="X505:AG505" si="99">X$6</f>
        <v>43465</v>
      </c>
      <c r="Y505" s="56">
        <f t="shared" si="99"/>
        <v>43800</v>
      </c>
      <c r="Z505" s="56">
        <f t="shared" si="99"/>
        <v>43862</v>
      </c>
      <c r="AA505" s="56" t="str">
        <f t="shared" si="99"/>
        <v>-</v>
      </c>
      <c r="AB505" s="56" t="str">
        <f t="shared" si="99"/>
        <v>-</v>
      </c>
      <c r="AC505" s="56" t="str">
        <f t="shared" si="99"/>
        <v>-</v>
      </c>
      <c r="AD505" s="56" t="str">
        <f t="shared" si="99"/>
        <v>-</v>
      </c>
      <c r="AE505" s="56" t="str">
        <f t="shared" si="99"/>
        <v>-</v>
      </c>
      <c r="AF505" s="56" t="str">
        <f t="shared" si="99"/>
        <v>-</v>
      </c>
      <c r="AG505" s="56" t="str">
        <f t="shared" si="99"/>
        <v>-</v>
      </c>
    </row>
    <row r="506" spans="1:57" ht="18" hidden="1" outlineLevel="1" x14ac:dyDescent="0.35">
      <c r="A506" s="355"/>
      <c r="B506" s="355"/>
      <c r="C506" s="1192"/>
      <c r="D506" s="1306" t="s">
        <v>2415</v>
      </c>
      <c r="E506" s="1278" t="s">
        <v>2167</v>
      </c>
      <c r="F506" s="761">
        <f>SUMPRODUCT(F509:F514, F515:F520)/SUM(F515:F520)</f>
        <v>985.16038920276219</v>
      </c>
      <c r="G506" s="2986"/>
      <c r="H506" s="2986"/>
      <c r="I506" s="1591"/>
      <c r="L506" s="2173"/>
      <c r="M506" s="2173"/>
      <c r="N506" s="2173"/>
      <c r="O506" s="2173"/>
      <c r="P506" s="2173"/>
      <c r="Q506" s="2173"/>
      <c r="R506" s="2173"/>
      <c r="S506" s="2173"/>
      <c r="V506" s="1306" t="str">
        <f>D506</f>
        <v>kWhBase</v>
      </c>
      <c r="W506" s="761">
        <v>985.16038920276219</v>
      </c>
      <c r="X506" s="761">
        <v>985.16038920276219</v>
      </c>
      <c r="Y506" s="761">
        <v>985.16038920276219</v>
      </c>
      <c r="Z506" s="1592"/>
      <c r="AA506" s="1592"/>
      <c r="AB506" s="1592"/>
      <c r="AC506" s="1592"/>
      <c r="AD506" s="1592"/>
      <c r="AE506" s="1592"/>
      <c r="AF506" s="1592"/>
      <c r="AG506" s="1592"/>
    </row>
    <row r="507" spans="1:57" ht="18" hidden="1" outlineLevel="1" x14ac:dyDescent="0.35">
      <c r="A507" s="355"/>
      <c r="B507" s="355"/>
      <c r="C507" s="1192"/>
      <c r="D507" s="1306" t="s">
        <v>2416</v>
      </c>
      <c r="E507" s="1278" t="s">
        <v>2170</v>
      </c>
      <c r="F507" s="761">
        <f>F509</f>
        <v>467.22222222222223</v>
      </c>
      <c r="G507" s="2986"/>
      <c r="H507" s="2986"/>
      <c r="I507" s="1591"/>
      <c r="L507" s="2173"/>
      <c r="M507" s="2173"/>
      <c r="N507" s="2173"/>
      <c r="O507" s="2173"/>
      <c r="P507" s="2173"/>
      <c r="Q507" s="2173"/>
      <c r="R507" s="2173"/>
      <c r="S507" s="2173"/>
      <c r="V507" s="1306" t="str">
        <f t="shared" ref="V507:V520" si="100">D507</f>
        <v>kWhnew</v>
      </c>
      <c r="W507" s="761">
        <v>467.22222222222223</v>
      </c>
      <c r="X507" s="761">
        <v>467.22222222222223</v>
      </c>
      <c r="Y507" s="761">
        <v>467.22222222222223</v>
      </c>
      <c r="Z507" s="1592"/>
      <c r="AA507" s="1592"/>
      <c r="AB507" s="1592"/>
      <c r="AC507" s="1592"/>
      <c r="AD507" s="1592"/>
      <c r="AE507" s="1592"/>
      <c r="AF507" s="1592"/>
      <c r="AG507" s="1592"/>
    </row>
    <row r="508" spans="1:57" ht="15" hidden="1" customHeight="1" outlineLevel="1" x14ac:dyDescent="0.25">
      <c r="A508" s="355"/>
      <c r="B508" s="355"/>
      <c r="C508" s="1192"/>
      <c r="D508" s="1306" t="s">
        <v>2175</v>
      </c>
      <c r="E508" s="1278" t="s">
        <v>2176</v>
      </c>
      <c r="F508" s="450">
        <v>0.1</v>
      </c>
      <c r="G508" s="2986" t="s">
        <v>1289</v>
      </c>
      <c r="H508" s="2986"/>
      <c r="I508" s="2324"/>
      <c r="J508" s="3186" t="s">
        <v>2417</v>
      </c>
      <c r="K508" s="3187"/>
      <c r="L508" s="3187"/>
      <c r="M508" s="3187"/>
      <c r="N508" s="3187"/>
      <c r="O508" s="3187"/>
      <c r="P508" s="3187"/>
      <c r="Q508" s="3187"/>
      <c r="R508" s="3187"/>
      <c r="S508" s="3187"/>
      <c r="V508" s="1306" t="str">
        <f t="shared" si="100"/>
        <v>% Savings</v>
      </c>
      <c r="W508" s="992">
        <v>0.1</v>
      </c>
      <c r="X508" s="992">
        <v>0.1</v>
      </c>
      <c r="Y508" s="992">
        <v>0.1</v>
      </c>
      <c r="Z508" s="992"/>
      <c r="AA508" s="992"/>
      <c r="AB508" s="992"/>
      <c r="AC508" s="992"/>
      <c r="AD508" s="992"/>
      <c r="AE508" s="992"/>
      <c r="AF508" s="992"/>
      <c r="AG508" s="992"/>
    </row>
    <row r="509" spans="1:57" ht="18" hidden="1" customHeight="1" outlineLevel="1" x14ac:dyDescent="0.35">
      <c r="A509" s="355"/>
      <c r="B509" s="355"/>
      <c r="C509" s="1192"/>
      <c r="D509" s="1306" t="s">
        <v>2418</v>
      </c>
      <c r="E509" s="1306" t="s">
        <v>2182</v>
      </c>
      <c r="F509" s="1495">
        <f t="shared" ref="F509:F514" si="101">AVERAGE(K509:S509)</f>
        <v>467.22222222222223</v>
      </c>
      <c r="G509" s="2986" t="s">
        <v>2419</v>
      </c>
      <c r="H509" s="2986"/>
      <c r="I509" s="2324"/>
      <c r="J509" s="1594" t="s">
        <v>2183</v>
      </c>
      <c r="K509" s="1381">
        <v>483</v>
      </c>
      <c r="L509" s="1381">
        <v>592</v>
      </c>
      <c r="M509" s="1381">
        <v>592</v>
      </c>
      <c r="N509" s="1381">
        <v>592</v>
      </c>
      <c r="O509" s="1381">
        <v>374</v>
      </c>
      <c r="P509" s="1381">
        <v>374</v>
      </c>
      <c r="Q509" s="1381">
        <v>374</v>
      </c>
      <c r="R509" s="1381">
        <v>412</v>
      </c>
      <c r="S509" s="1381">
        <v>412</v>
      </c>
      <c r="V509" s="1306" t="str">
        <f t="shared" si="100"/>
        <v>kWh2011-2015</v>
      </c>
      <c r="W509" s="1593">
        <v>467.22222222222223</v>
      </c>
      <c r="X509" s="1593">
        <v>467.22222222222223</v>
      </c>
      <c r="Y509" s="1593">
        <v>467.22222222222223</v>
      </c>
      <c r="Z509" s="1593"/>
      <c r="AA509" s="1593"/>
      <c r="AB509" s="1593"/>
      <c r="AC509" s="1593"/>
      <c r="AD509" s="1593"/>
      <c r="AE509" s="1593"/>
      <c r="AF509" s="1593"/>
      <c r="AG509" s="1593"/>
    </row>
    <row r="510" spans="1:57" ht="31.5" hidden="1" customHeight="1" outlineLevel="1" x14ac:dyDescent="0.35">
      <c r="A510" s="355"/>
      <c r="B510" s="355"/>
      <c r="C510" s="1192"/>
      <c r="D510" s="1306" t="s">
        <v>2420</v>
      </c>
      <c r="E510" s="1306" t="s">
        <v>2184</v>
      </c>
      <c r="F510" s="1495">
        <f t="shared" si="101"/>
        <v>651</v>
      </c>
      <c r="G510" s="2986" t="s">
        <v>2419</v>
      </c>
      <c r="H510" s="2986"/>
      <c r="I510" s="2324"/>
      <c r="J510" s="1594" t="s">
        <v>2185</v>
      </c>
      <c r="K510" s="1381">
        <v>724</v>
      </c>
      <c r="L510" s="1381">
        <v>747</v>
      </c>
      <c r="M510" s="1381">
        <v>747</v>
      </c>
      <c r="N510" s="1381">
        <v>747</v>
      </c>
      <c r="O510" s="1381">
        <v>556</v>
      </c>
      <c r="P510" s="1381">
        <v>556</v>
      </c>
      <c r="Q510" s="1381">
        <v>556</v>
      </c>
      <c r="R510" s="1381">
        <v>613</v>
      </c>
      <c r="S510" s="1381">
        <v>613</v>
      </c>
      <c r="V510" s="1306" t="str">
        <f t="shared" si="100"/>
        <v>kWh2001(after July)-2010</v>
      </c>
      <c r="W510" s="1593">
        <v>651</v>
      </c>
      <c r="X510" s="1593">
        <v>651</v>
      </c>
      <c r="Y510" s="1593">
        <v>651</v>
      </c>
      <c r="Z510" s="1593"/>
      <c r="AA510" s="1593"/>
      <c r="AB510" s="1593"/>
      <c r="AC510" s="1593"/>
      <c r="AD510" s="1593"/>
      <c r="AE510" s="1593"/>
      <c r="AF510" s="1593"/>
      <c r="AG510" s="1593"/>
    </row>
    <row r="511" spans="1:57" ht="31.5" hidden="1" customHeight="1" outlineLevel="1" x14ac:dyDescent="0.35">
      <c r="A511" s="355"/>
      <c r="B511" s="355"/>
      <c r="C511" s="1192"/>
      <c r="D511" s="1306" t="s">
        <v>2421</v>
      </c>
      <c r="E511" s="1306" t="s">
        <v>2186</v>
      </c>
      <c r="F511" s="1495">
        <f t="shared" si="101"/>
        <v>987.33333333333337</v>
      </c>
      <c r="G511" s="2986" t="s">
        <v>2419</v>
      </c>
      <c r="H511" s="2986"/>
      <c r="I511" s="2324"/>
      <c r="J511" s="1594" t="s">
        <v>2187</v>
      </c>
      <c r="K511" s="1381">
        <v>962</v>
      </c>
      <c r="L511" s="1381">
        <v>1139</v>
      </c>
      <c r="M511" s="1381">
        <v>1139</v>
      </c>
      <c r="N511" s="1381">
        <v>1139</v>
      </c>
      <c r="O511" s="1381">
        <v>861</v>
      </c>
      <c r="P511" s="1381">
        <v>861</v>
      </c>
      <c r="Q511" s="1381">
        <v>861</v>
      </c>
      <c r="R511" s="1381">
        <v>962</v>
      </c>
      <c r="S511" s="1381">
        <v>962</v>
      </c>
      <c r="V511" s="1306" t="str">
        <f t="shared" si="100"/>
        <v>kWh1993-2001(before June)</v>
      </c>
      <c r="W511" s="1593">
        <v>987.33333333333337</v>
      </c>
      <c r="X511" s="1593">
        <v>987.33333333333337</v>
      </c>
      <c r="Y511" s="1593">
        <v>987.33333333333337</v>
      </c>
      <c r="Z511" s="1593"/>
      <c r="AA511" s="1593"/>
      <c r="AB511" s="1593"/>
      <c r="AC511" s="1593"/>
      <c r="AD511" s="1593"/>
      <c r="AE511" s="1593"/>
      <c r="AF511" s="1593"/>
      <c r="AG511" s="1593"/>
    </row>
    <row r="512" spans="1:57" ht="18" hidden="1" customHeight="1" outlineLevel="1" x14ac:dyDescent="0.35">
      <c r="A512" s="355"/>
      <c r="B512" s="355"/>
      <c r="C512" s="1192"/>
      <c r="D512" s="1306" t="s">
        <v>2422</v>
      </c>
      <c r="E512" s="1306" t="s">
        <v>2188</v>
      </c>
      <c r="F512" s="1495">
        <f t="shared" si="101"/>
        <v>1450</v>
      </c>
      <c r="G512" s="2986" t="s">
        <v>2419</v>
      </c>
      <c r="H512" s="2986"/>
      <c r="I512" s="2324"/>
      <c r="J512" s="1594" t="s">
        <v>2189</v>
      </c>
      <c r="K512" s="1542">
        <v>1519</v>
      </c>
      <c r="L512" s="1542">
        <v>1617</v>
      </c>
      <c r="M512" s="1542">
        <v>1617</v>
      </c>
      <c r="N512" s="1542">
        <v>1617</v>
      </c>
      <c r="O512" s="1542">
        <v>1272</v>
      </c>
      <c r="P512" s="1542">
        <v>1272</v>
      </c>
      <c r="Q512" s="1542">
        <v>1272</v>
      </c>
      <c r="R512" s="1542">
        <v>1432</v>
      </c>
      <c r="S512" s="1542">
        <v>1432</v>
      </c>
      <c r="V512" s="1306" t="str">
        <f t="shared" si="100"/>
        <v>kWh1990-1992</v>
      </c>
      <c r="W512" s="1593">
        <v>1450</v>
      </c>
      <c r="X512" s="1593">
        <v>1450</v>
      </c>
      <c r="Y512" s="1593">
        <v>1450</v>
      </c>
      <c r="Z512" s="1593"/>
      <c r="AA512" s="1593"/>
      <c r="AB512" s="1593"/>
      <c r="AC512" s="1593"/>
      <c r="AD512" s="1593"/>
      <c r="AE512" s="1593"/>
      <c r="AF512" s="1593"/>
      <c r="AG512" s="1593"/>
    </row>
    <row r="513" spans="1:54" ht="18" hidden="1" customHeight="1" outlineLevel="1" x14ac:dyDescent="0.35">
      <c r="A513" s="355"/>
      <c r="B513" s="355"/>
      <c r="C513" s="1192"/>
      <c r="D513" s="1306" t="s">
        <v>2423</v>
      </c>
      <c r="E513" s="1306" t="s">
        <v>2190</v>
      </c>
      <c r="F513" s="1495">
        <f t="shared" si="101"/>
        <v>1900.7777777777778</v>
      </c>
      <c r="G513" s="2986" t="s">
        <v>2419</v>
      </c>
      <c r="H513" s="2986"/>
      <c r="I513" s="2324"/>
      <c r="J513" s="1594" t="s">
        <v>2191</v>
      </c>
      <c r="K513" s="1381">
        <v>1992</v>
      </c>
      <c r="L513" s="1381">
        <v>2119</v>
      </c>
      <c r="M513" s="1381">
        <v>2119</v>
      </c>
      <c r="N513" s="1381">
        <v>2119</v>
      </c>
      <c r="O513" s="1381">
        <v>1668</v>
      </c>
      <c r="P513" s="1381">
        <v>1668</v>
      </c>
      <c r="Q513" s="1381">
        <v>1668</v>
      </c>
      <c r="R513" s="1381">
        <v>1877</v>
      </c>
      <c r="S513" s="1381">
        <v>1877</v>
      </c>
      <c r="V513" s="1306" t="str">
        <f t="shared" si="100"/>
        <v>kWh1980-1989</v>
      </c>
      <c r="W513" s="1593">
        <v>1900.7777777777778</v>
      </c>
      <c r="X513" s="1593">
        <v>1900.7777777777778</v>
      </c>
      <c r="Y513" s="1593">
        <v>1900.7777777777778</v>
      </c>
      <c r="Z513" s="1593"/>
      <c r="AA513" s="1593"/>
      <c r="AB513" s="1593"/>
      <c r="AC513" s="1593"/>
      <c r="AD513" s="1593"/>
      <c r="AE513" s="1593"/>
      <c r="AF513" s="1593"/>
      <c r="AG513" s="1593"/>
    </row>
    <row r="514" spans="1:54" ht="18" hidden="1" customHeight="1" outlineLevel="1" x14ac:dyDescent="0.35">
      <c r="A514" s="355"/>
      <c r="B514" s="355"/>
      <c r="C514" s="1192"/>
      <c r="D514" s="1306" t="s">
        <v>2424</v>
      </c>
      <c r="E514" s="1306" t="s">
        <v>2192</v>
      </c>
      <c r="F514" s="1495">
        <f t="shared" si="101"/>
        <v>2444.125</v>
      </c>
      <c r="G514" s="2986" t="s">
        <v>2419</v>
      </c>
      <c r="H514" s="2986"/>
      <c r="I514" s="2324"/>
      <c r="J514" s="1594" t="s">
        <v>2193</v>
      </c>
      <c r="K514" s="1542">
        <v>2523</v>
      </c>
      <c r="L514" s="1542">
        <v>2684</v>
      </c>
      <c r="M514" s="1542">
        <v>2684</v>
      </c>
      <c r="N514" s="1542">
        <v>2684</v>
      </c>
      <c r="O514" s="1542"/>
      <c r="P514" s="1542">
        <v>2112</v>
      </c>
      <c r="Q514" s="1542">
        <v>2112</v>
      </c>
      <c r="R514" s="1542">
        <v>2377</v>
      </c>
      <c r="S514" s="1542">
        <v>2377</v>
      </c>
      <c r="V514" s="1306" t="str">
        <f t="shared" si="100"/>
        <v>kWhbefore 1980</v>
      </c>
      <c r="W514" s="1593">
        <v>2444.125</v>
      </c>
      <c r="X514" s="1593">
        <v>2444.125</v>
      </c>
      <c r="Y514" s="1593">
        <v>2444.125</v>
      </c>
      <c r="Z514" s="1593"/>
      <c r="AA514" s="1593"/>
      <c r="AB514" s="1593"/>
      <c r="AC514" s="1593"/>
      <c r="AD514" s="1593"/>
      <c r="AE514" s="1593"/>
      <c r="AF514" s="1593"/>
      <c r="AG514" s="1593"/>
    </row>
    <row r="515" spans="1:54" ht="18" hidden="1" customHeight="1" outlineLevel="1" x14ac:dyDescent="0.35">
      <c r="A515" s="355"/>
      <c r="B515" s="355"/>
      <c r="C515" s="1192"/>
      <c r="D515" s="1306" t="s">
        <v>2425</v>
      </c>
      <c r="E515" s="1306" t="s">
        <v>2194</v>
      </c>
      <c r="F515" s="1500">
        <v>0</v>
      </c>
      <c r="G515" s="2986" t="s">
        <v>2419</v>
      </c>
      <c r="H515" s="2986"/>
      <c r="I515" s="2325"/>
      <c r="J515" s="2325"/>
      <c r="K515" s="2325"/>
      <c r="L515" s="2325"/>
      <c r="M515" s="2325"/>
      <c r="N515" s="2325"/>
      <c r="O515" s="2325"/>
      <c r="P515" s="2325"/>
      <c r="Q515" s="2325"/>
      <c r="R515" s="2325"/>
      <c r="S515" s="2173"/>
      <c r="T515" s="2173"/>
      <c r="U515" s="2173"/>
      <c r="V515" s="1306" t="str">
        <f t="shared" si="100"/>
        <v>Number of Units2011-2015</v>
      </c>
      <c r="W515" s="1595">
        <v>0</v>
      </c>
      <c r="X515" s="1595">
        <v>0</v>
      </c>
      <c r="Y515" s="1595">
        <v>0</v>
      </c>
      <c r="Z515" s="1595"/>
      <c r="AA515" s="1595"/>
      <c r="AB515" s="1595"/>
      <c r="AC515" s="1595"/>
      <c r="AD515" s="1595"/>
      <c r="AE515" s="1595"/>
      <c r="AF515" s="1595"/>
      <c r="AG515" s="1595"/>
    </row>
    <row r="516" spans="1:54" ht="33" hidden="1" outlineLevel="1" x14ac:dyDescent="0.35">
      <c r="A516" s="355"/>
      <c r="B516" s="355"/>
      <c r="C516" s="1192"/>
      <c r="D516" s="1306" t="s">
        <v>2426</v>
      </c>
      <c r="E516" s="1306" t="s">
        <v>2195</v>
      </c>
      <c r="F516" s="1500">
        <v>65</v>
      </c>
      <c r="G516" s="2986" t="s">
        <v>2419</v>
      </c>
      <c r="H516" s="2986"/>
      <c r="I516" s="2173"/>
      <c r="J516" s="2173"/>
      <c r="K516" s="2173"/>
      <c r="L516" s="2173"/>
      <c r="M516" s="2173"/>
      <c r="N516" s="2173"/>
      <c r="O516" s="2173"/>
      <c r="P516" s="2173"/>
      <c r="Q516" s="2173"/>
      <c r="R516" s="2173"/>
      <c r="V516" s="1306" t="str">
        <f t="shared" si="100"/>
        <v>Number of Units2001(after July)-2010</v>
      </c>
      <c r="W516" s="1595">
        <v>65</v>
      </c>
      <c r="X516" s="1595">
        <v>65</v>
      </c>
      <c r="Y516" s="1595">
        <v>65</v>
      </c>
      <c r="Z516" s="1595"/>
      <c r="AA516" s="1595"/>
      <c r="AB516" s="1595"/>
      <c r="AC516" s="1595"/>
      <c r="AD516" s="1595"/>
      <c r="AE516" s="1595"/>
      <c r="AF516" s="1595"/>
      <c r="AG516" s="1595"/>
    </row>
    <row r="517" spans="1:54" ht="36" hidden="1" outlineLevel="1" x14ac:dyDescent="0.35">
      <c r="A517" s="355"/>
      <c r="B517" s="355"/>
      <c r="C517" s="1192"/>
      <c r="D517" s="1306" t="s">
        <v>2427</v>
      </c>
      <c r="E517" s="1306" t="s">
        <v>2196</v>
      </c>
      <c r="F517" s="1500">
        <v>259</v>
      </c>
      <c r="G517" s="2986" t="s">
        <v>2419</v>
      </c>
      <c r="H517" s="2986"/>
      <c r="I517" s="2173"/>
      <c r="J517" s="2173"/>
      <c r="K517" s="2173"/>
      <c r="L517" s="2173"/>
      <c r="M517" s="2173"/>
      <c r="N517" s="2173"/>
      <c r="O517" s="2173"/>
      <c r="P517" s="2173"/>
      <c r="Q517" s="2173"/>
      <c r="R517" s="2173"/>
      <c r="V517" s="1306" t="str">
        <f t="shared" si="100"/>
        <v>Number of Units1993-2001(before June)</v>
      </c>
      <c r="W517" s="1595">
        <v>259</v>
      </c>
      <c r="X517" s="1595">
        <v>259</v>
      </c>
      <c r="Y517" s="1595">
        <v>259</v>
      </c>
      <c r="Z517" s="1595"/>
      <c r="AA517" s="1595"/>
      <c r="AB517" s="1595"/>
      <c r="AC517" s="1595"/>
      <c r="AD517" s="1595"/>
      <c r="AE517" s="1595"/>
      <c r="AF517" s="1595"/>
      <c r="AG517" s="1595"/>
    </row>
    <row r="518" spans="1:54" ht="18" hidden="1" customHeight="1" outlineLevel="1" x14ac:dyDescent="0.35">
      <c r="A518" s="355"/>
      <c r="B518" s="355"/>
      <c r="C518" s="1192"/>
      <c r="D518" s="1306" t="s">
        <v>2428</v>
      </c>
      <c r="E518" s="1306" t="s">
        <v>2197</v>
      </c>
      <c r="F518" s="1500">
        <v>14</v>
      </c>
      <c r="G518" s="2986" t="s">
        <v>2419</v>
      </c>
      <c r="H518" s="2986"/>
      <c r="I518" s="2173"/>
      <c r="J518" s="2173"/>
      <c r="K518" s="2173"/>
      <c r="L518" s="2173"/>
      <c r="M518" s="2173"/>
      <c r="N518" s="2173"/>
      <c r="O518" s="2173"/>
      <c r="P518" s="2173"/>
      <c r="Q518" s="2173"/>
      <c r="R518" s="2173"/>
      <c r="V518" s="1306" t="str">
        <f t="shared" si="100"/>
        <v>Number of Units1990-1992</v>
      </c>
      <c r="W518" s="1595">
        <v>14</v>
      </c>
      <c r="X518" s="1595">
        <v>14</v>
      </c>
      <c r="Y518" s="1595">
        <v>14</v>
      </c>
      <c r="Z518" s="1595"/>
      <c r="AA518" s="1595"/>
      <c r="AB518" s="1595"/>
      <c r="AC518" s="1595"/>
      <c r="AD518" s="1595"/>
      <c r="AE518" s="1595"/>
      <c r="AF518" s="1595"/>
      <c r="AG518" s="1595"/>
    </row>
    <row r="519" spans="1:54" ht="18" hidden="1" customHeight="1" outlineLevel="1" x14ac:dyDescent="0.35">
      <c r="A519" s="355"/>
      <c r="B519" s="355"/>
      <c r="C519" s="1192"/>
      <c r="D519" s="1306" t="s">
        <v>2429</v>
      </c>
      <c r="E519" s="1306" t="s">
        <v>2198</v>
      </c>
      <c r="F519" s="1500">
        <v>16</v>
      </c>
      <c r="G519" s="2986" t="s">
        <v>2419</v>
      </c>
      <c r="H519" s="2986"/>
      <c r="I519" s="2173"/>
      <c r="J519" s="2173"/>
      <c r="K519" s="2173"/>
      <c r="L519" s="2173"/>
      <c r="M519" s="2173"/>
      <c r="N519" s="2173"/>
      <c r="O519" s="2173"/>
      <c r="P519" s="2173"/>
      <c r="Q519" s="2173"/>
      <c r="R519" s="2173"/>
      <c r="V519" s="1306" t="str">
        <f t="shared" si="100"/>
        <v>Number of Units1980-1989</v>
      </c>
      <c r="W519" s="1595">
        <v>16</v>
      </c>
      <c r="X519" s="1595">
        <v>16</v>
      </c>
      <c r="Y519" s="1595">
        <v>16</v>
      </c>
      <c r="Z519" s="1595"/>
      <c r="AA519" s="1595"/>
      <c r="AB519" s="1595"/>
      <c r="AC519" s="1595"/>
      <c r="AD519" s="1595"/>
      <c r="AE519" s="1595"/>
      <c r="AF519" s="1595"/>
      <c r="AG519" s="1595"/>
    </row>
    <row r="520" spans="1:54" ht="18" hidden="1" customHeight="1" outlineLevel="1" x14ac:dyDescent="0.35">
      <c r="A520" s="355"/>
      <c r="B520" s="355"/>
      <c r="C520" s="1192"/>
      <c r="D520" s="1306" t="s">
        <v>2430</v>
      </c>
      <c r="E520" s="1306" t="s">
        <v>2199</v>
      </c>
      <c r="F520" s="1500">
        <v>0</v>
      </c>
      <c r="G520" s="2986" t="s">
        <v>2419</v>
      </c>
      <c r="H520" s="2986"/>
      <c r="I520" s="2173"/>
      <c r="J520" s="2173"/>
      <c r="K520" s="2173"/>
      <c r="L520" s="2173"/>
      <c r="M520" s="2173"/>
      <c r="N520" s="2173"/>
      <c r="O520" s="2173"/>
      <c r="P520" s="2173"/>
      <c r="Q520" s="2173"/>
      <c r="R520" s="2173"/>
      <c r="V520" s="1306" t="str">
        <f t="shared" si="100"/>
        <v>Number of Unitsbefore 1980</v>
      </c>
      <c r="W520" s="1595">
        <v>0</v>
      </c>
      <c r="X520" s="1595">
        <v>0</v>
      </c>
      <c r="Y520" s="1595">
        <v>0</v>
      </c>
      <c r="Z520" s="1595"/>
      <c r="AA520" s="1595"/>
      <c r="AB520" s="1595"/>
      <c r="AC520" s="1595"/>
      <c r="AD520" s="1595"/>
      <c r="AE520" s="1595"/>
      <c r="AF520" s="1595"/>
      <c r="AG520" s="1595"/>
    </row>
    <row r="521" spans="1:54" s="328" customFormat="1" hidden="1" outlineLevel="1" x14ac:dyDescent="0.25">
      <c r="A521" s="355"/>
      <c r="B521" s="1580"/>
      <c r="C521" s="443"/>
      <c r="D521" s="3098" t="str">
        <f>D30</f>
        <v>EUL</v>
      </c>
      <c r="E521" s="3098" t="str">
        <f>E30</f>
        <v>End Useful Life</v>
      </c>
      <c r="F521" s="1500">
        <v>6</v>
      </c>
      <c r="G521" s="2986"/>
      <c r="H521" s="2986"/>
      <c r="I521" s="1494"/>
      <c r="J521" s="355"/>
      <c r="K521" s="355"/>
      <c r="L521" s="355"/>
      <c r="M521" s="355"/>
      <c r="N521" s="355"/>
      <c r="O521" s="355"/>
      <c r="P521" s="355"/>
      <c r="Q521" s="355"/>
      <c r="R521" s="355"/>
      <c r="S521" s="355"/>
      <c r="T521" s="355"/>
      <c r="U521" s="355"/>
      <c r="V521" s="3098" t="str">
        <f>V30</f>
        <v>EUL</v>
      </c>
      <c r="W521" s="1500">
        <v>6</v>
      </c>
      <c r="X521" s="1500">
        <v>6</v>
      </c>
      <c r="Y521" s="1500">
        <v>6</v>
      </c>
      <c r="Z521" s="1501"/>
      <c r="AA521" s="1501"/>
      <c r="AB521" s="1501"/>
      <c r="AC521" s="1501"/>
      <c r="AD521" s="1501"/>
      <c r="AE521" s="1501"/>
      <c r="AF521" s="1501"/>
      <c r="AG521" s="1501"/>
      <c r="AK521" s="1166"/>
      <c r="BB521" s="1159"/>
    </row>
    <row r="522" spans="1:54" s="328" customFormat="1" hidden="1" outlineLevel="1" x14ac:dyDescent="0.25">
      <c r="A522" s="355"/>
      <c r="B522" s="1580"/>
      <c r="C522" s="443"/>
      <c r="D522" s="3099"/>
      <c r="E522" s="3099"/>
      <c r="F522" s="1500">
        <v>11</v>
      </c>
      <c r="G522" s="2986"/>
      <c r="H522" s="2986"/>
      <c r="I522" s="1494"/>
      <c r="J522" s="355"/>
      <c r="K522" s="355"/>
      <c r="L522" s="355"/>
      <c r="M522" s="355"/>
      <c r="N522" s="355"/>
      <c r="O522" s="355"/>
      <c r="P522" s="355"/>
      <c r="Q522" s="355"/>
      <c r="R522" s="355"/>
      <c r="S522" s="355"/>
      <c r="T522" s="355"/>
      <c r="U522" s="355"/>
      <c r="V522" s="3099"/>
      <c r="W522" s="1500">
        <v>11</v>
      </c>
      <c r="X522" s="1500">
        <v>11</v>
      </c>
      <c r="Y522" s="1500">
        <v>11</v>
      </c>
      <c r="Z522" s="1501"/>
      <c r="AA522" s="1501"/>
      <c r="AB522" s="1501"/>
      <c r="AC522" s="1501"/>
      <c r="AD522" s="1501"/>
      <c r="AE522" s="1501"/>
      <c r="AF522" s="1501"/>
      <c r="AG522" s="1501"/>
      <c r="AK522" s="1166"/>
      <c r="BB522" s="1159"/>
    </row>
    <row r="523" spans="1:54" s="328" customFormat="1" hidden="1" outlineLevel="1" x14ac:dyDescent="0.25">
      <c r="A523" s="355"/>
      <c r="B523" s="1580"/>
      <c r="C523" s="443"/>
      <c r="D523" s="1681" t="str">
        <f>D31</f>
        <v>Inc. Cost</v>
      </c>
      <c r="E523" s="1681" t="str">
        <f>E31</f>
        <v>Incremental Cost ($)</v>
      </c>
      <c r="F523" s="700">
        <v>753</v>
      </c>
      <c r="G523" s="2986"/>
      <c r="H523" s="2986"/>
      <c r="I523" s="1494"/>
      <c r="J523" s="355"/>
      <c r="K523" s="355"/>
      <c r="L523" s="355"/>
      <c r="M523" s="355"/>
      <c r="N523" s="355"/>
      <c r="O523" s="355"/>
      <c r="P523" s="355"/>
      <c r="Q523" s="355"/>
      <c r="R523" s="355"/>
      <c r="S523" s="355"/>
      <c r="T523" s="355"/>
      <c r="U523" s="355"/>
      <c r="V523" s="1352" t="str">
        <f>V31</f>
        <v>Inc. Cost</v>
      </c>
      <c r="W523" s="700">
        <v>753</v>
      </c>
      <c r="X523" s="700">
        <v>753</v>
      </c>
      <c r="Y523" s="700">
        <v>753</v>
      </c>
      <c r="Z523" s="1502"/>
      <c r="AA523" s="1502"/>
      <c r="AB523" s="1502"/>
      <c r="AC523" s="1502"/>
      <c r="AD523" s="1502"/>
      <c r="AE523" s="1502"/>
      <c r="AF523" s="1502"/>
      <c r="AG523" s="1502"/>
      <c r="AK523" s="1166"/>
      <c r="BB523" s="1159"/>
    </row>
    <row r="524" spans="1:54" collapsed="1" x14ac:dyDescent="0.25">
      <c r="A524" s="355"/>
      <c r="B524" s="355"/>
      <c r="C524" s="1192"/>
    </row>
    <row r="525" spans="1:54" x14ac:dyDescent="0.25">
      <c r="A525" s="355"/>
      <c r="B525" s="355"/>
      <c r="C525" s="1192"/>
    </row>
  </sheetData>
  <mergeCells count="319">
    <mergeCell ref="V521:V522"/>
    <mergeCell ref="G522:H522"/>
    <mergeCell ref="G523:H523"/>
    <mergeCell ref="G518:H518"/>
    <mergeCell ref="G519:H519"/>
    <mergeCell ref="G520:H520"/>
    <mergeCell ref="D521:D522"/>
    <mergeCell ref="E521:E522"/>
    <mergeCell ref="G521:H521"/>
    <mergeCell ref="G512:H512"/>
    <mergeCell ref="G513:H513"/>
    <mergeCell ref="G514:H514"/>
    <mergeCell ref="G515:H515"/>
    <mergeCell ref="G516:H516"/>
    <mergeCell ref="G517:H517"/>
    <mergeCell ref="G507:H507"/>
    <mergeCell ref="G508:H508"/>
    <mergeCell ref="J508:S508"/>
    <mergeCell ref="G509:H509"/>
    <mergeCell ref="G510:H510"/>
    <mergeCell ref="G511:H511"/>
    <mergeCell ref="B460:Q460"/>
    <mergeCell ref="V460:AI460"/>
    <mergeCell ref="B496:Q496"/>
    <mergeCell ref="V496:AI496"/>
    <mergeCell ref="G505:H505"/>
    <mergeCell ref="G506:H506"/>
    <mergeCell ref="F425:I425"/>
    <mergeCell ref="B428:Q428"/>
    <mergeCell ref="V428:AI428"/>
    <mergeCell ref="E455:F455"/>
    <mergeCell ref="E456:F456"/>
    <mergeCell ref="E457:F457"/>
    <mergeCell ref="G399:H399"/>
    <mergeCell ref="I399:K399"/>
    <mergeCell ref="B402:Q402"/>
    <mergeCell ref="V402:AI402"/>
    <mergeCell ref="H417:I417"/>
    <mergeCell ref="F424:I424"/>
    <mergeCell ref="G396:H396"/>
    <mergeCell ref="I396:K396"/>
    <mergeCell ref="G397:H397"/>
    <mergeCell ref="I397:K397"/>
    <mergeCell ref="G398:H398"/>
    <mergeCell ref="I398:K398"/>
    <mergeCell ref="G393:H393"/>
    <mergeCell ref="I393:K393"/>
    <mergeCell ref="G394:H394"/>
    <mergeCell ref="I394:K394"/>
    <mergeCell ref="G395:H395"/>
    <mergeCell ref="I395:K395"/>
    <mergeCell ref="G390:H390"/>
    <mergeCell ref="I390:K390"/>
    <mergeCell ref="G391:H391"/>
    <mergeCell ref="I391:K391"/>
    <mergeCell ref="G392:H392"/>
    <mergeCell ref="I392:K392"/>
    <mergeCell ref="G387:H387"/>
    <mergeCell ref="I387:K387"/>
    <mergeCell ref="G388:H388"/>
    <mergeCell ref="I388:K388"/>
    <mergeCell ref="G389:H389"/>
    <mergeCell ref="I389:K389"/>
    <mergeCell ref="G384:H384"/>
    <mergeCell ref="I384:K384"/>
    <mergeCell ref="G385:H385"/>
    <mergeCell ref="I385:K385"/>
    <mergeCell ref="G386:H386"/>
    <mergeCell ref="I386:K386"/>
    <mergeCell ref="G381:H381"/>
    <mergeCell ref="I381:K381"/>
    <mergeCell ref="G382:H382"/>
    <mergeCell ref="I382:K382"/>
    <mergeCell ref="G383:H383"/>
    <mergeCell ref="I383:K383"/>
    <mergeCell ref="B367:Q367"/>
    <mergeCell ref="V367:AI367"/>
    <mergeCell ref="G379:H379"/>
    <mergeCell ref="I379:K379"/>
    <mergeCell ref="G380:H380"/>
    <mergeCell ref="I380:K380"/>
    <mergeCell ref="G362:H362"/>
    <mergeCell ref="I362:K362"/>
    <mergeCell ref="G363:H363"/>
    <mergeCell ref="I363:K363"/>
    <mergeCell ref="G364:H364"/>
    <mergeCell ref="I364:K364"/>
    <mergeCell ref="G359:H359"/>
    <mergeCell ref="I359:K359"/>
    <mergeCell ref="G360:H360"/>
    <mergeCell ref="I360:K360"/>
    <mergeCell ref="G361:H361"/>
    <mergeCell ref="I361:K361"/>
    <mergeCell ref="G356:H356"/>
    <mergeCell ref="I356:K356"/>
    <mergeCell ref="G357:H357"/>
    <mergeCell ref="I357:K357"/>
    <mergeCell ref="G358:H358"/>
    <mergeCell ref="I358:K358"/>
    <mergeCell ref="G353:H353"/>
    <mergeCell ref="I353:K353"/>
    <mergeCell ref="G354:H354"/>
    <mergeCell ref="I354:K354"/>
    <mergeCell ref="G355:H355"/>
    <mergeCell ref="I355:K355"/>
    <mergeCell ref="G350:H350"/>
    <mergeCell ref="I350:K350"/>
    <mergeCell ref="G351:H351"/>
    <mergeCell ref="I351:K351"/>
    <mergeCell ref="G352:H352"/>
    <mergeCell ref="I352:K352"/>
    <mergeCell ref="G347:H347"/>
    <mergeCell ref="I347:K347"/>
    <mergeCell ref="G348:H348"/>
    <mergeCell ref="I348:K348"/>
    <mergeCell ref="G349:H349"/>
    <mergeCell ref="I349:K349"/>
    <mergeCell ref="B333:Q333"/>
    <mergeCell ref="V333:AI333"/>
    <mergeCell ref="G345:H345"/>
    <mergeCell ref="I345:J345"/>
    <mergeCell ref="G346:H346"/>
    <mergeCell ref="I346:K346"/>
    <mergeCell ref="G328:H328"/>
    <mergeCell ref="I328:K328"/>
    <mergeCell ref="G329:H329"/>
    <mergeCell ref="I329:K329"/>
    <mergeCell ref="G330:H330"/>
    <mergeCell ref="I330:K330"/>
    <mergeCell ref="G325:H325"/>
    <mergeCell ref="I325:K325"/>
    <mergeCell ref="G326:H326"/>
    <mergeCell ref="I326:K326"/>
    <mergeCell ref="G327:H327"/>
    <mergeCell ref="I327:K327"/>
    <mergeCell ref="G322:H322"/>
    <mergeCell ref="I322:K322"/>
    <mergeCell ref="G323:H323"/>
    <mergeCell ref="I323:K323"/>
    <mergeCell ref="G324:H324"/>
    <mergeCell ref="I324:K324"/>
    <mergeCell ref="G319:H319"/>
    <mergeCell ref="I319:K319"/>
    <mergeCell ref="G320:H320"/>
    <mergeCell ref="I320:K320"/>
    <mergeCell ref="G321:H321"/>
    <mergeCell ref="I321:K321"/>
    <mergeCell ref="G316:H316"/>
    <mergeCell ref="I316:K316"/>
    <mergeCell ref="G317:H317"/>
    <mergeCell ref="I317:K317"/>
    <mergeCell ref="G318:H318"/>
    <mergeCell ref="I318:K318"/>
    <mergeCell ref="G313:H313"/>
    <mergeCell ref="I313:K313"/>
    <mergeCell ref="G314:H314"/>
    <mergeCell ref="I314:K314"/>
    <mergeCell ref="G315:H315"/>
    <mergeCell ref="I315:K315"/>
    <mergeCell ref="B298:Q298"/>
    <mergeCell ref="V298:AI298"/>
    <mergeCell ref="G311:H311"/>
    <mergeCell ref="I311:K311"/>
    <mergeCell ref="G312:H312"/>
    <mergeCell ref="I312:K312"/>
    <mergeCell ref="V283:V295"/>
    <mergeCell ref="G284:H284"/>
    <mergeCell ref="G285:H285"/>
    <mergeCell ref="G286:H286"/>
    <mergeCell ref="G287:H287"/>
    <mergeCell ref="G288:H288"/>
    <mergeCell ref="G289:H289"/>
    <mergeCell ref="G290:H290"/>
    <mergeCell ref="G291:H291"/>
    <mergeCell ref="G292:H292"/>
    <mergeCell ref="G280:H280"/>
    <mergeCell ref="G281:H281"/>
    <mergeCell ref="G282:H282"/>
    <mergeCell ref="D283:D295"/>
    <mergeCell ref="E283:E295"/>
    <mergeCell ref="G283:H283"/>
    <mergeCell ref="G293:H293"/>
    <mergeCell ref="G294:H294"/>
    <mergeCell ref="G295:H295"/>
    <mergeCell ref="G274:H274"/>
    <mergeCell ref="G275:H275"/>
    <mergeCell ref="G276:H276"/>
    <mergeCell ref="G277:H277"/>
    <mergeCell ref="G278:H278"/>
    <mergeCell ref="G279:H279"/>
    <mergeCell ref="G261:H261"/>
    <mergeCell ref="G262:H262"/>
    <mergeCell ref="G263:H263"/>
    <mergeCell ref="G264:H264"/>
    <mergeCell ref="G265:H265"/>
    <mergeCell ref="G273:H273"/>
    <mergeCell ref="G248:H248"/>
    <mergeCell ref="G249:H249"/>
    <mergeCell ref="G250:H250"/>
    <mergeCell ref="G251:H251"/>
    <mergeCell ref="G252:H252"/>
    <mergeCell ref="G260:H260"/>
    <mergeCell ref="D217:D218"/>
    <mergeCell ref="E217:E218"/>
    <mergeCell ref="F217:H217"/>
    <mergeCell ref="V217:V218"/>
    <mergeCell ref="F218:H218"/>
    <mergeCell ref="B221:Q221"/>
    <mergeCell ref="V221:AI221"/>
    <mergeCell ref="D215:D216"/>
    <mergeCell ref="E215:E216"/>
    <mergeCell ref="F215:H215"/>
    <mergeCell ref="O215:P215"/>
    <mergeCell ref="V215:V216"/>
    <mergeCell ref="F216:H216"/>
    <mergeCell ref="D213:D214"/>
    <mergeCell ref="E213:E214"/>
    <mergeCell ref="F213:H213"/>
    <mergeCell ref="O213:P213"/>
    <mergeCell ref="V213:V214"/>
    <mergeCell ref="F214:H214"/>
    <mergeCell ref="O214:P214"/>
    <mergeCell ref="V210:V211"/>
    <mergeCell ref="F211:H211"/>
    <mergeCell ref="J211:K211"/>
    <mergeCell ref="O211:Q211"/>
    <mergeCell ref="F212:H212"/>
    <mergeCell ref="J212:K213"/>
    <mergeCell ref="O212:P212"/>
    <mergeCell ref="F208:H208"/>
    <mergeCell ref="J208:K209"/>
    <mergeCell ref="F209:H209"/>
    <mergeCell ref="D210:D211"/>
    <mergeCell ref="E210:E211"/>
    <mergeCell ref="F210:H210"/>
    <mergeCell ref="J210:K210"/>
    <mergeCell ref="F205:H205"/>
    <mergeCell ref="J205:K205"/>
    <mergeCell ref="O205:P205"/>
    <mergeCell ref="F206:H206"/>
    <mergeCell ref="F207:H207"/>
    <mergeCell ref="O207:P207"/>
    <mergeCell ref="F201:H201"/>
    <mergeCell ref="F202:H202"/>
    <mergeCell ref="D203:D204"/>
    <mergeCell ref="E203:E204"/>
    <mergeCell ref="F203:H203"/>
    <mergeCell ref="V203:V204"/>
    <mergeCell ref="F204:H204"/>
    <mergeCell ref="D198:D199"/>
    <mergeCell ref="E198:E199"/>
    <mergeCell ref="F198:H198"/>
    <mergeCell ref="V198:V199"/>
    <mergeCell ref="F199:H199"/>
    <mergeCell ref="F200:H200"/>
    <mergeCell ref="J200:K200"/>
    <mergeCell ref="D178:D179"/>
    <mergeCell ref="V178:V179"/>
    <mergeCell ref="B185:Q185"/>
    <mergeCell ref="V185:AI185"/>
    <mergeCell ref="D192:L195"/>
    <mergeCell ref="F197:H197"/>
    <mergeCell ref="D145:D154"/>
    <mergeCell ref="V145:V154"/>
    <mergeCell ref="B157:Q157"/>
    <mergeCell ref="V157:AI157"/>
    <mergeCell ref="D164:L167"/>
    <mergeCell ref="D172:D173"/>
    <mergeCell ref="V172:V173"/>
    <mergeCell ref="G145:G154"/>
    <mergeCell ref="D111:D120"/>
    <mergeCell ref="V111:V120"/>
    <mergeCell ref="D124:D133"/>
    <mergeCell ref="V124:V133"/>
    <mergeCell ref="D134:D143"/>
    <mergeCell ref="V134:V143"/>
    <mergeCell ref="D78:D87"/>
    <mergeCell ref="V78:V87"/>
    <mergeCell ref="D88:D97"/>
    <mergeCell ref="V88:V97"/>
    <mergeCell ref="D101:D110"/>
    <mergeCell ref="V101:V110"/>
    <mergeCell ref="H101:H110"/>
    <mergeCell ref="H134:H143"/>
    <mergeCell ref="B37:Q37"/>
    <mergeCell ref="V37:AI37"/>
    <mergeCell ref="D52:L55"/>
    <mergeCell ref="D58:D67"/>
    <mergeCell ref="V58:V67"/>
    <mergeCell ref="D68:D77"/>
    <mergeCell ref="V68:V77"/>
    <mergeCell ref="I29:L29"/>
    <mergeCell ref="I30:L30"/>
    <mergeCell ref="D31:D34"/>
    <mergeCell ref="E31:E34"/>
    <mergeCell ref="I31:L31"/>
    <mergeCell ref="V31:V34"/>
    <mergeCell ref="I32:L32"/>
    <mergeCell ref="I33:L33"/>
    <mergeCell ref="I34:L34"/>
    <mergeCell ref="I24:L24"/>
    <mergeCell ref="D25:D28"/>
    <mergeCell ref="E25:E28"/>
    <mergeCell ref="I25:L25"/>
    <mergeCell ref="I26:L26"/>
    <mergeCell ref="I27:L27"/>
    <mergeCell ref="I28:L28"/>
    <mergeCell ref="D21:D22"/>
    <mergeCell ref="E21:E22"/>
    <mergeCell ref="I21:L21"/>
    <mergeCell ref="V21:V22"/>
    <mergeCell ref="I22:L22"/>
    <mergeCell ref="I23:L23"/>
    <mergeCell ref="A1:O1"/>
    <mergeCell ref="P1:R1"/>
    <mergeCell ref="D2:J2"/>
    <mergeCell ref="B4:Q4"/>
    <mergeCell ref="V4:AI4"/>
    <mergeCell ref="I20:L20"/>
  </mergeCells>
  <conditionalFormatting sqref="E58:E67">
    <cfRule type="duplicateValues" dxfId="41" priority="10"/>
  </conditionalFormatting>
  <conditionalFormatting sqref="E68:E77">
    <cfRule type="duplicateValues" dxfId="40" priority="11"/>
  </conditionalFormatting>
  <conditionalFormatting sqref="E78:E87">
    <cfRule type="duplicateValues" dxfId="39" priority="12"/>
  </conditionalFormatting>
  <conditionalFormatting sqref="E89:E97">
    <cfRule type="duplicateValues" dxfId="38" priority="13"/>
  </conditionalFormatting>
  <conditionalFormatting sqref="E101:E110">
    <cfRule type="duplicateValues" dxfId="37" priority="14"/>
  </conditionalFormatting>
  <conditionalFormatting sqref="E111:E120">
    <cfRule type="duplicateValues" dxfId="36" priority="15"/>
  </conditionalFormatting>
  <conditionalFormatting sqref="E124:E133">
    <cfRule type="duplicateValues" dxfId="35" priority="16"/>
  </conditionalFormatting>
  <conditionalFormatting sqref="E134:E143">
    <cfRule type="duplicateValues" dxfId="34" priority="17"/>
  </conditionalFormatting>
  <conditionalFormatting sqref="E40:E49">
    <cfRule type="duplicateValues" dxfId="33" priority="9"/>
  </conditionalFormatting>
  <conditionalFormatting sqref="F237">
    <cfRule type="duplicateValues" dxfId="32" priority="8"/>
  </conditionalFormatting>
  <conditionalFormatting sqref="E274">
    <cfRule type="duplicateValues" dxfId="31" priority="7"/>
  </conditionalFormatting>
  <conditionalFormatting sqref="C223:C235 E236">
    <cfRule type="duplicateValues" dxfId="30" priority="6"/>
  </conditionalFormatting>
  <conditionalFormatting sqref="E145:E154">
    <cfRule type="duplicateValues" dxfId="29" priority="5"/>
  </conditionalFormatting>
  <conditionalFormatting sqref="E8">
    <cfRule type="cellIs" dxfId="28" priority="4" operator="equal">
      <formula>"x"</formula>
    </cfRule>
  </conditionalFormatting>
  <conditionalFormatting sqref="E14 E12 E10">
    <cfRule type="cellIs" dxfId="27" priority="3" operator="equal">
      <formula>"x"</formula>
    </cfRule>
  </conditionalFormatting>
  <conditionalFormatting sqref="E161">
    <cfRule type="cellIs" dxfId="26" priority="2" operator="equal">
      <formula>"x"</formula>
    </cfRule>
  </conditionalFormatting>
  <conditionalFormatting sqref="B1:B1048576">
    <cfRule type="cellIs" dxfId="25" priority="1" operator="equal">
      <formula>"x"</formula>
    </cfRule>
  </conditionalFormatting>
  <hyperlinks>
    <hyperlink ref="G318" r:id="rId1" display="http://ilsagfiles.org/SAG_files/Technical_Reference_Manual/Version_5/Final/IL-TRM_Version_5.0_dated_February-11-2016_Final_Compiled_Volumes_1-4.pdf"/>
    <hyperlink ref="G358" r:id="rId2" display="https://www.efis.psc.mo.gov/mpsc/commoncomponents/viewdocument.asp?DocId=935658483"/>
    <hyperlink ref="G352" r:id="rId3" display="http://ilsagfiles.org/SAG_files/Technical_Reference_Manual/Version_5/Final/IL-TRM_Version_5.0_dated_February-11-2016_Final_Compiled_Volumes_1-4.pdf"/>
    <hyperlink ref="G392" r:id="rId4" display="https://www.efis.psc.mo.gov/mpsc/commoncomponents/viewdocument.asp?DocId=935658483"/>
    <hyperlink ref="G393" r:id="rId5" display="http://www.nrel.gov/docs/fy10osti/47246.pdf"/>
  </hyperlinks>
  <pageMargins left="0.7" right="0.7" top="0.75" bottom="0.75" header="0.3" footer="0.3"/>
  <pageSetup scale="12" fitToHeight="0" orientation="landscape" r:id="rId6"/>
  <rowBreaks count="2" manualBreakCount="2">
    <brk id="332" max="57" man="1"/>
    <brk id="494" max="57" man="1"/>
  </rowBreaks>
  <drawing r:id="rId7"/>
  <legacyDrawing r:id="rId8"/>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80"/>
  <sheetViews>
    <sheetView showGridLines="0" view="pageBreakPreview" zoomScale="70" zoomScaleNormal="70" zoomScaleSheetLayoutView="70" workbookViewId="0">
      <selection sqref="A1:Q1"/>
    </sheetView>
  </sheetViews>
  <sheetFormatPr defaultRowHeight="15" outlineLevelRow="1" x14ac:dyDescent="0.25"/>
  <cols>
    <col min="1" max="2" width="9.140625" style="177"/>
    <col min="3" max="3" width="19.28515625" style="455" customWidth="1"/>
    <col min="4" max="4" width="23.140625" style="456" customWidth="1"/>
    <col min="5" max="5" width="37" style="456" customWidth="1"/>
    <col min="6" max="6" width="19.85546875" style="177" customWidth="1"/>
    <col min="7" max="7" width="18.7109375" style="177" bestFit="1" customWidth="1"/>
    <col min="8" max="8" width="17.140625" style="177" customWidth="1"/>
    <col min="9" max="11" width="12.5703125" style="177" customWidth="1"/>
    <col min="12" max="12" width="15.42578125" style="177" customWidth="1"/>
    <col min="13" max="13" width="3.28515625" style="177" customWidth="1"/>
    <col min="14" max="14" width="2.28515625" style="177" customWidth="1"/>
    <col min="15" max="15" width="2.7109375" style="177" customWidth="1"/>
    <col min="16" max="16" width="3.28515625" style="177" customWidth="1"/>
    <col min="17" max="17" width="2.42578125" style="177" customWidth="1"/>
    <col min="18" max="20" width="9.140625" style="177" customWidth="1"/>
    <col min="21" max="21" width="21.5703125" style="177" customWidth="1"/>
    <col min="22" max="22" width="16.7109375" customWidth="1"/>
    <col min="23" max="23" width="11" bestFit="1" customWidth="1"/>
    <col min="24" max="25" width="17.140625" bestFit="1" customWidth="1"/>
    <col min="26" max="26" width="16.5703125" customWidth="1"/>
    <col min="27" max="52" width="9.140625" customWidth="1"/>
    <col min="54" max="54" width="12" bestFit="1" customWidth="1"/>
    <col min="55" max="55" width="29.28515625" bestFit="1" customWidth="1"/>
    <col min="56" max="56" width="10" bestFit="1" customWidth="1"/>
    <col min="57" max="57" width="13.42578125" customWidth="1"/>
  </cols>
  <sheetData>
    <row r="1" spans="1:57" s="26" customFormat="1" ht="18.75" x14ac:dyDescent="0.3">
      <c r="A1" s="2633" t="s">
        <v>2431</v>
      </c>
      <c r="B1" s="2710"/>
      <c r="C1" s="2710"/>
      <c r="D1" s="2710"/>
      <c r="E1" s="2710"/>
      <c r="F1" s="2710"/>
      <c r="G1" s="2710"/>
      <c r="H1" s="2710"/>
      <c r="I1" s="2710"/>
      <c r="J1" s="2710"/>
      <c r="K1" s="2710"/>
      <c r="L1" s="2710"/>
      <c r="M1" s="2710"/>
      <c r="N1" s="2710"/>
      <c r="O1" s="2710"/>
      <c r="P1" s="2710"/>
      <c r="Q1" s="2710"/>
      <c r="R1" s="1716"/>
      <c r="S1" s="1716"/>
      <c r="T1" s="1716"/>
      <c r="U1" s="1716"/>
      <c r="V1" s="33"/>
      <c r="W1" s="34"/>
      <c r="X1" s="34"/>
      <c r="Y1" s="35"/>
      <c r="Z1" s="35"/>
      <c r="AA1" s="35"/>
      <c r="AB1" s="35"/>
      <c r="AC1" s="35"/>
      <c r="AD1" s="35"/>
      <c r="AE1" s="35"/>
      <c r="AF1" s="35"/>
      <c r="AG1" s="35"/>
      <c r="AH1" s="35"/>
    </row>
    <row r="2" spans="1:57" s="26" customFormat="1" ht="30" hidden="1" customHeight="1" outlineLevel="1" x14ac:dyDescent="0.35">
      <c r="A2" s="1716"/>
      <c r="B2" s="1718"/>
      <c r="C2" s="225"/>
      <c r="D2" s="2622" t="s">
        <v>3345</v>
      </c>
      <c r="E2" s="2637"/>
      <c r="F2" s="2638"/>
      <c r="G2" s="2638"/>
      <c r="H2" s="2638"/>
      <c r="I2" s="2638"/>
      <c r="J2" s="2638"/>
      <c r="K2" s="1156"/>
      <c r="L2" s="1156"/>
      <c r="M2" s="1716"/>
      <c r="N2" s="1716"/>
      <c r="O2" s="1716"/>
      <c r="P2" s="1716"/>
      <c r="Q2" s="1716"/>
      <c r="R2" s="1716"/>
      <c r="S2" s="1716"/>
      <c r="T2" s="1716"/>
      <c r="U2" s="1716"/>
    </row>
    <row r="3" spans="1:57" s="26" customFormat="1" ht="24" customHeight="1" collapsed="1" x14ac:dyDescent="0.35">
      <c r="A3" s="1716"/>
      <c r="B3" s="1718"/>
      <c r="C3" s="225"/>
      <c r="D3" s="1529"/>
      <c r="E3" s="2290"/>
      <c r="F3" s="2291"/>
      <c r="G3" s="2291"/>
      <c r="H3" s="2291"/>
      <c r="I3" s="2291"/>
      <c r="J3" s="2291"/>
      <c r="K3" s="1156"/>
      <c r="L3" s="1156"/>
      <c r="M3" s="1716"/>
      <c r="N3" s="1716"/>
      <c r="O3" s="1716"/>
      <c r="P3" s="1716"/>
      <c r="Q3" s="1716"/>
      <c r="R3" s="1716"/>
      <c r="S3" s="1716"/>
      <c r="T3" s="1716"/>
      <c r="U3" s="1716"/>
      <c r="V3" s="29"/>
      <c r="W3" s="29"/>
      <c r="X3" s="29"/>
      <c r="Y3" s="29"/>
      <c r="Z3" s="29"/>
      <c r="AA3" s="29"/>
      <c r="AB3" s="29"/>
      <c r="AC3" s="29"/>
      <c r="AD3" s="29"/>
      <c r="AE3" s="29"/>
      <c r="AF3" s="29"/>
      <c r="AG3" s="29"/>
      <c r="AH3" s="29"/>
      <c r="AI3" s="29"/>
    </row>
    <row r="4" spans="1:57" s="124" customFormat="1" x14ac:dyDescent="0.25">
      <c r="A4" s="177"/>
      <c r="B4" s="2639" t="s">
        <v>2432</v>
      </c>
      <c r="C4" s="2640"/>
      <c r="D4" s="2640"/>
      <c r="E4" s="2640"/>
      <c r="F4" s="2640"/>
      <c r="G4" s="2640"/>
      <c r="H4" s="2640"/>
      <c r="I4" s="2640"/>
      <c r="J4" s="2640"/>
      <c r="K4" s="2640"/>
      <c r="L4" s="2734"/>
      <c r="M4" s="233"/>
      <c r="N4" s="233"/>
      <c r="O4" s="233"/>
      <c r="P4" s="233"/>
      <c r="Q4" s="233"/>
      <c r="R4" s="233"/>
      <c r="S4" s="233"/>
      <c r="T4" s="233"/>
      <c r="U4" s="233"/>
      <c r="V4" s="2639" t="str">
        <f>B4</f>
        <v>Refrigerator Recycling</v>
      </c>
      <c r="W4" s="2640"/>
      <c r="X4" s="2640"/>
      <c r="Y4" s="2640"/>
      <c r="Z4" s="2640"/>
      <c r="AA4" s="2640"/>
      <c r="AB4" s="2640"/>
      <c r="AC4" s="2615"/>
      <c r="AD4" s="2615"/>
      <c r="AE4" s="2615"/>
      <c r="AF4" s="2615"/>
      <c r="AG4" s="2615"/>
      <c r="AH4" s="2615"/>
      <c r="AI4" s="2616"/>
    </row>
    <row r="5" spans="1:57" x14ac:dyDescent="0.25">
      <c r="V5" s="328"/>
      <c r="W5" s="328"/>
      <c r="X5" s="328"/>
      <c r="Y5" s="328"/>
      <c r="Z5" s="328"/>
      <c r="AA5" s="328"/>
      <c r="AB5" s="328"/>
      <c r="AC5" s="328"/>
      <c r="AD5" s="328"/>
      <c r="AE5" s="328"/>
      <c r="AF5" s="328"/>
      <c r="AG5" s="328"/>
      <c r="AH5" s="328"/>
      <c r="AI5" s="328"/>
    </row>
    <row r="6" spans="1:57" s="124" customFormat="1" ht="45" customHeight="1" x14ac:dyDescent="0.25">
      <c r="A6" s="177"/>
      <c r="B6" s="177"/>
      <c r="C6" s="1641" t="s">
        <v>17</v>
      </c>
      <c r="D6" s="1641" t="s">
        <v>662</v>
      </c>
      <c r="E6" s="1641" t="s">
        <v>19</v>
      </c>
      <c r="F6" s="1641" t="s">
        <v>20</v>
      </c>
      <c r="G6" s="1641" t="s">
        <v>21</v>
      </c>
      <c r="H6" s="1641" t="s">
        <v>22</v>
      </c>
      <c r="I6" s="1641" t="s">
        <v>23</v>
      </c>
      <c r="J6" s="1641" t="s">
        <v>24</v>
      </c>
      <c r="K6" s="1641" t="s">
        <v>25</v>
      </c>
      <c r="L6" s="1641" t="s">
        <v>26</v>
      </c>
      <c r="M6" s="233"/>
      <c r="N6" s="233"/>
      <c r="O6" s="233"/>
      <c r="P6" s="233"/>
      <c r="Q6" s="233"/>
      <c r="R6" s="233"/>
      <c r="S6" s="233"/>
      <c r="T6" s="233"/>
      <c r="U6" s="233"/>
      <c r="V6" s="55" t="s">
        <v>27</v>
      </c>
      <c r="W6" s="56">
        <v>43252</v>
      </c>
      <c r="X6" s="56">
        <v>43465</v>
      </c>
      <c r="Y6" s="56">
        <v>43800</v>
      </c>
      <c r="Z6" s="56">
        <v>43862</v>
      </c>
      <c r="AA6" s="56" t="s">
        <v>28</v>
      </c>
      <c r="AB6" s="56" t="s">
        <v>28</v>
      </c>
      <c r="AC6" s="56" t="s">
        <v>28</v>
      </c>
      <c r="AD6" s="56" t="s">
        <v>28</v>
      </c>
      <c r="AE6" s="56" t="s">
        <v>28</v>
      </c>
      <c r="AF6" s="56" t="s">
        <v>28</v>
      </c>
      <c r="AG6" s="56" t="s">
        <v>28</v>
      </c>
      <c r="AH6" s="328"/>
      <c r="AI6" s="328"/>
      <c r="BB6" s="57" t="s">
        <v>29</v>
      </c>
      <c r="BC6" s="103" t="s">
        <v>30</v>
      </c>
      <c r="BD6" s="883" t="s">
        <v>31</v>
      </c>
      <c r="BE6" s="334" t="s">
        <v>32</v>
      </c>
    </row>
    <row r="7" spans="1:57" s="124" customFormat="1" x14ac:dyDescent="0.25">
      <c r="A7" s="177"/>
      <c r="B7" s="177"/>
      <c r="C7" s="92" t="s">
        <v>2433</v>
      </c>
      <c r="D7" s="150" t="s">
        <v>2434</v>
      </c>
      <c r="E7" s="1666" t="s">
        <v>2435</v>
      </c>
      <c r="F7" s="1964">
        <f>ROUND(F15*F16,2)</f>
        <v>1027.47</v>
      </c>
      <c r="G7" s="1526" t="s">
        <v>2161</v>
      </c>
      <c r="H7" s="239">
        <f>VLOOKUP(G7,'CP FACTORS'!$A$3:$B$38, 2, FALSE)</f>
        <v>1.286107E-4</v>
      </c>
      <c r="I7" s="153">
        <f>ROUND(F7*H7,6)</f>
        <v>0.13214400000000001</v>
      </c>
      <c r="J7" s="156">
        <v>8</v>
      </c>
      <c r="K7" s="658">
        <v>140</v>
      </c>
      <c r="L7" s="92" t="s">
        <v>37</v>
      </c>
      <c r="M7" s="233"/>
      <c r="N7" s="233"/>
      <c r="O7" s="233"/>
      <c r="P7" s="233"/>
      <c r="Q7" s="233"/>
      <c r="R7" s="233"/>
      <c r="S7" s="233"/>
      <c r="T7" s="233"/>
      <c r="U7" s="233"/>
      <c r="V7" s="245" t="str">
        <f>F6</f>
        <v>kWh Annual Savings</v>
      </c>
      <c r="W7" s="1527">
        <f>W15*W16</f>
        <v>1027.47</v>
      </c>
      <c r="X7" s="1527">
        <f t="shared" ref="X7:Y7" si="0">X15*X16</f>
        <v>1027.47</v>
      </c>
      <c r="Y7" s="1527">
        <f t="shared" si="0"/>
        <v>1027.47</v>
      </c>
      <c r="Z7" s="1527"/>
      <c r="AA7" s="1527"/>
      <c r="AB7" s="1527"/>
      <c r="AC7" s="1527"/>
      <c r="AD7" s="1527"/>
      <c r="AE7" s="1527"/>
      <c r="AF7" s="1527"/>
      <c r="AG7" s="1527"/>
      <c r="AH7"/>
      <c r="AI7"/>
      <c r="BB7" s="161">
        <f>(BD7)/(BE7)</f>
        <v>2.1658459436051349</v>
      </c>
      <c r="BC7" s="69" t="str">
        <f>CONCATENATE(G7," ",J7," Year EUL")</f>
        <v>Refrigeration RES 8 Year EUL</v>
      </c>
      <c r="BD7" s="162">
        <f>(INDEX('Avoided Cost Benefits'!$C$4:$C$857,MATCH(BC7,'Avoided Cost Benefits'!$A$4:$A$857,0)))*F7</f>
        <v>286.19011996670019</v>
      </c>
      <c r="BE7" s="70">
        <f>K7/(1.0595^(2020-2019))</f>
        <v>132.13780084945728</v>
      </c>
    </row>
    <row r="8" spans="1:57" s="124" customFormat="1" x14ac:dyDescent="0.25">
      <c r="A8" s="177"/>
      <c r="B8" s="177"/>
      <c r="C8" s="92" t="s">
        <v>2436</v>
      </c>
      <c r="D8" s="150" t="s">
        <v>2434</v>
      </c>
      <c r="E8" s="1666" t="s">
        <v>2437</v>
      </c>
      <c r="F8" s="1964">
        <f>ROUND(520,2)</f>
        <v>520</v>
      </c>
      <c r="G8" s="1526" t="s">
        <v>2161</v>
      </c>
      <c r="H8" s="239">
        <f>VLOOKUP(G8,'CP FACTORS'!$A$3:$B$38, 2, FALSE)</f>
        <v>1.286107E-4</v>
      </c>
      <c r="I8" s="153">
        <f>ROUND(F8*H8,6)</f>
        <v>6.6878000000000007E-2</v>
      </c>
      <c r="J8" s="156">
        <v>8</v>
      </c>
      <c r="K8" s="658">
        <v>140</v>
      </c>
      <c r="L8" s="92" t="s">
        <v>37</v>
      </c>
      <c r="M8" s="233"/>
      <c r="N8" s="233"/>
      <c r="O8" s="233"/>
      <c r="P8" s="233"/>
      <c r="Q8" s="233"/>
      <c r="R8" s="233"/>
      <c r="S8" s="233"/>
      <c r="T8" s="233"/>
      <c r="U8" s="233"/>
      <c r="V8" s="1597" t="str">
        <f>V7</f>
        <v>kWh Annual Savings</v>
      </c>
      <c r="W8" s="1527">
        <v>520</v>
      </c>
      <c r="X8" s="1527">
        <v>520</v>
      </c>
      <c r="Y8" s="1527">
        <v>520</v>
      </c>
      <c r="Z8" s="1527"/>
      <c r="AA8" s="1527"/>
      <c r="AB8" s="1527"/>
      <c r="AC8" s="1527"/>
      <c r="AD8" s="1527"/>
      <c r="AE8" s="1527"/>
      <c r="AF8" s="1527"/>
      <c r="AG8" s="1527"/>
      <c r="BB8" s="169">
        <f>(BD8)/(BE8)</f>
        <v>1.0961292209745006</v>
      </c>
      <c r="BC8" s="73" t="str">
        <f>CONCATENATE(G8," ",J8," Year EUL")</f>
        <v>Refrigeration RES 8 Year EUL</v>
      </c>
      <c r="BD8" s="170">
        <f>(INDEX('Avoided Cost Benefits'!$C$4:$C$857,MATCH(BC8,'Avoided Cost Benefits'!$A$4:$A$857,0)))*F8</f>
        <v>144.8401047063993</v>
      </c>
      <c r="BE8" s="76">
        <f>K8/(1.0595^(2020-2019))</f>
        <v>132.13780084945728</v>
      </c>
    </row>
    <row r="9" spans="1:57" hidden="1" outlineLevel="1" x14ac:dyDescent="0.25"/>
    <row r="10" spans="1:57" hidden="1" outlineLevel="1" x14ac:dyDescent="0.25">
      <c r="D10" s="259" t="s">
        <v>617</v>
      </c>
    </row>
    <row r="11" spans="1:57" hidden="1" outlineLevel="1" x14ac:dyDescent="0.25"/>
    <row r="12" spans="1:57" hidden="1" outlineLevel="1" x14ac:dyDescent="0.25"/>
    <row r="13" spans="1:57" hidden="1" outlineLevel="1" x14ac:dyDescent="0.25"/>
    <row r="14" spans="1:57" hidden="1" outlineLevel="1" x14ac:dyDescent="0.25">
      <c r="D14" s="1701" t="s">
        <v>618</v>
      </c>
      <c r="E14" s="1701" t="s">
        <v>619</v>
      </c>
      <c r="F14" s="1641" t="s">
        <v>620</v>
      </c>
      <c r="G14" s="1641" t="s">
        <v>670</v>
      </c>
      <c r="V14" s="55" t="s">
        <v>27</v>
      </c>
      <c r="W14" s="56">
        <f>W$6</f>
        <v>43252</v>
      </c>
      <c r="X14" s="56">
        <f t="shared" ref="X14:AG14" si="1">X$6</f>
        <v>43465</v>
      </c>
      <c r="Y14" s="56">
        <f t="shared" si="1"/>
        <v>43800</v>
      </c>
      <c r="Z14" s="56">
        <f t="shared" si="1"/>
        <v>43862</v>
      </c>
      <c r="AA14" s="56" t="str">
        <f t="shared" si="1"/>
        <v>-</v>
      </c>
      <c r="AB14" s="56" t="str">
        <f t="shared" si="1"/>
        <v>-</v>
      </c>
      <c r="AC14" s="56" t="str">
        <f t="shared" si="1"/>
        <v>-</v>
      </c>
      <c r="AD14" s="56" t="str">
        <f t="shared" si="1"/>
        <v>-</v>
      </c>
      <c r="AE14" s="56" t="str">
        <f t="shared" si="1"/>
        <v>-</v>
      </c>
      <c r="AF14" s="56" t="str">
        <f t="shared" si="1"/>
        <v>-</v>
      </c>
      <c r="AG14" s="56" t="str">
        <f t="shared" si="1"/>
        <v>-</v>
      </c>
    </row>
    <row r="15" spans="1:57" hidden="1" outlineLevel="1" x14ac:dyDescent="0.25">
      <c r="D15" s="1685" t="s">
        <v>2438</v>
      </c>
      <c r="E15" s="1685" t="s">
        <v>2439</v>
      </c>
      <c r="F15" s="2165">
        <v>1181</v>
      </c>
      <c r="G15" s="2326" t="s">
        <v>2440</v>
      </c>
      <c r="V15" s="1598" t="str">
        <f>D15</f>
        <v>UEC</v>
      </c>
      <c r="W15" s="1599">
        <v>1181</v>
      </c>
      <c r="X15" s="1599">
        <v>1181</v>
      </c>
      <c r="Y15" s="1599">
        <v>1181</v>
      </c>
      <c r="Z15" s="1599"/>
      <c r="AA15" s="1599"/>
      <c r="AB15" s="1599"/>
      <c r="AC15" s="1599"/>
      <c r="AD15" s="1599"/>
      <c r="AE15" s="1599"/>
      <c r="AF15" s="1599"/>
      <c r="AG15" s="1599"/>
    </row>
    <row r="16" spans="1:57" hidden="1" outlineLevel="1" x14ac:dyDescent="0.25">
      <c r="D16" s="1685" t="s">
        <v>2441</v>
      </c>
      <c r="E16" s="1685"/>
      <c r="F16" s="280">
        <v>0.87</v>
      </c>
      <c r="G16" s="2326" t="s">
        <v>2440</v>
      </c>
      <c r="V16" s="1598" t="str">
        <f t="shared" ref="V16" si="2">D16</f>
        <v>Part Use Factor</v>
      </c>
      <c r="W16" s="1599">
        <v>0.87</v>
      </c>
      <c r="X16" s="1599">
        <v>0.87</v>
      </c>
      <c r="Y16" s="1599">
        <v>0.87</v>
      </c>
      <c r="Z16" s="1599"/>
      <c r="AA16" s="1599"/>
      <c r="AB16" s="1599"/>
      <c r="AC16" s="1599"/>
      <c r="AD16" s="1599"/>
      <c r="AE16" s="1599"/>
      <c r="AF16" s="1599"/>
      <c r="AG16" s="1599"/>
    </row>
    <row r="17" spans="1:57" hidden="1" outlineLevel="1" x14ac:dyDescent="0.25"/>
    <row r="18" spans="1:57" hidden="1" outlineLevel="1" x14ac:dyDescent="0.25"/>
    <row r="19" spans="1:57" collapsed="1" x14ac:dyDescent="0.25"/>
    <row r="21" spans="1:57" x14ac:dyDescent="0.25">
      <c r="B21" s="2639" t="s">
        <v>140</v>
      </c>
      <c r="C21" s="2640"/>
      <c r="D21" s="2640"/>
      <c r="E21" s="2640"/>
      <c r="F21" s="2640"/>
      <c r="G21" s="2640"/>
      <c r="H21" s="2640"/>
      <c r="I21" s="2640"/>
      <c r="J21" s="2640"/>
      <c r="K21" s="2640"/>
      <c r="L21" s="2734"/>
      <c r="V21" s="2639" t="str">
        <f>B21</f>
        <v>Freezer</v>
      </c>
      <c r="W21" s="2640"/>
      <c r="X21" s="2640"/>
      <c r="Y21" s="2640"/>
      <c r="Z21" s="2640"/>
      <c r="AA21" s="2640"/>
      <c r="AB21" s="2640"/>
      <c r="AC21" s="2615"/>
      <c r="AD21" s="2615"/>
      <c r="AE21" s="2615"/>
      <c r="AF21" s="2615"/>
      <c r="AG21" s="2615"/>
      <c r="AH21" s="2615"/>
      <c r="AI21" s="2616"/>
    </row>
    <row r="22" spans="1:57" x14ac:dyDescent="0.25">
      <c r="V22" s="328"/>
      <c r="W22" s="328"/>
      <c r="X22" s="328"/>
      <c r="Y22" s="328"/>
      <c r="Z22" s="328"/>
      <c r="AA22" s="328"/>
      <c r="AB22" s="328"/>
      <c r="AC22" s="328"/>
      <c r="AD22" s="328"/>
      <c r="AE22" s="328"/>
      <c r="AF22" s="328"/>
      <c r="AG22" s="328"/>
      <c r="AH22" s="328"/>
      <c r="AI22" s="328"/>
    </row>
    <row r="23" spans="1:57" s="124" customFormat="1" ht="45" customHeight="1" x14ac:dyDescent="0.25">
      <c r="A23" s="177"/>
      <c r="B23" s="177"/>
      <c r="C23" s="1641" t="s">
        <v>17</v>
      </c>
      <c r="D23" s="1641" t="s">
        <v>662</v>
      </c>
      <c r="E23" s="1641" t="s">
        <v>19</v>
      </c>
      <c r="F23" s="1641" t="s">
        <v>20</v>
      </c>
      <c r="G23" s="1641" t="s">
        <v>21</v>
      </c>
      <c r="H23" s="1641" t="s">
        <v>22</v>
      </c>
      <c r="I23" s="1641" t="s">
        <v>23</v>
      </c>
      <c r="J23" s="1641" t="s">
        <v>24</v>
      </c>
      <c r="K23" s="1641" t="s">
        <v>25</v>
      </c>
      <c r="L23" s="1641" t="s">
        <v>26</v>
      </c>
      <c r="M23" s="233"/>
      <c r="N23" s="233"/>
      <c r="O23" s="233"/>
      <c r="P23" s="233"/>
      <c r="Q23" s="233"/>
      <c r="R23" s="233"/>
      <c r="S23" s="233"/>
      <c r="T23" s="233"/>
      <c r="U23" s="233"/>
      <c r="V23" s="55" t="s">
        <v>27</v>
      </c>
      <c r="W23" s="56">
        <f>W$6</f>
        <v>43252</v>
      </c>
      <c r="X23" s="56">
        <f t="shared" ref="X23:AG23" si="3">X$6</f>
        <v>43465</v>
      </c>
      <c r="Y23" s="56">
        <f t="shared" si="3"/>
        <v>43800</v>
      </c>
      <c r="Z23" s="56">
        <f t="shared" si="3"/>
        <v>43862</v>
      </c>
      <c r="AA23" s="56" t="str">
        <f t="shared" si="3"/>
        <v>-</v>
      </c>
      <c r="AB23" s="56" t="str">
        <f t="shared" si="3"/>
        <v>-</v>
      </c>
      <c r="AC23" s="56" t="str">
        <f t="shared" si="3"/>
        <v>-</v>
      </c>
      <c r="AD23" s="56" t="str">
        <f t="shared" si="3"/>
        <v>-</v>
      </c>
      <c r="AE23" s="56" t="str">
        <f t="shared" si="3"/>
        <v>-</v>
      </c>
      <c r="AF23" s="56" t="str">
        <f t="shared" si="3"/>
        <v>-</v>
      </c>
      <c r="AG23" s="56" t="str">
        <f t="shared" si="3"/>
        <v>-</v>
      </c>
      <c r="AH23" s="328"/>
      <c r="AI23" s="328"/>
      <c r="BB23" s="57" t="str">
        <f>$BB$6</f>
        <v>TRC (2020)</v>
      </c>
      <c r="BC23" s="103" t="str">
        <f>$BC$6</f>
        <v>Benefit Lookup</v>
      </c>
      <c r="BD23" s="883" t="str">
        <f>$BD$6</f>
        <v>Benefits (2019 $)</v>
      </c>
      <c r="BE23" s="334" t="str">
        <f>$BE$6</f>
        <v>Incremental Cost (2019 $)</v>
      </c>
    </row>
    <row r="24" spans="1:57" s="124" customFormat="1" x14ac:dyDescent="0.25">
      <c r="A24" s="177"/>
      <c r="B24" s="177"/>
      <c r="C24" s="92" t="s">
        <v>2442</v>
      </c>
      <c r="D24" s="150" t="s">
        <v>2434</v>
      </c>
      <c r="E24" s="1666" t="s">
        <v>2443</v>
      </c>
      <c r="F24" s="1964">
        <f>ROUND(F31*F32,2)</f>
        <v>891.24</v>
      </c>
      <c r="G24" s="1526" t="s">
        <v>2444</v>
      </c>
      <c r="H24" s="239">
        <f>VLOOKUP(G24,'CP FACTORS'!$A$3:$B$38, 2, FALSE)</f>
        <v>1.6857220000000001E-4</v>
      </c>
      <c r="I24" s="153">
        <f>ROUND(F24*H24,6)</f>
        <v>0.15023800000000001</v>
      </c>
      <c r="J24" s="156">
        <v>8</v>
      </c>
      <c r="K24" s="658">
        <v>140</v>
      </c>
      <c r="L24" s="92" t="s">
        <v>37</v>
      </c>
      <c r="M24" s="233"/>
      <c r="N24" s="233"/>
      <c r="O24" s="233"/>
      <c r="P24" s="233"/>
      <c r="Q24" s="233"/>
      <c r="R24" s="233"/>
      <c r="S24" s="233"/>
      <c r="T24" s="233"/>
      <c r="U24" s="233"/>
      <c r="V24" s="245" t="str">
        <f>F23</f>
        <v>kWh Annual Savings</v>
      </c>
      <c r="W24" s="1527">
        <f>W31*W32</f>
        <v>891.24</v>
      </c>
      <c r="X24" s="1527">
        <f>X31*X32</f>
        <v>891.24</v>
      </c>
      <c r="Y24" s="1596">
        <v>891.24</v>
      </c>
      <c r="Z24" s="745"/>
      <c r="AA24" s="745"/>
      <c r="AB24" s="745"/>
      <c r="AC24" s="745"/>
      <c r="AD24" s="745"/>
      <c r="AE24" s="745"/>
      <c r="AF24" s="745"/>
      <c r="AG24" s="745"/>
      <c r="AH24"/>
      <c r="AI24"/>
      <c r="BB24" s="1528">
        <f>(BD24)/(BE24)</f>
        <v>2.0465185638382786</v>
      </c>
      <c r="BC24" s="69" t="str">
        <f>CONCATENATE(G24," ",J24," Year EUL")</f>
        <v>Freezer RES 8 Year EUL</v>
      </c>
      <c r="BD24" s="251">
        <f>(INDEX('Avoided Cost Benefits'!$C$4:$C$857,MATCH(BC24,'Avoided Cost Benefits'!$A$4:$A$857,0)))*F24</f>
        <v>270.42246242317975</v>
      </c>
      <c r="BE24" s="122">
        <f>K24/(1.0595^(2020-2019))</f>
        <v>132.13780084945728</v>
      </c>
    </row>
    <row r="25" spans="1:57" hidden="1" outlineLevel="1" x14ac:dyDescent="0.25"/>
    <row r="26" spans="1:57" hidden="1" outlineLevel="1" x14ac:dyDescent="0.25">
      <c r="D26" s="259" t="s">
        <v>617</v>
      </c>
    </row>
    <row r="27" spans="1:57" hidden="1" outlineLevel="1" x14ac:dyDescent="0.25">
      <c r="D27" s="455"/>
      <c r="F27" s="456"/>
    </row>
    <row r="28" spans="1:57" hidden="1" outlineLevel="1" x14ac:dyDescent="0.25">
      <c r="D28" s="455"/>
      <c r="F28" s="456"/>
    </row>
    <row r="29" spans="1:57" hidden="1" outlineLevel="1" x14ac:dyDescent="0.25">
      <c r="D29" s="455"/>
      <c r="F29" s="456"/>
    </row>
    <row r="30" spans="1:57" hidden="1" outlineLevel="1" x14ac:dyDescent="0.25">
      <c r="D30" s="1701" t="s">
        <v>618</v>
      </c>
      <c r="E30" s="1701" t="s">
        <v>619</v>
      </c>
      <c r="F30" s="1641" t="s">
        <v>620</v>
      </c>
      <c r="G30" s="1641" t="s">
        <v>670</v>
      </c>
      <c r="V30" s="55" t="s">
        <v>27</v>
      </c>
      <c r="W30" s="56">
        <f>W$6</f>
        <v>43252</v>
      </c>
      <c r="X30" s="56">
        <f t="shared" ref="X30:AG30" si="4">X$6</f>
        <v>43465</v>
      </c>
      <c r="Y30" s="56">
        <f t="shared" si="4"/>
        <v>43800</v>
      </c>
      <c r="Z30" s="56">
        <f t="shared" si="4"/>
        <v>43862</v>
      </c>
      <c r="AA30" s="56" t="str">
        <f t="shared" si="4"/>
        <v>-</v>
      </c>
      <c r="AB30" s="56" t="str">
        <f t="shared" si="4"/>
        <v>-</v>
      </c>
      <c r="AC30" s="56" t="str">
        <f t="shared" si="4"/>
        <v>-</v>
      </c>
      <c r="AD30" s="56" t="str">
        <f t="shared" si="4"/>
        <v>-</v>
      </c>
      <c r="AE30" s="56" t="str">
        <f t="shared" si="4"/>
        <v>-</v>
      </c>
      <c r="AF30" s="56" t="str">
        <f t="shared" si="4"/>
        <v>-</v>
      </c>
      <c r="AG30" s="56" t="str">
        <f t="shared" si="4"/>
        <v>-</v>
      </c>
    </row>
    <row r="31" spans="1:57" hidden="1" outlineLevel="1" x14ac:dyDescent="0.25">
      <c r="D31" s="1685" t="s">
        <v>2438</v>
      </c>
      <c r="E31" s="1685" t="s">
        <v>2439</v>
      </c>
      <c r="F31" s="2165">
        <v>1061</v>
      </c>
      <c r="G31" s="2326" t="s">
        <v>2440</v>
      </c>
      <c r="V31" s="1598" t="str">
        <f>D31</f>
        <v>UEC</v>
      </c>
      <c r="W31" s="1599">
        <v>1061</v>
      </c>
      <c r="X31" s="1599">
        <v>1061</v>
      </c>
      <c r="Y31" s="1599">
        <v>1061</v>
      </c>
      <c r="Z31" s="1599"/>
      <c r="AA31" s="1599"/>
      <c r="AB31" s="1599"/>
      <c r="AC31" s="1599"/>
      <c r="AD31" s="1599"/>
      <c r="AE31" s="1599"/>
      <c r="AF31" s="1599"/>
      <c r="AG31" s="1599"/>
    </row>
    <row r="32" spans="1:57" hidden="1" outlineLevel="1" x14ac:dyDescent="0.25">
      <c r="D32" s="1685" t="s">
        <v>2441</v>
      </c>
      <c r="E32" s="1685"/>
      <c r="F32" s="280">
        <v>0.84</v>
      </c>
      <c r="G32" s="2326" t="s">
        <v>2440</v>
      </c>
      <c r="V32" s="1598" t="str">
        <f>D32</f>
        <v>Part Use Factor</v>
      </c>
      <c r="W32" s="1599">
        <v>0.84</v>
      </c>
      <c r="X32" s="1599">
        <v>0.84</v>
      </c>
      <c r="Y32" s="1599">
        <v>0.84</v>
      </c>
      <c r="Z32" s="1599"/>
      <c r="AA32" s="1599"/>
      <c r="AB32" s="1599"/>
      <c r="AC32" s="1599"/>
      <c r="AD32" s="1599"/>
      <c r="AE32" s="1599"/>
      <c r="AF32" s="1599"/>
      <c r="AG32" s="1599"/>
    </row>
    <row r="33" spans="1:57" hidden="1" outlineLevel="1" x14ac:dyDescent="0.25">
      <c r="D33" s="455"/>
      <c r="F33" s="456"/>
    </row>
    <row r="34" spans="1:57" collapsed="1" x14ac:dyDescent="0.25"/>
    <row r="36" spans="1:57" x14ac:dyDescent="0.25">
      <c r="B36" s="2639" t="s">
        <v>2445</v>
      </c>
      <c r="C36" s="2640"/>
      <c r="D36" s="2640"/>
      <c r="E36" s="2640"/>
      <c r="F36" s="2640"/>
      <c r="G36" s="2640"/>
      <c r="H36" s="2640"/>
      <c r="I36" s="2640"/>
      <c r="J36" s="2640"/>
      <c r="K36" s="2640"/>
      <c r="L36" s="2734"/>
      <c r="V36" s="2639" t="str">
        <f>B36</f>
        <v>Room AC</v>
      </c>
      <c r="W36" s="2640"/>
      <c r="X36" s="2640"/>
      <c r="Y36" s="2640"/>
      <c r="Z36" s="2640"/>
      <c r="AA36" s="2640"/>
      <c r="AB36" s="2640"/>
      <c r="AC36" s="2615"/>
      <c r="AD36" s="2615"/>
      <c r="AE36" s="2615"/>
      <c r="AF36" s="2615"/>
      <c r="AG36" s="2615"/>
      <c r="AH36" s="2615"/>
      <c r="AI36" s="2616"/>
    </row>
    <row r="37" spans="1:57" x14ac:dyDescent="0.25">
      <c r="V37" s="328"/>
      <c r="W37" s="328"/>
      <c r="X37" s="328"/>
      <c r="Y37" s="328"/>
      <c r="Z37" s="328"/>
      <c r="AA37" s="328"/>
      <c r="AB37" s="328"/>
      <c r="AC37" s="328"/>
      <c r="AD37" s="328"/>
      <c r="AE37" s="328"/>
      <c r="AF37" s="328"/>
      <c r="AG37" s="328"/>
      <c r="AH37" s="328"/>
      <c r="AI37" s="328"/>
    </row>
    <row r="38" spans="1:57" s="124" customFormat="1" ht="45" customHeight="1" x14ac:dyDescent="0.25">
      <c r="A38" s="177"/>
      <c r="B38" s="177"/>
      <c r="C38" s="1641" t="s">
        <v>17</v>
      </c>
      <c r="D38" s="1641" t="s">
        <v>662</v>
      </c>
      <c r="E38" s="1641" t="s">
        <v>19</v>
      </c>
      <c r="F38" s="1641" t="s">
        <v>20</v>
      </c>
      <c r="G38" s="1641" t="s">
        <v>21</v>
      </c>
      <c r="H38" s="1641" t="s">
        <v>22</v>
      </c>
      <c r="I38" s="1641" t="s">
        <v>23</v>
      </c>
      <c r="J38" s="1641" t="s">
        <v>24</v>
      </c>
      <c r="K38" s="1641" t="s">
        <v>25</v>
      </c>
      <c r="L38" s="1641" t="s">
        <v>26</v>
      </c>
      <c r="M38" s="233"/>
      <c r="N38" s="233"/>
      <c r="O38" s="233"/>
      <c r="P38" s="233"/>
      <c r="Q38" s="233"/>
      <c r="R38" s="233"/>
      <c r="S38" s="233"/>
      <c r="T38" s="233"/>
      <c r="U38" s="233"/>
      <c r="V38" s="55" t="s">
        <v>27</v>
      </c>
      <c r="W38" s="56">
        <f>W$6</f>
        <v>43252</v>
      </c>
      <c r="X38" s="56">
        <f t="shared" ref="X38:AG38" si="5">X$6</f>
        <v>43465</v>
      </c>
      <c r="Y38" s="56">
        <f t="shared" si="5"/>
        <v>43800</v>
      </c>
      <c r="Z38" s="56">
        <f t="shared" si="5"/>
        <v>43862</v>
      </c>
      <c r="AA38" s="56" t="str">
        <f t="shared" si="5"/>
        <v>-</v>
      </c>
      <c r="AB38" s="56" t="str">
        <f t="shared" si="5"/>
        <v>-</v>
      </c>
      <c r="AC38" s="56" t="str">
        <f t="shared" si="5"/>
        <v>-</v>
      </c>
      <c r="AD38" s="56" t="str">
        <f t="shared" si="5"/>
        <v>-</v>
      </c>
      <c r="AE38" s="56" t="str">
        <f t="shared" si="5"/>
        <v>-</v>
      </c>
      <c r="AF38" s="56" t="str">
        <f t="shared" si="5"/>
        <v>-</v>
      </c>
      <c r="AG38" s="56" t="str">
        <f t="shared" si="5"/>
        <v>-</v>
      </c>
      <c r="AH38" s="328"/>
      <c r="AI38" s="328"/>
      <c r="BB38" s="57" t="str">
        <f>$BB$6</f>
        <v>TRC (2020)</v>
      </c>
      <c r="BC38" s="103" t="str">
        <f>$BC$6</f>
        <v>Benefit Lookup</v>
      </c>
      <c r="BD38" s="883" t="str">
        <f>$BD$6</f>
        <v>Benefits (2019 $)</v>
      </c>
      <c r="BE38" s="334" t="str">
        <f>$BE$6</f>
        <v>Incremental Cost (2019 $)</v>
      </c>
    </row>
    <row r="39" spans="1:57" x14ac:dyDescent="0.25">
      <c r="C39" s="92" t="s">
        <v>2446</v>
      </c>
      <c r="D39" s="150" t="s">
        <v>2434</v>
      </c>
      <c r="E39" s="1666" t="s">
        <v>2447</v>
      </c>
      <c r="F39" s="1964">
        <f>ROUND(((F52*$F$54)/($F$55*1000))-($F$56*((F52*$F$54)/($F$57*1000))),2)</f>
        <v>302.52999999999997</v>
      </c>
      <c r="G39" s="1526" t="s">
        <v>737</v>
      </c>
      <c r="H39" s="239">
        <f>VLOOKUP(G39,'CP FACTORS'!$A$3:$B$38, 2, FALSE)</f>
        <v>9.4741810000000004E-4</v>
      </c>
      <c r="I39" s="153">
        <f t="shared" ref="I39:I40" si="6">ROUND(F39*H39,6)</f>
        <v>0.28662199999999999</v>
      </c>
      <c r="J39" s="156">
        <v>4</v>
      </c>
      <c r="K39" s="658">
        <f>349*(140/(742+11))</f>
        <v>64.887118193891098</v>
      </c>
      <c r="L39" s="92" t="s">
        <v>37</v>
      </c>
      <c r="V39" s="245" t="str">
        <f>F38</f>
        <v>kWh Annual Savings</v>
      </c>
      <c r="W39" s="1600">
        <f t="shared" ref="W39:X40" si="7">((W52*$F$54)/($F$55*1000))-($F$56*((W52*$F$54)/($F$57*1000)))</f>
        <v>302.53414882772677</v>
      </c>
      <c r="X39" s="1600">
        <f t="shared" si="7"/>
        <v>302.53414882772677</v>
      </c>
      <c r="Y39" s="1601">
        <v>302.52999999999997</v>
      </c>
      <c r="Z39" s="1602"/>
      <c r="AA39" s="1602"/>
      <c r="AB39" s="1602"/>
      <c r="AC39" s="1602"/>
      <c r="AD39" s="1602"/>
      <c r="AE39" s="1602"/>
      <c r="AF39" s="1602"/>
      <c r="AG39" s="1602"/>
      <c r="BB39" s="161">
        <f t="shared" ref="BB39:BB40" si="8">(BD39)/(BE39)</f>
        <v>1.8106496480376837</v>
      </c>
      <c r="BC39" s="69" t="str">
        <f t="shared" ref="BC39:BC40" si="9">CONCATENATE(G39," ",J39," Year EUL")</f>
        <v>Cooling RES 4 Year EUL</v>
      </c>
      <c r="BD39" s="162">
        <f>(INDEX('Avoided Cost Benefits'!$C$4:$C$857,MATCH(BC39,'Avoided Cost Benefits'!$A$4:$A$857,0)))*F39</f>
        <v>110.88988930622793</v>
      </c>
      <c r="BE39" s="70">
        <f t="shared" ref="BE39:BE40" si="10">K39/(1.0595^(2020-2019))</f>
        <v>61.243150725711274</v>
      </c>
    </row>
    <row r="40" spans="1:57" x14ac:dyDescent="0.25">
      <c r="C40" s="92" t="s">
        <v>2448</v>
      </c>
      <c r="D40" s="150" t="s">
        <v>2434</v>
      </c>
      <c r="E40" s="1666" t="s">
        <v>2449</v>
      </c>
      <c r="F40" s="1964">
        <f>ROUND(((F53*$F$54)/($F$55*1000))-($F$56*((F53*$F$54)/($F$57*1000))),2)</f>
        <v>195.59</v>
      </c>
      <c r="G40" s="1526" t="s">
        <v>737</v>
      </c>
      <c r="H40" s="239">
        <f>VLOOKUP(G40,'CP FACTORS'!$A$3:$B$38, 2, FALSE)</f>
        <v>9.4741810000000004E-4</v>
      </c>
      <c r="I40" s="153">
        <f t="shared" si="6"/>
        <v>0.185306</v>
      </c>
      <c r="J40" s="156">
        <v>4</v>
      </c>
      <c r="K40" s="658">
        <f>349*(140/(742+11))</f>
        <v>64.887118193891098</v>
      </c>
      <c r="L40" s="92" t="s">
        <v>37</v>
      </c>
      <c r="V40" s="245" t="str">
        <f>V39</f>
        <v>kWh Annual Savings</v>
      </c>
      <c r="W40" s="1600">
        <f t="shared" si="7"/>
        <v>195.59184505606521</v>
      </c>
      <c r="X40" s="1600">
        <f t="shared" si="7"/>
        <v>195.59184505606521</v>
      </c>
      <c r="Y40" s="1601">
        <v>195.59</v>
      </c>
      <c r="Z40" s="1602"/>
      <c r="AA40" s="1602"/>
      <c r="AB40" s="1602"/>
      <c r="AC40" s="1602"/>
      <c r="AD40" s="1602"/>
      <c r="AE40" s="1602"/>
      <c r="AF40" s="1602"/>
      <c r="AG40" s="1602"/>
      <c r="BB40" s="169">
        <f t="shared" si="8"/>
        <v>1.1706110622407384</v>
      </c>
      <c r="BC40" s="73" t="str">
        <f t="shared" si="9"/>
        <v>Cooling RES 4 Year EUL</v>
      </c>
      <c r="BD40" s="170">
        <f>(INDEX('Avoided Cost Benefits'!$C$4:$C$857,MATCH(BC40,'Avoided Cost Benefits'!$A$4:$A$857,0)))*F40</f>
        <v>71.69190972599452</v>
      </c>
      <c r="BE40" s="76">
        <f t="shared" si="10"/>
        <v>61.243150725711274</v>
      </c>
    </row>
    <row r="41" spans="1:57" hidden="1" outlineLevel="1" x14ac:dyDescent="0.25">
      <c r="C41" s="176" t="s">
        <v>2450</v>
      </c>
    </row>
    <row r="42" spans="1:57" hidden="1" outlineLevel="1" x14ac:dyDescent="0.25">
      <c r="D42" s="177"/>
    </row>
    <row r="43" spans="1:57" hidden="1" outlineLevel="1" x14ac:dyDescent="0.25">
      <c r="D43" s="259" t="s">
        <v>617</v>
      </c>
    </row>
    <row r="44" spans="1:57" hidden="1" outlineLevel="1" x14ac:dyDescent="0.25"/>
    <row r="45" spans="1:57" hidden="1" outlineLevel="1" x14ac:dyDescent="0.25">
      <c r="F45" s="2327"/>
    </row>
    <row r="46" spans="1:57" hidden="1" outlineLevel="1" x14ac:dyDescent="0.25"/>
    <row r="47" spans="1:57" hidden="1" outlineLevel="1" x14ac:dyDescent="0.25"/>
    <row r="48" spans="1:57" hidden="1" outlineLevel="1" x14ac:dyDescent="0.25"/>
    <row r="49" spans="1:57" hidden="1" outlineLevel="1" x14ac:dyDescent="0.25"/>
    <row r="50" spans="1:57" hidden="1" outlineLevel="1" x14ac:dyDescent="0.25"/>
    <row r="51" spans="1:57" hidden="1" outlineLevel="1" x14ac:dyDescent="0.25">
      <c r="D51" s="1428" t="s">
        <v>619</v>
      </c>
      <c r="E51" s="1428" t="s">
        <v>77</v>
      </c>
      <c r="F51" s="1678" t="s">
        <v>620</v>
      </c>
      <c r="G51" s="1678" t="s">
        <v>621</v>
      </c>
      <c r="V51" s="55" t="s">
        <v>27</v>
      </c>
      <c r="W51" s="56">
        <f>W$6</f>
        <v>43252</v>
      </c>
      <c r="X51" s="56">
        <f t="shared" ref="X51:AG51" si="11">X$6</f>
        <v>43465</v>
      </c>
      <c r="Y51" s="56">
        <f t="shared" si="11"/>
        <v>43800</v>
      </c>
      <c r="Z51" s="56">
        <f t="shared" si="11"/>
        <v>43862</v>
      </c>
      <c r="AA51" s="56" t="str">
        <f t="shared" si="11"/>
        <v>-</v>
      </c>
      <c r="AB51" s="56" t="str">
        <f t="shared" si="11"/>
        <v>-</v>
      </c>
      <c r="AC51" s="56" t="str">
        <f t="shared" si="11"/>
        <v>-</v>
      </c>
      <c r="AD51" s="56" t="str">
        <f t="shared" si="11"/>
        <v>-</v>
      </c>
      <c r="AE51" s="56" t="str">
        <f t="shared" si="11"/>
        <v>-</v>
      </c>
      <c r="AF51" s="56" t="str">
        <f t="shared" si="11"/>
        <v>-</v>
      </c>
      <c r="AG51" s="56" t="str">
        <f t="shared" si="11"/>
        <v>-</v>
      </c>
    </row>
    <row r="52" spans="1:57" ht="30" hidden="1" outlineLevel="1" x14ac:dyDescent="0.25">
      <c r="D52" s="1634" t="s">
        <v>2451</v>
      </c>
      <c r="E52" s="1705" t="s">
        <v>2452</v>
      </c>
      <c r="F52" s="1105">
        <v>860</v>
      </c>
      <c r="G52" s="1635" t="s">
        <v>806</v>
      </c>
      <c r="V52" s="1598" t="str">
        <f>D52</f>
        <v>Hours Primary</v>
      </c>
      <c r="W52" s="1603">
        <v>860</v>
      </c>
      <c r="X52" s="1603">
        <v>860</v>
      </c>
      <c r="Y52" s="1603">
        <v>860</v>
      </c>
      <c r="Z52" s="1603"/>
      <c r="AA52" s="1603"/>
      <c r="AB52" s="1603"/>
      <c r="AC52" s="1603"/>
      <c r="AD52" s="1603"/>
      <c r="AE52" s="1603"/>
      <c r="AF52" s="1603"/>
      <c r="AG52" s="1603"/>
    </row>
    <row r="53" spans="1:57" ht="30" hidden="1" outlineLevel="1" x14ac:dyDescent="0.25">
      <c r="D53" s="1634" t="s">
        <v>2453</v>
      </c>
      <c r="E53" s="1705" t="s">
        <v>2454</v>
      </c>
      <c r="F53" s="1105">
        <v>556</v>
      </c>
      <c r="G53" s="1635" t="s">
        <v>806</v>
      </c>
      <c r="V53" s="1598" t="str">
        <f t="shared" ref="V53:V57" si="12">D53</f>
        <v>Hours Secondary</v>
      </c>
      <c r="W53" s="1603">
        <v>556</v>
      </c>
      <c r="X53" s="1603">
        <v>556</v>
      </c>
      <c r="Y53" s="1603">
        <v>556</v>
      </c>
      <c r="Z53" s="1603"/>
      <c r="AA53" s="1603"/>
      <c r="AB53" s="1603"/>
      <c r="AC53" s="1603"/>
      <c r="AD53" s="1603"/>
      <c r="AE53" s="1603"/>
      <c r="AF53" s="1603"/>
      <c r="AG53" s="1603"/>
    </row>
    <row r="54" spans="1:57" hidden="1" outlineLevel="1" x14ac:dyDescent="0.25">
      <c r="D54" s="1634" t="s">
        <v>2455</v>
      </c>
      <c r="E54" s="1705" t="s">
        <v>2456</v>
      </c>
      <c r="F54" s="1105">
        <v>8500</v>
      </c>
      <c r="G54" s="1635"/>
      <c r="V54" s="1598" t="str">
        <f t="shared" si="12"/>
        <v>BtuH</v>
      </c>
      <c r="W54" s="1603">
        <v>8500</v>
      </c>
      <c r="X54" s="1603">
        <v>8500</v>
      </c>
      <c r="Y54" s="1603">
        <v>8500</v>
      </c>
      <c r="Z54" s="1603"/>
      <c r="AA54" s="1603"/>
      <c r="AB54" s="1603"/>
      <c r="AC54" s="1603"/>
      <c r="AD54" s="1603"/>
      <c r="AE54" s="1603"/>
      <c r="AF54" s="1603"/>
      <c r="AG54" s="1603"/>
    </row>
    <row r="55" spans="1:57" hidden="1" outlineLevel="1" x14ac:dyDescent="0.25">
      <c r="D55" s="1634" t="s">
        <v>503</v>
      </c>
      <c r="E55" s="1705" t="s">
        <v>2457</v>
      </c>
      <c r="F55" s="1105">
        <v>9</v>
      </c>
      <c r="G55" s="1635"/>
      <c r="V55" s="1598" t="str">
        <f t="shared" si="12"/>
        <v>EERexist</v>
      </c>
      <c r="W55" s="1603">
        <v>9</v>
      </c>
      <c r="X55" s="1603">
        <v>9</v>
      </c>
      <c r="Y55" s="1603">
        <v>9</v>
      </c>
      <c r="Z55" s="1603"/>
      <c r="AA55" s="1603"/>
      <c r="AB55" s="1603"/>
      <c r="AC55" s="1603"/>
      <c r="AD55" s="1603"/>
      <c r="AE55" s="1603"/>
      <c r="AF55" s="1603"/>
      <c r="AG55" s="1603"/>
    </row>
    <row r="56" spans="1:57" ht="30" hidden="1" outlineLevel="1" x14ac:dyDescent="0.25">
      <c r="D56" s="1634" t="s">
        <v>2458</v>
      </c>
      <c r="E56" s="1705" t="s">
        <v>2459</v>
      </c>
      <c r="F56" s="2328">
        <v>0.76</v>
      </c>
      <c r="G56" s="1635"/>
      <c r="V56" s="1598" t="str">
        <f t="shared" si="12"/>
        <v>% replaced</v>
      </c>
      <c r="W56" s="1604">
        <v>0.76</v>
      </c>
      <c r="X56" s="1604">
        <v>0.76</v>
      </c>
      <c r="Y56" s="1604">
        <v>0.76</v>
      </c>
      <c r="Z56" s="1604"/>
      <c r="AA56" s="1604"/>
      <c r="AB56" s="1604"/>
      <c r="AC56" s="1604"/>
      <c r="AD56" s="1604"/>
      <c r="AE56" s="1604"/>
      <c r="AF56" s="1604"/>
      <c r="AG56" s="1604"/>
    </row>
    <row r="57" spans="1:57" ht="15" hidden="1" customHeight="1" outlineLevel="1" x14ac:dyDescent="0.25">
      <c r="D57" s="1634" t="s">
        <v>535</v>
      </c>
      <c r="E57" s="1705" t="s">
        <v>2460</v>
      </c>
      <c r="F57" s="2329">
        <v>10.9</v>
      </c>
      <c r="G57" s="1635"/>
      <c r="V57" s="1598" t="str">
        <f t="shared" si="12"/>
        <v>EERbase</v>
      </c>
      <c r="W57" s="1603">
        <v>10.9</v>
      </c>
      <c r="X57" s="1603">
        <v>10.9</v>
      </c>
      <c r="Y57" s="1603">
        <v>10.9</v>
      </c>
      <c r="Z57" s="1605"/>
      <c r="AA57" s="1605"/>
      <c r="AB57" s="1605"/>
      <c r="AC57" s="1605"/>
      <c r="AD57" s="1605"/>
      <c r="AE57" s="1605"/>
      <c r="AF57" s="1605"/>
      <c r="AG57" s="1605"/>
    </row>
    <row r="58" spans="1:57" ht="15" customHeight="1" collapsed="1" x14ac:dyDescent="0.25">
      <c r="D58" s="2330"/>
      <c r="E58" s="2331"/>
      <c r="F58" s="2332"/>
      <c r="G58" s="2333"/>
    </row>
    <row r="60" spans="1:57" x14ac:dyDescent="0.25">
      <c r="B60" s="2639" t="s">
        <v>2461</v>
      </c>
      <c r="C60" s="2640"/>
      <c r="D60" s="2640"/>
      <c r="E60" s="2640"/>
      <c r="F60" s="2640"/>
      <c r="G60" s="2640"/>
      <c r="H60" s="2640"/>
      <c r="I60" s="2640"/>
      <c r="J60" s="2640"/>
      <c r="K60" s="2640"/>
      <c r="L60" s="2734"/>
      <c r="O60" s="355"/>
      <c r="P60" s="355"/>
      <c r="Q60" s="355"/>
      <c r="R60" s="355"/>
      <c r="V60" s="2639" t="str">
        <f>B60</f>
        <v>Dehumidifier Recycling</v>
      </c>
      <c r="W60" s="2640"/>
      <c r="X60" s="2640"/>
      <c r="Y60" s="2640"/>
      <c r="Z60" s="2640"/>
      <c r="AA60" s="2640"/>
      <c r="AB60" s="2640"/>
      <c r="AC60" s="2615"/>
      <c r="AD60" s="2615"/>
      <c r="AE60" s="2615"/>
      <c r="AF60" s="2615"/>
      <c r="AG60" s="2615"/>
      <c r="AH60" s="2615"/>
      <c r="AI60" s="2616"/>
    </row>
    <row r="61" spans="1:57" x14ac:dyDescent="0.25">
      <c r="V61" s="328"/>
      <c r="W61" s="328"/>
      <c r="X61" s="328"/>
      <c r="Y61" s="328"/>
      <c r="Z61" s="328"/>
      <c r="AA61" s="328"/>
      <c r="AB61" s="328"/>
      <c r="AC61" s="328"/>
      <c r="AD61" s="328"/>
      <c r="AE61" s="328"/>
      <c r="AF61" s="328"/>
      <c r="AG61" s="328"/>
      <c r="AH61" s="328"/>
      <c r="AI61" s="328"/>
    </row>
    <row r="62" spans="1:57" s="124" customFormat="1" ht="45" customHeight="1" x14ac:dyDescent="0.25">
      <c r="A62" s="177"/>
      <c r="B62" s="177"/>
      <c r="C62" s="1641" t="s">
        <v>17</v>
      </c>
      <c r="D62" s="1641" t="s">
        <v>662</v>
      </c>
      <c r="E62" s="1641" t="s">
        <v>19</v>
      </c>
      <c r="F62" s="1641" t="s">
        <v>20</v>
      </c>
      <c r="G62" s="1641" t="s">
        <v>21</v>
      </c>
      <c r="H62" s="1641" t="s">
        <v>22</v>
      </c>
      <c r="I62" s="1641" t="s">
        <v>23</v>
      </c>
      <c r="J62" s="1641" t="s">
        <v>24</v>
      </c>
      <c r="K62" s="1641" t="s">
        <v>25</v>
      </c>
      <c r="L62" s="1641" t="s">
        <v>26</v>
      </c>
      <c r="M62" s="233"/>
      <c r="N62" s="233"/>
      <c r="O62" s="233"/>
      <c r="P62" s="233"/>
      <c r="Q62" s="233"/>
      <c r="R62" s="233"/>
      <c r="S62" s="233"/>
      <c r="T62" s="233"/>
      <c r="U62" s="233"/>
      <c r="V62" s="55" t="s">
        <v>27</v>
      </c>
      <c r="W62" s="56">
        <v>43252</v>
      </c>
      <c r="X62" s="56">
        <f t="shared" ref="X62:AG62" si="13">X$6</f>
        <v>43465</v>
      </c>
      <c r="Y62" s="56">
        <f t="shared" si="13"/>
        <v>43800</v>
      </c>
      <c r="Z62" s="56">
        <f t="shared" si="13"/>
        <v>43862</v>
      </c>
      <c r="AA62" s="56" t="str">
        <f t="shared" si="13"/>
        <v>-</v>
      </c>
      <c r="AB62" s="56" t="str">
        <f t="shared" si="13"/>
        <v>-</v>
      </c>
      <c r="AC62" s="56" t="str">
        <f t="shared" si="13"/>
        <v>-</v>
      </c>
      <c r="AD62" s="56" t="str">
        <f t="shared" si="13"/>
        <v>-</v>
      </c>
      <c r="AE62" s="56" t="str">
        <f t="shared" si="13"/>
        <v>-</v>
      </c>
      <c r="AF62" s="56" t="str">
        <f t="shared" si="13"/>
        <v>-</v>
      </c>
      <c r="AG62" s="56" t="str">
        <f t="shared" si="13"/>
        <v>-</v>
      </c>
      <c r="AH62" s="328"/>
      <c r="AI62" s="328"/>
      <c r="BB62" s="57" t="str">
        <f>$BB$6</f>
        <v>TRC (2020)</v>
      </c>
      <c r="BC62" s="103" t="str">
        <f>$BC$6</f>
        <v>Benefit Lookup</v>
      </c>
      <c r="BD62" s="883" t="str">
        <f>$BD$6</f>
        <v>Benefits (2019 $)</v>
      </c>
      <c r="BE62" s="334" t="str">
        <f>$BE$6</f>
        <v>Incremental Cost (2019 $)</v>
      </c>
    </row>
    <row r="63" spans="1:57" x14ac:dyDescent="0.25">
      <c r="C63" s="92" t="s">
        <v>2462</v>
      </c>
      <c r="D63" s="150" t="s">
        <v>2434</v>
      </c>
      <c r="E63" s="1666" t="s">
        <v>2461</v>
      </c>
      <c r="F63" s="1432">
        <f>ROUND(139,2)</f>
        <v>139</v>
      </c>
      <c r="G63" s="156" t="s">
        <v>941</v>
      </c>
      <c r="H63" s="239">
        <f>VLOOKUP(G63,'CP FACTORS'!$A$3:$B$38, 2, FALSE)</f>
        <v>4.6608050000000002E-4</v>
      </c>
      <c r="I63" s="153">
        <f>ROUND(F63*H63,6)</f>
        <v>6.4784999999999995E-2</v>
      </c>
      <c r="J63" s="156">
        <f>ROUND(J39*12/9,0)</f>
        <v>5</v>
      </c>
      <c r="K63" s="658">
        <f>230*(140/(742+11))</f>
        <v>42.762284196547142</v>
      </c>
      <c r="L63" s="92" t="s">
        <v>37</v>
      </c>
      <c r="V63" s="245" t="str">
        <f>F62</f>
        <v>kWh Annual Savings</v>
      </c>
      <c r="W63" s="1606">
        <v>139</v>
      </c>
      <c r="X63" s="1607">
        <v>139</v>
      </c>
      <c r="Y63" s="1607">
        <v>139</v>
      </c>
      <c r="Z63" s="1602"/>
      <c r="AA63" s="1602"/>
      <c r="AB63" s="1602"/>
      <c r="AC63" s="1602"/>
      <c r="AD63" s="1602"/>
      <c r="AE63" s="1602"/>
      <c r="AF63" s="1602"/>
      <c r="AG63" s="1602"/>
      <c r="BB63" s="1528">
        <f>(BD63)/(BE63)</f>
        <v>1.0378649458641431</v>
      </c>
      <c r="BC63" s="69" t="str">
        <f>CONCATENATE(G63," ",J63," Year EUL")</f>
        <v>HVAC RES 5 Year EUL</v>
      </c>
      <c r="BD63" s="251">
        <f>(INDEX('Avoided Cost Benefits'!$C$4:$C$857,MATCH(BC63,'Avoided Cost Benefits'!$A$4:$A$857,0)))*F63</f>
        <v>41.889075764678154</v>
      </c>
      <c r="BE63" s="122">
        <f>K63/(1.0595^(2020-2019))</f>
        <v>40.360815664508863</v>
      </c>
    </row>
    <row r="64" spans="1:57" x14ac:dyDescent="0.25">
      <c r="C64" s="1608" t="s">
        <v>2463</v>
      </c>
      <c r="E64" s="1421"/>
      <c r="G64" s="785"/>
      <c r="H64" s="785"/>
      <c r="I64" s="785"/>
      <c r="J64" s="2253"/>
      <c r="K64" s="2334"/>
      <c r="L64" s="911"/>
    </row>
    <row r="65" spans="3:33" x14ac:dyDescent="0.25">
      <c r="C65" s="1608" t="s">
        <v>2464</v>
      </c>
      <c r="E65" s="1421"/>
      <c r="G65" s="785"/>
      <c r="H65" s="785"/>
      <c r="I65" s="785"/>
      <c r="J65" s="2253"/>
      <c r="K65" s="2334"/>
      <c r="L65" s="911"/>
    </row>
    <row r="66" spans="3:33" hidden="1" outlineLevel="1" x14ac:dyDescent="0.25"/>
    <row r="67" spans="3:33" hidden="1" outlineLevel="1" x14ac:dyDescent="0.25">
      <c r="D67" s="259" t="s">
        <v>617</v>
      </c>
    </row>
    <row r="68" spans="3:33" hidden="1" outlineLevel="1" x14ac:dyDescent="0.25"/>
    <row r="69" spans="3:33" hidden="1" outlineLevel="1" x14ac:dyDescent="0.25"/>
    <row r="70" spans="3:33" hidden="1" outlineLevel="1" x14ac:dyDescent="0.25"/>
    <row r="71" spans="3:33" hidden="1" outlineLevel="1" x14ac:dyDescent="0.25">
      <c r="D71" s="1678" t="s">
        <v>619</v>
      </c>
      <c r="E71" s="1678" t="s">
        <v>77</v>
      </c>
      <c r="F71" s="1678" t="s">
        <v>620</v>
      </c>
      <c r="G71" s="3101" t="s">
        <v>621</v>
      </c>
      <c r="H71" s="3101"/>
      <c r="I71" s="3101"/>
      <c r="J71" s="3101"/>
      <c r="V71" s="55" t="s">
        <v>27</v>
      </c>
      <c r="W71" s="56">
        <f>W$6</f>
        <v>43252</v>
      </c>
      <c r="X71" s="56">
        <f t="shared" ref="X71:AG71" si="14">X$6</f>
        <v>43465</v>
      </c>
      <c r="Y71" s="56">
        <f t="shared" si="14"/>
        <v>43800</v>
      </c>
      <c r="Z71" s="56">
        <f t="shared" si="14"/>
        <v>43862</v>
      </c>
      <c r="AA71" s="56" t="str">
        <f t="shared" si="14"/>
        <v>-</v>
      </c>
      <c r="AB71" s="56" t="str">
        <f t="shared" si="14"/>
        <v>-</v>
      </c>
      <c r="AC71" s="56" t="str">
        <f t="shared" si="14"/>
        <v>-</v>
      </c>
      <c r="AD71" s="56" t="str">
        <f t="shared" si="14"/>
        <v>-</v>
      </c>
      <c r="AE71" s="56" t="str">
        <f t="shared" si="14"/>
        <v>-</v>
      </c>
      <c r="AF71" s="56" t="str">
        <f t="shared" si="14"/>
        <v>-</v>
      </c>
      <c r="AG71" s="56" t="str">
        <f t="shared" si="14"/>
        <v>-</v>
      </c>
    </row>
    <row r="72" spans="3:33" ht="47.25" hidden="1" customHeight="1" outlineLevel="1" x14ac:dyDescent="0.25">
      <c r="D72" s="1634" t="s">
        <v>20</v>
      </c>
      <c r="E72" s="1666" t="s">
        <v>2465</v>
      </c>
      <c r="F72" s="2335">
        <v>139</v>
      </c>
      <c r="G72" s="2654" t="s">
        <v>2466</v>
      </c>
      <c r="H72" s="2654"/>
      <c r="I72" s="2654"/>
      <c r="J72" s="2654"/>
      <c r="V72" s="1598" t="str">
        <f>D72</f>
        <v>kWh Annual Savings</v>
      </c>
      <c r="W72" s="1596">
        <v>139</v>
      </c>
      <c r="X72" s="1596">
        <v>139</v>
      </c>
      <c r="Y72" s="1596">
        <v>139</v>
      </c>
      <c r="Z72" s="1596"/>
      <c r="AA72" s="1596"/>
      <c r="AB72" s="1596"/>
      <c r="AC72" s="1596"/>
      <c r="AD72" s="1596"/>
      <c r="AE72" s="1596"/>
      <c r="AF72" s="1596"/>
      <c r="AG72" s="1596"/>
    </row>
    <row r="73" spans="3:33" hidden="1" outlineLevel="1" x14ac:dyDescent="0.25"/>
    <row r="74" spans="3:33" hidden="1" outlineLevel="1" x14ac:dyDescent="0.25"/>
    <row r="75" spans="3:33" hidden="1" outlineLevel="1" x14ac:dyDescent="0.25"/>
    <row r="76" spans="3:33" hidden="1" outlineLevel="1" x14ac:dyDescent="0.25"/>
    <row r="77" spans="3:33" hidden="1" outlineLevel="1" x14ac:dyDescent="0.25">
      <c r="G77" s="177" t="s">
        <v>2467</v>
      </c>
    </row>
    <row r="78" spans="3:33" hidden="1" outlineLevel="1" x14ac:dyDescent="0.25"/>
    <row r="79" spans="3:33" hidden="1" outlineLevel="1" x14ac:dyDescent="0.25"/>
    <row r="80" spans="3:33" collapsed="1" x14ac:dyDescent="0.25"/>
  </sheetData>
  <mergeCells count="12">
    <mergeCell ref="G72:J72"/>
    <mergeCell ref="A1:Q1"/>
    <mergeCell ref="D2:J2"/>
    <mergeCell ref="B4:L4"/>
    <mergeCell ref="V4:AI4"/>
    <mergeCell ref="B21:L21"/>
    <mergeCell ref="V21:AI21"/>
    <mergeCell ref="B36:L36"/>
    <mergeCell ref="V36:AI36"/>
    <mergeCell ref="B60:L60"/>
    <mergeCell ref="V60:AI60"/>
    <mergeCell ref="G71:J71"/>
  </mergeCells>
  <pageMargins left="0.7" right="0.7" top="0.75" bottom="0.75" header="0.3" footer="0.3"/>
  <pageSetup scale="28" fitToHeight="0" orientation="landscape"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13"/>
  <sheetViews>
    <sheetView zoomScale="70" zoomScaleNormal="70" zoomScaleSheetLayoutView="70" workbookViewId="0">
      <selection sqref="A1:O1"/>
    </sheetView>
  </sheetViews>
  <sheetFormatPr defaultRowHeight="15" outlineLevelRow="1" x14ac:dyDescent="0.25"/>
  <cols>
    <col min="3" max="3" width="24" style="148" bestFit="1" customWidth="1"/>
    <col min="4" max="4" width="18.85546875" style="174" bestFit="1" customWidth="1"/>
    <col min="5" max="5" width="44.7109375" style="174" bestFit="1" customWidth="1"/>
    <col min="6" max="6" width="19.85546875" customWidth="1"/>
    <col min="7" max="7" width="18.7109375" bestFit="1" customWidth="1"/>
    <col min="8" max="8" width="16.85546875" customWidth="1"/>
    <col min="9" max="11" width="12.5703125" customWidth="1"/>
    <col min="12" max="12" width="16.85546875" customWidth="1"/>
    <col min="14" max="14" width="9.140625" customWidth="1"/>
    <col min="15" max="15" width="4.140625" customWidth="1"/>
    <col min="16" max="16" width="18.85546875" customWidth="1"/>
    <col min="17" max="17" width="37" customWidth="1"/>
    <col min="18" max="18" width="2.42578125" customWidth="1"/>
    <col min="19" max="21" width="9.140625" customWidth="1"/>
    <col min="22" max="22" width="31" customWidth="1"/>
    <col min="23" max="23" width="11" bestFit="1" customWidth="1"/>
    <col min="24" max="25" width="17.140625" bestFit="1" customWidth="1"/>
    <col min="26" max="26" width="17.5703125" customWidth="1"/>
    <col min="27" max="52" width="9.140625" customWidth="1"/>
    <col min="54" max="54" width="12" bestFit="1" customWidth="1"/>
    <col min="55" max="55" width="23.140625" bestFit="1" customWidth="1"/>
  </cols>
  <sheetData>
    <row r="1" spans="1:57" s="26" customFormat="1" ht="18.75" x14ac:dyDescent="0.3">
      <c r="A1" s="2633" t="s">
        <v>2468</v>
      </c>
      <c r="B1" s="3145"/>
      <c r="C1" s="3145"/>
      <c r="D1" s="3145"/>
      <c r="E1" s="3145"/>
      <c r="F1" s="3145"/>
      <c r="G1" s="3145"/>
      <c r="H1" s="3145"/>
      <c r="I1" s="3145"/>
      <c r="J1" s="3145"/>
      <c r="K1" s="3145"/>
      <c r="L1" s="3145"/>
      <c r="M1" s="3145"/>
      <c r="N1" s="3145"/>
      <c r="O1" s="3145"/>
      <c r="P1" s="2633"/>
      <c r="Q1" s="3145"/>
      <c r="R1" s="223"/>
      <c r="V1" s="33"/>
      <c r="W1" s="34"/>
      <c r="X1" s="34"/>
      <c r="Y1" s="35"/>
      <c r="Z1" s="35"/>
      <c r="AA1" s="35"/>
      <c r="AB1" s="35"/>
      <c r="AC1" s="35"/>
      <c r="AD1" s="35"/>
      <c r="AE1" s="35"/>
      <c r="AF1" s="35"/>
      <c r="AG1" s="35"/>
      <c r="AH1" s="35"/>
    </row>
    <row r="2" spans="1:57" s="26" customFormat="1" ht="30" hidden="1" customHeight="1" outlineLevel="1" x14ac:dyDescent="0.35">
      <c r="B2" s="31"/>
      <c r="C2" s="36"/>
      <c r="D2" s="3146" t="s">
        <v>14</v>
      </c>
      <c r="E2" s="3147"/>
      <c r="F2" s="3148"/>
      <c r="G2" s="3148"/>
      <c r="H2" s="3148"/>
      <c r="I2" s="3148"/>
      <c r="J2" s="3148"/>
      <c r="K2" s="32"/>
      <c r="L2" s="32"/>
    </row>
    <row r="3" spans="1:57" s="26" customFormat="1" ht="24" customHeight="1" collapsed="1" x14ac:dyDescent="0.35">
      <c r="B3" s="31"/>
      <c r="C3" s="36"/>
      <c r="D3" s="1523"/>
      <c r="E3" s="1524"/>
      <c r="F3" s="1525"/>
      <c r="G3" s="1525"/>
      <c r="H3" s="1525"/>
      <c r="I3" s="1525"/>
      <c r="J3" s="1525"/>
      <c r="K3" s="32"/>
      <c r="L3" s="32"/>
      <c r="V3" s="29"/>
      <c r="W3" s="29"/>
      <c r="X3" s="29"/>
      <c r="Y3" s="29"/>
      <c r="Z3" s="29"/>
      <c r="AA3" s="29"/>
      <c r="AB3" s="29"/>
      <c r="AC3" s="29"/>
      <c r="AD3" s="29"/>
      <c r="AE3" s="29"/>
      <c r="AF3" s="29"/>
      <c r="AG3" s="29"/>
      <c r="AH3" s="29"/>
      <c r="AI3" s="29"/>
    </row>
    <row r="4" spans="1:57" x14ac:dyDescent="0.25">
      <c r="B4" s="2639" t="s">
        <v>2469</v>
      </c>
      <c r="C4" s="2640"/>
      <c r="D4" s="2640"/>
      <c r="E4" s="2640"/>
      <c r="F4" s="2640"/>
      <c r="G4" s="2640"/>
      <c r="H4" s="2640"/>
      <c r="I4" s="2640"/>
      <c r="J4" s="2640"/>
      <c r="K4" s="2640"/>
      <c r="L4" s="2734"/>
      <c r="V4" s="2639" t="str">
        <f>B4</f>
        <v>Demand Response</v>
      </c>
      <c r="W4" s="2640"/>
      <c r="X4" s="2640"/>
      <c r="Y4" s="2640"/>
      <c r="Z4" s="2640"/>
      <c r="AA4" s="2640"/>
      <c r="AB4" s="2640"/>
      <c r="AC4" s="2615"/>
      <c r="AD4" s="2615"/>
      <c r="AE4" s="2615"/>
      <c r="AF4" s="2615"/>
      <c r="AG4" s="2615"/>
      <c r="AH4" s="2615"/>
      <c r="AI4" s="2616"/>
    </row>
    <row r="5" spans="1:57" x14ac:dyDescent="0.25">
      <c r="V5" s="328"/>
      <c r="W5" s="328"/>
      <c r="X5" s="328"/>
      <c r="Y5" s="328"/>
      <c r="Z5" s="328"/>
      <c r="AA5" s="328"/>
      <c r="AB5" s="328"/>
      <c r="AC5" s="328"/>
      <c r="AD5" s="328"/>
      <c r="AE5" s="328"/>
      <c r="AF5" s="328"/>
      <c r="AG5" s="328"/>
      <c r="AH5" s="328"/>
      <c r="AI5" s="328"/>
    </row>
    <row r="6" spans="1:57" ht="45" customHeight="1" x14ac:dyDescent="0.25">
      <c r="C6" s="149" t="s">
        <v>17</v>
      </c>
      <c r="D6" s="149" t="s">
        <v>662</v>
      </c>
      <c r="E6" s="149" t="s">
        <v>19</v>
      </c>
      <c r="F6" s="149" t="s">
        <v>2470</v>
      </c>
      <c r="G6" s="149" t="s">
        <v>21</v>
      </c>
      <c r="H6" s="149" t="s">
        <v>22</v>
      </c>
      <c r="I6" s="149" t="s">
        <v>2471</v>
      </c>
      <c r="J6" s="149" t="s">
        <v>24</v>
      </c>
      <c r="K6" s="149" t="s">
        <v>25</v>
      </c>
      <c r="L6" s="149" t="s">
        <v>26</v>
      </c>
      <c r="V6" s="55" t="s">
        <v>27</v>
      </c>
      <c r="W6" s="56">
        <v>43252</v>
      </c>
      <c r="X6" s="56">
        <v>43465</v>
      </c>
      <c r="Y6" s="56">
        <v>43800</v>
      </c>
      <c r="Z6" s="56">
        <v>43862</v>
      </c>
      <c r="AA6" s="56" t="s">
        <v>28</v>
      </c>
      <c r="AB6" s="56" t="s">
        <v>28</v>
      </c>
      <c r="AC6" s="56" t="s">
        <v>28</v>
      </c>
      <c r="AD6" s="56" t="s">
        <v>28</v>
      </c>
      <c r="AE6" s="56" t="s">
        <v>28</v>
      </c>
      <c r="AF6" s="56" t="s">
        <v>28</v>
      </c>
      <c r="AG6" s="56" t="s">
        <v>28</v>
      </c>
      <c r="AH6" s="328"/>
      <c r="AI6" s="328"/>
      <c r="BB6" s="57" t="s">
        <v>29</v>
      </c>
      <c r="BC6" s="103" t="s">
        <v>30</v>
      </c>
      <c r="BD6" s="883" t="s">
        <v>31</v>
      </c>
      <c r="BE6" s="334" t="s">
        <v>32</v>
      </c>
    </row>
    <row r="7" spans="1:57" x14ac:dyDescent="0.25">
      <c r="C7" s="92" t="s">
        <v>2472</v>
      </c>
      <c r="D7" s="472" t="s">
        <v>2473</v>
      </c>
      <c r="E7" s="1666" t="s">
        <v>2474</v>
      </c>
      <c r="F7" s="156">
        <f>ROUND(177,2)</f>
        <v>177</v>
      </c>
      <c r="G7" s="1526" t="s">
        <v>941</v>
      </c>
      <c r="H7" s="239" t="s">
        <v>28</v>
      </c>
      <c r="I7" s="2336" t="s">
        <v>28</v>
      </c>
      <c r="J7" s="156">
        <v>11</v>
      </c>
      <c r="K7" s="658">
        <v>0</v>
      </c>
      <c r="L7" s="92" t="s">
        <v>2475</v>
      </c>
      <c r="V7" s="245" t="str">
        <f>F6</f>
        <v>Gross kWh Annual Savings</v>
      </c>
      <c r="W7" s="1527">
        <v>177</v>
      </c>
      <c r="X7" s="1527">
        <v>177</v>
      </c>
      <c r="Y7" s="1527">
        <v>177</v>
      </c>
      <c r="Z7" s="1527"/>
      <c r="AA7" s="1527"/>
      <c r="AB7" s="1527"/>
      <c r="AC7" s="1527"/>
      <c r="AD7" s="1527"/>
      <c r="AE7" s="1527"/>
      <c r="AF7" s="1527"/>
      <c r="AG7" s="1527"/>
      <c r="BB7" s="1528" t="str">
        <f>IFERROR((BD7)/(BE7),"")</f>
        <v/>
      </c>
      <c r="BC7" s="69"/>
      <c r="BD7" s="251"/>
      <c r="BE7" s="122">
        <f>K7/(1.0595^(2020-2019))</f>
        <v>0</v>
      </c>
    </row>
    <row r="8" spans="1:57" x14ac:dyDescent="0.25">
      <c r="C8" s="455"/>
      <c r="D8" s="456"/>
      <c r="E8" s="3188" t="s">
        <v>3401</v>
      </c>
      <c r="F8" s="3188"/>
      <c r="G8" s="3188"/>
      <c r="H8" s="3188"/>
      <c r="I8" s="3188"/>
      <c r="J8" s="3188"/>
      <c r="K8" s="3188"/>
      <c r="L8" s="3188"/>
    </row>
    <row r="9" spans="1:57" x14ac:dyDescent="0.25">
      <c r="C9" s="455"/>
      <c r="D9" s="456"/>
      <c r="E9" s="3189"/>
      <c r="F9" s="3189"/>
      <c r="G9" s="3189"/>
      <c r="H9" s="3189"/>
      <c r="I9" s="3189"/>
      <c r="J9" s="3189"/>
      <c r="K9" s="3189"/>
      <c r="L9" s="3189"/>
    </row>
    <row r="10" spans="1:57" x14ac:dyDescent="0.25">
      <c r="C10" s="455"/>
      <c r="D10" s="456"/>
      <c r="E10" s="3189"/>
      <c r="F10" s="3189"/>
      <c r="G10" s="3189"/>
      <c r="H10" s="3189"/>
      <c r="I10" s="3189"/>
      <c r="J10" s="3189"/>
      <c r="K10" s="3189"/>
      <c r="L10" s="3189"/>
    </row>
    <row r="11" spans="1:57" ht="99" customHeight="1" x14ac:dyDescent="0.25">
      <c r="C11" s="455"/>
      <c r="D11" s="456"/>
      <c r="E11" s="3190" t="s">
        <v>3399</v>
      </c>
      <c r="F11" s="3009"/>
      <c r="G11" s="3009"/>
      <c r="H11" s="3009"/>
      <c r="I11" s="3009"/>
      <c r="J11" s="3009"/>
      <c r="K11" s="3009"/>
      <c r="L11" s="3009"/>
    </row>
    <row r="12" spans="1:57" x14ac:dyDescent="0.25">
      <c r="C12" s="455"/>
      <c r="D12" s="456"/>
      <c r="E12" s="456"/>
      <c r="F12" s="177"/>
      <c r="G12" s="177"/>
      <c r="H12" s="177"/>
      <c r="I12" s="177"/>
      <c r="J12" s="177"/>
      <c r="K12" s="177"/>
      <c r="L12" s="177"/>
    </row>
    <row r="13" spans="1:57" ht="87" customHeight="1" x14ac:dyDescent="0.25">
      <c r="C13" s="455"/>
      <c r="D13" s="456"/>
      <c r="E13" s="3190" t="s">
        <v>3400</v>
      </c>
      <c r="F13" s="3009"/>
      <c r="G13" s="3009"/>
      <c r="H13" s="3009"/>
      <c r="I13" s="3009"/>
      <c r="J13" s="3009"/>
      <c r="K13" s="3009"/>
      <c r="L13" s="3009"/>
    </row>
  </sheetData>
  <mergeCells count="8">
    <mergeCell ref="V4:AI4"/>
    <mergeCell ref="E8:L10"/>
    <mergeCell ref="E11:L11"/>
    <mergeCell ref="E13:L13"/>
    <mergeCell ref="A1:O1"/>
    <mergeCell ref="P1:Q1"/>
    <mergeCell ref="D2:J2"/>
    <mergeCell ref="B4:L4"/>
  </mergeCells>
  <pageMargins left="0.7" right="0.7" top="0.75" bottom="0.75" header="0.3" footer="0.3"/>
  <pageSetup scale="41" fitToHeight="0" orientation="landscape"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1:AU611"/>
  <sheetViews>
    <sheetView zoomScale="80" zoomScaleNormal="80" workbookViewId="0">
      <selection sqref="A1:AG3"/>
    </sheetView>
  </sheetViews>
  <sheetFormatPr defaultRowHeight="15" outlineLevelCol="1" x14ac:dyDescent="0.25"/>
  <cols>
    <col min="1" max="1" width="17.85546875" customWidth="1"/>
    <col min="2" max="2" width="12.5703125" customWidth="1"/>
    <col min="3" max="4" width="15" bestFit="1" customWidth="1"/>
    <col min="5" max="5" width="15.140625" bestFit="1" customWidth="1"/>
    <col min="6" max="6" width="65" customWidth="1"/>
    <col min="7" max="7" width="16.85546875" style="148" customWidth="1"/>
    <col min="8" max="8" width="12.140625" style="2377" customWidth="1"/>
    <col min="9" max="9" width="10.7109375" style="2377" customWidth="1"/>
    <col min="10" max="10" width="10" style="2450" customWidth="1" outlineLevel="1"/>
    <col min="11" max="11" width="10.5703125" style="2450" customWidth="1" outlineLevel="1"/>
    <col min="12" max="12" width="9.28515625" style="2450" customWidth="1" outlineLevel="1"/>
    <col min="13" max="13" width="10.5703125" style="2450" customWidth="1" outlineLevel="1"/>
    <col min="14" max="15" width="12.28515625" style="663" customWidth="1"/>
    <col min="16" max="16" width="10.5703125" customWidth="1" outlineLevel="1"/>
    <col min="17" max="17" width="11" customWidth="1" outlineLevel="1"/>
    <col min="18" max="18" width="10.42578125" customWidth="1" outlineLevel="1"/>
    <col min="19" max="19" width="11" customWidth="1" outlineLevel="1"/>
    <col min="20" max="22" width="12.28515625" customWidth="1"/>
    <col min="23" max="25" width="9.7109375" style="2457" customWidth="1"/>
    <col min="26" max="26" width="11.5703125" style="148" customWidth="1"/>
    <col min="27" max="27" width="14.140625" style="148" customWidth="1"/>
    <col min="28" max="28" width="17.42578125" style="2389" bestFit="1" customWidth="1"/>
    <col min="29" max="29" width="14.140625" style="2390" bestFit="1" customWidth="1"/>
    <col min="30" max="30" width="11.5703125" style="2435" customWidth="1" outlineLevel="1"/>
    <col min="31" max="33" width="9.5703125" style="2436" customWidth="1" outlineLevel="1"/>
    <col min="34" max="36" width="9.5703125" customWidth="1"/>
    <col min="37" max="37" width="83.140625" customWidth="1"/>
    <col min="38" max="38" width="15.7109375" hidden="1" customWidth="1"/>
    <col min="39" max="39" width="11" hidden="1" customWidth="1"/>
    <col min="40" max="40" width="10.7109375" hidden="1" customWidth="1"/>
    <col min="41" max="41" width="0" hidden="1" customWidth="1"/>
    <col min="42" max="42" width="16" hidden="1" customWidth="1"/>
    <col min="43" max="44" width="0" hidden="1" customWidth="1"/>
    <col min="45" max="45" width="23" hidden="1" customWidth="1"/>
    <col min="46" max="49" width="0" hidden="1" customWidth="1"/>
  </cols>
  <sheetData>
    <row r="1" spans="1:46" x14ac:dyDescent="0.25">
      <c r="A1" s="3197" t="s">
        <v>3552</v>
      </c>
      <c r="B1" s="3197"/>
      <c r="C1" s="3197"/>
      <c r="D1" s="3197"/>
      <c r="E1" s="3197"/>
      <c r="F1" s="3197"/>
      <c r="G1" s="3197"/>
      <c r="H1" s="3197"/>
      <c r="I1" s="3197"/>
      <c r="J1" s="3197"/>
      <c r="K1" s="3197"/>
      <c r="L1" s="3197"/>
      <c r="M1" s="3197"/>
      <c r="N1" s="3197"/>
      <c r="O1" s="3197"/>
      <c r="P1" s="3197"/>
      <c r="Q1" s="3197"/>
      <c r="R1" s="3197"/>
      <c r="S1" s="3197"/>
      <c r="T1" s="3197"/>
      <c r="U1" s="3197"/>
      <c r="V1" s="3197"/>
      <c r="W1" s="3197"/>
      <c r="X1" s="3197"/>
      <c r="Y1" s="3197"/>
      <c r="Z1" s="3197"/>
      <c r="AA1" s="3197"/>
      <c r="AB1" s="3197"/>
      <c r="AC1" s="3197"/>
      <c r="AD1" s="3197"/>
      <c r="AE1" s="3197"/>
      <c r="AF1" s="3197"/>
      <c r="AG1" s="3197"/>
    </row>
    <row r="2" spans="1:46" x14ac:dyDescent="0.25">
      <c r="A2" s="3197"/>
      <c r="B2" s="3197"/>
      <c r="C2" s="3197"/>
      <c r="D2" s="3197"/>
      <c r="E2" s="3197"/>
      <c r="F2" s="3197"/>
      <c r="G2" s="3197"/>
      <c r="H2" s="3197"/>
      <c r="I2" s="3197"/>
      <c r="J2" s="3197"/>
      <c r="K2" s="3197"/>
      <c r="L2" s="3197"/>
      <c r="M2" s="3197"/>
      <c r="N2" s="3197"/>
      <c r="O2" s="3197"/>
      <c r="P2" s="3197"/>
      <c r="Q2" s="3197"/>
      <c r="R2" s="3197"/>
      <c r="S2" s="3197"/>
      <c r="T2" s="3197"/>
      <c r="U2" s="3197"/>
      <c r="V2" s="3197"/>
      <c r="W2" s="3197"/>
      <c r="X2" s="3197"/>
      <c r="Y2" s="3197"/>
      <c r="Z2" s="3197"/>
      <c r="AA2" s="3197"/>
      <c r="AB2" s="3197"/>
      <c r="AC2" s="3197"/>
      <c r="AD2" s="3197"/>
      <c r="AE2" s="3197"/>
      <c r="AF2" s="3197"/>
      <c r="AG2" s="3197"/>
    </row>
    <row r="3" spans="1:46" x14ac:dyDescent="0.25">
      <c r="A3" s="3197"/>
      <c r="B3" s="3197"/>
      <c r="C3" s="3197"/>
      <c r="D3" s="3197"/>
      <c r="E3" s="3197"/>
      <c r="F3" s="3197"/>
      <c r="G3" s="3197"/>
      <c r="H3" s="3197"/>
      <c r="I3" s="3197"/>
      <c r="J3" s="3197"/>
      <c r="K3" s="3197"/>
      <c r="L3" s="3197"/>
      <c r="M3" s="3197"/>
      <c r="N3" s="3197"/>
      <c r="O3" s="3197"/>
      <c r="P3" s="3197"/>
      <c r="Q3" s="3197"/>
      <c r="R3" s="3197"/>
      <c r="S3" s="3197"/>
      <c r="T3" s="3197"/>
      <c r="U3" s="3197"/>
      <c r="V3" s="3197"/>
      <c r="W3" s="3197"/>
      <c r="X3" s="3197"/>
      <c r="Y3" s="3197"/>
      <c r="Z3" s="3197"/>
      <c r="AA3" s="3197"/>
      <c r="AB3" s="3197"/>
      <c r="AC3" s="3197"/>
      <c r="AD3" s="3197"/>
      <c r="AE3" s="3197"/>
      <c r="AF3" s="3197"/>
      <c r="AG3" s="3197"/>
    </row>
    <row r="4" spans="1:46" x14ac:dyDescent="0.25">
      <c r="H4" s="2379"/>
      <c r="I4" s="2379"/>
      <c r="J4" s="2451"/>
      <c r="K4" s="2451"/>
      <c r="L4" s="2451"/>
      <c r="M4" s="2451"/>
      <c r="N4" s="2373"/>
      <c r="O4" s="2373"/>
      <c r="P4" s="148"/>
      <c r="Q4" s="148"/>
      <c r="R4" s="148"/>
      <c r="S4" s="148"/>
      <c r="T4" s="148"/>
      <c r="U4" s="148"/>
      <c r="V4" s="148"/>
    </row>
    <row r="5" spans="1:46" x14ac:dyDescent="0.25">
      <c r="H5" s="2379"/>
      <c r="I5" s="2379"/>
      <c r="J5" s="2451"/>
      <c r="K5" s="2451"/>
      <c r="L5" s="2451"/>
      <c r="M5" s="2451"/>
      <c r="N5" s="2373"/>
      <c r="O5" s="2373"/>
      <c r="P5" s="148"/>
      <c r="Q5" s="148"/>
      <c r="R5" s="148"/>
      <c r="S5" s="148"/>
      <c r="T5" s="148"/>
      <c r="U5" s="148"/>
      <c r="V5" s="148"/>
      <c r="AB5" s="2391"/>
      <c r="AC5" s="2392"/>
      <c r="AD5" s="2437"/>
      <c r="AE5" s="2438"/>
      <c r="AF5" s="2438"/>
      <c r="AG5" s="2438"/>
    </row>
    <row r="6" spans="1:46" ht="63" customHeight="1" x14ac:dyDescent="0.35">
      <c r="A6" s="3198" t="s">
        <v>17</v>
      </c>
      <c r="B6" s="3209" t="s">
        <v>21</v>
      </c>
      <c r="C6" s="3210"/>
      <c r="D6" s="3210"/>
      <c r="E6" s="3211"/>
      <c r="F6" s="2366" t="s">
        <v>3416</v>
      </c>
      <c r="G6" s="3207" t="s">
        <v>18</v>
      </c>
      <c r="H6" s="2461" t="s">
        <v>3461</v>
      </c>
      <c r="I6" s="2461" t="s">
        <v>3462</v>
      </c>
      <c r="J6" s="3212" t="s">
        <v>3460</v>
      </c>
      <c r="K6" s="3213"/>
      <c r="L6" s="3213"/>
      <c r="M6" s="3214"/>
      <c r="N6" s="2456" t="s">
        <v>3466</v>
      </c>
      <c r="O6" s="2456" t="s">
        <v>3467</v>
      </c>
      <c r="P6" s="3215" t="s">
        <v>3465</v>
      </c>
      <c r="Q6" s="3216"/>
      <c r="R6" s="3216"/>
      <c r="S6" s="3217"/>
      <c r="T6" s="3202" t="s">
        <v>3417</v>
      </c>
      <c r="U6" s="3202" t="s">
        <v>3418</v>
      </c>
      <c r="V6" s="3202" t="s">
        <v>3419</v>
      </c>
      <c r="W6" s="3204" t="s">
        <v>24</v>
      </c>
      <c r="X6" s="3205"/>
      <c r="Y6" s="3206"/>
      <c r="Z6" s="3200" t="s">
        <v>3420</v>
      </c>
      <c r="AA6" s="3200" t="s">
        <v>3421</v>
      </c>
      <c r="AB6" s="3193" t="s">
        <v>3446</v>
      </c>
      <c r="AC6" s="3195" t="s">
        <v>3447</v>
      </c>
      <c r="AD6" s="3218" t="s">
        <v>3448</v>
      </c>
      <c r="AE6" s="3218" t="s">
        <v>3448</v>
      </c>
      <c r="AF6" s="3191" t="s">
        <v>3449</v>
      </c>
      <c r="AG6" s="3191" t="s">
        <v>3449</v>
      </c>
    </row>
    <row r="7" spans="1:46" ht="31.5" x14ac:dyDescent="0.25">
      <c r="A7" s="3199"/>
      <c r="B7" s="2397">
        <v>1</v>
      </c>
      <c r="C7" s="2397">
        <v>2</v>
      </c>
      <c r="D7" s="2397">
        <v>3</v>
      </c>
      <c r="E7" s="2397">
        <v>4</v>
      </c>
      <c r="F7" s="2397"/>
      <c r="G7" s="3208"/>
      <c r="H7" s="2462" t="s">
        <v>3464</v>
      </c>
      <c r="I7" s="2462" t="s">
        <v>3422</v>
      </c>
      <c r="J7" s="2398" t="s">
        <v>3424</v>
      </c>
      <c r="K7" s="2398" t="s">
        <v>3426</v>
      </c>
      <c r="L7" s="2398" t="s">
        <v>3425</v>
      </c>
      <c r="M7" s="2398" t="s">
        <v>3427</v>
      </c>
      <c r="N7" s="2399" t="s">
        <v>3428</v>
      </c>
      <c r="O7" s="2399" t="s">
        <v>3429</v>
      </c>
      <c r="P7" s="2400" t="s">
        <v>3424</v>
      </c>
      <c r="Q7" s="2400" t="s">
        <v>3426</v>
      </c>
      <c r="R7" s="2400" t="s">
        <v>3425</v>
      </c>
      <c r="S7" s="2400" t="s">
        <v>3427</v>
      </c>
      <c r="T7" s="3203" t="s">
        <v>3417</v>
      </c>
      <c r="U7" s="3203" t="s">
        <v>3418</v>
      </c>
      <c r="V7" s="3203" t="s">
        <v>3419</v>
      </c>
      <c r="W7" s="2458" t="s">
        <v>3423</v>
      </c>
      <c r="X7" s="2458" t="s">
        <v>3422</v>
      </c>
      <c r="Y7" s="2458" t="s">
        <v>3463</v>
      </c>
      <c r="Z7" s="3201"/>
      <c r="AA7" s="3201"/>
      <c r="AB7" s="3194" t="s">
        <v>31</v>
      </c>
      <c r="AC7" s="3196" t="s">
        <v>31</v>
      </c>
      <c r="AD7" s="3219"/>
      <c r="AE7" s="3219"/>
      <c r="AF7" s="3192"/>
      <c r="AG7" s="3192"/>
      <c r="AL7" t="s">
        <v>3444</v>
      </c>
    </row>
    <row r="8" spans="1:46" ht="15.75" x14ac:dyDescent="0.25">
      <c r="A8" s="2401"/>
      <c r="B8" s="2367"/>
      <c r="C8" s="2367"/>
      <c r="D8" s="2367"/>
      <c r="E8" s="2367"/>
      <c r="F8" s="2367"/>
      <c r="G8" s="2402"/>
      <c r="H8" s="2463"/>
      <c r="I8" s="2463"/>
      <c r="J8" s="2403"/>
      <c r="K8" s="2403"/>
      <c r="L8" s="2403"/>
      <c r="M8" s="2403"/>
      <c r="N8" s="2404"/>
      <c r="O8" s="2404"/>
      <c r="P8" s="2405"/>
      <c r="Q8" s="2405"/>
      <c r="R8" s="2405"/>
      <c r="S8" s="2405"/>
      <c r="T8" s="2406"/>
      <c r="U8" s="2406"/>
      <c r="V8" s="2406"/>
      <c r="W8" s="2459"/>
      <c r="X8" s="2459"/>
      <c r="Y8" s="2459"/>
      <c r="Z8" s="2407"/>
      <c r="AA8" s="2407"/>
      <c r="AB8" s="2408"/>
      <c r="AC8" s="2409"/>
      <c r="AD8" s="2439"/>
      <c r="AE8" s="2440"/>
      <c r="AF8" s="2440"/>
      <c r="AG8" s="2440"/>
    </row>
    <row r="9" spans="1:46" x14ac:dyDescent="0.25">
      <c r="A9" s="2598" t="str">
        <f>'Lighting Deemed Table'!C7</f>
        <v>200050_2019_12_</v>
      </c>
      <c r="B9" s="245" t="str">
        <f>'Lighting Deemed Table'!H7</f>
        <v>Lighting RES</v>
      </c>
      <c r="C9" s="245"/>
      <c r="D9" s="245"/>
      <c r="E9" s="245"/>
      <c r="F9" s="245" t="str">
        <f>'Lighting Deemed Table'!E7</f>
        <v>LED - 10.5W Downlight E26 (CFL baseline)</v>
      </c>
      <c r="G9" s="745" t="str">
        <f>'Lighting Deemed Table'!D7</f>
        <v>Lighting</v>
      </c>
      <c r="H9" s="2410">
        <f>'Lighting Deemed Table'!F7</f>
        <v>9.52</v>
      </c>
      <c r="I9" s="2410">
        <v>0</v>
      </c>
      <c r="J9" s="2452">
        <v>0</v>
      </c>
      <c r="K9" s="2452">
        <v>0</v>
      </c>
      <c r="L9" s="2452">
        <v>0</v>
      </c>
      <c r="M9" s="2452">
        <v>0</v>
      </c>
      <c r="N9" s="2411">
        <f>'Lighting Deemed Table'!G7</f>
        <v>1.433E-3</v>
      </c>
      <c r="O9" s="2411">
        <v>0</v>
      </c>
      <c r="P9" s="2412">
        <v>0</v>
      </c>
      <c r="Q9" s="2412">
        <v>0</v>
      </c>
      <c r="R9" s="2412"/>
      <c r="S9" s="2412"/>
      <c r="T9" s="2413">
        <v>0</v>
      </c>
      <c r="U9" s="2413">
        <v>0</v>
      </c>
      <c r="V9" s="2413">
        <f t="shared" ref="V9:V30" si="0">N9</f>
        <v>1.433E-3</v>
      </c>
      <c r="W9" s="2460">
        <f>'Lighting Deemed Table'!P7</f>
        <v>19</v>
      </c>
      <c r="X9" s="2460"/>
      <c r="Y9" s="94">
        <f t="shared" ref="Y9:Y72" si="1">X9+W9</f>
        <v>19</v>
      </c>
      <c r="Z9" s="2414">
        <f>'Lighting Deemed Table'!BB7</f>
        <v>108714.71888127942</v>
      </c>
      <c r="AA9" s="2415">
        <f>'Lighting Deemed Table'!R7</f>
        <v>9.9999999999999995E-7</v>
      </c>
      <c r="AB9" s="2416">
        <f>AD9+AE9</f>
        <v>5.5767367558210328</v>
      </c>
      <c r="AC9" s="2416"/>
      <c r="AD9" s="2441">
        <f>'Lighting Deemed Table'!BD7</f>
        <v>5.5767367558210328</v>
      </c>
      <c r="AE9" s="2440"/>
      <c r="AF9" s="2440"/>
      <c r="AG9" s="2440"/>
      <c r="AL9" s="2380">
        <f t="shared" ref="AL9:AL72" si="2">VLOOKUP(B9,$AR$10:$AS$30,2,FALSE)</f>
        <v>1.4925290000000001E-4</v>
      </c>
      <c r="AM9">
        <f t="shared" ref="AM9:AM31" si="3">AL9*H9</f>
        <v>1.420887608E-3</v>
      </c>
      <c r="AN9" s="2371">
        <f t="shared" ref="AN9:AN72" si="4">AM9-N9</f>
        <v>-1.2112392000000055E-5</v>
      </c>
      <c r="AR9" t="s">
        <v>2476</v>
      </c>
    </row>
    <row r="10" spans="1:46" x14ac:dyDescent="0.25">
      <c r="A10" s="2598" t="str">
        <f>'Lighting Deemed Table'!C8</f>
        <v>200100_2019_12_</v>
      </c>
      <c r="B10" s="245" t="str">
        <f>'Lighting Deemed Table'!H8</f>
        <v>Lighting RES</v>
      </c>
      <c r="C10" s="245"/>
      <c r="D10" s="245"/>
      <c r="E10" s="245"/>
      <c r="F10" s="245" t="str">
        <f>'Lighting Deemed Table'!E8</f>
        <v>LED - 10.5W Downlight E26 (Halogen baseline)</v>
      </c>
      <c r="G10" s="745" t="str">
        <f>'Lighting Deemed Table'!D8</f>
        <v>Lighting</v>
      </c>
      <c r="H10" s="2410">
        <f>'Lighting Deemed Table'!F8</f>
        <v>39.11</v>
      </c>
      <c r="I10" s="2410">
        <v>0</v>
      </c>
      <c r="J10" s="2452">
        <v>0</v>
      </c>
      <c r="K10" s="2452">
        <v>0</v>
      </c>
      <c r="L10" s="2452">
        <v>0</v>
      </c>
      <c r="M10" s="2452">
        <v>0</v>
      </c>
      <c r="N10" s="2411">
        <f>'Lighting Deemed Table'!G8</f>
        <v>5.8849999999999996E-3</v>
      </c>
      <c r="O10" s="2411">
        <v>0</v>
      </c>
      <c r="P10" s="2412">
        <v>0</v>
      </c>
      <c r="Q10" s="2412">
        <v>0</v>
      </c>
      <c r="R10" s="2412"/>
      <c r="S10" s="2412"/>
      <c r="T10" s="2413">
        <v>0</v>
      </c>
      <c r="U10" s="2413">
        <v>0</v>
      </c>
      <c r="V10" s="2413">
        <f t="shared" si="0"/>
        <v>5.8849999999999996E-3</v>
      </c>
      <c r="W10" s="2460">
        <f>'Lighting Deemed Table'!P8</f>
        <v>19</v>
      </c>
      <c r="X10" s="2460"/>
      <c r="Y10" s="94">
        <f t="shared" si="1"/>
        <v>19</v>
      </c>
      <c r="Z10" s="2414">
        <f>'Lighting Deemed Table'!BB8</f>
        <v>108751.70439016636</v>
      </c>
      <c r="AA10" s="2415">
        <f>'Lighting Deemed Table'!R8</f>
        <v>9.9999999999999995E-7</v>
      </c>
      <c r="AB10" s="2416">
        <f t="shared" ref="AB10:AB73" si="5">AD10+AE10</f>
        <v>22.910312449596699</v>
      </c>
      <c r="AC10" s="2416"/>
      <c r="AD10" s="2441">
        <f>'Lighting Deemed Table'!BD8</f>
        <v>22.910312449596699</v>
      </c>
      <c r="AE10" s="2440"/>
      <c r="AF10" s="2440"/>
      <c r="AG10" s="2440"/>
      <c r="AL10" s="2380">
        <f t="shared" si="2"/>
        <v>1.4925290000000001E-4</v>
      </c>
      <c r="AM10">
        <f t="shared" si="3"/>
        <v>5.8372809190000005E-3</v>
      </c>
      <c r="AN10" s="2371">
        <f t="shared" si="4"/>
        <v>-4.7719080999999129E-5</v>
      </c>
      <c r="AR10" t="s">
        <v>2477</v>
      </c>
      <c r="AS10" s="2381">
        <v>1.148238E-4</v>
      </c>
      <c r="AT10" t="s">
        <v>2477</v>
      </c>
    </row>
    <row r="11" spans="1:46" x14ac:dyDescent="0.25">
      <c r="A11" s="2598" t="str">
        <f>'Lighting Deemed Table'!C9</f>
        <v>200150_2019_12_</v>
      </c>
      <c r="B11" s="245" t="str">
        <f>'Lighting Deemed Table'!H9</f>
        <v>Lighting RES</v>
      </c>
      <c r="C11" s="245"/>
      <c r="D11" s="245"/>
      <c r="E11" s="245"/>
      <c r="F11" s="245" t="str">
        <f>'Lighting Deemed Table'!E9</f>
        <v>LED - 10W (CFL baseline)</v>
      </c>
      <c r="G11" s="745" t="str">
        <f>'Lighting Deemed Table'!D9</f>
        <v>Lighting</v>
      </c>
      <c r="H11" s="2410">
        <f>'Lighting Deemed Table'!F9</f>
        <v>4.62</v>
      </c>
      <c r="I11" s="2410">
        <v>0</v>
      </c>
      <c r="J11" s="2452">
        <v>0</v>
      </c>
      <c r="K11" s="2452">
        <v>0</v>
      </c>
      <c r="L11" s="2452">
        <v>0</v>
      </c>
      <c r="M11" s="2452">
        <v>0</v>
      </c>
      <c r="N11" s="2411">
        <f>'Lighting Deemed Table'!G9</f>
        <v>6.96E-4</v>
      </c>
      <c r="O11" s="2411">
        <v>0</v>
      </c>
      <c r="P11" s="2412">
        <v>0</v>
      </c>
      <c r="Q11" s="2412">
        <v>0</v>
      </c>
      <c r="R11" s="2412"/>
      <c r="S11" s="2412"/>
      <c r="T11" s="2413">
        <v>0</v>
      </c>
      <c r="U11" s="2413">
        <v>0</v>
      </c>
      <c r="V11" s="2413">
        <f t="shared" si="0"/>
        <v>6.96E-4</v>
      </c>
      <c r="W11" s="2460">
        <f>'Lighting Deemed Table'!P9</f>
        <v>19</v>
      </c>
      <c r="X11" s="2460"/>
      <c r="Y11" s="94">
        <f t="shared" si="1"/>
        <v>19</v>
      </c>
      <c r="Z11" s="2414">
        <f>'Lighting Deemed Table'!BB9</f>
        <v>108682.74396396143</v>
      </c>
      <c r="AA11" s="2415">
        <f>'Lighting Deemed Table'!R9</f>
        <v>9.9999999999999995E-7</v>
      </c>
      <c r="AB11" s="2416">
        <f t="shared" si="5"/>
        <v>2.7063575432660896</v>
      </c>
      <c r="AC11" s="2416"/>
      <c r="AD11" s="2441">
        <f>'Lighting Deemed Table'!BD9</f>
        <v>2.7063575432660896</v>
      </c>
      <c r="AE11" s="2440"/>
      <c r="AF11" s="2440"/>
      <c r="AG11" s="2440"/>
      <c r="AL11" s="2380">
        <f t="shared" si="2"/>
        <v>1.4925290000000001E-4</v>
      </c>
      <c r="AM11">
        <f t="shared" si="3"/>
        <v>6.8954839800000004E-4</v>
      </c>
      <c r="AN11" s="2371">
        <f t="shared" si="4"/>
        <v>-6.4516019999999626E-6</v>
      </c>
      <c r="AR11" t="s">
        <v>1653</v>
      </c>
      <c r="AS11" s="2381">
        <v>4.6608050000000002E-4</v>
      </c>
      <c r="AT11" t="s">
        <v>1653</v>
      </c>
    </row>
    <row r="12" spans="1:46" x14ac:dyDescent="0.25">
      <c r="A12" s="2598" t="str">
        <f>'Lighting Deemed Table'!C10</f>
        <v>200200_2019_12_</v>
      </c>
      <c r="B12" s="245" t="str">
        <f>'Lighting Deemed Table'!H10</f>
        <v>Lighting RES</v>
      </c>
      <c r="C12" s="245"/>
      <c r="D12" s="245"/>
      <c r="E12" s="245"/>
      <c r="F12" s="245" t="str">
        <f>'Lighting Deemed Table'!E10</f>
        <v>LED - 10W (Halogen baseline)</v>
      </c>
      <c r="G12" s="745" t="str">
        <f>'Lighting Deemed Table'!D10</f>
        <v>Lighting</v>
      </c>
      <c r="H12" s="2410">
        <f>'Lighting Deemed Table'!F10</f>
        <v>28.75</v>
      </c>
      <c r="I12" s="2410">
        <v>0</v>
      </c>
      <c r="J12" s="2452">
        <v>0</v>
      </c>
      <c r="K12" s="2452">
        <v>0</v>
      </c>
      <c r="L12" s="2452">
        <v>0</v>
      </c>
      <c r="M12" s="2452">
        <v>0</v>
      </c>
      <c r="N12" s="2411">
        <f>'Lighting Deemed Table'!G10</f>
        <v>4.3270000000000001E-3</v>
      </c>
      <c r="O12" s="2411">
        <v>0</v>
      </c>
      <c r="P12" s="2412">
        <v>0</v>
      </c>
      <c r="Q12" s="2412">
        <v>0</v>
      </c>
      <c r="R12" s="2412"/>
      <c r="S12" s="2412"/>
      <c r="T12" s="2413">
        <v>0</v>
      </c>
      <c r="U12" s="2413">
        <v>0</v>
      </c>
      <c r="V12" s="2413">
        <f t="shared" si="0"/>
        <v>4.3270000000000001E-3</v>
      </c>
      <c r="W12" s="2460">
        <f>'Lighting Deemed Table'!P10</f>
        <v>19</v>
      </c>
      <c r="X12" s="2460"/>
      <c r="Y12" s="94">
        <f t="shared" si="1"/>
        <v>19</v>
      </c>
      <c r="Z12" s="2414">
        <f>'Lighting Deemed Table'!BB10</f>
        <v>108734.17995865489</v>
      </c>
      <c r="AA12" s="2415">
        <f>'Lighting Deemed Table'!R10</f>
        <v>9.9999999999999995E-7</v>
      </c>
      <c r="AB12" s="2416">
        <f t="shared" si="5"/>
        <v>16.841510685909107</v>
      </c>
      <c r="AC12" s="2416"/>
      <c r="AD12" s="2441">
        <f>'Lighting Deemed Table'!BD10</f>
        <v>16.841510685909107</v>
      </c>
      <c r="AE12" s="2440"/>
      <c r="AF12" s="2440"/>
      <c r="AG12" s="2440"/>
      <c r="AL12" s="2380">
        <f t="shared" si="2"/>
        <v>1.4925290000000001E-4</v>
      </c>
      <c r="AM12">
        <f t="shared" si="3"/>
        <v>4.291020875E-3</v>
      </c>
      <c r="AN12" s="2371">
        <f t="shared" si="4"/>
        <v>-3.5979125000000153E-5</v>
      </c>
      <c r="AR12" t="s">
        <v>2478</v>
      </c>
      <c r="AS12" s="2381">
        <v>1.3539039999999999E-4</v>
      </c>
      <c r="AT12" t="s">
        <v>2478</v>
      </c>
    </row>
    <row r="13" spans="1:46" x14ac:dyDescent="0.25">
      <c r="A13" s="2598" t="str">
        <f>'Lighting Deemed Table'!C11</f>
        <v>200250_2019_12_</v>
      </c>
      <c r="B13" s="245" t="str">
        <f>'Lighting Deemed Table'!H11</f>
        <v>Lighting RES</v>
      </c>
      <c r="C13" s="245"/>
      <c r="D13" s="245"/>
      <c r="E13" s="245"/>
      <c r="F13" s="245" t="str">
        <f>'Lighting Deemed Table'!E11</f>
        <v>LED - 12W Dimmable Light Bulb (Replacing CFL)</v>
      </c>
      <c r="G13" s="745" t="str">
        <f>'Lighting Deemed Table'!D11</f>
        <v>Lighting</v>
      </c>
      <c r="H13" s="2410">
        <f>'Lighting Deemed Table'!F11</f>
        <v>2.4</v>
      </c>
      <c r="I13" s="2410">
        <v>0</v>
      </c>
      <c r="J13" s="2452">
        <v>0</v>
      </c>
      <c r="K13" s="2452">
        <v>0</v>
      </c>
      <c r="L13" s="2452">
        <v>0</v>
      </c>
      <c r="M13" s="2452">
        <v>0</v>
      </c>
      <c r="N13" s="2411">
        <f>'Lighting Deemed Table'!G11</f>
        <v>3.6200000000000002E-4</v>
      </c>
      <c r="O13" s="2411">
        <v>0</v>
      </c>
      <c r="P13" s="2412">
        <v>0</v>
      </c>
      <c r="Q13" s="2412">
        <v>0</v>
      </c>
      <c r="R13" s="2412"/>
      <c r="S13" s="2412"/>
      <c r="T13" s="2413">
        <v>0</v>
      </c>
      <c r="U13" s="2413">
        <v>0</v>
      </c>
      <c r="V13" s="2413">
        <f t="shared" si="0"/>
        <v>3.6200000000000002E-4</v>
      </c>
      <c r="W13" s="2460">
        <f>'Lighting Deemed Table'!P11</f>
        <v>19</v>
      </c>
      <c r="X13" s="2460"/>
      <c r="Y13" s="94">
        <f t="shared" si="1"/>
        <v>19</v>
      </c>
      <c r="Z13" s="2414">
        <f>'Lighting Deemed Table'!BB11</f>
        <v>108574.16979416728</v>
      </c>
      <c r="AA13" s="2415">
        <f>'Lighting Deemed Table'!R11</f>
        <v>9.9999999999999995E-7</v>
      </c>
      <c r="AB13" s="2416">
        <f t="shared" si="5"/>
        <v>1.4059000224758906</v>
      </c>
      <c r="AC13" s="2416"/>
      <c r="AD13" s="2441">
        <f>'Lighting Deemed Table'!BD11</f>
        <v>1.4059000224758906</v>
      </c>
      <c r="AE13" s="2440"/>
      <c r="AF13" s="2440"/>
      <c r="AG13" s="2440"/>
      <c r="AL13" s="2380">
        <f t="shared" si="2"/>
        <v>1.4925290000000001E-4</v>
      </c>
      <c r="AM13">
        <f t="shared" si="3"/>
        <v>3.5820696000000003E-4</v>
      </c>
      <c r="AN13" s="2371">
        <f t="shared" si="4"/>
        <v>-3.7930399999999849E-6</v>
      </c>
      <c r="AR13" t="s">
        <v>2479</v>
      </c>
      <c r="AS13" s="2381">
        <v>1.1954749999999999E-4</v>
      </c>
      <c r="AT13" t="s">
        <v>2479</v>
      </c>
    </row>
    <row r="14" spans="1:46" x14ac:dyDescent="0.25">
      <c r="A14" s="2598" t="str">
        <f>'Lighting Deemed Table'!C12</f>
        <v>200300_2019_12_</v>
      </c>
      <c r="B14" s="245" t="str">
        <f>'Lighting Deemed Table'!H12</f>
        <v>Lighting RES</v>
      </c>
      <c r="C14" s="245"/>
      <c r="D14" s="245"/>
      <c r="E14" s="245"/>
      <c r="F14" s="245" t="str">
        <f>'Lighting Deemed Table'!E12</f>
        <v>LED - 12W Dimmable Light Bulb (Replacing Specialty Incandescent) LI DI</v>
      </c>
      <c r="G14" s="745" t="str">
        <f>'Lighting Deemed Table'!D12</f>
        <v>Lighting</v>
      </c>
      <c r="H14" s="2410">
        <f>'Lighting Deemed Table'!F12</f>
        <v>71</v>
      </c>
      <c r="I14" s="2410">
        <v>0</v>
      </c>
      <c r="J14" s="2452">
        <v>0</v>
      </c>
      <c r="K14" s="2452">
        <v>0</v>
      </c>
      <c r="L14" s="2452">
        <v>0</v>
      </c>
      <c r="M14" s="2452">
        <v>0</v>
      </c>
      <c r="N14" s="2411">
        <f>'Lighting Deemed Table'!G12</f>
        <v>1.0684000000000001E-2</v>
      </c>
      <c r="O14" s="2411">
        <v>0</v>
      </c>
      <c r="P14" s="2412">
        <v>0</v>
      </c>
      <c r="Q14" s="2412">
        <v>0</v>
      </c>
      <c r="R14" s="2412"/>
      <c r="S14" s="2412"/>
      <c r="T14" s="2413">
        <v>0</v>
      </c>
      <c r="U14" s="2413">
        <v>0</v>
      </c>
      <c r="V14" s="2413">
        <f t="shared" si="0"/>
        <v>1.0684000000000001E-2</v>
      </c>
      <c r="W14" s="2460">
        <f>'Lighting Deemed Table'!P12</f>
        <v>19</v>
      </c>
      <c r="X14" s="2460"/>
      <c r="Y14" s="94">
        <f t="shared" si="1"/>
        <v>19</v>
      </c>
      <c r="Z14" s="2414">
        <f>'Lighting Deemed Table'!BB12</f>
        <v>108739.10451390666</v>
      </c>
      <c r="AA14" s="2415">
        <f>'Lighting Deemed Table'!R12</f>
        <v>9.9999999999999995E-7</v>
      </c>
      <c r="AB14" s="2416">
        <f t="shared" si="5"/>
        <v>41.591208998245094</v>
      </c>
      <c r="AC14" s="2416"/>
      <c r="AD14" s="2441">
        <f>'Lighting Deemed Table'!BD12</f>
        <v>41.591208998245094</v>
      </c>
      <c r="AE14" s="2440"/>
      <c r="AF14" s="2440"/>
      <c r="AG14" s="2440"/>
      <c r="AL14" s="2380">
        <f t="shared" si="2"/>
        <v>1.4925290000000001E-4</v>
      </c>
      <c r="AM14">
        <f t="shared" si="3"/>
        <v>1.05969559E-2</v>
      </c>
      <c r="AN14" s="2371">
        <f t="shared" si="4"/>
        <v>-8.7044100000000998E-5</v>
      </c>
      <c r="AR14" t="s">
        <v>2480</v>
      </c>
      <c r="AS14" s="2381">
        <v>1.4008870000000001E-4</v>
      </c>
      <c r="AT14" t="s">
        <v>2480</v>
      </c>
    </row>
    <row r="15" spans="1:46" x14ac:dyDescent="0.25">
      <c r="A15" s="2598" t="str">
        <f>'Lighting Deemed Table'!C13</f>
        <v>200350_2019_12_</v>
      </c>
      <c r="B15" s="245" t="str">
        <f>'Lighting Deemed Table'!H13</f>
        <v>Lighting RES</v>
      </c>
      <c r="C15" s="245"/>
      <c r="D15" s="245"/>
      <c r="E15" s="245"/>
      <c r="F15" s="245" t="str">
        <f>'Lighting Deemed Table'!E13</f>
        <v>LED - 15W (Halogen baseline)</v>
      </c>
      <c r="G15" s="745" t="str">
        <f>'Lighting Deemed Table'!D13</f>
        <v>Lighting</v>
      </c>
      <c r="H15" s="2410">
        <f>'Lighting Deemed Table'!F13</f>
        <v>37.81</v>
      </c>
      <c r="I15" s="2410">
        <v>0</v>
      </c>
      <c r="J15" s="2452">
        <v>0</v>
      </c>
      <c r="K15" s="2452">
        <v>0</v>
      </c>
      <c r="L15" s="2452">
        <v>0</v>
      </c>
      <c r="M15" s="2452">
        <v>0</v>
      </c>
      <c r="N15" s="2411">
        <f>'Lighting Deemed Table'!G13</f>
        <v>5.6899999999999997E-3</v>
      </c>
      <c r="O15" s="2411">
        <v>0</v>
      </c>
      <c r="P15" s="2412">
        <v>0</v>
      </c>
      <c r="Q15" s="2412">
        <v>0</v>
      </c>
      <c r="R15" s="2412"/>
      <c r="S15" s="2412"/>
      <c r="T15" s="2413">
        <v>0</v>
      </c>
      <c r="U15" s="2413">
        <v>0</v>
      </c>
      <c r="V15" s="2413">
        <f t="shared" si="0"/>
        <v>5.6899999999999997E-3</v>
      </c>
      <c r="W15" s="2460">
        <f>'Lighting Deemed Table'!P13</f>
        <v>19</v>
      </c>
      <c r="X15" s="2460"/>
      <c r="Y15" s="94">
        <f t="shared" si="1"/>
        <v>19</v>
      </c>
      <c r="Z15" s="2414">
        <f>'Lighting Deemed Table'!BB13</f>
        <v>108735.65949251635</v>
      </c>
      <c r="AA15" s="2415">
        <f>'Lighting Deemed Table'!R13</f>
        <v>9.9999999999999995E-7</v>
      </c>
      <c r="AB15" s="2416">
        <f t="shared" si="5"/>
        <v>22.148783270755594</v>
      </c>
      <c r="AC15" s="2416"/>
      <c r="AD15" s="2441">
        <f>'Lighting Deemed Table'!BD13</f>
        <v>22.148783270755594</v>
      </c>
      <c r="AE15" s="2440"/>
      <c r="AF15" s="2440"/>
      <c r="AG15" s="2440"/>
      <c r="AL15" s="2380">
        <f t="shared" si="2"/>
        <v>1.4925290000000001E-4</v>
      </c>
      <c r="AM15">
        <f t="shared" si="3"/>
        <v>5.6432521490000003E-3</v>
      </c>
      <c r="AN15" s="2371">
        <f t="shared" si="4"/>
        <v>-4.6747850999999396E-5</v>
      </c>
      <c r="AR15" t="s">
        <v>2481</v>
      </c>
      <c r="AS15" s="2381">
        <v>2.053256E-4</v>
      </c>
      <c r="AT15" t="s">
        <v>2481</v>
      </c>
    </row>
    <row r="16" spans="1:46" x14ac:dyDescent="0.25">
      <c r="A16" s="2598" t="str">
        <f>'Lighting Deemed Table'!C14</f>
        <v>200400_2019_12_</v>
      </c>
      <c r="B16" s="245" t="str">
        <f>'Lighting Deemed Table'!H14</f>
        <v>Lighting RES</v>
      </c>
      <c r="C16" s="245"/>
      <c r="D16" s="245"/>
      <c r="E16" s="245"/>
      <c r="F16" s="245" t="str">
        <f>'Lighting Deemed Table'!E14</f>
        <v>LED - 15W (CFL baseline)</v>
      </c>
      <c r="G16" s="745" t="str">
        <f>'Lighting Deemed Table'!D14</f>
        <v>Lighting</v>
      </c>
      <c r="H16" s="2410">
        <f>'Lighting Deemed Table'!F14</f>
        <v>6.29</v>
      </c>
      <c r="I16" s="2410">
        <v>0</v>
      </c>
      <c r="J16" s="2452">
        <v>0</v>
      </c>
      <c r="K16" s="2452">
        <v>0</v>
      </c>
      <c r="L16" s="2452">
        <v>0</v>
      </c>
      <c r="M16" s="2452">
        <v>0</v>
      </c>
      <c r="N16" s="2411">
        <f>'Lighting Deemed Table'!G14</f>
        <v>9.4600000000000001E-4</v>
      </c>
      <c r="O16" s="2411">
        <v>0</v>
      </c>
      <c r="P16" s="2412">
        <v>0</v>
      </c>
      <c r="Q16" s="2412">
        <v>0</v>
      </c>
      <c r="R16" s="2412"/>
      <c r="S16" s="2412"/>
      <c r="T16" s="2413">
        <v>0</v>
      </c>
      <c r="U16" s="2413">
        <v>0</v>
      </c>
      <c r="V16" s="2413">
        <f t="shared" si="0"/>
        <v>9.4600000000000001E-4</v>
      </c>
      <c r="W16" s="2460">
        <f>'Lighting Deemed Table'!P14</f>
        <v>19</v>
      </c>
      <c r="X16" s="2460"/>
      <c r="Y16" s="94">
        <f t="shared" si="1"/>
        <v>19</v>
      </c>
      <c r="Z16" s="2414">
        <f>'Lighting Deemed Table'!BB14</f>
        <v>108800.36598123843</v>
      </c>
      <c r="AA16" s="2415">
        <f>'Lighting Deemed Table'!R14</f>
        <v>9.9999999999999995E-7</v>
      </c>
      <c r="AB16" s="2416">
        <f t="shared" si="5"/>
        <v>3.6846296422388964</v>
      </c>
      <c r="AC16" s="2416"/>
      <c r="AD16" s="2441">
        <f>'Lighting Deemed Table'!BD14</f>
        <v>3.6846296422388964</v>
      </c>
      <c r="AE16" s="2440"/>
      <c r="AF16" s="2440"/>
      <c r="AG16" s="2440"/>
      <c r="AL16" s="2380">
        <f t="shared" si="2"/>
        <v>1.4925290000000001E-4</v>
      </c>
      <c r="AM16">
        <f t="shared" si="3"/>
        <v>9.3880074100000002E-4</v>
      </c>
      <c r="AN16" s="2371">
        <f t="shared" si="4"/>
        <v>-7.1992589999999917E-6</v>
      </c>
      <c r="AR16" t="s">
        <v>737</v>
      </c>
      <c r="AS16" s="2381">
        <v>9.4741810000000004E-4</v>
      </c>
      <c r="AT16" t="s">
        <v>737</v>
      </c>
    </row>
    <row r="17" spans="1:46" x14ac:dyDescent="0.25">
      <c r="A17" s="2598" t="str">
        <f>'Lighting Deemed Table'!C15</f>
        <v>200450_2019_12_</v>
      </c>
      <c r="B17" s="245" t="str">
        <f>'Lighting Deemed Table'!H15</f>
        <v>Lighting RES</v>
      </c>
      <c r="C17" s="245"/>
      <c r="D17" s="245"/>
      <c r="E17" s="245"/>
      <c r="F17" s="245" t="str">
        <f>'Lighting Deemed Table'!E15</f>
        <v>LED - 15W Flood Light PAR30 Bulb (CFL baseline)</v>
      </c>
      <c r="G17" s="745" t="str">
        <f>'Lighting Deemed Table'!D15</f>
        <v>Lighting</v>
      </c>
      <c r="H17" s="2410">
        <f>'Lighting Deemed Table'!F15</f>
        <v>5.55</v>
      </c>
      <c r="I17" s="2410">
        <v>0</v>
      </c>
      <c r="J17" s="2452">
        <v>0</v>
      </c>
      <c r="K17" s="2452">
        <v>0</v>
      </c>
      <c r="L17" s="2452">
        <v>0</v>
      </c>
      <c r="M17" s="2452">
        <v>0</v>
      </c>
      <c r="N17" s="2411">
        <f>'Lighting Deemed Table'!G15</f>
        <v>8.3500000000000002E-4</v>
      </c>
      <c r="O17" s="2411">
        <v>0</v>
      </c>
      <c r="P17" s="2412">
        <v>0</v>
      </c>
      <c r="Q17" s="2412">
        <v>0</v>
      </c>
      <c r="R17" s="2412"/>
      <c r="S17" s="2412"/>
      <c r="T17" s="2413">
        <v>0</v>
      </c>
      <c r="U17" s="2413">
        <v>0</v>
      </c>
      <c r="V17" s="2413">
        <f t="shared" si="0"/>
        <v>8.3500000000000002E-4</v>
      </c>
      <c r="W17" s="2460">
        <f>'Lighting Deemed Table'!P15</f>
        <v>19</v>
      </c>
      <c r="X17" s="2460"/>
      <c r="Y17" s="94">
        <f t="shared" si="1"/>
        <v>19</v>
      </c>
      <c r="Z17" s="2414">
        <f>'Lighting Deemed Table'!BB15</f>
        <v>108800.36598123843</v>
      </c>
      <c r="AA17" s="2415">
        <f>'Lighting Deemed Table'!R15</f>
        <v>9.9999999999999995E-7</v>
      </c>
      <c r="AB17" s="2416">
        <f t="shared" si="5"/>
        <v>3.251143801975497</v>
      </c>
      <c r="AC17" s="2416"/>
      <c r="AD17" s="2441">
        <f>'Lighting Deemed Table'!BD15</f>
        <v>3.251143801975497</v>
      </c>
      <c r="AE17" s="2440"/>
      <c r="AF17" s="2440"/>
      <c r="AG17" s="2440"/>
      <c r="AL17" s="2380">
        <f t="shared" si="2"/>
        <v>1.4925290000000001E-4</v>
      </c>
      <c r="AM17">
        <f t="shared" si="3"/>
        <v>8.28353595E-4</v>
      </c>
      <c r="AN17" s="2371">
        <f t="shared" si="4"/>
        <v>-6.6464050000000253E-6</v>
      </c>
      <c r="AR17" t="s">
        <v>1214</v>
      </c>
      <c r="AS17" s="2381">
        <v>9.4741810000000004E-4</v>
      </c>
      <c r="AT17" t="s">
        <v>1214</v>
      </c>
    </row>
    <row r="18" spans="1:46" x14ac:dyDescent="0.25">
      <c r="A18" s="2598" t="str">
        <f>'Lighting Deemed Table'!C16</f>
        <v>200500_2019_12_</v>
      </c>
      <c r="B18" s="245" t="str">
        <f>'Lighting Deemed Table'!H16</f>
        <v>Lighting RES</v>
      </c>
      <c r="C18" s="245"/>
      <c r="D18" s="245"/>
      <c r="E18" s="245"/>
      <c r="F18" s="245" t="str">
        <f>'Lighting Deemed Table'!E16</f>
        <v>LED - 15W Flood Light PAR30 Bulb (Halogen baseline)</v>
      </c>
      <c r="G18" s="745" t="str">
        <f>'Lighting Deemed Table'!D16</f>
        <v>Lighting</v>
      </c>
      <c r="H18" s="2410">
        <f>'Lighting Deemed Table'!F16</f>
        <v>47.43</v>
      </c>
      <c r="I18" s="2410">
        <v>0</v>
      </c>
      <c r="J18" s="2452">
        <v>0</v>
      </c>
      <c r="K18" s="2452">
        <v>0</v>
      </c>
      <c r="L18" s="2452">
        <v>0</v>
      </c>
      <c r="M18" s="2452">
        <v>0</v>
      </c>
      <c r="N18" s="2411">
        <f>'Lighting Deemed Table'!G16</f>
        <v>7.1370000000000001E-3</v>
      </c>
      <c r="O18" s="2411">
        <v>0</v>
      </c>
      <c r="P18" s="2412">
        <v>0</v>
      </c>
      <c r="Q18" s="2412">
        <v>0</v>
      </c>
      <c r="R18" s="2412"/>
      <c r="S18" s="2412"/>
      <c r="T18" s="2413">
        <v>0</v>
      </c>
      <c r="U18" s="2413">
        <v>0</v>
      </c>
      <c r="V18" s="2413">
        <f t="shared" si="0"/>
        <v>7.1370000000000001E-3</v>
      </c>
      <c r="W18" s="2460">
        <f>'Lighting Deemed Table'!P16</f>
        <v>19</v>
      </c>
      <c r="X18" s="2460"/>
      <c r="Y18" s="94">
        <f t="shared" si="1"/>
        <v>19</v>
      </c>
      <c r="Z18" s="2414">
        <f>'Lighting Deemed Table'!BB16</f>
        <v>108748.77737716958</v>
      </c>
      <c r="AA18" s="2415">
        <f>'Lighting Deemed Table'!R16</f>
        <v>9.9999999999999995E-7</v>
      </c>
      <c r="AB18" s="2416">
        <f t="shared" si="5"/>
        <v>27.784099194179788</v>
      </c>
      <c r="AC18" s="2416"/>
      <c r="AD18" s="2441">
        <f>'Lighting Deemed Table'!BD16</f>
        <v>27.784099194179788</v>
      </c>
      <c r="AE18" s="2440"/>
      <c r="AF18" s="2440"/>
      <c r="AG18" s="2440"/>
      <c r="AL18" s="2380">
        <f t="shared" si="2"/>
        <v>1.4925290000000001E-4</v>
      </c>
      <c r="AM18">
        <f t="shared" si="3"/>
        <v>7.0790650470000001E-3</v>
      </c>
      <c r="AN18" s="2371">
        <f t="shared" si="4"/>
        <v>-5.7934953000000032E-5</v>
      </c>
      <c r="AR18" t="s">
        <v>2482</v>
      </c>
      <c r="AS18" s="2381">
        <v>8.4921199999999996E-5</v>
      </c>
      <c r="AT18" t="s">
        <v>2482</v>
      </c>
    </row>
    <row r="19" spans="1:46" x14ac:dyDescent="0.25">
      <c r="A19" s="2598" t="str">
        <f>'Lighting Deemed Table'!C17</f>
        <v>200550_2019_12_</v>
      </c>
      <c r="B19" s="245" t="str">
        <f>'Lighting Deemed Table'!H17</f>
        <v>Lighting RES</v>
      </c>
      <c r="C19" s="245"/>
      <c r="D19" s="245"/>
      <c r="E19" s="245"/>
      <c r="F19" s="245" t="str">
        <f>'Lighting Deemed Table'!E17</f>
        <v>LED - 18W Flood Light PAR30 Bulb (CFL baseline)</v>
      </c>
      <c r="G19" s="745" t="str">
        <f>'Lighting Deemed Table'!D17</f>
        <v>Lighting</v>
      </c>
      <c r="H19" s="2410">
        <f>'Lighting Deemed Table'!F17</f>
        <v>4.62</v>
      </c>
      <c r="I19" s="2410">
        <v>0</v>
      </c>
      <c r="J19" s="2452">
        <v>0</v>
      </c>
      <c r="K19" s="2452">
        <v>0</v>
      </c>
      <c r="L19" s="2452">
        <v>0</v>
      </c>
      <c r="M19" s="2452">
        <v>0</v>
      </c>
      <c r="N19" s="2411">
        <f>'Lighting Deemed Table'!G17</f>
        <v>6.96E-4</v>
      </c>
      <c r="O19" s="2411">
        <v>0</v>
      </c>
      <c r="P19" s="2412">
        <v>0</v>
      </c>
      <c r="Q19" s="2412">
        <v>0</v>
      </c>
      <c r="R19" s="2412"/>
      <c r="S19" s="2412"/>
      <c r="T19" s="2413">
        <v>0</v>
      </c>
      <c r="U19" s="2413">
        <v>0</v>
      </c>
      <c r="V19" s="2413">
        <f t="shared" si="0"/>
        <v>6.96E-4</v>
      </c>
      <c r="W19" s="2460">
        <f>'Lighting Deemed Table'!P17</f>
        <v>19</v>
      </c>
      <c r="X19" s="2460"/>
      <c r="Y19" s="94">
        <f t="shared" si="1"/>
        <v>19</v>
      </c>
      <c r="Z19" s="2414">
        <f>'Lighting Deemed Table'!BB17</f>
        <v>108682.74396396143</v>
      </c>
      <c r="AA19" s="2415">
        <f>'Lighting Deemed Table'!R17</f>
        <v>9.9999999999999995E-7</v>
      </c>
      <c r="AB19" s="2416">
        <f t="shared" si="5"/>
        <v>2.7063575432660896</v>
      </c>
      <c r="AC19" s="2416"/>
      <c r="AD19" s="2441">
        <f>'Lighting Deemed Table'!BD17</f>
        <v>2.7063575432660896</v>
      </c>
      <c r="AE19" s="2440"/>
      <c r="AF19" s="2440"/>
      <c r="AG19" s="2440"/>
      <c r="AL19" s="2380">
        <f t="shared" si="2"/>
        <v>1.4925290000000001E-4</v>
      </c>
      <c r="AM19">
        <f t="shared" si="3"/>
        <v>6.8954839800000004E-4</v>
      </c>
      <c r="AN19" s="2371">
        <f t="shared" si="4"/>
        <v>-6.4516019999999626E-6</v>
      </c>
      <c r="AR19" t="s">
        <v>2444</v>
      </c>
      <c r="AS19" s="2381">
        <v>1.6857220000000001E-4</v>
      </c>
      <c r="AT19" t="s">
        <v>2444</v>
      </c>
    </row>
    <row r="20" spans="1:46" x14ac:dyDescent="0.25">
      <c r="A20" s="2598" t="str">
        <f>'Lighting Deemed Table'!C18</f>
        <v>200600_2019_12_</v>
      </c>
      <c r="B20" s="245" t="str">
        <f>'Lighting Deemed Table'!H18</f>
        <v>Lighting RES</v>
      </c>
      <c r="C20" s="245"/>
      <c r="D20" s="245"/>
      <c r="E20" s="245"/>
      <c r="F20" s="245" t="str">
        <f>'Lighting Deemed Table'!E18</f>
        <v>LED - 18W Flood Light PAR38 Bulb (Halogen baseline)</v>
      </c>
      <c r="G20" s="745" t="str">
        <f>'Lighting Deemed Table'!D18</f>
        <v>Lighting</v>
      </c>
      <c r="H20" s="2410">
        <f>'Lighting Deemed Table'!F18</f>
        <v>75.81</v>
      </c>
      <c r="I20" s="2410">
        <v>0</v>
      </c>
      <c r="J20" s="2452">
        <v>0</v>
      </c>
      <c r="K20" s="2452">
        <v>0</v>
      </c>
      <c r="L20" s="2452">
        <v>0</v>
      </c>
      <c r="M20" s="2452">
        <v>0</v>
      </c>
      <c r="N20" s="2411">
        <f>'Lighting Deemed Table'!G18</f>
        <v>1.1408E-2</v>
      </c>
      <c r="O20" s="2411">
        <v>0</v>
      </c>
      <c r="P20" s="2412">
        <v>0</v>
      </c>
      <c r="Q20" s="2412">
        <v>0</v>
      </c>
      <c r="R20" s="2412"/>
      <c r="S20" s="2412"/>
      <c r="T20" s="2413">
        <v>0</v>
      </c>
      <c r="U20" s="2413">
        <v>0</v>
      </c>
      <c r="V20" s="2413">
        <f t="shared" si="0"/>
        <v>1.1408E-2</v>
      </c>
      <c r="W20" s="2460">
        <f>'Lighting Deemed Table'!P18</f>
        <v>19</v>
      </c>
      <c r="X20" s="2460"/>
      <c r="Y20" s="94">
        <f t="shared" si="1"/>
        <v>19</v>
      </c>
      <c r="Z20" s="2414">
        <f>'Lighting Deemed Table'!BB18</f>
        <v>108742.98938744473</v>
      </c>
      <c r="AA20" s="2415">
        <f>'Lighting Deemed Table'!R18</f>
        <v>9.9999999999999995E-7</v>
      </c>
      <c r="AB20" s="2416">
        <f t="shared" si="5"/>
        <v>44.408866959957194</v>
      </c>
      <c r="AC20" s="2416"/>
      <c r="AD20" s="2441">
        <f>'Lighting Deemed Table'!BD18</f>
        <v>44.408866959957194</v>
      </c>
      <c r="AE20" s="2440"/>
      <c r="AF20" s="2440"/>
      <c r="AG20" s="2440"/>
      <c r="AL20" s="2380">
        <f t="shared" si="2"/>
        <v>1.4925290000000001E-4</v>
      </c>
      <c r="AM20">
        <f t="shared" si="3"/>
        <v>1.1314862349000001E-2</v>
      </c>
      <c r="AN20" s="2371">
        <f t="shared" si="4"/>
        <v>-9.3137650999998781E-5</v>
      </c>
      <c r="AR20" t="s">
        <v>2483</v>
      </c>
      <c r="AS20" s="2381">
        <v>1.6857220000000001E-4</v>
      </c>
      <c r="AT20" t="s">
        <v>2483</v>
      </c>
    </row>
    <row r="21" spans="1:46" x14ac:dyDescent="0.25">
      <c r="A21" s="2598" t="str">
        <f>'Lighting Deemed Table'!C19</f>
        <v>200650_2019_12_</v>
      </c>
      <c r="B21" s="245" t="str">
        <f>'Lighting Deemed Table'!H19</f>
        <v>Lighting RES</v>
      </c>
      <c r="C21" s="245"/>
      <c r="D21" s="245"/>
      <c r="E21" s="245"/>
      <c r="F21" s="245" t="str">
        <f>'Lighting Deemed Table'!E19</f>
        <v>LED - 20W (CFL baseline)</v>
      </c>
      <c r="G21" s="745" t="str">
        <f>'Lighting Deemed Table'!D19</f>
        <v>Lighting</v>
      </c>
      <c r="H21" s="2410">
        <f>'Lighting Deemed Table'!F19</f>
        <v>8.8800000000000008</v>
      </c>
      <c r="I21" s="2410">
        <v>0</v>
      </c>
      <c r="J21" s="2452">
        <v>0</v>
      </c>
      <c r="K21" s="2452">
        <v>0</v>
      </c>
      <c r="L21" s="2452">
        <v>0</v>
      </c>
      <c r="M21" s="2452">
        <v>0</v>
      </c>
      <c r="N21" s="2411">
        <f>'Lighting Deemed Table'!G19</f>
        <v>1.3359999999999999E-3</v>
      </c>
      <c r="O21" s="2411">
        <v>0</v>
      </c>
      <c r="P21" s="2412">
        <v>0</v>
      </c>
      <c r="Q21" s="2412">
        <v>0</v>
      </c>
      <c r="R21" s="2412"/>
      <c r="S21" s="2412"/>
      <c r="T21" s="2413">
        <v>0</v>
      </c>
      <c r="U21" s="2413">
        <v>0</v>
      </c>
      <c r="V21" s="2413">
        <f t="shared" si="0"/>
        <v>1.3359999999999999E-3</v>
      </c>
      <c r="W21" s="2460">
        <f>'Lighting Deemed Table'!P19</f>
        <v>19</v>
      </c>
      <c r="X21" s="2460"/>
      <c r="Y21" s="94">
        <f t="shared" si="1"/>
        <v>19</v>
      </c>
      <c r="Z21" s="2414">
        <f>'Lighting Deemed Table'!BB19</f>
        <v>108800.36598123843</v>
      </c>
      <c r="AA21" s="2415">
        <f>'Lighting Deemed Table'!R19</f>
        <v>9.9999999999999995E-7</v>
      </c>
      <c r="AB21" s="2416">
        <f t="shared" si="5"/>
        <v>5.2018300831607958</v>
      </c>
      <c r="AC21" s="2416"/>
      <c r="AD21" s="2441">
        <f>'Lighting Deemed Table'!BD19</f>
        <v>5.2018300831607958</v>
      </c>
      <c r="AE21" s="2440"/>
      <c r="AF21" s="2440"/>
      <c r="AG21" s="2440"/>
      <c r="AL21" s="2380">
        <f t="shared" si="2"/>
        <v>1.4925290000000001E-4</v>
      </c>
      <c r="AM21">
        <f t="shared" si="3"/>
        <v>1.3253657520000003E-3</v>
      </c>
      <c r="AN21" s="2371">
        <f t="shared" si="4"/>
        <v>-1.0634247999999694E-5</v>
      </c>
      <c r="AR21" t="s">
        <v>738</v>
      </c>
      <c r="AS21" s="2381">
        <v>0</v>
      </c>
      <c r="AT21" t="s">
        <v>738</v>
      </c>
    </row>
    <row r="22" spans="1:46" x14ac:dyDescent="0.25">
      <c r="A22" s="2598" t="str">
        <f>'Lighting Deemed Table'!C20</f>
        <v>200700_2019_12_</v>
      </c>
      <c r="B22" s="245" t="str">
        <f>'Lighting Deemed Table'!H20</f>
        <v>Lighting RES</v>
      </c>
      <c r="C22" s="245"/>
      <c r="D22" s="245"/>
      <c r="E22" s="245"/>
      <c r="F22" s="245" t="str">
        <f>'Lighting Deemed Table'!E20</f>
        <v>LED - 20W (Halogen baseline)</v>
      </c>
      <c r="G22" s="745" t="str">
        <f>'Lighting Deemed Table'!D20</f>
        <v>Lighting</v>
      </c>
      <c r="H22" s="2410">
        <f>'Lighting Deemed Table'!F20</f>
        <v>52.51</v>
      </c>
      <c r="I22" s="2410">
        <v>0</v>
      </c>
      <c r="J22" s="2452">
        <v>0</v>
      </c>
      <c r="K22" s="2452">
        <v>0</v>
      </c>
      <c r="L22" s="2452">
        <v>0</v>
      </c>
      <c r="M22" s="2452">
        <v>0</v>
      </c>
      <c r="N22" s="2411">
        <f>'Lighting Deemed Table'!G20</f>
        <v>7.9019999999999993E-3</v>
      </c>
      <c r="O22" s="2411">
        <v>0</v>
      </c>
      <c r="P22" s="2412">
        <v>0</v>
      </c>
      <c r="Q22" s="2412">
        <v>0</v>
      </c>
      <c r="R22" s="2412"/>
      <c r="S22" s="2412"/>
      <c r="T22" s="2413">
        <v>0</v>
      </c>
      <c r="U22" s="2413">
        <v>0</v>
      </c>
      <c r="V22" s="2413">
        <f t="shared" si="0"/>
        <v>7.9019999999999993E-3</v>
      </c>
      <c r="W22" s="2460">
        <f>'Lighting Deemed Table'!P20</f>
        <v>19</v>
      </c>
      <c r="X22" s="2460"/>
      <c r="Y22" s="94">
        <f t="shared" si="1"/>
        <v>19</v>
      </c>
      <c r="Z22" s="2414">
        <f>'Lighting Deemed Table'!BB20</f>
        <v>108738.2416763386</v>
      </c>
      <c r="AA22" s="2415">
        <f>'Lighting Deemed Table'!R20</f>
        <v>9.9999999999999995E-7</v>
      </c>
      <c r="AB22" s="2416">
        <f t="shared" si="5"/>
        <v>30.759920908420423</v>
      </c>
      <c r="AC22" s="2416"/>
      <c r="AD22" s="2441">
        <f>'Lighting Deemed Table'!BD20</f>
        <v>30.759920908420423</v>
      </c>
      <c r="AE22" s="2440"/>
      <c r="AF22" s="2440"/>
      <c r="AG22" s="2440"/>
      <c r="AL22" s="2380">
        <f t="shared" si="2"/>
        <v>1.4925290000000001E-4</v>
      </c>
      <c r="AM22">
        <f t="shared" si="3"/>
        <v>7.8372697790000008E-3</v>
      </c>
      <c r="AN22" s="2371">
        <f t="shared" si="4"/>
        <v>-6.4730220999998506E-5</v>
      </c>
      <c r="AR22" t="s">
        <v>1310</v>
      </c>
      <c r="AS22" s="2381">
        <v>0</v>
      </c>
      <c r="AT22" t="s">
        <v>1310</v>
      </c>
    </row>
    <row r="23" spans="1:46" x14ac:dyDescent="0.25">
      <c r="A23" s="2598" t="str">
        <f>'Lighting Deemed Table'!C21</f>
        <v>200750_2019_12_</v>
      </c>
      <c r="B23" s="245" t="str">
        <f>'Lighting Deemed Table'!H21</f>
        <v>Lighting RES</v>
      </c>
      <c r="C23" s="245"/>
      <c r="D23" s="245"/>
      <c r="E23" s="245"/>
      <c r="F23" s="245" t="str">
        <f>'Lighting Deemed Table'!E21</f>
        <v>LED - 4W Candelabra (CFL baseline)</v>
      </c>
      <c r="G23" s="745" t="str">
        <f>'Lighting Deemed Table'!D21</f>
        <v>Lighting</v>
      </c>
      <c r="H23" s="2410">
        <f>'Lighting Deemed Table'!F21</f>
        <v>4.62</v>
      </c>
      <c r="I23" s="2410">
        <v>0</v>
      </c>
      <c r="J23" s="2452">
        <v>0</v>
      </c>
      <c r="K23" s="2452">
        <v>0</v>
      </c>
      <c r="L23" s="2452">
        <v>0</v>
      </c>
      <c r="M23" s="2452">
        <v>0</v>
      </c>
      <c r="N23" s="2411">
        <f>'Lighting Deemed Table'!G21</f>
        <v>6.96E-4</v>
      </c>
      <c r="O23" s="2411">
        <v>0</v>
      </c>
      <c r="P23" s="2412">
        <v>0</v>
      </c>
      <c r="Q23" s="2412">
        <v>0</v>
      </c>
      <c r="R23" s="2412"/>
      <c r="S23" s="2412"/>
      <c r="T23" s="2413">
        <v>0</v>
      </c>
      <c r="U23" s="2413">
        <v>0</v>
      </c>
      <c r="V23" s="2413">
        <f t="shared" si="0"/>
        <v>6.96E-4</v>
      </c>
      <c r="W23" s="2460">
        <f>'Lighting Deemed Table'!P21</f>
        <v>19</v>
      </c>
      <c r="X23" s="2460"/>
      <c r="Y23" s="94">
        <f t="shared" si="1"/>
        <v>19</v>
      </c>
      <c r="Z23" s="2414">
        <f>'Lighting Deemed Table'!BB21</f>
        <v>108682.74396396143</v>
      </c>
      <c r="AA23" s="2415">
        <f>'Lighting Deemed Table'!R21</f>
        <v>9.9999999999999995E-7</v>
      </c>
      <c r="AB23" s="2416">
        <f t="shared" si="5"/>
        <v>2.7063575432660896</v>
      </c>
      <c r="AC23" s="2416"/>
      <c r="AD23" s="2441">
        <f>'Lighting Deemed Table'!BD21</f>
        <v>2.7063575432660896</v>
      </c>
      <c r="AE23" s="2440"/>
      <c r="AF23" s="2440"/>
      <c r="AG23" s="2440"/>
      <c r="AL23" s="2380">
        <f t="shared" si="2"/>
        <v>1.4925290000000001E-4</v>
      </c>
      <c r="AM23">
        <f t="shared" si="3"/>
        <v>6.8954839800000004E-4</v>
      </c>
      <c r="AN23" s="2371">
        <f t="shared" si="4"/>
        <v>-6.4516019999999626E-6</v>
      </c>
      <c r="AR23" t="s">
        <v>941</v>
      </c>
      <c r="AS23" s="2381">
        <v>4.6608050000000002E-4</v>
      </c>
      <c r="AT23" t="s">
        <v>941</v>
      </c>
    </row>
    <row r="24" spans="1:46" x14ac:dyDescent="0.25">
      <c r="A24" s="2598" t="str">
        <f>'Lighting Deemed Table'!C22</f>
        <v>200800_2019_12_</v>
      </c>
      <c r="B24" s="245" t="str">
        <f>'Lighting Deemed Table'!H22</f>
        <v>Lighting RES</v>
      </c>
      <c r="C24" s="245"/>
      <c r="D24" s="245"/>
      <c r="E24" s="245"/>
      <c r="F24" s="245" t="str">
        <f>'Lighting Deemed Table'!E22</f>
        <v>LED - 4W Candelabra (Replacing Specialty Incandescent)</v>
      </c>
      <c r="G24" s="745" t="str">
        <f>'Lighting Deemed Table'!D22</f>
        <v>Lighting</v>
      </c>
      <c r="H24" s="2410">
        <f>'Lighting Deemed Table'!F22</f>
        <v>32.36</v>
      </c>
      <c r="I24" s="2410">
        <v>0</v>
      </c>
      <c r="J24" s="2452">
        <v>0</v>
      </c>
      <c r="K24" s="2452">
        <v>0</v>
      </c>
      <c r="L24" s="2452">
        <v>0</v>
      </c>
      <c r="M24" s="2452">
        <v>0</v>
      </c>
      <c r="N24" s="2411">
        <f>'Lighting Deemed Table'!G22</f>
        <v>4.8690000000000001E-3</v>
      </c>
      <c r="O24" s="2411">
        <v>0</v>
      </c>
      <c r="P24" s="2412">
        <v>0</v>
      </c>
      <c r="Q24" s="2412">
        <v>0</v>
      </c>
      <c r="R24" s="2412"/>
      <c r="S24" s="2412"/>
      <c r="T24" s="2413">
        <v>0</v>
      </c>
      <c r="U24" s="2413">
        <v>0</v>
      </c>
      <c r="V24" s="2413">
        <f t="shared" si="0"/>
        <v>4.8690000000000001E-3</v>
      </c>
      <c r="W24" s="2460">
        <f>'Lighting Deemed Table'!P22</f>
        <v>19</v>
      </c>
      <c r="X24" s="2460"/>
      <c r="Y24" s="94">
        <f t="shared" si="1"/>
        <v>19</v>
      </c>
      <c r="Z24" s="2414">
        <f>'Lighting Deemed Table'!BB22</f>
        <v>108749.95654526255</v>
      </c>
      <c r="AA24" s="2415">
        <f>'Lighting Deemed Table'!R22</f>
        <v>9.9999999999999995E-7</v>
      </c>
      <c r="AB24" s="2416">
        <f t="shared" si="5"/>
        <v>18.956218636383259</v>
      </c>
      <c r="AC24" s="2416"/>
      <c r="AD24" s="2441">
        <f>'Lighting Deemed Table'!BD22</f>
        <v>18.956218636383259</v>
      </c>
      <c r="AE24" s="2440"/>
      <c r="AF24" s="2440"/>
      <c r="AG24" s="2440"/>
      <c r="AL24" s="2380">
        <f t="shared" si="2"/>
        <v>1.4925290000000001E-4</v>
      </c>
      <c r="AM24">
        <f t="shared" si="3"/>
        <v>4.8298238440000005E-3</v>
      </c>
      <c r="AN24" s="2371">
        <f t="shared" si="4"/>
        <v>-3.9176155999999518E-5</v>
      </c>
      <c r="AR24" t="s">
        <v>2327</v>
      </c>
      <c r="AS24" s="2381">
        <v>4.6608050000000002E-4</v>
      </c>
      <c r="AT24" t="s">
        <v>2327</v>
      </c>
    </row>
    <row r="25" spans="1:46" x14ac:dyDescent="0.25">
      <c r="A25" s="2598" t="str">
        <f>'Lighting Deemed Table'!C23</f>
        <v>200850_2019_12_</v>
      </c>
      <c r="B25" s="245" t="str">
        <f>'Lighting Deemed Table'!H23</f>
        <v>Lighting RES</v>
      </c>
      <c r="C25" s="245"/>
      <c r="D25" s="245"/>
      <c r="E25" s="245"/>
      <c r="F25" s="245" t="str">
        <f>'Lighting Deemed Table'!E23</f>
        <v>LED - 8W Globe Light G25 Bulb (Replacing CFL)</v>
      </c>
      <c r="G25" s="745" t="str">
        <f>'Lighting Deemed Table'!D23</f>
        <v>Lighting</v>
      </c>
      <c r="H25" s="2410">
        <f>'Lighting Deemed Table'!F23</f>
        <v>5.36</v>
      </c>
      <c r="I25" s="2410">
        <v>0</v>
      </c>
      <c r="J25" s="2452">
        <v>0</v>
      </c>
      <c r="K25" s="2452">
        <v>0</v>
      </c>
      <c r="L25" s="2452">
        <v>0</v>
      </c>
      <c r="M25" s="2452">
        <v>0</v>
      </c>
      <c r="N25" s="2411">
        <f>'Lighting Deemed Table'!G23</f>
        <v>8.0699999999999999E-4</v>
      </c>
      <c r="O25" s="2411">
        <v>0</v>
      </c>
      <c r="P25" s="2412">
        <v>0</v>
      </c>
      <c r="Q25" s="2412">
        <v>0</v>
      </c>
      <c r="R25" s="2412"/>
      <c r="S25" s="2412"/>
      <c r="T25" s="2413">
        <v>0</v>
      </c>
      <c r="U25" s="2413">
        <v>0</v>
      </c>
      <c r="V25" s="2413">
        <f t="shared" si="0"/>
        <v>8.0699999999999999E-4</v>
      </c>
      <c r="W25" s="2460">
        <f>'Lighting Deemed Table'!P23</f>
        <v>19</v>
      </c>
      <c r="X25" s="2460"/>
      <c r="Y25" s="94">
        <f t="shared" si="1"/>
        <v>19</v>
      </c>
      <c r="Z25" s="2414">
        <f>'Lighting Deemed Table'!BB23</f>
        <v>108698.9676904824</v>
      </c>
      <c r="AA25" s="2415">
        <f>'Lighting Deemed Table'!R23</f>
        <v>9.9999999999999995E-7</v>
      </c>
      <c r="AB25" s="2416">
        <f t="shared" si="5"/>
        <v>3.139843383529489</v>
      </c>
      <c r="AC25" s="2416"/>
      <c r="AD25" s="2441">
        <f>'Lighting Deemed Table'!BD23</f>
        <v>3.139843383529489</v>
      </c>
      <c r="AE25" s="2440"/>
      <c r="AF25" s="2440"/>
      <c r="AG25" s="2440"/>
      <c r="AL25" s="2380">
        <f t="shared" si="2"/>
        <v>1.4925290000000001E-4</v>
      </c>
      <c r="AM25">
        <f t="shared" si="3"/>
        <v>7.9999554400000006E-4</v>
      </c>
      <c r="AN25" s="2371">
        <f t="shared" si="4"/>
        <v>-7.0044559999999289E-6</v>
      </c>
      <c r="AR25" t="s">
        <v>571</v>
      </c>
      <c r="AS25" s="2381">
        <v>1.4925290000000001E-4</v>
      </c>
      <c r="AT25" t="s">
        <v>571</v>
      </c>
    </row>
    <row r="26" spans="1:46" x14ac:dyDescent="0.25">
      <c r="A26" s="2598" t="str">
        <f>'Lighting Deemed Table'!C24</f>
        <v>200900_2019_12_</v>
      </c>
      <c r="B26" s="245" t="str">
        <f>'Lighting Deemed Table'!H24</f>
        <v>Lighting RES</v>
      </c>
      <c r="C26" s="245"/>
      <c r="D26" s="245"/>
      <c r="E26" s="245"/>
      <c r="F26" s="245" t="str">
        <f>'Lighting Deemed Table'!E24</f>
        <v>LED - 8W Globe Light G25 Bulb (Replacing Specialty Incandescent)</v>
      </c>
      <c r="G26" s="745" t="str">
        <f>'Lighting Deemed Table'!D24</f>
        <v>Lighting</v>
      </c>
      <c r="H26" s="2410">
        <f>'Lighting Deemed Table'!F24</f>
        <v>33.47</v>
      </c>
      <c r="I26" s="2410">
        <v>0</v>
      </c>
      <c r="J26" s="2452">
        <v>0</v>
      </c>
      <c r="K26" s="2452">
        <v>0</v>
      </c>
      <c r="L26" s="2452">
        <v>0</v>
      </c>
      <c r="M26" s="2452">
        <v>0</v>
      </c>
      <c r="N26" s="2411">
        <f>'Lighting Deemed Table'!G24</f>
        <v>5.0359999999999997E-3</v>
      </c>
      <c r="O26" s="2411">
        <v>0</v>
      </c>
      <c r="P26" s="2412">
        <v>0</v>
      </c>
      <c r="Q26" s="2412">
        <v>0</v>
      </c>
      <c r="R26" s="2412"/>
      <c r="S26" s="2412"/>
      <c r="T26" s="2413">
        <v>0</v>
      </c>
      <c r="U26" s="2413">
        <v>0</v>
      </c>
      <c r="V26" s="2413">
        <f t="shared" si="0"/>
        <v>5.0359999999999997E-3</v>
      </c>
      <c r="W26" s="2460">
        <f>'Lighting Deemed Table'!P24</f>
        <v>19</v>
      </c>
      <c r="X26" s="2460"/>
      <c r="Y26" s="94">
        <f t="shared" si="1"/>
        <v>19</v>
      </c>
      <c r="Z26" s="2414">
        <f>'Lighting Deemed Table'!BB24</f>
        <v>108751.62757628936</v>
      </c>
      <c r="AA26" s="2415">
        <f>'Lighting Deemed Table'!R24</f>
        <v>9.9999999999999995E-7</v>
      </c>
      <c r="AB26" s="2416">
        <f t="shared" si="5"/>
        <v>19.606447396778357</v>
      </c>
      <c r="AC26" s="2416"/>
      <c r="AD26" s="2441">
        <f>'Lighting Deemed Table'!BD24</f>
        <v>19.606447396778357</v>
      </c>
      <c r="AE26" s="2440"/>
      <c r="AF26" s="2440"/>
      <c r="AG26" s="2440"/>
      <c r="AL26" s="2380">
        <f t="shared" si="2"/>
        <v>1.4925290000000001E-4</v>
      </c>
      <c r="AM26">
        <f t="shared" si="3"/>
        <v>4.9954945630000004E-3</v>
      </c>
      <c r="AN26" s="2371">
        <f t="shared" si="4"/>
        <v>-4.0505436999999263E-5</v>
      </c>
      <c r="AR26" t="s">
        <v>840</v>
      </c>
      <c r="AS26" s="2381">
        <v>1.148238E-4</v>
      </c>
      <c r="AT26" t="s">
        <v>840</v>
      </c>
    </row>
    <row r="27" spans="1:46" x14ac:dyDescent="0.25">
      <c r="A27" s="2598" t="str">
        <f>'Lighting Deemed Table'!C25</f>
        <v>200950_2019_12_</v>
      </c>
      <c r="B27" s="245" t="str">
        <f>'Lighting Deemed Table'!H25</f>
        <v>Lighting RES</v>
      </c>
      <c r="C27" s="245"/>
      <c r="D27" s="245"/>
      <c r="E27" s="245"/>
      <c r="F27" s="245" t="str">
        <f>'Lighting Deemed Table'!E25</f>
        <v>LED - 10W (Halogen baseline)  - Specialty Connected Light</v>
      </c>
      <c r="G27" s="745" t="str">
        <f>'Lighting Deemed Table'!D25</f>
        <v>Lighting</v>
      </c>
      <c r="H27" s="2410">
        <f>'Lighting Deemed Table'!F25</f>
        <v>28.75</v>
      </c>
      <c r="I27" s="2410">
        <v>0</v>
      </c>
      <c r="J27" s="2452">
        <v>0</v>
      </c>
      <c r="K27" s="2452">
        <v>0</v>
      </c>
      <c r="L27" s="2452">
        <v>0</v>
      </c>
      <c r="M27" s="2452">
        <v>0</v>
      </c>
      <c r="N27" s="2411">
        <f>'Lighting Deemed Table'!G25</f>
        <v>4.3270000000000001E-3</v>
      </c>
      <c r="O27" s="2411">
        <v>0</v>
      </c>
      <c r="P27" s="2412">
        <v>0</v>
      </c>
      <c r="Q27" s="2412">
        <v>0</v>
      </c>
      <c r="R27" s="2412"/>
      <c r="S27" s="2412"/>
      <c r="T27" s="2413">
        <v>0</v>
      </c>
      <c r="U27" s="2413">
        <v>0</v>
      </c>
      <c r="V27" s="2413">
        <f t="shared" si="0"/>
        <v>4.3270000000000001E-3</v>
      </c>
      <c r="W27" s="2460">
        <f>'Lighting Deemed Table'!P25</f>
        <v>19</v>
      </c>
      <c r="X27" s="2460"/>
      <c r="Y27" s="94">
        <f t="shared" si="1"/>
        <v>19</v>
      </c>
      <c r="Z27" s="2414">
        <f>'Lighting Deemed Table'!BB25</f>
        <v>108734.17995865489</v>
      </c>
      <c r="AA27" s="2415">
        <f>'Lighting Deemed Table'!R25</f>
        <v>9.9999999999999995E-7</v>
      </c>
      <c r="AB27" s="2416">
        <f t="shared" si="5"/>
        <v>16.841510685909107</v>
      </c>
      <c r="AC27" s="2416"/>
      <c r="AD27" s="2441">
        <f>'Lighting Deemed Table'!BD25</f>
        <v>16.841510685909107</v>
      </c>
      <c r="AE27" s="2440"/>
      <c r="AF27" s="2440"/>
      <c r="AG27" s="2440"/>
      <c r="AL27" s="2380">
        <f t="shared" si="2"/>
        <v>1.4925290000000001E-4</v>
      </c>
      <c r="AM27">
        <f t="shared" si="3"/>
        <v>4.291020875E-3</v>
      </c>
      <c r="AN27" s="2371">
        <f t="shared" si="4"/>
        <v>-3.5979125000000153E-5</v>
      </c>
      <c r="AR27" t="s">
        <v>810</v>
      </c>
      <c r="AS27" s="2381">
        <v>2.3544589999999999E-4</v>
      </c>
      <c r="AT27" t="s">
        <v>810</v>
      </c>
    </row>
    <row r="28" spans="1:46" x14ac:dyDescent="0.25">
      <c r="A28" s="2598" t="str">
        <f>'Lighting Deemed Table'!C26</f>
        <v>201000_2019_12_</v>
      </c>
      <c r="B28" s="245" t="str">
        <f>'Lighting Deemed Table'!H26</f>
        <v>Lighting RES</v>
      </c>
      <c r="C28" s="245"/>
      <c r="D28" s="245"/>
      <c r="E28" s="245"/>
      <c r="F28" s="245" t="str">
        <f>'Lighting Deemed Table'!E26</f>
        <v>LED - 15W (Halogen baseline)  - Specialty Connected Light</v>
      </c>
      <c r="G28" s="745" t="str">
        <f>'Lighting Deemed Table'!D26</f>
        <v>Lighting</v>
      </c>
      <c r="H28" s="2410">
        <f>'Lighting Deemed Table'!F26</f>
        <v>37.81</v>
      </c>
      <c r="I28" s="2410">
        <v>0</v>
      </c>
      <c r="J28" s="2452">
        <v>0</v>
      </c>
      <c r="K28" s="2452">
        <v>0</v>
      </c>
      <c r="L28" s="2452">
        <v>0</v>
      </c>
      <c r="M28" s="2452">
        <v>0</v>
      </c>
      <c r="N28" s="2411">
        <f>'Lighting Deemed Table'!G26</f>
        <v>5.6899999999999997E-3</v>
      </c>
      <c r="O28" s="2411">
        <v>0</v>
      </c>
      <c r="P28" s="2412">
        <v>0</v>
      </c>
      <c r="Q28" s="2412">
        <v>0</v>
      </c>
      <c r="R28" s="2412"/>
      <c r="S28" s="2412"/>
      <c r="T28" s="2413">
        <v>0</v>
      </c>
      <c r="U28" s="2413">
        <v>0</v>
      </c>
      <c r="V28" s="2413">
        <f t="shared" si="0"/>
        <v>5.6899999999999997E-3</v>
      </c>
      <c r="W28" s="2460">
        <f>'Lighting Deemed Table'!P26</f>
        <v>19</v>
      </c>
      <c r="X28" s="2460"/>
      <c r="Y28" s="94">
        <f t="shared" si="1"/>
        <v>19</v>
      </c>
      <c r="Z28" s="2414">
        <f>'Lighting Deemed Table'!BB26</f>
        <v>108735.65949251635</v>
      </c>
      <c r="AA28" s="2415">
        <f>'Lighting Deemed Table'!R26</f>
        <v>9.9999999999999995E-7</v>
      </c>
      <c r="AB28" s="2416">
        <f t="shared" si="5"/>
        <v>22.148783270755594</v>
      </c>
      <c r="AC28" s="2416"/>
      <c r="AD28" s="2441">
        <f>'Lighting Deemed Table'!BD26</f>
        <v>22.148783270755594</v>
      </c>
      <c r="AE28" s="2440"/>
      <c r="AF28" s="2440"/>
      <c r="AG28" s="2440"/>
      <c r="AL28" s="2380">
        <f t="shared" si="2"/>
        <v>1.4925290000000001E-4</v>
      </c>
      <c r="AM28">
        <f t="shared" si="3"/>
        <v>5.6432521490000003E-3</v>
      </c>
      <c r="AN28" s="2371">
        <f t="shared" si="4"/>
        <v>-4.6747850999999396E-5</v>
      </c>
      <c r="AR28" t="s">
        <v>2161</v>
      </c>
      <c r="AS28" s="2381">
        <v>1.286107E-4</v>
      </c>
      <c r="AT28" t="s">
        <v>2161</v>
      </c>
    </row>
    <row r="29" spans="1:46" x14ac:dyDescent="0.25">
      <c r="A29" s="2598" t="str">
        <f>'Lighting Deemed Table'!C27</f>
        <v>201050_2019_12_</v>
      </c>
      <c r="B29" s="245" t="str">
        <f>'Lighting Deemed Table'!H27</f>
        <v>Lighting RES</v>
      </c>
      <c r="C29" s="245"/>
      <c r="D29" s="245"/>
      <c r="E29" s="245"/>
      <c r="F29" s="245" t="str">
        <f>'Lighting Deemed Table'!E27</f>
        <v>LED - 15W Flood Light PAR30 Bulb (Halogen baseline) - Specialty Connected Light</v>
      </c>
      <c r="G29" s="745" t="str">
        <f>'Lighting Deemed Table'!D27</f>
        <v>Lighting</v>
      </c>
      <c r="H29" s="2410">
        <f>'Lighting Deemed Table'!F27</f>
        <v>45.49</v>
      </c>
      <c r="I29" s="2410">
        <v>0</v>
      </c>
      <c r="J29" s="2452">
        <v>0</v>
      </c>
      <c r="K29" s="2452">
        <v>0</v>
      </c>
      <c r="L29" s="2452">
        <v>0</v>
      </c>
      <c r="M29" s="2452">
        <v>0</v>
      </c>
      <c r="N29" s="2411">
        <f>'Lighting Deemed Table'!G27</f>
        <v>6.8450000000000004E-3</v>
      </c>
      <c r="O29" s="2411">
        <v>0</v>
      </c>
      <c r="P29" s="2412">
        <v>0</v>
      </c>
      <c r="Q29" s="2412">
        <v>0</v>
      </c>
      <c r="R29" s="2412"/>
      <c r="S29" s="2412"/>
      <c r="T29" s="2413">
        <v>0</v>
      </c>
      <c r="U29" s="2413">
        <v>0</v>
      </c>
      <c r="V29" s="2413">
        <f t="shared" si="0"/>
        <v>6.8450000000000004E-3</v>
      </c>
      <c r="W29" s="2460">
        <f>'Lighting Deemed Table'!P27</f>
        <v>19</v>
      </c>
      <c r="X29" s="2460"/>
      <c r="Y29" s="94">
        <f t="shared" si="1"/>
        <v>19</v>
      </c>
      <c r="Z29" s="2414">
        <f>'Lighting Deemed Table'!BB27</f>
        <v>108752.55215307705</v>
      </c>
      <c r="AA29" s="2415">
        <f>'Lighting Deemed Table'!R27</f>
        <v>9.9999999999999995E-7</v>
      </c>
      <c r="AB29" s="2416">
        <f t="shared" si="5"/>
        <v>26.647663342678445</v>
      </c>
      <c r="AC29" s="2416"/>
      <c r="AD29" s="2441">
        <f>'Lighting Deemed Table'!BD27</f>
        <v>26.647663342678445</v>
      </c>
      <c r="AE29" s="2440"/>
      <c r="AF29" s="2440"/>
      <c r="AG29" s="2440"/>
      <c r="AL29" s="2380">
        <f t="shared" si="2"/>
        <v>1.4925290000000001E-4</v>
      </c>
      <c r="AM29">
        <f t="shared" si="3"/>
        <v>6.7895144210000005E-3</v>
      </c>
      <c r="AN29" s="2371">
        <f t="shared" si="4"/>
        <v>-5.5485578999999938E-5</v>
      </c>
      <c r="AR29" t="s">
        <v>2163</v>
      </c>
      <c r="AS29" s="2381">
        <v>1.286107E-4</v>
      </c>
      <c r="AT29" t="s">
        <v>2163</v>
      </c>
    </row>
    <row r="30" spans="1:46" x14ac:dyDescent="0.25">
      <c r="A30" s="2598" t="str">
        <f>'Lighting Deemed Table'!C28</f>
        <v>201100_2019_12_</v>
      </c>
      <c r="B30" s="245" t="str">
        <f>'Lighting Deemed Table'!H28</f>
        <v>Lighting RES</v>
      </c>
      <c r="C30" s="245"/>
      <c r="D30" s="245"/>
      <c r="E30" s="245"/>
      <c r="F30" s="245" t="str">
        <f>'Lighting Deemed Table'!E28</f>
        <v>LED - 6W (Halogen baseline)</v>
      </c>
      <c r="G30" s="745" t="str">
        <f>'Lighting Deemed Table'!D28</f>
        <v>Lighting</v>
      </c>
      <c r="H30" s="2410">
        <f>'Lighting Deemed Table'!F28</f>
        <v>21.26</v>
      </c>
      <c r="I30" s="2410">
        <v>0</v>
      </c>
      <c r="J30" s="2452">
        <v>0</v>
      </c>
      <c r="K30" s="2452">
        <v>0</v>
      </c>
      <c r="L30" s="2452">
        <v>0</v>
      </c>
      <c r="M30" s="2452">
        <v>0</v>
      </c>
      <c r="N30" s="2411">
        <f>'Lighting Deemed Table'!G28</f>
        <v>3.2000000000000002E-3</v>
      </c>
      <c r="O30" s="2411">
        <v>0</v>
      </c>
      <c r="P30" s="2412">
        <v>0</v>
      </c>
      <c r="Q30" s="2412">
        <v>0</v>
      </c>
      <c r="R30" s="2412"/>
      <c r="S30" s="2412"/>
      <c r="T30" s="2413">
        <v>0</v>
      </c>
      <c r="U30" s="2413">
        <v>0</v>
      </c>
      <c r="V30" s="2413">
        <f t="shared" si="0"/>
        <v>3.2000000000000002E-3</v>
      </c>
      <c r="W30" s="2460">
        <f>'Lighting Deemed Table'!P28</f>
        <v>19</v>
      </c>
      <c r="X30" s="2460"/>
      <c r="Y30" s="94">
        <f t="shared" si="1"/>
        <v>19</v>
      </c>
      <c r="Z30" s="2414">
        <f>'Lighting Deemed Table'!BB28</f>
        <v>108723.6559699708</v>
      </c>
      <c r="AA30" s="2415">
        <f>'Lighting Deemed Table'!R28</f>
        <v>9.9999999999999995E-7</v>
      </c>
      <c r="AB30" s="2416">
        <f t="shared" si="5"/>
        <v>12.453931032432266</v>
      </c>
      <c r="AC30" s="2416"/>
      <c r="AD30" s="2441">
        <f>'Lighting Deemed Table'!BD28</f>
        <v>12.453931032432266</v>
      </c>
      <c r="AE30" s="2440"/>
      <c r="AF30" s="2440"/>
      <c r="AG30" s="2440"/>
      <c r="AL30" s="2380">
        <f t="shared" si="2"/>
        <v>1.4925290000000001E-4</v>
      </c>
      <c r="AM30">
        <f t="shared" si="3"/>
        <v>3.1731166540000006E-3</v>
      </c>
      <c r="AN30" s="2371">
        <f t="shared" si="4"/>
        <v>-2.68833459999996E-5</v>
      </c>
      <c r="AR30" t="s">
        <v>668</v>
      </c>
      <c r="AS30" s="2381">
        <v>8.8731800000000003E-5</v>
      </c>
      <c r="AT30" t="s">
        <v>668</v>
      </c>
    </row>
    <row r="31" spans="1:46" x14ac:dyDescent="0.25">
      <c r="A31" s="2598" t="str">
        <f>'Efficient Products Deemed Table'!C7</f>
        <v>250050_2019_12_</v>
      </c>
      <c r="B31" s="245" t="str">
        <f>'Efficient Products Deemed Table'!G7</f>
        <v>Water Heating RES</v>
      </c>
      <c r="C31" s="245"/>
      <c r="D31" s="245"/>
      <c r="E31" s="245"/>
      <c r="F31" s="245" t="str">
        <f>'Efficient Products Deemed Table'!E7</f>
        <v>Heat Pump Hot Water Heater</v>
      </c>
      <c r="G31" s="245" t="str">
        <f>'Efficient Products Deemed Table'!D7</f>
        <v>Efficient Products</v>
      </c>
      <c r="H31" s="2410">
        <f>'Efficient Products Deemed Table'!F7</f>
        <v>2296.31</v>
      </c>
      <c r="I31" s="2410">
        <v>0</v>
      </c>
      <c r="J31" s="2452">
        <v>0</v>
      </c>
      <c r="K31" s="2452">
        <v>0</v>
      </c>
      <c r="L31" s="2452">
        <v>0</v>
      </c>
      <c r="M31" s="2452">
        <v>0</v>
      </c>
      <c r="N31" s="2411">
        <f>'Efficient Products Deemed Table'!L7</f>
        <v>0.20375599999999999</v>
      </c>
      <c r="O31" s="2411">
        <v>0</v>
      </c>
      <c r="P31" s="2412">
        <v>0</v>
      </c>
      <c r="Q31" s="2412">
        <v>0</v>
      </c>
      <c r="R31" s="2412"/>
      <c r="S31" s="2412"/>
      <c r="T31" s="2413">
        <v>0</v>
      </c>
      <c r="U31" s="2413">
        <f>N31</f>
        <v>0.20375599999999999</v>
      </c>
      <c r="V31" s="2413">
        <v>0</v>
      </c>
      <c r="W31" s="2460">
        <f>'Efficient Products Deemed Table'!M7</f>
        <v>13</v>
      </c>
      <c r="X31" s="2460"/>
      <c r="Y31" s="94">
        <f t="shared" si="1"/>
        <v>13</v>
      </c>
      <c r="Z31" s="2414">
        <f>'Efficient Products Deemed Table'!BB7</f>
        <v>1.7998258984236168</v>
      </c>
      <c r="AA31" s="2417">
        <f>'Efficient Products Deemed Table'!N7</f>
        <v>588</v>
      </c>
      <c r="AB31" s="2418">
        <f t="shared" si="5"/>
        <v>998.86515174430065</v>
      </c>
      <c r="AC31" s="2418"/>
      <c r="AD31" s="2442">
        <f>'Efficient Products Deemed Table'!BD7</f>
        <v>998.86515174430065</v>
      </c>
      <c r="AE31" s="2440"/>
      <c r="AF31" s="2440"/>
      <c r="AG31" s="2440"/>
      <c r="AL31" s="2380">
        <f t="shared" si="2"/>
        <v>8.8731800000000003E-5</v>
      </c>
      <c r="AM31">
        <f t="shared" si="3"/>
        <v>0.20375571965799999</v>
      </c>
      <c r="AN31" s="2368">
        <f t="shared" si="4"/>
        <v>-2.803420000030421E-7</v>
      </c>
    </row>
    <row r="32" spans="1:46" x14ac:dyDescent="0.25">
      <c r="A32" s="2598" t="str">
        <f>'Efficient Products Deemed Table'!C57</f>
        <v>250100_2019_12_</v>
      </c>
      <c r="B32" s="245" t="str">
        <f>'Efficient Products Deemed Table'!G57</f>
        <v>Cooling RES</v>
      </c>
      <c r="C32" s="245" t="str">
        <f>'Efficient Products Deemed Table'!G58</f>
        <v>Heating RES</v>
      </c>
      <c r="D32" s="245"/>
      <c r="E32" s="245"/>
      <c r="F32" s="245" t="str">
        <f>'Efficient Products Deemed Table'!E57</f>
        <v>Learning Thermostat - ASHP heating/cooling SF</v>
      </c>
      <c r="G32" s="245" t="str">
        <f>'Efficient Products Deemed Table'!D57</f>
        <v>Efficient Products</v>
      </c>
      <c r="H32" s="2420">
        <f>J32+K32</f>
        <v>744.62</v>
      </c>
      <c r="I32" s="1374">
        <f>L32+M32</f>
        <v>0</v>
      </c>
      <c r="J32" s="2452">
        <f>'Efficient Products Deemed Table'!F57</f>
        <v>187.46</v>
      </c>
      <c r="K32" s="2452">
        <f>'Efficient Products Deemed Table'!F58</f>
        <v>557.16</v>
      </c>
      <c r="L32" s="2452">
        <v>0</v>
      </c>
      <c r="M32" s="2452">
        <v>0</v>
      </c>
      <c r="N32" s="2421">
        <f>P32+Q32</f>
        <v>0.17760300000000001</v>
      </c>
      <c r="O32" s="2421">
        <f>R32+S32</f>
        <v>0</v>
      </c>
      <c r="P32" s="2412">
        <f>'Efficient Products Deemed Table'!I57</f>
        <v>0.17760300000000001</v>
      </c>
      <c r="Q32" s="2412">
        <v>0</v>
      </c>
      <c r="R32" s="2412"/>
      <c r="S32" s="2412"/>
      <c r="T32" s="2413">
        <v>0</v>
      </c>
      <c r="U32" s="2413">
        <f t="shared" ref="U32:U43" si="6">P32</f>
        <v>0.17760300000000001</v>
      </c>
      <c r="V32" s="2413">
        <v>0</v>
      </c>
      <c r="W32" s="2460">
        <f>'Efficient Products Deemed Table'!J57</f>
        <v>10</v>
      </c>
      <c r="X32" s="2460"/>
      <c r="Y32" s="94">
        <f t="shared" si="1"/>
        <v>10</v>
      </c>
      <c r="Z32" s="2414">
        <f>'Efficient Products Deemed Table'!BB57</f>
        <v>2.0794081871928394</v>
      </c>
      <c r="AA32" s="2417">
        <f>'Efficient Products Deemed Table'!K57</f>
        <v>175</v>
      </c>
      <c r="AB32" s="2418">
        <f t="shared" si="5"/>
        <v>343.46053115502298</v>
      </c>
      <c r="AC32" s="2418"/>
      <c r="AD32" s="2441">
        <f>'Efficient Products Deemed Table'!BD57</f>
        <v>192.06001751318203</v>
      </c>
      <c r="AE32" s="2443">
        <f>'Efficient Products Deemed Table'!BD58</f>
        <v>151.40051364184092</v>
      </c>
      <c r="AF32" s="2443"/>
      <c r="AG32" s="2443"/>
      <c r="AH32" s="2388"/>
      <c r="AI32" s="2388"/>
      <c r="AJ32" s="2388"/>
      <c r="AK32" s="2388"/>
      <c r="AL32" s="2380">
        <f t="shared" si="2"/>
        <v>9.4741810000000004E-4</v>
      </c>
      <c r="AM32" s="145">
        <f t="shared" ref="AM32:AM43" si="7">AL32*J32</f>
        <v>0.17760299702600002</v>
      </c>
      <c r="AN32" s="2368">
        <f t="shared" si="4"/>
        <v>-2.9739999907185677E-9</v>
      </c>
      <c r="AR32" s="1614" t="s">
        <v>2484</v>
      </c>
      <c r="AS32" s="1615"/>
    </row>
    <row r="33" spans="1:45" x14ac:dyDescent="0.25">
      <c r="A33" s="2598" t="str">
        <f>'Efficient Products Deemed Table'!C59</f>
        <v>250101_2019_12_</v>
      </c>
      <c r="B33" s="245" t="str">
        <f>'Efficient Products Deemed Table'!G59</f>
        <v>Cooling RES</v>
      </c>
      <c r="C33" s="245" t="str">
        <f>'Efficient Products Deemed Table'!G60</f>
        <v>Heating RES</v>
      </c>
      <c r="D33" s="245"/>
      <c r="E33" s="245"/>
      <c r="F33" s="245" t="str">
        <f>'Efficient Products Deemed Table'!E59</f>
        <v>Learning Thermostat - ASHP heating/cooling MF</v>
      </c>
      <c r="G33" s="245" t="str">
        <f>'Efficient Products Deemed Table'!D59</f>
        <v>Efficient Products</v>
      </c>
      <c r="H33" s="2420">
        <f t="shared" ref="H33:H43" si="8">J33+K33</f>
        <v>549.62</v>
      </c>
      <c r="I33" s="1374">
        <f t="shared" ref="I33:I43" si="9">L33+M33</f>
        <v>0</v>
      </c>
      <c r="J33" s="2452">
        <f>'Efficient Products Deemed Table'!F59</f>
        <v>187.46</v>
      </c>
      <c r="K33" s="2452">
        <f>'Efficient Products Deemed Table'!F60</f>
        <v>362.16</v>
      </c>
      <c r="L33" s="2452">
        <v>0</v>
      </c>
      <c r="M33" s="2452">
        <v>0</v>
      </c>
      <c r="N33" s="2421">
        <f t="shared" ref="N33:N43" si="10">P33+Q33</f>
        <v>0.17760300000000001</v>
      </c>
      <c r="O33" s="2421">
        <f t="shared" ref="O33:O43" si="11">R33+S33</f>
        <v>0</v>
      </c>
      <c r="P33" s="2412">
        <f>'Efficient Products Deemed Table'!I59</f>
        <v>0.17760300000000001</v>
      </c>
      <c r="Q33" s="2412">
        <v>0</v>
      </c>
      <c r="R33" s="2412"/>
      <c r="S33" s="2412"/>
      <c r="T33" s="2413">
        <v>0</v>
      </c>
      <c r="U33" s="2413">
        <f t="shared" si="6"/>
        <v>0.17760300000000001</v>
      </c>
      <c r="V33" s="2413">
        <v>0</v>
      </c>
      <c r="W33" s="2460">
        <f>'Efficient Products Deemed Table'!J59</f>
        <v>10</v>
      </c>
      <c r="X33" s="2460"/>
      <c r="Y33" s="94">
        <f t="shared" si="1"/>
        <v>10</v>
      </c>
      <c r="Z33" s="2414">
        <f>'Efficient Products Deemed Table'!BB59</f>
        <v>1.7586003697955446</v>
      </c>
      <c r="AA33" s="2417">
        <f>'Efficient Products Deemed Table'!K59</f>
        <v>175</v>
      </c>
      <c r="AB33" s="2418">
        <f t="shared" si="5"/>
        <v>290.47198179728196</v>
      </c>
      <c r="AC33" s="2418"/>
      <c r="AD33" s="2441">
        <f>'Efficient Products Deemed Table'!BD59</f>
        <v>192.06001751318203</v>
      </c>
      <c r="AE33" s="2443">
        <f>'Efficient Products Deemed Table'!BD60</f>
        <v>98.411964284099923</v>
      </c>
      <c r="AF33" s="2443"/>
      <c r="AG33" s="2443"/>
      <c r="AH33" s="2388"/>
      <c r="AI33" s="2388"/>
      <c r="AJ33" s="2388"/>
      <c r="AK33" s="2388"/>
      <c r="AL33" s="2380">
        <f t="shared" si="2"/>
        <v>9.4741810000000004E-4</v>
      </c>
      <c r="AM33" s="145">
        <f t="shared" si="7"/>
        <v>0.17760299702600002</v>
      </c>
      <c r="AN33" s="2368">
        <f t="shared" si="4"/>
        <v>-2.9739999907185677E-9</v>
      </c>
      <c r="AR33" s="245" t="s">
        <v>388</v>
      </c>
      <c r="AS33" s="1616">
        <v>1.379439E-4</v>
      </c>
    </row>
    <row r="34" spans="1:45" x14ac:dyDescent="0.25">
      <c r="A34" s="2598" t="str">
        <f>'Efficient Products Deemed Table'!C61</f>
        <v>250102_2019_12_</v>
      </c>
      <c r="B34" s="245" t="str">
        <f>'Efficient Products Deemed Table'!G61</f>
        <v>Cooling RES</v>
      </c>
      <c r="C34" s="245" t="str">
        <f>'Efficient Products Deemed Table'!G62</f>
        <v>Heating RES</v>
      </c>
      <c r="D34" s="245"/>
      <c r="E34" s="245"/>
      <c r="F34" s="245" t="str">
        <f>'Efficient Products Deemed Table'!E61</f>
        <v>Learning Thermostat - ASHP heating/cooling MF_CompE</v>
      </c>
      <c r="G34" s="245" t="str">
        <f>'Efficient Products Deemed Table'!D61</f>
        <v>Efficient Products_CompE</v>
      </c>
      <c r="H34" s="2420">
        <f t="shared" si="8"/>
        <v>259.55</v>
      </c>
      <c r="I34" s="1374">
        <f t="shared" si="9"/>
        <v>0</v>
      </c>
      <c r="J34" s="2452">
        <f>'Efficient Products Deemed Table'!F61</f>
        <v>136.33000000000001</v>
      </c>
      <c r="K34" s="2452">
        <f>'Efficient Products Deemed Table'!F62</f>
        <v>123.22</v>
      </c>
      <c r="L34" s="2452">
        <v>0</v>
      </c>
      <c r="M34" s="2452">
        <v>0</v>
      </c>
      <c r="N34" s="2421">
        <f t="shared" si="10"/>
        <v>0.129162</v>
      </c>
      <c r="O34" s="2421">
        <f t="shared" si="11"/>
        <v>0</v>
      </c>
      <c r="P34" s="2412">
        <f>'Efficient Products Deemed Table'!I61</f>
        <v>0.129162</v>
      </c>
      <c r="Q34" s="2412">
        <v>0</v>
      </c>
      <c r="R34" s="2412"/>
      <c r="S34" s="2412"/>
      <c r="T34" s="2413">
        <v>0</v>
      </c>
      <c r="U34" s="2413">
        <f t="shared" si="6"/>
        <v>0.129162</v>
      </c>
      <c r="V34" s="2413">
        <v>0</v>
      </c>
      <c r="W34" s="2460">
        <f>'Efficient Products Deemed Table'!J61</f>
        <v>10</v>
      </c>
      <c r="X34" s="2460"/>
      <c r="Y34" s="94">
        <f t="shared" si="1"/>
        <v>10</v>
      </c>
      <c r="Z34" s="2414">
        <f>'Efficient Products Deemed Table'!BB61</f>
        <v>1.048352148141479</v>
      </c>
      <c r="AA34" s="2417">
        <f>'Efficient Products Deemed Table'!K61</f>
        <v>175</v>
      </c>
      <c r="AB34" s="2418">
        <f t="shared" si="5"/>
        <v>173.15868421402433</v>
      </c>
      <c r="AC34" s="2418"/>
      <c r="AD34" s="2441">
        <f>'Efficient Products Deemed Table'!BD61</f>
        <v>139.67535574294308</v>
      </c>
      <c r="AE34" s="2443">
        <f>'Efficient Products Deemed Table'!BD62</f>
        <v>33.483328471081265</v>
      </c>
      <c r="AF34" s="2443"/>
      <c r="AG34" s="2443"/>
      <c r="AH34" s="2388"/>
      <c r="AI34" s="2388"/>
      <c r="AJ34" s="2388"/>
      <c r="AK34" s="2388"/>
      <c r="AL34" s="2380">
        <f t="shared" si="2"/>
        <v>9.4741810000000004E-4</v>
      </c>
      <c r="AM34" s="145">
        <f t="shared" si="7"/>
        <v>0.12916150957300002</v>
      </c>
      <c r="AN34" s="2368">
        <f t="shared" si="4"/>
        <v>-4.9042699998280703E-7</v>
      </c>
      <c r="AR34" s="245" t="s">
        <v>2485</v>
      </c>
      <c r="AS34" s="1616">
        <v>4.4398300000000001E-4</v>
      </c>
    </row>
    <row r="35" spans="1:45" x14ac:dyDescent="0.25">
      <c r="A35" s="2598" t="str">
        <f>'Efficient Products Deemed Table'!C63</f>
        <v>250150_2019_12_</v>
      </c>
      <c r="B35" s="245" t="str">
        <f>'Efficient Products Deemed Table'!G63</f>
        <v>Cooling RES</v>
      </c>
      <c r="C35" s="245" t="str">
        <f>'Efficient Products Deemed Table'!G64</f>
        <v>Heating RES</v>
      </c>
      <c r="D35" s="245"/>
      <c r="E35" s="245"/>
      <c r="F35" s="245" t="str">
        <f>'Efficient Products Deemed Table'!E63</f>
        <v>Learning Thermostat - electric furnace heating / central AC MF</v>
      </c>
      <c r="G35" s="245" t="str">
        <f>'Efficient Products Deemed Table'!D63</f>
        <v>Efficient Products</v>
      </c>
      <c r="H35" s="2420">
        <f t="shared" si="8"/>
        <v>803.07</v>
      </c>
      <c r="I35" s="1374">
        <f t="shared" si="9"/>
        <v>0</v>
      </c>
      <c r="J35" s="2452">
        <f>'Efficient Products Deemed Table'!F63</f>
        <v>187.46</v>
      </c>
      <c r="K35" s="2452">
        <f>'Efficient Products Deemed Table'!F64</f>
        <v>615.61</v>
      </c>
      <c r="L35" s="2452">
        <v>0</v>
      </c>
      <c r="M35" s="2452">
        <v>0</v>
      </c>
      <c r="N35" s="2421">
        <f t="shared" si="10"/>
        <v>0.17760300000000001</v>
      </c>
      <c r="O35" s="2421">
        <f t="shared" si="11"/>
        <v>0</v>
      </c>
      <c r="P35" s="2412">
        <f>'Efficient Products Deemed Table'!I63</f>
        <v>0.17760300000000001</v>
      </c>
      <c r="Q35" s="2412">
        <v>0</v>
      </c>
      <c r="R35" s="2412"/>
      <c r="S35" s="2412"/>
      <c r="T35" s="2413">
        <v>0</v>
      </c>
      <c r="U35" s="2413">
        <f t="shared" si="6"/>
        <v>0.17760300000000001</v>
      </c>
      <c r="V35" s="2413">
        <v>0</v>
      </c>
      <c r="W35" s="2460">
        <f>'Efficient Products Deemed Table'!J63</f>
        <v>10</v>
      </c>
      <c r="X35" s="2460"/>
      <c r="Y35" s="94">
        <f t="shared" si="1"/>
        <v>10</v>
      </c>
      <c r="Z35" s="2414">
        <f>'Efficient Products Deemed Table'!BB63</f>
        <v>2.1755682739973108</v>
      </c>
      <c r="AA35" s="2417">
        <f>'Efficient Products Deemed Table'!K63</f>
        <v>175</v>
      </c>
      <c r="AB35" s="2418">
        <f t="shared" si="5"/>
        <v>359.34350915481764</v>
      </c>
      <c r="AC35" s="2418"/>
      <c r="AD35" s="2441">
        <f>'Efficient Products Deemed Table'!BD63</f>
        <v>192.06001751318203</v>
      </c>
      <c r="AE35" s="2443">
        <f>'Efficient Products Deemed Table'!BD64</f>
        <v>167.28349164163561</v>
      </c>
      <c r="AF35" s="2443"/>
      <c r="AG35" s="2443"/>
      <c r="AH35" s="2388"/>
      <c r="AI35" s="2388"/>
      <c r="AJ35" s="2388"/>
      <c r="AK35" s="2388"/>
      <c r="AL35" s="2380">
        <f t="shared" si="2"/>
        <v>9.4741810000000004E-4</v>
      </c>
      <c r="AM35" s="145">
        <f t="shared" si="7"/>
        <v>0.17760299702600002</v>
      </c>
      <c r="AN35" s="2368">
        <f t="shared" si="4"/>
        <v>-2.9739999907185677E-9</v>
      </c>
      <c r="AR35" s="245" t="s">
        <v>226</v>
      </c>
      <c r="AS35" s="1616">
        <v>1.998949E-4</v>
      </c>
    </row>
    <row r="36" spans="1:45" x14ac:dyDescent="0.25">
      <c r="A36" s="2598" t="str">
        <f>'Efficient Products Deemed Table'!C65</f>
        <v>250151_2019_12_</v>
      </c>
      <c r="B36" s="245" t="str">
        <f>'Efficient Products Deemed Table'!G65</f>
        <v>Cooling RES</v>
      </c>
      <c r="C36" s="245" t="str">
        <f>'Efficient Products Deemed Table'!G66</f>
        <v>Heating RES</v>
      </c>
      <c r="D36" s="245"/>
      <c r="E36" s="245"/>
      <c r="F36" s="245" t="str">
        <f>'Efficient Products Deemed Table'!E65</f>
        <v>Learning Thermostat - electric furnace heating / central AC MF_CompE</v>
      </c>
      <c r="G36" s="245" t="str">
        <f>'Efficient Products Deemed Table'!D65</f>
        <v>Efficient Products_CompE</v>
      </c>
      <c r="H36" s="2420">
        <f t="shared" si="8"/>
        <v>345.78</v>
      </c>
      <c r="I36" s="1374">
        <f t="shared" si="9"/>
        <v>0</v>
      </c>
      <c r="J36" s="2452">
        <f>'Efficient Products Deemed Table'!F65</f>
        <v>136.33000000000001</v>
      </c>
      <c r="K36" s="2452">
        <f>'Efficient Products Deemed Table'!F66</f>
        <v>209.45</v>
      </c>
      <c r="L36" s="2452">
        <v>0</v>
      </c>
      <c r="M36" s="2452">
        <v>0</v>
      </c>
      <c r="N36" s="2421">
        <f t="shared" si="10"/>
        <v>0.129162</v>
      </c>
      <c r="O36" s="2421">
        <f t="shared" si="11"/>
        <v>0</v>
      </c>
      <c r="P36" s="2412">
        <f>'Efficient Products Deemed Table'!I65</f>
        <v>0.129162</v>
      </c>
      <c r="Q36" s="2412">
        <v>0</v>
      </c>
      <c r="R36" s="2412"/>
      <c r="S36" s="2412"/>
      <c r="T36" s="2413">
        <v>0</v>
      </c>
      <c r="U36" s="2413">
        <f t="shared" si="6"/>
        <v>0.129162</v>
      </c>
      <c r="V36" s="2413">
        <v>0</v>
      </c>
      <c r="W36" s="2460">
        <f>'Efficient Products Deemed Table'!J65</f>
        <v>10</v>
      </c>
      <c r="X36" s="2460"/>
      <c r="Y36" s="94">
        <f t="shared" si="1"/>
        <v>10</v>
      </c>
      <c r="Z36" s="2414">
        <f>'Efficient Products Deemed Table'!BB65</f>
        <v>1.1902150101628572</v>
      </c>
      <c r="AA36" s="2417">
        <f>'Efficient Products Deemed Table'!K65</f>
        <v>175</v>
      </c>
      <c r="AB36" s="2418">
        <f t="shared" si="5"/>
        <v>196.59049247616798</v>
      </c>
      <c r="AC36" s="2418"/>
      <c r="AD36" s="2441">
        <f>'Efficient Products Deemed Table'!BD65</f>
        <v>139.67535574294308</v>
      </c>
      <c r="AE36" s="2443">
        <f>'Efficient Products Deemed Table'!BD66</f>
        <v>56.915136733224891</v>
      </c>
      <c r="AF36" s="2443"/>
      <c r="AG36" s="2443"/>
      <c r="AH36" s="2388"/>
      <c r="AI36" s="2388"/>
      <c r="AJ36" s="2388"/>
      <c r="AK36" s="2388"/>
      <c r="AL36" s="2380">
        <f t="shared" si="2"/>
        <v>9.4741810000000004E-4</v>
      </c>
      <c r="AM36" s="145">
        <f t="shared" si="7"/>
        <v>0.12916150957300002</v>
      </c>
      <c r="AN36" s="2368">
        <f t="shared" si="4"/>
        <v>-4.9042699998280703E-7</v>
      </c>
      <c r="AR36" s="245" t="s">
        <v>263</v>
      </c>
      <c r="AS36" s="1616">
        <v>9.1068400000000004E-4</v>
      </c>
    </row>
    <row r="37" spans="1:45" x14ac:dyDescent="0.25">
      <c r="A37" s="2598" t="str">
        <f>'Efficient Products Deemed Table'!C67</f>
        <v>250250_2019_12_</v>
      </c>
      <c r="B37" s="245" t="str">
        <f>'Efficient Products Deemed Table'!G67</f>
        <v>Cooling RES</v>
      </c>
      <c r="C37" s="245" t="str">
        <f>'Efficient Products Deemed Table'!G68</f>
        <v>Heating RES</v>
      </c>
      <c r="D37" s="245"/>
      <c r="E37" s="245"/>
      <c r="F37" s="245" t="str">
        <f>'Efficient Products Deemed Table'!E67</f>
        <v>Learning Thermostat - electric furnace heating / central AC SF</v>
      </c>
      <c r="G37" s="245" t="str">
        <f>'Efficient Products Deemed Table'!D67</f>
        <v>Efficient Products</v>
      </c>
      <c r="H37" s="2420">
        <f t="shared" si="8"/>
        <v>1134.55</v>
      </c>
      <c r="I37" s="1374">
        <f t="shared" si="9"/>
        <v>0</v>
      </c>
      <c r="J37" s="2452">
        <f>'Efficient Products Deemed Table'!F67</f>
        <v>187.46</v>
      </c>
      <c r="K37" s="2452">
        <f>'Efficient Products Deemed Table'!F68</f>
        <v>947.09</v>
      </c>
      <c r="L37" s="2452">
        <v>0</v>
      </c>
      <c r="M37" s="2452">
        <v>0</v>
      </c>
      <c r="N37" s="2421">
        <f t="shared" si="10"/>
        <v>0.17760300000000001</v>
      </c>
      <c r="O37" s="2421">
        <f t="shared" si="11"/>
        <v>0</v>
      </c>
      <c r="P37" s="2412">
        <f>'Efficient Products Deemed Table'!I67</f>
        <v>0.17760300000000001</v>
      </c>
      <c r="Q37" s="2412">
        <v>0</v>
      </c>
      <c r="R37" s="2412"/>
      <c r="S37" s="2412"/>
      <c r="T37" s="2413">
        <v>0</v>
      </c>
      <c r="U37" s="2413">
        <f t="shared" si="6"/>
        <v>0.17760300000000001</v>
      </c>
      <c r="V37" s="2413">
        <v>0</v>
      </c>
      <c r="W37" s="2460">
        <f>'Efficient Products Deemed Table'!J67</f>
        <v>10</v>
      </c>
      <c r="X37" s="2460"/>
      <c r="Y37" s="94">
        <f t="shared" si="1"/>
        <v>10</v>
      </c>
      <c r="Z37" s="2414">
        <f>'Efficient Products Deemed Table'!BB67</f>
        <v>2.7209086602068253</v>
      </c>
      <c r="AA37" s="2417">
        <f>'Efficient Products Deemed Table'!K67</f>
        <v>175</v>
      </c>
      <c r="AB37" s="2418">
        <f t="shared" si="5"/>
        <v>449.41860833996634</v>
      </c>
      <c r="AC37" s="2418"/>
      <c r="AD37" s="2441">
        <f>'Efficient Products Deemed Table'!BD67</f>
        <v>192.06001751318203</v>
      </c>
      <c r="AE37" s="2443">
        <f>'Efficient Products Deemed Table'!BD68</f>
        <v>257.35859082678428</v>
      </c>
      <c r="AF37" s="2443"/>
      <c r="AG37" s="2443"/>
      <c r="AH37" s="2388"/>
      <c r="AI37" s="2388"/>
      <c r="AJ37" s="2388"/>
      <c r="AK37" s="2388"/>
      <c r="AL37" s="2380">
        <f t="shared" si="2"/>
        <v>9.4741810000000004E-4</v>
      </c>
      <c r="AM37" s="145">
        <f t="shared" si="7"/>
        <v>0.17760299702600002</v>
      </c>
      <c r="AN37" s="2368">
        <f t="shared" si="4"/>
        <v>-2.9739999907185677E-9</v>
      </c>
      <c r="AR37" s="245" t="s">
        <v>54</v>
      </c>
      <c r="AS37" s="1616">
        <v>5.6160000000000001E-6</v>
      </c>
    </row>
    <row r="38" spans="1:45" x14ac:dyDescent="0.25">
      <c r="A38" s="2598" t="str">
        <f>'Efficient Products Deemed Table'!C69</f>
        <v>250350_2019_12_</v>
      </c>
      <c r="B38" s="245" t="str">
        <f>'Efficient Products Deemed Table'!G69</f>
        <v>Cooling RES</v>
      </c>
      <c r="C38" s="245" t="str">
        <f>'Efficient Products Deemed Table'!G70</f>
        <v>Heating RES</v>
      </c>
      <c r="D38" s="245"/>
      <c r="E38" s="245"/>
      <c r="F38" s="245" t="str">
        <f>'Efficient Products Deemed Table'!E69</f>
        <v>Learning Thermostat - Gas Heated / central AC SF**</v>
      </c>
      <c r="G38" s="245" t="str">
        <f>'Efficient Products Deemed Table'!D69</f>
        <v>Efficient Products</v>
      </c>
      <c r="H38" s="2420">
        <f t="shared" si="8"/>
        <v>229.31</v>
      </c>
      <c r="I38" s="1374">
        <f t="shared" si="9"/>
        <v>0</v>
      </c>
      <c r="J38" s="2452">
        <f>'Efficient Products Deemed Table'!F69</f>
        <v>187.46</v>
      </c>
      <c r="K38" s="2452">
        <f>'Efficient Products Deemed Table'!F70</f>
        <v>41.85</v>
      </c>
      <c r="L38" s="2452">
        <v>0</v>
      </c>
      <c r="M38" s="2452">
        <v>0</v>
      </c>
      <c r="N38" s="2421">
        <f t="shared" si="10"/>
        <v>0.17760300000000001</v>
      </c>
      <c r="O38" s="2421">
        <f t="shared" si="11"/>
        <v>0</v>
      </c>
      <c r="P38" s="2412">
        <f>'Efficient Products Deemed Table'!I69</f>
        <v>0.17760300000000001</v>
      </c>
      <c r="Q38" s="2412">
        <v>0</v>
      </c>
      <c r="R38" s="2412"/>
      <c r="S38" s="2412"/>
      <c r="T38" s="2413">
        <v>0</v>
      </c>
      <c r="U38" s="2413">
        <f t="shared" si="6"/>
        <v>0.17760300000000001</v>
      </c>
      <c r="V38" s="2413">
        <v>0</v>
      </c>
      <c r="W38" s="2460">
        <f>'Efficient Products Deemed Table'!J69</f>
        <v>10</v>
      </c>
      <c r="X38" s="2460"/>
      <c r="Y38" s="94">
        <f t="shared" si="1"/>
        <v>10</v>
      </c>
      <c r="Z38" s="2414">
        <f>'Efficient Products Deemed Table'!BB69</f>
        <v>1.2316365134338649</v>
      </c>
      <c r="AA38" s="2417">
        <f>'Efficient Products Deemed Table'!K69</f>
        <v>175</v>
      </c>
      <c r="AB38" s="2418">
        <f t="shared" si="5"/>
        <v>203.43217541380491</v>
      </c>
      <c r="AC38" s="2418"/>
      <c r="AD38" s="2441">
        <f>'Efficient Products Deemed Table'!BD69</f>
        <v>192.06001751318203</v>
      </c>
      <c r="AE38" s="2443">
        <f>'Efficient Products Deemed Table'!BD70</f>
        <v>11.372157900622877</v>
      </c>
      <c r="AF38" s="2443"/>
      <c r="AG38" s="2443"/>
      <c r="AH38" s="2388"/>
      <c r="AI38" s="2388"/>
      <c r="AJ38" s="2388"/>
      <c r="AK38" s="2388"/>
      <c r="AL38" s="2380">
        <f t="shared" si="2"/>
        <v>9.4741810000000004E-4</v>
      </c>
      <c r="AM38" s="145">
        <f t="shared" si="7"/>
        <v>0.17760299702600002</v>
      </c>
      <c r="AN38" s="2368">
        <f t="shared" si="4"/>
        <v>-2.9739999907185677E-9</v>
      </c>
      <c r="AR38" s="245" t="s">
        <v>264</v>
      </c>
      <c r="AS38" s="1616">
        <v>0</v>
      </c>
    </row>
    <row r="39" spans="1:45" x14ac:dyDescent="0.25">
      <c r="A39" s="2598" t="str">
        <f>'Efficient Products Deemed Table'!C71</f>
        <v>250351_2019_12_</v>
      </c>
      <c r="B39" s="245" t="str">
        <f>'Efficient Products Deemed Table'!G71</f>
        <v>Cooling RES</v>
      </c>
      <c r="C39" s="245" t="str">
        <f>'Efficient Products Deemed Table'!G72</f>
        <v>Heating RES</v>
      </c>
      <c r="D39" s="245"/>
      <c r="E39" s="245"/>
      <c r="F39" s="245" t="str">
        <f>'Efficient Products Deemed Table'!E71</f>
        <v>Learning Thermostat - Gas Heated / central AC MF**</v>
      </c>
      <c r="G39" s="245" t="str">
        <f>'Efficient Products Deemed Table'!D71</f>
        <v>Efficient Products</v>
      </c>
      <c r="H39" s="2420">
        <f t="shared" si="8"/>
        <v>163.53</v>
      </c>
      <c r="I39" s="1374">
        <f t="shared" si="9"/>
        <v>0</v>
      </c>
      <c r="J39" s="2452">
        <f>'Efficient Products Deemed Table'!F71</f>
        <v>136.33000000000001</v>
      </c>
      <c r="K39" s="2452">
        <f>'Efficient Products Deemed Table'!F72</f>
        <v>27.2</v>
      </c>
      <c r="L39" s="2452">
        <v>0</v>
      </c>
      <c r="M39" s="2452">
        <v>0</v>
      </c>
      <c r="N39" s="2421">
        <f t="shared" si="10"/>
        <v>0.129162</v>
      </c>
      <c r="O39" s="2421">
        <f t="shared" si="11"/>
        <v>0</v>
      </c>
      <c r="P39" s="2412">
        <f>'Efficient Products Deemed Table'!I71</f>
        <v>0.129162</v>
      </c>
      <c r="Q39" s="2412">
        <v>0</v>
      </c>
      <c r="R39" s="2412"/>
      <c r="S39" s="2412"/>
      <c r="T39" s="2413">
        <v>0</v>
      </c>
      <c r="U39" s="2413">
        <f t="shared" si="6"/>
        <v>0.129162</v>
      </c>
      <c r="V39" s="2413">
        <v>0</v>
      </c>
      <c r="W39" s="2460">
        <f>'Efficient Products Deemed Table'!J71</f>
        <v>10</v>
      </c>
      <c r="X39" s="2460"/>
      <c r="Y39" s="94">
        <f t="shared" si="1"/>
        <v>10</v>
      </c>
      <c r="Z39" s="2414">
        <f>'Efficient Products Deemed Table'!BB71</f>
        <v>0.89038308851846226</v>
      </c>
      <c r="AA39" s="2417">
        <f>'Efficient Products Deemed Table'!K71</f>
        <v>175</v>
      </c>
      <c r="AB39" s="2418">
        <f t="shared" si="5"/>
        <v>147.06657903797156</v>
      </c>
      <c r="AC39" s="2418"/>
      <c r="AD39" s="2441">
        <f>'Efficient Products Deemed Table'!BD71</f>
        <v>139.67535574294308</v>
      </c>
      <c r="AE39" s="2443">
        <f>'Efficient Products Deemed Table'!BD72</f>
        <v>7.3912232950284888</v>
      </c>
      <c r="AF39" s="2443"/>
      <c r="AG39" s="2443"/>
      <c r="AH39" s="2388"/>
      <c r="AI39" s="2388"/>
      <c r="AJ39" s="2388"/>
      <c r="AK39" s="2388"/>
      <c r="AL39" s="2380">
        <f t="shared" si="2"/>
        <v>9.4741810000000004E-4</v>
      </c>
      <c r="AM39" s="145">
        <f t="shared" si="7"/>
        <v>0.12916150957300002</v>
      </c>
      <c r="AN39" s="2368">
        <f t="shared" si="4"/>
        <v>-4.9042699998280703E-7</v>
      </c>
      <c r="AR39" s="245" t="s">
        <v>279</v>
      </c>
      <c r="AS39" s="1616">
        <v>4.4398300000000001E-4</v>
      </c>
    </row>
    <row r="40" spans="1:45" x14ac:dyDescent="0.25">
      <c r="A40" s="2598" t="str">
        <f>'Efficient Products Deemed Table'!C73</f>
        <v>250352_2019_12_</v>
      </c>
      <c r="B40" s="245" t="str">
        <f>'Efficient Products Deemed Table'!G73</f>
        <v>Cooling RES</v>
      </c>
      <c r="C40" s="245" t="str">
        <f>'Efficient Products Deemed Table'!G74</f>
        <v>Heating RES</v>
      </c>
      <c r="D40" s="245"/>
      <c r="E40" s="245"/>
      <c r="F40" s="245" t="str">
        <f>'Efficient Products Deemed Table'!E73</f>
        <v>Learning Thermostat - Gas Heated / central AC MF_CompE**</v>
      </c>
      <c r="G40" s="245" t="str">
        <f>'Efficient Products Deemed Table'!D73</f>
        <v>Efficient Products_CompE</v>
      </c>
      <c r="H40" s="2420">
        <f t="shared" si="8"/>
        <v>163.53</v>
      </c>
      <c r="I40" s="1374">
        <f t="shared" si="9"/>
        <v>0</v>
      </c>
      <c r="J40" s="2452">
        <f>'Efficient Products Deemed Table'!F73</f>
        <v>136.33000000000001</v>
      </c>
      <c r="K40" s="2452">
        <f>'Efficient Products Deemed Table'!F74</f>
        <v>27.2</v>
      </c>
      <c r="L40" s="2452">
        <v>0</v>
      </c>
      <c r="M40" s="2452">
        <v>0</v>
      </c>
      <c r="N40" s="2421">
        <f t="shared" si="10"/>
        <v>0.129162</v>
      </c>
      <c r="O40" s="2421">
        <f t="shared" si="11"/>
        <v>0</v>
      </c>
      <c r="P40" s="2412">
        <f>'Efficient Products Deemed Table'!I73</f>
        <v>0.129162</v>
      </c>
      <c r="Q40" s="2412">
        <v>0</v>
      </c>
      <c r="R40" s="2412"/>
      <c r="S40" s="2412"/>
      <c r="T40" s="2413">
        <v>0</v>
      </c>
      <c r="U40" s="2413">
        <f t="shared" si="6"/>
        <v>0.129162</v>
      </c>
      <c r="V40" s="2413">
        <v>0</v>
      </c>
      <c r="W40" s="2460">
        <f>'Efficient Products Deemed Table'!J73</f>
        <v>10</v>
      </c>
      <c r="X40" s="2460"/>
      <c r="Y40" s="94">
        <f t="shared" si="1"/>
        <v>10</v>
      </c>
      <c r="Z40" s="2414">
        <f>'Efficient Products Deemed Table'!BB73</f>
        <v>0.89038308851846226</v>
      </c>
      <c r="AA40" s="2417">
        <f>'Efficient Products Deemed Table'!K73</f>
        <v>175</v>
      </c>
      <c r="AB40" s="2418">
        <f t="shared" si="5"/>
        <v>147.06657903797156</v>
      </c>
      <c r="AC40" s="2418"/>
      <c r="AD40" s="2441">
        <f>'Efficient Products Deemed Table'!BD73</f>
        <v>139.67535574294308</v>
      </c>
      <c r="AE40" s="2443">
        <f>'Efficient Products Deemed Table'!BD74</f>
        <v>7.3912232950284888</v>
      </c>
      <c r="AF40" s="2443"/>
      <c r="AG40" s="2443"/>
      <c r="AH40" s="2388"/>
      <c r="AI40" s="2388"/>
      <c r="AJ40" s="2388"/>
      <c r="AK40" s="2388"/>
      <c r="AL40" s="2380">
        <f t="shared" si="2"/>
        <v>9.4741810000000004E-4</v>
      </c>
      <c r="AM40" s="145">
        <f t="shared" si="7"/>
        <v>0.12916150957300002</v>
      </c>
      <c r="AN40" s="2368">
        <f t="shared" si="4"/>
        <v>-4.9042699998280703E-7</v>
      </c>
      <c r="AR40" s="245" t="s">
        <v>36</v>
      </c>
      <c r="AS40" s="1616">
        <v>1.899635E-4</v>
      </c>
    </row>
    <row r="41" spans="1:45" x14ac:dyDescent="0.25">
      <c r="A41" s="2598" t="str">
        <f>'Efficient Products Deemed Table'!C75</f>
        <v>250450_2019_12_</v>
      </c>
      <c r="B41" s="245" t="str">
        <f>'Efficient Products Deemed Table'!G75</f>
        <v>Cooling RES</v>
      </c>
      <c r="C41" s="245" t="str">
        <f>'Efficient Products Deemed Table'!G76</f>
        <v>Heating RES</v>
      </c>
      <c r="D41" s="245"/>
      <c r="E41" s="245"/>
      <c r="F41" s="245" t="str">
        <f>'Efficient Products Deemed Table'!E75</f>
        <v>Learning Thermostat - Unknown SF**</v>
      </c>
      <c r="G41" s="245" t="str">
        <f>'Efficient Products Deemed Table'!D75</f>
        <v>Efficient Products</v>
      </c>
      <c r="H41" s="2420">
        <f t="shared" si="8"/>
        <v>347.95000000000005</v>
      </c>
      <c r="I41" s="1374">
        <f t="shared" si="9"/>
        <v>0</v>
      </c>
      <c r="J41" s="2452">
        <f>'Efficient Products Deemed Table'!F75</f>
        <v>187.46</v>
      </c>
      <c r="K41" s="2452">
        <f>'Efficient Products Deemed Table'!F76</f>
        <v>160.49</v>
      </c>
      <c r="L41" s="2452">
        <v>0</v>
      </c>
      <c r="M41" s="2452">
        <v>0</v>
      </c>
      <c r="N41" s="2421">
        <f t="shared" si="10"/>
        <v>0.17760300000000001</v>
      </c>
      <c r="O41" s="2421">
        <f t="shared" si="11"/>
        <v>0</v>
      </c>
      <c r="P41" s="2412">
        <f>'Efficient Products Deemed Table'!I75</f>
        <v>0.17760300000000001</v>
      </c>
      <c r="Q41" s="2412">
        <v>0</v>
      </c>
      <c r="R41" s="2412"/>
      <c r="S41" s="2412"/>
      <c r="T41" s="2413">
        <v>0</v>
      </c>
      <c r="U41" s="2413">
        <f t="shared" si="6"/>
        <v>0.17760300000000001</v>
      </c>
      <c r="V41" s="2413">
        <v>0</v>
      </c>
      <c r="W41" s="2460">
        <f>'Efficient Products Deemed Table'!J75</f>
        <v>10</v>
      </c>
      <c r="X41" s="2460"/>
      <c r="Y41" s="94">
        <f t="shared" si="1"/>
        <v>10</v>
      </c>
      <c r="Z41" s="2414">
        <f>'Efficient Products Deemed Table'!BB75</f>
        <v>1.4268192798749677</v>
      </c>
      <c r="AA41" s="2417">
        <f>'Efficient Products Deemed Table'!K75</f>
        <v>175</v>
      </c>
      <c r="AB41" s="2418">
        <f t="shared" si="5"/>
        <v>235.67095231535563</v>
      </c>
      <c r="AC41" s="2418"/>
      <c r="AD41" s="2441">
        <f>'Efficient Products Deemed Table'!BD75</f>
        <v>192.06001751318203</v>
      </c>
      <c r="AE41" s="2443">
        <f>'Efficient Products Deemed Table'!BD76</f>
        <v>43.610934802173617</v>
      </c>
      <c r="AF41" s="2443"/>
      <c r="AG41" s="2443"/>
      <c r="AH41" s="2388"/>
      <c r="AI41" s="2388"/>
      <c r="AJ41" s="2388"/>
      <c r="AK41" s="2388"/>
      <c r="AL41" s="2380">
        <f t="shared" si="2"/>
        <v>9.4741810000000004E-4</v>
      </c>
      <c r="AM41" s="145">
        <f t="shared" si="7"/>
        <v>0.17760299702600002</v>
      </c>
      <c r="AN41" s="2368">
        <f t="shared" si="4"/>
        <v>-2.9739999907185677E-9</v>
      </c>
      <c r="AR41" s="245" t="s">
        <v>61</v>
      </c>
      <c r="AS41" s="1616">
        <v>1.379439E-4</v>
      </c>
    </row>
    <row r="42" spans="1:45" x14ac:dyDescent="0.25">
      <c r="A42" s="2598" t="str">
        <f>'Efficient Products Deemed Table'!C77</f>
        <v>250451_2019_12_</v>
      </c>
      <c r="B42" s="245" t="str">
        <f>'Efficient Products Deemed Table'!G77</f>
        <v>Cooling RES</v>
      </c>
      <c r="C42" s="245" t="str">
        <f>'Efficient Products Deemed Table'!G78</f>
        <v>Heating RES</v>
      </c>
      <c r="D42" s="245"/>
      <c r="E42" s="245"/>
      <c r="F42" s="245" t="str">
        <f>'Efficient Products Deemed Table'!E77</f>
        <v>Learning Thermostat - Unknown MF**</v>
      </c>
      <c r="G42" s="245" t="str">
        <f>'Efficient Products Deemed Table'!D77</f>
        <v>Efficient Products</v>
      </c>
      <c r="H42" s="2420">
        <f t="shared" si="8"/>
        <v>240.65</v>
      </c>
      <c r="I42" s="1374">
        <f t="shared" si="9"/>
        <v>0</v>
      </c>
      <c r="J42" s="2452">
        <f>'Efficient Products Deemed Table'!F77</f>
        <v>136.33000000000001</v>
      </c>
      <c r="K42" s="2452">
        <f>'Efficient Products Deemed Table'!F78</f>
        <v>104.32</v>
      </c>
      <c r="L42" s="2452">
        <v>0</v>
      </c>
      <c r="M42" s="2452">
        <v>0</v>
      </c>
      <c r="N42" s="2421">
        <f t="shared" si="10"/>
        <v>0.129162</v>
      </c>
      <c r="O42" s="2421">
        <f t="shared" si="11"/>
        <v>0</v>
      </c>
      <c r="P42" s="2412">
        <f>'Efficient Products Deemed Table'!I77</f>
        <v>0.129162</v>
      </c>
      <c r="Q42" s="2412">
        <v>0</v>
      </c>
      <c r="R42" s="2412"/>
      <c r="S42" s="2412"/>
      <c r="T42" s="2413">
        <v>0</v>
      </c>
      <c r="U42" s="2413">
        <f t="shared" si="6"/>
        <v>0.129162</v>
      </c>
      <c r="V42" s="2413">
        <v>0</v>
      </c>
      <c r="W42" s="2460">
        <f>'Efficient Products Deemed Table'!J77</f>
        <v>10</v>
      </c>
      <c r="X42" s="2460"/>
      <c r="Y42" s="94">
        <f t="shared" si="1"/>
        <v>10</v>
      </c>
      <c r="Z42" s="2414">
        <f>'Efficient Products Deemed Table'!BB77</f>
        <v>1.0172584673783565</v>
      </c>
      <c r="AA42" s="2417">
        <f>'Efficient Products Deemed Table'!K77</f>
        <v>175</v>
      </c>
      <c r="AB42" s="2418">
        <f t="shared" si="5"/>
        <v>168.02287096858174</v>
      </c>
      <c r="AC42" s="2418"/>
      <c r="AD42" s="2441">
        <f>'Efficient Products Deemed Table'!BD77</f>
        <v>139.67535574294308</v>
      </c>
      <c r="AE42" s="2443">
        <f>'Efficient Products Deemed Table'!BD78</f>
        <v>28.347515225638674</v>
      </c>
      <c r="AF42" s="2443"/>
      <c r="AG42" s="2443"/>
      <c r="AH42" s="2388"/>
      <c r="AI42" s="2388"/>
      <c r="AJ42" s="2388"/>
      <c r="AK42" s="2388"/>
      <c r="AL42" s="2380">
        <f t="shared" si="2"/>
        <v>9.4741810000000004E-4</v>
      </c>
      <c r="AM42" s="145">
        <f t="shared" si="7"/>
        <v>0.12916150957300002</v>
      </c>
      <c r="AN42" s="2368">
        <f t="shared" si="4"/>
        <v>-4.9042699998280703E-7</v>
      </c>
      <c r="AR42" s="245" t="s">
        <v>217</v>
      </c>
      <c r="AS42" s="1616">
        <v>1.379439E-4</v>
      </c>
    </row>
    <row r="43" spans="1:45" x14ac:dyDescent="0.25">
      <c r="A43" s="2598" t="str">
        <f>'Efficient Products Deemed Table'!C79</f>
        <v>250452_2019_12_</v>
      </c>
      <c r="B43" s="245" t="str">
        <f>'Efficient Products Deemed Table'!G79</f>
        <v>Cooling RES</v>
      </c>
      <c r="C43" s="245" t="str">
        <f>'Efficient Products Deemed Table'!G80</f>
        <v>Heating RES</v>
      </c>
      <c r="D43" s="245"/>
      <c r="E43" s="245"/>
      <c r="F43" s="245" t="str">
        <f>'Efficient Products Deemed Table'!E79</f>
        <v>Learning Thermostat - Unknown MF_CompE**</v>
      </c>
      <c r="G43" s="245" t="str">
        <f>'Efficient Products Deemed Table'!D79</f>
        <v>Efficient Products_CompE</v>
      </c>
      <c r="H43" s="2420">
        <f t="shared" si="8"/>
        <v>186.82000000000002</v>
      </c>
      <c r="I43" s="1374">
        <f t="shared" si="9"/>
        <v>0</v>
      </c>
      <c r="J43" s="2452">
        <f>'Efficient Products Deemed Table'!F79</f>
        <v>136.33000000000001</v>
      </c>
      <c r="K43" s="2452">
        <f>'Efficient Products Deemed Table'!F80</f>
        <v>50.49</v>
      </c>
      <c r="L43" s="2452">
        <v>0</v>
      </c>
      <c r="M43" s="2452">
        <v>0</v>
      </c>
      <c r="N43" s="2421">
        <f t="shared" si="10"/>
        <v>0.129162</v>
      </c>
      <c r="O43" s="2421">
        <f t="shared" si="11"/>
        <v>0</v>
      </c>
      <c r="P43" s="2412">
        <f>'Efficient Products Deemed Table'!I79</f>
        <v>0.129162</v>
      </c>
      <c r="Q43" s="2412">
        <v>0</v>
      </c>
      <c r="R43" s="2412"/>
      <c r="S43" s="2412"/>
      <c r="T43" s="2413">
        <v>0</v>
      </c>
      <c r="U43" s="2413">
        <f t="shared" si="6"/>
        <v>0.129162</v>
      </c>
      <c r="V43" s="2413">
        <v>0</v>
      </c>
      <c r="W43" s="2460">
        <f>'Efficient Products Deemed Table'!J79</f>
        <v>10</v>
      </c>
      <c r="X43" s="2460"/>
      <c r="Y43" s="94">
        <f t="shared" si="1"/>
        <v>10</v>
      </c>
      <c r="Z43" s="2414">
        <f>'Efficient Products Deemed Table'!BB79</f>
        <v>0.92869905809375974</v>
      </c>
      <c r="AA43" s="2417">
        <f>'Efficient Products Deemed Table'!K79</f>
        <v>175</v>
      </c>
      <c r="AB43" s="2418">
        <f t="shared" si="5"/>
        <v>153.39531398433971</v>
      </c>
      <c r="AC43" s="2418"/>
      <c r="AD43" s="2441">
        <f>'Efficient Products Deemed Table'!BD79</f>
        <v>139.67535574294308</v>
      </c>
      <c r="AE43" s="2443">
        <f>'Efficient Products Deemed Table'!BD80</f>
        <v>13.719958241396634</v>
      </c>
      <c r="AF43" s="2443"/>
      <c r="AG43" s="2443"/>
      <c r="AH43" s="2388"/>
      <c r="AI43" s="2388"/>
      <c r="AJ43" s="2388"/>
      <c r="AK43" s="2388"/>
      <c r="AL43" s="2380">
        <f t="shared" si="2"/>
        <v>9.4741810000000004E-4</v>
      </c>
      <c r="AM43" s="145">
        <f t="shared" si="7"/>
        <v>0.12916150957300002</v>
      </c>
      <c r="AN43" s="2368">
        <f t="shared" si="4"/>
        <v>-4.9042699998280703E-7</v>
      </c>
      <c r="AR43" s="245" t="s">
        <v>2486</v>
      </c>
      <c r="AS43" s="1616">
        <v>1.379439E-4</v>
      </c>
    </row>
    <row r="44" spans="1:45" x14ac:dyDescent="0.25">
      <c r="A44" s="2598" t="str">
        <f>'Efficient Products Deemed Table'!C166</f>
        <v>250500_2019_12_</v>
      </c>
      <c r="B44" s="245" t="str">
        <f>'Efficient Products Deemed Table'!G166</f>
        <v>Pool Spa RES</v>
      </c>
      <c r="C44" s="245"/>
      <c r="D44" s="245"/>
      <c r="E44" s="245"/>
      <c r="F44" s="245" t="str">
        <f>'Efficient Products Deemed Table'!E166</f>
        <v>ENERGY STAR Pool Pump and motor w auto controls - multi speed</v>
      </c>
      <c r="G44" s="245" t="str">
        <f>'Efficient Products Deemed Table'!D166</f>
        <v>Efficient Products</v>
      </c>
      <c r="H44" s="2410">
        <f>'Efficient Products Deemed Table'!F166</f>
        <v>1799.73</v>
      </c>
      <c r="I44" s="2410">
        <v>0</v>
      </c>
      <c r="J44" s="2452">
        <v>0</v>
      </c>
      <c r="K44" s="2452">
        <v>0</v>
      </c>
      <c r="L44" s="2452">
        <v>0</v>
      </c>
      <c r="M44" s="2452">
        <v>0</v>
      </c>
      <c r="N44" s="2411">
        <f>'Efficient Products Deemed Table'!I166</f>
        <v>0.42373899999999998</v>
      </c>
      <c r="O44" s="2411">
        <v>0</v>
      </c>
      <c r="P44" s="2412">
        <v>0</v>
      </c>
      <c r="Q44" s="2412">
        <v>0</v>
      </c>
      <c r="R44" s="2412"/>
      <c r="S44" s="2412"/>
      <c r="T44" s="2413">
        <v>0</v>
      </c>
      <c r="U44" s="2413">
        <f t="shared" ref="U44:U54" si="12">N44</f>
        <v>0.42373899999999998</v>
      </c>
      <c r="V44" s="2413">
        <v>0</v>
      </c>
      <c r="W44" s="2460">
        <f>'Efficient Products Deemed Table'!J166</f>
        <v>10</v>
      </c>
      <c r="X44" s="2460"/>
      <c r="Y44" s="94">
        <f t="shared" si="1"/>
        <v>10</v>
      </c>
      <c r="Z44" s="2414">
        <f>'Efficient Products Deemed Table'!BB166</f>
        <v>3.3867195659400693</v>
      </c>
      <c r="AA44" s="2417">
        <f>'Efficient Products Deemed Table'!K166</f>
        <v>235</v>
      </c>
      <c r="AB44" s="2418">
        <f t="shared" si="5"/>
        <v>751.18366965164341</v>
      </c>
      <c r="AC44" s="2418"/>
      <c r="AD44" s="2441">
        <f>'Efficient Products Deemed Table'!BD166</f>
        <v>751.18366965164341</v>
      </c>
      <c r="AE44" s="2440"/>
      <c r="AF44" s="2440"/>
      <c r="AG44" s="2440"/>
      <c r="AL44" s="2380">
        <f t="shared" si="2"/>
        <v>2.3544589999999999E-4</v>
      </c>
      <c r="AM44">
        <f t="shared" ref="AM44:AM75" si="13">AL44*H44</f>
        <v>0.42373904960699998</v>
      </c>
      <c r="AN44" s="2368">
        <f t="shared" si="4"/>
        <v>4.9607000007778623E-8</v>
      </c>
      <c r="AR44" s="245" t="s">
        <v>100</v>
      </c>
      <c r="AS44" s="1616">
        <v>1.3573829999999999E-4</v>
      </c>
    </row>
    <row r="45" spans="1:45" x14ac:dyDescent="0.25">
      <c r="A45" s="2598" t="str">
        <f>'Efficient Products Deemed Table'!C167</f>
        <v>250550_2019_12_</v>
      </c>
      <c r="B45" s="245" t="str">
        <f>'Efficient Products Deemed Table'!G167</f>
        <v>Pool Spa RES</v>
      </c>
      <c r="C45" s="245"/>
      <c r="D45" s="245"/>
      <c r="E45" s="245"/>
      <c r="F45" s="245" t="str">
        <f>'Efficient Products Deemed Table'!E167</f>
        <v>ENERGY STAR VFDs on Residential Swimming Pool Pumps</v>
      </c>
      <c r="G45" s="245" t="str">
        <f>'Efficient Products Deemed Table'!D167</f>
        <v>Efficient Products</v>
      </c>
      <c r="H45" s="2410">
        <f>'Efficient Products Deemed Table'!F167</f>
        <v>2052.85</v>
      </c>
      <c r="I45" s="2410">
        <v>0</v>
      </c>
      <c r="J45" s="2452">
        <v>0</v>
      </c>
      <c r="K45" s="2452">
        <v>0</v>
      </c>
      <c r="L45" s="2452">
        <v>0</v>
      </c>
      <c r="M45" s="2452">
        <v>0</v>
      </c>
      <c r="N45" s="2411">
        <f>'Efficient Products Deemed Table'!I167</f>
        <v>0.48333500000000001</v>
      </c>
      <c r="O45" s="2411">
        <v>0</v>
      </c>
      <c r="P45" s="2412">
        <v>0</v>
      </c>
      <c r="Q45" s="2412">
        <v>0</v>
      </c>
      <c r="R45" s="2412"/>
      <c r="S45" s="2412"/>
      <c r="T45" s="2413">
        <v>0</v>
      </c>
      <c r="U45" s="2413">
        <f t="shared" si="12"/>
        <v>0.48333500000000001</v>
      </c>
      <c r="V45" s="2413">
        <v>0</v>
      </c>
      <c r="W45" s="2460">
        <f>'Efficient Products Deemed Table'!J167</f>
        <v>10</v>
      </c>
      <c r="X45" s="2460"/>
      <c r="Y45" s="94">
        <f t="shared" si="1"/>
        <v>10</v>
      </c>
      <c r="Z45" s="2414">
        <f>'Efficient Products Deemed Table'!BB167</f>
        <v>1.6535777334024884</v>
      </c>
      <c r="AA45" s="2417">
        <f>'Efficient Products Deemed Table'!K167</f>
        <v>549</v>
      </c>
      <c r="AB45" s="2418">
        <f t="shared" si="5"/>
        <v>856.8326339197414</v>
      </c>
      <c r="AC45" s="2418"/>
      <c r="AD45" s="2441">
        <f>'Efficient Products Deemed Table'!BD167</f>
        <v>856.8326339197414</v>
      </c>
      <c r="AE45" s="2440"/>
      <c r="AF45" s="2440"/>
      <c r="AG45" s="2440"/>
      <c r="AL45" s="2380">
        <f t="shared" si="2"/>
        <v>2.3544589999999999E-4</v>
      </c>
      <c r="AM45">
        <f t="shared" si="13"/>
        <v>0.48333511581499994</v>
      </c>
      <c r="AN45" s="2368">
        <f t="shared" si="4"/>
        <v>1.1581499992363575E-7</v>
      </c>
      <c r="AR45" s="245" t="s">
        <v>178</v>
      </c>
      <c r="AS45" s="1616">
        <v>1.811545E-4</v>
      </c>
    </row>
    <row r="46" spans="1:45" x14ac:dyDescent="0.25">
      <c r="A46" s="2598" t="str">
        <f>'Efficient Products Deemed Table'!C202</f>
        <v>250600_2019_12_</v>
      </c>
      <c r="B46" s="245" t="str">
        <f>'Efficient Products Deemed Table'!G202</f>
        <v>Miscellaneous RES</v>
      </c>
      <c r="C46" s="245"/>
      <c r="D46" s="245"/>
      <c r="E46" s="245"/>
      <c r="F46" s="245" t="str">
        <f>'Efficient Products Deemed Table'!E202</f>
        <v>Advanced Tier 2 Power Strips  -  A</v>
      </c>
      <c r="G46" s="245" t="str">
        <f>'Efficient Products Deemed Table'!D202</f>
        <v>Efficient Products</v>
      </c>
      <c r="H46" s="2410">
        <f>'Efficient Products Deemed Table'!F202</f>
        <v>237.6</v>
      </c>
      <c r="I46" s="2410">
        <v>0</v>
      </c>
      <c r="J46" s="2452">
        <v>0</v>
      </c>
      <c r="K46" s="2452">
        <v>0</v>
      </c>
      <c r="L46" s="2452">
        <v>0</v>
      </c>
      <c r="M46" s="2452">
        <v>0</v>
      </c>
      <c r="N46" s="2411">
        <f>'Efficient Products Deemed Table'!I202</f>
        <v>2.7282000000000001E-2</v>
      </c>
      <c r="O46" s="2411">
        <v>0</v>
      </c>
      <c r="P46" s="2412">
        <v>0</v>
      </c>
      <c r="Q46" s="2412">
        <v>0</v>
      </c>
      <c r="R46" s="2412"/>
      <c r="S46" s="2412"/>
      <c r="T46" s="2413">
        <v>0</v>
      </c>
      <c r="U46" s="2413">
        <f t="shared" si="12"/>
        <v>2.7282000000000001E-2</v>
      </c>
      <c r="V46" s="2413">
        <v>0</v>
      </c>
      <c r="W46" s="2460">
        <f>'Efficient Products Deemed Table'!J202</f>
        <v>10</v>
      </c>
      <c r="X46" s="2460"/>
      <c r="Y46" s="94">
        <f t="shared" si="1"/>
        <v>10</v>
      </c>
      <c r="Z46" s="2414">
        <f>'Efficient Products Deemed Table'!BB202</f>
        <v>2.8935964717891705</v>
      </c>
      <c r="AA46" s="2417">
        <f>'Efficient Products Deemed Table'!K202</f>
        <v>30</v>
      </c>
      <c r="AB46" s="2418">
        <f t="shared" si="5"/>
        <v>81.932887355993486</v>
      </c>
      <c r="AC46" s="2418"/>
      <c r="AD46" s="2441">
        <f>'Efficient Products Deemed Table'!BD202</f>
        <v>81.932887355993486</v>
      </c>
      <c r="AE46" s="2440"/>
      <c r="AF46" s="2440"/>
      <c r="AG46" s="2440"/>
      <c r="AL46" s="2380">
        <f t="shared" si="2"/>
        <v>1.148238E-4</v>
      </c>
      <c r="AM46">
        <f t="shared" si="13"/>
        <v>2.728213488E-2</v>
      </c>
      <c r="AN46" s="2368">
        <f t="shared" si="4"/>
        <v>1.348799999988104E-7</v>
      </c>
    </row>
    <row r="47" spans="1:45" x14ac:dyDescent="0.25">
      <c r="A47" s="2598" t="str">
        <f>'Efficient Products Deemed Table'!C203</f>
        <v>250650_2019_12_</v>
      </c>
      <c r="B47" s="245" t="str">
        <f>'Efficient Products Deemed Table'!G203</f>
        <v>Miscellaneous RES</v>
      </c>
      <c r="C47" s="245"/>
      <c r="D47" s="245"/>
      <c r="E47" s="245"/>
      <c r="F47" s="245" t="str">
        <f>'Efficient Products Deemed Table'!E203</f>
        <v>Advanced Tier 2 Power Strips -  B</v>
      </c>
      <c r="G47" s="245" t="str">
        <f>'Efficient Products Deemed Table'!D203</f>
        <v>Efficient Products</v>
      </c>
      <c r="H47" s="2410">
        <f>'Efficient Products Deemed Table'!F203</f>
        <v>216</v>
      </c>
      <c r="I47" s="2410">
        <v>0</v>
      </c>
      <c r="J47" s="2452">
        <v>0</v>
      </c>
      <c r="K47" s="2452">
        <v>0</v>
      </c>
      <c r="L47" s="2452">
        <v>0</v>
      </c>
      <c r="M47" s="2452">
        <v>0</v>
      </c>
      <c r="N47" s="2411">
        <f>'Efficient Products Deemed Table'!I203</f>
        <v>2.4802000000000001E-2</v>
      </c>
      <c r="O47" s="2411">
        <v>0</v>
      </c>
      <c r="P47" s="2412">
        <v>0</v>
      </c>
      <c r="Q47" s="2412">
        <v>0</v>
      </c>
      <c r="R47" s="2412"/>
      <c r="S47" s="2412"/>
      <c r="T47" s="2413">
        <v>0</v>
      </c>
      <c r="U47" s="2413">
        <f t="shared" si="12"/>
        <v>2.4802000000000001E-2</v>
      </c>
      <c r="V47" s="2413">
        <v>0</v>
      </c>
      <c r="W47" s="2460">
        <f>'Efficient Products Deemed Table'!J203</f>
        <v>10</v>
      </c>
      <c r="X47" s="2460"/>
      <c r="Y47" s="94">
        <f t="shared" si="1"/>
        <v>10</v>
      </c>
      <c r="Z47" s="2414">
        <f>'Efficient Products Deemed Table'!BB203</f>
        <v>2.6305422470810638</v>
      </c>
      <c r="AA47" s="2417">
        <f>'Efficient Products Deemed Table'!K203</f>
        <v>30</v>
      </c>
      <c r="AB47" s="2418">
        <f t="shared" si="5"/>
        <v>74.484443050903167</v>
      </c>
      <c r="AC47" s="2418"/>
      <c r="AD47" s="2441">
        <f>'Efficient Products Deemed Table'!BD203</f>
        <v>74.484443050903167</v>
      </c>
      <c r="AE47" s="2440"/>
      <c r="AF47" s="2440"/>
      <c r="AG47" s="2440"/>
      <c r="AL47" s="2380">
        <f t="shared" si="2"/>
        <v>1.148238E-4</v>
      </c>
      <c r="AM47">
        <f t="shared" si="13"/>
        <v>2.4801940799999998E-2</v>
      </c>
      <c r="AN47" s="2368">
        <f t="shared" si="4"/>
        <v>-5.9200000002840314E-8</v>
      </c>
    </row>
    <row r="48" spans="1:45" x14ac:dyDescent="0.25">
      <c r="A48" s="2598" t="str">
        <f>'Efficient Products Deemed Table'!C204</f>
        <v>250700_2019_12_</v>
      </c>
      <c r="B48" s="245" t="str">
        <f>'Efficient Products Deemed Table'!G204</f>
        <v>Miscellaneous RES</v>
      </c>
      <c r="C48" s="245"/>
      <c r="D48" s="245"/>
      <c r="E48" s="245"/>
      <c r="F48" s="245" t="str">
        <f>'Efficient Products Deemed Table'!E204</f>
        <v>Advanced Tier 2 Power Strips -  C</v>
      </c>
      <c r="G48" s="245" t="str">
        <f>'Efficient Products Deemed Table'!D204</f>
        <v>Efficient Products</v>
      </c>
      <c r="H48" s="2410">
        <f>'Efficient Products Deemed Table'!F204</f>
        <v>194.4</v>
      </c>
      <c r="I48" s="2410">
        <v>0</v>
      </c>
      <c r="J48" s="2452">
        <v>0</v>
      </c>
      <c r="K48" s="2452">
        <v>0</v>
      </c>
      <c r="L48" s="2452">
        <v>0</v>
      </c>
      <c r="M48" s="2452">
        <v>0</v>
      </c>
      <c r="N48" s="2411">
        <f>'Efficient Products Deemed Table'!I204</f>
        <v>2.2322000000000002E-2</v>
      </c>
      <c r="O48" s="2411">
        <v>0</v>
      </c>
      <c r="P48" s="2412">
        <v>0</v>
      </c>
      <c r="Q48" s="2412">
        <v>0</v>
      </c>
      <c r="R48" s="2412"/>
      <c r="S48" s="2412"/>
      <c r="T48" s="2413">
        <v>0</v>
      </c>
      <c r="U48" s="2413">
        <f t="shared" si="12"/>
        <v>2.2322000000000002E-2</v>
      </c>
      <c r="V48" s="2413">
        <v>0</v>
      </c>
      <c r="W48" s="2460">
        <f>'Efficient Products Deemed Table'!J204</f>
        <v>10</v>
      </c>
      <c r="X48" s="2460"/>
      <c r="Y48" s="94">
        <f t="shared" si="1"/>
        <v>10</v>
      </c>
      <c r="Z48" s="2414">
        <f>'Efficient Products Deemed Table'!BB204</f>
        <v>2.3674880223729571</v>
      </c>
      <c r="AA48" s="2417">
        <f>'Efficient Products Deemed Table'!K204</f>
        <v>30</v>
      </c>
      <c r="AB48" s="2418">
        <f t="shared" si="5"/>
        <v>67.035998745812847</v>
      </c>
      <c r="AC48" s="2418"/>
      <c r="AD48" s="2441">
        <f>'Efficient Products Deemed Table'!BD204</f>
        <v>67.035998745812847</v>
      </c>
      <c r="AE48" s="2440"/>
      <c r="AF48" s="2440"/>
      <c r="AG48" s="2440"/>
      <c r="AL48" s="2380">
        <f t="shared" si="2"/>
        <v>1.148238E-4</v>
      </c>
      <c r="AM48">
        <f t="shared" si="13"/>
        <v>2.2321746720000001E-2</v>
      </c>
      <c r="AN48" s="2368">
        <f t="shared" si="4"/>
        <v>-2.5328000000102158E-7</v>
      </c>
    </row>
    <row r="49" spans="1:40" x14ac:dyDescent="0.25">
      <c r="A49" s="2598" t="str">
        <f>'Efficient Products Deemed Table'!C205</f>
        <v>250750_2019_12_</v>
      </c>
      <c r="B49" s="245" t="str">
        <f>'Efficient Products Deemed Table'!G205</f>
        <v>Miscellaneous RES</v>
      </c>
      <c r="C49" s="245"/>
      <c r="D49" s="245"/>
      <c r="E49" s="245"/>
      <c r="F49" s="245" t="str">
        <f>'Efficient Products Deemed Table'!E205</f>
        <v>Advanced Tier 2 Power Strips -  D</v>
      </c>
      <c r="G49" s="245" t="str">
        <f>'Efficient Products Deemed Table'!D205</f>
        <v>Efficient Products</v>
      </c>
      <c r="H49" s="2410">
        <f>'Efficient Products Deemed Table'!F205</f>
        <v>172.8</v>
      </c>
      <c r="I49" s="2410">
        <v>0</v>
      </c>
      <c r="J49" s="2452">
        <v>0</v>
      </c>
      <c r="K49" s="2452">
        <v>0</v>
      </c>
      <c r="L49" s="2452">
        <v>0</v>
      </c>
      <c r="M49" s="2452">
        <v>0</v>
      </c>
      <c r="N49" s="2411">
        <f>'Efficient Products Deemed Table'!I205</f>
        <v>1.9841999999999999E-2</v>
      </c>
      <c r="O49" s="2411">
        <v>0</v>
      </c>
      <c r="P49" s="2412">
        <v>0</v>
      </c>
      <c r="Q49" s="2412">
        <v>0</v>
      </c>
      <c r="R49" s="2412"/>
      <c r="S49" s="2412"/>
      <c r="T49" s="2413">
        <v>0</v>
      </c>
      <c r="U49" s="2413">
        <f t="shared" si="12"/>
        <v>1.9841999999999999E-2</v>
      </c>
      <c r="V49" s="2413">
        <v>0</v>
      </c>
      <c r="W49" s="2460">
        <f>'Efficient Products Deemed Table'!J205</f>
        <v>10</v>
      </c>
      <c r="X49" s="2460"/>
      <c r="Y49" s="94">
        <f t="shared" si="1"/>
        <v>10</v>
      </c>
      <c r="Z49" s="2414">
        <f>'Efficient Products Deemed Table'!BB205</f>
        <v>2.1044337976648513</v>
      </c>
      <c r="AA49" s="2417">
        <f>'Efficient Products Deemed Table'!K205</f>
        <v>30</v>
      </c>
      <c r="AB49" s="2418">
        <f t="shared" si="5"/>
        <v>59.587554440722535</v>
      </c>
      <c r="AC49" s="2418"/>
      <c r="AD49" s="2441">
        <f>'Efficient Products Deemed Table'!BD205</f>
        <v>59.587554440722535</v>
      </c>
      <c r="AE49" s="2440"/>
      <c r="AF49" s="2440"/>
      <c r="AG49" s="2440"/>
      <c r="AL49" s="2380">
        <f t="shared" si="2"/>
        <v>1.148238E-4</v>
      </c>
      <c r="AM49">
        <f t="shared" si="13"/>
        <v>1.9841552639999999E-2</v>
      </c>
      <c r="AN49" s="2368">
        <f t="shared" si="4"/>
        <v>-4.4735999999920284E-7</v>
      </c>
    </row>
    <row r="50" spans="1:40" x14ac:dyDescent="0.25">
      <c r="A50" s="2598" t="str">
        <f>'Efficient Products Deemed Table'!C206</f>
        <v>250800_2019_12_</v>
      </c>
      <c r="B50" s="245" t="str">
        <f>'Efficient Products Deemed Table'!G206</f>
        <v>Miscellaneous RES</v>
      </c>
      <c r="C50" s="245"/>
      <c r="D50" s="245"/>
      <c r="E50" s="245"/>
      <c r="F50" s="245" t="str">
        <f>'Efficient Products Deemed Table'!E206</f>
        <v>Advanced Tier 2 Power Strips -  E</v>
      </c>
      <c r="G50" s="245" t="str">
        <f>'Efficient Products Deemed Table'!D206</f>
        <v>Efficient Products</v>
      </c>
      <c r="H50" s="2410">
        <f>'Efficient Products Deemed Table'!F206</f>
        <v>151.19999999999999</v>
      </c>
      <c r="I50" s="2410">
        <v>0</v>
      </c>
      <c r="J50" s="2452">
        <v>0</v>
      </c>
      <c r="K50" s="2452">
        <v>0</v>
      </c>
      <c r="L50" s="2452">
        <v>0</v>
      </c>
      <c r="M50" s="2452">
        <v>0</v>
      </c>
      <c r="N50" s="2411">
        <f>'Efficient Products Deemed Table'!I206</f>
        <v>1.7361000000000001E-2</v>
      </c>
      <c r="O50" s="2411">
        <v>0</v>
      </c>
      <c r="P50" s="2412">
        <v>0</v>
      </c>
      <c r="Q50" s="2412">
        <v>0</v>
      </c>
      <c r="R50" s="2412"/>
      <c r="S50" s="2412"/>
      <c r="T50" s="2413">
        <v>0</v>
      </c>
      <c r="U50" s="2413">
        <f t="shared" si="12"/>
        <v>1.7361000000000001E-2</v>
      </c>
      <c r="V50" s="2413">
        <v>0</v>
      </c>
      <c r="W50" s="2460">
        <f>'Efficient Products Deemed Table'!J206</f>
        <v>10</v>
      </c>
      <c r="X50" s="2460"/>
      <c r="Y50" s="94">
        <f t="shared" si="1"/>
        <v>10</v>
      </c>
      <c r="Z50" s="2414">
        <f>'Efficient Products Deemed Table'!BB206</f>
        <v>1.8413795729567446</v>
      </c>
      <c r="AA50" s="2417">
        <f>'Efficient Products Deemed Table'!K206</f>
        <v>30</v>
      </c>
      <c r="AB50" s="2418">
        <f t="shared" si="5"/>
        <v>52.139110135632215</v>
      </c>
      <c r="AC50" s="2418"/>
      <c r="AD50" s="2441">
        <f>'Efficient Products Deemed Table'!BD206</f>
        <v>52.139110135632215</v>
      </c>
      <c r="AE50" s="2440"/>
      <c r="AF50" s="2440"/>
      <c r="AG50" s="2440"/>
      <c r="AL50" s="2380">
        <f t="shared" si="2"/>
        <v>1.148238E-4</v>
      </c>
      <c r="AM50">
        <f t="shared" si="13"/>
        <v>1.7361358559999998E-2</v>
      </c>
      <c r="AN50" s="2368">
        <f t="shared" si="4"/>
        <v>3.5855999999667709E-7</v>
      </c>
    </row>
    <row r="51" spans="1:40" x14ac:dyDescent="0.25">
      <c r="A51" s="2598" t="str">
        <f>'Efficient Products Deemed Table'!C207</f>
        <v>250850_2019_12_</v>
      </c>
      <c r="B51" s="245" t="str">
        <f>'Efficient Products Deemed Table'!G207</f>
        <v>Miscellaneous RES</v>
      </c>
      <c r="C51" s="245"/>
      <c r="D51" s="245"/>
      <c r="E51" s="245"/>
      <c r="F51" s="245" t="str">
        <f>'Efficient Products Deemed Table'!E207</f>
        <v>Advanced Tier 2 Power Strips -  F</v>
      </c>
      <c r="G51" s="245" t="str">
        <f>'Efficient Products Deemed Table'!D207</f>
        <v>Efficient Products</v>
      </c>
      <c r="H51" s="2410">
        <f>'Efficient Products Deemed Table'!F207</f>
        <v>129.6</v>
      </c>
      <c r="I51" s="2410">
        <v>0</v>
      </c>
      <c r="J51" s="2452">
        <v>0</v>
      </c>
      <c r="K51" s="2452">
        <v>0</v>
      </c>
      <c r="L51" s="2452">
        <v>0</v>
      </c>
      <c r="M51" s="2452">
        <v>0</v>
      </c>
      <c r="N51" s="2411">
        <f>'Efficient Products Deemed Table'!I207</f>
        <v>1.4881E-2</v>
      </c>
      <c r="O51" s="2411">
        <v>0</v>
      </c>
      <c r="P51" s="2412">
        <v>0</v>
      </c>
      <c r="Q51" s="2412">
        <v>0</v>
      </c>
      <c r="R51" s="2412"/>
      <c r="S51" s="2412"/>
      <c r="T51" s="2413">
        <v>0</v>
      </c>
      <c r="U51" s="2413">
        <f t="shared" si="12"/>
        <v>1.4881E-2</v>
      </c>
      <c r="V51" s="2413">
        <v>0</v>
      </c>
      <c r="W51" s="2460">
        <f>'Efficient Products Deemed Table'!J207</f>
        <v>10</v>
      </c>
      <c r="X51" s="2460"/>
      <c r="Y51" s="94">
        <f t="shared" si="1"/>
        <v>10</v>
      </c>
      <c r="Z51" s="2414">
        <f>'Efficient Products Deemed Table'!BB207</f>
        <v>1.5783253482486381</v>
      </c>
      <c r="AA51" s="2417">
        <f>'Efficient Products Deemed Table'!K207</f>
        <v>30</v>
      </c>
      <c r="AB51" s="2418">
        <f t="shared" si="5"/>
        <v>44.690665830541896</v>
      </c>
      <c r="AC51" s="2418"/>
      <c r="AD51" s="2441">
        <f>'Efficient Products Deemed Table'!BD207</f>
        <v>44.690665830541896</v>
      </c>
      <c r="AE51" s="2440"/>
      <c r="AF51" s="2440"/>
      <c r="AG51" s="2440"/>
      <c r="AL51" s="2380">
        <f t="shared" si="2"/>
        <v>1.148238E-4</v>
      </c>
      <c r="AM51">
        <f t="shared" si="13"/>
        <v>1.4881164479999999E-2</v>
      </c>
      <c r="AN51" s="2368">
        <f t="shared" si="4"/>
        <v>1.6447999999849583E-7</v>
      </c>
    </row>
    <row r="52" spans="1:40" x14ac:dyDescent="0.25">
      <c r="A52" s="2598" t="str">
        <f>'Efficient Products Deemed Table'!C208</f>
        <v>250900_2019_12_</v>
      </c>
      <c r="B52" s="245" t="str">
        <f>'Efficient Products Deemed Table'!G208</f>
        <v>Miscellaneous RES</v>
      </c>
      <c r="C52" s="245"/>
      <c r="D52" s="245"/>
      <c r="E52" s="245"/>
      <c r="F52" s="245" t="str">
        <f>'Efficient Products Deemed Table'!E208</f>
        <v>Advanced Tier 2 Power Strips -  G</v>
      </c>
      <c r="G52" s="245" t="str">
        <f>'Efficient Products Deemed Table'!D208</f>
        <v>Efficient Products</v>
      </c>
      <c r="H52" s="2410">
        <f>'Efficient Products Deemed Table'!F208</f>
        <v>108</v>
      </c>
      <c r="I52" s="2410">
        <v>0</v>
      </c>
      <c r="J52" s="2452">
        <v>0</v>
      </c>
      <c r="K52" s="2452">
        <v>0</v>
      </c>
      <c r="L52" s="2452">
        <v>0</v>
      </c>
      <c r="M52" s="2452">
        <v>0</v>
      </c>
      <c r="N52" s="2411">
        <f>'Efficient Products Deemed Table'!I208</f>
        <v>1.2401000000000001E-2</v>
      </c>
      <c r="O52" s="2411">
        <v>0</v>
      </c>
      <c r="P52" s="2412">
        <v>0</v>
      </c>
      <c r="Q52" s="2412">
        <v>0</v>
      </c>
      <c r="R52" s="2412"/>
      <c r="S52" s="2412"/>
      <c r="T52" s="2413">
        <v>0</v>
      </c>
      <c r="U52" s="2413">
        <f t="shared" si="12"/>
        <v>1.2401000000000001E-2</v>
      </c>
      <c r="V52" s="2413">
        <v>0</v>
      </c>
      <c r="W52" s="2460">
        <f>'Efficient Products Deemed Table'!J208</f>
        <v>10</v>
      </c>
      <c r="X52" s="2460"/>
      <c r="Y52" s="94">
        <f t="shared" si="1"/>
        <v>10</v>
      </c>
      <c r="Z52" s="2414">
        <f>'Efficient Products Deemed Table'!BB208</f>
        <v>1.3152711235405319</v>
      </c>
      <c r="AA52" s="2417">
        <f>'Efficient Products Deemed Table'!K208</f>
        <v>30</v>
      </c>
      <c r="AB52" s="2418">
        <f t="shared" si="5"/>
        <v>37.242221525451583</v>
      </c>
      <c r="AC52" s="2418"/>
      <c r="AD52" s="2441">
        <f>'Efficient Products Deemed Table'!BD208</f>
        <v>37.242221525451583</v>
      </c>
      <c r="AE52" s="2440"/>
      <c r="AF52" s="2440"/>
      <c r="AG52" s="2440"/>
      <c r="AL52" s="2380">
        <f t="shared" si="2"/>
        <v>1.148238E-4</v>
      </c>
      <c r="AM52">
        <f t="shared" si="13"/>
        <v>1.2400970399999999E-2</v>
      </c>
      <c r="AN52" s="2368">
        <f t="shared" si="4"/>
        <v>-2.9600000001420157E-8</v>
      </c>
    </row>
    <row r="53" spans="1:40" x14ac:dyDescent="0.25">
      <c r="A53" s="2598" t="str">
        <f>'Efficient Products Deemed Table'!C209</f>
        <v>250950_2019_12_</v>
      </c>
      <c r="B53" s="245" t="str">
        <f>'Efficient Products Deemed Table'!G209</f>
        <v>Miscellaneous RES</v>
      </c>
      <c r="C53" s="245"/>
      <c r="D53" s="245"/>
      <c r="E53" s="245"/>
      <c r="F53" s="245" t="str">
        <f>'Efficient Products Deemed Table'!E209</f>
        <v>Advanced Tier 2 Power Strips -  H</v>
      </c>
      <c r="G53" s="245" t="str">
        <f>'Efficient Products Deemed Table'!D209</f>
        <v>Efficient Products</v>
      </c>
      <c r="H53" s="2410">
        <f>'Efficient Products Deemed Table'!F209</f>
        <v>86.4</v>
      </c>
      <c r="I53" s="2410">
        <v>0</v>
      </c>
      <c r="J53" s="2452">
        <v>0</v>
      </c>
      <c r="K53" s="2452">
        <v>0</v>
      </c>
      <c r="L53" s="2452">
        <v>0</v>
      </c>
      <c r="M53" s="2452">
        <v>0</v>
      </c>
      <c r="N53" s="2411">
        <f>'Efficient Products Deemed Table'!I209</f>
        <v>9.9209999999999993E-3</v>
      </c>
      <c r="O53" s="2411">
        <v>0</v>
      </c>
      <c r="P53" s="2412">
        <v>0</v>
      </c>
      <c r="Q53" s="2412">
        <v>0</v>
      </c>
      <c r="R53" s="2412"/>
      <c r="S53" s="2412"/>
      <c r="T53" s="2413">
        <v>0</v>
      </c>
      <c r="U53" s="2413">
        <f t="shared" si="12"/>
        <v>9.9209999999999993E-3</v>
      </c>
      <c r="V53" s="2413">
        <v>0</v>
      </c>
      <c r="W53" s="2460">
        <f>'Efficient Products Deemed Table'!J209</f>
        <v>10</v>
      </c>
      <c r="X53" s="2460"/>
      <c r="Y53" s="94">
        <f t="shared" si="1"/>
        <v>10</v>
      </c>
      <c r="Z53" s="2414">
        <f>'Efficient Products Deemed Table'!BB209</f>
        <v>1.0522168988324256</v>
      </c>
      <c r="AA53" s="2417">
        <f>'Efficient Products Deemed Table'!K209</f>
        <v>30</v>
      </c>
      <c r="AB53" s="2418">
        <f t="shared" si="5"/>
        <v>29.793777220361267</v>
      </c>
      <c r="AC53" s="2418"/>
      <c r="AD53" s="2441">
        <f>'Efficient Products Deemed Table'!BD209</f>
        <v>29.793777220361267</v>
      </c>
      <c r="AE53" s="2440"/>
      <c r="AF53" s="2440"/>
      <c r="AG53" s="2440"/>
      <c r="AL53" s="2380">
        <f t="shared" si="2"/>
        <v>1.148238E-4</v>
      </c>
      <c r="AM53">
        <f t="shared" si="13"/>
        <v>9.9207763199999997E-3</v>
      </c>
      <c r="AN53" s="2368">
        <f t="shared" si="4"/>
        <v>-2.2367999999960142E-7</v>
      </c>
    </row>
    <row r="54" spans="1:40" x14ac:dyDescent="0.25">
      <c r="A54" s="2598" t="str">
        <f>'Efficient Products Deemed Table'!C210</f>
        <v>251000_2019_12_</v>
      </c>
      <c r="B54" s="245" t="str">
        <f>'Efficient Products Deemed Table'!G210</f>
        <v>Miscellaneous RES</v>
      </c>
      <c r="C54" s="245"/>
      <c r="D54" s="245"/>
      <c r="E54" s="245"/>
      <c r="F54" s="245" t="str">
        <f>'Efficient Products Deemed Table'!E210</f>
        <v>Advanced Tier 2 Power Strips -  Average</v>
      </c>
      <c r="G54" s="245" t="str">
        <f>'Efficient Products Deemed Table'!D210</f>
        <v>Efficient Products</v>
      </c>
      <c r="H54" s="2410">
        <f>'Efficient Products Deemed Table'!F210</f>
        <v>162</v>
      </c>
      <c r="I54" s="2410">
        <v>0</v>
      </c>
      <c r="J54" s="2452">
        <v>0</v>
      </c>
      <c r="K54" s="2452">
        <v>0</v>
      </c>
      <c r="L54" s="2452">
        <v>0</v>
      </c>
      <c r="M54" s="2452">
        <v>0</v>
      </c>
      <c r="N54" s="2411">
        <f>'Efficient Products Deemed Table'!I210</f>
        <v>1.8600999999999999E-2</v>
      </c>
      <c r="O54" s="2411">
        <v>0</v>
      </c>
      <c r="P54" s="2412">
        <v>0</v>
      </c>
      <c r="Q54" s="2412">
        <v>0</v>
      </c>
      <c r="R54" s="2412"/>
      <c r="S54" s="2412"/>
      <c r="T54" s="2413">
        <v>0</v>
      </c>
      <c r="U54" s="2413">
        <f t="shared" si="12"/>
        <v>1.8600999999999999E-2</v>
      </c>
      <c r="V54" s="2413">
        <v>0</v>
      </c>
      <c r="W54" s="2460">
        <f>'Efficient Products Deemed Table'!J210</f>
        <v>10</v>
      </c>
      <c r="X54" s="2460"/>
      <c r="Y54" s="94">
        <f t="shared" si="1"/>
        <v>10</v>
      </c>
      <c r="Z54" s="2414">
        <f>'Efficient Products Deemed Table'!BB210</f>
        <v>1.9729066853107977</v>
      </c>
      <c r="AA54" s="2417">
        <f>'Efficient Products Deemed Table'!K210</f>
        <v>30</v>
      </c>
      <c r="AB54" s="2418">
        <f t="shared" si="5"/>
        <v>55.863332288177375</v>
      </c>
      <c r="AC54" s="2418"/>
      <c r="AD54" s="2441">
        <f>'Efficient Products Deemed Table'!BD210</f>
        <v>55.863332288177375</v>
      </c>
      <c r="AE54" s="2440"/>
      <c r="AF54" s="2440"/>
      <c r="AG54" s="2440"/>
      <c r="AL54" s="2380">
        <f t="shared" si="2"/>
        <v>1.148238E-4</v>
      </c>
      <c r="AM54">
        <f t="shared" si="13"/>
        <v>1.86014556E-2</v>
      </c>
      <c r="AN54" s="2368">
        <f t="shared" si="4"/>
        <v>4.5560000000097189E-7</v>
      </c>
    </row>
    <row r="55" spans="1:40" x14ac:dyDescent="0.25">
      <c r="A55" s="2598" t="str">
        <f>'Efficient Products Deemed Table'!C234</f>
        <v>251050_2019_12_</v>
      </c>
      <c r="B55" s="245" t="str">
        <f>'Efficient Products Deemed Table'!G234</f>
        <v>HVAC RES</v>
      </c>
      <c r="C55" s="245"/>
      <c r="D55" s="245"/>
      <c r="E55" s="245"/>
      <c r="F55" s="245" t="str">
        <f>'Efficient Products Deemed Table'!E234</f>
        <v>ENERGY STAR Air Purifier/Cleaner</v>
      </c>
      <c r="G55" s="745" t="str">
        <f>'Efficient Products Deemed Table'!D234</f>
        <v>Efficient Products</v>
      </c>
      <c r="H55" s="2410">
        <f>'Efficient Products Deemed Table'!F234</f>
        <v>578.86</v>
      </c>
      <c r="I55" s="2410">
        <v>0</v>
      </c>
      <c r="J55" s="2452">
        <v>0</v>
      </c>
      <c r="K55" s="2452">
        <v>0</v>
      </c>
      <c r="L55" s="2452">
        <v>0</v>
      </c>
      <c r="M55" s="2452">
        <v>0</v>
      </c>
      <c r="N55" s="2411">
        <f>'Efficient Products Deemed Table'!I234</f>
        <v>0.26979500000000001</v>
      </c>
      <c r="O55" s="2411">
        <v>0</v>
      </c>
      <c r="P55" s="2412">
        <v>0</v>
      </c>
      <c r="Q55" s="2412">
        <v>0</v>
      </c>
      <c r="R55" s="2412"/>
      <c r="S55" s="2412"/>
      <c r="T55" s="2413">
        <f>N55</f>
        <v>0.26979500000000001</v>
      </c>
      <c r="U55" s="2413">
        <v>0</v>
      </c>
      <c r="V55" s="2413">
        <v>0</v>
      </c>
      <c r="W55" s="2460">
        <f>'Efficient Products Deemed Table'!J234</f>
        <v>9</v>
      </c>
      <c r="X55" s="2460"/>
      <c r="Y55" s="94">
        <f t="shared" si="1"/>
        <v>9</v>
      </c>
      <c r="Z55" s="2414">
        <f>'Efficient Products Deemed Table'!BB234</f>
        <v>5.0190719138903406</v>
      </c>
      <c r="AA55" s="2417">
        <f>'Efficient Products Deemed Table'!K234</f>
        <v>70</v>
      </c>
      <c r="AB55" s="2418">
        <f t="shared" si="5"/>
        <v>331.60456250337313</v>
      </c>
      <c r="AC55" s="2418"/>
      <c r="AD55" s="2441">
        <f>'Efficient Products Deemed Table'!BD234</f>
        <v>331.60456250337313</v>
      </c>
      <c r="AE55" s="2440"/>
      <c r="AF55" s="2440"/>
      <c r="AG55" s="2440"/>
      <c r="AL55" s="2380">
        <f t="shared" si="2"/>
        <v>4.6608050000000002E-4</v>
      </c>
      <c r="AM55">
        <f t="shared" si="13"/>
        <v>0.26979535823</v>
      </c>
      <c r="AN55" s="2368">
        <f t="shared" si="4"/>
        <v>3.5822999999712835E-7</v>
      </c>
    </row>
    <row r="56" spans="1:40" x14ac:dyDescent="0.25">
      <c r="A56" s="2598" t="str">
        <f>'Efficient Products Deemed Table'!C258</f>
        <v>251100_2019_12_</v>
      </c>
      <c r="B56" s="245" t="str">
        <f>'Efficient Products Deemed Table'!G258</f>
        <v>Cooling RES</v>
      </c>
      <c r="C56" s="245"/>
      <c r="D56" s="245"/>
      <c r="E56" s="245"/>
      <c r="F56" s="245" t="str">
        <f>'Efficient Products Deemed Table'!E258</f>
        <v>ENERGY STAR Dehumidifier</v>
      </c>
      <c r="G56" s="745" t="str">
        <f>'Efficient Products Deemed Table'!D258</f>
        <v>Efficient Products</v>
      </c>
      <c r="H56" s="2410">
        <f>'Efficient Products Deemed Table'!F258</f>
        <v>204</v>
      </c>
      <c r="I56" s="2410">
        <v>0</v>
      </c>
      <c r="J56" s="1374">
        <f t="shared" ref="J56:J58" si="14">H56</f>
        <v>204</v>
      </c>
      <c r="K56" s="2452">
        <v>0</v>
      </c>
      <c r="L56" s="2452">
        <v>0</v>
      </c>
      <c r="M56" s="2452">
        <v>0</v>
      </c>
      <c r="N56" s="2411">
        <f>'Efficient Products Deemed Table'!I258</f>
        <v>0.193273</v>
      </c>
      <c r="O56" s="2411">
        <v>0</v>
      </c>
      <c r="P56" s="2412">
        <f t="shared" ref="P56:P58" si="15">N56</f>
        <v>0.193273</v>
      </c>
      <c r="Q56" s="2412">
        <v>0</v>
      </c>
      <c r="R56" s="2412"/>
      <c r="S56" s="2412"/>
      <c r="T56" s="2413">
        <v>0</v>
      </c>
      <c r="U56" s="2413">
        <f>N56</f>
        <v>0.193273</v>
      </c>
      <c r="V56" s="2413">
        <v>0</v>
      </c>
      <c r="W56" s="2460">
        <f>'Efficient Products Deemed Table'!J258</f>
        <v>12</v>
      </c>
      <c r="X56" s="2460"/>
      <c r="Y56" s="94">
        <f t="shared" si="1"/>
        <v>12</v>
      </c>
      <c r="Z56" s="2414">
        <f>'Efficient Products Deemed Table'!BB258</f>
        <v>53.365598107834487</v>
      </c>
      <c r="AA56" s="2417">
        <f>'Efficient Products Deemed Table'!K258</f>
        <v>5</v>
      </c>
      <c r="AB56" s="2418">
        <f t="shared" si="5"/>
        <v>251.84331339232884</v>
      </c>
      <c r="AC56" s="2418"/>
      <c r="AD56" s="2441">
        <f>'Efficient Products Deemed Table'!BD258</f>
        <v>251.84331339232884</v>
      </c>
      <c r="AE56" s="2440"/>
      <c r="AF56" s="2440"/>
      <c r="AG56" s="2440"/>
      <c r="AL56" s="2380">
        <f t="shared" si="2"/>
        <v>9.4741810000000004E-4</v>
      </c>
      <c r="AM56">
        <f t="shared" si="13"/>
        <v>0.19327329240000002</v>
      </c>
      <c r="AN56" s="2368">
        <f t="shared" si="4"/>
        <v>2.9240000001817812E-7</v>
      </c>
    </row>
    <row r="57" spans="1:40" x14ac:dyDescent="0.25">
      <c r="A57" s="2598" t="str">
        <f>'Efficient Products Deemed Table'!C285</f>
        <v>251150_2019_12_</v>
      </c>
      <c r="B57" s="245" t="str">
        <f>'Efficient Products Deemed Table'!G285</f>
        <v>Cooling RES</v>
      </c>
      <c r="C57" s="245"/>
      <c r="D57" s="245"/>
      <c r="E57" s="245"/>
      <c r="F57" s="245" t="str">
        <f>'Efficient Products Deemed Table'!E285</f>
        <v>ENERGY STAR Room AC (kWh w ISR)</v>
      </c>
      <c r="G57" s="745" t="str">
        <f>'Efficient Products Deemed Table'!D285</f>
        <v>Efficient Products</v>
      </c>
      <c r="H57" s="2410">
        <f>'Efficient Products Deemed Table'!F285</f>
        <v>49.46</v>
      </c>
      <c r="I57" s="2410">
        <v>0</v>
      </c>
      <c r="J57" s="1374">
        <f t="shared" si="14"/>
        <v>49.46</v>
      </c>
      <c r="K57" s="2452">
        <v>0</v>
      </c>
      <c r="L57" s="2452">
        <v>0</v>
      </c>
      <c r="M57" s="2452">
        <v>0</v>
      </c>
      <c r="N57" s="2411">
        <f>'Efficient Products Deemed Table'!I285</f>
        <v>4.6858999999999998E-2</v>
      </c>
      <c r="O57" s="2411">
        <v>0</v>
      </c>
      <c r="P57" s="2412">
        <f t="shared" si="15"/>
        <v>4.6858999999999998E-2</v>
      </c>
      <c r="Q57" s="2412">
        <v>0</v>
      </c>
      <c r="R57" s="2412"/>
      <c r="S57" s="2412"/>
      <c r="T57" s="2413">
        <f>N57</f>
        <v>4.6858999999999998E-2</v>
      </c>
      <c r="U57" s="2413">
        <v>0</v>
      </c>
      <c r="V57" s="2413">
        <v>0</v>
      </c>
      <c r="W57" s="2460">
        <f>'Efficient Products Deemed Table'!J285</f>
        <v>9</v>
      </c>
      <c r="X57" s="2460"/>
      <c r="Y57" s="94">
        <f t="shared" si="1"/>
        <v>9</v>
      </c>
      <c r="Z57" s="2414">
        <f>'Efficient Products Deemed Table'!BB285</f>
        <v>2.3992673568852143</v>
      </c>
      <c r="AA57" s="2417">
        <f>'Efficient Products Deemed Table'!K285</f>
        <v>20</v>
      </c>
      <c r="AB57" s="2418">
        <f t="shared" si="5"/>
        <v>45.290558884100314</v>
      </c>
      <c r="AC57" s="2418"/>
      <c r="AD57" s="2441">
        <f>'Efficient Products Deemed Table'!BD285</f>
        <v>45.290558884100314</v>
      </c>
      <c r="AE57" s="2440"/>
      <c r="AF57" s="2440"/>
      <c r="AG57" s="2440"/>
      <c r="AL57" s="2380">
        <f t="shared" si="2"/>
        <v>9.4741810000000004E-4</v>
      </c>
      <c r="AM57">
        <f t="shared" si="13"/>
        <v>4.6859299226000004E-2</v>
      </c>
      <c r="AN57" s="2368">
        <f t="shared" si="4"/>
        <v>2.9922600000564792E-7</v>
      </c>
    </row>
    <row r="58" spans="1:40" x14ac:dyDescent="0.25">
      <c r="A58" s="2598" t="str">
        <f>'Efficient Products Deemed Table'!C286</f>
        <v>251200_2019_12_</v>
      </c>
      <c r="B58" s="245" t="str">
        <f>'Efficient Products Deemed Table'!G286</f>
        <v>Cooling RES</v>
      </c>
      <c r="C58" s="245"/>
      <c r="D58" s="245"/>
      <c r="E58" s="245"/>
      <c r="F58" s="245" t="str">
        <f>'Efficient Products Deemed Table'!E286</f>
        <v>ENERGY STAR Room AC (kWh w/o ISR)</v>
      </c>
      <c r="G58" s="745" t="str">
        <f>'Efficient Products Deemed Table'!D286</f>
        <v>Efficient Products</v>
      </c>
      <c r="H58" s="2410">
        <f>'Efficient Products Deemed Table'!F286</f>
        <v>50.74</v>
      </c>
      <c r="I58" s="2410">
        <v>0</v>
      </c>
      <c r="J58" s="1374">
        <f t="shared" si="14"/>
        <v>50.74</v>
      </c>
      <c r="K58" s="2452">
        <v>0</v>
      </c>
      <c r="L58" s="2452">
        <v>0</v>
      </c>
      <c r="M58" s="2452">
        <v>0</v>
      </c>
      <c r="N58" s="2411">
        <f>'Efficient Products Deemed Table'!I286</f>
        <v>4.8071999999999997E-2</v>
      </c>
      <c r="O58" s="2411">
        <v>0</v>
      </c>
      <c r="P58" s="2412">
        <f t="shared" si="15"/>
        <v>4.8071999999999997E-2</v>
      </c>
      <c r="Q58" s="2412">
        <v>0</v>
      </c>
      <c r="R58" s="2412"/>
      <c r="S58" s="2412"/>
      <c r="T58" s="2413">
        <f>N58</f>
        <v>4.8071999999999997E-2</v>
      </c>
      <c r="U58" s="2413">
        <v>0</v>
      </c>
      <c r="V58" s="2413">
        <v>0</v>
      </c>
      <c r="W58" s="2460">
        <f>'Efficient Products Deemed Table'!J286</f>
        <v>9</v>
      </c>
      <c r="X58" s="2460"/>
      <c r="Y58" s="94">
        <f t="shared" si="1"/>
        <v>9</v>
      </c>
      <c r="Z58" s="2414">
        <f>'Efficient Products Deemed Table'!BB286</f>
        <v>2.4613591930520777</v>
      </c>
      <c r="AA58" s="2417">
        <f>'Efficient Products Deemed Table'!K286</f>
        <v>20</v>
      </c>
      <c r="AB58" s="2418">
        <f t="shared" si="5"/>
        <v>46.462655838642334</v>
      </c>
      <c r="AC58" s="2418"/>
      <c r="AD58" s="2441">
        <f>'Efficient Products Deemed Table'!BD286</f>
        <v>46.462655838642334</v>
      </c>
      <c r="AE58" s="2440"/>
      <c r="AF58" s="2440"/>
      <c r="AG58" s="2440"/>
      <c r="AL58" s="2380">
        <f t="shared" si="2"/>
        <v>9.4741810000000004E-4</v>
      </c>
      <c r="AM58">
        <f t="shared" si="13"/>
        <v>4.8071994394000006E-2</v>
      </c>
      <c r="AN58" s="2368">
        <f t="shared" si="4"/>
        <v>-5.6059999906099556E-9</v>
      </c>
    </row>
    <row r="59" spans="1:40" x14ac:dyDescent="0.25">
      <c r="A59" s="2598" t="str">
        <f>'Energy Effic. Kits Deemed Table'!C7</f>
        <v>300050_2019_12_</v>
      </c>
      <c r="B59" s="245" t="str">
        <f>'Energy Effic. Kits Deemed Table'!G7</f>
        <v>HVAC RES</v>
      </c>
      <c r="C59" s="245"/>
      <c r="D59" s="245"/>
      <c r="E59" s="245"/>
      <c r="F59" s="245" t="str">
        <f>'Energy Effic. Kits Deemed Table'!E7</f>
        <v>Dirty Filter Alarm_SF</v>
      </c>
      <c r="G59" s="745" t="str">
        <f>'Energy Effic. Kits Deemed Table'!D7</f>
        <v>School</v>
      </c>
      <c r="H59" s="2410">
        <f>'Energy Effic. Kits Deemed Table'!F7</f>
        <v>61.06</v>
      </c>
      <c r="I59" s="2410">
        <v>0</v>
      </c>
      <c r="J59" s="2453">
        <v>0</v>
      </c>
      <c r="K59" s="2453">
        <v>0</v>
      </c>
      <c r="L59" s="2452">
        <v>0</v>
      </c>
      <c r="M59" s="2452">
        <v>0</v>
      </c>
      <c r="N59" s="2411">
        <f>'Energy Effic. Kits Deemed Table'!K7</f>
        <v>2.8459000000000002E-2</v>
      </c>
      <c r="O59" s="2411">
        <v>0</v>
      </c>
      <c r="P59" s="2412">
        <v>0</v>
      </c>
      <c r="Q59" s="2412">
        <v>0</v>
      </c>
      <c r="R59" s="2412"/>
      <c r="S59" s="2412"/>
      <c r="T59" s="2413">
        <v>0</v>
      </c>
      <c r="U59" s="2413">
        <f>N59</f>
        <v>2.8459000000000002E-2</v>
      </c>
      <c r="V59" s="2413">
        <v>0</v>
      </c>
      <c r="W59" s="2460">
        <f>'Energy Effic. Kits Deemed Table'!L7</f>
        <v>14</v>
      </c>
      <c r="X59" s="2460"/>
      <c r="Y59" s="94">
        <f t="shared" si="1"/>
        <v>14</v>
      </c>
      <c r="Z59" s="2414">
        <f>'Energy Effic. Kits Deemed Table'!BB7</f>
        <v>11.488423725983893</v>
      </c>
      <c r="AA59" s="2417">
        <f>'Energy Effic. Kits Deemed Table'!M7</f>
        <v>5</v>
      </c>
      <c r="AB59" s="2416">
        <f t="shared" si="5"/>
        <v>54.216251656365699</v>
      </c>
      <c r="AC59" s="2416"/>
      <c r="AD59" s="2441">
        <f>'Energy Effic. Kits Deemed Table'!BD7</f>
        <v>54.216251656365699</v>
      </c>
      <c r="AE59" s="2440"/>
      <c r="AF59" s="2440"/>
      <c r="AG59" s="2440"/>
      <c r="AL59" s="2380">
        <f t="shared" si="2"/>
        <v>4.6608050000000002E-4</v>
      </c>
      <c r="AM59">
        <f t="shared" si="13"/>
        <v>2.8458875330000001E-2</v>
      </c>
      <c r="AN59" s="2368">
        <f t="shared" si="4"/>
        <v>-1.2467000000057626E-7</v>
      </c>
    </row>
    <row r="60" spans="1:40" x14ac:dyDescent="0.25">
      <c r="A60" s="2598" t="str">
        <f>'Energy Effic. Kits Deemed Table'!C8</f>
        <v>300100_2019_12_</v>
      </c>
      <c r="B60" s="245" t="str">
        <f>'Energy Effic. Kits Deemed Table'!G8</f>
        <v>HVAC RES</v>
      </c>
      <c r="C60" s="245"/>
      <c r="D60" s="245"/>
      <c r="E60" s="245"/>
      <c r="F60" s="245" t="str">
        <f>'Energy Effic. Kits Deemed Table'!E8</f>
        <v>Dirty Filter Alarm_MF</v>
      </c>
      <c r="G60" s="745" t="str">
        <f>'Energy Effic. Kits Deemed Table'!D8</f>
        <v>School</v>
      </c>
      <c r="H60" s="2410">
        <f>'Energy Effic. Kits Deemed Table'!F8</f>
        <v>177.38</v>
      </c>
      <c r="I60" s="2410">
        <v>0</v>
      </c>
      <c r="J60" s="2453">
        <v>0</v>
      </c>
      <c r="K60" s="2453">
        <v>0</v>
      </c>
      <c r="L60" s="2452">
        <v>0</v>
      </c>
      <c r="M60" s="2452">
        <v>0</v>
      </c>
      <c r="N60" s="2411">
        <f>'Energy Effic. Kits Deemed Table'!K8</f>
        <v>8.2672999999999996E-2</v>
      </c>
      <c r="O60" s="2411">
        <v>0</v>
      </c>
      <c r="P60" s="2412">
        <v>0</v>
      </c>
      <c r="Q60" s="2412">
        <v>0</v>
      </c>
      <c r="R60" s="2412"/>
      <c r="S60" s="2412"/>
      <c r="T60" s="2413">
        <v>0</v>
      </c>
      <c r="U60" s="2413">
        <f>N60</f>
        <v>8.2672999999999996E-2</v>
      </c>
      <c r="V60" s="2413">
        <v>0</v>
      </c>
      <c r="W60" s="2460">
        <f>'Energy Effic. Kits Deemed Table'!L8</f>
        <v>14</v>
      </c>
      <c r="X60" s="2460"/>
      <c r="Y60" s="94">
        <f t="shared" si="1"/>
        <v>14</v>
      </c>
      <c r="Z60" s="2414">
        <f>'Energy Effic. Kits Deemed Table'!BB8</f>
        <v>33.374002628808107</v>
      </c>
      <c r="AA60" s="2417">
        <f>'Energy Effic. Kits Deemed Table'!M8</f>
        <v>5</v>
      </c>
      <c r="AB60" s="2416">
        <f t="shared" si="5"/>
        <v>157.49883260409675</v>
      </c>
      <c r="AC60" s="2416"/>
      <c r="AD60" s="2441">
        <f>'Energy Effic. Kits Deemed Table'!BD8</f>
        <v>157.49883260409675</v>
      </c>
      <c r="AE60" s="2440"/>
      <c r="AF60" s="2440"/>
      <c r="AG60" s="2440"/>
      <c r="AL60" s="2380">
        <f t="shared" si="2"/>
        <v>4.6608050000000002E-4</v>
      </c>
      <c r="AM60">
        <f t="shared" si="13"/>
        <v>8.2673359089999995E-2</v>
      </c>
      <c r="AN60" s="2368">
        <f t="shared" si="4"/>
        <v>3.5908999999889613E-7</v>
      </c>
    </row>
    <row r="61" spans="1:40" x14ac:dyDescent="0.25">
      <c r="A61" s="2598" t="str">
        <f>'Energy Effic. Kits Deemed Table'!C9</f>
        <v>300101_2019_12_</v>
      </c>
      <c r="B61" s="245" t="str">
        <f>'Energy Effic. Kits Deemed Table'!G9</f>
        <v>HVAC RES</v>
      </c>
      <c r="C61" s="245"/>
      <c r="D61" s="245"/>
      <c r="E61" s="245"/>
      <c r="F61" s="245" t="str">
        <f>'Energy Effic. Kits Deemed Table'!E9</f>
        <v>Dirty Filter Alarm_MF_CompE</v>
      </c>
      <c r="G61" s="745" t="str">
        <f>'Energy Effic. Kits Deemed Table'!D9</f>
        <v>School</v>
      </c>
      <c r="H61" s="2410">
        <f>'Energy Effic. Kits Deemed Table'!F9</f>
        <v>85.65</v>
      </c>
      <c r="I61" s="2410">
        <v>0</v>
      </c>
      <c r="J61" s="2453">
        <v>0</v>
      </c>
      <c r="K61" s="2453">
        <v>0</v>
      </c>
      <c r="L61" s="2452">
        <v>0</v>
      </c>
      <c r="M61" s="2452">
        <v>0</v>
      </c>
      <c r="N61" s="2411">
        <f>'Energy Effic. Kits Deemed Table'!K9</f>
        <v>3.9919999999999997E-2</v>
      </c>
      <c r="O61" s="2411">
        <v>0</v>
      </c>
      <c r="P61" s="2412">
        <v>0</v>
      </c>
      <c r="Q61" s="2412">
        <v>0</v>
      </c>
      <c r="R61" s="2412"/>
      <c r="S61" s="2412"/>
      <c r="T61" s="2413">
        <v>0</v>
      </c>
      <c r="U61" s="2413">
        <f>N61</f>
        <v>3.9919999999999997E-2</v>
      </c>
      <c r="V61" s="2413">
        <v>0</v>
      </c>
      <c r="W61" s="2460">
        <f>'Energy Effic. Kits Deemed Table'!L9</f>
        <v>14</v>
      </c>
      <c r="X61" s="2460"/>
      <c r="Y61" s="94">
        <f t="shared" si="1"/>
        <v>14</v>
      </c>
      <c r="Z61" s="2414">
        <f>'Energy Effic. Kits Deemed Table'!BB9</f>
        <v>16.115026074852938</v>
      </c>
      <c r="AA61" s="2417">
        <f>'Energy Effic. Kits Deemed Table'!M9</f>
        <v>5</v>
      </c>
      <c r="AB61" s="2416">
        <f t="shared" si="5"/>
        <v>76.050146648668886</v>
      </c>
      <c r="AC61" s="2416"/>
      <c r="AD61" s="2441">
        <f>'Energy Effic. Kits Deemed Table'!BD9</f>
        <v>76.050146648668886</v>
      </c>
      <c r="AE61" s="2440"/>
      <c r="AF61" s="2440"/>
      <c r="AG61" s="2440"/>
      <c r="AL61" s="2380">
        <f t="shared" si="2"/>
        <v>4.6608050000000002E-4</v>
      </c>
      <c r="AM61">
        <f t="shared" si="13"/>
        <v>3.9919794825000007E-2</v>
      </c>
      <c r="AN61" s="2368">
        <f t="shared" si="4"/>
        <v>-2.0517499998984334E-7</v>
      </c>
    </row>
    <row r="62" spans="1:40" x14ac:dyDescent="0.25">
      <c r="A62" s="2598" t="str">
        <f>'Energy Effic. Kits Deemed Table'!C40</f>
        <v>300150_2019_12_</v>
      </c>
      <c r="B62" s="245" t="str">
        <f>'Energy Effic. Kits Deemed Table'!G40</f>
        <v>Lighting RES</v>
      </c>
      <c r="C62" s="245"/>
      <c r="D62" s="245"/>
      <c r="E62" s="245"/>
      <c r="F62" s="245" t="str">
        <f>'Energy Effic. Kits Deemed Table'!E40</f>
        <v>LED - 10W (CFL baseline)</v>
      </c>
      <c r="G62" s="745" t="str">
        <f>'Energy Effic. Kits Deemed Table'!D40</f>
        <v>School</v>
      </c>
      <c r="H62" s="2410">
        <f>'Energy Effic. Kits Deemed Table'!F40</f>
        <v>3.57</v>
      </c>
      <c r="I62" s="2410">
        <v>0</v>
      </c>
      <c r="J62" s="2452">
        <v>0</v>
      </c>
      <c r="K62" s="2452">
        <v>0</v>
      </c>
      <c r="L62" s="2452">
        <v>0</v>
      </c>
      <c r="M62" s="2452">
        <v>0</v>
      </c>
      <c r="N62" s="2411">
        <f>'Energy Effic. Kits Deemed Table'!I40</f>
        <v>5.3300000000000005E-4</v>
      </c>
      <c r="O62" s="2411">
        <v>0</v>
      </c>
      <c r="P62" s="2412">
        <v>0</v>
      </c>
      <c r="Q62" s="2412">
        <v>0</v>
      </c>
      <c r="R62" s="2412"/>
      <c r="S62" s="2412"/>
      <c r="T62" s="2413">
        <v>0</v>
      </c>
      <c r="U62" s="2413">
        <v>0</v>
      </c>
      <c r="V62" s="2422">
        <f t="shared" ref="V62:V67" si="16">N62</f>
        <v>5.3300000000000005E-4</v>
      </c>
      <c r="W62" s="2460">
        <f>'Energy Effic. Kits Deemed Table'!J40</f>
        <v>19</v>
      </c>
      <c r="X62" s="2460"/>
      <c r="Y62" s="94">
        <f t="shared" si="1"/>
        <v>19</v>
      </c>
      <c r="Z62" s="2414">
        <f>'Energy Effic. Kits Deemed Table'!BB40</f>
        <v>1.1362601139985353</v>
      </c>
      <c r="AA62" s="2417">
        <f>'Energy Effic. Kits Deemed Table'!K40</f>
        <v>1.95</v>
      </c>
      <c r="AB62" s="2416">
        <f t="shared" si="5"/>
        <v>2.0912762834328871</v>
      </c>
      <c r="AC62" s="2416"/>
      <c r="AD62" s="2441">
        <f>'Energy Effic. Kits Deemed Table'!BD40</f>
        <v>2.0912762834328871</v>
      </c>
      <c r="AE62" s="2440"/>
      <c r="AF62" s="2440"/>
      <c r="AG62" s="2440"/>
      <c r="AL62" s="2380">
        <f t="shared" si="2"/>
        <v>1.4925290000000001E-4</v>
      </c>
      <c r="AM62">
        <f t="shared" si="13"/>
        <v>5.3283285299999996E-4</v>
      </c>
      <c r="AN62" s="2368">
        <f t="shared" si="4"/>
        <v>-1.6714700000009051E-7</v>
      </c>
    </row>
    <row r="63" spans="1:40" x14ac:dyDescent="0.25">
      <c r="A63" s="2598" t="str">
        <f>'Energy Effic. Kits Deemed Table'!C41</f>
        <v>300200_2019_12_</v>
      </c>
      <c r="B63" s="245" t="str">
        <f>'Energy Effic. Kits Deemed Table'!G41</f>
        <v>Lighting RES</v>
      </c>
      <c r="C63" s="245"/>
      <c r="D63" s="245"/>
      <c r="E63" s="245"/>
      <c r="F63" s="245" t="str">
        <f>'Energy Effic. Kits Deemed Table'!E41</f>
        <v>LED - 10W (CFL baseline)</v>
      </c>
      <c r="G63" s="745" t="str">
        <f>'Energy Effic. Kits Deemed Table'!D41</f>
        <v>MF</v>
      </c>
      <c r="H63" s="2410">
        <f>'Energy Effic. Kits Deemed Table'!F41</f>
        <v>4.34</v>
      </c>
      <c r="I63" s="2410">
        <v>0</v>
      </c>
      <c r="J63" s="2452">
        <v>0</v>
      </c>
      <c r="K63" s="2452">
        <v>0</v>
      </c>
      <c r="L63" s="2452">
        <v>0</v>
      </c>
      <c r="M63" s="2452">
        <v>0</v>
      </c>
      <c r="N63" s="2411">
        <f>'Energy Effic. Kits Deemed Table'!I41</f>
        <v>6.4800000000000003E-4</v>
      </c>
      <c r="O63" s="2411">
        <v>0</v>
      </c>
      <c r="P63" s="2412">
        <v>0</v>
      </c>
      <c r="Q63" s="2412">
        <v>0</v>
      </c>
      <c r="R63" s="2412"/>
      <c r="S63" s="2412"/>
      <c r="T63" s="2413">
        <v>0</v>
      </c>
      <c r="U63" s="2413">
        <v>0</v>
      </c>
      <c r="V63" s="2422">
        <f t="shared" si="16"/>
        <v>6.4800000000000003E-4</v>
      </c>
      <c r="W63" s="2460">
        <f>'Energy Effic. Kits Deemed Table'!J41</f>
        <v>19</v>
      </c>
      <c r="X63" s="2460"/>
      <c r="Y63" s="94">
        <f t="shared" si="1"/>
        <v>19</v>
      </c>
      <c r="Z63" s="2414">
        <f>'Energy Effic. Kits Deemed Table'!BB41</f>
        <v>1.3813358248609648</v>
      </c>
      <c r="AA63" s="2417">
        <f>'Energy Effic. Kits Deemed Table'!K41</f>
        <v>1.95</v>
      </c>
      <c r="AB63" s="2416">
        <f t="shared" si="5"/>
        <v>2.5423358739772355</v>
      </c>
      <c r="AC63" s="2416"/>
      <c r="AD63" s="2441">
        <f>'Energy Effic. Kits Deemed Table'!BD41</f>
        <v>2.5423358739772355</v>
      </c>
      <c r="AE63" s="2440"/>
      <c r="AF63" s="2440"/>
      <c r="AG63" s="2440"/>
      <c r="AL63" s="2380">
        <f t="shared" si="2"/>
        <v>1.4925290000000001E-4</v>
      </c>
      <c r="AM63">
        <f t="shared" si="13"/>
        <v>6.4775758600000004E-4</v>
      </c>
      <c r="AN63" s="2368">
        <f t="shared" si="4"/>
        <v>-2.4241399999998768E-7</v>
      </c>
    </row>
    <row r="64" spans="1:40" x14ac:dyDescent="0.25">
      <c r="A64" s="2598" t="str">
        <f>'Energy Effic. Kits Deemed Table'!C42</f>
        <v>300250_2019_12_</v>
      </c>
      <c r="B64" s="245" t="str">
        <f>'Energy Effic. Kits Deemed Table'!G42</f>
        <v>Lighting RES</v>
      </c>
      <c r="C64" s="245"/>
      <c r="D64" s="245"/>
      <c r="E64" s="245"/>
      <c r="F64" s="245" t="str">
        <f>'Energy Effic. Kits Deemed Table'!E42</f>
        <v>LED - 10W (Halogen baseline)</v>
      </c>
      <c r="G64" s="745" t="str">
        <f>'Energy Effic. Kits Deemed Table'!D42</f>
        <v>School</v>
      </c>
      <c r="H64" s="2410">
        <f>'Energy Effic. Kits Deemed Table'!F42</f>
        <v>27.59</v>
      </c>
      <c r="I64" s="2410">
        <v>0</v>
      </c>
      <c r="J64" s="2452">
        <v>0</v>
      </c>
      <c r="K64" s="2452">
        <v>0</v>
      </c>
      <c r="L64" s="2452">
        <v>0</v>
      </c>
      <c r="M64" s="2452">
        <v>0</v>
      </c>
      <c r="N64" s="2411">
        <f>'Energy Effic. Kits Deemed Table'!I42</f>
        <v>4.1180000000000001E-3</v>
      </c>
      <c r="O64" s="2411">
        <v>0</v>
      </c>
      <c r="P64" s="2412">
        <v>0</v>
      </c>
      <c r="Q64" s="2412">
        <v>0</v>
      </c>
      <c r="R64" s="2412"/>
      <c r="S64" s="2412"/>
      <c r="T64" s="2413">
        <v>0</v>
      </c>
      <c r="U64" s="2413">
        <v>0</v>
      </c>
      <c r="V64" s="2422">
        <f t="shared" si="16"/>
        <v>4.1180000000000001E-3</v>
      </c>
      <c r="W64" s="2460">
        <f>'Energy Effic. Kits Deemed Table'!J42</f>
        <v>19</v>
      </c>
      <c r="X64" s="2460"/>
      <c r="Y64" s="94">
        <f t="shared" si="1"/>
        <v>19</v>
      </c>
      <c r="Z64" s="2414">
        <f>'Energy Effic. Kits Deemed Table'!BB42</f>
        <v>8.7813491723304189</v>
      </c>
      <c r="AA64" s="2417">
        <f>'Energy Effic. Kits Deemed Table'!K42</f>
        <v>1.95</v>
      </c>
      <c r="AB64" s="2416">
        <f t="shared" si="5"/>
        <v>16.161992341712427</v>
      </c>
      <c r="AC64" s="2416"/>
      <c r="AD64" s="2441">
        <f>'Energy Effic. Kits Deemed Table'!BD42</f>
        <v>16.161992341712427</v>
      </c>
      <c r="AE64" s="2440"/>
      <c r="AF64" s="2440"/>
      <c r="AG64" s="2440"/>
      <c r="AL64" s="2380">
        <f t="shared" si="2"/>
        <v>1.4925290000000001E-4</v>
      </c>
      <c r="AM64">
        <f t="shared" si="13"/>
        <v>4.1178875109999999E-3</v>
      </c>
      <c r="AN64" s="2368">
        <f t="shared" si="4"/>
        <v>-1.124890000002432E-7</v>
      </c>
    </row>
    <row r="65" spans="1:40" x14ac:dyDescent="0.25">
      <c r="A65" s="2598" t="str">
        <f>'Energy Effic. Kits Deemed Table'!C43</f>
        <v>300300_2019_12_</v>
      </c>
      <c r="B65" s="245" t="str">
        <f>'Energy Effic. Kits Deemed Table'!G43</f>
        <v>Lighting RES</v>
      </c>
      <c r="C65" s="245"/>
      <c r="D65" s="245"/>
      <c r="E65" s="245"/>
      <c r="F65" s="245" t="str">
        <f>'Energy Effic. Kits Deemed Table'!E43</f>
        <v>LED - 10W (Halogen baseline)</v>
      </c>
      <c r="G65" s="745" t="str">
        <f>'Energy Effic. Kits Deemed Table'!D43</f>
        <v>MF</v>
      </c>
      <c r="H65" s="2410">
        <f>'Energy Effic. Kits Deemed Table'!F43</f>
        <v>33.54</v>
      </c>
      <c r="I65" s="2410">
        <v>0</v>
      </c>
      <c r="J65" s="2452">
        <v>0</v>
      </c>
      <c r="K65" s="2452">
        <v>0</v>
      </c>
      <c r="L65" s="2452">
        <v>0</v>
      </c>
      <c r="M65" s="2452">
        <v>0</v>
      </c>
      <c r="N65" s="2411">
        <f>'Energy Effic. Kits Deemed Table'!I43</f>
        <v>5.006E-3</v>
      </c>
      <c r="O65" s="2411">
        <v>0</v>
      </c>
      <c r="P65" s="2412">
        <v>0</v>
      </c>
      <c r="Q65" s="2412">
        <v>0</v>
      </c>
      <c r="R65" s="2412"/>
      <c r="S65" s="2412"/>
      <c r="T65" s="2413">
        <v>0</v>
      </c>
      <c r="U65" s="2413">
        <v>0</v>
      </c>
      <c r="V65" s="2422">
        <f t="shared" si="16"/>
        <v>5.006E-3</v>
      </c>
      <c r="W65" s="2460">
        <f>'Energy Effic. Kits Deemed Table'!J43</f>
        <v>19</v>
      </c>
      <c r="X65" s="2460"/>
      <c r="Y65" s="94">
        <f t="shared" si="1"/>
        <v>19</v>
      </c>
      <c r="Z65" s="2414">
        <f>'Energy Effic. Kits Deemed Table'!BB43</f>
        <v>10.675116028994644</v>
      </c>
      <c r="AA65" s="2417">
        <f>'Energy Effic. Kits Deemed Table'!K43</f>
        <v>1.95</v>
      </c>
      <c r="AB65" s="2416">
        <f t="shared" si="5"/>
        <v>19.647452814100571</v>
      </c>
      <c r="AC65" s="2416"/>
      <c r="AD65" s="2441">
        <f>'Energy Effic. Kits Deemed Table'!BD43</f>
        <v>19.647452814100571</v>
      </c>
      <c r="AE65" s="2440"/>
      <c r="AF65" s="2440"/>
      <c r="AG65" s="2440"/>
      <c r="AL65" s="2380">
        <f t="shared" si="2"/>
        <v>1.4925290000000001E-4</v>
      </c>
      <c r="AM65">
        <f t="shared" si="13"/>
        <v>5.005942266E-3</v>
      </c>
      <c r="AN65" s="2368">
        <f t="shared" si="4"/>
        <v>-5.7734000000024543E-8</v>
      </c>
    </row>
    <row r="66" spans="1:40" x14ac:dyDescent="0.25">
      <c r="A66" s="2598" t="str">
        <f>'Energy Effic. Kits Deemed Table'!C44</f>
        <v>300350_2019_12_</v>
      </c>
      <c r="B66" s="245" t="str">
        <f>'Energy Effic. Kits Deemed Table'!G44</f>
        <v>Lighting RES</v>
      </c>
      <c r="C66" s="245"/>
      <c r="D66" s="245"/>
      <c r="E66" s="245"/>
      <c r="F66" s="245" t="str">
        <f>'Energy Effic. Kits Deemed Table'!E44</f>
        <v>LED - 10.5W Downlight E26 (CFL baseline)</v>
      </c>
      <c r="G66" s="745" t="str">
        <f>'Energy Effic. Kits Deemed Table'!D44</f>
        <v>School</v>
      </c>
      <c r="H66" s="2410">
        <f>'Energy Effic. Kits Deemed Table'!F44</f>
        <v>27.59</v>
      </c>
      <c r="I66" s="2410">
        <v>0</v>
      </c>
      <c r="J66" s="2452">
        <v>0</v>
      </c>
      <c r="K66" s="2452">
        <v>0</v>
      </c>
      <c r="L66" s="2452">
        <v>0</v>
      </c>
      <c r="M66" s="2452">
        <v>0</v>
      </c>
      <c r="N66" s="2411">
        <f>'Energy Effic. Kits Deemed Table'!I44</f>
        <v>4.1180000000000001E-3</v>
      </c>
      <c r="O66" s="2411">
        <v>0</v>
      </c>
      <c r="P66" s="2412">
        <v>0</v>
      </c>
      <c r="Q66" s="2412">
        <v>0</v>
      </c>
      <c r="R66" s="2412"/>
      <c r="S66" s="2412"/>
      <c r="T66" s="2413">
        <v>0</v>
      </c>
      <c r="U66" s="2413">
        <v>0</v>
      </c>
      <c r="V66" s="2422">
        <f t="shared" si="16"/>
        <v>4.1180000000000001E-3</v>
      </c>
      <c r="W66" s="2460">
        <f>'Energy Effic. Kits Deemed Table'!J44</f>
        <v>19</v>
      </c>
      <c r="X66" s="2460"/>
      <c r="Y66" s="94">
        <f t="shared" si="1"/>
        <v>19</v>
      </c>
      <c r="Z66" s="2414">
        <f>'Energy Effic. Kits Deemed Table'!BB44</f>
        <v>8.7813491723304189</v>
      </c>
      <c r="AA66" s="2417">
        <f>'Energy Effic. Kits Deemed Table'!K44</f>
        <v>1.95</v>
      </c>
      <c r="AB66" s="2416">
        <f t="shared" si="5"/>
        <v>16.161992341712427</v>
      </c>
      <c r="AC66" s="2416"/>
      <c r="AD66" s="2441">
        <f>'Energy Effic. Kits Deemed Table'!BD44</f>
        <v>16.161992341712427</v>
      </c>
      <c r="AE66" s="2440"/>
      <c r="AF66" s="2440"/>
      <c r="AG66" s="2440"/>
      <c r="AL66" s="2380">
        <f t="shared" si="2"/>
        <v>1.4925290000000001E-4</v>
      </c>
      <c r="AM66">
        <f t="shared" si="13"/>
        <v>4.1178875109999999E-3</v>
      </c>
      <c r="AN66" s="2368">
        <f t="shared" si="4"/>
        <v>-1.124890000002432E-7</v>
      </c>
    </row>
    <row r="67" spans="1:40" x14ac:dyDescent="0.25">
      <c r="A67" s="2598" t="str">
        <f>'Energy Effic. Kits Deemed Table'!C45</f>
        <v>300400_2019_12_</v>
      </c>
      <c r="B67" s="245" t="str">
        <f>'Energy Effic. Kits Deemed Table'!G45</f>
        <v>Lighting RES</v>
      </c>
      <c r="C67" s="245"/>
      <c r="D67" s="245"/>
      <c r="E67" s="245"/>
      <c r="F67" s="245" t="str">
        <f>'Energy Effic. Kits Deemed Table'!E45</f>
        <v>LED - 10.5W Downlight E26 (CFL baseline)</v>
      </c>
      <c r="G67" s="745" t="str">
        <f>'Energy Effic. Kits Deemed Table'!D45</f>
        <v>MF</v>
      </c>
      <c r="H67" s="2410">
        <f>'Energy Effic. Kits Deemed Table'!F45</f>
        <v>33.54</v>
      </c>
      <c r="I67" s="2410">
        <v>0</v>
      </c>
      <c r="J67" s="2452">
        <v>0</v>
      </c>
      <c r="K67" s="2452">
        <v>0</v>
      </c>
      <c r="L67" s="2452">
        <v>0</v>
      </c>
      <c r="M67" s="2452">
        <v>0</v>
      </c>
      <c r="N67" s="2411">
        <f>'Energy Effic. Kits Deemed Table'!I45</f>
        <v>5.006E-3</v>
      </c>
      <c r="O67" s="2411">
        <v>0</v>
      </c>
      <c r="P67" s="2412">
        <v>0</v>
      </c>
      <c r="Q67" s="2412">
        <v>0</v>
      </c>
      <c r="R67" s="2412"/>
      <c r="S67" s="2412"/>
      <c r="T67" s="2413">
        <v>0</v>
      </c>
      <c r="U67" s="2413">
        <v>0</v>
      </c>
      <c r="V67" s="2422">
        <f t="shared" si="16"/>
        <v>5.006E-3</v>
      </c>
      <c r="W67" s="2460">
        <f>'Energy Effic. Kits Deemed Table'!J45</f>
        <v>19</v>
      </c>
      <c r="X67" s="2460"/>
      <c r="Y67" s="94">
        <f t="shared" si="1"/>
        <v>19</v>
      </c>
      <c r="Z67" s="2414">
        <f>'Energy Effic. Kits Deemed Table'!BB45</f>
        <v>10.675116028994644</v>
      </c>
      <c r="AA67" s="2417">
        <f>'Energy Effic. Kits Deemed Table'!K45</f>
        <v>1.95</v>
      </c>
      <c r="AB67" s="2416">
        <f t="shared" si="5"/>
        <v>19.647452814100571</v>
      </c>
      <c r="AC67" s="2416"/>
      <c r="AD67" s="2441">
        <f>'Energy Effic. Kits Deemed Table'!BD45</f>
        <v>19.647452814100571</v>
      </c>
      <c r="AE67" s="2440"/>
      <c r="AF67" s="2440"/>
      <c r="AG67" s="2440"/>
      <c r="AL67" s="2380">
        <f t="shared" si="2"/>
        <v>1.4925290000000001E-4</v>
      </c>
      <c r="AM67">
        <f t="shared" si="13"/>
        <v>5.005942266E-3</v>
      </c>
      <c r="AN67" s="2368">
        <f t="shared" si="4"/>
        <v>-5.7734000000024543E-8</v>
      </c>
    </row>
    <row r="68" spans="1:40" x14ac:dyDescent="0.25">
      <c r="A68" s="2598" t="str">
        <f>'Energy Effic. Kits Deemed Table'!C78</f>
        <v>300450_2019_12_</v>
      </c>
      <c r="B68" s="245" t="str">
        <f>'Energy Effic. Kits Deemed Table'!G78</f>
        <v>Water Heating RES</v>
      </c>
      <c r="C68" s="245"/>
      <c r="D68" s="245"/>
      <c r="E68" s="245"/>
      <c r="F68" s="245" t="str">
        <f>'Energy Effic. Kits Deemed Table'!E78</f>
        <v>Kit Faucet Aerator (Kitchen)</v>
      </c>
      <c r="G68" s="745" t="str">
        <f>'Energy Effic. Kits Deemed Table'!D78</f>
        <v>School</v>
      </c>
      <c r="H68" s="2410">
        <f>'Energy Effic. Kits Deemed Table'!F78</f>
        <v>52.47</v>
      </c>
      <c r="I68" s="2410">
        <v>0</v>
      </c>
      <c r="J68" s="2452">
        <v>0</v>
      </c>
      <c r="K68" s="2452">
        <v>0</v>
      </c>
      <c r="L68" s="2452">
        <v>0</v>
      </c>
      <c r="M68" s="2452">
        <v>0</v>
      </c>
      <c r="N68" s="2411">
        <f>'Energy Effic. Kits Deemed Table'!J78</f>
        <v>4.6560000000000004E-3</v>
      </c>
      <c r="O68" s="2411">
        <v>0</v>
      </c>
      <c r="P68" s="2412">
        <v>0</v>
      </c>
      <c r="Q68" s="2412">
        <v>0</v>
      </c>
      <c r="R68" s="2412"/>
      <c r="S68" s="2412"/>
      <c r="T68" s="2413">
        <v>0</v>
      </c>
      <c r="U68" s="2413">
        <f>N68</f>
        <v>4.6560000000000004E-3</v>
      </c>
      <c r="V68" s="2413">
        <v>0</v>
      </c>
      <c r="W68" s="2460">
        <f>'Energy Effic. Kits Deemed Table'!K78</f>
        <v>10</v>
      </c>
      <c r="X68" s="2460"/>
      <c r="Y68" s="94">
        <f t="shared" si="1"/>
        <v>10</v>
      </c>
      <c r="Z68" s="2414">
        <f>'Energy Effic. Kits Deemed Table'!BB78</f>
        <v>6.2500458119540374</v>
      </c>
      <c r="AA68" s="2417">
        <f>'Energy Effic. Kits Deemed Table'!L78</f>
        <v>3</v>
      </c>
      <c r="AB68" s="2416">
        <f t="shared" si="5"/>
        <v>17.697156617142152</v>
      </c>
      <c r="AC68" s="2416"/>
      <c r="AD68" s="2441">
        <f>'Energy Effic. Kits Deemed Table'!BD78</f>
        <v>17.697156617142152</v>
      </c>
      <c r="AE68" s="2440"/>
      <c r="AF68" s="2440"/>
      <c r="AG68" s="2440"/>
      <c r="AL68" s="2380">
        <f t="shared" si="2"/>
        <v>8.8731800000000003E-5</v>
      </c>
      <c r="AM68">
        <f t="shared" si="13"/>
        <v>4.6557575460000004E-3</v>
      </c>
      <c r="AN68" s="2368">
        <f t="shared" si="4"/>
        <v>-2.4245400000004469E-7</v>
      </c>
    </row>
    <row r="69" spans="1:40" x14ac:dyDescent="0.25">
      <c r="A69" s="2598" t="str">
        <f>'Energy Effic. Kits Deemed Table'!C79</f>
        <v>300500_2019_12_</v>
      </c>
      <c r="B69" s="245" t="str">
        <f>'Energy Effic. Kits Deemed Table'!G79</f>
        <v>Water Heating RES</v>
      </c>
      <c r="C69" s="245"/>
      <c r="D69" s="245"/>
      <c r="E69" s="245"/>
      <c r="F69" s="245" t="str">
        <f>'Energy Effic. Kits Deemed Table'!E79</f>
        <v>Kit Faucet Aerator (Kitchen)</v>
      </c>
      <c r="G69" s="745" t="str">
        <f>'Energy Effic. Kits Deemed Table'!D79</f>
        <v>MF</v>
      </c>
      <c r="H69" s="2410">
        <f>'Energy Effic. Kits Deemed Table'!F79</f>
        <v>99.45</v>
      </c>
      <c r="I69" s="2410">
        <v>0</v>
      </c>
      <c r="J69" s="2452">
        <v>0</v>
      </c>
      <c r="K69" s="2452">
        <v>0</v>
      </c>
      <c r="L69" s="2452">
        <v>0</v>
      </c>
      <c r="M69" s="2452">
        <v>0</v>
      </c>
      <c r="N69" s="2411">
        <f>'Energy Effic. Kits Deemed Table'!J79</f>
        <v>8.8240000000000002E-3</v>
      </c>
      <c r="O69" s="2411">
        <v>0</v>
      </c>
      <c r="P69" s="2412">
        <v>0</v>
      </c>
      <c r="Q69" s="2412">
        <v>0</v>
      </c>
      <c r="R69" s="2412"/>
      <c r="S69" s="2412"/>
      <c r="T69" s="2413">
        <v>0</v>
      </c>
      <c r="U69" s="2413">
        <f t="shared" ref="U69:U81" si="17">N69</f>
        <v>8.8240000000000002E-3</v>
      </c>
      <c r="V69" s="2413">
        <v>0</v>
      </c>
      <c r="W69" s="2460">
        <f>'Energy Effic. Kits Deemed Table'!K79</f>
        <v>10</v>
      </c>
      <c r="X69" s="2460"/>
      <c r="Y69" s="94">
        <f t="shared" si="1"/>
        <v>10</v>
      </c>
      <c r="Z69" s="2414">
        <f>'Energy Effic. Kits Deemed Table'!BB79</f>
        <v>11.846141719055252</v>
      </c>
      <c r="AA69" s="2417">
        <f>'Energy Effic. Kits Deemed Table'!L79</f>
        <v>3</v>
      </c>
      <c r="AB69" s="2416">
        <f t="shared" si="5"/>
        <v>33.542638185149364</v>
      </c>
      <c r="AC69" s="2416"/>
      <c r="AD69" s="2441">
        <f>'Energy Effic. Kits Deemed Table'!BD79</f>
        <v>33.542638185149364</v>
      </c>
      <c r="AE69" s="2440"/>
      <c r="AF69" s="2440"/>
      <c r="AG69" s="2440"/>
      <c r="AL69" s="2380">
        <f t="shared" si="2"/>
        <v>8.8731800000000003E-5</v>
      </c>
      <c r="AM69">
        <f t="shared" si="13"/>
        <v>8.8243775100000001E-3</v>
      </c>
      <c r="AN69" s="2368">
        <f t="shared" si="4"/>
        <v>3.7750999999988655E-7</v>
      </c>
    </row>
    <row r="70" spans="1:40" x14ac:dyDescent="0.25">
      <c r="A70" s="2598" t="str">
        <f>'Energy Effic. Kits Deemed Table'!C113</f>
        <v>300550_2019_12_</v>
      </c>
      <c r="B70" s="245" t="str">
        <f>'Energy Effic. Kits Deemed Table'!G113</f>
        <v>Water Heating RES</v>
      </c>
      <c r="C70" s="245"/>
      <c r="D70" s="245"/>
      <c r="E70" s="245"/>
      <c r="F70" s="245" t="str">
        <f>'Energy Effic. Kits Deemed Table'!E113</f>
        <v>Kit Faucet Aerator (Bathroom)</v>
      </c>
      <c r="G70" s="745" t="str">
        <f>'Energy Effic. Kits Deemed Table'!D113</f>
        <v>School</v>
      </c>
      <c r="H70" s="2410">
        <f>'Energy Effic. Kits Deemed Table'!F113</f>
        <v>10.220000000000001</v>
      </c>
      <c r="I70" s="2410">
        <v>0</v>
      </c>
      <c r="J70" s="2452">
        <v>0</v>
      </c>
      <c r="K70" s="2452">
        <v>0</v>
      </c>
      <c r="L70" s="2452">
        <v>0</v>
      </c>
      <c r="M70" s="2452">
        <v>0</v>
      </c>
      <c r="N70" s="2411">
        <f>'Energy Effic. Kits Deemed Table'!J113</f>
        <v>9.0700000000000004E-4</v>
      </c>
      <c r="O70" s="2411">
        <v>0</v>
      </c>
      <c r="P70" s="2412">
        <v>0</v>
      </c>
      <c r="Q70" s="2412">
        <v>0</v>
      </c>
      <c r="R70" s="2412"/>
      <c r="S70" s="2412"/>
      <c r="T70" s="2413">
        <v>0</v>
      </c>
      <c r="U70" s="2413">
        <f t="shared" si="17"/>
        <v>9.0700000000000004E-4</v>
      </c>
      <c r="V70" s="2413">
        <v>0</v>
      </c>
      <c r="W70" s="2460">
        <f>'Energy Effic. Kits Deemed Table'!K113</f>
        <v>10</v>
      </c>
      <c r="X70" s="2460"/>
      <c r="Y70" s="94">
        <f t="shared" si="1"/>
        <v>10</v>
      </c>
      <c r="Z70" s="2414">
        <f>'Energy Effic. Kits Deemed Table'!BB113</f>
        <v>1.2173712254272968</v>
      </c>
      <c r="AA70" s="2417">
        <f>'Energy Effic. Kits Deemed Table'!L113</f>
        <v>3</v>
      </c>
      <c r="AB70" s="2416">
        <f t="shared" si="5"/>
        <v>3.4470162116865413</v>
      </c>
      <c r="AC70" s="2416"/>
      <c r="AD70" s="2441">
        <f>'Energy Effic. Kits Deemed Table'!BD113</f>
        <v>3.4470162116865413</v>
      </c>
      <c r="AE70" s="2440"/>
      <c r="AF70" s="2440"/>
      <c r="AG70" s="2440"/>
      <c r="AL70" s="2380">
        <f t="shared" si="2"/>
        <v>8.8731800000000003E-5</v>
      </c>
      <c r="AM70">
        <f t="shared" si="13"/>
        <v>9.0683899600000012E-4</v>
      </c>
      <c r="AN70" s="2368">
        <f t="shared" si="4"/>
        <v>-1.6100399999991691E-7</v>
      </c>
    </row>
    <row r="71" spans="1:40" x14ac:dyDescent="0.25">
      <c r="A71" s="2598" t="str">
        <f>'Energy Effic. Kits Deemed Table'!C114</f>
        <v>300600_2019_12_</v>
      </c>
      <c r="B71" s="245" t="str">
        <f>'Energy Effic. Kits Deemed Table'!G114</f>
        <v>Water Heating RES</v>
      </c>
      <c r="C71" s="245"/>
      <c r="D71" s="245"/>
      <c r="E71" s="245"/>
      <c r="F71" s="245" t="str">
        <f>'Energy Effic. Kits Deemed Table'!E114</f>
        <v>Kit Faucet Aerator (Bathroom)</v>
      </c>
      <c r="G71" s="745" t="str">
        <f>'Energy Effic. Kits Deemed Table'!D114</f>
        <v>MF</v>
      </c>
      <c r="H71" s="2410">
        <f>'Energy Effic. Kits Deemed Table'!F114</f>
        <v>30.07</v>
      </c>
      <c r="I71" s="2410">
        <v>0</v>
      </c>
      <c r="J71" s="2452">
        <v>0</v>
      </c>
      <c r="K71" s="2452">
        <v>0</v>
      </c>
      <c r="L71" s="2452">
        <v>0</v>
      </c>
      <c r="M71" s="2452">
        <v>0</v>
      </c>
      <c r="N71" s="2411">
        <f>'Energy Effic. Kits Deemed Table'!J114</f>
        <v>2.6679999999999998E-3</v>
      </c>
      <c r="O71" s="2411">
        <v>0</v>
      </c>
      <c r="P71" s="2412">
        <v>0</v>
      </c>
      <c r="Q71" s="2412">
        <v>0</v>
      </c>
      <c r="R71" s="2412"/>
      <c r="S71" s="2412"/>
      <c r="T71" s="2413">
        <v>0</v>
      </c>
      <c r="U71" s="2413">
        <f t="shared" si="17"/>
        <v>2.6679999999999998E-3</v>
      </c>
      <c r="V71" s="2413">
        <v>0</v>
      </c>
      <c r="W71" s="2460">
        <f>'Energy Effic. Kits Deemed Table'!K114</f>
        <v>10</v>
      </c>
      <c r="X71" s="2460"/>
      <c r="Y71" s="94">
        <f t="shared" si="1"/>
        <v>10</v>
      </c>
      <c r="Z71" s="2414">
        <f>'Energy Effic. Kits Deemed Table'!BB114</f>
        <v>3.5818349069079076</v>
      </c>
      <c r="AA71" s="2417">
        <f>'Energy Effic. Kits Deemed Table'!L114</f>
        <v>3</v>
      </c>
      <c r="AB71" s="2416">
        <f t="shared" si="5"/>
        <v>10.142052591527817</v>
      </c>
      <c r="AC71" s="2416"/>
      <c r="AD71" s="2441">
        <f>'Energy Effic. Kits Deemed Table'!BD114</f>
        <v>10.142052591527817</v>
      </c>
      <c r="AE71" s="2440"/>
      <c r="AF71" s="2440"/>
      <c r="AG71" s="2440"/>
      <c r="AL71" s="2380">
        <f t="shared" si="2"/>
        <v>8.8731800000000003E-5</v>
      </c>
      <c r="AM71">
        <f t="shared" si="13"/>
        <v>2.6681652260000001E-3</v>
      </c>
      <c r="AN71" s="2368">
        <f t="shared" si="4"/>
        <v>1.6522600000028545E-7</v>
      </c>
    </row>
    <row r="72" spans="1:40" x14ac:dyDescent="0.25">
      <c r="A72" s="2598" t="str">
        <f>'Energy Effic. Kits Deemed Table'!C148</f>
        <v>300650_2019_12_</v>
      </c>
      <c r="B72" s="245" t="str">
        <f>'Energy Effic. Kits Deemed Table'!G148</f>
        <v>Water Heating RES</v>
      </c>
      <c r="C72" s="245"/>
      <c r="D72" s="245"/>
      <c r="E72" s="245"/>
      <c r="F72" s="245" t="str">
        <f>'Energy Effic. Kits Deemed Table'!E148</f>
        <v>Low Flow Showerheads</v>
      </c>
      <c r="G72" s="745" t="str">
        <f>'Energy Effic. Kits Deemed Table'!D148</f>
        <v>School</v>
      </c>
      <c r="H72" s="2410">
        <f>'Energy Effic. Kits Deemed Table'!F148</f>
        <v>85.23</v>
      </c>
      <c r="I72" s="2410">
        <v>0</v>
      </c>
      <c r="J72" s="2452">
        <v>0</v>
      </c>
      <c r="K72" s="2452">
        <v>0</v>
      </c>
      <c r="L72" s="2452">
        <v>0</v>
      </c>
      <c r="M72" s="2452">
        <v>0</v>
      </c>
      <c r="N72" s="2411">
        <f>'Energy Effic. Kits Deemed Table'!J148</f>
        <v>7.5630000000000003E-3</v>
      </c>
      <c r="O72" s="2411">
        <v>0</v>
      </c>
      <c r="P72" s="2412">
        <v>0</v>
      </c>
      <c r="Q72" s="2412">
        <v>0</v>
      </c>
      <c r="R72" s="2412"/>
      <c r="S72" s="2412"/>
      <c r="T72" s="2413">
        <v>0</v>
      </c>
      <c r="U72" s="2413">
        <f t="shared" si="17"/>
        <v>7.5630000000000003E-3</v>
      </c>
      <c r="V72" s="2413">
        <v>0</v>
      </c>
      <c r="W72" s="2460">
        <f>'Energy Effic. Kits Deemed Table'!K148</f>
        <v>10</v>
      </c>
      <c r="X72" s="2460"/>
      <c r="Y72" s="94">
        <f t="shared" si="1"/>
        <v>10</v>
      </c>
      <c r="Z72" s="2414">
        <f>'Energy Effic. Kits Deemed Table'!BB148</f>
        <v>4.3509875402502871</v>
      </c>
      <c r="AA72" s="2417">
        <f>'Energy Effic. Kits Deemed Table'!L148</f>
        <v>7</v>
      </c>
      <c r="AB72" s="2416">
        <f t="shared" si="5"/>
        <v>28.746496254603123</v>
      </c>
      <c r="AC72" s="2416"/>
      <c r="AD72" s="2441">
        <f>'Energy Effic. Kits Deemed Table'!BD148</f>
        <v>28.746496254603123</v>
      </c>
      <c r="AE72" s="2440"/>
      <c r="AF72" s="2440"/>
      <c r="AG72" s="2440"/>
      <c r="AL72" s="2380">
        <f t="shared" si="2"/>
        <v>8.8731800000000003E-5</v>
      </c>
      <c r="AM72">
        <f t="shared" si="13"/>
        <v>7.5626113140000008E-3</v>
      </c>
      <c r="AN72" s="2368">
        <f t="shared" si="4"/>
        <v>-3.886859999994649E-7</v>
      </c>
    </row>
    <row r="73" spans="1:40" x14ac:dyDescent="0.25">
      <c r="A73" s="2598" t="str">
        <f>'Energy Effic. Kits Deemed Table'!C149</f>
        <v>300700_2019_12_</v>
      </c>
      <c r="B73" s="245" t="str">
        <f>'Energy Effic. Kits Deemed Table'!G149</f>
        <v>Water Heating RES</v>
      </c>
      <c r="C73" s="245"/>
      <c r="D73" s="245"/>
      <c r="E73" s="245"/>
      <c r="F73" s="245" t="str">
        <f>'Energy Effic. Kits Deemed Table'!E149</f>
        <v>Low Flow Showerheads</v>
      </c>
      <c r="G73" s="745" t="str">
        <f>'Energy Effic. Kits Deemed Table'!D149</f>
        <v>MF</v>
      </c>
      <c r="H73" s="2410">
        <f>'Energy Effic. Kits Deemed Table'!F149</f>
        <v>209.97</v>
      </c>
      <c r="I73" s="2410">
        <v>0</v>
      </c>
      <c r="J73" s="2452">
        <v>0</v>
      </c>
      <c r="K73" s="2452">
        <v>0</v>
      </c>
      <c r="L73" s="2452">
        <v>0</v>
      </c>
      <c r="M73" s="2452">
        <v>0</v>
      </c>
      <c r="N73" s="2411">
        <f>'Energy Effic. Kits Deemed Table'!J149</f>
        <v>1.8631000000000002E-2</v>
      </c>
      <c r="O73" s="2411">
        <v>0</v>
      </c>
      <c r="P73" s="2412">
        <v>0</v>
      </c>
      <c r="Q73" s="2412">
        <v>0</v>
      </c>
      <c r="R73" s="2412"/>
      <c r="S73" s="2412"/>
      <c r="T73" s="2413">
        <v>0</v>
      </c>
      <c r="U73" s="2413">
        <f t="shared" si="17"/>
        <v>1.8631000000000002E-2</v>
      </c>
      <c r="V73" s="2413">
        <v>0</v>
      </c>
      <c r="W73" s="2460">
        <f>'Energy Effic. Kits Deemed Table'!K149</f>
        <v>10</v>
      </c>
      <c r="X73" s="2460"/>
      <c r="Y73" s="94">
        <f t="shared" ref="Y73:Y83" si="18">X73+W73</f>
        <v>10</v>
      </c>
      <c r="Z73" s="2414">
        <f>'Energy Effic. Kits Deemed Table'!BB149</f>
        <v>10.718958744882702</v>
      </c>
      <c r="AA73" s="2417">
        <f>'Energy Effic. Kits Deemed Table'!L149</f>
        <v>7</v>
      </c>
      <c r="AB73" s="2416">
        <f t="shared" si="5"/>
        <v>70.818981797242955</v>
      </c>
      <c r="AC73" s="2416"/>
      <c r="AD73" s="2441">
        <f>'Energy Effic. Kits Deemed Table'!BD149</f>
        <v>70.818981797242955</v>
      </c>
      <c r="AE73" s="2440"/>
      <c r="AF73" s="2440"/>
      <c r="AG73" s="2440"/>
      <c r="AL73" s="2380">
        <f t="shared" ref="AL73:AL160" si="19">VLOOKUP(B73,$AR$10:$AS$30,2,FALSE)</f>
        <v>8.8731800000000003E-5</v>
      </c>
      <c r="AM73">
        <f t="shared" si="13"/>
        <v>1.8631016045999999E-2</v>
      </c>
      <c r="AN73" s="2368">
        <f t="shared" ref="AN73:AN160" si="20">AM73-N73</f>
        <v>1.6045999997466032E-8</v>
      </c>
    </row>
    <row r="74" spans="1:40" x14ac:dyDescent="0.25">
      <c r="A74" s="2598" t="str">
        <f>'Energy Effic. Kits Deemed Table'!C183</f>
        <v>300750_2019_12_</v>
      </c>
      <c r="B74" s="245" t="str">
        <f>'Energy Effic. Kits Deemed Table'!G183</f>
        <v>Water Heating RES</v>
      </c>
      <c r="C74" s="245"/>
      <c r="D74" s="245"/>
      <c r="E74" s="245"/>
      <c r="F74" s="245" t="str">
        <f>'Energy Effic. Kits Deemed Table'!E183</f>
        <v>Pipe Insulation</v>
      </c>
      <c r="G74" s="745" t="str">
        <f>'Energy Effic. Kits Deemed Table'!D183</f>
        <v>School</v>
      </c>
      <c r="H74" s="2410">
        <f>'Energy Effic. Kits Deemed Table'!F183</f>
        <v>4.09</v>
      </c>
      <c r="I74" s="2410">
        <v>0</v>
      </c>
      <c r="J74" s="2452">
        <v>0</v>
      </c>
      <c r="K74" s="2452">
        <v>0</v>
      </c>
      <c r="L74" s="2452">
        <v>0</v>
      </c>
      <c r="M74" s="2452">
        <v>0</v>
      </c>
      <c r="N74" s="2411">
        <f>'Energy Effic. Kits Deemed Table'!I183</f>
        <v>3.6299999999999999E-4</v>
      </c>
      <c r="O74" s="2411">
        <v>0</v>
      </c>
      <c r="P74" s="2412">
        <v>0</v>
      </c>
      <c r="Q74" s="2412">
        <v>0</v>
      </c>
      <c r="R74" s="2412"/>
      <c r="S74" s="2412"/>
      <c r="T74" s="2413">
        <v>0</v>
      </c>
      <c r="U74" s="2413">
        <f t="shared" si="17"/>
        <v>3.6299999999999999E-4</v>
      </c>
      <c r="V74" s="2413">
        <v>0</v>
      </c>
      <c r="W74" s="2460">
        <f>'Energy Effic. Kits Deemed Table'!J183</f>
        <v>12</v>
      </c>
      <c r="X74" s="2460"/>
      <c r="Y74" s="94">
        <f t="shared" si="18"/>
        <v>12</v>
      </c>
      <c r="Z74" s="2414">
        <f>'Energy Effic. Kits Deemed Table'!BB183</f>
        <v>0.60902631985876754</v>
      </c>
      <c r="AA74" s="2417">
        <f>'Energy Effic. Kits Deemed Table'!K183</f>
        <v>2.87</v>
      </c>
      <c r="AB74" s="2416">
        <f t="shared" ref="AB74:AB84" si="21">AD74+AE74</f>
        <v>1.6497456705943017</v>
      </c>
      <c r="AC74" s="2416"/>
      <c r="AD74" s="2441">
        <f>'Energy Effic. Kits Deemed Table'!BD183</f>
        <v>1.6497456705943017</v>
      </c>
      <c r="AE74" s="2440"/>
      <c r="AF74" s="2440"/>
      <c r="AG74" s="2440"/>
      <c r="AL74" s="2380">
        <f t="shared" si="19"/>
        <v>8.8731800000000003E-5</v>
      </c>
      <c r="AM74">
        <f t="shared" si="13"/>
        <v>3.62913062E-4</v>
      </c>
      <c r="AN74" s="2368">
        <f t="shared" si="20"/>
        <v>-8.6937999999991272E-8</v>
      </c>
    </row>
    <row r="75" spans="1:40" x14ac:dyDescent="0.25">
      <c r="A75" s="2598" t="str">
        <f>'Energy Effic. Kits Deemed Table'!C184</f>
        <v>300800_2019_12_</v>
      </c>
      <c r="B75" s="245" t="str">
        <f>'Energy Effic. Kits Deemed Table'!G184</f>
        <v>Water Heating RES</v>
      </c>
      <c r="C75" s="245"/>
      <c r="D75" s="245"/>
      <c r="E75" s="245"/>
      <c r="F75" s="245" t="str">
        <f>'Energy Effic. Kits Deemed Table'!E184</f>
        <v>Pipe Insulation</v>
      </c>
      <c r="G75" s="745" t="str">
        <f>'Energy Effic. Kits Deemed Table'!D184</f>
        <v>MF</v>
      </c>
      <c r="H75" s="2410">
        <f>'Energy Effic. Kits Deemed Table'!F184</f>
        <v>15.01</v>
      </c>
      <c r="I75" s="2410">
        <v>0</v>
      </c>
      <c r="J75" s="2452">
        <v>0</v>
      </c>
      <c r="K75" s="2452">
        <v>0</v>
      </c>
      <c r="L75" s="2452">
        <v>0</v>
      </c>
      <c r="M75" s="2452">
        <v>0</v>
      </c>
      <c r="N75" s="2411">
        <f>'Energy Effic. Kits Deemed Table'!I184</f>
        <v>1.3320000000000001E-3</v>
      </c>
      <c r="O75" s="2411">
        <v>0</v>
      </c>
      <c r="P75" s="2412">
        <v>0</v>
      </c>
      <c r="Q75" s="2412">
        <v>0</v>
      </c>
      <c r="R75" s="2412"/>
      <c r="S75" s="2412"/>
      <c r="T75" s="2413">
        <v>0</v>
      </c>
      <c r="U75" s="2413">
        <f t="shared" si="17"/>
        <v>1.3320000000000001E-3</v>
      </c>
      <c r="V75" s="2413">
        <v>0</v>
      </c>
      <c r="W75" s="2460">
        <f>'Energy Effic. Kits Deemed Table'!J184</f>
        <v>12</v>
      </c>
      <c r="X75" s="2460"/>
      <c r="Y75" s="94">
        <f t="shared" si="18"/>
        <v>12</v>
      </c>
      <c r="Z75" s="2414">
        <f>'Energy Effic. Kits Deemed Table'!BB184</f>
        <v>2.2350819220244746</v>
      </c>
      <c r="AA75" s="2417">
        <f>'Energy Effic. Kits Deemed Table'!K184</f>
        <v>2.87</v>
      </c>
      <c r="AB75" s="2416">
        <f t="shared" si="21"/>
        <v>6.0544456028411906</v>
      </c>
      <c r="AC75" s="2416"/>
      <c r="AD75" s="2441">
        <f>'Energy Effic. Kits Deemed Table'!BD184</f>
        <v>6.0544456028411906</v>
      </c>
      <c r="AE75" s="2440"/>
      <c r="AF75" s="2440"/>
      <c r="AG75" s="2440"/>
      <c r="AL75" s="2380">
        <f t="shared" si="19"/>
        <v>8.8731800000000003E-5</v>
      </c>
      <c r="AM75">
        <f t="shared" si="13"/>
        <v>1.3318643180000001E-3</v>
      </c>
      <c r="AN75" s="2368">
        <f t="shared" si="20"/>
        <v>-1.3568199999994257E-7</v>
      </c>
    </row>
    <row r="76" spans="1:40" x14ac:dyDescent="0.25">
      <c r="A76" s="2598" t="str">
        <f>'Energy Effic. Kits Deemed Table'!C212</f>
        <v>300850_2019_12_</v>
      </c>
      <c r="B76" s="245" t="str">
        <f>'Energy Effic. Kits Deemed Table'!G212</f>
        <v>Miscellaneous RES</v>
      </c>
      <c r="C76" s="245"/>
      <c r="D76" s="245"/>
      <c r="E76" s="245"/>
      <c r="F76" s="245" t="str">
        <f>'Energy Effic. Kits Deemed Table'!E212</f>
        <v>Advanced Tier 1 Power Strips -TOS/NC/DI - Home Office</v>
      </c>
      <c r="G76" s="745" t="str">
        <f>'Energy Effic. Kits Deemed Table'!D212</f>
        <v>Unknown</v>
      </c>
      <c r="H76" s="2410">
        <f>'Energy Effic. Kits Deemed Table'!F212</f>
        <v>31</v>
      </c>
      <c r="I76" s="2410">
        <v>0</v>
      </c>
      <c r="J76" s="2452">
        <v>0</v>
      </c>
      <c r="K76" s="2452">
        <v>0</v>
      </c>
      <c r="L76" s="2452">
        <v>0</v>
      </c>
      <c r="M76" s="2452">
        <v>0</v>
      </c>
      <c r="N76" s="2411">
        <f>'Energy Effic. Kits Deemed Table'!I212</f>
        <v>3.5599999999999998E-3</v>
      </c>
      <c r="O76" s="2411">
        <v>0</v>
      </c>
      <c r="P76" s="2412">
        <v>0</v>
      </c>
      <c r="Q76" s="2412">
        <v>0</v>
      </c>
      <c r="R76" s="2412"/>
      <c r="S76" s="2412"/>
      <c r="T76" s="2413">
        <v>0</v>
      </c>
      <c r="U76" s="2413">
        <f t="shared" si="17"/>
        <v>3.5599999999999998E-3</v>
      </c>
      <c r="V76" s="2413">
        <v>0</v>
      </c>
      <c r="W76" s="2460">
        <f>'Energy Effic. Kits Deemed Table'!J212</f>
        <v>10</v>
      </c>
      <c r="X76" s="2460"/>
      <c r="Y76" s="94">
        <f t="shared" si="18"/>
        <v>10</v>
      </c>
      <c r="Z76" s="2414">
        <f>'Energy Effic. Kits Deemed Table'!BB212</f>
        <v>0.56629728930217338</v>
      </c>
      <c r="AA76" s="2417">
        <f>'Energy Effic. Kits Deemed Table'!K212</f>
        <v>20</v>
      </c>
      <c r="AB76" s="2416">
        <f t="shared" si="21"/>
        <v>10.689896919342583</v>
      </c>
      <c r="AC76" s="2416"/>
      <c r="AD76" s="2441">
        <f>'Energy Effic. Kits Deemed Table'!BD212</f>
        <v>10.689896919342583</v>
      </c>
      <c r="AE76" s="2440"/>
      <c r="AF76" s="2440"/>
      <c r="AG76" s="2440"/>
      <c r="AL76" s="2380">
        <f t="shared" si="19"/>
        <v>1.148238E-4</v>
      </c>
      <c r="AM76">
        <f t="shared" ref="AM76:AM107" si="22">AL76*H76</f>
        <v>3.5595378E-3</v>
      </c>
      <c r="AN76" s="2368">
        <f t="shared" si="20"/>
        <v>-4.6219999999975309E-7</v>
      </c>
    </row>
    <row r="77" spans="1:40" x14ac:dyDescent="0.25">
      <c r="A77" s="2598" t="str">
        <f>'Energy Effic. Kits Deemed Table'!C213</f>
        <v>300900_2019_12_</v>
      </c>
      <c r="B77" s="245" t="str">
        <f>'Energy Effic. Kits Deemed Table'!G213</f>
        <v>Miscellaneous RES</v>
      </c>
      <c r="C77" s="245"/>
      <c r="D77" s="245"/>
      <c r="E77" s="245"/>
      <c r="F77" s="245" t="str">
        <f>'Energy Effic. Kits Deemed Table'!E213</f>
        <v>Advanced Tier 1 Power Strips -Kits - Home Office</v>
      </c>
      <c r="G77" s="745" t="str">
        <f>'Energy Effic. Kits Deemed Table'!D213</f>
        <v>Unknown</v>
      </c>
      <c r="H77" s="2410">
        <f>'Energy Effic. Kits Deemed Table'!F213</f>
        <v>24.18</v>
      </c>
      <c r="I77" s="2410">
        <v>0</v>
      </c>
      <c r="J77" s="2452">
        <v>0</v>
      </c>
      <c r="K77" s="2452">
        <v>0</v>
      </c>
      <c r="L77" s="2452">
        <v>0</v>
      </c>
      <c r="M77" s="2452">
        <v>0</v>
      </c>
      <c r="N77" s="2411">
        <f>'Energy Effic. Kits Deemed Table'!I213</f>
        <v>2.7759999999999998E-3</v>
      </c>
      <c r="O77" s="2411">
        <v>0</v>
      </c>
      <c r="P77" s="2412">
        <v>0</v>
      </c>
      <c r="Q77" s="2412">
        <v>0</v>
      </c>
      <c r="R77" s="2412"/>
      <c r="S77" s="2412"/>
      <c r="T77" s="2413">
        <v>0</v>
      </c>
      <c r="U77" s="2413">
        <f t="shared" si="17"/>
        <v>2.7759999999999998E-3</v>
      </c>
      <c r="V77" s="2413">
        <v>0</v>
      </c>
      <c r="W77" s="2460">
        <f>'Energy Effic. Kits Deemed Table'!J213</f>
        <v>10</v>
      </c>
      <c r="X77" s="2460"/>
      <c r="Y77" s="94">
        <f t="shared" si="18"/>
        <v>10</v>
      </c>
      <c r="Z77" s="2414">
        <f>'Energy Effic. Kits Deemed Table'!BB213</f>
        <v>0.4417118856556953</v>
      </c>
      <c r="AA77" s="2417">
        <f>'Energy Effic. Kits Deemed Table'!K213</f>
        <v>20</v>
      </c>
      <c r="AB77" s="2416">
        <f t="shared" si="21"/>
        <v>8.338119597087216</v>
      </c>
      <c r="AC77" s="2416"/>
      <c r="AD77" s="2441">
        <f>'Energy Effic. Kits Deemed Table'!BD213</f>
        <v>8.338119597087216</v>
      </c>
      <c r="AE77" s="2440"/>
      <c r="AF77" s="2440"/>
      <c r="AG77" s="2440"/>
      <c r="AL77" s="2380">
        <f t="shared" si="19"/>
        <v>1.148238E-4</v>
      </c>
      <c r="AM77">
        <f t="shared" si="22"/>
        <v>2.7764394839999997E-3</v>
      </c>
      <c r="AN77" s="2368">
        <f t="shared" si="20"/>
        <v>4.3948399999988244E-7</v>
      </c>
    </row>
    <row r="78" spans="1:40" x14ac:dyDescent="0.25">
      <c r="A78" s="2598" t="str">
        <f>'Energy Effic. Kits Deemed Table'!C214</f>
        <v>300950_2019_12_</v>
      </c>
      <c r="B78" s="245" t="str">
        <f>'Energy Effic. Kits Deemed Table'!G214</f>
        <v>Miscellaneous RES</v>
      </c>
      <c r="C78" s="245"/>
      <c r="D78" s="245"/>
      <c r="E78" s="245"/>
      <c r="F78" s="245" t="str">
        <f>'Energy Effic. Kits Deemed Table'!E214</f>
        <v>Advanced Tier 1 Power Strips -TOS/NC/DI - Home Entertainment</v>
      </c>
      <c r="G78" s="745" t="str">
        <f>'Energy Effic. Kits Deemed Table'!D214</f>
        <v>Unknown</v>
      </c>
      <c r="H78" s="2410">
        <f>'Energy Effic. Kits Deemed Table'!F214</f>
        <v>75.099999999999994</v>
      </c>
      <c r="I78" s="2410">
        <v>0</v>
      </c>
      <c r="J78" s="2452">
        <v>0</v>
      </c>
      <c r="K78" s="2452">
        <v>0</v>
      </c>
      <c r="L78" s="2452">
        <v>0</v>
      </c>
      <c r="M78" s="2452">
        <v>0</v>
      </c>
      <c r="N78" s="2411">
        <f>'Energy Effic. Kits Deemed Table'!I214</f>
        <v>8.6230000000000005E-3</v>
      </c>
      <c r="O78" s="2411">
        <v>0</v>
      </c>
      <c r="P78" s="2412">
        <v>0</v>
      </c>
      <c r="Q78" s="2412">
        <v>0</v>
      </c>
      <c r="R78" s="2412"/>
      <c r="S78" s="2412"/>
      <c r="T78" s="2413">
        <v>0</v>
      </c>
      <c r="U78" s="2413">
        <f t="shared" si="17"/>
        <v>8.6230000000000005E-3</v>
      </c>
      <c r="V78" s="2413">
        <v>0</v>
      </c>
      <c r="W78" s="2460">
        <f>'Energy Effic. Kits Deemed Table'!J214</f>
        <v>10</v>
      </c>
      <c r="X78" s="2460"/>
      <c r="Y78" s="94">
        <f t="shared" si="18"/>
        <v>10</v>
      </c>
      <c r="Z78" s="2414">
        <f>'Energy Effic. Kits Deemed Table'!BB214</f>
        <v>1.3719008524707492</v>
      </c>
      <c r="AA78" s="2417">
        <f>'Energy Effic. Kits Deemed Table'!K214</f>
        <v>20</v>
      </c>
      <c r="AB78" s="2416">
        <f t="shared" si="21"/>
        <v>25.897137375568647</v>
      </c>
      <c r="AC78" s="2416"/>
      <c r="AD78" s="2441">
        <f>'Energy Effic. Kits Deemed Table'!BD214</f>
        <v>25.897137375568647</v>
      </c>
      <c r="AE78" s="2440"/>
      <c r="AF78" s="2440"/>
      <c r="AG78" s="2440"/>
      <c r="AL78" s="2380">
        <f t="shared" si="19"/>
        <v>1.148238E-4</v>
      </c>
      <c r="AM78">
        <f t="shared" si="22"/>
        <v>8.6232673799999989E-3</v>
      </c>
      <c r="AN78" s="2368">
        <f t="shared" si="20"/>
        <v>2.6737999999845719E-7</v>
      </c>
    </row>
    <row r="79" spans="1:40" x14ac:dyDescent="0.25">
      <c r="A79" s="2598" t="str">
        <f>'Energy Effic. Kits Deemed Table'!C215</f>
        <v>301000_2019_12_</v>
      </c>
      <c r="B79" s="245" t="str">
        <f>'Energy Effic. Kits Deemed Table'!G215</f>
        <v>Miscellaneous RES</v>
      </c>
      <c r="C79" s="245"/>
      <c r="D79" s="245"/>
      <c r="E79" s="245"/>
      <c r="F79" s="245" t="str">
        <f>'Energy Effic. Kits Deemed Table'!E215</f>
        <v>Advanced Tier 1 Power Strips -Kits - Home Entertainment</v>
      </c>
      <c r="G79" s="745" t="str">
        <f>'Energy Effic. Kits Deemed Table'!D215</f>
        <v>Unknown</v>
      </c>
      <c r="H79" s="2410">
        <f>'Energy Effic. Kits Deemed Table'!F215</f>
        <v>58.58</v>
      </c>
      <c r="I79" s="2410">
        <v>0</v>
      </c>
      <c r="J79" s="2452">
        <v>0</v>
      </c>
      <c r="K79" s="2452">
        <v>0</v>
      </c>
      <c r="L79" s="2452">
        <v>0</v>
      </c>
      <c r="M79" s="2452">
        <v>0</v>
      </c>
      <c r="N79" s="2411">
        <f>'Energy Effic. Kits Deemed Table'!I215</f>
        <v>6.7260000000000002E-3</v>
      </c>
      <c r="O79" s="2411">
        <v>0</v>
      </c>
      <c r="P79" s="2412">
        <v>0</v>
      </c>
      <c r="Q79" s="2412">
        <v>0</v>
      </c>
      <c r="R79" s="2412"/>
      <c r="S79" s="2412"/>
      <c r="T79" s="2413">
        <v>0</v>
      </c>
      <c r="U79" s="2413">
        <f t="shared" si="17"/>
        <v>6.7260000000000002E-3</v>
      </c>
      <c r="V79" s="2413">
        <v>0</v>
      </c>
      <c r="W79" s="2460">
        <f>'Energy Effic. Kits Deemed Table'!J215</f>
        <v>10</v>
      </c>
      <c r="X79" s="2460"/>
      <c r="Y79" s="94">
        <f t="shared" si="18"/>
        <v>10</v>
      </c>
      <c r="Z79" s="2414">
        <f>'Energy Effic. Kits Deemed Table'!BB215</f>
        <v>1.0701192002361717</v>
      </c>
      <c r="AA79" s="2417">
        <f>'Energy Effic. Kits Deemed Table'!K215</f>
        <v>20</v>
      </c>
      <c r="AB79" s="2416">
        <f t="shared" si="21"/>
        <v>20.200456823712535</v>
      </c>
      <c r="AC79" s="2416"/>
      <c r="AD79" s="2441">
        <f>'Energy Effic. Kits Deemed Table'!BD215</f>
        <v>20.200456823712535</v>
      </c>
      <c r="AE79" s="2440"/>
      <c r="AF79" s="2440"/>
      <c r="AG79" s="2440"/>
      <c r="AL79" s="2380">
        <f t="shared" si="19"/>
        <v>1.148238E-4</v>
      </c>
      <c r="AM79">
        <f t="shared" si="22"/>
        <v>6.7263782039999999E-3</v>
      </c>
      <c r="AN79" s="2368">
        <f t="shared" si="20"/>
        <v>3.7820399999971555E-7</v>
      </c>
    </row>
    <row r="80" spans="1:40" x14ac:dyDescent="0.25">
      <c r="A80" s="2598" t="str">
        <f>'Energy Effic. Kits Deemed Table'!C216</f>
        <v>301050_2019_12_</v>
      </c>
      <c r="B80" s="245" t="str">
        <f>'Energy Effic. Kits Deemed Table'!G216</f>
        <v>Miscellaneous RES</v>
      </c>
      <c r="C80" s="245"/>
      <c r="D80" s="245"/>
      <c r="E80" s="245"/>
      <c r="F80" s="245" t="str">
        <f>'Energy Effic. Kits Deemed Table'!E216</f>
        <v>Advanced Tier 1 Power Strips -TOS/NC/DI - Unknown Location</v>
      </c>
      <c r="G80" s="745" t="str">
        <f>'Energy Effic. Kits Deemed Table'!D216</f>
        <v>Unknown</v>
      </c>
      <c r="H80" s="2410">
        <f>'Energy Effic. Kits Deemed Table'!F216</f>
        <v>59.22</v>
      </c>
      <c r="I80" s="2410">
        <v>0</v>
      </c>
      <c r="J80" s="2452">
        <v>0</v>
      </c>
      <c r="K80" s="2452">
        <v>0</v>
      </c>
      <c r="L80" s="2452">
        <v>0</v>
      </c>
      <c r="M80" s="2452">
        <v>0</v>
      </c>
      <c r="N80" s="2411">
        <f>'Energy Effic. Kits Deemed Table'!I216</f>
        <v>6.7999999999999996E-3</v>
      </c>
      <c r="O80" s="2411">
        <v>0</v>
      </c>
      <c r="P80" s="2412">
        <v>0</v>
      </c>
      <c r="Q80" s="2412">
        <v>0</v>
      </c>
      <c r="R80" s="2412"/>
      <c r="S80" s="2412"/>
      <c r="T80" s="2413">
        <v>0</v>
      </c>
      <c r="U80" s="2413">
        <f t="shared" si="17"/>
        <v>6.7999999999999996E-3</v>
      </c>
      <c r="V80" s="2413">
        <v>0</v>
      </c>
      <c r="W80" s="2460">
        <f>'Energy Effic. Kits Deemed Table'!J216</f>
        <v>10</v>
      </c>
      <c r="X80" s="2460"/>
      <c r="Y80" s="94">
        <f t="shared" si="18"/>
        <v>10</v>
      </c>
      <c r="Z80" s="2414">
        <f>'Energy Effic. Kits Deemed Table'!BB216</f>
        <v>1.0818104991120874</v>
      </c>
      <c r="AA80" s="2417">
        <f>'Energy Effic. Kits Deemed Table'!K216</f>
        <v>20</v>
      </c>
      <c r="AB80" s="2416">
        <f t="shared" si="21"/>
        <v>20.421151469789283</v>
      </c>
      <c r="AC80" s="2416"/>
      <c r="AD80" s="2441">
        <f>'Energy Effic. Kits Deemed Table'!BD216</f>
        <v>20.421151469789283</v>
      </c>
      <c r="AE80" s="2440"/>
      <c r="AF80" s="2440"/>
      <c r="AG80" s="2440"/>
      <c r="AL80" s="2380">
        <f t="shared" si="19"/>
        <v>1.148238E-4</v>
      </c>
      <c r="AM80">
        <f t="shared" si="22"/>
        <v>6.7998654359999995E-3</v>
      </c>
      <c r="AN80" s="2368">
        <f t="shared" si="20"/>
        <v>-1.3456400000007307E-7</v>
      </c>
    </row>
    <row r="81" spans="1:40" x14ac:dyDescent="0.25">
      <c r="A81" s="2598" t="str">
        <f>'Energy Effic. Kits Deemed Table'!C217</f>
        <v>301100_2019_12_</v>
      </c>
      <c r="B81" s="245" t="str">
        <f>'Energy Effic. Kits Deemed Table'!G217</f>
        <v>Miscellaneous RES</v>
      </c>
      <c r="C81" s="245"/>
      <c r="D81" s="245"/>
      <c r="E81" s="245"/>
      <c r="F81" s="245" t="str">
        <f>'Energy Effic. Kits Deemed Table'!E217</f>
        <v>Advanced Tier 1 Power Strips -Kits - Unknown Location</v>
      </c>
      <c r="G81" s="745" t="str">
        <f>'Energy Effic. Kits Deemed Table'!D217</f>
        <v>Unknown</v>
      </c>
      <c r="H81" s="2410">
        <f>'Energy Effic. Kits Deemed Table'!F217</f>
        <v>42.07</v>
      </c>
      <c r="I81" s="2410">
        <v>0</v>
      </c>
      <c r="J81" s="2452">
        <v>0</v>
      </c>
      <c r="K81" s="2452">
        <v>0</v>
      </c>
      <c r="L81" s="2452">
        <v>0</v>
      </c>
      <c r="M81" s="2452">
        <v>0</v>
      </c>
      <c r="N81" s="2411">
        <f>'Energy Effic. Kits Deemed Table'!I217</f>
        <v>4.8310000000000002E-3</v>
      </c>
      <c r="O81" s="2411">
        <v>0</v>
      </c>
      <c r="P81" s="2412">
        <v>0</v>
      </c>
      <c r="Q81" s="2412">
        <v>0</v>
      </c>
      <c r="R81" s="2412"/>
      <c r="S81" s="2412"/>
      <c r="T81" s="2413">
        <v>0</v>
      </c>
      <c r="U81" s="2413">
        <f t="shared" si="17"/>
        <v>4.8310000000000002E-3</v>
      </c>
      <c r="V81" s="2413">
        <v>0</v>
      </c>
      <c r="W81" s="2460">
        <f>'Energy Effic. Kits Deemed Table'!J217</f>
        <v>10</v>
      </c>
      <c r="X81" s="2460"/>
      <c r="Y81" s="94">
        <f t="shared" si="18"/>
        <v>10</v>
      </c>
      <c r="Z81" s="2414">
        <f>'Energy Effic. Kits Deemed Table'!BB217</f>
        <v>0.76852022454653024</v>
      </c>
      <c r="AA81" s="2417">
        <f>'Energy Effic. Kits Deemed Table'!K217</f>
        <v>20</v>
      </c>
      <c r="AB81" s="2416">
        <f t="shared" si="21"/>
        <v>14.507224625701372</v>
      </c>
      <c r="AC81" s="2416"/>
      <c r="AD81" s="2441">
        <f>'Energy Effic. Kits Deemed Table'!BD217</f>
        <v>14.507224625701372</v>
      </c>
      <c r="AE81" s="2440"/>
      <c r="AF81" s="2440"/>
      <c r="AG81" s="2440"/>
      <c r="AL81" s="2380">
        <f t="shared" si="19"/>
        <v>1.148238E-4</v>
      </c>
      <c r="AM81">
        <f t="shared" si="22"/>
        <v>4.8306372660000003E-3</v>
      </c>
      <c r="AN81" s="2368">
        <f t="shared" si="20"/>
        <v>-3.6273399999994793E-7</v>
      </c>
    </row>
    <row r="82" spans="1:40" x14ac:dyDescent="0.25">
      <c r="A82" s="2598" t="str">
        <f>'HVAC Deemed Table'!C7</f>
        <v>350050_2019_12_</v>
      </c>
      <c r="B82" s="245" t="str">
        <f>'HVAC Deemed Table'!G7</f>
        <v>HVAC RES</v>
      </c>
      <c r="C82" s="245"/>
      <c r="D82" s="245"/>
      <c r="E82" s="245"/>
      <c r="F82" s="245" t="str">
        <f>'HVAC Deemed Table'!E7</f>
        <v>ECM Auto Fan ROF-SF</v>
      </c>
      <c r="G82" s="745" t="str">
        <f>'HVAC Deemed Table'!D7</f>
        <v>SF</v>
      </c>
      <c r="H82" s="2410">
        <f>'HVAC Deemed Table'!F7</f>
        <v>582</v>
      </c>
      <c r="I82" s="2410">
        <v>0</v>
      </c>
      <c r="J82" s="2452">
        <v>0</v>
      </c>
      <c r="K82" s="2452">
        <v>0</v>
      </c>
      <c r="L82" s="2452">
        <v>0</v>
      </c>
      <c r="M82" s="2452">
        <v>0</v>
      </c>
      <c r="N82" s="2411">
        <f>'HVAC Deemed Table'!M7</f>
        <v>0.27125899999999997</v>
      </c>
      <c r="O82" s="2411">
        <v>0</v>
      </c>
      <c r="P82" s="2412">
        <v>0</v>
      </c>
      <c r="Q82" s="2412">
        <v>0</v>
      </c>
      <c r="R82" s="2412"/>
      <c r="S82" s="2412"/>
      <c r="T82" s="2413">
        <v>0</v>
      </c>
      <c r="U82" s="2413"/>
      <c r="V82" s="2413">
        <f t="shared" ref="V82:V89" si="23">N82</f>
        <v>0.27125899999999997</v>
      </c>
      <c r="W82" s="2460">
        <f>'HVAC Deemed Table'!N7</f>
        <v>20</v>
      </c>
      <c r="X82" s="2460"/>
      <c r="Y82" s="94">
        <f t="shared" si="18"/>
        <v>20</v>
      </c>
      <c r="Z82" s="2423" t="str">
        <f>'HVAC Deemed Table'!BB7</f>
        <v/>
      </c>
      <c r="AA82" s="2417">
        <f>'HVAC Deemed Table'!O7</f>
        <v>0</v>
      </c>
      <c r="AB82" s="2418">
        <f t="shared" si="21"/>
        <v>692.80298510345756</v>
      </c>
      <c r="AC82" s="2418"/>
      <c r="AD82" s="2444">
        <f>'HVAC Deemed Table'!BD7</f>
        <v>692.80298510345756</v>
      </c>
      <c r="AE82" s="2445">
        <v>0</v>
      </c>
      <c r="AF82" s="2445">
        <v>0</v>
      </c>
      <c r="AG82" s="2445">
        <v>0</v>
      </c>
      <c r="AH82" s="2378"/>
      <c r="AI82" s="2378"/>
      <c r="AJ82" s="2378"/>
      <c r="AK82" s="2378"/>
      <c r="AL82" s="2380">
        <f t="shared" si="19"/>
        <v>4.6608050000000002E-4</v>
      </c>
      <c r="AM82">
        <f t="shared" si="22"/>
        <v>0.27125885100000002</v>
      </c>
      <c r="AN82" s="2368">
        <f t="shared" si="20"/>
        <v>-1.4899999994932855E-7</v>
      </c>
    </row>
    <row r="83" spans="1:40" x14ac:dyDescent="0.25">
      <c r="A83" s="2598" t="str">
        <f>'HVAC Deemed Table'!C8</f>
        <v>350100_2019_12_</v>
      </c>
      <c r="B83" s="245" t="str">
        <f>'HVAC Deemed Table'!G8</f>
        <v>HVAC RES</v>
      </c>
      <c r="C83" s="245"/>
      <c r="D83" s="245"/>
      <c r="E83" s="245"/>
      <c r="F83" s="245" t="str">
        <f>'HVAC Deemed Table'!E8</f>
        <v>ECM Auto Fan ROF-MF</v>
      </c>
      <c r="G83" s="745" t="str">
        <f>'HVAC Deemed Table'!D8</f>
        <v>MF</v>
      </c>
      <c r="H83" s="2410">
        <f>'HVAC Deemed Table'!F8</f>
        <v>582</v>
      </c>
      <c r="I83" s="2410">
        <v>0</v>
      </c>
      <c r="J83" s="2452">
        <v>0</v>
      </c>
      <c r="K83" s="2452">
        <v>0</v>
      </c>
      <c r="L83" s="2452">
        <v>0</v>
      </c>
      <c r="M83" s="2452">
        <v>0</v>
      </c>
      <c r="N83" s="2411">
        <f>'HVAC Deemed Table'!M8</f>
        <v>0.27125899999999997</v>
      </c>
      <c r="O83" s="2411">
        <v>0</v>
      </c>
      <c r="P83" s="2412">
        <v>0</v>
      </c>
      <c r="Q83" s="2412">
        <v>0</v>
      </c>
      <c r="R83" s="2412"/>
      <c r="S83" s="2412"/>
      <c r="T83" s="2413">
        <v>0</v>
      </c>
      <c r="U83" s="2413"/>
      <c r="V83" s="2413">
        <f t="shared" si="23"/>
        <v>0.27125899999999997</v>
      </c>
      <c r="W83" s="2460">
        <f>'HVAC Deemed Table'!N8</f>
        <v>20</v>
      </c>
      <c r="X83" s="2460"/>
      <c r="Y83" s="94">
        <f t="shared" si="18"/>
        <v>20</v>
      </c>
      <c r="Z83" s="2423" t="str">
        <f>'HVAC Deemed Table'!BB8</f>
        <v/>
      </c>
      <c r="AA83" s="2417">
        <f>'HVAC Deemed Table'!O8</f>
        <v>0</v>
      </c>
      <c r="AB83" s="2418">
        <f t="shared" si="21"/>
        <v>692.80298510345756</v>
      </c>
      <c r="AC83" s="2418"/>
      <c r="AD83" s="2444">
        <f>'HVAC Deemed Table'!BD8</f>
        <v>692.80298510345756</v>
      </c>
      <c r="AE83" s="2445">
        <v>0</v>
      </c>
      <c r="AF83" s="2445">
        <v>0</v>
      </c>
      <c r="AG83" s="2445">
        <v>0</v>
      </c>
      <c r="AH83" s="2378"/>
      <c r="AI83" s="2378"/>
      <c r="AJ83" s="2378"/>
      <c r="AK83" s="2378"/>
      <c r="AL83" s="2380">
        <f t="shared" si="19"/>
        <v>4.6608050000000002E-4</v>
      </c>
      <c r="AM83">
        <f t="shared" si="22"/>
        <v>0.27125885100000002</v>
      </c>
      <c r="AN83" s="2368">
        <f t="shared" si="20"/>
        <v>-1.4899999994932855E-7</v>
      </c>
    </row>
    <row r="84" spans="1:40" x14ac:dyDescent="0.25">
      <c r="A84" s="2598" t="str">
        <f>'HVAC Deemed Table'!C9</f>
        <v>350150_2019_12_</v>
      </c>
      <c r="B84" s="245" t="str">
        <f>'HVAC Deemed Table'!G9</f>
        <v>HVAC RES</v>
      </c>
      <c r="C84" s="245" t="str">
        <f>'HVAC Deemed Table'!G10</f>
        <v>HVAC RES ER2</v>
      </c>
      <c r="D84" s="245"/>
      <c r="E84" s="245"/>
      <c r="F84" s="245" t="str">
        <f>'HVAC Deemed Table'!E9</f>
        <v>ECM Auto Fan ER1 - SF</v>
      </c>
      <c r="G84" s="745" t="str">
        <f>'HVAC Deemed Table'!D9</f>
        <v>SF</v>
      </c>
      <c r="H84" s="2410">
        <f>'HVAC Deemed Table'!F9</f>
        <v>582</v>
      </c>
      <c r="I84" s="2410">
        <f>'HVAC Deemed Table'!F10</f>
        <v>582</v>
      </c>
      <c r="J84" s="2452">
        <v>0</v>
      </c>
      <c r="K84" s="2452">
        <v>0</v>
      </c>
      <c r="L84" s="2452">
        <v>0</v>
      </c>
      <c r="M84" s="2452">
        <v>0</v>
      </c>
      <c r="N84" s="2411">
        <f>'HVAC Deemed Table'!M9</f>
        <v>0.27125899999999997</v>
      </c>
      <c r="O84" s="2411">
        <f>'HVAC Deemed Table'!M10</f>
        <v>0.27125899999999997</v>
      </c>
      <c r="P84" s="2412">
        <v>0</v>
      </c>
      <c r="Q84" s="2412">
        <v>0</v>
      </c>
      <c r="R84" s="2412"/>
      <c r="S84" s="2412"/>
      <c r="T84" s="2413">
        <v>0</v>
      </c>
      <c r="U84" s="2413"/>
      <c r="V84" s="2413">
        <f t="shared" si="23"/>
        <v>0.27125899999999997</v>
      </c>
      <c r="W84" s="2460">
        <f>'HVAC Deemed Table'!N9</f>
        <v>6</v>
      </c>
      <c r="X84" s="2460">
        <f>'HVAC Deemed Table'!N10</f>
        <v>12</v>
      </c>
      <c r="Y84" s="94">
        <f>X84+W84</f>
        <v>18</v>
      </c>
      <c r="Z84" s="2414">
        <f>'HVAC Deemed Table'!BB9</f>
        <v>9.106187302806509</v>
      </c>
      <c r="AA84" s="2417">
        <f>'HVAC Deemed Table'!O9</f>
        <v>74.327224020150311</v>
      </c>
      <c r="AB84" s="2418">
        <f t="shared" si="21"/>
        <v>214.66614365077814</v>
      </c>
      <c r="AC84" s="2418">
        <f>AF84+AG84</f>
        <v>424.16125004921963</v>
      </c>
      <c r="AD84" s="2444">
        <f>'HVAC Deemed Table'!BD9</f>
        <v>214.66614365077814</v>
      </c>
      <c r="AE84" s="2445">
        <v>0</v>
      </c>
      <c r="AF84" s="2444">
        <f>'HVAC Deemed Table'!BD10</f>
        <v>424.16125004921963</v>
      </c>
      <c r="AG84" s="2445">
        <v>0</v>
      </c>
      <c r="AH84" s="2378"/>
      <c r="AI84" s="2378"/>
      <c r="AJ84" s="2378"/>
      <c r="AK84" s="2378"/>
      <c r="AL84" s="2380">
        <f t="shared" si="19"/>
        <v>4.6608050000000002E-4</v>
      </c>
      <c r="AM84">
        <f t="shared" si="22"/>
        <v>0.27125885100000002</v>
      </c>
      <c r="AN84" s="2368">
        <f t="shared" si="20"/>
        <v>-1.4899999994932855E-7</v>
      </c>
    </row>
    <row r="85" spans="1:40" x14ac:dyDescent="0.25">
      <c r="A85" s="2598" t="str">
        <f>'HVAC Deemed Table'!C11</f>
        <v>350175_2019_12_</v>
      </c>
      <c r="B85" s="245" t="str">
        <f>'HVAC Deemed Table'!G11</f>
        <v>HVAC RES</v>
      </c>
      <c r="C85" s="245" t="str">
        <f>'HVAC Deemed Table'!G12</f>
        <v>HVAC RES ER2</v>
      </c>
      <c r="D85" s="245"/>
      <c r="E85" s="245"/>
      <c r="F85" s="245" t="str">
        <f>'HVAC Deemed Table'!E11</f>
        <v>ECM Auto Fan ER1 - MF</v>
      </c>
      <c r="G85" s="745" t="str">
        <f>'HVAC Deemed Table'!D11</f>
        <v>MF</v>
      </c>
      <c r="H85" s="2410">
        <f>'HVAC Deemed Table'!F11</f>
        <v>582</v>
      </c>
      <c r="I85" s="2410">
        <f>'HVAC Deemed Table'!F12</f>
        <v>582</v>
      </c>
      <c r="J85" s="2452">
        <v>0</v>
      </c>
      <c r="K85" s="2452">
        <v>0</v>
      </c>
      <c r="L85" s="2452">
        <v>0</v>
      </c>
      <c r="M85" s="2452">
        <v>0</v>
      </c>
      <c r="N85" s="2411">
        <f>'HVAC Deemed Table'!M11</f>
        <v>0.27125899999999997</v>
      </c>
      <c r="O85" s="2411">
        <f>'HVAC Deemed Table'!M12</f>
        <v>0.27125899999999997</v>
      </c>
      <c r="P85" s="2412">
        <v>0</v>
      </c>
      <c r="Q85" s="2412">
        <v>0</v>
      </c>
      <c r="R85" s="2412"/>
      <c r="S85" s="2412"/>
      <c r="T85" s="2413">
        <v>0</v>
      </c>
      <c r="U85" s="2413"/>
      <c r="V85" s="2413">
        <f t="shared" si="23"/>
        <v>0.27125899999999997</v>
      </c>
      <c r="W85" s="2460">
        <f>'HVAC Deemed Table'!N11</f>
        <v>6</v>
      </c>
      <c r="X85" s="2460">
        <f>'HVAC Deemed Table'!N12</f>
        <v>12</v>
      </c>
      <c r="Y85" s="94">
        <f t="shared" ref="Y85:Y167" si="24">X85+W85</f>
        <v>18</v>
      </c>
      <c r="Z85" s="2414">
        <f>'HVAC Deemed Table'!BB11</f>
        <v>9.106187302806509</v>
      </c>
      <c r="AA85" s="2417">
        <f>'HVAC Deemed Table'!O11</f>
        <v>74.327224020150311</v>
      </c>
      <c r="AB85" s="2418">
        <f t="shared" ref="AB85:AB172" si="25">AD85+AE85</f>
        <v>214.66614365077814</v>
      </c>
      <c r="AC85" s="2418">
        <f t="shared" ref="AC85:AC172" si="26">AF85+AG85</f>
        <v>424.16125004921963</v>
      </c>
      <c r="AD85" s="2444">
        <f>'HVAC Deemed Table'!BD11</f>
        <v>214.66614365077814</v>
      </c>
      <c r="AE85" s="2445">
        <v>0</v>
      </c>
      <c r="AF85" s="2444">
        <f>'HVAC Deemed Table'!BD12</f>
        <v>424.16125004921963</v>
      </c>
      <c r="AG85" s="2445">
        <v>0</v>
      </c>
      <c r="AH85" s="2378"/>
      <c r="AI85" s="2378"/>
      <c r="AJ85" s="2378"/>
      <c r="AK85" s="2378"/>
      <c r="AL85" s="2380">
        <f t="shared" si="19"/>
        <v>4.6608050000000002E-4</v>
      </c>
      <c r="AM85">
        <f t="shared" si="22"/>
        <v>0.27125885100000002</v>
      </c>
      <c r="AN85" s="2368">
        <f t="shared" si="20"/>
        <v>-1.4899999994932855E-7</v>
      </c>
    </row>
    <row r="86" spans="1:40" x14ac:dyDescent="0.25">
      <c r="A86" s="2598" t="str">
        <f>'HVAC Deemed Table'!C13</f>
        <v>350200_2019_12_</v>
      </c>
      <c r="B86" s="245" t="str">
        <f>'HVAC Deemed Table'!G13</f>
        <v>HVAC RES</v>
      </c>
      <c r="C86" s="245"/>
      <c r="D86" s="245"/>
      <c r="E86" s="245"/>
      <c r="F86" s="245" t="str">
        <f>'HVAC Deemed Table'!E13</f>
        <v>ECM Continuous Fan ROF- SF</v>
      </c>
      <c r="G86" s="745" t="str">
        <f>'HVAC Deemed Table'!D13</f>
        <v>SF</v>
      </c>
      <c r="H86" s="2410">
        <f>'HVAC Deemed Table'!F13</f>
        <v>582</v>
      </c>
      <c r="I86" s="2410">
        <v>0</v>
      </c>
      <c r="J86" s="2452">
        <v>0</v>
      </c>
      <c r="K86" s="2452">
        <v>0</v>
      </c>
      <c r="L86" s="2452">
        <v>0</v>
      </c>
      <c r="M86" s="2452">
        <v>0</v>
      </c>
      <c r="N86" s="2411">
        <f>'HVAC Deemed Table'!M13</f>
        <v>0.27125899999999997</v>
      </c>
      <c r="O86" s="2411">
        <v>0</v>
      </c>
      <c r="P86" s="2412">
        <v>0</v>
      </c>
      <c r="Q86" s="2412">
        <v>0</v>
      </c>
      <c r="R86" s="2412"/>
      <c r="S86" s="2412"/>
      <c r="T86" s="2413">
        <v>0</v>
      </c>
      <c r="U86" s="2413"/>
      <c r="V86" s="2413">
        <f t="shared" si="23"/>
        <v>0.27125899999999997</v>
      </c>
      <c r="W86" s="2460">
        <f>'HVAC Deemed Table'!N13</f>
        <v>20</v>
      </c>
      <c r="X86" s="2460"/>
      <c r="Y86" s="94">
        <f t="shared" si="24"/>
        <v>20</v>
      </c>
      <c r="Z86" s="2423" t="str">
        <f>'HVAC Deemed Table'!BB13</f>
        <v/>
      </c>
      <c r="AA86" s="2417">
        <f>'HVAC Deemed Table'!O13</f>
        <v>0</v>
      </c>
      <c r="AB86" s="2418">
        <f t="shared" si="25"/>
        <v>692.80298510345756</v>
      </c>
      <c r="AC86" s="2418">
        <f t="shared" si="26"/>
        <v>0</v>
      </c>
      <c r="AD86" s="2444">
        <f>'HVAC Deemed Table'!BD13</f>
        <v>692.80298510345756</v>
      </c>
      <c r="AE86" s="2445">
        <v>0</v>
      </c>
      <c r="AF86" s="2444">
        <v>0</v>
      </c>
      <c r="AG86" s="2445">
        <v>0</v>
      </c>
      <c r="AH86" s="2378"/>
      <c r="AI86" s="2378"/>
      <c r="AJ86" s="2378"/>
      <c r="AK86" s="2378"/>
      <c r="AL86" s="2380">
        <f t="shared" si="19"/>
        <v>4.6608050000000002E-4</v>
      </c>
      <c r="AM86">
        <f t="shared" si="22"/>
        <v>0.27125885100000002</v>
      </c>
      <c r="AN86" s="2368">
        <f t="shared" si="20"/>
        <v>-1.4899999994932855E-7</v>
      </c>
    </row>
    <row r="87" spans="1:40" x14ac:dyDescent="0.25">
      <c r="A87" s="2598" t="str">
        <f>'HVAC Deemed Table'!C14</f>
        <v>350250_2019_12_</v>
      </c>
      <c r="B87" s="245" t="str">
        <f>'HVAC Deemed Table'!G14</f>
        <v>HVAC RES</v>
      </c>
      <c r="C87" s="245"/>
      <c r="D87" s="245"/>
      <c r="E87" s="245"/>
      <c r="F87" s="245" t="str">
        <f>'HVAC Deemed Table'!E14</f>
        <v>ECM Continuous Fan ROF- MF</v>
      </c>
      <c r="G87" s="745" t="str">
        <f>'HVAC Deemed Table'!D14</f>
        <v>MF</v>
      </c>
      <c r="H87" s="2410">
        <f>'HVAC Deemed Table'!F14</f>
        <v>582</v>
      </c>
      <c r="I87" s="2410">
        <v>0</v>
      </c>
      <c r="J87" s="2452">
        <v>0</v>
      </c>
      <c r="K87" s="2452">
        <v>0</v>
      </c>
      <c r="L87" s="2452">
        <v>0</v>
      </c>
      <c r="M87" s="2452">
        <v>0</v>
      </c>
      <c r="N87" s="2411">
        <f>'HVAC Deemed Table'!M14</f>
        <v>0.27125899999999997</v>
      </c>
      <c r="O87" s="2411">
        <v>0</v>
      </c>
      <c r="P87" s="2412">
        <v>0</v>
      </c>
      <c r="Q87" s="2412">
        <v>0</v>
      </c>
      <c r="R87" s="2412"/>
      <c r="S87" s="2412"/>
      <c r="T87" s="2413">
        <v>0</v>
      </c>
      <c r="U87" s="2413"/>
      <c r="V87" s="2413">
        <f t="shared" si="23"/>
        <v>0.27125899999999997</v>
      </c>
      <c r="W87" s="2460">
        <f>'HVAC Deemed Table'!N14</f>
        <v>20</v>
      </c>
      <c r="X87" s="2460"/>
      <c r="Y87" s="94">
        <f t="shared" si="24"/>
        <v>20</v>
      </c>
      <c r="Z87" s="2423" t="str">
        <f>'HVAC Deemed Table'!BB14</f>
        <v/>
      </c>
      <c r="AA87" s="2417">
        <f>'HVAC Deemed Table'!O14</f>
        <v>0</v>
      </c>
      <c r="AB87" s="2418">
        <f t="shared" si="25"/>
        <v>692.80298510345756</v>
      </c>
      <c r="AC87" s="2418">
        <f t="shared" si="26"/>
        <v>0</v>
      </c>
      <c r="AD87" s="2444">
        <f>'HVAC Deemed Table'!BD14</f>
        <v>692.80298510345756</v>
      </c>
      <c r="AE87" s="2445">
        <v>0</v>
      </c>
      <c r="AF87" s="2444">
        <v>0</v>
      </c>
      <c r="AG87" s="2445">
        <v>0</v>
      </c>
      <c r="AH87" s="2378"/>
      <c r="AI87" s="2378"/>
      <c r="AJ87" s="2378"/>
      <c r="AK87" s="2378"/>
      <c r="AL87" s="2380">
        <f t="shared" si="19"/>
        <v>4.6608050000000002E-4</v>
      </c>
      <c r="AM87">
        <f t="shared" si="22"/>
        <v>0.27125885100000002</v>
      </c>
      <c r="AN87" s="2368">
        <f t="shared" si="20"/>
        <v>-1.4899999994932855E-7</v>
      </c>
    </row>
    <row r="88" spans="1:40" x14ac:dyDescent="0.25">
      <c r="A88" s="2598" t="str">
        <f>'HVAC Deemed Table'!C15</f>
        <v>350300_2019_12_</v>
      </c>
      <c r="B88" s="245" t="str">
        <f>'HVAC Deemed Table'!G15</f>
        <v>HVAC RES</v>
      </c>
      <c r="C88" s="245" t="str">
        <f>'HVAC Deemed Table'!G16</f>
        <v>HVAC RES ER2</v>
      </c>
      <c r="D88" s="245"/>
      <c r="E88" s="245"/>
      <c r="F88" s="245" t="str">
        <f>'HVAC Deemed Table'!E15</f>
        <v>ECM Continuous Fan ER1 - SF</v>
      </c>
      <c r="G88" s="745" t="str">
        <f>'HVAC Deemed Table'!D15</f>
        <v>SF</v>
      </c>
      <c r="H88" s="2410">
        <f>'HVAC Deemed Table'!F15</f>
        <v>582</v>
      </c>
      <c r="I88" s="2410">
        <f>'HVAC Deemed Table'!F16</f>
        <v>582</v>
      </c>
      <c r="J88" s="2452">
        <v>0</v>
      </c>
      <c r="K88" s="2452">
        <v>0</v>
      </c>
      <c r="L88" s="2452">
        <v>0</v>
      </c>
      <c r="M88" s="2452">
        <v>0</v>
      </c>
      <c r="N88" s="2411">
        <f>'HVAC Deemed Table'!M15</f>
        <v>0.27125899999999997</v>
      </c>
      <c r="O88" s="2411">
        <f>'HVAC Deemed Table'!M16</f>
        <v>0.27125899999999997</v>
      </c>
      <c r="P88" s="2412">
        <v>0</v>
      </c>
      <c r="Q88" s="2412">
        <v>0</v>
      </c>
      <c r="R88" s="2412"/>
      <c r="S88" s="2412"/>
      <c r="T88" s="2413">
        <v>0</v>
      </c>
      <c r="U88" s="2413"/>
      <c r="V88" s="2413">
        <f t="shared" si="23"/>
        <v>0.27125899999999997</v>
      </c>
      <c r="W88" s="2460">
        <f>'HVAC Deemed Table'!N15</f>
        <v>6</v>
      </c>
      <c r="X88" s="2460">
        <f>'HVAC Deemed Table'!N16</f>
        <v>12</v>
      </c>
      <c r="Y88" s="94">
        <f t="shared" si="24"/>
        <v>18</v>
      </c>
      <c r="Z88" s="2414">
        <f>'HVAC Deemed Table'!BB15</f>
        <v>9.106187302806509</v>
      </c>
      <c r="AA88" s="2417">
        <f>'HVAC Deemed Table'!O15</f>
        <v>74.327224020150311</v>
      </c>
      <c r="AB88" s="2418">
        <f t="shared" si="25"/>
        <v>214.66614365077814</v>
      </c>
      <c r="AC88" s="2418">
        <f t="shared" si="26"/>
        <v>424.16125004921963</v>
      </c>
      <c r="AD88" s="2444">
        <f>'HVAC Deemed Table'!BD15</f>
        <v>214.66614365077814</v>
      </c>
      <c r="AE88" s="2445">
        <v>0</v>
      </c>
      <c r="AF88" s="2444">
        <f>'HVAC Deemed Table'!BD16</f>
        <v>424.16125004921963</v>
      </c>
      <c r="AG88" s="2445">
        <v>0</v>
      </c>
      <c r="AH88" s="2378"/>
      <c r="AI88" s="2378"/>
      <c r="AJ88" s="2378"/>
      <c r="AK88" s="2378"/>
      <c r="AL88" s="2380">
        <f t="shared" si="19"/>
        <v>4.6608050000000002E-4</v>
      </c>
      <c r="AM88">
        <f t="shared" si="22"/>
        <v>0.27125885100000002</v>
      </c>
      <c r="AN88" s="2368">
        <f t="shared" si="20"/>
        <v>-1.4899999994932855E-7</v>
      </c>
    </row>
    <row r="89" spans="1:40" x14ac:dyDescent="0.25">
      <c r="A89" s="2598" t="str">
        <f>'HVAC Deemed Table'!C17</f>
        <v>350350_2019_12_</v>
      </c>
      <c r="B89" s="245" t="str">
        <f>'HVAC Deemed Table'!G17</f>
        <v>HVAC RES</v>
      </c>
      <c r="C89" s="245" t="str">
        <f>'HVAC Deemed Table'!G18</f>
        <v>HVAC RES ER2</v>
      </c>
      <c r="D89" s="245"/>
      <c r="E89" s="245"/>
      <c r="F89" s="245" t="str">
        <f>'HVAC Deemed Table'!E17</f>
        <v>ECM Continuous Fan ER1 - MF</v>
      </c>
      <c r="G89" s="745" t="str">
        <f>'HVAC Deemed Table'!D17</f>
        <v>MF</v>
      </c>
      <c r="H89" s="2410">
        <f>'HVAC Deemed Table'!F17</f>
        <v>582</v>
      </c>
      <c r="I89" s="2410">
        <f>'HVAC Deemed Table'!F18</f>
        <v>582</v>
      </c>
      <c r="J89" s="2452">
        <v>0</v>
      </c>
      <c r="K89" s="2452">
        <v>0</v>
      </c>
      <c r="L89" s="2452">
        <v>0</v>
      </c>
      <c r="M89" s="2452">
        <v>0</v>
      </c>
      <c r="N89" s="2411">
        <f>'HVAC Deemed Table'!M17</f>
        <v>0.27125899999999997</v>
      </c>
      <c r="O89" s="2411">
        <f>'HVAC Deemed Table'!M18</f>
        <v>0.27125899999999997</v>
      </c>
      <c r="P89" s="2412">
        <v>0</v>
      </c>
      <c r="Q89" s="2412">
        <v>0</v>
      </c>
      <c r="R89" s="2412"/>
      <c r="S89" s="2412"/>
      <c r="T89" s="2413">
        <v>0</v>
      </c>
      <c r="U89" s="2413"/>
      <c r="V89" s="2413">
        <f t="shared" si="23"/>
        <v>0.27125899999999997</v>
      </c>
      <c r="W89" s="2460">
        <f>'HVAC Deemed Table'!N17</f>
        <v>6</v>
      </c>
      <c r="X89" s="2460">
        <f>'HVAC Deemed Table'!N18</f>
        <v>12</v>
      </c>
      <c r="Y89" s="94">
        <f t="shared" si="24"/>
        <v>18</v>
      </c>
      <c r="Z89" s="2414">
        <f>'HVAC Deemed Table'!BB17</f>
        <v>9.106187302806509</v>
      </c>
      <c r="AA89" s="2417">
        <f>'HVAC Deemed Table'!O17</f>
        <v>74.327224020150311</v>
      </c>
      <c r="AB89" s="2418">
        <f t="shared" si="25"/>
        <v>214.66614365077814</v>
      </c>
      <c r="AC89" s="2418">
        <f t="shared" si="26"/>
        <v>424.16125004921963</v>
      </c>
      <c r="AD89" s="2444">
        <f>'HVAC Deemed Table'!BD17</f>
        <v>214.66614365077814</v>
      </c>
      <c r="AE89" s="2445">
        <v>0</v>
      </c>
      <c r="AF89" s="2444">
        <f>'HVAC Deemed Table'!BD18</f>
        <v>424.16125004921963</v>
      </c>
      <c r="AG89" s="2445">
        <v>0</v>
      </c>
      <c r="AH89" s="2378"/>
      <c r="AI89" s="2378"/>
      <c r="AJ89" s="2378"/>
      <c r="AK89" s="2378"/>
      <c r="AL89" s="2380">
        <f t="shared" si="19"/>
        <v>4.6608050000000002E-4</v>
      </c>
      <c r="AM89">
        <f t="shared" si="22"/>
        <v>0.27125885100000002</v>
      </c>
      <c r="AN89" s="2368">
        <f t="shared" si="20"/>
        <v>-1.4899999994932855E-7</v>
      </c>
    </row>
    <row r="90" spans="1:40" x14ac:dyDescent="0.25">
      <c r="A90" s="2598" t="str">
        <f>'HVAC Deemed Table'!C110</f>
        <v>350400_2019_12_</v>
      </c>
      <c r="B90" s="245" t="str">
        <f>'HVAC Deemed Table'!G110</f>
        <v>Cooling RES</v>
      </c>
      <c r="C90" s="245" t="str">
        <f>'HVAC Deemed Table'!G111</f>
        <v>Cooling RES ER2</v>
      </c>
      <c r="D90" s="245"/>
      <c r="E90" s="245"/>
      <c r="F90" s="245" t="str">
        <f>'HVAC Deemed Table'!E110</f>
        <v>CAC - SEER 14 ER1: SF</v>
      </c>
      <c r="G90" s="745" t="str">
        <f>'HVAC Deemed Table'!D110</f>
        <v>SF</v>
      </c>
      <c r="H90" s="2420">
        <f>J90+K90</f>
        <v>1532.85</v>
      </c>
      <c r="I90" s="2420">
        <f>L90+M90</f>
        <v>192.72</v>
      </c>
      <c r="J90" s="2452">
        <f>'HVAC Deemed Table'!F110</f>
        <v>1532.85</v>
      </c>
      <c r="K90" s="2452">
        <v>0</v>
      </c>
      <c r="L90" s="2452">
        <f>'HVAC Deemed Table'!F111</f>
        <v>192.72</v>
      </c>
      <c r="M90" s="2452">
        <v>0</v>
      </c>
      <c r="N90" s="2421">
        <f t="shared" ref="N90:N139" si="27">P90+Q90</f>
        <v>1.45225</v>
      </c>
      <c r="O90" s="2421">
        <f t="shared" ref="O90:O139" si="28">R90+S90</f>
        <v>0.182586</v>
      </c>
      <c r="P90" s="2412">
        <f>'HVAC Deemed Table'!I110</f>
        <v>1.45225</v>
      </c>
      <c r="Q90" s="2412"/>
      <c r="R90" s="2412">
        <f>'HVAC Deemed Table'!I111</f>
        <v>0.182586</v>
      </c>
      <c r="S90" s="2412"/>
      <c r="T90" s="2413"/>
      <c r="U90" s="2413"/>
      <c r="V90" s="2424">
        <f>O90</f>
        <v>0.182586</v>
      </c>
      <c r="W90" s="2460">
        <f>'HVAC Deemed Table'!J110</f>
        <v>6</v>
      </c>
      <c r="X90" s="2460">
        <f>'HVAC Deemed Table'!J111</f>
        <v>12</v>
      </c>
      <c r="Y90" s="94">
        <f t="shared" si="24"/>
        <v>18</v>
      </c>
      <c r="Z90" s="2414">
        <f>'HVAC Deemed Table'!BB110</f>
        <v>2.6701978309050833</v>
      </c>
      <c r="AA90" s="2417">
        <f>'HVAC Deemed Table'!K110</f>
        <v>444.07830140084025</v>
      </c>
      <c r="AB90" s="2418">
        <f t="shared" si="25"/>
        <v>891.32799915492603</v>
      </c>
      <c r="AC90" s="2418">
        <f t="shared" si="26"/>
        <v>227.85738749211248</v>
      </c>
      <c r="AD90" s="2445">
        <f>'HVAC Deemed Table'!BD110</f>
        <v>891.32799915492603</v>
      </c>
      <c r="AE90" s="2445">
        <v>0</v>
      </c>
      <c r="AF90" s="2445">
        <f>'HVAC Deemed Table'!BD111</f>
        <v>227.85738749211248</v>
      </c>
      <c r="AG90" s="2445">
        <v>0</v>
      </c>
      <c r="AH90" s="2378"/>
      <c r="AI90" s="2378"/>
      <c r="AJ90" s="2378"/>
      <c r="AK90" s="2378"/>
      <c r="AL90" s="2380">
        <f t="shared" si="19"/>
        <v>9.4741810000000004E-4</v>
      </c>
      <c r="AM90">
        <f t="shared" si="22"/>
        <v>1.4522498345849999</v>
      </c>
      <c r="AN90" s="2368">
        <f t="shared" si="20"/>
        <v>-1.6541500014177757E-7</v>
      </c>
    </row>
    <row r="91" spans="1:40" x14ac:dyDescent="0.25">
      <c r="A91" s="2598" t="str">
        <f>'HVAC Deemed Table'!C112</f>
        <v>350450_2019_12_</v>
      </c>
      <c r="B91" s="245" t="str">
        <f>'HVAC Deemed Table'!G112</f>
        <v>Cooling RES</v>
      </c>
      <c r="C91" s="245"/>
      <c r="D91" s="245"/>
      <c r="E91" s="245"/>
      <c r="F91" s="245" t="str">
        <f>'HVAC Deemed Table'!E112</f>
        <v>CAC - SEER 14 ROF: SF</v>
      </c>
      <c r="G91" s="745" t="str">
        <f>'HVAC Deemed Table'!D112</f>
        <v>SF</v>
      </c>
      <c r="H91" s="2420">
        <f t="shared" ref="H91:H92" si="29">J91+K91</f>
        <v>192.07</v>
      </c>
      <c r="I91" s="2420">
        <f t="shared" ref="I91:I92" si="30">L91+M91</f>
        <v>0</v>
      </c>
      <c r="J91" s="2452">
        <f>'HVAC Deemed Table'!F112</f>
        <v>192.07</v>
      </c>
      <c r="K91" s="2452">
        <v>0</v>
      </c>
      <c r="L91" s="2452">
        <v>0</v>
      </c>
      <c r="M91" s="2452">
        <v>0</v>
      </c>
      <c r="N91" s="2421">
        <f t="shared" si="27"/>
        <v>0.18197099999999999</v>
      </c>
      <c r="O91" s="2421">
        <f t="shared" si="28"/>
        <v>0</v>
      </c>
      <c r="P91" s="2412">
        <f>'HVAC Deemed Table'!I112</f>
        <v>0.18197099999999999</v>
      </c>
      <c r="Q91" s="2412"/>
      <c r="R91" s="2412"/>
      <c r="S91" s="2412"/>
      <c r="T91" s="2413"/>
      <c r="U91" s="2413"/>
      <c r="V91" s="2413">
        <f>P91</f>
        <v>0.18197099999999999</v>
      </c>
      <c r="W91" s="2460">
        <f>'HVAC Deemed Table'!J112</f>
        <v>18</v>
      </c>
      <c r="X91" s="2460"/>
      <c r="Y91" s="94">
        <f t="shared" si="24"/>
        <v>18</v>
      </c>
      <c r="Z91" s="2414" t="str">
        <f>'HVAC Deemed Table'!BB112</f>
        <v/>
      </c>
      <c r="AA91" s="2417">
        <f>'HVAC Deemed Table'!K112</f>
        <v>0</v>
      </c>
      <c r="AB91" s="2418">
        <f t="shared" si="25"/>
        <v>338.77454038336418</v>
      </c>
      <c r="AC91" s="2418">
        <f t="shared" si="26"/>
        <v>0</v>
      </c>
      <c r="AD91" s="2445">
        <f>'HVAC Deemed Table'!BD112</f>
        <v>338.77454038336418</v>
      </c>
      <c r="AE91" s="2445">
        <v>0</v>
      </c>
      <c r="AF91" s="2445">
        <v>0</v>
      </c>
      <c r="AG91" s="2445">
        <v>0</v>
      </c>
      <c r="AH91" s="2378"/>
      <c r="AI91" s="2378"/>
      <c r="AJ91" s="2378"/>
      <c r="AK91" s="2378"/>
      <c r="AL91" s="2380">
        <f t="shared" si="19"/>
        <v>9.4741810000000004E-4</v>
      </c>
      <c r="AM91">
        <f t="shared" si="22"/>
        <v>0.18197059446700001</v>
      </c>
      <c r="AN91" s="2368">
        <f t="shared" si="20"/>
        <v>-4.0553299998635772E-7</v>
      </c>
    </row>
    <row r="92" spans="1:40" x14ac:dyDescent="0.25">
      <c r="A92" s="2598" t="str">
        <f>'HVAC Deemed Table'!C113</f>
        <v>350500_2019_12_</v>
      </c>
      <c r="B92" s="245" t="str">
        <f>'HVAC Deemed Table'!G113</f>
        <v>Cooling RES</v>
      </c>
      <c r="C92" s="245" t="str">
        <f>'HVAC Deemed Table'!G114</f>
        <v>Cooling RES ER2</v>
      </c>
      <c r="D92" s="245"/>
      <c r="E92" s="245"/>
      <c r="F92" s="245" t="str">
        <f>'HVAC Deemed Table'!E113</f>
        <v>CAC - SEER 14 ER1: MF</v>
      </c>
      <c r="G92" s="745" t="str">
        <f>'HVAC Deemed Table'!D113</f>
        <v>MF</v>
      </c>
      <c r="H92" s="2420">
        <f t="shared" si="29"/>
        <v>1014.01</v>
      </c>
      <c r="I92" s="2420">
        <f t="shared" si="30"/>
        <v>114.59</v>
      </c>
      <c r="J92" s="2452">
        <f>'HVAC Deemed Table'!F113</f>
        <v>1014.01</v>
      </c>
      <c r="K92" s="2452">
        <v>0</v>
      </c>
      <c r="L92" s="2452">
        <f>'HVAC Deemed Table'!F114</f>
        <v>114.59</v>
      </c>
      <c r="M92" s="2452">
        <v>0</v>
      </c>
      <c r="N92" s="2421">
        <f t="shared" si="27"/>
        <v>0.96069099999999996</v>
      </c>
      <c r="O92" s="2421">
        <f t="shared" si="28"/>
        <v>0.10856499999999999</v>
      </c>
      <c r="P92" s="2412">
        <f>'HVAC Deemed Table'!I113</f>
        <v>0.96069099999999996</v>
      </c>
      <c r="Q92" s="2412"/>
      <c r="R92" s="2412">
        <f>'HVAC Deemed Table'!I114</f>
        <v>0.10856499999999999</v>
      </c>
      <c r="S92" s="2412"/>
      <c r="T92" s="2413"/>
      <c r="U92" s="2413"/>
      <c r="V92" s="2424">
        <f t="shared" ref="V92:V93" si="31">O92</f>
        <v>0.10856499999999999</v>
      </c>
      <c r="W92" s="2460">
        <f>'HVAC Deemed Table'!J113</f>
        <v>6</v>
      </c>
      <c r="X92" s="2460">
        <f>'HVAC Deemed Table'!J114</f>
        <v>12</v>
      </c>
      <c r="Y92" s="94">
        <f t="shared" si="24"/>
        <v>18</v>
      </c>
      <c r="Z92" s="2414">
        <f>'HVAC Deemed Table'!BB113</f>
        <v>1.9786933967944331</v>
      </c>
      <c r="AA92" s="2417">
        <f>'HVAC Deemed Table'!K113</f>
        <v>388.26502607230418</v>
      </c>
      <c r="AB92" s="2418">
        <f t="shared" si="25"/>
        <v>589.63075605772679</v>
      </c>
      <c r="AC92" s="2418">
        <f t="shared" si="26"/>
        <v>135.48245139436057</v>
      </c>
      <c r="AD92" s="2445">
        <f>'HVAC Deemed Table'!BD113</f>
        <v>589.63075605772679</v>
      </c>
      <c r="AE92" s="2445">
        <v>0</v>
      </c>
      <c r="AF92" s="2445">
        <f>'HVAC Deemed Table'!BD114</f>
        <v>135.48245139436057</v>
      </c>
      <c r="AG92" s="2445">
        <v>0</v>
      </c>
      <c r="AH92" s="2378"/>
      <c r="AI92" s="2378"/>
      <c r="AJ92" s="2378"/>
      <c r="AK92" s="2378"/>
      <c r="AL92" s="2380">
        <f t="shared" si="19"/>
        <v>9.4741810000000004E-4</v>
      </c>
      <c r="AM92">
        <f t="shared" si="22"/>
        <v>0.96069142758100001</v>
      </c>
      <c r="AN92" s="2368">
        <f t="shared" si="20"/>
        <v>4.2758100005091393E-7</v>
      </c>
    </row>
    <row r="93" spans="1:40" x14ac:dyDescent="0.25">
      <c r="A93" s="2598" t="str">
        <f>'HVAC Deemed Table'!C115</f>
        <v>350501_2019_12_</v>
      </c>
      <c r="B93" s="245" t="str">
        <f>'HVAC Deemed Table'!G115</f>
        <v>Cooling RES</v>
      </c>
      <c r="C93" s="245" t="str">
        <f>'HVAC Deemed Table'!G116</f>
        <v>Cooling RES ER2</v>
      </c>
      <c r="D93" s="245"/>
      <c r="E93" s="245"/>
      <c r="F93" s="245" t="str">
        <f>'HVAC Deemed Table'!E115</f>
        <v>CAC - SEER 14 ER1: MF_CompE</v>
      </c>
      <c r="G93" s="745" t="str">
        <f>'HVAC Deemed Table'!D115</f>
        <v>MFc</v>
      </c>
      <c r="H93" s="2420">
        <f t="shared" ref="H93:H139" si="32">J93+K93</f>
        <v>737.46</v>
      </c>
      <c r="I93" s="2420">
        <f t="shared" ref="I93:I139" si="33">L93+M93</f>
        <v>83.34</v>
      </c>
      <c r="J93" s="2452">
        <f>'HVAC Deemed Table'!F115</f>
        <v>737.46</v>
      </c>
      <c r="K93" s="2452">
        <v>0</v>
      </c>
      <c r="L93" s="2452">
        <f>'HVAC Deemed Table'!F116</f>
        <v>83.34</v>
      </c>
      <c r="M93" s="2452">
        <v>0</v>
      </c>
      <c r="N93" s="2421">
        <f t="shared" si="27"/>
        <v>0.69868300000000005</v>
      </c>
      <c r="O93" s="2421">
        <f t="shared" si="28"/>
        <v>7.8958E-2</v>
      </c>
      <c r="P93" s="2412">
        <f>'HVAC Deemed Table'!I115</f>
        <v>0.69868300000000005</v>
      </c>
      <c r="Q93" s="2412"/>
      <c r="R93" s="2412">
        <f>'HVAC Deemed Table'!I116</f>
        <v>7.8958E-2</v>
      </c>
      <c r="S93" s="2412"/>
      <c r="T93" s="2413"/>
      <c r="U93" s="2413"/>
      <c r="V93" s="2424">
        <f t="shared" si="31"/>
        <v>7.8958E-2</v>
      </c>
      <c r="W93" s="2460">
        <f>'HVAC Deemed Table'!J115</f>
        <v>6</v>
      </c>
      <c r="X93" s="2460">
        <f>'HVAC Deemed Table'!J116</f>
        <v>12</v>
      </c>
      <c r="Y93" s="94">
        <f t="shared" si="24"/>
        <v>18</v>
      </c>
      <c r="Z93" s="2414">
        <f>'HVAC Deemed Table'!BB115</f>
        <v>1.8746996287397948</v>
      </c>
      <c r="AA93" s="2417">
        <f>'HVAC Deemed Table'!K115</f>
        <v>298.03912845693981</v>
      </c>
      <c r="AB93" s="2418">
        <f t="shared" si="25"/>
        <v>428.82131079805055</v>
      </c>
      <c r="AC93" s="2418">
        <f t="shared" si="26"/>
        <v>98.534841602286505</v>
      </c>
      <c r="AD93" s="2445">
        <f>'HVAC Deemed Table'!BD115</f>
        <v>428.82131079805055</v>
      </c>
      <c r="AE93" s="2445">
        <v>0</v>
      </c>
      <c r="AF93" s="2445">
        <f>'HVAC Deemed Table'!BD116</f>
        <v>98.534841602286505</v>
      </c>
      <c r="AG93" s="2445">
        <v>0</v>
      </c>
      <c r="AH93" s="2378"/>
      <c r="AI93" s="2378"/>
      <c r="AJ93" s="2378"/>
      <c r="AK93" s="2378"/>
      <c r="AL93" s="2380">
        <f t="shared" si="19"/>
        <v>9.4741810000000004E-4</v>
      </c>
      <c r="AM93">
        <f t="shared" si="22"/>
        <v>0.69868295202600006</v>
      </c>
      <c r="AN93" s="2368">
        <f t="shared" si="20"/>
        <v>-4.797399999478813E-8</v>
      </c>
    </row>
    <row r="94" spans="1:40" x14ac:dyDescent="0.25">
      <c r="A94" s="2598" t="str">
        <f>'HVAC Deemed Table'!C117</f>
        <v>350550_2019_12_</v>
      </c>
      <c r="B94" s="245" t="str">
        <f>'HVAC Deemed Table'!G117</f>
        <v>Cooling RES</v>
      </c>
      <c r="C94" s="245"/>
      <c r="D94" s="245"/>
      <c r="E94" s="245"/>
      <c r="F94" s="245" t="str">
        <f>'HVAC Deemed Table'!E117</f>
        <v>CAC - SEER 14 ROF: MF</v>
      </c>
      <c r="G94" s="745" t="str">
        <f>'HVAC Deemed Table'!D117</f>
        <v>MF</v>
      </c>
      <c r="H94" s="2420">
        <f t="shared" si="32"/>
        <v>114.59</v>
      </c>
      <c r="I94" s="2420">
        <f t="shared" si="33"/>
        <v>0</v>
      </c>
      <c r="J94" s="2452">
        <f>'HVAC Deemed Table'!F117</f>
        <v>114.59</v>
      </c>
      <c r="K94" s="2452">
        <v>0</v>
      </c>
      <c r="L94" s="2452">
        <v>0</v>
      </c>
      <c r="M94" s="2452">
        <v>0</v>
      </c>
      <c r="N94" s="2421">
        <f t="shared" si="27"/>
        <v>0.10856499999999999</v>
      </c>
      <c r="O94" s="2421">
        <f t="shared" si="28"/>
        <v>0</v>
      </c>
      <c r="P94" s="2412">
        <f>'HVAC Deemed Table'!I117</f>
        <v>0.10856499999999999</v>
      </c>
      <c r="Q94" s="2412"/>
      <c r="R94" s="2412"/>
      <c r="S94" s="2412"/>
      <c r="T94" s="2413"/>
      <c r="U94" s="2413"/>
      <c r="V94" s="2413">
        <f>P94</f>
        <v>0.10856499999999999</v>
      </c>
      <c r="W94" s="2460">
        <f>'HVAC Deemed Table'!J117</f>
        <v>18</v>
      </c>
      <c r="X94" s="2460"/>
      <c r="Y94" s="94">
        <f t="shared" si="24"/>
        <v>18</v>
      </c>
      <c r="Z94" s="2423" t="str">
        <f>'HVAC Deemed Table'!BB117</f>
        <v/>
      </c>
      <c r="AA94" s="2417">
        <f>'HVAC Deemed Table'!K117</f>
        <v>0</v>
      </c>
      <c r="AB94" s="2418">
        <f t="shared" si="25"/>
        <v>202.11472162508306</v>
      </c>
      <c r="AC94" s="2418">
        <f t="shared" si="26"/>
        <v>0</v>
      </c>
      <c r="AD94" s="2445">
        <f>'HVAC Deemed Table'!BD117</f>
        <v>202.11472162508306</v>
      </c>
      <c r="AE94" s="2445">
        <v>0</v>
      </c>
      <c r="AF94" s="2445">
        <v>0</v>
      </c>
      <c r="AG94" s="2445">
        <v>0</v>
      </c>
      <c r="AH94" s="2378"/>
      <c r="AI94" s="2378"/>
      <c r="AJ94" s="2378"/>
      <c r="AK94" s="2378"/>
      <c r="AL94" s="2380">
        <f t="shared" si="19"/>
        <v>9.4741810000000004E-4</v>
      </c>
      <c r="AM94">
        <f t="shared" si="22"/>
        <v>0.108564640079</v>
      </c>
      <c r="AN94" s="2368">
        <f t="shared" si="20"/>
        <v>-3.5992099998993776E-7</v>
      </c>
    </row>
    <row r="95" spans="1:40" x14ac:dyDescent="0.25">
      <c r="A95" s="2598" t="str">
        <f>'HVAC Deemed Table'!C118</f>
        <v>350551_2019_12_</v>
      </c>
      <c r="B95" s="245" t="str">
        <f>'HVAC Deemed Table'!G118</f>
        <v>Cooling RES</v>
      </c>
      <c r="C95" s="245"/>
      <c r="D95" s="245"/>
      <c r="E95" s="245"/>
      <c r="F95" s="245" t="str">
        <f>'HVAC Deemed Table'!E118</f>
        <v>CAC - SEER 14 ROF: MF_CompE</v>
      </c>
      <c r="G95" s="745" t="str">
        <f>'HVAC Deemed Table'!D118</f>
        <v>MFc</v>
      </c>
      <c r="H95" s="2420">
        <f t="shared" si="32"/>
        <v>83.34</v>
      </c>
      <c r="I95" s="2420">
        <f t="shared" si="33"/>
        <v>0</v>
      </c>
      <c r="J95" s="2452">
        <f>'HVAC Deemed Table'!F118</f>
        <v>83.34</v>
      </c>
      <c r="K95" s="2452">
        <v>0</v>
      </c>
      <c r="L95" s="2452">
        <v>0</v>
      </c>
      <c r="M95" s="2452">
        <v>0</v>
      </c>
      <c r="N95" s="2421">
        <f t="shared" si="27"/>
        <v>7.8958E-2</v>
      </c>
      <c r="O95" s="2421">
        <f t="shared" si="28"/>
        <v>0</v>
      </c>
      <c r="P95" s="2412">
        <f>'HVAC Deemed Table'!I118</f>
        <v>7.8958E-2</v>
      </c>
      <c r="Q95" s="2412"/>
      <c r="R95" s="2412"/>
      <c r="S95" s="2412"/>
      <c r="T95" s="2413"/>
      <c r="U95" s="2413"/>
      <c r="V95" s="2413">
        <f>P95</f>
        <v>7.8958E-2</v>
      </c>
      <c r="W95" s="2460">
        <f>'HVAC Deemed Table'!J118</f>
        <v>18</v>
      </c>
      <c r="X95" s="2460"/>
      <c r="Y95" s="94">
        <f t="shared" si="24"/>
        <v>18</v>
      </c>
      <c r="Z95" s="2423" t="str">
        <f>'HVAC Deemed Table'!BB118</f>
        <v/>
      </c>
      <c r="AA95" s="2417">
        <f>'HVAC Deemed Table'!K118</f>
        <v>0</v>
      </c>
      <c r="AB95" s="2418">
        <f t="shared" si="25"/>
        <v>146.99573174129</v>
      </c>
      <c r="AC95" s="2418">
        <f t="shared" si="26"/>
        <v>0</v>
      </c>
      <c r="AD95" s="2445">
        <f>'HVAC Deemed Table'!BD118</f>
        <v>146.99573174129</v>
      </c>
      <c r="AE95" s="2445">
        <v>0</v>
      </c>
      <c r="AF95" s="2445">
        <v>0</v>
      </c>
      <c r="AG95" s="2445">
        <v>0</v>
      </c>
      <c r="AH95" s="2378"/>
      <c r="AI95" s="2378"/>
      <c r="AJ95" s="2378"/>
      <c r="AK95" s="2378"/>
      <c r="AL95" s="2380">
        <f t="shared" si="19"/>
        <v>9.4741810000000004E-4</v>
      </c>
      <c r="AM95">
        <f t="shared" si="22"/>
        <v>7.8957824454E-2</v>
      </c>
      <c r="AN95" s="2368">
        <f t="shared" si="20"/>
        <v>-1.7554600000024845E-7</v>
      </c>
    </row>
    <row r="96" spans="1:40" x14ac:dyDescent="0.25">
      <c r="A96" s="2598" t="str">
        <f>'HVAC Deemed Table'!C119</f>
        <v>350600_2019_12_</v>
      </c>
      <c r="B96" s="245" t="str">
        <f>'HVAC Deemed Table'!G119</f>
        <v>Cooling RES</v>
      </c>
      <c r="C96" s="245" t="str">
        <f>'HVAC Deemed Table'!G120</f>
        <v>Cooling RES ER2</v>
      </c>
      <c r="D96" s="245"/>
      <c r="E96" s="245"/>
      <c r="F96" s="245" t="str">
        <f>'HVAC Deemed Table'!E119</f>
        <v>CAC - SEER 15 ER1: SF</v>
      </c>
      <c r="G96" s="745" t="str">
        <f>'HVAC Deemed Table'!D119</f>
        <v>SF</v>
      </c>
      <c r="H96" s="2420">
        <f t="shared" si="32"/>
        <v>1844.27</v>
      </c>
      <c r="I96" s="2420">
        <f t="shared" si="33"/>
        <v>373.73</v>
      </c>
      <c r="J96" s="2452">
        <f>'HVAC Deemed Table'!F119</f>
        <v>1844.27</v>
      </c>
      <c r="K96" s="2452">
        <v>0</v>
      </c>
      <c r="L96" s="2452">
        <f>'HVAC Deemed Table'!F120</f>
        <v>373.73</v>
      </c>
      <c r="M96" s="2452">
        <v>0</v>
      </c>
      <c r="N96" s="2421">
        <f t="shared" si="27"/>
        <v>1.747295</v>
      </c>
      <c r="O96" s="2421">
        <f t="shared" si="28"/>
        <v>0.35407899999999998</v>
      </c>
      <c r="P96" s="2412">
        <f>'HVAC Deemed Table'!I119</f>
        <v>1.747295</v>
      </c>
      <c r="Q96" s="2412"/>
      <c r="R96" s="2412">
        <f>'HVAC Deemed Table'!I120</f>
        <v>0.35407899999999998</v>
      </c>
      <c r="S96" s="2412"/>
      <c r="T96" s="2413"/>
      <c r="U96" s="2413"/>
      <c r="V96" s="2424">
        <f>O96</f>
        <v>0.35407899999999998</v>
      </c>
      <c r="W96" s="2460">
        <f>'HVAC Deemed Table'!J119</f>
        <v>6</v>
      </c>
      <c r="X96" s="2460"/>
      <c r="Y96" s="94">
        <f t="shared" si="24"/>
        <v>6</v>
      </c>
      <c r="Z96" s="2414">
        <f>'HVAC Deemed Table'!BB119</f>
        <v>2.6951111604872069</v>
      </c>
      <c r="AA96" s="2417">
        <f>'HVAC Deemed Table'!K119</f>
        <v>595.29397502709662</v>
      </c>
      <c r="AB96" s="2418">
        <f t="shared" si="25"/>
        <v>1072.4137971761461</v>
      </c>
      <c r="AC96" s="2418">
        <f t="shared" si="26"/>
        <v>441.869766642939</v>
      </c>
      <c r="AD96" s="2445">
        <f>'HVAC Deemed Table'!BD119</f>
        <v>1072.4137971761461</v>
      </c>
      <c r="AE96" s="2445">
        <v>0</v>
      </c>
      <c r="AF96" s="2445">
        <f>'HVAC Deemed Table'!BD120</f>
        <v>441.869766642939</v>
      </c>
      <c r="AG96" s="2445">
        <v>0</v>
      </c>
      <c r="AH96" s="2378"/>
      <c r="AI96" s="2378"/>
      <c r="AJ96" s="2378"/>
      <c r="AK96" s="2378"/>
      <c r="AL96" s="2380">
        <f t="shared" si="19"/>
        <v>9.4741810000000004E-4</v>
      </c>
      <c r="AM96">
        <f t="shared" si="22"/>
        <v>1.7472947792869999</v>
      </c>
      <c r="AN96" s="2368">
        <f t="shared" si="20"/>
        <v>-2.2071300009862682E-7</v>
      </c>
    </row>
    <row r="97" spans="1:40" x14ac:dyDescent="0.25">
      <c r="A97" s="2598" t="str">
        <f>'HVAC Deemed Table'!C121</f>
        <v>350650_2019_12_</v>
      </c>
      <c r="B97" s="245" t="str">
        <f>'HVAC Deemed Table'!G121</f>
        <v>Cooling RES</v>
      </c>
      <c r="C97" s="245"/>
      <c r="D97" s="245"/>
      <c r="E97" s="245"/>
      <c r="F97" s="245" t="str">
        <f>'HVAC Deemed Table'!E121</f>
        <v>CAC - SEER 15 ROF: SF</v>
      </c>
      <c r="G97" s="745" t="str">
        <f>'HVAC Deemed Table'!D121</f>
        <v>SF</v>
      </c>
      <c r="H97" s="2420">
        <f t="shared" si="32"/>
        <v>369.27</v>
      </c>
      <c r="I97" s="2420">
        <f t="shared" si="33"/>
        <v>0</v>
      </c>
      <c r="J97" s="2452">
        <f>'HVAC Deemed Table'!F121</f>
        <v>369.27</v>
      </c>
      <c r="K97" s="2452">
        <v>0</v>
      </c>
      <c r="L97" s="2452">
        <v>0</v>
      </c>
      <c r="M97" s="2452">
        <v>0</v>
      </c>
      <c r="N97" s="2421">
        <f t="shared" si="27"/>
        <v>0.34985300000000003</v>
      </c>
      <c r="O97" s="2421">
        <f t="shared" si="28"/>
        <v>0</v>
      </c>
      <c r="P97" s="2412">
        <f>'HVAC Deemed Table'!I121</f>
        <v>0.34985300000000003</v>
      </c>
      <c r="Q97" s="2412"/>
      <c r="R97" s="2412"/>
      <c r="S97" s="2412"/>
      <c r="T97" s="2413"/>
      <c r="U97" s="2413"/>
      <c r="V97" s="2413">
        <f>P97</f>
        <v>0.34985300000000003</v>
      </c>
      <c r="W97" s="2460">
        <f>'HVAC Deemed Table'!J121</f>
        <v>18</v>
      </c>
      <c r="X97" s="2460"/>
      <c r="Y97" s="94">
        <f t="shared" si="24"/>
        <v>18</v>
      </c>
      <c r="Z97" s="2414">
        <f>'HVAC Deemed Table'!BB121</f>
        <v>6.3895821817346263</v>
      </c>
      <c r="AA97" s="2417">
        <f>'HVAC Deemed Table'!K121</f>
        <v>108</v>
      </c>
      <c r="AB97" s="2418">
        <f t="shared" si="25"/>
        <v>651.32126062042425</v>
      </c>
      <c r="AC97" s="2418">
        <f t="shared" si="26"/>
        <v>0</v>
      </c>
      <c r="AD97" s="2445">
        <f>'HVAC Deemed Table'!BD121</f>
        <v>651.32126062042425</v>
      </c>
      <c r="AE97" s="2445">
        <v>0</v>
      </c>
      <c r="AF97" s="2445">
        <v>0</v>
      </c>
      <c r="AG97" s="2445">
        <v>0</v>
      </c>
      <c r="AH97" s="2378"/>
      <c r="AI97" s="2378"/>
      <c r="AJ97" s="2378"/>
      <c r="AK97" s="2378"/>
      <c r="AL97" s="2380">
        <f t="shared" si="19"/>
        <v>9.4741810000000004E-4</v>
      </c>
      <c r="AM97">
        <f t="shared" si="22"/>
        <v>0.34985308178699998</v>
      </c>
      <c r="AN97" s="2368">
        <f t="shared" si="20"/>
        <v>8.1786999950317352E-8</v>
      </c>
    </row>
    <row r="98" spans="1:40" x14ac:dyDescent="0.25">
      <c r="A98" s="2598" t="str">
        <f>'HVAC Deemed Table'!C122</f>
        <v>350700_2019_12_</v>
      </c>
      <c r="B98" s="245" t="str">
        <f>'HVAC Deemed Table'!G122</f>
        <v>Cooling RES</v>
      </c>
      <c r="C98" s="245" t="str">
        <f>'HVAC Deemed Table'!G123</f>
        <v>Cooling RES ER2</v>
      </c>
      <c r="D98" s="245"/>
      <c r="E98" s="245"/>
      <c r="F98" s="245" t="str">
        <f>'HVAC Deemed Table'!E122</f>
        <v>CAC - SEER 15 ER1: MF</v>
      </c>
      <c r="G98" s="745" t="str">
        <f>'HVAC Deemed Table'!D122</f>
        <v>MF</v>
      </c>
      <c r="H98" s="2420">
        <f t="shared" si="32"/>
        <v>1113.32</v>
      </c>
      <c r="I98" s="2420">
        <f t="shared" si="33"/>
        <v>213.91</v>
      </c>
      <c r="J98" s="2452">
        <f>'HVAC Deemed Table'!F122</f>
        <v>1113.32</v>
      </c>
      <c r="K98" s="2452">
        <v>0</v>
      </c>
      <c r="L98" s="2452">
        <f>'HVAC Deemed Table'!F123</f>
        <v>213.91</v>
      </c>
      <c r="M98" s="2452">
        <v>0</v>
      </c>
      <c r="N98" s="2421">
        <f t="shared" si="27"/>
        <v>1.0547800000000001</v>
      </c>
      <c r="O98" s="2421">
        <f t="shared" si="28"/>
        <v>0.20266200000000001</v>
      </c>
      <c r="P98" s="2412">
        <f>'HVAC Deemed Table'!I122</f>
        <v>1.0547800000000001</v>
      </c>
      <c r="Q98" s="2412"/>
      <c r="R98" s="2412">
        <f>'HVAC Deemed Table'!I123</f>
        <v>0.20266200000000001</v>
      </c>
      <c r="S98" s="2412"/>
      <c r="T98" s="2413"/>
      <c r="U98" s="2413"/>
      <c r="V98" s="2424">
        <f t="shared" ref="V98:V99" si="34">O98</f>
        <v>0.20266200000000001</v>
      </c>
      <c r="W98" s="2460">
        <f>'HVAC Deemed Table'!J122</f>
        <v>6</v>
      </c>
      <c r="X98" s="2460">
        <f>'HVAC Deemed Table'!J123</f>
        <v>12</v>
      </c>
      <c r="Y98" s="94">
        <f t="shared" si="24"/>
        <v>18</v>
      </c>
      <c r="Z98" s="2414">
        <f>'HVAC Deemed Table'!BB122</f>
        <v>2.3491724960578386</v>
      </c>
      <c r="AA98" s="2417">
        <f>'HVAC Deemed Table'!K122</f>
        <v>406.03912845693981</v>
      </c>
      <c r="AB98" s="2418">
        <f t="shared" si="25"/>
        <v>647.37794827880236</v>
      </c>
      <c r="AC98" s="2418">
        <f t="shared" si="26"/>
        <v>252.91082273992208</v>
      </c>
      <c r="AD98" s="2445">
        <f>'HVAC Deemed Table'!BD122</f>
        <v>647.37794827880236</v>
      </c>
      <c r="AE98" s="2445">
        <v>0</v>
      </c>
      <c r="AF98" s="2445">
        <f>'HVAC Deemed Table'!BD123</f>
        <v>252.91082273992208</v>
      </c>
      <c r="AG98" s="2445">
        <v>0</v>
      </c>
      <c r="AH98" s="2378"/>
      <c r="AI98" s="2378"/>
      <c r="AJ98" s="2378"/>
      <c r="AK98" s="2378"/>
      <c r="AL98" s="2380">
        <f t="shared" si="19"/>
        <v>9.4741810000000004E-4</v>
      </c>
      <c r="AM98">
        <f t="shared" si="22"/>
        <v>1.054779519092</v>
      </c>
      <c r="AN98" s="2368">
        <f t="shared" si="20"/>
        <v>-4.8090800008893098E-7</v>
      </c>
    </row>
    <row r="99" spans="1:40" x14ac:dyDescent="0.25">
      <c r="A99" s="2598" t="str">
        <f>'HVAC Deemed Table'!C124</f>
        <v>350701_2019_12_</v>
      </c>
      <c r="B99" s="245" t="str">
        <f>'HVAC Deemed Table'!G124</f>
        <v>Cooling RES</v>
      </c>
      <c r="C99" s="245" t="str">
        <f>'HVAC Deemed Table'!G125</f>
        <v>Cooling RES ER2</v>
      </c>
      <c r="D99" s="245"/>
      <c r="E99" s="245"/>
      <c r="F99" s="245" t="str">
        <f>'HVAC Deemed Table'!E124</f>
        <v>CAC - SEER 15 ER1: MF_CompE</v>
      </c>
      <c r="G99" s="745" t="str">
        <f>'HVAC Deemed Table'!D124</f>
        <v>MFc</v>
      </c>
      <c r="H99" s="2420">
        <f t="shared" si="32"/>
        <v>809.69</v>
      </c>
      <c r="I99" s="2420">
        <f t="shared" si="33"/>
        <v>155.57</v>
      </c>
      <c r="J99" s="2452">
        <f>'HVAC Deemed Table'!F124</f>
        <v>809.69</v>
      </c>
      <c r="K99" s="2452">
        <v>0</v>
      </c>
      <c r="L99" s="2452">
        <f>'HVAC Deemed Table'!F125</f>
        <v>155.57</v>
      </c>
      <c r="M99" s="2452">
        <v>0</v>
      </c>
      <c r="N99" s="2421">
        <f t="shared" si="27"/>
        <v>0.76711499999999999</v>
      </c>
      <c r="O99" s="2421">
        <f t="shared" si="28"/>
        <v>0.14738999999999999</v>
      </c>
      <c r="P99" s="2412">
        <f>'HVAC Deemed Table'!I124</f>
        <v>0.76711499999999999</v>
      </c>
      <c r="Q99" s="2412"/>
      <c r="R99" s="2412">
        <f>'HVAC Deemed Table'!I125</f>
        <v>0.14738999999999999</v>
      </c>
      <c r="S99" s="2412"/>
      <c r="T99" s="2413"/>
      <c r="U99" s="2413"/>
      <c r="V99" s="2424">
        <f t="shared" si="34"/>
        <v>0.14738999999999999</v>
      </c>
      <c r="W99" s="2460">
        <f>'HVAC Deemed Table'!J124</f>
        <v>6</v>
      </c>
      <c r="X99" s="2460">
        <f>'HVAC Deemed Table'!J125</f>
        <v>12</v>
      </c>
      <c r="Y99" s="94">
        <f t="shared" si="24"/>
        <v>18</v>
      </c>
      <c r="Z99" s="2414">
        <f>'HVAC Deemed Table'!BB124</f>
        <v>1.708490421490914</v>
      </c>
      <c r="AA99" s="2417">
        <f>'HVAC Deemed Table'!K124</f>
        <v>406.03912845693981</v>
      </c>
      <c r="AB99" s="2418">
        <f t="shared" si="25"/>
        <v>470.82191188684618</v>
      </c>
      <c r="AC99" s="2418">
        <f t="shared" si="26"/>
        <v>183.93406897129483</v>
      </c>
      <c r="AD99" s="2445">
        <f>'HVAC Deemed Table'!BD124</f>
        <v>470.82191188684618</v>
      </c>
      <c r="AE99" s="2445">
        <v>0</v>
      </c>
      <c r="AF99" s="2445">
        <f>'HVAC Deemed Table'!BD125</f>
        <v>183.93406897129483</v>
      </c>
      <c r="AG99" s="2445">
        <v>0</v>
      </c>
      <c r="AH99" s="2378"/>
      <c r="AI99" s="2378"/>
      <c r="AJ99" s="2378"/>
      <c r="AK99" s="2378"/>
      <c r="AL99" s="2380">
        <f t="shared" si="19"/>
        <v>9.4741810000000004E-4</v>
      </c>
      <c r="AM99">
        <f t="shared" si="22"/>
        <v>0.76711496138900004</v>
      </c>
      <c r="AN99" s="2368">
        <f t="shared" si="20"/>
        <v>-3.8610999952837233E-8</v>
      </c>
    </row>
    <row r="100" spans="1:40" x14ac:dyDescent="0.25">
      <c r="A100" s="2598" t="str">
        <f>'HVAC Deemed Table'!C126</f>
        <v>350750_2019_12_</v>
      </c>
      <c r="B100" s="245" t="str">
        <f>'HVAC Deemed Table'!G126</f>
        <v>Cooling RES</v>
      </c>
      <c r="C100" s="245"/>
      <c r="D100" s="245"/>
      <c r="E100" s="245"/>
      <c r="F100" s="245" t="str">
        <f>'HVAC Deemed Table'!E126</f>
        <v>CAC - SEER 15 ROF: MF</v>
      </c>
      <c r="G100" s="745" t="str">
        <f>'HVAC Deemed Table'!D126</f>
        <v>MF</v>
      </c>
      <c r="H100" s="2420">
        <f t="shared" si="32"/>
        <v>213.91</v>
      </c>
      <c r="I100" s="2420">
        <f t="shared" si="33"/>
        <v>0</v>
      </c>
      <c r="J100" s="2452">
        <f>'HVAC Deemed Table'!F126</f>
        <v>213.91</v>
      </c>
      <c r="K100" s="2452">
        <v>0</v>
      </c>
      <c r="L100" s="2452">
        <v>0</v>
      </c>
      <c r="M100" s="2452">
        <v>0</v>
      </c>
      <c r="N100" s="2421">
        <f t="shared" si="27"/>
        <v>0.20266200000000001</v>
      </c>
      <c r="O100" s="2421">
        <f t="shared" si="28"/>
        <v>0</v>
      </c>
      <c r="P100" s="2412">
        <f>'HVAC Deemed Table'!I126</f>
        <v>0.20266200000000001</v>
      </c>
      <c r="Q100" s="2412"/>
      <c r="R100" s="2412"/>
      <c r="S100" s="2412"/>
      <c r="T100" s="2413"/>
      <c r="U100" s="2413"/>
      <c r="V100" s="2413">
        <f>P100</f>
        <v>0.20266200000000001</v>
      </c>
      <c r="W100" s="2460">
        <f>'HVAC Deemed Table'!J126</f>
        <v>18</v>
      </c>
      <c r="X100" s="2460"/>
      <c r="Y100" s="94">
        <f t="shared" si="24"/>
        <v>18</v>
      </c>
      <c r="Z100" s="2414">
        <f>'HVAC Deemed Table'!BB126</f>
        <v>3.7013446109753128</v>
      </c>
      <c r="AA100" s="2417">
        <f>'HVAC Deemed Table'!K126</f>
        <v>108</v>
      </c>
      <c r="AB100" s="2418">
        <f t="shared" si="25"/>
        <v>377.29610003334943</v>
      </c>
      <c r="AC100" s="2418">
        <f t="shared" si="26"/>
        <v>0</v>
      </c>
      <c r="AD100" s="2445">
        <f>'HVAC Deemed Table'!BD126</f>
        <v>377.29610003334943</v>
      </c>
      <c r="AE100" s="2445">
        <v>0</v>
      </c>
      <c r="AF100" s="2445">
        <v>0</v>
      </c>
      <c r="AG100" s="2445">
        <v>0</v>
      </c>
      <c r="AH100" s="2378"/>
      <c r="AI100" s="2378"/>
      <c r="AJ100" s="2378"/>
      <c r="AK100" s="2378"/>
      <c r="AL100" s="2380">
        <f t="shared" si="19"/>
        <v>9.4741810000000004E-4</v>
      </c>
      <c r="AM100">
        <f t="shared" si="22"/>
        <v>0.202662205771</v>
      </c>
      <c r="AN100" s="2368">
        <f t="shared" si="20"/>
        <v>2.0577099998919657E-7</v>
      </c>
    </row>
    <row r="101" spans="1:40" x14ac:dyDescent="0.25">
      <c r="A101" s="2598" t="str">
        <f>'HVAC Deemed Table'!C127</f>
        <v>350751_2019_12_</v>
      </c>
      <c r="B101" s="245" t="str">
        <f>'HVAC Deemed Table'!G127</f>
        <v>Cooling RES</v>
      </c>
      <c r="C101" s="245"/>
      <c r="D101" s="245"/>
      <c r="E101" s="245"/>
      <c r="F101" s="245" t="str">
        <f>'HVAC Deemed Table'!E127</f>
        <v>CAC - SEER 15 ROF: MF_CompE</v>
      </c>
      <c r="G101" s="745" t="str">
        <f>'HVAC Deemed Table'!D127</f>
        <v>MFc</v>
      </c>
      <c r="H101" s="2420">
        <f t="shared" si="32"/>
        <v>155.57</v>
      </c>
      <c r="I101" s="2420">
        <f t="shared" si="33"/>
        <v>0</v>
      </c>
      <c r="J101" s="2452">
        <f>'HVAC Deemed Table'!F127</f>
        <v>155.57</v>
      </c>
      <c r="K101" s="2452">
        <v>0</v>
      </c>
      <c r="L101" s="2452">
        <v>0</v>
      </c>
      <c r="M101" s="2452">
        <v>0</v>
      </c>
      <c r="N101" s="2421">
        <f t="shared" si="27"/>
        <v>0.14738999999999999</v>
      </c>
      <c r="O101" s="2421">
        <f t="shared" si="28"/>
        <v>0</v>
      </c>
      <c r="P101" s="2412">
        <f>'HVAC Deemed Table'!I127</f>
        <v>0.14738999999999999</v>
      </c>
      <c r="Q101" s="2412"/>
      <c r="R101" s="2412"/>
      <c r="S101" s="2412"/>
      <c r="T101" s="2413"/>
      <c r="U101" s="2413"/>
      <c r="V101" s="2413">
        <f>P101</f>
        <v>0.14738999999999999</v>
      </c>
      <c r="W101" s="2460">
        <f>'HVAC Deemed Table'!J127</f>
        <v>18</v>
      </c>
      <c r="X101" s="2460"/>
      <c r="Y101" s="94">
        <f t="shared" si="24"/>
        <v>18</v>
      </c>
      <c r="Z101" s="2414">
        <f>'HVAC Deemed Table'!BB127</f>
        <v>2.6918712595457408</v>
      </c>
      <c r="AA101" s="2417">
        <f>'HVAC Deemed Table'!K127</f>
        <v>108</v>
      </c>
      <c r="AB101" s="2418">
        <f t="shared" si="25"/>
        <v>274.39556019909389</v>
      </c>
      <c r="AC101" s="2418">
        <f t="shared" si="26"/>
        <v>0</v>
      </c>
      <c r="AD101" s="2445">
        <f>'HVAC Deemed Table'!BD127</f>
        <v>274.39556019909389</v>
      </c>
      <c r="AE101" s="2445">
        <v>0</v>
      </c>
      <c r="AF101" s="2445">
        <v>0</v>
      </c>
      <c r="AG101" s="2445">
        <v>0</v>
      </c>
      <c r="AH101" s="2378"/>
      <c r="AI101" s="2378"/>
      <c r="AJ101" s="2378"/>
      <c r="AK101" s="2378"/>
      <c r="AL101" s="2380">
        <f t="shared" si="19"/>
        <v>9.4741810000000004E-4</v>
      </c>
      <c r="AM101">
        <f t="shared" si="22"/>
        <v>0.14738983381699999</v>
      </c>
      <c r="AN101" s="2368">
        <f t="shared" si="20"/>
        <v>-1.6618299999993091E-7</v>
      </c>
    </row>
    <row r="102" spans="1:40" x14ac:dyDescent="0.25">
      <c r="A102" s="2598" t="str">
        <f>'HVAC Deemed Table'!C128</f>
        <v>350800_2019_12_</v>
      </c>
      <c r="B102" s="245" t="str">
        <f>'HVAC Deemed Table'!G128</f>
        <v>Cooling RES</v>
      </c>
      <c r="C102" s="245" t="str">
        <f>'HVAC Deemed Table'!G129</f>
        <v>Cooling RES ER2</v>
      </c>
      <c r="D102" s="245"/>
      <c r="E102" s="245"/>
      <c r="F102" s="245" t="str">
        <f>'HVAC Deemed Table'!E128</f>
        <v>CAC - SEER 16 ER1: SF</v>
      </c>
      <c r="G102" s="745" t="str">
        <f>'HVAC Deemed Table'!D128</f>
        <v>SF</v>
      </c>
      <c r="H102" s="2420">
        <f t="shared" si="32"/>
        <v>1880.22</v>
      </c>
      <c r="I102" s="2420">
        <f t="shared" si="33"/>
        <v>504.12</v>
      </c>
      <c r="J102" s="2452">
        <f>'HVAC Deemed Table'!F128</f>
        <v>1880.22</v>
      </c>
      <c r="K102" s="2452">
        <v>0</v>
      </c>
      <c r="L102" s="2452">
        <f>'HVAC Deemed Table'!F129</f>
        <v>504.12</v>
      </c>
      <c r="M102" s="2452">
        <v>0</v>
      </c>
      <c r="N102" s="2421">
        <f t="shared" si="27"/>
        <v>1.7813540000000001</v>
      </c>
      <c r="O102" s="2421">
        <f t="shared" si="28"/>
        <v>0.47761199999999998</v>
      </c>
      <c r="P102" s="2412">
        <f>'HVAC Deemed Table'!I128</f>
        <v>1.7813540000000001</v>
      </c>
      <c r="Q102" s="2412"/>
      <c r="R102" s="2412">
        <f>'HVAC Deemed Table'!I129</f>
        <v>0.47761199999999998</v>
      </c>
      <c r="S102" s="2412"/>
      <c r="T102" s="2413"/>
      <c r="U102" s="2413"/>
      <c r="V102" s="2424">
        <f>O102</f>
        <v>0.47761199999999998</v>
      </c>
      <c r="W102" s="2460">
        <f>'HVAC Deemed Table'!J128</f>
        <v>6</v>
      </c>
      <c r="X102" s="2460">
        <f>'HVAC Deemed Table'!J129</f>
        <v>12</v>
      </c>
      <c r="Y102" s="94">
        <f t="shared" si="24"/>
        <v>18</v>
      </c>
      <c r="Z102" s="2414">
        <f>'HVAC Deemed Table'!BB128</f>
        <v>2.6438224883758221</v>
      </c>
      <c r="AA102" s="2417">
        <f>'HVAC Deemed Table'!K128</f>
        <v>676.9998665391181</v>
      </c>
      <c r="AB102" s="2418">
        <f t="shared" si="25"/>
        <v>1093.3181528336595</v>
      </c>
      <c r="AC102" s="2418">
        <f t="shared" si="26"/>
        <v>596.03292954817221</v>
      </c>
      <c r="AD102" s="2445">
        <f>'HVAC Deemed Table'!BD128</f>
        <v>1093.3181528336595</v>
      </c>
      <c r="AE102" s="2445">
        <v>0</v>
      </c>
      <c r="AF102" s="2445">
        <f>'HVAC Deemed Table'!BD129</f>
        <v>596.03292954817221</v>
      </c>
      <c r="AG102" s="2445">
        <v>0</v>
      </c>
      <c r="AH102" s="2378"/>
      <c r="AI102" s="2378"/>
      <c r="AJ102" s="2378"/>
      <c r="AK102" s="2378"/>
      <c r="AL102" s="2380">
        <f t="shared" si="19"/>
        <v>9.4741810000000004E-4</v>
      </c>
      <c r="AM102">
        <f t="shared" si="22"/>
        <v>1.7813544599820001</v>
      </c>
      <c r="AN102" s="2368">
        <f t="shared" si="20"/>
        <v>4.5998200004504497E-7</v>
      </c>
    </row>
    <row r="103" spans="1:40" x14ac:dyDescent="0.25">
      <c r="A103" s="2598" t="str">
        <f>'HVAC Deemed Table'!C130</f>
        <v>350850_2019_12_</v>
      </c>
      <c r="B103" s="245" t="str">
        <f>'HVAC Deemed Table'!G130</f>
        <v>Cooling RES</v>
      </c>
      <c r="C103" s="245"/>
      <c r="D103" s="245"/>
      <c r="E103" s="245"/>
      <c r="F103" s="245" t="str">
        <f>'HVAC Deemed Table'!E130</f>
        <v>CAC - SEER 16 ROF: SF</v>
      </c>
      <c r="G103" s="745" t="str">
        <f>'HVAC Deemed Table'!D130</f>
        <v>SF</v>
      </c>
      <c r="H103" s="2420">
        <f t="shared" si="32"/>
        <v>493.75</v>
      </c>
      <c r="I103" s="2420">
        <f t="shared" si="33"/>
        <v>0</v>
      </c>
      <c r="J103" s="2452">
        <f>'HVAC Deemed Table'!F130</f>
        <v>493.75</v>
      </c>
      <c r="K103" s="2452">
        <v>0</v>
      </c>
      <c r="L103" s="2452"/>
      <c r="M103" s="2452">
        <v>0</v>
      </c>
      <c r="N103" s="2421">
        <f t="shared" si="27"/>
        <v>0.46778799999999998</v>
      </c>
      <c r="O103" s="2421">
        <f t="shared" si="28"/>
        <v>0</v>
      </c>
      <c r="P103" s="2412">
        <f>'HVAC Deemed Table'!I130</f>
        <v>0.46778799999999998</v>
      </c>
      <c r="Q103" s="2412"/>
      <c r="R103" s="2412"/>
      <c r="S103" s="2412"/>
      <c r="T103" s="2413"/>
      <c r="U103" s="2413"/>
      <c r="V103" s="2413">
        <f>P103</f>
        <v>0.46778799999999998</v>
      </c>
      <c r="W103" s="2460">
        <f>'HVAC Deemed Table'!J130</f>
        <v>18</v>
      </c>
      <c r="X103" s="2460"/>
      <c r="Y103" s="94">
        <f t="shared" si="24"/>
        <v>18</v>
      </c>
      <c r="Z103" s="2414">
        <f>'HVAC Deemed Table'!BB130</f>
        <v>4.1751013690211947</v>
      </c>
      <c r="AA103" s="2417">
        <f>'HVAC Deemed Table'!K130</f>
        <v>221</v>
      </c>
      <c r="AB103" s="2418">
        <f t="shared" si="25"/>
        <v>870.88004016393018</v>
      </c>
      <c r="AC103" s="2418">
        <f t="shared" si="26"/>
        <v>0</v>
      </c>
      <c r="AD103" s="2445">
        <f>'HVAC Deemed Table'!BD130</f>
        <v>870.88004016393018</v>
      </c>
      <c r="AE103" s="2445">
        <v>0</v>
      </c>
      <c r="AF103" s="2445"/>
      <c r="AG103" s="2445">
        <v>0</v>
      </c>
      <c r="AH103" s="2378"/>
      <c r="AI103" s="2378"/>
      <c r="AJ103" s="2378"/>
      <c r="AK103" s="2378"/>
      <c r="AL103" s="2380">
        <f t="shared" si="19"/>
        <v>9.4741810000000004E-4</v>
      </c>
      <c r="AM103">
        <f t="shared" si="22"/>
        <v>0.467787686875</v>
      </c>
      <c r="AN103" s="2368">
        <f t="shared" si="20"/>
        <v>-3.1312499998437104E-7</v>
      </c>
    </row>
    <row r="104" spans="1:40" x14ac:dyDescent="0.25">
      <c r="A104" s="2598" t="str">
        <f>'HVAC Deemed Table'!C131</f>
        <v>350900_2019_12_</v>
      </c>
      <c r="B104" s="245" t="str">
        <f>'HVAC Deemed Table'!G131</f>
        <v>Cooling RES</v>
      </c>
      <c r="C104" s="245" t="str">
        <f>'HVAC Deemed Table'!G132</f>
        <v>Cooling RES ER2</v>
      </c>
      <c r="D104" s="245"/>
      <c r="E104" s="245"/>
      <c r="F104" s="245" t="str">
        <f>'HVAC Deemed Table'!E131</f>
        <v>CAC - SEER 16 ER1: MF</v>
      </c>
      <c r="G104" s="745" t="str">
        <f>'HVAC Deemed Table'!D131</f>
        <v>MF</v>
      </c>
      <c r="H104" s="2420">
        <f t="shared" si="32"/>
        <v>1200.22</v>
      </c>
      <c r="I104" s="2420">
        <f t="shared" si="33"/>
        <v>300.81</v>
      </c>
      <c r="J104" s="2452">
        <f>'HVAC Deemed Table'!F131</f>
        <v>1200.22</v>
      </c>
      <c r="K104" s="2452">
        <v>0</v>
      </c>
      <c r="L104" s="2452">
        <f>'HVAC Deemed Table'!F132</f>
        <v>300.81</v>
      </c>
      <c r="M104" s="2452">
        <v>0</v>
      </c>
      <c r="N104" s="2421">
        <f t="shared" si="27"/>
        <v>1.1371100000000001</v>
      </c>
      <c r="O104" s="2421">
        <f t="shared" si="28"/>
        <v>0.284993</v>
      </c>
      <c r="P104" s="2412">
        <f>'HVAC Deemed Table'!I131</f>
        <v>1.1371100000000001</v>
      </c>
      <c r="Q104" s="2412"/>
      <c r="R104" s="2412">
        <f>'HVAC Deemed Table'!I132</f>
        <v>0.284993</v>
      </c>
      <c r="S104" s="2412"/>
      <c r="T104" s="2413"/>
      <c r="U104" s="2413"/>
      <c r="V104" s="2424">
        <f t="shared" ref="V104:V105" si="35">O104</f>
        <v>0.284993</v>
      </c>
      <c r="W104" s="2460">
        <f>'HVAC Deemed Table'!J131</f>
        <v>6</v>
      </c>
      <c r="X104" s="2460">
        <f>'HVAC Deemed Table'!J132</f>
        <v>12</v>
      </c>
      <c r="Y104" s="94">
        <f t="shared" si="24"/>
        <v>18</v>
      </c>
      <c r="Z104" s="2414">
        <f>'HVAC Deemed Table'!BB131</f>
        <v>2.1506099146365076</v>
      </c>
      <c r="AA104" s="2417">
        <f>'HVAC Deemed Table'!K131</f>
        <v>519.03912845694003</v>
      </c>
      <c r="AB104" s="2418">
        <f t="shared" si="25"/>
        <v>697.90892203785461</v>
      </c>
      <c r="AC104" s="2418">
        <f t="shared" si="26"/>
        <v>355.65473604972163</v>
      </c>
      <c r="AD104" s="2445">
        <f>'HVAC Deemed Table'!BD131</f>
        <v>697.90892203785461</v>
      </c>
      <c r="AE104" s="2445">
        <v>0</v>
      </c>
      <c r="AF104" s="2445">
        <f>'HVAC Deemed Table'!BD132</f>
        <v>355.65473604972163</v>
      </c>
      <c r="AG104" s="2445">
        <v>0</v>
      </c>
      <c r="AH104" s="2378"/>
      <c r="AI104" s="2378"/>
      <c r="AJ104" s="2378"/>
      <c r="AK104" s="2378"/>
      <c r="AL104" s="2380">
        <f t="shared" si="19"/>
        <v>9.4741810000000004E-4</v>
      </c>
      <c r="AM104">
        <f t="shared" si="22"/>
        <v>1.1371101519820002</v>
      </c>
      <c r="AN104" s="2368">
        <f t="shared" si="20"/>
        <v>1.5198200009614027E-7</v>
      </c>
    </row>
    <row r="105" spans="1:40" x14ac:dyDescent="0.25">
      <c r="A105" s="2598" t="str">
        <f>'HVAC Deemed Table'!C133</f>
        <v>350901_2019_12_</v>
      </c>
      <c r="B105" s="245" t="str">
        <f>'HVAC Deemed Table'!G133</f>
        <v>Cooling RES</v>
      </c>
      <c r="C105" s="245" t="str">
        <f>'HVAC Deemed Table'!G134</f>
        <v>Cooling RES ER2</v>
      </c>
      <c r="D105" s="245"/>
      <c r="E105" s="245"/>
      <c r="F105" s="245" t="str">
        <f>'HVAC Deemed Table'!E133</f>
        <v>CAC - SEER 16 ER1: MF_CompE</v>
      </c>
      <c r="G105" s="745" t="str">
        <f>'HVAC Deemed Table'!D133</f>
        <v>MFc</v>
      </c>
      <c r="H105" s="2420">
        <f t="shared" si="32"/>
        <v>872.89</v>
      </c>
      <c r="I105" s="2420">
        <f t="shared" si="33"/>
        <v>218.77</v>
      </c>
      <c r="J105" s="2452">
        <f>'HVAC Deemed Table'!F133</f>
        <v>872.89</v>
      </c>
      <c r="K105" s="2452">
        <v>0</v>
      </c>
      <c r="L105" s="2452">
        <f>'HVAC Deemed Table'!F134</f>
        <v>218.77</v>
      </c>
      <c r="M105" s="2452">
        <v>0</v>
      </c>
      <c r="N105" s="2421">
        <f t="shared" si="27"/>
        <v>0.82699199999999995</v>
      </c>
      <c r="O105" s="2421">
        <f t="shared" si="28"/>
        <v>0.20726700000000001</v>
      </c>
      <c r="P105" s="2412">
        <f>'HVAC Deemed Table'!I133</f>
        <v>0.82699199999999995</v>
      </c>
      <c r="Q105" s="2412"/>
      <c r="R105" s="2412">
        <f>'HVAC Deemed Table'!I134</f>
        <v>0.20726700000000001</v>
      </c>
      <c r="S105" s="2412"/>
      <c r="T105" s="2413"/>
      <c r="U105" s="2413"/>
      <c r="V105" s="2424">
        <f t="shared" si="35"/>
        <v>0.20726700000000001</v>
      </c>
      <c r="W105" s="2460">
        <f>'HVAC Deemed Table'!J133</f>
        <v>6</v>
      </c>
      <c r="X105" s="2460">
        <f>'HVAC Deemed Table'!J134</f>
        <v>12</v>
      </c>
      <c r="Y105" s="94">
        <f t="shared" si="24"/>
        <v>18</v>
      </c>
      <c r="Z105" s="2414">
        <f>'HVAC Deemed Table'!BB133</f>
        <v>1.5640809810611827</v>
      </c>
      <c r="AA105" s="2417">
        <f>'HVAC Deemed Table'!K133</f>
        <v>519.03912845694003</v>
      </c>
      <c r="AB105" s="2418">
        <f t="shared" si="25"/>
        <v>507.57171098433861</v>
      </c>
      <c r="AC105" s="2418">
        <f t="shared" si="26"/>
        <v>258.65691501478545</v>
      </c>
      <c r="AD105" s="2445">
        <f>'HVAC Deemed Table'!BD133</f>
        <v>507.57171098433861</v>
      </c>
      <c r="AE105" s="2445">
        <v>0</v>
      </c>
      <c r="AF105" s="2445">
        <f>'HVAC Deemed Table'!BD134</f>
        <v>258.65691501478545</v>
      </c>
      <c r="AG105" s="2445">
        <v>0</v>
      </c>
      <c r="AH105" s="2378"/>
      <c r="AI105" s="2378"/>
      <c r="AJ105" s="2378"/>
      <c r="AK105" s="2378"/>
      <c r="AL105" s="2380">
        <f t="shared" si="19"/>
        <v>9.4741810000000004E-4</v>
      </c>
      <c r="AM105">
        <f t="shared" si="22"/>
        <v>0.82699178530899997</v>
      </c>
      <c r="AN105" s="2368">
        <f t="shared" si="20"/>
        <v>-2.1469099997784014E-7</v>
      </c>
    </row>
    <row r="106" spans="1:40" x14ac:dyDescent="0.25">
      <c r="A106" s="2598" t="str">
        <f>'HVAC Deemed Table'!C135</f>
        <v>350950_2019_12_</v>
      </c>
      <c r="B106" s="245" t="str">
        <f>'HVAC Deemed Table'!G135</f>
        <v>Cooling RES</v>
      </c>
      <c r="C106" s="245"/>
      <c r="D106" s="245"/>
      <c r="E106" s="245"/>
      <c r="F106" s="245" t="str">
        <f>'HVAC Deemed Table'!E135</f>
        <v>CAC - SEER 16 ROF: MF</v>
      </c>
      <c r="G106" s="745" t="str">
        <f>'HVAC Deemed Table'!D135</f>
        <v>MF</v>
      </c>
      <c r="H106" s="2420">
        <f t="shared" si="32"/>
        <v>300.81</v>
      </c>
      <c r="I106" s="2420">
        <f t="shared" si="33"/>
        <v>0</v>
      </c>
      <c r="J106" s="2452">
        <f>'HVAC Deemed Table'!F135</f>
        <v>300.81</v>
      </c>
      <c r="K106" s="2452">
        <v>0</v>
      </c>
      <c r="L106" s="2452"/>
      <c r="M106" s="2452">
        <v>0</v>
      </c>
      <c r="N106" s="2421">
        <f t="shared" si="27"/>
        <v>0.284993</v>
      </c>
      <c r="O106" s="2421">
        <f t="shared" si="28"/>
        <v>0</v>
      </c>
      <c r="P106" s="2412">
        <f>'HVAC Deemed Table'!I135</f>
        <v>0.284993</v>
      </c>
      <c r="Q106" s="2412"/>
      <c r="R106" s="2412"/>
      <c r="S106" s="2412"/>
      <c r="T106" s="2413"/>
      <c r="U106" s="2413"/>
      <c r="V106" s="2413">
        <f>P106</f>
        <v>0.284993</v>
      </c>
      <c r="W106" s="2460">
        <f>'HVAC Deemed Table'!J135</f>
        <v>18</v>
      </c>
      <c r="X106" s="2460"/>
      <c r="Y106" s="94">
        <f t="shared" si="24"/>
        <v>18</v>
      </c>
      <c r="Z106" s="2414">
        <f>'HVAC Deemed Table'!BB135</f>
        <v>2.5436197322840819</v>
      </c>
      <c r="AA106" s="2417">
        <f>'HVAC Deemed Table'!K135</f>
        <v>221</v>
      </c>
      <c r="AB106" s="2418">
        <f t="shared" si="25"/>
        <v>530.57098710220112</v>
      </c>
      <c r="AC106" s="2418">
        <f t="shared" si="26"/>
        <v>0</v>
      </c>
      <c r="AD106" s="2445">
        <f>'HVAC Deemed Table'!BD135</f>
        <v>530.57098710220112</v>
      </c>
      <c r="AE106" s="2445">
        <v>0</v>
      </c>
      <c r="AF106" s="2445"/>
      <c r="AG106" s="2445">
        <v>0</v>
      </c>
      <c r="AH106" s="2378"/>
      <c r="AI106" s="2378"/>
      <c r="AJ106" s="2378"/>
      <c r="AK106" s="2378"/>
      <c r="AL106" s="2380">
        <f t="shared" si="19"/>
        <v>9.4741810000000004E-4</v>
      </c>
      <c r="AM106">
        <f t="shared" si="22"/>
        <v>0.284992838661</v>
      </c>
      <c r="AN106" s="2368">
        <f t="shared" si="20"/>
        <v>-1.6133899999326573E-7</v>
      </c>
    </row>
    <row r="107" spans="1:40" x14ac:dyDescent="0.25">
      <c r="A107" s="2598" t="str">
        <f>'HVAC Deemed Table'!C136</f>
        <v>350951_2019_12_</v>
      </c>
      <c r="B107" s="245" t="str">
        <f>'HVAC Deemed Table'!G136</f>
        <v>Cooling RES</v>
      </c>
      <c r="C107" s="245"/>
      <c r="D107" s="245"/>
      <c r="E107" s="245"/>
      <c r="F107" s="245" t="str">
        <f>'HVAC Deemed Table'!E136</f>
        <v>CAC - SEER 16 ROF: MF_CompE</v>
      </c>
      <c r="G107" s="745" t="str">
        <f>'HVAC Deemed Table'!D136</f>
        <v>MFc</v>
      </c>
      <c r="H107" s="2420">
        <f t="shared" si="32"/>
        <v>218.77</v>
      </c>
      <c r="I107" s="2420">
        <f t="shared" si="33"/>
        <v>0</v>
      </c>
      <c r="J107" s="2452">
        <f>'HVAC Deemed Table'!F136</f>
        <v>218.77</v>
      </c>
      <c r="K107" s="2452">
        <v>0</v>
      </c>
      <c r="L107" s="2452"/>
      <c r="M107" s="2452">
        <v>0</v>
      </c>
      <c r="N107" s="2421">
        <f t="shared" si="27"/>
        <v>0.20726700000000001</v>
      </c>
      <c r="O107" s="2421">
        <f t="shared" si="28"/>
        <v>0</v>
      </c>
      <c r="P107" s="2412">
        <f>'HVAC Deemed Table'!I136</f>
        <v>0.20726700000000001</v>
      </c>
      <c r="Q107" s="2412"/>
      <c r="R107" s="2412"/>
      <c r="S107" s="2412"/>
      <c r="T107" s="2413"/>
      <c r="U107" s="2413"/>
      <c r="V107" s="2413">
        <f>P107</f>
        <v>0.20726700000000001</v>
      </c>
      <c r="W107" s="2460">
        <f>'HVAC Deemed Table'!J136</f>
        <v>18</v>
      </c>
      <c r="X107" s="2460"/>
      <c r="Y107" s="94">
        <f t="shared" si="24"/>
        <v>18</v>
      </c>
      <c r="Z107" s="2414">
        <f>'HVAC Deemed Table'!BB136</f>
        <v>1.8498975726597808</v>
      </c>
      <c r="AA107" s="2417">
        <f>'HVAC Deemed Table'!K136</f>
        <v>221</v>
      </c>
      <c r="AB107" s="2418">
        <f t="shared" si="25"/>
        <v>385.86820534007694</v>
      </c>
      <c r="AC107" s="2418">
        <f t="shared" si="26"/>
        <v>0</v>
      </c>
      <c r="AD107" s="2445">
        <f>'HVAC Deemed Table'!BD136</f>
        <v>385.86820534007694</v>
      </c>
      <c r="AE107" s="2445">
        <v>0</v>
      </c>
      <c r="AF107" s="2445"/>
      <c r="AG107" s="2445">
        <v>0</v>
      </c>
      <c r="AH107" s="2378"/>
      <c r="AI107" s="2378"/>
      <c r="AJ107" s="2378"/>
      <c r="AK107" s="2378"/>
      <c r="AL107" s="2380">
        <f t="shared" si="19"/>
        <v>9.4741810000000004E-4</v>
      </c>
      <c r="AM107">
        <f t="shared" si="22"/>
        <v>0.20726665773700001</v>
      </c>
      <c r="AN107" s="2368">
        <f t="shared" si="20"/>
        <v>-3.4226299999717824E-7</v>
      </c>
    </row>
    <row r="108" spans="1:40" x14ac:dyDescent="0.25">
      <c r="A108" s="2598" t="str">
        <f>'HVAC Deemed Table'!C137</f>
        <v>351000_2019_12_</v>
      </c>
      <c r="B108" s="245" t="str">
        <f>'HVAC Deemed Table'!G137</f>
        <v>Cooling RES</v>
      </c>
      <c r="C108" s="245" t="str">
        <f>'HVAC Deemed Table'!G138</f>
        <v>Cooling RES ER2</v>
      </c>
      <c r="D108" s="245"/>
      <c r="E108" s="245"/>
      <c r="F108" s="245" t="str">
        <f>'HVAC Deemed Table'!E137</f>
        <v>CAC - SEER 17 ER1: SF</v>
      </c>
      <c r="G108" s="745" t="str">
        <f>'HVAC Deemed Table'!D137</f>
        <v>SF</v>
      </c>
      <c r="H108" s="2420">
        <f t="shared" si="32"/>
        <v>1953.65</v>
      </c>
      <c r="I108" s="2420">
        <f t="shared" si="33"/>
        <v>577.54999999999995</v>
      </c>
      <c r="J108" s="2452">
        <f>'HVAC Deemed Table'!F137</f>
        <v>1953.65</v>
      </c>
      <c r="K108" s="2452">
        <v>0</v>
      </c>
      <c r="L108" s="2452">
        <f>'HVAC Deemed Table'!F138</f>
        <v>577.54999999999995</v>
      </c>
      <c r="M108" s="2452">
        <v>0</v>
      </c>
      <c r="N108" s="2421">
        <f t="shared" si="27"/>
        <v>1.8509230000000001</v>
      </c>
      <c r="O108" s="2421">
        <f t="shared" si="28"/>
        <v>0.54718100000000003</v>
      </c>
      <c r="P108" s="2412">
        <f>'HVAC Deemed Table'!I137</f>
        <v>1.8509230000000001</v>
      </c>
      <c r="Q108" s="2412"/>
      <c r="R108" s="2412">
        <f>'HVAC Deemed Table'!I138</f>
        <v>0.54718100000000003</v>
      </c>
      <c r="S108" s="2412"/>
      <c r="T108" s="2413"/>
      <c r="U108" s="2413"/>
      <c r="V108" s="2424">
        <f>O108</f>
        <v>0.54718100000000003</v>
      </c>
      <c r="W108" s="2460">
        <f>'HVAC Deemed Table'!J137</f>
        <v>6</v>
      </c>
      <c r="X108" s="2460">
        <f>'HVAC Deemed Table'!J138</f>
        <v>12</v>
      </c>
      <c r="Y108" s="94">
        <f t="shared" si="24"/>
        <v>18</v>
      </c>
      <c r="Z108" s="2414">
        <f>'HVAC Deemed Table'!BB137</f>
        <v>1.7909761469697716</v>
      </c>
      <c r="AA108" s="2417">
        <f>'HVAC Deemed Table'!K137</f>
        <v>1075.9998665391181</v>
      </c>
      <c r="AB108" s="2418">
        <f t="shared" si="25"/>
        <v>1136.0165349179772</v>
      </c>
      <c r="AC108" s="2418">
        <f t="shared" si="26"/>
        <v>682.85094513319609</v>
      </c>
      <c r="AD108" s="2445">
        <f>'HVAC Deemed Table'!BD137</f>
        <v>1136.0165349179772</v>
      </c>
      <c r="AE108" s="2445">
        <v>0</v>
      </c>
      <c r="AF108" s="2445">
        <f>'HVAC Deemed Table'!BD138</f>
        <v>682.85094513319609</v>
      </c>
      <c r="AG108" s="2445">
        <v>0</v>
      </c>
      <c r="AH108" s="2378"/>
      <c r="AI108" s="2378"/>
      <c r="AJ108" s="2378"/>
      <c r="AK108" s="2378"/>
      <c r="AL108" s="2380">
        <f t="shared" si="19"/>
        <v>9.4741810000000004E-4</v>
      </c>
      <c r="AM108">
        <f t="shared" ref="AM108:AM139" si="36">AL108*H108</f>
        <v>1.8509233710650002</v>
      </c>
      <c r="AN108" s="2368">
        <f t="shared" si="20"/>
        <v>3.7106500005990029E-7</v>
      </c>
    </row>
    <row r="109" spans="1:40" x14ac:dyDescent="0.25">
      <c r="A109" s="2598" t="str">
        <f>'HVAC Deemed Table'!C139</f>
        <v>351050_2019_12_</v>
      </c>
      <c r="B109" s="245" t="str">
        <f>'HVAC Deemed Table'!G139</f>
        <v>Cooling RES</v>
      </c>
      <c r="C109" s="245"/>
      <c r="D109" s="245"/>
      <c r="E109" s="245"/>
      <c r="F109" s="245" t="str">
        <f>'HVAC Deemed Table'!E139</f>
        <v>CAC - SEER 17 ROF: SF</v>
      </c>
      <c r="G109" s="745" t="str">
        <f>'HVAC Deemed Table'!D139</f>
        <v>SF</v>
      </c>
      <c r="H109" s="2420">
        <f t="shared" si="32"/>
        <v>564.34</v>
      </c>
      <c r="I109" s="2420">
        <f t="shared" si="33"/>
        <v>0</v>
      </c>
      <c r="J109" s="2452">
        <f>'HVAC Deemed Table'!F139</f>
        <v>564.34</v>
      </c>
      <c r="K109" s="2452">
        <v>0</v>
      </c>
      <c r="L109" s="2452"/>
      <c r="M109" s="2452">
        <v>0</v>
      </c>
      <c r="N109" s="2421">
        <f t="shared" si="27"/>
        <v>0.53466599999999997</v>
      </c>
      <c r="O109" s="2421">
        <f t="shared" si="28"/>
        <v>0</v>
      </c>
      <c r="P109" s="2412">
        <f>'HVAC Deemed Table'!I139</f>
        <v>0.53466599999999997</v>
      </c>
      <c r="Q109" s="2412"/>
      <c r="R109" s="2412"/>
      <c r="S109" s="2412"/>
      <c r="T109" s="2413"/>
      <c r="U109" s="2413"/>
      <c r="V109" s="2413">
        <f>P109</f>
        <v>0.53466599999999997</v>
      </c>
      <c r="W109" s="2460">
        <f>'HVAC Deemed Table'!J139</f>
        <v>18</v>
      </c>
      <c r="X109" s="2460"/>
      <c r="Y109" s="94">
        <f t="shared" si="24"/>
        <v>18</v>
      </c>
      <c r="Z109" s="2414">
        <f>'HVAC Deemed Table'!BB139</f>
        <v>1.700988328810604</v>
      </c>
      <c r="AA109" s="2417">
        <f>'HVAC Deemed Table'!K139</f>
        <v>620</v>
      </c>
      <c r="AB109" s="2418">
        <f t="shared" si="25"/>
        <v>995.38722403263262</v>
      </c>
      <c r="AC109" s="2418">
        <f t="shared" si="26"/>
        <v>0</v>
      </c>
      <c r="AD109" s="2445">
        <f>'HVAC Deemed Table'!BD139</f>
        <v>995.38722403263262</v>
      </c>
      <c r="AE109" s="2445">
        <v>0</v>
      </c>
      <c r="AF109" s="2445"/>
      <c r="AG109" s="2445">
        <v>0</v>
      </c>
      <c r="AH109" s="2378"/>
      <c r="AI109" s="2378"/>
      <c r="AJ109" s="2378"/>
      <c r="AK109" s="2378"/>
      <c r="AL109" s="2380">
        <f t="shared" si="19"/>
        <v>9.4741810000000004E-4</v>
      </c>
      <c r="AM109">
        <f t="shared" si="36"/>
        <v>0.53466593055400002</v>
      </c>
      <c r="AN109" s="2368">
        <f t="shared" si="20"/>
        <v>-6.9445999950623616E-8</v>
      </c>
    </row>
    <row r="110" spans="1:40" x14ac:dyDescent="0.25">
      <c r="A110" s="2598" t="str">
        <f>'HVAC Deemed Table'!C140</f>
        <v>351100_2019_12_</v>
      </c>
      <c r="B110" s="245" t="str">
        <f>'HVAC Deemed Table'!G140</f>
        <v>Cooling RES</v>
      </c>
      <c r="C110" s="245" t="str">
        <f>'HVAC Deemed Table'!G141</f>
        <v>Cooling RES ER2</v>
      </c>
      <c r="D110" s="245"/>
      <c r="E110" s="245"/>
      <c r="F110" s="245" t="str">
        <f>'HVAC Deemed Table'!E140</f>
        <v>CAC - SEER 17 ER1: MF</v>
      </c>
      <c r="G110" s="745" t="str">
        <f>'HVAC Deemed Table'!D140</f>
        <v>MF</v>
      </c>
      <c r="H110" s="2420">
        <f t="shared" si="32"/>
        <v>1276.9000000000001</v>
      </c>
      <c r="I110" s="2420">
        <f t="shared" si="33"/>
        <v>377.48</v>
      </c>
      <c r="J110" s="2452">
        <f>'HVAC Deemed Table'!F140</f>
        <v>1276.9000000000001</v>
      </c>
      <c r="K110" s="2452">
        <v>0</v>
      </c>
      <c r="L110" s="2452">
        <f>'HVAC Deemed Table'!F141</f>
        <v>377.48</v>
      </c>
      <c r="M110" s="2452">
        <v>0</v>
      </c>
      <c r="N110" s="2421">
        <f t="shared" si="27"/>
        <v>1.2097579999999999</v>
      </c>
      <c r="O110" s="2421">
        <f t="shared" si="28"/>
        <v>0.35763099999999998</v>
      </c>
      <c r="P110" s="2412">
        <f>'HVAC Deemed Table'!I140</f>
        <v>1.2097579999999999</v>
      </c>
      <c r="Q110" s="2412"/>
      <c r="R110" s="2412">
        <f>'HVAC Deemed Table'!I141</f>
        <v>0.35763099999999998</v>
      </c>
      <c r="S110" s="2412"/>
      <c r="T110" s="2413"/>
      <c r="U110" s="2413"/>
      <c r="V110" s="2424">
        <f>O110</f>
        <v>0.35763099999999998</v>
      </c>
      <c r="W110" s="2460">
        <f>'HVAC Deemed Table'!J140</f>
        <v>6</v>
      </c>
      <c r="X110" s="2460">
        <f>'HVAC Deemed Table'!J141</f>
        <v>12</v>
      </c>
      <c r="Y110" s="94">
        <f t="shared" si="24"/>
        <v>18</v>
      </c>
      <c r="Z110" s="2414">
        <f>'HVAC Deemed Table'!BB140</f>
        <v>1.3719831808598382</v>
      </c>
      <c r="AA110" s="2417">
        <f>'HVAC Deemed Table'!K140</f>
        <v>918.03912845694003</v>
      </c>
      <c r="AB110" s="2418">
        <f t="shared" si="25"/>
        <v>742.49712765171103</v>
      </c>
      <c r="AC110" s="2418">
        <f t="shared" si="26"/>
        <v>446.30347981798786</v>
      </c>
      <c r="AD110" s="2445">
        <f>'HVAC Deemed Table'!BD140</f>
        <v>742.49712765171103</v>
      </c>
      <c r="AE110" s="2445">
        <v>0</v>
      </c>
      <c r="AF110" s="2445">
        <f>'HVAC Deemed Table'!BD141</f>
        <v>446.30347981798786</v>
      </c>
      <c r="AG110" s="2445">
        <v>0</v>
      </c>
      <c r="AH110" s="2378"/>
      <c r="AI110" s="2378"/>
      <c r="AJ110" s="2378"/>
      <c r="AK110" s="2378"/>
      <c r="AL110" s="2380">
        <f t="shared" si="19"/>
        <v>9.4741810000000004E-4</v>
      </c>
      <c r="AM110">
        <f t="shared" si="36"/>
        <v>1.2097581718900001</v>
      </c>
      <c r="AN110" s="2368">
        <f t="shared" si="20"/>
        <v>1.7189000023343226E-7</v>
      </c>
    </row>
    <row r="111" spans="1:40" x14ac:dyDescent="0.25">
      <c r="A111" s="2598" t="str">
        <f>'HVAC Deemed Table'!C142</f>
        <v>351101_2019_12_</v>
      </c>
      <c r="B111" s="245" t="str">
        <f>'HVAC Deemed Table'!G142</f>
        <v>Cooling RES</v>
      </c>
      <c r="C111" s="245" t="str">
        <f>'HVAC Deemed Table'!G143</f>
        <v>Cooling RES ER2</v>
      </c>
      <c r="D111" s="245"/>
      <c r="E111" s="245"/>
      <c r="F111" s="245" t="str">
        <f>'HVAC Deemed Table'!E142</f>
        <v>CAC - SEER 17 ER1: MF_CompE</v>
      </c>
      <c r="G111" s="745" t="str">
        <f>'HVAC Deemed Table'!D142</f>
        <v>MFc</v>
      </c>
      <c r="H111" s="2420">
        <f t="shared" si="32"/>
        <v>928.65</v>
      </c>
      <c r="I111" s="2420">
        <f t="shared" si="33"/>
        <v>274.52999999999997</v>
      </c>
      <c r="J111" s="2452">
        <f>'HVAC Deemed Table'!F142</f>
        <v>928.65</v>
      </c>
      <c r="K111" s="2452">
        <v>0</v>
      </c>
      <c r="L111" s="2452">
        <f>'HVAC Deemed Table'!F143</f>
        <v>274.52999999999997</v>
      </c>
      <c r="M111" s="2452">
        <v>0</v>
      </c>
      <c r="N111" s="2421">
        <f t="shared" si="27"/>
        <v>0.87982000000000005</v>
      </c>
      <c r="O111" s="2421">
        <f t="shared" si="28"/>
        <v>0.26009500000000002</v>
      </c>
      <c r="P111" s="2412">
        <f>'HVAC Deemed Table'!I142</f>
        <v>0.87982000000000005</v>
      </c>
      <c r="Q111" s="2412"/>
      <c r="R111" s="2412">
        <f>'HVAC Deemed Table'!I143</f>
        <v>0.26009500000000002</v>
      </c>
      <c r="S111" s="2412"/>
      <c r="T111" s="2413"/>
      <c r="U111" s="2413"/>
      <c r="V111" s="2424">
        <f>O111</f>
        <v>0.26009500000000002</v>
      </c>
      <c r="W111" s="2460">
        <f>'HVAC Deemed Table'!J142</f>
        <v>6</v>
      </c>
      <c r="X111" s="2460">
        <f>'HVAC Deemed Table'!J143</f>
        <v>12</v>
      </c>
      <c r="Y111" s="94">
        <f t="shared" si="24"/>
        <v>18</v>
      </c>
      <c r="Z111" s="2414">
        <f>'HVAC Deemed Table'!BB142</f>
        <v>0.99780165886713523</v>
      </c>
      <c r="AA111" s="2417">
        <f>'HVAC Deemed Table'!K142</f>
        <v>918.03912845694003</v>
      </c>
      <c r="AB111" s="2418">
        <f t="shared" si="25"/>
        <v>539.99526790959453</v>
      </c>
      <c r="AC111" s="2418">
        <f t="shared" si="26"/>
        <v>324.58327411897903</v>
      </c>
      <c r="AD111" s="2445">
        <f>'HVAC Deemed Table'!BD142</f>
        <v>539.99526790959453</v>
      </c>
      <c r="AE111" s="2445">
        <v>0</v>
      </c>
      <c r="AF111" s="2445">
        <f>'HVAC Deemed Table'!BD143</f>
        <v>324.58327411897903</v>
      </c>
      <c r="AG111" s="2445">
        <v>0</v>
      </c>
      <c r="AH111" s="2378"/>
      <c r="AI111" s="2378"/>
      <c r="AJ111" s="2378"/>
      <c r="AK111" s="2378"/>
      <c r="AL111" s="2380">
        <f t="shared" si="19"/>
        <v>9.4741810000000004E-4</v>
      </c>
      <c r="AM111">
        <f t="shared" si="36"/>
        <v>0.87981981856500002</v>
      </c>
      <c r="AN111" s="2368">
        <f t="shared" si="20"/>
        <v>-1.8143500002398838E-7</v>
      </c>
    </row>
    <row r="112" spans="1:40" x14ac:dyDescent="0.25">
      <c r="A112" s="2598" t="str">
        <f>'HVAC Deemed Table'!C144</f>
        <v>351150_2019_12_</v>
      </c>
      <c r="B112" s="245" t="str">
        <f>'HVAC Deemed Table'!G144</f>
        <v>Cooling RES</v>
      </c>
      <c r="C112" s="245"/>
      <c r="D112" s="245"/>
      <c r="E112" s="245"/>
      <c r="F112" s="245" t="str">
        <f>'HVAC Deemed Table'!E144</f>
        <v>CAC - SEER 17 ROF: MF</v>
      </c>
      <c r="G112" s="745" t="str">
        <f>'HVAC Deemed Table'!D144</f>
        <v>MF</v>
      </c>
      <c r="H112" s="2420">
        <f t="shared" si="32"/>
        <v>377.48</v>
      </c>
      <c r="I112" s="2420">
        <f t="shared" si="33"/>
        <v>0</v>
      </c>
      <c r="J112" s="2452">
        <f>'HVAC Deemed Table'!F144</f>
        <v>377.48</v>
      </c>
      <c r="K112" s="2452">
        <v>0</v>
      </c>
      <c r="L112" s="2452"/>
      <c r="M112" s="2452">
        <v>0</v>
      </c>
      <c r="N112" s="2421">
        <f t="shared" si="27"/>
        <v>0.35763099999999998</v>
      </c>
      <c r="O112" s="2421">
        <f t="shared" si="28"/>
        <v>0</v>
      </c>
      <c r="P112" s="2412">
        <f>'HVAC Deemed Table'!I144</f>
        <v>0.35763099999999998</v>
      </c>
      <c r="Q112" s="2412"/>
      <c r="R112" s="2412"/>
      <c r="S112" s="2412"/>
      <c r="T112" s="2413"/>
      <c r="U112" s="2413"/>
      <c r="V112" s="2413">
        <f>P112</f>
        <v>0.35763099999999998</v>
      </c>
      <c r="W112" s="2460">
        <f>'HVAC Deemed Table'!J144</f>
        <v>18</v>
      </c>
      <c r="X112" s="2460"/>
      <c r="Y112" s="94">
        <f t="shared" si="24"/>
        <v>18</v>
      </c>
      <c r="Z112" s="2414">
        <f>'HVAC Deemed Table'!BB144</f>
        <v>1.1377699159361851</v>
      </c>
      <c r="AA112" s="2417">
        <f>'HVAC Deemed Table'!K144</f>
        <v>620</v>
      </c>
      <c r="AB112" s="2418">
        <f t="shared" si="25"/>
        <v>665.80212164269437</v>
      </c>
      <c r="AC112" s="2418">
        <f t="shared" si="26"/>
        <v>0</v>
      </c>
      <c r="AD112" s="2445">
        <f>'HVAC Deemed Table'!BD144</f>
        <v>665.80212164269437</v>
      </c>
      <c r="AE112" s="2445">
        <v>0</v>
      </c>
      <c r="AF112" s="2445"/>
      <c r="AG112" s="2445">
        <v>0</v>
      </c>
      <c r="AH112" s="2378"/>
      <c r="AI112" s="2378"/>
      <c r="AJ112" s="2378"/>
      <c r="AK112" s="2378"/>
      <c r="AL112" s="2380">
        <f t="shared" si="19"/>
        <v>9.4741810000000004E-4</v>
      </c>
      <c r="AM112">
        <f t="shared" si="36"/>
        <v>0.35763138438800002</v>
      </c>
      <c r="AN112" s="2368">
        <f t="shared" si="20"/>
        <v>3.8438800004092499E-7</v>
      </c>
    </row>
    <row r="113" spans="1:40" x14ac:dyDescent="0.25">
      <c r="A113" s="2598" t="str">
        <f>'HVAC Deemed Table'!C145</f>
        <v>351151_2019_12_</v>
      </c>
      <c r="B113" s="245" t="str">
        <f>'HVAC Deemed Table'!G145</f>
        <v>Cooling RES</v>
      </c>
      <c r="C113" s="245"/>
      <c r="D113" s="245"/>
      <c r="E113" s="245"/>
      <c r="F113" s="245" t="str">
        <f>'HVAC Deemed Table'!E145</f>
        <v>CAC - SEER 17 ROF: MF_CompE</v>
      </c>
      <c r="G113" s="745" t="str">
        <f>'HVAC Deemed Table'!D145</f>
        <v>MFc</v>
      </c>
      <c r="H113" s="2420">
        <f t="shared" si="32"/>
        <v>274.52999999999997</v>
      </c>
      <c r="I113" s="2420">
        <f t="shared" si="33"/>
        <v>0</v>
      </c>
      <c r="J113" s="2452">
        <f>'HVAC Deemed Table'!F145</f>
        <v>274.52999999999997</v>
      </c>
      <c r="K113" s="2452">
        <v>0</v>
      </c>
      <c r="L113" s="2452"/>
      <c r="M113" s="2452">
        <v>0</v>
      </c>
      <c r="N113" s="2421">
        <f t="shared" si="27"/>
        <v>0.26009500000000002</v>
      </c>
      <c r="O113" s="2421">
        <f t="shared" si="28"/>
        <v>0</v>
      </c>
      <c r="P113" s="2412">
        <f>'HVAC Deemed Table'!I145</f>
        <v>0.26009500000000002</v>
      </c>
      <c r="Q113" s="2412"/>
      <c r="R113" s="2412"/>
      <c r="S113" s="2412"/>
      <c r="T113" s="2413"/>
      <c r="U113" s="2413"/>
      <c r="V113" s="2413">
        <f>P113</f>
        <v>0.26009500000000002</v>
      </c>
      <c r="W113" s="2460">
        <f>'HVAC Deemed Table'!J145</f>
        <v>18</v>
      </c>
      <c r="X113" s="2460"/>
      <c r="Y113" s="94">
        <f t="shared" si="24"/>
        <v>18</v>
      </c>
      <c r="Z113" s="2414">
        <f>'HVAC Deemed Table'!BB145</f>
        <v>0.8274662896629249</v>
      </c>
      <c r="AA113" s="2417">
        <f>'HVAC Deemed Table'!K145</f>
        <v>620</v>
      </c>
      <c r="AB113" s="2418">
        <f t="shared" si="25"/>
        <v>484.2181213695265</v>
      </c>
      <c r="AC113" s="2418">
        <f t="shared" si="26"/>
        <v>0</v>
      </c>
      <c r="AD113" s="2445">
        <f>'HVAC Deemed Table'!BD145</f>
        <v>484.2181213695265</v>
      </c>
      <c r="AE113" s="2445">
        <v>0</v>
      </c>
      <c r="AF113" s="2445"/>
      <c r="AG113" s="2445">
        <v>0</v>
      </c>
      <c r="AH113" s="2378"/>
      <c r="AI113" s="2378"/>
      <c r="AJ113" s="2378"/>
      <c r="AK113" s="2378"/>
      <c r="AL113" s="2380">
        <f t="shared" si="19"/>
        <v>9.4741810000000004E-4</v>
      </c>
      <c r="AM113">
        <f t="shared" si="36"/>
        <v>0.26009469099299998</v>
      </c>
      <c r="AN113" s="2368">
        <f t="shared" si="20"/>
        <v>-3.0900700004332649E-7</v>
      </c>
    </row>
    <row r="114" spans="1:40" x14ac:dyDescent="0.25">
      <c r="A114" s="790" t="str">
        <f>'HVAC Deemed Table'!C146</f>
        <v>351160_2020_02</v>
      </c>
      <c r="B114" s="144" t="str">
        <f>'HVAC Deemed Table'!G146</f>
        <v>Cooling RES</v>
      </c>
      <c r="C114" s="144" t="str">
        <f>'HVAC Deemed Table'!G147</f>
        <v>Cooling RES ER2</v>
      </c>
      <c r="D114" s="144"/>
      <c r="E114" s="144"/>
      <c r="F114" s="144" t="str">
        <f>'HVAC Deemed Table'!E146</f>
        <v>CAC - SEER 18 ER1: SF</v>
      </c>
      <c r="G114" s="2494" t="str">
        <f>'HVAC Deemed Table'!D146</f>
        <v>SF</v>
      </c>
      <c r="H114" s="2420">
        <f t="shared" ref="H114:H137" si="37">J114+K114</f>
        <v>2017.58</v>
      </c>
      <c r="I114" s="2420">
        <f>L114+M114</f>
        <v>668.46</v>
      </c>
      <c r="J114" s="2562">
        <f>'HVAC Deemed Table'!F146</f>
        <v>2017.58</v>
      </c>
      <c r="K114" s="2452">
        <v>0</v>
      </c>
      <c r="L114" s="2562">
        <f>'HVAC Deemed Table'!F147</f>
        <v>668.46</v>
      </c>
      <c r="M114" s="2452">
        <v>0</v>
      </c>
      <c r="N114" s="2421">
        <f t="shared" ref="N114:N137" si="38">P114+Q114</f>
        <v>1.911492</v>
      </c>
      <c r="O114" s="2421">
        <f t="shared" ref="O114:O137" si="39">R114+S114</f>
        <v>0.63331099999999996</v>
      </c>
      <c r="P114" s="2563">
        <f>'HVAC Deemed Table'!I146</f>
        <v>1.911492</v>
      </c>
      <c r="Q114" s="2563">
        <v>0</v>
      </c>
      <c r="R114" s="2563">
        <f>'HVAC Deemed Table'!I147</f>
        <v>0.63331099999999996</v>
      </c>
      <c r="S114" s="2452">
        <v>0</v>
      </c>
      <c r="T114" s="2413"/>
      <c r="U114" s="2413"/>
      <c r="V114" s="2424">
        <f>O114</f>
        <v>0.63331099999999996</v>
      </c>
      <c r="W114" s="2460">
        <f>'HVAC Deemed Table'!J146</f>
        <v>6</v>
      </c>
      <c r="X114" s="2460">
        <f>'HVAC Deemed Table'!J147</f>
        <v>12</v>
      </c>
      <c r="Y114" s="94">
        <f t="shared" si="24"/>
        <v>18</v>
      </c>
      <c r="Z114" s="2414">
        <f>'HVAC Deemed Table'!BB146</f>
        <v>1.6332850893686637</v>
      </c>
      <c r="AA114" s="2417">
        <f>'HVAC Deemed Table'!K146</f>
        <v>1273.7253593520768</v>
      </c>
      <c r="AB114" s="2418">
        <f t="shared" ref="AB114:AB137" si="40">AD114+AE114</f>
        <v>1173.1908174544121</v>
      </c>
      <c r="AC114" s="2418">
        <f t="shared" ref="AC114:AC137" si="41">AF114+AG114</f>
        <v>790.33597573151474</v>
      </c>
      <c r="AD114" s="2445">
        <f>'HVAC Deemed Table'!BD146</f>
        <v>1173.1908174544121</v>
      </c>
      <c r="AE114" s="2445"/>
      <c r="AF114" s="2445">
        <f>'HVAC Deemed Table'!BD147</f>
        <v>790.33597573151474</v>
      </c>
      <c r="AG114" s="2445"/>
      <c r="AH114" s="2378"/>
      <c r="AI114" s="2378"/>
      <c r="AJ114" s="2378"/>
      <c r="AK114" s="2378"/>
      <c r="AL114" s="2380"/>
      <c r="AN114" s="2368"/>
    </row>
    <row r="115" spans="1:40" x14ac:dyDescent="0.25">
      <c r="A115" s="790" t="str">
        <f>'HVAC Deemed Table'!C148</f>
        <v>351161_2020_02</v>
      </c>
      <c r="B115" s="144" t="str">
        <f>'HVAC Deemed Table'!G148</f>
        <v>Cooling RES</v>
      </c>
      <c r="C115" s="144"/>
      <c r="D115" s="144"/>
      <c r="E115" s="144"/>
      <c r="F115" s="144" t="str">
        <f>'HVAC Deemed Table'!E148</f>
        <v>CAC - SEER 18 ROF: SF</v>
      </c>
      <c r="G115" s="2494" t="str">
        <f>'HVAC Deemed Table'!D148</f>
        <v>SF</v>
      </c>
      <c r="H115" s="2420">
        <f t="shared" si="37"/>
        <v>668.46</v>
      </c>
      <c r="I115" s="2420">
        <f t="shared" ref="I115:I137" si="42">L115+M115</f>
        <v>0</v>
      </c>
      <c r="J115" s="2562">
        <f>'HVAC Deemed Table'!F148</f>
        <v>668.46</v>
      </c>
      <c r="K115" s="2452">
        <v>0</v>
      </c>
      <c r="L115" s="144"/>
      <c r="M115" s="2452">
        <v>0</v>
      </c>
      <c r="N115" s="2421">
        <f t="shared" si="38"/>
        <v>0.63331099999999996</v>
      </c>
      <c r="O115" s="2421">
        <f t="shared" si="39"/>
        <v>0</v>
      </c>
      <c r="P115" s="2563">
        <f>'HVAC Deemed Table'!I148</f>
        <v>0.63331099999999996</v>
      </c>
      <c r="Q115" s="2563">
        <v>0</v>
      </c>
      <c r="R115" s="2563"/>
      <c r="S115" s="2452">
        <v>0</v>
      </c>
      <c r="T115" s="2413"/>
      <c r="U115" s="2413"/>
      <c r="V115" s="2413">
        <f t="shared" ref="V115:V137" si="43">P115</f>
        <v>0.63331099999999996</v>
      </c>
      <c r="W115" s="2460">
        <f>'HVAC Deemed Table'!J148</f>
        <v>18</v>
      </c>
      <c r="X115" s="2460"/>
      <c r="Y115" s="94">
        <f t="shared" si="24"/>
        <v>18</v>
      </c>
      <c r="Z115" s="2414">
        <f>'HVAC Deemed Table'!BB148</f>
        <v>1.5111138563765667</v>
      </c>
      <c r="AA115" s="2417">
        <f>'HVAC Deemed Table'!K148</f>
        <v>826.66666666666708</v>
      </c>
      <c r="AB115" s="2418">
        <f t="shared" si="40"/>
        <v>1179.0348792870495</v>
      </c>
      <c r="AC115" s="2418">
        <f t="shared" si="41"/>
        <v>0</v>
      </c>
      <c r="AD115" s="2445">
        <f>'HVAC Deemed Table'!BD148</f>
        <v>1179.0348792870495</v>
      </c>
      <c r="AE115" s="2445"/>
      <c r="AF115" s="2445"/>
      <c r="AG115" s="2445"/>
      <c r="AH115" s="2378"/>
      <c r="AI115" s="2378"/>
      <c r="AJ115" s="2378"/>
      <c r="AK115" s="2378"/>
      <c r="AL115" s="2380"/>
      <c r="AN115" s="2368"/>
    </row>
    <row r="116" spans="1:40" x14ac:dyDescent="0.25">
      <c r="A116" s="790" t="str">
        <f>'HVAC Deemed Table'!C149</f>
        <v>351162_2020_02</v>
      </c>
      <c r="B116" s="144" t="str">
        <f>'HVAC Deemed Table'!G149</f>
        <v>Cooling RES</v>
      </c>
      <c r="C116" s="144" t="str">
        <f>'HVAC Deemed Table'!G150</f>
        <v>Cooling RES ER2</v>
      </c>
      <c r="D116" s="144"/>
      <c r="E116" s="144"/>
      <c r="F116" s="144" t="str">
        <f>'HVAC Deemed Table'!E149</f>
        <v>CAC - SEER 18 ER1: MF</v>
      </c>
      <c r="G116" s="2494" t="str">
        <f>'HVAC Deemed Table'!D149</f>
        <v>MF</v>
      </c>
      <c r="H116" s="2420">
        <f t="shared" si="37"/>
        <v>1345.05</v>
      </c>
      <c r="I116" s="2420">
        <f t="shared" si="42"/>
        <v>445.64</v>
      </c>
      <c r="J116" s="2562">
        <f>'HVAC Deemed Table'!F149</f>
        <v>1345.05</v>
      </c>
      <c r="K116" s="2452">
        <v>0</v>
      </c>
      <c r="L116" s="2562">
        <f>'HVAC Deemed Table'!F150</f>
        <v>445.64</v>
      </c>
      <c r="M116" s="2452">
        <v>0</v>
      </c>
      <c r="N116" s="2421">
        <f t="shared" si="38"/>
        <v>1.2743249999999999</v>
      </c>
      <c r="O116" s="2421">
        <f t="shared" si="39"/>
        <v>0.422207</v>
      </c>
      <c r="P116" s="2563">
        <f>'HVAC Deemed Table'!I149</f>
        <v>1.2743249999999999</v>
      </c>
      <c r="Q116" s="2563">
        <v>0</v>
      </c>
      <c r="R116" s="2563">
        <f>'HVAC Deemed Table'!I150</f>
        <v>0.422207</v>
      </c>
      <c r="S116" s="2452">
        <v>0</v>
      </c>
      <c r="T116" s="2413"/>
      <c r="U116" s="2413"/>
      <c r="V116" s="2424">
        <f>O116</f>
        <v>0.422207</v>
      </c>
      <c r="W116" s="2460">
        <f>'HVAC Deemed Table'!J149</f>
        <v>6</v>
      </c>
      <c r="X116" s="2460">
        <f>'HVAC Deemed Table'!J150</f>
        <v>12</v>
      </c>
      <c r="Y116" s="94">
        <f t="shared" si="24"/>
        <v>18</v>
      </c>
      <c r="Z116" s="2414">
        <f>'HVAC Deemed Table'!BB149</f>
        <v>1.1415476109487479</v>
      </c>
      <c r="AA116" s="2417">
        <f>'HVAC Deemed Table'!K149</f>
        <v>1214.9316927389714</v>
      </c>
      <c r="AB116" s="2418">
        <f t="shared" si="40"/>
        <v>782.12527335573168</v>
      </c>
      <c r="AC116" s="2418">
        <f t="shared" si="41"/>
        <v>526.89065048767645</v>
      </c>
      <c r="AD116" s="2445">
        <f>'HVAC Deemed Table'!BD149</f>
        <v>782.12527335573168</v>
      </c>
      <c r="AE116" s="2445"/>
      <c r="AF116" s="2445">
        <f>'HVAC Deemed Table'!BD150</f>
        <v>526.89065048767645</v>
      </c>
      <c r="AG116" s="2445"/>
      <c r="AH116" s="2378"/>
      <c r="AI116" s="2378"/>
      <c r="AJ116" s="2378"/>
      <c r="AK116" s="2378"/>
      <c r="AL116" s="2380"/>
      <c r="AN116" s="2368"/>
    </row>
    <row r="117" spans="1:40" x14ac:dyDescent="0.25">
      <c r="A117" s="790" t="str">
        <f>'HVAC Deemed Table'!C151</f>
        <v>351163_2020_02</v>
      </c>
      <c r="B117" s="144" t="str">
        <f>'HVAC Deemed Table'!G151</f>
        <v>Cooling RES</v>
      </c>
      <c r="C117" s="144" t="str">
        <f>'HVAC Deemed Table'!G152</f>
        <v>Cooling RES ER2</v>
      </c>
      <c r="D117" s="144"/>
      <c r="E117" s="144"/>
      <c r="F117" s="144" t="str">
        <f>'HVAC Deemed Table'!E151</f>
        <v>CAC - SEER 18 ER1: MF_CompE</v>
      </c>
      <c r="G117" s="2494" t="str">
        <f>'HVAC Deemed Table'!D151</f>
        <v>MFc</v>
      </c>
      <c r="H117" s="2420">
        <f t="shared" si="37"/>
        <v>978.22</v>
      </c>
      <c r="I117" s="2420">
        <f t="shared" si="42"/>
        <v>324.10000000000002</v>
      </c>
      <c r="J117" s="2562">
        <f>'HVAC Deemed Table'!F151</f>
        <v>978.22</v>
      </c>
      <c r="K117" s="2452">
        <v>0</v>
      </c>
      <c r="L117" s="2562">
        <f>'HVAC Deemed Table'!F152</f>
        <v>324.10000000000002</v>
      </c>
      <c r="M117" s="2452">
        <v>0</v>
      </c>
      <c r="N117" s="2421">
        <f t="shared" si="38"/>
        <v>0.92678300000000002</v>
      </c>
      <c r="O117" s="2421">
        <f t="shared" si="39"/>
        <v>0.307058</v>
      </c>
      <c r="P117" s="2563">
        <f>'HVAC Deemed Table'!I151</f>
        <v>0.92678300000000002</v>
      </c>
      <c r="Q117" s="2563">
        <v>0</v>
      </c>
      <c r="R117" s="2563">
        <f>'HVAC Deemed Table'!I152</f>
        <v>0.307058</v>
      </c>
      <c r="S117" s="2452">
        <v>0</v>
      </c>
      <c r="T117" s="2413"/>
      <c r="U117" s="2413"/>
      <c r="V117" s="2424">
        <f>O117</f>
        <v>0.307058</v>
      </c>
      <c r="W117" s="2460">
        <f>'HVAC Deemed Table'!J151</f>
        <v>6</v>
      </c>
      <c r="X117" s="2460">
        <f>'HVAC Deemed Table'!J152</f>
        <v>12</v>
      </c>
      <c r="Y117" s="94">
        <f t="shared" si="24"/>
        <v>18</v>
      </c>
      <c r="Z117" s="2414">
        <f>'HVAC Deemed Table'!BB151</f>
        <v>0.89681685377928411</v>
      </c>
      <c r="AA117" s="2417">
        <f>'HVAC Deemed Table'!K151</f>
        <v>1124.705795123607</v>
      </c>
      <c r="AB117" s="2418">
        <f t="shared" si="40"/>
        <v>568.8194378662829</v>
      </c>
      <c r="AC117" s="2418">
        <f t="shared" si="41"/>
        <v>383.19105067555864</v>
      </c>
      <c r="AD117" s="2445">
        <f>'HVAC Deemed Table'!BD151</f>
        <v>568.8194378662829</v>
      </c>
      <c r="AE117" s="2445"/>
      <c r="AF117" s="2445">
        <f>'HVAC Deemed Table'!BD152</f>
        <v>383.19105067555864</v>
      </c>
      <c r="AG117" s="2445"/>
      <c r="AH117" s="2378"/>
      <c r="AI117" s="2378"/>
      <c r="AJ117" s="2378"/>
      <c r="AK117" s="2378"/>
      <c r="AL117" s="2380"/>
      <c r="AN117" s="2368"/>
    </row>
    <row r="118" spans="1:40" x14ac:dyDescent="0.25">
      <c r="A118" s="790" t="str">
        <f>'HVAC Deemed Table'!C153</f>
        <v>351164_2020_02</v>
      </c>
      <c r="B118" s="144" t="str">
        <f>'HVAC Deemed Table'!G153</f>
        <v>Cooling RES</v>
      </c>
      <c r="C118" s="144"/>
      <c r="D118" s="144"/>
      <c r="E118" s="144"/>
      <c r="F118" s="144" t="str">
        <f>'HVAC Deemed Table'!E153</f>
        <v>CAC - SEER 18 ROF: MF</v>
      </c>
      <c r="G118" s="2494" t="str">
        <f>'HVAC Deemed Table'!D153</f>
        <v>MF</v>
      </c>
      <c r="H118" s="2420">
        <f t="shared" si="37"/>
        <v>445.64</v>
      </c>
      <c r="I118" s="2420">
        <f t="shared" si="42"/>
        <v>0</v>
      </c>
      <c r="J118" s="2562">
        <f>'HVAC Deemed Table'!F153</f>
        <v>445.64</v>
      </c>
      <c r="K118" s="2452">
        <v>0</v>
      </c>
      <c r="L118" s="144"/>
      <c r="M118" s="2452">
        <v>0</v>
      </c>
      <c r="N118" s="2421">
        <f t="shared" si="38"/>
        <v>0.422207</v>
      </c>
      <c r="O118" s="2421">
        <f t="shared" si="39"/>
        <v>0</v>
      </c>
      <c r="P118" s="2563">
        <f>'HVAC Deemed Table'!I153</f>
        <v>0.422207</v>
      </c>
      <c r="Q118" s="2563">
        <v>0</v>
      </c>
      <c r="R118" s="2563"/>
      <c r="S118" s="2452">
        <v>0</v>
      </c>
      <c r="T118" s="2413"/>
      <c r="U118" s="2413"/>
      <c r="V118" s="2413">
        <f t="shared" si="43"/>
        <v>0.422207</v>
      </c>
      <c r="W118" s="2460">
        <f>'HVAC Deemed Table'!J153</f>
        <v>18</v>
      </c>
      <c r="X118" s="2460"/>
      <c r="Y118" s="94">
        <f t="shared" si="24"/>
        <v>18</v>
      </c>
      <c r="Z118" s="2414">
        <f>'HVAC Deemed Table'!BB153</f>
        <v>1.0074092375843779</v>
      </c>
      <c r="AA118" s="2417">
        <f>'HVAC Deemed Table'!K153</f>
        <v>826.66666666666708</v>
      </c>
      <c r="AB118" s="2418">
        <f t="shared" si="40"/>
        <v>786.02325285803306</v>
      </c>
      <c r="AC118" s="2418">
        <f t="shared" si="41"/>
        <v>0</v>
      </c>
      <c r="AD118" s="2445">
        <f>'HVAC Deemed Table'!BD153</f>
        <v>786.02325285803306</v>
      </c>
      <c r="AE118" s="2445"/>
      <c r="AF118" s="2445"/>
      <c r="AG118" s="2445"/>
      <c r="AH118" s="2378"/>
      <c r="AI118" s="2378"/>
      <c r="AJ118" s="2378"/>
      <c r="AK118" s="2378"/>
      <c r="AL118" s="2380"/>
      <c r="AN118" s="2368"/>
    </row>
    <row r="119" spans="1:40" x14ac:dyDescent="0.25">
      <c r="A119" s="790" t="str">
        <f>'HVAC Deemed Table'!C154</f>
        <v>351165_2020_02</v>
      </c>
      <c r="B119" s="144" t="str">
        <f>'HVAC Deemed Table'!G154</f>
        <v>Cooling RES</v>
      </c>
      <c r="C119" s="144"/>
      <c r="D119" s="144"/>
      <c r="E119" s="144"/>
      <c r="F119" s="144" t="str">
        <f>'HVAC Deemed Table'!E154</f>
        <v>CAC - SEER 18 ROF: MF_CompE</v>
      </c>
      <c r="G119" s="2494" t="str">
        <f>'HVAC Deemed Table'!D154</f>
        <v>MFc</v>
      </c>
      <c r="H119" s="2420">
        <f t="shared" si="37"/>
        <v>324.10000000000002</v>
      </c>
      <c r="I119" s="2420">
        <f t="shared" si="42"/>
        <v>0</v>
      </c>
      <c r="J119" s="2562">
        <f>'HVAC Deemed Table'!F154</f>
        <v>324.10000000000002</v>
      </c>
      <c r="K119" s="2452">
        <v>0</v>
      </c>
      <c r="L119" s="144"/>
      <c r="M119" s="2452">
        <v>0</v>
      </c>
      <c r="N119" s="2421">
        <f t="shared" si="38"/>
        <v>0.307058</v>
      </c>
      <c r="O119" s="2421">
        <f t="shared" si="39"/>
        <v>0</v>
      </c>
      <c r="P119" s="2563">
        <f>'HVAC Deemed Table'!I154</f>
        <v>0.307058</v>
      </c>
      <c r="Q119" s="2563">
        <v>0</v>
      </c>
      <c r="R119" s="2563"/>
      <c r="S119" s="2452">
        <v>0</v>
      </c>
      <c r="T119" s="2413"/>
      <c r="U119" s="2413"/>
      <c r="V119" s="2413">
        <f t="shared" si="43"/>
        <v>0.307058</v>
      </c>
      <c r="W119" s="2460">
        <f>'HVAC Deemed Table'!J154</f>
        <v>18</v>
      </c>
      <c r="X119" s="2460"/>
      <c r="Y119" s="94">
        <f t="shared" si="24"/>
        <v>18</v>
      </c>
      <c r="Z119" s="2414">
        <f>'HVAC Deemed Table'!BB154</f>
        <v>0.73265715353446026</v>
      </c>
      <c r="AA119" s="2417">
        <f>'HVAC Deemed Table'!K154</f>
        <v>826.66666666666708</v>
      </c>
      <c r="AB119" s="2418">
        <f t="shared" si="40"/>
        <v>571.65006788279447</v>
      </c>
      <c r="AC119" s="2418">
        <f t="shared" si="41"/>
        <v>0</v>
      </c>
      <c r="AD119" s="2445">
        <f>'HVAC Deemed Table'!BD154</f>
        <v>571.65006788279447</v>
      </c>
      <c r="AE119" s="2445"/>
      <c r="AF119" s="2445"/>
      <c r="AG119" s="2445"/>
      <c r="AH119" s="2378"/>
      <c r="AI119" s="2378"/>
      <c r="AJ119" s="2378"/>
      <c r="AK119" s="2378"/>
      <c r="AL119" s="2380"/>
      <c r="AN119" s="2368"/>
    </row>
    <row r="120" spans="1:40" x14ac:dyDescent="0.25">
      <c r="A120" s="790" t="str">
        <f>'HVAC Deemed Table'!C155</f>
        <v>351170_2020_02</v>
      </c>
      <c r="B120" s="144" t="str">
        <f>'HVAC Deemed Table'!G155</f>
        <v>Cooling RES</v>
      </c>
      <c r="C120" s="144" t="str">
        <f>'HVAC Deemed Table'!G156</f>
        <v>Cooling RES ER2</v>
      </c>
      <c r="D120" s="144"/>
      <c r="E120" s="144"/>
      <c r="F120" s="144" t="str">
        <f>'HVAC Deemed Table'!E155</f>
        <v>CAC - SEER 19 ER1: SF</v>
      </c>
      <c r="G120" s="2494" t="str">
        <f>'HVAC Deemed Table'!D155</f>
        <v>SF</v>
      </c>
      <c r="H120" s="2420">
        <f t="shared" si="37"/>
        <v>2109.06</v>
      </c>
      <c r="I120" s="2420">
        <f t="shared" si="42"/>
        <v>759.94</v>
      </c>
      <c r="J120" s="2562">
        <f>'HVAC Deemed Table'!F155</f>
        <v>2109.06</v>
      </c>
      <c r="K120" s="2452">
        <v>0</v>
      </c>
      <c r="L120" s="2562">
        <f>'HVAC Deemed Table'!F156</f>
        <v>759.94</v>
      </c>
      <c r="M120" s="2452">
        <v>0</v>
      </c>
      <c r="N120" s="2421">
        <f t="shared" si="38"/>
        <v>1.998162</v>
      </c>
      <c r="O120" s="2421">
        <f t="shared" si="39"/>
        <v>0.71998099999999998</v>
      </c>
      <c r="P120" s="2563">
        <f>'HVAC Deemed Table'!I155</f>
        <v>1.998162</v>
      </c>
      <c r="Q120" s="2563">
        <v>0</v>
      </c>
      <c r="R120" s="2563">
        <f>'HVAC Deemed Table'!I156</f>
        <v>0.71998099999999998</v>
      </c>
      <c r="S120" s="2452">
        <v>0</v>
      </c>
      <c r="T120" s="2413"/>
      <c r="U120" s="2413"/>
      <c r="V120" s="2424">
        <f>O120</f>
        <v>0.71998099999999998</v>
      </c>
      <c r="W120" s="2460">
        <f>'HVAC Deemed Table'!J155</f>
        <v>6</v>
      </c>
      <c r="X120" s="2460">
        <f>'HVAC Deemed Table'!J156</f>
        <v>12</v>
      </c>
      <c r="Y120" s="94">
        <f t="shared" si="24"/>
        <v>18</v>
      </c>
      <c r="Z120" s="2414">
        <f>'HVAC Deemed Table'!BB155</f>
        <v>1.5207527702453778</v>
      </c>
      <c r="AA120" s="2417">
        <f>'HVAC Deemed Table'!K155</f>
        <v>1480.3920260187429</v>
      </c>
      <c r="AB120" s="2418">
        <f t="shared" si="40"/>
        <v>1226.3849886797066</v>
      </c>
      <c r="AC120" s="2418">
        <f t="shared" si="41"/>
        <v>898.49493073244071</v>
      </c>
      <c r="AD120" s="2445">
        <f>'HVAC Deemed Table'!BD155</f>
        <v>1226.3849886797066</v>
      </c>
      <c r="AE120" s="2445"/>
      <c r="AF120" s="2445">
        <f>'HVAC Deemed Table'!BD156</f>
        <v>898.49493073244071</v>
      </c>
      <c r="AG120" s="2445"/>
      <c r="AH120" s="2378"/>
      <c r="AI120" s="2378"/>
      <c r="AJ120" s="2378"/>
      <c r="AK120" s="2378"/>
      <c r="AL120" s="2380"/>
      <c r="AN120" s="2368"/>
    </row>
    <row r="121" spans="1:40" x14ac:dyDescent="0.25">
      <c r="A121" s="790" t="str">
        <f>'HVAC Deemed Table'!C157</f>
        <v>351171_2020_02</v>
      </c>
      <c r="B121" s="144" t="str">
        <f>'HVAC Deemed Table'!G157</f>
        <v>Cooling RES</v>
      </c>
      <c r="C121" s="144"/>
      <c r="D121" s="144"/>
      <c r="E121" s="144"/>
      <c r="F121" s="144" t="str">
        <f>'HVAC Deemed Table'!E157</f>
        <v>CAC - SEER 19 ROF: SF</v>
      </c>
      <c r="G121" s="2494" t="str">
        <f>'HVAC Deemed Table'!D157</f>
        <v>SF</v>
      </c>
      <c r="H121" s="2420">
        <f t="shared" si="37"/>
        <v>759.94</v>
      </c>
      <c r="I121" s="2420">
        <f t="shared" si="42"/>
        <v>0</v>
      </c>
      <c r="J121" s="2562">
        <f>'HVAC Deemed Table'!F157</f>
        <v>759.94</v>
      </c>
      <c r="K121" s="2452">
        <v>0</v>
      </c>
      <c r="L121" s="144"/>
      <c r="M121" s="2452">
        <v>0</v>
      </c>
      <c r="N121" s="2421">
        <f t="shared" si="38"/>
        <v>0.71998099999999998</v>
      </c>
      <c r="O121" s="2421">
        <f t="shared" si="39"/>
        <v>0</v>
      </c>
      <c r="P121" s="2563">
        <f>'HVAC Deemed Table'!I157</f>
        <v>0.71998099999999998</v>
      </c>
      <c r="Q121" s="2563">
        <v>0</v>
      </c>
      <c r="R121" s="2563"/>
      <c r="S121" s="2452">
        <v>0</v>
      </c>
      <c r="T121" s="2413"/>
      <c r="U121" s="2413"/>
      <c r="V121" s="2413">
        <f t="shared" si="43"/>
        <v>0.71998099999999998</v>
      </c>
      <c r="W121" s="2460">
        <f>'HVAC Deemed Table'!J157</f>
        <v>18</v>
      </c>
      <c r="X121" s="2460"/>
      <c r="Y121" s="94">
        <f t="shared" si="24"/>
        <v>18</v>
      </c>
      <c r="Z121" s="2414">
        <f>'HVAC Deemed Table'!BB157</f>
        <v>1.3743300888786878</v>
      </c>
      <c r="AA121" s="2417">
        <f>'HVAC Deemed Table'!K157</f>
        <v>1033.3333333333328</v>
      </c>
      <c r="AB121" s="2418">
        <f t="shared" si="40"/>
        <v>1340.3880055132702</v>
      </c>
      <c r="AC121" s="2418">
        <f t="shared" si="41"/>
        <v>0</v>
      </c>
      <c r="AD121" s="2445">
        <f>'HVAC Deemed Table'!BD157</f>
        <v>1340.3880055132702</v>
      </c>
      <c r="AE121" s="2445"/>
      <c r="AF121" s="2445"/>
      <c r="AG121" s="2445"/>
      <c r="AH121" s="2378"/>
      <c r="AI121" s="2378"/>
      <c r="AJ121" s="2378"/>
      <c r="AK121" s="2378"/>
      <c r="AL121" s="2380"/>
      <c r="AN121" s="2368"/>
    </row>
    <row r="122" spans="1:40" x14ac:dyDescent="0.25">
      <c r="A122" s="790" t="str">
        <f>'HVAC Deemed Table'!C158</f>
        <v>351172_2020_02</v>
      </c>
      <c r="B122" s="144" t="str">
        <f>'HVAC Deemed Table'!G158</f>
        <v>Cooling RES</v>
      </c>
      <c r="C122" s="144" t="str">
        <f>'HVAC Deemed Table'!G159</f>
        <v>Cooling RES ER2</v>
      </c>
      <c r="D122" s="144"/>
      <c r="E122" s="144"/>
      <c r="F122" s="144" t="str">
        <f>'HVAC Deemed Table'!E158</f>
        <v>CAC - SEER 19 ER1: MF</v>
      </c>
      <c r="G122" s="2494" t="str">
        <f>'HVAC Deemed Table'!D158</f>
        <v>MF</v>
      </c>
      <c r="H122" s="2420">
        <f t="shared" si="37"/>
        <v>1406.04</v>
      </c>
      <c r="I122" s="2420">
        <f t="shared" si="42"/>
        <v>506.62</v>
      </c>
      <c r="J122" s="2562">
        <f>'HVAC Deemed Table'!F158</f>
        <v>1406.04</v>
      </c>
      <c r="K122" s="2452">
        <v>0</v>
      </c>
      <c r="L122" s="2562">
        <f>'HVAC Deemed Table'!F159</f>
        <v>506.62</v>
      </c>
      <c r="M122" s="2452">
        <v>0</v>
      </c>
      <c r="N122" s="2421">
        <f t="shared" si="38"/>
        <v>1.3321080000000001</v>
      </c>
      <c r="O122" s="2421">
        <f t="shared" si="39"/>
        <v>0.47998099999999999</v>
      </c>
      <c r="P122" s="2563">
        <f>'HVAC Deemed Table'!I158</f>
        <v>1.3321080000000001</v>
      </c>
      <c r="Q122" s="2563">
        <v>0</v>
      </c>
      <c r="R122" s="2563">
        <f>'HVAC Deemed Table'!I159</f>
        <v>0.47998099999999999</v>
      </c>
      <c r="S122" s="2452">
        <v>0</v>
      </c>
      <c r="T122" s="2413"/>
      <c r="U122" s="2413"/>
      <c r="V122" s="2424">
        <f>O122</f>
        <v>0.47998099999999999</v>
      </c>
      <c r="W122" s="2460">
        <f>'HVAC Deemed Table'!J158</f>
        <v>6</v>
      </c>
      <c r="X122" s="2460">
        <f>'HVAC Deemed Table'!J159</f>
        <v>12</v>
      </c>
      <c r="Y122" s="94">
        <f t="shared" si="24"/>
        <v>18</v>
      </c>
      <c r="Z122" s="2414">
        <f>'HVAC Deemed Table'!BB158</f>
        <v>1.127306751747124</v>
      </c>
      <c r="AA122" s="2417">
        <f>'HVAC Deemed Table'!K158</f>
        <v>1331.3724617902726</v>
      </c>
      <c r="AB122" s="2418">
        <f t="shared" si="40"/>
        <v>817.58999245313771</v>
      </c>
      <c r="AC122" s="2418">
        <f t="shared" si="41"/>
        <v>598.98873833153812</v>
      </c>
      <c r="AD122" s="2445">
        <f>'HVAC Deemed Table'!BD158</f>
        <v>817.58999245313771</v>
      </c>
      <c r="AE122" s="2445"/>
      <c r="AF122" s="2445">
        <f>'HVAC Deemed Table'!BD159</f>
        <v>598.98873833153812</v>
      </c>
      <c r="AG122" s="2445"/>
      <c r="AH122" s="2378"/>
      <c r="AI122" s="2378"/>
      <c r="AJ122" s="2378"/>
      <c r="AK122" s="2378"/>
      <c r="AL122" s="2380"/>
      <c r="AN122" s="2368"/>
    </row>
    <row r="123" spans="1:40" x14ac:dyDescent="0.25">
      <c r="A123" s="790" t="str">
        <f>'HVAC Deemed Table'!C160</f>
        <v>351173_2020_02</v>
      </c>
      <c r="B123" s="144" t="str">
        <f>'HVAC Deemed Table'!G160</f>
        <v>Cooling RES</v>
      </c>
      <c r="C123" s="144" t="str">
        <f>'HVAC Deemed Table'!G161</f>
        <v>Cooling RES ER2</v>
      </c>
      <c r="D123" s="144"/>
      <c r="E123" s="144"/>
      <c r="F123" s="144" t="str">
        <f>'HVAC Deemed Table'!E160</f>
        <v>CAC - SEER 19 ER1: MF_CompE</v>
      </c>
      <c r="G123" s="2494" t="str">
        <f>'HVAC Deemed Table'!D160</f>
        <v>MFc</v>
      </c>
      <c r="H123" s="2420">
        <f t="shared" si="37"/>
        <v>1022.57</v>
      </c>
      <c r="I123" s="2420">
        <f t="shared" si="42"/>
        <v>368.45</v>
      </c>
      <c r="J123" s="2562">
        <f>'HVAC Deemed Table'!F160</f>
        <v>1022.57</v>
      </c>
      <c r="K123" s="2452">
        <v>0</v>
      </c>
      <c r="L123" s="2562">
        <f>'HVAC Deemed Table'!F161</f>
        <v>368.45</v>
      </c>
      <c r="M123" s="2452">
        <v>0</v>
      </c>
      <c r="N123" s="2421">
        <f t="shared" si="38"/>
        <v>0.96880100000000002</v>
      </c>
      <c r="O123" s="2421">
        <f t="shared" si="39"/>
        <v>0.349076</v>
      </c>
      <c r="P123" s="2563">
        <f>'HVAC Deemed Table'!I160</f>
        <v>0.96880100000000002</v>
      </c>
      <c r="Q123" s="2563">
        <v>0</v>
      </c>
      <c r="R123" s="2563">
        <f>'HVAC Deemed Table'!I161</f>
        <v>0.349076</v>
      </c>
      <c r="S123" s="2452">
        <v>0</v>
      </c>
      <c r="T123" s="2413"/>
      <c r="U123" s="2413"/>
      <c r="V123" s="2424">
        <f>O123</f>
        <v>0.349076</v>
      </c>
      <c r="W123" s="2460">
        <f>'HVAC Deemed Table'!J160</f>
        <v>6</v>
      </c>
      <c r="X123" s="2460">
        <f>'HVAC Deemed Table'!J161</f>
        <v>12</v>
      </c>
      <c r="Y123" s="94">
        <f t="shared" si="24"/>
        <v>18</v>
      </c>
      <c r="Z123" s="2414">
        <f>'HVAC Deemed Table'!BB160</f>
        <v>0.81985649708929442</v>
      </c>
      <c r="AA123" s="2417">
        <f>'HVAC Deemed Table'!K160</f>
        <v>1331.3724617902726</v>
      </c>
      <c r="AB123" s="2418">
        <f t="shared" si="40"/>
        <v>594.60826049245054</v>
      </c>
      <c r="AC123" s="2418">
        <f t="shared" si="41"/>
        <v>435.62709849247011</v>
      </c>
      <c r="AD123" s="2445">
        <f>'HVAC Deemed Table'!BD160</f>
        <v>594.60826049245054</v>
      </c>
      <c r="AE123" s="2445"/>
      <c r="AF123" s="2445">
        <f>'HVAC Deemed Table'!BD161</f>
        <v>435.62709849247011</v>
      </c>
      <c r="AG123" s="2445"/>
      <c r="AH123" s="2378"/>
      <c r="AI123" s="2378"/>
      <c r="AJ123" s="2378"/>
      <c r="AK123" s="2378"/>
      <c r="AL123" s="2380"/>
      <c r="AN123" s="2368"/>
    </row>
    <row r="124" spans="1:40" x14ac:dyDescent="0.25">
      <c r="A124" s="790" t="str">
        <f>'HVAC Deemed Table'!C162</f>
        <v>351174_2020_02</v>
      </c>
      <c r="B124" s="144" t="str">
        <f>'HVAC Deemed Table'!G162</f>
        <v>Cooling RES</v>
      </c>
      <c r="C124" s="144"/>
      <c r="D124" s="144"/>
      <c r="E124" s="144"/>
      <c r="F124" s="144" t="str">
        <f>'HVAC Deemed Table'!E162</f>
        <v>CAC - SEER 19 ROF: MF</v>
      </c>
      <c r="G124" s="2494" t="str">
        <f>'HVAC Deemed Table'!D162</f>
        <v>MF</v>
      </c>
      <c r="H124" s="2420">
        <f t="shared" si="37"/>
        <v>506.62</v>
      </c>
      <c r="I124" s="2420">
        <f t="shared" si="42"/>
        <v>0</v>
      </c>
      <c r="J124" s="2562">
        <f>'HVAC Deemed Table'!F162</f>
        <v>506.62</v>
      </c>
      <c r="K124" s="2452">
        <v>0</v>
      </c>
      <c r="L124" s="144"/>
      <c r="M124" s="2452">
        <v>0</v>
      </c>
      <c r="N124" s="2421">
        <f t="shared" si="38"/>
        <v>0.47998099999999999</v>
      </c>
      <c r="O124" s="2421">
        <f t="shared" si="39"/>
        <v>0</v>
      </c>
      <c r="P124" s="2563">
        <f>'HVAC Deemed Table'!I162</f>
        <v>0.47998099999999999</v>
      </c>
      <c r="Q124" s="2563">
        <v>0</v>
      </c>
      <c r="R124" s="2563"/>
      <c r="S124" s="2452">
        <v>0</v>
      </c>
      <c r="T124" s="2413"/>
      <c r="U124" s="2413"/>
      <c r="V124" s="2413">
        <f t="shared" si="43"/>
        <v>0.47998099999999999</v>
      </c>
      <c r="W124" s="2460">
        <f>'HVAC Deemed Table'!J162</f>
        <v>18</v>
      </c>
      <c r="X124" s="2460"/>
      <c r="Y124" s="94">
        <f t="shared" si="24"/>
        <v>18</v>
      </c>
      <c r="Z124" s="2414">
        <f>'HVAC Deemed Table'!BB162</f>
        <v>0.91620800277353565</v>
      </c>
      <c r="AA124" s="2417">
        <f>'HVAC Deemed Table'!K162</f>
        <v>1033.3333333333328</v>
      </c>
      <c r="AB124" s="2418">
        <f t="shared" si="40"/>
        <v>893.58024495767143</v>
      </c>
      <c r="AC124" s="2418">
        <f t="shared" si="41"/>
        <v>0</v>
      </c>
      <c r="AD124" s="2445">
        <f>'HVAC Deemed Table'!BD162</f>
        <v>893.58024495767143</v>
      </c>
      <c r="AE124" s="2445"/>
      <c r="AF124" s="2445"/>
      <c r="AG124" s="2445"/>
      <c r="AH124" s="2378"/>
      <c r="AI124" s="2378"/>
      <c r="AJ124" s="2378"/>
      <c r="AK124" s="2378"/>
      <c r="AL124" s="2380"/>
      <c r="AN124" s="2368"/>
    </row>
    <row r="125" spans="1:40" x14ac:dyDescent="0.25">
      <c r="A125" s="790" t="str">
        <f>'HVAC Deemed Table'!C163</f>
        <v>351175_2020_02</v>
      </c>
      <c r="B125" s="144" t="str">
        <f>'HVAC Deemed Table'!G163</f>
        <v>Cooling RES</v>
      </c>
      <c r="C125" s="144"/>
      <c r="D125" s="144"/>
      <c r="E125" s="144"/>
      <c r="F125" s="144" t="str">
        <f>'HVAC Deemed Table'!E163</f>
        <v>CAC - SEER 19 ROF: MF_CompE</v>
      </c>
      <c r="G125" s="2494" t="str">
        <f>'HVAC Deemed Table'!D163</f>
        <v>MFc</v>
      </c>
      <c r="H125" s="2420">
        <f t="shared" si="37"/>
        <v>368.45</v>
      </c>
      <c r="I125" s="2420">
        <f t="shared" si="42"/>
        <v>0</v>
      </c>
      <c r="J125" s="2562">
        <f>'HVAC Deemed Table'!F163</f>
        <v>368.45</v>
      </c>
      <c r="K125" s="2452">
        <v>0</v>
      </c>
      <c r="L125" s="144"/>
      <c r="M125" s="2452">
        <v>0</v>
      </c>
      <c r="N125" s="2421">
        <f t="shared" si="38"/>
        <v>0.349076</v>
      </c>
      <c r="O125" s="2421">
        <f t="shared" si="39"/>
        <v>0</v>
      </c>
      <c r="P125" s="2563">
        <f>'HVAC Deemed Table'!I163</f>
        <v>0.349076</v>
      </c>
      <c r="Q125" s="2563">
        <v>0</v>
      </c>
      <c r="R125" s="2563"/>
      <c r="S125" s="2452">
        <v>0</v>
      </c>
      <c r="T125" s="2413"/>
      <c r="U125" s="2413"/>
      <c r="V125" s="2413">
        <f t="shared" si="43"/>
        <v>0.349076</v>
      </c>
      <c r="W125" s="2460">
        <f>'HVAC Deemed Table'!J163</f>
        <v>18</v>
      </c>
      <c r="X125" s="2460"/>
      <c r="Y125" s="94">
        <f t="shared" si="24"/>
        <v>18</v>
      </c>
      <c r="Z125" s="2414">
        <f>'HVAC Deemed Table'!BB163</f>
        <v>0.66633144886090001</v>
      </c>
      <c r="AA125" s="2417">
        <f>'HVAC Deemed Table'!K163</f>
        <v>1033.3333333333328</v>
      </c>
      <c r="AB125" s="2418">
        <f t="shared" si="40"/>
        <v>649.87493832587347</v>
      </c>
      <c r="AC125" s="2418">
        <f t="shared" si="41"/>
        <v>0</v>
      </c>
      <c r="AD125" s="2445">
        <f>'HVAC Deemed Table'!BD163</f>
        <v>649.87493832587347</v>
      </c>
      <c r="AE125" s="2445"/>
      <c r="AF125" s="2445"/>
      <c r="AG125" s="2445"/>
      <c r="AH125" s="2378"/>
      <c r="AI125" s="2378"/>
      <c r="AJ125" s="2378"/>
      <c r="AK125" s="2378"/>
      <c r="AL125" s="2380"/>
      <c r="AN125" s="2368"/>
    </row>
    <row r="126" spans="1:40" x14ac:dyDescent="0.25">
      <c r="A126" s="790" t="str">
        <f>'HVAC Deemed Table'!C164</f>
        <v>351180_2020_02</v>
      </c>
      <c r="B126" s="144" t="str">
        <f>'HVAC Deemed Table'!G164</f>
        <v>Cooling RES</v>
      </c>
      <c r="C126" s="144" t="str">
        <f>'HVAC Deemed Table'!G165</f>
        <v>Cooling RES ER2</v>
      </c>
      <c r="D126" s="144"/>
      <c r="E126" s="144"/>
      <c r="F126" s="144" t="str">
        <f>'HVAC Deemed Table'!E164</f>
        <v>CAC - SEER 20 ER1: SF</v>
      </c>
      <c r="G126" s="2494" t="str">
        <f>'HVAC Deemed Table'!D164</f>
        <v>SF</v>
      </c>
      <c r="H126" s="2420">
        <f t="shared" si="37"/>
        <v>2191.38</v>
      </c>
      <c r="I126" s="2420">
        <f t="shared" si="42"/>
        <v>842.26</v>
      </c>
      <c r="J126" s="2562">
        <f>'HVAC Deemed Table'!F164</f>
        <v>2191.38</v>
      </c>
      <c r="K126" s="2452">
        <v>0</v>
      </c>
      <c r="L126" s="2562">
        <f>'HVAC Deemed Table'!F165</f>
        <v>842.26</v>
      </c>
      <c r="M126" s="2452">
        <v>0</v>
      </c>
      <c r="N126" s="2421">
        <f t="shared" si="38"/>
        <v>2.0761530000000001</v>
      </c>
      <c r="O126" s="2421">
        <f t="shared" si="39"/>
        <v>0.79797200000000001</v>
      </c>
      <c r="P126" s="2563">
        <f>'HVAC Deemed Table'!I164</f>
        <v>2.0761530000000001</v>
      </c>
      <c r="Q126" s="2563">
        <v>0</v>
      </c>
      <c r="R126" s="2563">
        <f>'HVAC Deemed Table'!I165</f>
        <v>0.79797200000000001</v>
      </c>
      <c r="S126" s="2452">
        <v>0</v>
      </c>
      <c r="T126" s="2413"/>
      <c r="U126" s="2413"/>
      <c r="V126" s="2424">
        <f>O126</f>
        <v>0.79797200000000001</v>
      </c>
      <c r="W126" s="2460">
        <f>'HVAC Deemed Table'!J164</f>
        <v>6</v>
      </c>
      <c r="X126" s="2460">
        <f>'HVAC Deemed Table'!J165</f>
        <v>12</v>
      </c>
      <c r="Y126" s="94">
        <f t="shared" si="24"/>
        <v>18</v>
      </c>
      <c r="Z126" s="2414">
        <f>'HVAC Deemed Table'!BB164</f>
        <v>1.4256446047238267</v>
      </c>
      <c r="AA126" s="2417">
        <f>'HVAC Deemed Table'!K164</f>
        <v>1687.0586926854098</v>
      </c>
      <c r="AB126" s="2418">
        <f t="shared" si="40"/>
        <v>1274.2527649725166</v>
      </c>
      <c r="AC126" s="2418">
        <f t="shared" si="41"/>
        <v>995.82380235111384</v>
      </c>
      <c r="AD126" s="2445">
        <f>'HVAC Deemed Table'!BD164</f>
        <v>1274.2527649725166</v>
      </c>
      <c r="AE126" s="2445"/>
      <c r="AF126" s="2445">
        <f>'HVAC Deemed Table'!BD165</f>
        <v>995.82380235111384</v>
      </c>
      <c r="AG126" s="2445"/>
      <c r="AH126" s="2378"/>
      <c r="AI126" s="2378"/>
      <c r="AJ126" s="2378"/>
      <c r="AK126" s="2378"/>
      <c r="AL126" s="2380"/>
      <c r="AN126" s="2368"/>
    </row>
    <row r="127" spans="1:40" x14ac:dyDescent="0.25">
      <c r="A127" s="790" t="str">
        <f>'HVAC Deemed Table'!C166</f>
        <v>351181_2020_02</v>
      </c>
      <c r="B127" s="144" t="str">
        <f>'HVAC Deemed Table'!G166</f>
        <v>Cooling RES</v>
      </c>
      <c r="C127" s="144"/>
      <c r="D127" s="144"/>
      <c r="E127" s="144"/>
      <c r="F127" s="144" t="str">
        <f>'HVAC Deemed Table'!E166</f>
        <v>CAC - SEER 20 ROF: SF</v>
      </c>
      <c r="G127" s="2494" t="str">
        <f>'HVAC Deemed Table'!D166</f>
        <v>SF</v>
      </c>
      <c r="H127" s="2420">
        <f t="shared" si="37"/>
        <v>842.26</v>
      </c>
      <c r="I127" s="2420">
        <f t="shared" si="42"/>
        <v>0</v>
      </c>
      <c r="J127" s="2562">
        <f>'HVAC Deemed Table'!F166</f>
        <v>842.26</v>
      </c>
      <c r="K127" s="2452">
        <v>0</v>
      </c>
      <c r="L127" s="144"/>
      <c r="M127" s="2452">
        <v>0</v>
      </c>
      <c r="N127" s="2421">
        <f t="shared" si="38"/>
        <v>0.79797200000000001</v>
      </c>
      <c r="O127" s="2421">
        <f t="shared" si="39"/>
        <v>0</v>
      </c>
      <c r="P127" s="2563">
        <f>'HVAC Deemed Table'!I166</f>
        <v>0.79797200000000001</v>
      </c>
      <c r="Q127" s="2563">
        <v>0</v>
      </c>
      <c r="R127" s="2563"/>
      <c r="S127" s="2452">
        <v>0</v>
      </c>
      <c r="T127" s="2413"/>
      <c r="U127" s="2413"/>
      <c r="V127" s="2413">
        <f t="shared" si="43"/>
        <v>0.79797200000000001</v>
      </c>
      <c r="W127" s="2460">
        <f>'HVAC Deemed Table'!J166</f>
        <v>18</v>
      </c>
      <c r="X127" s="2460"/>
      <c r="Y127" s="94">
        <f t="shared" si="24"/>
        <v>18</v>
      </c>
      <c r="Z127" s="2414">
        <f>'HVAC Deemed Table'!BB166</f>
        <v>1.2693362421802632</v>
      </c>
      <c r="AA127" s="2417">
        <f>'HVAC Deemed Table'!K166</f>
        <v>1239.9999999999995</v>
      </c>
      <c r="AB127" s="2418">
        <f t="shared" si="40"/>
        <v>1485.584653424753</v>
      </c>
      <c r="AC127" s="2418">
        <f t="shared" si="41"/>
        <v>0</v>
      </c>
      <c r="AD127" s="2445">
        <f>'HVAC Deemed Table'!BD166</f>
        <v>1485.584653424753</v>
      </c>
      <c r="AE127" s="2445"/>
      <c r="AF127" s="2445"/>
      <c r="AG127" s="2445"/>
      <c r="AH127" s="2378"/>
      <c r="AI127" s="2378"/>
      <c r="AJ127" s="2378"/>
      <c r="AK127" s="2378"/>
      <c r="AL127" s="2380"/>
      <c r="AN127" s="2368"/>
    </row>
    <row r="128" spans="1:40" x14ac:dyDescent="0.25">
      <c r="A128" s="790" t="str">
        <f>'HVAC Deemed Table'!C167</f>
        <v>351182_2020_02</v>
      </c>
      <c r="B128" s="144" t="str">
        <f>'HVAC Deemed Table'!G167</f>
        <v>Cooling RES</v>
      </c>
      <c r="C128" s="144" t="str">
        <f>'HVAC Deemed Table'!G168</f>
        <v>Cooling RES ER2</v>
      </c>
      <c r="D128" s="144"/>
      <c r="E128" s="144"/>
      <c r="F128" s="144" t="str">
        <f>'HVAC Deemed Table'!E167</f>
        <v>CAC - SEER 20 ER1: MF</v>
      </c>
      <c r="G128" s="2494" t="str">
        <f>'HVAC Deemed Table'!D167</f>
        <v>MF</v>
      </c>
      <c r="H128" s="2420">
        <f t="shared" si="37"/>
        <v>1460.92</v>
      </c>
      <c r="I128" s="2420">
        <f t="shared" si="42"/>
        <v>561.51</v>
      </c>
      <c r="J128" s="2562">
        <f>'HVAC Deemed Table'!F167</f>
        <v>1460.92</v>
      </c>
      <c r="K128" s="2452">
        <v>0</v>
      </c>
      <c r="L128" s="2562">
        <f>'HVAC Deemed Table'!F168</f>
        <v>561.51</v>
      </c>
      <c r="M128" s="2452">
        <v>0</v>
      </c>
      <c r="N128" s="2421">
        <f t="shared" si="38"/>
        <v>1.3841019999999999</v>
      </c>
      <c r="O128" s="2421">
        <f t="shared" si="39"/>
        <v>0.53198500000000004</v>
      </c>
      <c r="P128" s="2563">
        <f>'HVAC Deemed Table'!I167</f>
        <v>1.3841019999999999</v>
      </c>
      <c r="Q128" s="2563">
        <v>0</v>
      </c>
      <c r="R128" s="2563">
        <f>'HVAC Deemed Table'!I168</f>
        <v>0.53198500000000004</v>
      </c>
      <c r="S128" s="2452">
        <v>0</v>
      </c>
      <c r="T128" s="2413"/>
      <c r="U128" s="2413"/>
      <c r="V128" s="2424">
        <f>O128</f>
        <v>0.53198500000000004</v>
      </c>
      <c r="W128" s="2460">
        <f>'HVAC Deemed Table'!J167</f>
        <v>6</v>
      </c>
      <c r="X128" s="2460">
        <f>'HVAC Deemed Table'!J168</f>
        <v>12</v>
      </c>
      <c r="Y128" s="94">
        <f t="shared" si="24"/>
        <v>18</v>
      </c>
      <c r="Z128" s="2414">
        <f>'HVAC Deemed Table'!BB167</f>
        <v>1.0425189415699732</v>
      </c>
      <c r="AA128" s="2417">
        <f>'HVAC Deemed Table'!K167</f>
        <v>1538.0391284569391</v>
      </c>
      <c r="AB128" s="2418">
        <f t="shared" si="40"/>
        <v>849.501843315011</v>
      </c>
      <c r="AC128" s="2418">
        <f t="shared" si="41"/>
        <v>663.88647597912041</v>
      </c>
      <c r="AD128" s="2445">
        <f>'HVAC Deemed Table'!BD167</f>
        <v>849.501843315011</v>
      </c>
      <c r="AE128" s="2445"/>
      <c r="AF128" s="2445">
        <f>'HVAC Deemed Table'!BD168</f>
        <v>663.88647597912041</v>
      </c>
      <c r="AG128" s="2445"/>
      <c r="AH128" s="2378"/>
      <c r="AI128" s="2378"/>
      <c r="AJ128" s="2378"/>
      <c r="AK128" s="2378"/>
      <c r="AL128" s="2380"/>
      <c r="AN128" s="2368"/>
    </row>
    <row r="129" spans="1:40" x14ac:dyDescent="0.25">
      <c r="A129" s="790" t="str">
        <f>'HVAC Deemed Table'!C169</f>
        <v>351183_2020_02</v>
      </c>
      <c r="B129" s="144" t="str">
        <f>'HVAC Deemed Table'!G169</f>
        <v>Cooling RES</v>
      </c>
      <c r="C129" s="144" t="str">
        <f>'HVAC Deemed Table'!G170</f>
        <v>Cooling RES ER2</v>
      </c>
      <c r="D129" s="144"/>
      <c r="E129" s="144"/>
      <c r="F129" s="144" t="str">
        <f>'HVAC Deemed Table'!E169</f>
        <v>CAC - SEER 20 ER1: MF_CompE</v>
      </c>
      <c r="G129" s="2494" t="str">
        <f>'HVAC Deemed Table'!D169</f>
        <v>MFc</v>
      </c>
      <c r="H129" s="2420">
        <f t="shared" si="37"/>
        <v>1062.49</v>
      </c>
      <c r="I129" s="2420">
        <f t="shared" si="42"/>
        <v>408.37</v>
      </c>
      <c r="J129" s="2562">
        <f>'HVAC Deemed Table'!F169</f>
        <v>1062.49</v>
      </c>
      <c r="K129" s="2452">
        <v>0</v>
      </c>
      <c r="L129" s="2562">
        <f>'HVAC Deemed Table'!F170</f>
        <v>408.37</v>
      </c>
      <c r="M129" s="2452">
        <v>0</v>
      </c>
      <c r="N129" s="2421">
        <f t="shared" si="38"/>
        <v>1.0066219999999999</v>
      </c>
      <c r="O129" s="2421">
        <f t="shared" si="39"/>
        <v>0.38689699999999999</v>
      </c>
      <c r="P129" s="2563">
        <f>'HVAC Deemed Table'!I169</f>
        <v>1.0066219999999999</v>
      </c>
      <c r="Q129" s="2563">
        <v>0</v>
      </c>
      <c r="R129" s="2563">
        <f>'HVAC Deemed Table'!I170</f>
        <v>0.38689699999999999</v>
      </c>
      <c r="S129" s="2452">
        <v>0</v>
      </c>
      <c r="T129" s="2413"/>
      <c r="U129" s="2413"/>
      <c r="V129" s="2424">
        <f>O129</f>
        <v>0.38689699999999999</v>
      </c>
      <c r="W129" s="2460">
        <f>'HVAC Deemed Table'!J169</f>
        <v>6</v>
      </c>
      <c r="X129" s="2460">
        <f>'HVAC Deemed Table'!J170</f>
        <v>12</v>
      </c>
      <c r="Y129" s="94">
        <f t="shared" si="24"/>
        <v>18</v>
      </c>
      <c r="Z129" s="2414">
        <f>'HVAC Deemed Table'!BB169</f>
        <v>0.75819594589679207</v>
      </c>
      <c r="AA129" s="2417">
        <f>'HVAC Deemed Table'!K169</f>
        <v>1538.0391284569391</v>
      </c>
      <c r="AB129" s="2418">
        <f t="shared" si="40"/>
        <v>617.82110827681595</v>
      </c>
      <c r="AC129" s="2418">
        <f t="shared" si="41"/>
        <v>482.82545314525726</v>
      </c>
      <c r="AD129" s="2445">
        <f>'HVAC Deemed Table'!BD169</f>
        <v>617.82110827681595</v>
      </c>
      <c r="AE129" s="2445"/>
      <c r="AF129" s="2445">
        <f>'HVAC Deemed Table'!BD170</f>
        <v>482.82545314525726</v>
      </c>
      <c r="AG129" s="2445"/>
      <c r="AH129" s="2378"/>
      <c r="AI129" s="2378"/>
      <c r="AJ129" s="2378"/>
      <c r="AK129" s="2378"/>
      <c r="AL129" s="2380"/>
      <c r="AN129" s="2368"/>
    </row>
    <row r="130" spans="1:40" x14ac:dyDescent="0.25">
      <c r="A130" s="790" t="str">
        <f>'HVAC Deemed Table'!C171</f>
        <v>351184_2020_02</v>
      </c>
      <c r="B130" s="144" t="str">
        <f>'HVAC Deemed Table'!G171</f>
        <v>Cooling RES</v>
      </c>
      <c r="C130" s="144"/>
      <c r="D130" s="144"/>
      <c r="E130" s="144"/>
      <c r="F130" s="144" t="str">
        <f>'HVAC Deemed Table'!E171</f>
        <v>CAC - SEER 20 ROF: MF</v>
      </c>
      <c r="G130" s="2494" t="str">
        <f>'HVAC Deemed Table'!D171</f>
        <v>MF</v>
      </c>
      <c r="H130" s="2420">
        <f t="shared" si="37"/>
        <v>561.51</v>
      </c>
      <c r="I130" s="2420">
        <f t="shared" si="42"/>
        <v>0</v>
      </c>
      <c r="J130" s="2562">
        <f>'HVAC Deemed Table'!F171</f>
        <v>561.51</v>
      </c>
      <c r="K130" s="2452">
        <v>0</v>
      </c>
      <c r="L130" s="144"/>
      <c r="M130" s="2452">
        <v>0</v>
      </c>
      <c r="N130" s="2421">
        <f t="shared" si="38"/>
        <v>0.53198500000000004</v>
      </c>
      <c r="O130" s="2421">
        <f t="shared" si="39"/>
        <v>0</v>
      </c>
      <c r="P130" s="2563">
        <f>'HVAC Deemed Table'!I171</f>
        <v>0.53198500000000004</v>
      </c>
      <c r="Q130" s="2563">
        <v>0</v>
      </c>
      <c r="R130" s="2563"/>
      <c r="S130" s="2452">
        <v>0</v>
      </c>
      <c r="T130" s="2413"/>
      <c r="U130" s="2413"/>
      <c r="V130" s="2413">
        <f t="shared" si="43"/>
        <v>0.53198500000000004</v>
      </c>
      <c r="W130" s="2460">
        <f>'HVAC Deemed Table'!J171</f>
        <v>18</v>
      </c>
      <c r="X130" s="2460"/>
      <c r="Y130" s="94">
        <f t="shared" si="24"/>
        <v>18</v>
      </c>
      <c r="Z130" s="2414">
        <f>'HVAC Deemed Table'!BB171</f>
        <v>0.84622918498639321</v>
      </c>
      <c r="AA130" s="2417">
        <f>'HVAC Deemed Table'!K171</f>
        <v>1239.9999999999995</v>
      </c>
      <c r="AB130" s="2418">
        <f t="shared" si="40"/>
        <v>990.39564830875622</v>
      </c>
      <c r="AC130" s="2418">
        <f t="shared" si="41"/>
        <v>0</v>
      </c>
      <c r="AD130" s="2445">
        <f>'HVAC Deemed Table'!BD171</f>
        <v>990.39564830875622</v>
      </c>
      <c r="AE130" s="2445"/>
      <c r="AF130" s="2445"/>
      <c r="AG130" s="2445"/>
      <c r="AH130" s="2378"/>
      <c r="AI130" s="2378"/>
      <c r="AJ130" s="2378"/>
      <c r="AK130" s="2378"/>
      <c r="AL130" s="2380"/>
      <c r="AN130" s="2368"/>
    </row>
    <row r="131" spans="1:40" x14ac:dyDescent="0.25">
      <c r="A131" s="790" t="str">
        <f>'HVAC Deemed Table'!C172</f>
        <v>351185_2020_02</v>
      </c>
      <c r="B131" s="144" t="str">
        <f>'HVAC Deemed Table'!G172</f>
        <v>Cooling RES</v>
      </c>
      <c r="C131" s="144"/>
      <c r="D131" s="144"/>
      <c r="E131" s="144"/>
      <c r="F131" s="144" t="str">
        <f>'HVAC Deemed Table'!E172</f>
        <v>CAC - SEER 20 ROF: MF_CompE</v>
      </c>
      <c r="G131" s="2494" t="str">
        <f>'HVAC Deemed Table'!D172</f>
        <v>MFc</v>
      </c>
      <c r="H131" s="2420">
        <f t="shared" si="37"/>
        <v>408.37</v>
      </c>
      <c r="I131" s="2420">
        <f t="shared" si="42"/>
        <v>0</v>
      </c>
      <c r="J131" s="2562">
        <f>'HVAC Deemed Table'!F172</f>
        <v>408.37</v>
      </c>
      <c r="K131" s="2452">
        <v>0</v>
      </c>
      <c r="L131" s="144"/>
      <c r="M131" s="2452">
        <v>0</v>
      </c>
      <c r="N131" s="2421">
        <f t="shared" si="38"/>
        <v>0.38689699999999999</v>
      </c>
      <c r="O131" s="2421">
        <f t="shared" si="39"/>
        <v>0</v>
      </c>
      <c r="P131" s="2563">
        <f>'HVAC Deemed Table'!I172</f>
        <v>0.38689699999999999</v>
      </c>
      <c r="Q131" s="2563">
        <v>0</v>
      </c>
      <c r="R131" s="2563"/>
      <c r="S131" s="2452">
        <v>0</v>
      </c>
      <c r="T131" s="2413"/>
      <c r="U131" s="2413"/>
      <c r="V131" s="2413">
        <f t="shared" si="43"/>
        <v>0.38689699999999999</v>
      </c>
      <c r="W131" s="2460">
        <f>'HVAC Deemed Table'!J172</f>
        <v>18</v>
      </c>
      <c r="X131" s="2460"/>
      <c r="Y131" s="94">
        <f t="shared" si="24"/>
        <v>18</v>
      </c>
      <c r="Z131" s="2414">
        <f>'HVAC Deemed Table'!BB172</f>
        <v>0.61543803720840839</v>
      </c>
      <c r="AA131" s="2417">
        <f>'HVAC Deemed Table'!K172</f>
        <v>1239.9999999999995</v>
      </c>
      <c r="AB131" s="2418">
        <f t="shared" si="40"/>
        <v>720.28614076302608</v>
      </c>
      <c r="AC131" s="2418">
        <f t="shared" si="41"/>
        <v>0</v>
      </c>
      <c r="AD131" s="2445">
        <f>'HVAC Deemed Table'!BD172</f>
        <v>720.28614076302608</v>
      </c>
      <c r="AE131" s="2445"/>
      <c r="AF131" s="2445"/>
      <c r="AG131" s="2445"/>
      <c r="AH131" s="2378"/>
      <c r="AI131" s="2378"/>
      <c r="AJ131" s="2378"/>
      <c r="AK131" s="2378"/>
      <c r="AL131" s="2380"/>
      <c r="AN131" s="2368"/>
    </row>
    <row r="132" spans="1:40" x14ac:dyDescent="0.25">
      <c r="A132" s="790" t="str">
        <f>'HVAC Deemed Table'!C173</f>
        <v>351190_2020_02</v>
      </c>
      <c r="B132" s="144" t="str">
        <f>'HVAC Deemed Table'!G173</f>
        <v>Cooling RES</v>
      </c>
      <c r="C132" s="144" t="str">
        <f>'HVAC Deemed Table'!G174</f>
        <v>Cooling RES ER2</v>
      </c>
      <c r="D132" s="144"/>
      <c r="E132" s="144"/>
      <c r="F132" s="144" t="str">
        <f>'HVAC Deemed Table'!E173</f>
        <v>CAC - SEER 21+ ER1: SF</v>
      </c>
      <c r="G132" s="2494" t="str">
        <f>'HVAC Deemed Table'!D173</f>
        <v>SF</v>
      </c>
      <c r="H132" s="2420">
        <f t="shared" si="37"/>
        <v>2265.87</v>
      </c>
      <c r="I132" s="2420">
        <f t="shared" si="42"/>
        <v>916.75</v>
      </c>
      <c r="J132" s="2562">
        <f>'HVAC Deemed Table'!F173</f>
        <v>2265.87</v>
      </c>
      <c r="K132" s="2452">
        <v>0</v>
      </c>
      <c r="L132" s="2562">
        <f>'HVAC Deemed Table'!F174</f>
        <v>916.75</v>
      </c>
      <c r="M132" s="2452">
        <v>0</v>
      </c>
      <c r="N132" s="2421">
        <f t="shared" si="38"/>
        <v>2.1467260000000001</v>
      </c>
      <c r="O132" s="2421">
        <f t="shared" si="39"/>
        <v>0.86854600000000004</v>
      </c>
      <c r="P132" s="2563">
        <f>'HVAC Deemed Table'!I173</f>
        <v>2.1467260000000001</v>
      </c>
      <c r="Q132" s="2563">
        <v>0</v>
      </c>
      <c r="R132" s="2563">
        <f>'HVAC Deemed Table'!I174</f>
        <v>0.86854600000000004</v>
      </c>
      <c r="S132" s="2452">
        <v>0</v>
      </c>
      <c r="T132" s="2413"/>
      <c r="U132" s="2413"/>
      <c r="V132" s="2424">
        <f>O132</f>
        <v>0.86854600000000004</v>
      </c>
      <c r="W132" s="2460">
        <f>'HVAC Deemed Table'!J173</f>
        <v>6</v>
      </c>
      <c r="X132" s="2460">
        <f>'HVAC Deemed Table'!J174</f>
        <v>12</v>
      </c>
      <c r="Y132" s="94">
        <f t="shared" si="24"/>
        <v>18</v>
      </c>
      <c r="Z132" s="2414">
        <f>'HVAC Deemed Table'!BB173</f>
        <v>1.343568439495147</v>
      </c>
      <c r="AA132" s="2417">
        <f>'HVAC Deemed Table'!K173</f>
        <v>1893.7253593520759</v>
      </c>
      <c r="AB132" s="2418">
        <f t="shared" si="40"/>
        <v>1317.5675202695452</v>
      </c>
      <c r="AC132" s="2418">
        <f t="shared" si="41"/>
        <v>1083.8950808602849</v>
      </c>
      <c r="AD132" s="2445">
        <f>'HVAC Deemed Table'!BD173</f>
        <v>1317.5675202695452</v>
      </c>
      <c r="AE132" s="2445"/>
      <c r="AF132" s="2445">
        <f>'HVAC Deemed Table'!BD174</f>
        <v>1083.8950808602849</v>
      </c>
      <c r="AG132" s="2445"/>
      <c r="AH132" s="2378"/>
      <c r="AI132" s="2378"/>
      <c r="AJ132" s="2378"/>
      <c r="AK132" s="2378"/>
      <c r="AL132" s="2380"/>
      <c r="AN132" s="2368"/>
    </row>
    <row r="133" spans="1:40" x14ac:dyDescent="0.25">
      <c r="A133" s="790" t="str">
        <f>'HVAC Deemed Table'!C175</f>
        <v>351191_2020_02</v>
      </c>
      <c r="B133" s="144" t="str">
        <f>'HVAC Deemed Table'!G175</f>
        <v>Cooling RES</v>
      </c>
      <c r="C133" s="144"/>
      <c r="D133" s="144"/>
      <c r="E133" s="144"/>
      <c r="F133" s="144" t="str">
        <f>'HVAC Deemed Table'!E175</f>
        <v>CAC - SEER 21+ ROF: SF</v>
      </c>
      <c r="G133" s="2494" t="str">
        <f>'HVAC Deemed Table'!D175</f>
        <v>SF</v>
      </c>
      <c r="H133" s="2420">
        <f t="shared" si="37"/>
        <v>916.75</v>
      </c>
      <c r="I133" s="2420">
        <f t="shared" si="42"/>
        <v>0</v>
      </c>
      <c r="J133" s="2562">
        <f>'HVAC Deemed Table'!F175</f>
        <v>916.75</v>
      </c>
      <c r="K133" s="2452">
        <v>0</v>
      </c>
      <c r="L133" s="144"/>
      <c r="M133" s="2452">
        <v>0</v>
      </c>
      <c r="N133" s="2421">
        <f t="shared" si="38"/>
        <v>0.86854600000000004</v>
      </c>
      <c r="O133" s="2421">
        <f t="shared" si="39"/>
        <v>0</v>
      </c>
      <c r="P133" s="2563">
        <f>'HVAC Deemed Table'!I175</f>
        <v>0.86854600000000004</v>
      </c>
      <c r="Q133" s="2563">
        <v>0</v>
      </c>
      <c r="R133" s="2563"/>
      <c r="S133" s="2452">
        <v>0</v>
      </c>
      <c r="T133" s="2413"/>
      <c r="U133" s="2413"/>
      <c r="V133" s="2413">
        <f t="shared" si="43"/>
        <v>0.86854600000000004</v>
      </c>
      <c r="W133" s="2460">
        <f>'HVAC Deemed Table'!J175</f>
        <v>18</v>
      </c>
      <c r="X133" s="2460"/>
      <c r="Y133" s="94">
        <f t="shared" si="24"/>
        <v>18</v>
      </c>
      <c r="Z133" s="2414">
        <f>'HVAC Deemed Table'!BB175</f>
        <v>1.1842261127565865</v>
      </c>
      <c r="AA133" s="2417">
        <f>'HVAC Deemed Table'!K175</f>
        <v>1446.6666666666663</v>
      </c>
      <c r="AB133" s="2418">
        <f t="shared" si="40"/>
        <v>1616.9706872309528</v>
      </c>
      <c r="AC133" s="2418">
        <f t="shared" si="41"/>
        <v>0</v>
      </c>
      <c r="AD133" s="2445">
        <f>'HVAC Deemed Table'!BD175</f>
        <v>1616.9706872309528</v>
      </c>
      <c r="AE133" s="2445"/>
      <c r="AF133" s="2445"/>
      <c r="AG133" s="2445"/>
      <c r="AH133" s="2378"/>
      <c r="AI133" s="2378"/>
      <c r="AJ133" s="2378"/>
      <c r="AK133" s="2378"/>
      <c r="AL133" s="2380"/>
      <c r="AN133" s="2368"/>
    </row>
    <row r="134" spans="1:40" x14ac:dyDescent="0.25">
      <c r="A134" s="790" t="str">
        <f>'HVAC Deemed Table'!C176</f>
        <v>351192_2020_02</v>
      </c>
      <c r="B134" s="144" t="str">
        <f>'HVAC Deemed Table'!G176</f>
        <v>Cooling RES</v>
      </c>
      <c r="C134" s="144" t="str">
        <f>'HVAC Deemed Table'!G177</f>
        <v>Cooling RES ER2</v>
      </c>
      <c r="D134" s="144"/>
      <c r="E134" s="144"/>
      <c r="F134" s="144" t="str">
        <f>'HVAC Deemed Table'!E176</f>
        <v>CAC - SEER 21+ ER1: MF</v>
      </c>
      <c r="G134" s="2494" t="str">
        <f>'HVAC Deemed Table'!D176</f>
        <v>MF</v>
      </c>
      <c r="H134" s="2420">
        <f t="shared" si="37"/>
        <v>1510.58</v>
      </c>
      <c r="I134" s="2420">
        <f t="shared" si="42"/>
        <v>611.16</v>
      </c>
      <c r="J134" s="2562">
        <f>'HVAC Deemed Table'!F176</f>
        <v>1510.58</v>
      </c>
      <c r="K134" s="2452">
        <v>0</v>
      </c>
      <c r="L134" s="2562">
        <f>'HVAC Deemed Table'!F177</f>
        <v>611.16</v>
      </c>
      <c r="M134" s="2452">
        <v>0</v>
      </c>
      <c r="N134" s="2421">
        <f t="shared" si="38"/>
        <v>1.4311510000000001</v>
      </c>
      <c r="O134" s="2421">
        <f t="shared" si="39"/>
        <v>0.57902399999999998</v>
      </c>
      <c r="P134" s="2563">
        <f>'HVAC Deemed Table'!I176</f>
        <v>1.4311510000000001</v>
      </c>
      <c r="Q134" s="2563">
        <v>0</v>
      </c>
      <c r="R134" s="2563">
        <f>'HVAC Deemed Table'!I177</f>
        <v>0.57902399999999998</v>
      </c>
      <c r="S134" s="2452">
        <v>0</v>
      </c>
      <c r="T134" s="2413"/>
      <c r="U134" s="2413"/>
      <c r="V134" s="2424">
        <f>O134</f>
        <v>0.57902399999999998</v>
      </c>
      <c r="W134" s="2460">
        <f>'HVAC Deemed Table'!J176</f>
        <v>6</v>
      </c>
      <c r="X134" s="2460">
        <f>'HVAC Deemed Table'!J177</f>
        <v>12</v>
      </c>
      <c r="Y134" s="94">
        <f t="shared" si="24"/>
        <v>18</v>
      </c>
      <c r="Z134" s="2414">
        <f>'HVAC Deemed Table'!BB176</f>
        <v>0.97221247131016508</v>
      </c>
      <c r="AA134" s="2417">
        <f>'HVAC Deemed Table'!K176</f>
        <v>1744.7057951236061</v>
      </c>
      <c r="AB134" s="2418">
        <f t="shared" si="40"/>
        <v>878.37834684636346</v>
      </c>
      <c r="AC134" s="2418">
        <f t="shared" si="41"/>
        <v>722.58883841676766</v>
      </c>
      <c r="AD134" s="2445">
        <f>'HVAC Deemed Table'!BD176</f>
        <v>878.37834684636346</v>
      </c>
      <c r="AE134" s="2445"/>
      <c r="AF134" s="2445">
        <f>'HVAC Deemed Table'!BD177</f>
        <v>722.58883841676766</v>
      </c>
      <c r="AG134" s="2445"/>
      <c r="AH134" s="2378"/>
      <c r="AI134" s="2378"/>
      <c r="AJ134" s="2378"/>
      <c r="AK134" s="2378"/>
      <c r="AL134" s="2380"/>
      <c r="AN134" s="2368"/>
    </row>
    <row r="135" spans="1:40" x14ac:dyDescent="0.25">
      <c r="A135" s="790" t="str">
        <f>'HVAC Deemed Table'!C178</f>
        <v>351193_2020_02</v>
      </c>
      <c r="B135" s="144" t="str">
        <f>'HVAC Deemed Table'!G178</f>
        <v>Cooling RES</v>
      </c>
      <c r="C135" s="144" t="str">
        <f>'HVAC Deemed Table'!G179</f>
        <v>Cooling RES ER2</v>
      </c>
      <c r="D135" s="144"/>
      <c r="E135" s="144"/>
      <c r="F135" s="144" t="str">
        <f>'HVAC Deemed Table'!E178</f>
        <v>CAC - SEER 21+ ER1: MF_CompE</v>
      </c>
      <c r="G135" s="2494" t="str">
        <f>'HVAC Deemed Table'!D178</f>
        <v>MFc</v>
      </c>
      <c r="H135" s="2420">
        <f t="shared" si="37"/>
        <v>1098.5999999999999</v>
      </c>
      <c r="I135" s="2420">
        <f t="shared" si="42"/>
        <v>444.48</v>
      </c>
      <c r="J135" s="2562">
        <f>'HVAC Deemed Table'!F178</f>
        <v>1098.5999999999999</v>
      </c>
      <c r="K135" s="2452">
        <v>0</v>
      </c>
      <c r="L135" s="2562">
        <f>'HVAC Deemed Table'!F179</f>
        <v>444.48</v>
      </c>
      <c r="M135" s="2452">
        <v>0</v>
      </c>
      <c r="N135" s="2421">
        <f t="shared" si="38"/>
        <v>1.040834</v>
      </c>
      <c r="O135" s="2421">
        <f t="shared" si="39"/>
        <v>0.42110799999999998</v>
      </c>
      <c r="P135" s="2563">
        <f>'HVAC Deemed Table'!I178</f>
        <v>1.040834</v>
      </c>
      <c r="Q135" s="2563">
        <v>0</v>
      </c>
      <c r="R135" s="2563">
        <f>'HVAC Deemed Table'!I179</f>
        <v>0.42110799999999998</v>
      </c>
      <c r="S135" s="2452">
        <v>0</v>
      </c>
      <c r="T135" s="2413"/>
      <c r="U135" s="2413"/>
      <c r="V135" s="2424">
        <f>O135</f>
        <v>0.42110799999999998</v>
      </c>
      <c r="W135" s="2460">
        <f>'HVAC Deemed Table'!J178</f>
        <v>6</v>
      </c>
      <c r="X135" s="2460">
        <f>'HVAC Deemed Table'!J179</f>
        <v>12</v>
      </c>
      <c r="Y135" s="94">
        <f t="shared" si="24"/>
        <v>18</v>
      </c>
      <c r="Z135" s="2414">
        <f>'HVAC Deemed Table'!BB178</f>
        <v>0.70706233144233133</v>
      </c>
      <c r="AA135" s="2417">
        <f>'HVAC Deemed Table'!K178</f>
        <v>1744.7057951236061</v>
      </c>
      <c r="AB135" s="2418">
        <f t="shared" si="40"/>
        <v>638.8185014003991</v>
      </c>
      <c r="AC135" s="2418">
        <f t="shared" si="41"/>
        <v>525.51915521219473</v>
      </c>
      <c r="AD135" s="2445">
        <f>'HVAC Deemed Table'!BD178</f>
        <v>638.8185014003991</v>
      </c>
      <c r="AE135" s="2445"/>
      <c r="AF135" s="2445">
        <f>'HVAC Deemed Table'!BD179</f>
        <v>525.51915521219473</v>
      </c>
      <c r="AG135" s="2445"/>
      <c r="AH135" s="2378"/>
      <c r="AI135" s="2378"/>
      <c r="AJ135" s="2378"/>
      <c r="AK135" s="2378"/>
      <c r="AL135" s="2380"/>
      <c r="AN135" s="2368"/>
    </row>
    <row r="136" spans="1:40" x14ac:dyDescent="0.25">
      <c r="A136" s="790" t="str">
        <f>'HVAC Deemed Table'!C180</f>
        <v>351194_2020_02</v>
      </c>
      <c r="B136" s="144" t="str">
        <f>'HVAC Deemed Table'!G180</f>
        <v>Cooling RES</v>
      </c>
      <c r="C136" s="144"/>
      <c r="D136" s="144"/>
      <c r="E136" s="144"/>
      <c r="F136" s="144" t="str">
        <f>'HVAC Deemed Table'!E180</f>
        <v>CAC - SEER 21+ ROF: MF</v>
      </c>
      <c r="G136" s="2494" t="str">
        <f>'HVAC Deemed Table'!D180</f>
        <v>MF</v>
      </c>
      <c r="H136" s="2420">
        <f t="shared" si="37"/>
        <v>611.16</v>
      </c>
      <c r="I136" s="2420">
        <f t="shared" si="42"/>
        <v>0</v>
      </c>
      <c r="J136" s="2562">
        <f>'HVAC Deemed Table'!F180</f>
        <v>611.16</v>
      </c>
      <c r="K136" s="2452">
        <v>0</v>
      </c>
      <c r="L136" s="144"/>
      <c r="M136" s="2452">
        <v>0</v>
      </c>
      <c r="N136" s="2421">
        <f t="shared" si="38"/>
        <v>0.57902399999999998</v>
      </c>
      <c r="O136" s="2421">
        <f t="shared" si="39"/>
        <v>0</v>
      </c>
      <c r="P136" s="2563">
        <f>'HVAC Deemed Table'!I180</f>
        <v>0.57902399999999998</v>
      </c>
      <c r="Q136" s="2563">
        <v>0</v>
      </c>
      <c r="R136" s="2563"/>
      <c r="S136" s="2452">
        <v>0</v>
      </c>
      <c r="T136" s="2413"/>
      <c r="U136" s="2413"/>
      <c r="V136" s="2413">
        <f t="shared" si="43"/>
        <v>0.57902399999999998</v>
      </c>
      <c r="W136" s="2460">
        <f>'HVAC Deemed Table'!J180</f>
        <v>18</v>
      </c>
      <c r="X136" s="2563"/>
      <c r="Y136" s="94">
        <f t="shared" si="24"/>
        <v>18</v>
      </c>
      <c r="Z136" s="2414">
        <f>'HVAC Deemed Table'!BB180</f>
        <v>0.78947546340039865</v>
      </c>
      <c r="AA136" s="2417">
        <f>'HVAC Deemed Table'!K180</f>
        <v>1446.6666666666663</v>
      </c>
      <c r="AB136" s="2418">
        <f t="shared" si="40"/>
        <v>1077.9686994361266</v>
      </c>
      <c r="AC136" s="2418">
        <f t="shared" si="41"/>
        <v>0</v>
      </c>
      <c r="AD136" s="2445">
        <f>'HVAC Deemed Table'!BD180</f>
        <v>1077.9686994361266</v>
      </c>
      <c r="AE136" s="2445"/>
      <c r="AF136" s="2445"/>
      <c r="AG136" s="2445"/>
      <c r="AH136" s="2378"/>
      <c r="AI136" s="2378"/>
      <c r="AJ136" s="2378"/>
      <c r="AK136" s="2378"/>
      <c r="AL136" s="2380"/>
      <c r="AN136" s="2368"/>
    </row>
    <row r="137" spans="1:40" x14ac:dyDescent="0.25">
      <c r="A137" s="790" t="str">
        <f>'HVAC Deemed Table'!C181</f>
        <v>351195_2020_02</v>
      </c>
      <c r="B137" s="144" t="str">
        <f>'HVAC Deemed Table'!G181</f>
        <v>Cooling RES</v>
      </c>
      <c r="C137" s="144"/>
      <c r="D137" s="144"/>
      <c r="E137" s="144"/>
      <c r="F137" s="144" t="str">
        <f>'HVAC Deemed Table'!E181</f>
        <v>CAC - SEER 21+ ROF: MF_CompE</v>
      </c>
      <c r="G137" s="2494" t="str">
        <f>'HVAC Deemed Table'!D181</f>
        <v>MFc</v>
      </c>
      <c r="H137" s="2420">
        <f t="shared" si="37"/>
        <v>444.48</v>
      </c>
      <c r="I137" s="2420">
        <f t="shared" si="42"/>
        <v>0</v>
      </c>
      <c r="J137" s="2562">
        <f>'HVAC Deemed Table'!F181</f>
        <v>444.48</v>
      </c>
      <c r="K137" s="2452">
        <v>0</v>
      </c>
      <c r="L137" s="144"/>
      <c r="M137" s="2452">
        <v>0</v>
      </c>
      <c r="N137" s="2421">
        <f t="shared" si="38"/>
        <v>0.42110799999999998</v>
      </c>
      <c r="O137" s="2421">
        <f t="shared" si="39"/>
        <v>0</v>
      </c>
      <c r="P137" s="2563">
        <f>'HVAC Deemed Table'!I181</f>
        <v>0.42110799999999998</v>
      </c>
      <c r="Q137" s="2563">
        <v>0</v>
      </c>
      <c r="R137" s="2563"/>
      <c r="S137" s="2452">
        <v>0</v>
      </c>
      <c r="T137" s="2413"/>
      <c r="U137" s="2413"/>
      <c r="V137" s="2413">
        <f t="shared" si="43"/>
        <v>0.42110799999999998</v>
      </c>
      <c r="W137" s="2460">
        <f>'HVAC Deemed Table'!J181</f>
        <v>18</v>
      </c>
      <c r="X137" s="2563"/>
      <c r="Y137" s="94">
        <f t="shared" si="24"/>
        <v>18</v>
      </c>
      <c r="Z137" s="2414">
        <f>'HVAC Deemed Table'!BB181</f>
        <v>0.57416397338210812</v>
      </c>
      <c r="AA137" s="2417">
        <f>'HVAC Deemed Table'!K181</f>
        <v>1446.6666666666663</v>
      </c>
      <c r="AB137" s="2418">
        <f t="shared" si="40"/>
        <v>783.97723595354671</v>
      </c>
      <c r="AC137" s="2418">
        <f t="shared" si="41"/>
        <v>0</v>
      </c>
      <c r="AD137" s="2445">
        <f>'HVAC Deemed Table'!BD181</f>
        <v>783.97723595354671</v>
      </c>
      <c r="AE137" s="2445"/>
      <c r="AF137" s="2445"/>
      <c r="AG137" s="2445"/>
      <c r="AH137" s="2378"/>
      <c r="AI137" s="2378"/>
      <c r="AJ137" s="2378"/>
      <c r="AK137" s="2378"/>
      <c r="AL137" s="2380"/>
      <c r="AN137" s="2368"/>
    </row>
    <row r="138" spans="1:40" x14ac:dyDescent="0.25">
      <c r="A138" s="2598" t="str">
        <f>'HVAC Deemed Table'!C775</f>
        <v>351200_2019_12_</v>
      </c>
      <c r="B138" s="245" t="str">
        <f>'HVAC Deemed Table'!G775</f>
        <v>Cooling RES</v>
      </c>
      <c r="C138" s="245" t="str">
        <f>'HVAC Deemed Table'!G776</f>
        <v>Cooling RES ER2</v>
      </c>
      <c r="D138" s="245"/>
      <c r="E138" s="245"/>
      <c r="F138" s="245" t="str">
        <f>'HVAC Deemed Table'!E775</f>
        <v>Ductless AC - ER1 SF</v>
      </c>
      <c r="G138" s="745" t="str">
        <f>'HVAC Deemed Table'!D775</f>
        <v>SF</v>
      </c>
      <c r="H138" s="2420">
        <f t="shared" si="32"/>
        <v>1320.98</v>
      </c>
      <c r="I138" s="2420">
        <f t="shared" si="33"/>
        <v>385.92</v>
      </c>
      <c r="J138" s="2452">
        <f>'HVAC Deemed Table'!F775</f>
        <v>1320.98</v>
      </c>
      <c r="K138" s="2452"/>
      <c r="L138" s="2452">
        <f>'HVAC Deemed Table'!F776</f>
        <v>385.92</v>
      </c>
      <c r="M138" s="2452">
        <v>0</v>
      </c>
      <c r="N138" s="2421">
        <f t="shared" si="27"/>
        <v>1.25152</v>
      </c>
      <c r="O138" s="2421">
        <f t="shared" si="28"/>
        <v>0.36562800000000001</v>
      </c>
      <c r="P138" s="2412">
        <f>'HVAC Deemed Table'!I775</f>
        <v>1.25152</v>
      </c>
      <c r="Q138" s="2412"/>
      <c r="R138" s="2412">
        <f>'HVAC Deemed Table'!I776</f>
        <v>0.36562800000000001</v>
      </c>
      <c r="S138" s="2412"/>
      <c r="T138" s="2413"/>
      <c r="U138" s="2413"/>
      <c r="V138" s="2424">
        <f>O138</f>
        <v>0.36562800000000001</v>
      </c>
      <c r="W138" s="2460">
        <f>'HVAC Deemed Table'!J775</f>
        <v>6</v>
      </c>
      <c r="X138" s="2460">
        <f>'HVAC Deemed Table'!J776</f>
        <v>12</v>
      </c>
      <c r="Y138" s="94">
        <f t="shared" si="24"/>
        <v>18</v>
      </c>
      <c r="Z138" s="2414">
        <f>'HVAC Deemed Table'!BB775</f>
        <v>0.6154002412685371</v>
      </c>
      <c r="AA138" s="2417">
        <f>'HVAC Deemed Table'!K775</f>
        <v>2108</v>
      </c>
      <c r="AB138" s="2418">
        <f t="shared" si="25"/>
        <v>768.12894955388606</v>
      </c>
      <c r="AC138" s="2418">
        <f t="shared" si="26"/>
        <v>456.28229027063122</v>
      </c>
      <c r="AD138" s="2445">
        <f>'HVAC Deemed Table'!BD775</f>
        <v>768.12894955388606</v>
      </c>
      <c r="AE138" s="2445"/>
      <c r="AF138" s="2445">
        <f>'HVAC Deemed Table'!BD776</f>
        <v>456.28229027063122</v>
      </c>
      <c r="AG138" s="2445">
        <v>0</v>
      </c>
      <c r="AH138" s="2378"/>
      <c r="AI138" s="2378"/>
      <c r="AJ138" s="2378"/>
      <c r="AK138" s="2378"/>
      <c r="AL138" s="2380">
        <f t="shared" si="19"/>
        <v>9.4741810000000004E-4</v>
      </c>
      <c r="AM138">
        <f t="shared" si="36"/>
        <v>1.251520361738</v>
      </c>
      <c r="AN138" s="2368">
        <f t="shared" si="20"/>
        <v>3.6173799999872358E-7</v>
      </c>
    </row>
    <row r="139" spans="1:40" x14ac:dyDescent="0.25">
      <c r="A139" s="2598" t="str">
        <f>'HVAC Deemed Table'!C777</f>
        <v>351250_2019_12_</v>
      </c>
      <c r="B139" s="245" t="str">
        <f>'HVAC Deemed Table'!G777</f>
        <v>Cooling RES</v>
      </c>
      <c r="C139" s="245"/>
      <c r="D139" s="245"/>
      <c r="E139" s="245"/>
      <c r="F139" s="245" t="str">
        <f>'HVAC Deemed Table'!E777</f>
        <v>Ductless AC - ROF SF</v>
      </c>
      <c r="G139" s="745" t="str">
        <f>'HVAC Deemed Table'!D777</f>
        <v>SF</v>
      </c>
      <c r="H139" s="2420">
        <f t="shared" si="32"/>
        <v>1320.98</v>
      </c>
      <c r="I139" s="2420">
        <f t="shared" si="33"/>
        <v>0</v>
      </c>
      <c r="J139" s="2452">
        <f>'HVAC Deemed Table'!F777</f>
        <v>1320.98</v>
      </c>
      <c r="K139" s="2452"/>
      <c r="L139" s="2452"/>
      <c r="M139" s="2452">
        <v>0</v>
      </c>
      <c r="N139" s="2421">
        <f t="shared" si="27"/>
        <v>1.25152</v>
      </c>
      <c r="O139" s="2421">
        <f t="shared" si="28"/>
        <v>0</v>
      </c>
      <c r="P139" s="2412">
        <f>'HVAC Deemed Table'!I777</f>
        <v>1.25152</v>
      </c>
      <c r="Q139" s="2412"/>
      <c r="R139" s="2412"/>
      <c r="S139" s="2412"/>
      <c r="T139" s="2413"/>
      <c r="U139" s="2413"/>
      <c r="V139" s="2413">
        <f>P139</f>
        <v>1.25152</v>
      </c>
      <c r="W139" s="2460">
        <f>'HVAC Deemed Table'!J777</f>
        <v>18</v>
      </c>
      <c r="X139" s="2460"/>
      <c r="Y139" s="94">
        <f t="shared" si="24"/>
        <v>18</v>
      </c>
      <c r="Z139" s="2414">
        <f>'HVAC Deemed Table'!BB777</f>
        <v>1.5977909169805293</v>
      </c>
      <c r="AA139" s="2417">
        <f>'HVAC Deemed Table'!K777</f>
        <v>1545</v>
      </c>
      <c r="AB139" s="2418">
        <f t="shared" si="25"/>
        <v>2329.954664214174</v>
      </c>
      <c r="AC139" s="2418">
        <f t="shared" si="26"/>
        <v>0</v>
      </c>
      <c r="AD139" s="2445">
        <f>'HVAC Deemed Table'!BD777</f>
        <v>2329.954664214174</v>
      </c>
      <c r="AE139" s="2445"/>
      <c r="AF139" s="2445"/>
      <c r="AG139" s="2445">
        <v>0</v>
      </c>
      <c r="AH139" s="2378"/>
      <c r="AI139" s="2378"/>
      <c r="AJ139" s="2378"/>
      <c r="AK139" s="2378"/>
      <c r="AL139" s="2380">
        <f t="shared" si="19"/>
        <v>9.4741810000000004E-4</v>
      </c>
      <c r="AM139">
        <f t="shared" si="36"/>
        <v>1.251520361738</v>
      </c>
      <c r="AN139" s="2368">
        <f t="shared" si="20"/>
        <v>3.6173799999872358E-7</v>
      </c>
    </row>
    <row r="140" spans="1:40" x14ac:dyDescent="0.25">
      <c r="A140" s="2598" t="str">
        <f>'HVAC Deemed Table'!C778</f>
        <v>351300_2019_12_</v>
      </c>
      <c r="B140" s="245" t="str">
        <f>'HVAC Deemed Table'!G778</f>
        <v>Cooling RES</v>
      </c>
      <c r="C140" s="245" t="str">
        <f>'HVAC Deemed Table'!G779</f>
        <v>Heating RES</v>
      </c>
      <c r="D140" s="245"/>
      <c r="E140" s="245"/>
      <c r="F140" s="245" t="str">
        <f>'HVAC Deemed Table'!E778</f>
        <v>Ductless ASHP - ROF SF NC</v>
      </c>
      <c r="G140" s="745" t="str">
        <f>'HVAC Deemed Table'!D778</f>
        <v>SF</v>
      </c>
      <c r="H140" s="2420">
        <f>J140+K140</f>
        <v>728.76</v>
      </c>
      <c r="I140" s="2420">
        <f>L140+M140</f>
        <v>0</v>
      </c>
      <c r="J140" s="2452">
        <f>'HVAC Deemed Table'!F778</f>
        <v>214.85</v>
      </c>
      <c r="K140" s="2452">
        <f>'HVAC Deemed Table'!F779</f>
        <v>513.91</v>
      </c>
      <c r="L140" s="2452">
        <v>0</v>
      </c>
      <c r="M140" s="2452">
        <v>0</v>
      </c>
      <c r="N140" s="2421">
        <f>P140+Q140</f>
        <v>0.20355300000000001</v>
      </c>
      <c r="O140" s="2421">
        <f>R140+S140</f>
        <v>0</v>
      </c>
      <c r="P140" s="2412">
        <f>'HVAC Deemed Table'!I778</f>
        <v>0.20355300000000001</v>
      </c>
      <c r="Q140" s="2412">
        <f>'HVAC Deemed Table'!I779</f>
        <v>0</v>
      </c>
      <c r="R140" s="2412"/>
      <c r="S140" s="2412"/>
      <c r="T140" s="2413"/>
      <c r="U140" s="2413"/>
      <c r="V140" s="2413">
        <f>N140</f>
        <v>0.20355300000000001</v>
      </c>
      <c r="W140" s="2460">
        <f>'HVAC Deemed Table'!J778</f>
        <v>18</v>
      </c>
      <c r="X140" s="2460"/>
      <c r="Y140" s="94">
        <f t="shared" si="24"/>
        <v>18</v>
      </c>
      <c r="Z140" s="2414">
        <f>'HVAC Deemed Table'!BB778</f>
        <v>0.7354323279647752</v>
      </c>
      <c r="AA140" s="2417">
        <f>'HVAC Deemed Table'!K778</f>
        <v>888</v>
      </c>
      <c r="AB140" s="2418">
        <f t="shared" si="25"/>
        <v>616.38877511346891</v>
      </c>
      <c r="AC140" s="2418">
        <f t="shared" si="26"/>
        <v>0</v>
      </c>
      <c r="AD140" s="2445">
        <f>'HVAC Deemed Table'!BD778</f>
        <v>378.95407924905396</v>
      </c>
      <c r="AE140" s="2445">
        <f>'HVAC Deemed Table'!BD779</f>
        <v>237.43469586441489</v>
      </c>
      <c r="AF140" s="2445">
        <v>0</v>
      </c>
      <c r="AG140" s="2445">
        <v>0</v>
      </c>
      <c r="AH140" s="2378"/>
      <c r="AI140" s="2378"/>
      <c r="AJ140" s="2378"/>
      <c r="AK140" s="2378"/>
      <c r="AL140" s="2380">
        <f t="shared" si="19"/>
        <v>9.4741810000000004E-4</v>
      </c>
      <c r="AM140" s="145">
        <f>AL140*J140</f>
        <v>0.203552778785</v>
      </c>
      <c r="AN140" s="2368">
        <f t="shared" si="20"/>
        <v>-2.2121500001248684E-7</v>
      </c>
    </row>
    <row r="141" spans="1:40" x14ac:dyDescent="0.25">
      <c r="A141" s="2598" t="str">
        <f>'HVAC Deemed Table'!C780</f>
        <v>351350_2019_12_</v>
      </c>
      <c r="B141" s="245" t="str">
        <f>'HVAC Deemed Table'!G780</f>
        <v>Cooling RES</v>
      </c>
      <c r="C141" s="245" t="str">
        <f>'HVAC Deemed Table'!G781</f>
        <v>Heating RES</v>
      </c>
      <c r="D141" s="245"/>
      <c r="E141" s="245"/>
      <c r="F141" s="245" t="str">
        <f>'HVAC Deemed Table'!E780</f>
        <v>Ductless ASHP - ROF SF</v>
      </c>
      <c r="G141" s="745" t="str">
        <f>'HVAC Deemed Table'!D780</f>
        <v>SF</v>
      </c>
      <c r="H141" s="2420">
        <f t="shared" ref="H141:H142" si="44">J141+K141</f>
        <v>728.76</v>
      </c>
      <c r="I141" s="2420">
        <f t="shared" ref="I141:I142" si="45">L141+M141</f>
        <v>0</v>
      </c>
      <c r="J141" s="2452">
        <f>'HVAC Deemed Table'!F780</f>
        <v>214.85</v>
      </c>
      <c r="K141" s="2452">
        <f>'HVAC Deemed Table'!F781</f>
        <v>513.91</v>
      </c>
      <c r="L141" s="2452">
        <v>0</v>
      </c>
      <c r="M141" s="2452">
        <v>0</v>
      </c>
      <c r="N141" s="2421">
        <f t="shared" ref="N141:N142" si="46">P141+Q141</f>
        <v>0.20355300000000001</v>
      </c>
      <c r="O141" s="2421">
        <f t="shared" ref="O141:O142" si="47">R141+S141</f>
        <v>0</v>
      </c>
      <c r="P141" s="2412">
        <f>'HVAC Deemed Table'!I780</f>
        <v>0.20355300000000001</v>
      </c>
      <c r="Q141" s="2412">
        <f>'HVAC Deemed Table'!I781</f>
        <v>0</v>
      </c>
      <c r="R141" s="2412"/>
      <c r="S141" s="2412"/>
      <c r="T141" s="2413"/>
      <c r="U141" s="2413"/>
      <c r="V141" s="2413">
        <f>N141</f>
        <v>0.20355300000000001</v>
      </c>
      <c r="W141" s="2460">
        <f>'HVAC Deemed Table'!J780</f>
        <v>18</v>
      </c>
      <c r="X141" s="2460"/>
      <c r="Y141" s="94">
        <f t="shared" si="24"/>
        <v>18</v>
      </c>
      <c r="Z141" s="2414">
        <f>'HVAC Deemed Table'!BB780</f>
        <v>0.7354323279647752</v>
      </c>
      <c r="AA141" s="2417">
        <f>'HVAC Deemed Table'!K780</f>
        <v>888</v>
      </c>
      <c r="AB141" s="2418">
        <f t="shared" si="25"/>
        <v>616.38877511346891</v>
      </c>
      <c r="AC141" s="2418">
        <f t="shared" si="26"/>
        <v>0</v>
      </c>
      <c r="AD141" s="2445">
        <f>'HVAC Deemed Table'!BD780</f>
        <v>378.95407924905396</v>
      </c>
      <c r="AE141" s="2445">
        <f>'HVAC Deemed Table'!BD781</f>
        <v>237.43469586441489</v>
      </c>
      <c r="AF141" s="2445">
        <v>0</v>
      </c>
      <c r="AG141" s="2445">
        <v>0</v>
      </c>
      <c r="AH141" s="2378"/>
      <c r="AI141" s="2378"/>
      <c r="AJ141" s="2378"/>
      <c r="AK141" s="2378"/>
      <c r="AL141" s="2380">
        <f t="shared" si="19"/>
        <v>9.4741810000000004E-4</v>
      </c>
      <c r="AM141" s="145">
        <f>AL141*J141</f>
        <v>0.203552778785</v>
      </c>
      <c r="AN141" s="2368">
        <f t="shared" si="20"/>
        <v>-2.2121500001248684E-7</v>
      </c>
    </row>
    <row r="142" spans="1:40" x14ac:dyDescent="0.25">
      <c r="A142" s="2598" t="str">
        <f>'HVAC Deemed Table'!C782</f>
        <v>351400_2019_12_</v>
      </c>
      <c r="B142" s="245" t="str">
        <f>'HVAC Deemed Table'!G782</f>
        <v>Cooling RES</v>
      </c>
      <c r="C142" s="245" t="str">
        <f>'HVAC Deemed Table'!G783</f>
        <v>Heating RES</v>
      </c>
      <c r="D142" s="245" t="str">
        <f>'HVAC Deemed Table'!G784</f>
        <v>Cooling RES ER2</v>
      </c>
      <c r="E142" s="245" t="str">
        <f>'HVAC Deemed Table'!G785</f>
        <v>Heating RES ER2</v>
      </c>
      <c r="F142" s="245" t="str">
        <f>'HVAC Deemed Table'!E782</f>
        <v>Ductless ASHP Replace Electric Resistance ER1 SF</v>
      </c>
      <c r="G142" s="745" t="str">
        <f>'HVAC Deemed Table'!D782</f>
        <v>SF</v>
      </c>
      <c r="H142" s="2420">
        <f t="shared" si="44"/>
        <v>4998.03</v>
      </c>
      <c r="I142" s="2420">
        <f t="shared" si="45"/>
        <v>4196.38</v>
      </c>
      <c r="J142" s="2452">
        <f>'HVAC Deemed Table'!F782</f>
        <v>1175.8</v>
      </c>
      <c r="K142" s="2452">
        <f>'HVAC Deemed Table'!F783</f>
        <v>3822.23</v>
      </c>
      <c r="L142" s="2452">
        <f>'HVAC Deemed Table'!F784</f>
        <v>374.15</v>
      </c>
      <c r="M142" s="2452">
        <f>'HVAC Deemed Table'!F785</f>
        <v>3822.23</v>
      </c>
      <c r="N142" s="2421">
        <f t="shared" si="46"/>
        <v>1.113974</v>
      </c>
      <c r="O142" s="2421">
        <f t="shared" si="47"/>
        <v>0.35447600000000001</v>
      </c>
      <c r="P142" s="2412">
        <f>'HVAC Deemed Table'!I782</f>
        <v>1.113974</v>
      </c>
      <c r="Q142" s="2412">
        <f>'HVAC Deemed Table'!I783</f>
        <v>0</v>
      </c>
      <c r="R142" s="2412">
        <f>'HVAC Deemed Table'!I784</f>
        <v>0.35447600000000001</v>
      </c>
      <c r="S142" s="2412">
        <f>'HVAC Deemed Table'!I785</f>
        <v>0</v>
      </c>
      <c r="T142" s="2413"/>
      <c r="U142" s="2413"/>
      <c r="V142" s="2424">
        <f>O142</f>
        <v>0.35447600000000001</v>
      </c>
      <c r="W142" s="2460">
        <f>'HVAC Deemed Table'!J782</f>
        <v>6</v>
      </c>
      <c r="X142" s="2460">
        <f>'HVAC Deemed Table'!J784</f>
        <v>12</v>
      </c>
      <c r="Y142" s="94">
        <f t="shared" si="24"/>
        <v>18</v>
      </c>
      <c r="Z142" s="2414">
        <f>'HVAC Deemed Table'!BB782</f>
        <v>1.4535491763855897</v>
      </c>
      <c r="AA142" s="2417">
        <f>'HVAC Deemed Table'!K782</f>
        <v>2108</v>
      </c>
      <c r="AB142" s="2418">
        <f t="shared" si="25"/>
        <v>1319.4739886082089</v>
      </c>
      <c r="AC142" s="2418">
        <f t="shared" si="26"/>
        <v>1572.5332448234315</v>
      </c>
      <c r="AD142" s="2445">
        <f>'HVAC Deemed Table'!BD782</f>
        <v>683.70907877898162</v>
      </c>
      <c r="AE142" s="2445">
        <f>'HVAC Deemed Table'!BD783</f>
        <v>635.76490982922712</v>
      </c>
      <c r="AF142" s="2445">
        <f>'HVAC Deemed Table'!BD784</f>
        <v>442.3663425185444</v>
      </c>
      <c r="AG142" s="2445">
        <f>'HVAC Deemed Table'!BD785</f>
        <v>1130.1669023048871</v>
      </c>
      <c r="AH142" s="2378"/>
      <c r="AI142" s="2378"/>
      <c r="AJ142" s="2378"/>
      <c r="AK142" s="2378"/>
      <c r="AL142" s="2380">
        <f t="shared" si="19"/>
        <v>9.4741810000000004E-4</v>
      </c>
      <c r="AM142" s="145">
        <f>AL142*J142</f>
        <v>1.1139742019800001</v>
      </c>
      <c r="AN142" s="2368">
        <f t="shared" si="20"/>
        <v>2.0198000005855477E-7</v>
      </c>
    </row>
    <row r="143" spans="1:40" x14ac:dyDescent="0.25">
      <c r="A143" s="2598" t="str">
        <f>'HVAC Deemed Table'!C786</f>
        <v>351450_2019_12_</v>
      </c>
      <c r="B143" s="245" t="str">
        <f>'HVAC Deemed Table'!G786</f>
        <v>Cooling RES</v>
      </c>
      <c r="C143" s="245" t="str">
        <f>'HVAC Deemed Table'!G787</f>
        <v>Heating RES</v>
      </c>
      <c r="D143" s="245"/>
      <c r="E143" s="245"/>
      <c r="F143" s="245" t="str">
        <f>'HVAC Deemed Table'!E786</f>
        <v>Ductless ASHP Replace Electric Resistance ROF SF</v>
      </c>
      <c r="G143" s="745" t="str">
        <f>'HVAC Deemed Table'!D786</f>
        <v>SF</v>
      </c>
      <c r="H143" s="2420">
        <f t="shared" ref="H143" si="48">J143+K143</f>
        <v>4412.47</v>
      </c>
      <c r="I143" s="2420">
        <f t="shared" ref="I143" si="49">L143+M143</f>
        <v>0</v>
      </c>
      <c r="J143" s="2452">
        <f>'HVAC Deemed Table'!F786</f>
        <v>335.42</v>
      </c>
      <c r="K143" s="2452">
        <f>'HVAC Deemed Table'!F787</f>
        <v>4077.05</v>
      </c>
      <c r="L143" s="2452"/>
      <c r="M143" s="2452"/>
      <c r="N143" s="2421">
        <f t="shared" ref="N143" si="50">P143+Q143</f>
        <v>0.31778299999999998</v>
      </c>
      <c r="O143" s="2421">
        <f t="shared" ref="O143" si="51">R143+S143</f>
        <v>0</v>
      </c>
      <c r="P143" s="2412">
        <f>'HVAC Deemed Table'!I786</f>
        <v>0.31778299999999998</v>
      </c>
      <c r="Q143" s="2412">
        <f>'HVAC Deemed Table'!I787</f>
        <v>0</v>
      </c>
      <c r="R143" s="2412"/>
      <c r="S143" s="2412"/>
      <c r="T143" s="2413"/>
      <c r="U143" s="2413"/>
      <c r="V143" s="2413">
        <f>N143</f>
        <v>0.31778299999999998</v>
      </c>
      <c r="W143" s="2460">
        <f>'HVAC Deemed Table'!J786</f>
        <v>18</v>
      </c>
      <c r="X143" s="2460"/>
      <c r="Y143" s="94">
        <f t="shared" si="24"/>
        <v>18</v>
      </c>
      <c r="Z143" s="2414">
        <f>'HVAC Deemed Table'!BB786</f>
        <v>2.3393419075473338</v>
      </c>
      <c r="AA143" s="2417">
        <f>'HVAC Deemed Table'!K786</f>
        <v>1121.0666666666668</v>
      </c>
      <c r="AB143" s="2418">
        <f t="shared" si="25"/>
        <v>2475.2791264631724</v>
      </c>
      <c r="AC143" s="2418">
        <f t="shared" si="26"/>
        <v>0</v>
      </c>
      <c r="AD143" s="2445">
        <f>'HVAC Deemed Table'!BD786</f>
        <v>591.61637077829971</v>
      </c>
      <c r="AE143" s="2445">
        <f>'HVAC Deemed Table'!BD787</f>
        <v>1883.6627556848725</v>
      </c>
      <c r="AF143" s="2445"/>
      <c r="AG143" s="2445"/>
      <c r="AH143" s="2378"/>
      <c r="AI143" s="2378"/>
      <c r="AJ143" s="2378"/>
      <c r="AK143" s="2378"/>
      <c r="AL143" s="2380">
        <f t="shared" si="19"/>
        <v>9.4741810000000004E-4</v>
      </c>
      <c r="AM143" s="145">
        <f>AL143*J143</f>
        <v>0.31778297910200004</v>
      </c>
      <c r="AN143" s="2368">
        <f t="shared" si="20"/>
        <v>-2.0897999941649203E-8</v>
      </c>
    </row>
    <row r="144" spans="1:40" x14ac:dyDescent="0.25">
      <c r="A144" s="2598" t="str">
        <f>'HVAC Deemed Table'!C788</f>
        <v>351500_2019_12_</v>
      </c>
      <c r="B144" s="245" t="str">
        <f>'HVAC Deemed Table'!G788</f>
        <v>Cooling RES</v>
      </c>
      <c r="C144" s="245" t="str">
        <f>'HVAC Deemed Table'!G789</f>
        <v>Heating RES</v>
      </c>
      <c r="D144" s="245" t="str">
        <f>'HVAC Deemed Table'!G790</f>
        <v>Cooling RES ER2</v>
      </c>
      <c r="E144" s="245" t="str">
        <f>'HVAC Deemed Table'!G791</f>
        <v>Heating RES ER2</v>
      </c>
      <c r="F144" s="245" t="str">
        <f>'HVAC Deemed Table'!E788</f>
        <v>Ductless ASHP ER1 SF</v>
      </c>
      <c r="G144" s="745" t="str">
        <f>'HVAC Deemed Table'!D788</f>
        <v>SF</v>
      </c>
      <c r="H144" s="2420">
        <f t="shared" ref="H144" si="52">J144+K144</f>
        <v>3108.5</v>
      </c>
      <c r="I144" s="2420">
        <f t="shared" ref="I144" si="53">L144+M144</f>
        <v>1807.48</v>
      </c>
      <c r="J144" s="2452">
        <f>'HVAC Deemed Table'!F788</f>
        <v>1164.32</v>
      </c>
      <c r="K144" s="2452">
        <f>'HVAC Deemed Table'!F789</f>
        <v>1944.18</v>
      </c>
      <c r="L144" s="2452">
        <f>'HVAC Deemed Table'!F790</f>
        <v>456.05</v>
      </c>
      <c r="M144" s="2452">
        <f>'HVAC Deemed Table'!F791</f>
        <v>1351.43</v>
      </c>
      <c r="N144" s="2421">
        <f t="shared" ref="N144" si="54">P144+Q144</f>
        <v>1.1030979999999999</v>
      </c>
      <c r="O144" s="2421">
        <f t="shared" ref="O144" si="55">R144+S144</f>
        <v>0.43207000000000001</v>
      </c>
      <c r="P144" s="2412">
        <f>'HVAC Deemed Table'!I788</f>
        <v>1.1030979999999999</v>
      </c>
      <c r="Q144" s="2412">
        <f>'HVAC Deemed Table'!I789</f>
        <v>0</v>
      </c>
      <c r="R144" s="2412">
        <f>'HVAC Deemed Table'!I790</f>
        <v>0.43207000000000001</v>
      </c>
      <c r="S144" s="2412">
        <f>'HVAC Deemed Table'!I791</f>
        <v>0</v>
      </c>
      <c r="T144" s="2413"/>
      <c r="U144" s="2413"/>
      <c r="V144" s="2424">
        <f>O144</f>
        <v>0.43207000000000001</v>
      </c>
      <c r="W144" s="2460">
        <f>'HVAC Deemed Table'!J788</f>
        <v>6</v>
      </c>
      <c r="X144" s="2460">
        <f>'HVAC Deemed Table'!J790</f>
        <v>12</v>
      </c>
      <c r="Y144" s="94">
        <f t="shared" si="24"/>
        <v>18</v>
      </c>
      <c r="Z144" s="2414">
        <f>'HVAC Deemed Table'!BB788</f>
        <v>1.0366255374767435</v>
      </c>
      <c r="AA144" s="2417">
        <f>'HVAC Deemed Table'!K788</f>
        <v>1982</v>
      </c>
      <c r="AB144" s="2418">
        <f t="shared" si="25"/>
        <v>1000.4159128200873</v>
      </c>
      <c r="AC144" s="2418">
        <f t="shared" si="26"/>
        <v>938.79297371026223</v>
      </c>
      <c r="AD144" s="2445">
        <f>'HVAC Deemed Table'!BD788</f>
        <v>677.03364058848774</v>
      </c>
      <c r="AE144" s="2445">
        <f>'HVAC Deemed Table'!BD789</f>
        <v>323.38227223159959</v>
      </c>
      <c r="AF144" s="2445">
        <f>'HVAC Deemed Table'!BD790</f>
        <v>539.19863826161225</v>
      </c>
      <c r="AG144" s="2445">
        <f>'HVAC Deemed Table'!BD791</f>
        <v>399.59433544864999</v>
      </c>
      <c r="AH144" s="2378"/>
      <c r="AI144" s="2378"/>
      <c r="AJ144" s="2378"/>
      <c r="AK144" s="2378"/>
      <c r="AL144" s="2380">
        <f t="shared" si="19"/>
        <v>9.4741810000000004E-4</v>
      </c>
      <c r="AM144" s="145">
        <f>AL144*J144</f>
        <v>1.1030978421919999</v>
      </c>
      <c r="AN144" s="2368">
        <f t="shared" si="20"/>
        <v>-1.578080000008697E-7</v>
      </c>
    </row>
    <row r="145" spans="1:40" x14ac:dyDescent="0.25">
      <c r="A145" s="2598" t="str">
        <f>'HVAC Deemed Table'!C792</f>
        <v>351550_2019_12_</v>
      </c>
      <c r="B145" s="245" t="str">
        <f>'HVAC Deemed Table'!G792</f>
        <v>Cooling RES</v>
      </c>
      <c r="C145" s="245" t="str">
        <f>'HVAC Deemed Table'!G793</f>
        <v>Cooling RES ER2</v>
      </c>
      <c r="D145" s="245"/>
      <c r="E145" s="245"/>
      <c r="F145" s="245" t="str">
        <f>'HVAC Deemed Table'!E792</f>
        <v>Ductless AC - ER1 MF</v>
      </c>
      <c r="G145" s="745" t="str">
        <f>'HVAC Deemed Table'!D792</f>
        <v>MF</v>
      </c>
      <c r="H145" s="2420">
        <f t="shared" ref="H145" si="56">J145+K145</f>
        <v>1320.98</v>
      </c>
      <c r="I145" s="2420">
        <f t="shared" ref="I145" si="57">L145+M145</f>
        <v>385.92</v>
      </c>
      <c r="J145" s="2452">
        <f>'HVAC Deemed Table'!F792</f>
        <v>1320.98</v>
      </c>
      <c r="K145" s="2452"/>
      <c r="L145" s="2452">
        <f>'HVAC Deemed Table'!F793</f>
        <v>385.92</v>
      </c>
      <c r="M145" s="2452"/>
      <c r="N145" s="2421">
        <f t="shared" ref="N145" si="58">P145+Q145</f>
        <v>1.25152</v>
      </c>
      <c r="O145" s="2421">
        <f t="shared" ref="O145" si="59">R145+S145</f>
        <v>0.36562800000000001</v>
      </c>
      <c r="P145" s="2412">
        <f>'HVAC Deemed Table'!I792</f>
        <v>1.25152</v>
      </c>
      <c r="Q145" s="2412"/>
      <c r="R145" s="2412">
        <f>'HVAC Deemed Table'!I793</f>
        <v>0.36562800000000001</v>
      </c>
      <c r="S145" s="2412"/>
      <c r="T145" s="2413"/>
      <c r="U145" s="2413"/>
      <c r="V145" s="2424">
        <f>O145</f>
        <v>0.36562800000000001</v>
      </c>
      <c r="W145" s="2460">
        <f>'HVAC Deemed Table'!J792</f>
        <v>6</v>
      </c>
      <c r="X145" s="2460">
        <f>'HVAC Deemed Table'!J793</f>
        <v>12</v>
      </c>
      <c r="Y145" s="94">
        <f t="shared" si="24"/>
        <v>18</v>
      </c>
      <c r="Z145" s="2414">
        <f>'HVAC Deemed Table'!BB792</f>
        <v>0.91809179659878004</v>
      </c>
      <c r="AA145" s="2417">
        <f>'HVAC Deemed Table'!K792</f>
        <v>1413</v>
      </c>
      <c r="AB145" s="2418">
        <f t="shared" si="25"/>
        <v>768.12894955388606</v>
      </c>
      <c r="AC145" s="2418">
        <f t="shared" si="26"/>
        <v>456.28229027063122</v>
      </c>
      <c r="AD145" s="2445">
        <f>'HVAC Deemed Table'!BD792</f>
        <v>768.12894955388606</v>
      </c>
      <c r="AE145" s="2445"/>
      <c r="AF145" s="2445">
        <f>'HVAC Deemed Table'!BD793</f>
        <v>456.28229027063122</v>
      </c>
      <c r="AG145" s="2445"/>
      <c r="AH145" s="2378"/>
      <c r="AI145" s="2378"/>
      <c r="AJ145" s="2378"/>
      <c r="AK145" s="2378"/>
      <c r="AL145" s="2380">
        <f t="shared" si="19"/>
        <v>9.4741810000000004E-4</v>
      </c>
      <c r="AM145">
        <f>AL145*H145</f>
        <v>1.251520361738</v>
      </c>
      <c r="AN145" s="2368">
        <f t="shared" si="20"/>
        <v>3.6173799999872358E-7</v>
      </c>
    </row>
    <row r="146" spans="1:40" x14ac:dyDescent="0.25">
      <c r="A146" s="2598" t="str">
        <f>'HVAC Deemed Table'!C794</f>
        <v>351551_2019_12_</v>
      </c>
      <c r="B146" s="245" t="str">
        <f>'HVAC Deemed Table'!G794</f>
        <v>Cooling RES</v>
      </c>
      <c r="C146" s="245" t="str">
        <f>'HVAC Deemed Table'!G795</f>
        <v>Cooling RES ER2</v>
      </c>
      <c r="D146" s="245"/>
      <c r="E146" s="245"/>
      <c r="F146" s="245" t="str">
        <f>'HVAC Deemed Table'!E794</f>
        <v>Ductless AC - ER1 MF_CompE</v>
      </c>
      <c r="G146" s="745" t="str">
        <f>'HVAC Deemed Table'!D794</f>
        <v>MFc</v>
      </c>
      <c r="H146" s="2420">
        <f t="shared" ref="H146" si="60">J146+K146</f>
        <v>867.48</v>
      </c>
      <c r="I146" s="2420">
        <f t="shared" ref="I146" si="61">L146+M146</f>
        <v>253.43</v>
      </c>
      <c r="J146" s="2452">
        <f>'HVAC Deemed Table'!F794</f>
        <v>867.48</v>
      </c>
      <c r="K146" s="2452"/>
      <c r="L146" s="2452">
        <f>'HVAC Deemed Table'!F795</f>
        <v>253.43</v>
      </c>
      <c r="M146" s="2452"/>
      <c r="N146" s="2421">
        <f t="shared" ref="N146" si="62">P146+Q146</f>
        <v>0.82186599999999999</v>
      </c>
      <c r="O146" s="2421">
        <f t="shared" ref="O146" si="63">R146+S146</f>
        <v>0.24010400000000001</v>
      </c>
      <c r="P146" s="2412">
        <f>'HVAC Deemed Table'!I794</f>
        <v>0.82186599999999999</v>
      </c>
      <c r="Q146" s="2412"/>
      <c r="R146" s="2412">
        <f>'HVAC Deemed Table'!I795</f>
        <v>0.24010400000000001</v>
      </c>
      <c r="S146" s="2412"/>
      <c r="T146" s="2413"/>
      <c r="U146" s="2413"/>
      <c r="V146" s="2424">
        <f>O146</f>
        <v>0.24010400000000001</v>
      </c>
      <c r="W146" s="2460">
        <f>'HVAC Deemed Table'!J794</f>
        <v>6</v>
      </c>
      <c r="X146" s="2460">
        <f>'HVAC Deemed Table'!J795</f>
        <v>12</v>
      </c>
      <c r="Y146" s="94">
        <f t="shared" si="24"/>
        <v>18</v>
      </c>
      <c r="Z146" s="2414">
        <f>'HVAC Deemed Table'!BB794</f>
        <v>0.60290433571438051</v>
      </c>
      <c r="AA146" s="2417">
        <f>'HVAC Deemed Table'!K794</f>
        <v>1413</v>
      </c>
      <c r="AB146" s="2418">
        <f t="shared" si="25"/>
        <v>504.42588166286021</v>
      </c>
      <c r="AC146" s="2418">
        <f t="shared" si="26"/>
        <v>299.63624798737061</v>
      </c>
      <c r="AD146" s="2445">
        <f>'HVAC Deemed Table'!BD794</f>
        <v>504.42588166286021</v>
      </c>
      <c r="AE146" s="2445"/>
      <c r="AF146" s="2445">
        <f>'HVAC Deemed Table'!BD795</f>
        <v>299.63624798737061</v>
      </c>
      <c r="AG146" s="2445"/>
      <c r="AH146" s="2378"/>
      <c r="AI146" s="2378"/>
      <c r="AJ146" s="2378"/>
      <c r="AK146" s="2378"/>
      <c r="AL146" s="2380">
        <f t="shared" si="19"/>
        <v>9.4741810000000004E-4</v>
      </c>
      <c r="AM146">
        <f>AL146*H146</f>
        <v>0.82186625338800001</v>
      </c>
      <c r="AN146" s="2368">
        <f t="shared" si="20"/>
        <v>2.5338800002661088E-7</v>
      </c>
    </row>
    <row r="147" spans="1:40" x14ac:dyDescent="0.25">
      <c r="A147" s="2598" t="str">
        <f>'HVAC Deemed Table'!C796</f>
        <v>351600_2019_12_</v>
      </c>
      <c r="B147" s="245" t="str">
        <f>'HVAC Deemed Table'!G796</f>
        <v>Cooling RES</v>
      </c>
      <c r="C147" s="245"/>
      <c r="D147" s="245"/>
      <c r="E147" s="245"/>
      <c r="F147" s="245" t="str">
        <f>'HVAC Deemed Table'!E796</f>
        <v>Ductless AC - ROF MF</v>
      </c>
      <c r="G147" s="745" t="str">
        <f>'HVAC Deemed Table'!D796</f>
        <v>MF</v>
      </c>
      <c r="H147" s="2420">
        <f t="shared" ref="H147:H149" si="64">J147+K147</f>
        <v>1320.98</v>
      </c>
      <c r="I147" s="2420">
        <f t="shared" ref="I147:I149" si="65">L147+M147</f>
        <v>0</v>
      </c>
      <c r="J147" s="2452">
        <f>'HVAC Deemed Table'!F796</f>
        <v>1320.98</v>
      </c>
      <c r="K147" s="2452"/>
      <c r="L147" s="2452"/>
      <c r="M147" s="2452"/>
      <c r="N147" s="2421">
        <f t="shared" ref="N147:N149" si="66">P147+Q147</f>
        <v>1.25152</v>
      </c>
      <c r="O147" s="2421">
        <f t="shared" ref="O147:O149" si="67">R147+S147</f>
        <v>0</v>
      </c>
      <c r="P147" s="2412">
        <f>'HVAC Deemed Table'!I796</f>
        <v>1.25152</v>
      </c>
      <c r="Q147" s="2412"/>
      <c r="R147" s="2412"/>
      <c r="S147" s="2412"/>
      <c r="T147" s="2413"/>
      <c r="U147" s="2413"/>
      <c r="V147" s="2413">
        <f t="shared" ref="V147:V149" si="68">N147</f>
        <v>1.25152</v>
      </c>
      <c r="W147" s="2460">
        <f>'HVAC Deemed Table'!J796</f>
        <v>18</v>
      </c>
      <c r="X147" s="2460"/>
      <c r="Y147" s="94">
        <f t="shared" si="24"/>
        <v>18</v>
      </c>
      <c r="Z147" s="2414">
        <f>'HVAC Deemed Table'!BB796</f>
        <v>2.5228277636534675</v>
      </c>
      <c r="AA147" s="2417">
        <f>'HVAC Deemed Table'!K796</f>
        <v>978.5</v>
      </c>
      <c r="AB147" s="2418">
        <f t="shared" si="25"/>
        <v>2329.954664214174</v>
      </c>
      <c r="AC147" s="2418">
        <f t="shared" si="26"/>
        <v>0</v>
      </c>
      <c r="AD147" s="2445">
        <f>'HVAC Deemed Table'!BD796</f>
        <v>2329.954664214174</v>
      </c>
      <c r="AE147" s="2445"/>
      <c r="AF147" s="2445"/>
      <c r="AG147" s="2445"/>
      <c r="AH147" s="2378"/>
      <c r="AI147" s="2378"/>
      <c r="AJ147" s="2378"/>
      <c r="AK147" s="2378"/>
      <c r="AL147" s="2380">
        <f t="shared" si="19"/>
        <v>9.4741810000000004E-4</v>
      </c>
      <c r="AM147">
        <f>AL147*H147</f>
        <v>1.251520361738</v>
      </c>
      <c r="AN147" s="2368">
        <f t="shared" si="20"/>
        <v>3.6173799999872358E-7</v>
      </c>
    </row>
    <row r="148" spans="1:40" x14ac:dyDescent="0.25">
      <c r="A148" s="2598" t="str">
        <f>'HVAC Deemed Table'!C797</f>
        <v>351601_2019_12_</v>
      </c>
      <c r="B148" s="245" t="str">
        <f>'HVAC Deemed Table'!G797</f>
        <v>Cooling RES</v>
      </c>
      <c r="C148" s="245"/>
      <c r="D148" s="245"/>
      <c r="E148" s="245"/>
      <c r="F148" s="245" t="str">
        <f>'HVAC Deemed Table'!E797</f>
        <v>Ductless AC - ROF MF_CompE</v>
      </c>
      <c r="G148" s="745" t="str">
        <f>'HVAC Deemed Table'!D797</f>
        <v>MFc</v>
      </c>
      <c r="H148" s="2420">
        <f t="shared" si="64"/>
        <v>867.48</v>
      </c>
      <c r="I148" s="2420">
        <f t="shared" si="65"/>
        <v>0</v>
      </c>
      <c r="J148" s="2452">
        <f>'HVAC Deemed Table'!F797</f>
        <v>867.48</v>
      </c>
      <c r="K148" s="2452"/>
      <c r="L148" s="2452"/>
      <c r="M148" s="2452"/>
      <c r="N148" s="2421">
        <f t="shared" si="66"/>
        <v>0.82186599999999999</v>
      </c>
      <c r="O148" s="2421">
        <f t="shared" si="67"/>
        <v>0</v>
      </c>
      <c r="P148" s="2412">
        <f>'HVAC Deemed Table'!I797</f>
        <v>0.82186599999999999</v>
      </c>
      <c r="Q148" s="2412"/>
      <c r="R148" s="2412"/>
      <c r="S148" s="2412"/>
      <c r="T148" s="2413"/>
      <c r="U148" s="2413"/>
      <c r="V148" s="2413">
        <f t="shared" si="68"/>
        <v>0.82186599999999999</v>
      </c>
      <c r="W148" s="2460">
        <f>'HVAC Deemed Table'!J797</f>
        <v>18</v>
      </c>
      <c r="X148" s="2460"/>
      <c r="Y148" s="94">
        <f t="shared" si="24"/>
        <v>18</v>
      </c>
      <c r="Z148" s="2414">
        <f>'HVAC Deemed Table'!BB797</f>
        <v>1.6567265427289661</v>
      </c>
      <c r="AA148" s="2417">
        <f>'HVAC Deemed Table'!K797</f>
        <v>978.5</v>
      </c>
      <c r="AB148" s="2418">
        <f t="shared" si="25"/>
        <v>1530.0678830205693</v>
      </c>
      <c r="AC148" s="2418">
        <f t="shared" si="26"/>
        <v>0</v>
      </c>
      <c r="AD148" s="2445">
        <f>'HVAC Deemed Table'!BD797</f>
        <v>1530.0678830205693</v>
      </c>
      <c r="AE148" s="2445"/>
      <c r="AF148" s="2445"/>
      <c r="AG148" s="2445"/>
      <c r="AH148" s="2378"/>
      <c r="AI148" s="2378"/>
      <c r="AJ148" s="2378"/>
      <c r="AK148" s="2378"/>
      <c r="AL148" s="2380">
        <f t="shared" si="19"/>
        <v>9.4741810000000004E-4</v>
      </c>
      <c r="AM148">
        <f>AL148*H148</f>
        <v>0.82186625338800001</v>
      </c>
      <c r="AN148" s="2368">
        <f t="shared" si="20"/>
        <v>2.5338800002661088E-7</v>
      </c>
    </row>
    <row r="149" spans="1:40" x14ac:dyDescent="0.25">
      <c r="A149" s="2598" t="str">
        <f>'HVAC Deemed Table'!C798</f>
        <v>351650_2019_12_</v>
      </c>
      <c r="B149" s="245" t="str">
        <f>'HVAC Deemed Table'!G798</f>
        <v>Cooling RES</v>
      </c>
      <c r="C149" s="245" t="str">
        <f>'HVAC Deemed Table'!G799</f>
        <v>Heating RES</v>
      </c>
      <c r="D149" s="245"/>
      <c r="E149" s="245"/>
      <c r="F149" s="245" t="str">
        <f>'HVAC Deemed Table'!E798</f>
        <v>Ductless ASHP - ROF MF NC</v>
      </c>
      <c r="G149" s="745" t="str">
        <f>'HVAC Deemed Table'!D798</f>
        <v>MF</v>
      </c>
      <c r="H149" s="2420">
        <f t="shared" si="64"/>
        <v>728.76</v>
      </c>
      <c r="I149" s="2420">
        <f t="shared" si="65"/>
        <v>0</v>
      </c>
      <c r="J149" s="2452">
        <f>'HVAC Deemed Table'!F798</f>
        <v>214.85</v>
      </c>
      <c r="K149" s="2452">
        <f>'HVAC Deemed Table'!F799</f>
        <v>513.91</v>
      </c>
      <c r="L149" s="2452"/>
      <c r="M149" s="2452"/>
      <c r="N149" s="2421">
        <f t="shared" si="66"/>
        <v>0.20355300000000001</v>
      </c>
      <c r="O149" s="2421">
        <f t="shared" si="67"/>
        <v>0</v>
      </c>
      <c r="P149" s="2412">
        <f>'HVAC Deemed Table'!I798</f>
        <v>0.20355300000000001</v>
      </c>
      <c r="Q149" s="2412">
        <f>'HVAC Deemed Table'!I799</f>
        <v>0</v>
      </c>
      <c r="R149" s="2412"/>
      <c r="S149" s="2412"/>
      <c r="T149" s="2413"/>
      <c r="U149" s="2413"/>
      <c r="V149" s="2413">
        <f t="shared" si="68"/>
        <v>0.20355300000000001</v>
      </c>
      <c r="W149" s="2460">
        <f>'HVAC Deemed Table'!J798</f>
        <v>18</v>
      </c>
      <c r="X149" s="2460"/>
      <c r="Y149" s="94">
        <f t="shared" si="24"/>
        <v>18</v>
      </c>
      <c r="Z149" s="2414">
        <f>'HVAC Deemed Table'!BB798</f>
        <v>0.92633178330882326</v>
      </c>
      <c r="AA149" s="2417">
        <f>'HVAC Deemed Table'!K798</f>
        <v>705</v>
      </c>
      <c r="AB149" s="2418">
        <f t="shared" si="25"/>
        <v>616.38877511346891</v>
      </c>
      <c r="AC149" s="2418">
        <f t="shared" si="26"/>
        <v>0</v>
      </c>
      <c r="AD149" s="2445">
        <f>'HVAC Deemed Table'!BD798</f>
        <v>378.95407924905396</v>
      </c>
      <c r="AE149" s="2445">
        <f>'HVAC Deemed Table'!BD799</f>
        <v>237.43469586441489</v>
      </c>
      <c r="AF149" s="2445"/>
      <c r="AG149" s="2445"/>
      <c r="AH149" s="2378"/>
      <c r="AI149" s="2378"/>
      <c r="AJ149" s="2378"/>
      <c r="AK149" s="2378"/>
      <c r="AL149" s="2380">
        <f t="shared" si="19"/>
        <v>9.4741810000000004E-4</v>
      </c>
      <c r="AM149" s="145">
        <f t="shared" ref="AM149:AM180" si="69">AL149*J149</f>
        <v>0.203552778785</v>
      </c>
      <c r="AN149" s="2368">
        <f t="shared" si="20"/>
        <v>-2.2121500001248684E-7</v>
      </c>
    </row>
    <row r="150" spans="1:40" x14ac:dyDescent="0.25">
      <c r="A150" s="2598" t="str">
        <f>'HVAC Deemed Table'!C800</f>
        <v>351651_2019_12_</v>
      </c>
      <c r="B150" s="245" t="str">
        <f>'HVAC Deemed Table'!G800</f>
        <v>Cooling RES</v>
      </c>
      <c r="C150" s="245" t="str">
        <f>'HVAC Deemed Table'!G801</f>
        <v>Heating RES</v>
      </c>
      <c r="D150" s="245"/>
      <c r="E150" s="245"/>
      <c r="F150" s="245" t="str">
        <f>'HVAC Deemed Table'!E800</f>
        <v>Ductless ASHP - ROF MF NC_CompE</v>
      </c>
      <c r="G150" s="745" t="str">
        <f>'HVAC Deemed Table'!D800</f>
        <v>MFc</v>
      </c>
      <c r="H150" s="2420">
        <f t="shared" ref="H150" si="70">J150+K150</f>
        <v>336.40999999999997</v>
      </c>
      <c r="I150" s="2420">
        <f t="shared" ref="I150" si="71">L150+M150</f>
        <v>0</v>
      </c>
      <c r="J150" s="2452">
        <f>'HVAC Deemed Table'!F800</f>
        <v>141.09</v>
      </c>
      <c r="K150" s="2452">
        <f>'HVAC Deemed Table'!F801</f>
        <v>195.32</v>
      </c>
      <c r="L150" s="2452"/>
      <c r="M150" s="2452"/>
      <c r="N150" s="2421">
        <f t="shared" ref="N150" si="72">P150+Q150</f>
        <v>0.13367100000000001</v>
      </c>
      <c r="O150" s="2421">
        <f t="shared" ref="O150" si="73">R150+S150</f>
        <v>0</v>
      </c>
      <c r="P150" s="2412">
        <f>'HVAC Deemed Table'!I800</f>
        <v>0.13367100000000001</v>
      </c>
      <c r="Q150" s="2412">
        <f>'HVAC Deemed Table'!I801</f>
        <v>0</v>
      </c>
      <c r="R150" s="2412"/>
      <c r="S150" s="2412"/>
      <c r="T150" s="2413"/>
      <c r="U150" s="2413"/>
      <c r="V150" s="2413">
        <f t="shared" ref="V150" si="74">N150</f>
        <v>0.13367100000000001</v>
      </c>
      <c r="W150" s="2460">
        <f>'HVAC Deemed Table'!J800</f>
        <v>18</v>
      </c>
      <c r="X150" s="2460"/>
      <c r="Y150" s="94">
        <f t="shared" si="24"/>
        <v>18</v>
      </c>
      <c r="Z150" s="2414">
        <f>'HVAC Deemed Table'!BB800</f>
        <v>0.50960689183843633</v>
      </c>
      <c r="AA150" s="2417">
        <f>'HVAC Deemed Table'!K800</f>
        <v>705</v>
      </c>
      <c r="AB150" s="2418">
        <f t="shared" si="25"/>
        <v>339.09661042576454</v>
      </c>
      <c r="AC150" s="2418">
        <f t="shared" si="26"/>
        <v>0</v>
      </c>
      <c r="AD150" s="2445">
        <f>'HVAC Deemed Table'!BD800</f>
        <v>248.85562504653956</v>
      </c>
      <c r="AE150" s="2445">
        <f>'HVAC Deemed Table'!BD801</f>
        <v>90.240985379224995</v>
      </c>
      <c r="AF150" s="2445"/>
      <c r="AG150" s="2445"/>
      <c r="AH150" s="2378"/>
      <c r="AI150" s="2378"/>
      <c r="AJ150" s="2378"/>
      <c r="AK150" s="2378"/>
      <c r="AL150" s="2380">
        <f t="shared" si="19"/>
        <v>9.4741810000000004E-4</v>
      </c>
      <c r="AM150" s="145">
        <f t="shared" si="69"/>
        <v>0.13367121972900001</v>
      </c>
      <c r="AN150" s="2368">
        <f t="shared" si="20"/>
        <v>2.1972899999500584E-7</v>
      </c>
    </row>
    <row r="151" spans="1:40" x14ac:dyDescent="0.25">
      <c r="A151" s="2598" t="str">
        <f>'HVAC Deemed Table'!C802</f>
        <v>351700_2019_12_</v>
      </c>
      <c r="B151" s="245" t="str">
        <f>'HVAC Deemed Table'!G802</f>
        <v>Cooling RES</v>
      </c>
      <c r="C151" s="245" t="str">
        <f>'HVAC Deemed Table'!G803</f>
        <v>Heating RES</v>
      </c>
      <c r="D151" s="245"/>
      <c r="E151" s="245"/>
      <c r="F151" s="245" t="str">
        <f>'HVAC Deemed Table'!E802</f>
        <v>Ductless ASHP - ROF MF</v>
      </c>
      <c r="G151" s="745" t="str">
        <f>'HVAC Deemed Table'!D802</f>
        <v>MF</v>
      </c>
      <c r="H151" s="2420">
        <f t="shared" ref="H151" si="75">J151+K151</f>
        <v>728.76</v>
      </c>
      <c r="I151" s="2420">
        <f t="shared" ref="I151" si="76">L151+M151</f>
        <v>0</v>
      </c>
      <c r="J151" s="2452">
        <f>'HVAC Deemed Table'!F802</f>
        <v>214.85</v>
      </c>
      <c r="K151" s="2452">
        <f>'HVAC Deemed Table'!F803</f>
        <v>513.91</v>
      </c>
      <c r="L151" s="2452"/>
      <c r="M151" s="2452"/>
      <c r="N151" s="2421">
        <f t="shared" ref="N151" si="77">P151+Q151</f>
        <v>0.20355300000000001</v>
      </c>
      <c r="O151" s="2421">
        <f t="shared" ref="O151" si="78">R151+S151</f>
        <v>0</v>
      </c>
      <c r="P151" s="2412">
        <f>'HVAC Deemed Table'!I802</f>
        <v>0.20355300000000001</v>
      </c>
      <c r="Q151" s="2412">
        <f>'HVAC Deemed Table'!I803</f>
        <v>0</v>
      </c>
      <c r="R151" s="2412"/>
      <c r="S151" s="2412"/>
      <c r="T151" s="2413"/>
      <c r="U151" s="2413"/>
      <c r="V151" s="2413">
        <f t="shared" ref="V151" si="79">N151</f>
        <v>0.20355300000000001</v>
      </c>
      <c r="W151" s="2460">
        <f>'HVAC Deemed Table'!J802</f>
        <v>18</v>
      </c>
      <c r="X151" s="2460"/>
      <c r="Y151" s="94">
        <f t="shared" si="24"/>
        <v>18</v>
      </c>
      <c r="Z151" s="2414">
        <f>'HVAC Deemed Table'!BB802</f>
        <v>0.92633178330882326</v>
      </c>
      <c r="AA151" s="2417">
        <f>'HVAC Deemed Table'!K802</f>
        <v>705</v>
      </c>
      <c r="AB151" s="2418">
        <f t="shared" si="25"/>
        <v>616.38877511346891</v>
      </c>
      <c r="AC151" s="2418">
        <f t="shared" si="26"/>
        <v>0</v>
      </c>
      <c r="AD151" s="2445">
        <f>'HVAC Deemed Table'!BD802</f>
        <v>378.95407924905396</v>
      </c>
      <c r="AE151" s="2445">
        <f>'HVAC Deemed Table'!BD803</f>
        <v>237.43469586441489</v>
      </c>
      <c r="AF151" s="2445"/>
      <c r="AG151" s="2445"/>
      <c r="AH151" s="2378"/>
      <c r="AI151" s="2378"/>
      <c r="AJ151" s="2378"/>
      <c r="AK151" s="2378"/>
      <c r="AL151" s="2380">
        <f t="shared" si="19"/>
        <v>9.4741810000000004E-4</v>
      </c>
      <c r="AM151" s="145">
        <f t="shared" si="69"/>
        <v>0.203552778785</v>
      </c>
      <c r="AN151" s="2368">
        <f t="shared" si="20"/>
        <v>-2.2121500001248684E-7</v>
      </c>
    </row>
    <row r="152" spans="1:40" x14ac:dyDescent="0.25">
      <c r="A152" s="2598" t="str">
        <f>'HVAC Deemed Table'!C804</f>
        <v>351701_2019_12_</v>
      </c>
      <c r="B152" s="245" t="str">
        <f>'HVAC Deemed Table'!G804</f>
        <v>Cooling RES</v>
      </c>
      <c r="C152" s="245" t="str">
        <f>'HVAC Deemed Table'!G805</f>
        <v>Heating RES</v>
      </c>
      <c r="D152" s="245"/>
      <c r="E152" s="245"/>
      <c r="F152" s="245" t="str">
        <f>'HVAC Deemed Table'!E804</f>
        <v>Ductless ASHP - ROF MF_CompE</v>
      </c>
      <c r="G152" s="745" t="str">
        <f>'HVAC Deemed Table'!D804</f>
        <v>MFc</v>
      </c>
      <c r="H152" s="2420">
        <f t="shared" ref="H152" si="80">J152+K152</f>
        <v>336.40999999999997</v>
      </c>
      <c r="I152" s="2420">
        <f t="shared" ref="I152" si="81">L152+M152</f>
        <v>0</v>
      </c>
      <c r="J152" s="2452">
        <f>'HVAC Deemed Table'!F804</f>
        <v>141.09</v>
      </c>
      <c r="K152" s="2452">
        <f>'HVAC Deemed Table'!F805</f>
        <v>195.32</v>
      </c>
      <c r="L152" s="2452"/>
      <c r="M152" s="2452"/>
      <c r="N152" s="2421">
        <f t="shared" ref="N152" si="82">P152+Q152</f>
        <v>0.13367100000000001</v>
      </c>
      <c r="O152" s="2421">
        <f t="shared" ref="O152" si="83">R152+S152</f>
        <v>0</v>
      </c>
      <c r="P152" s="2412">
        <f>'HVAC Deemed Table'!I804</f>
        <v>0.13367100000000001</v>
      </c>
      <c r="Q152" s="2412">
        <f>'HVAC Deemed Table'!I805</f>
        <v>0</v>
      </c>
      <c r="R152" s="2412"/>
      <c r="S152" s="2412"/>
      <c r="T152" s="2413"/>
      <c r="U152" s="2413"/>
      <c r="V152" s="2413">
        <f t="shared" ref="V152" si="84">N152</f>
        <v>0.13367100000000001</v>
      </c>
      <c r="W152" s="2460">
        <f>'HVAC Deemed Table'!J804</f>
        <v>18</v>
      </c>
      <c r="X152" s="2460"/>
      <c r="Y152" s="94">
        <f t="shared" si="24"/>
        <v>18</v>
      </c>
      <c r="Z152" s="2414">
        <f>'HVAC Deemed Table'!BB804</f>
        <v>0.50960689183843633</v>
      </c>
      <c r="AA152" s="2417">
        <f>'HVAC Deemed Table'!K804</f>
        <v>705</v>
      </c>
      <c r="AB152" s="2418">
        <f t="shared" si="25"/>
        <v>339.09661042576454</v>
      </c>
      <c r="AC152" s="2418">
        <f t="shared" si="26"/>
        <v>0</v>
      </c>
      <c r="AD152" s="2445">
        <f>'HVAC Deemed Table'!BD804</f>
        <v>248.85562504653956</v>
      </c>
      <c r="AE152" s="2445">
        <f>'HVAC Deemed Table'!BD805</f>
        <v>90.240985379224995</v>
      </c>
      <c r="AF152" s="2445"/>
      <c r="AG152" s="2445"/>
      <c r="AH152" s="2378"/>
      <c r="AI152" s="2378"/>
      <c r="AJ152" s="2378"/>
      <c r="AK152" s="2378"/>
      <c r="AL152" s="2380">
        <f t="shared" si="19"/>
        <v>9.4741810000000004E-4</v>
      </c>
      <c r="AM152" s="145">
        <f t="shared" si="69"/>
        <v>0.13367121972900001</v>
      </c>
      <c r="AN152" s="2368">
        <f t="shared" si="20"/>
        <v>2.1972899999500584E-7</v>
      </c>
    </row>
    <row r="153" spans="1:40" x14ac:dyDescent="0.25">
      <c r="A153" s="2598" t="str">
        <f>'HVAC Deemed Table'!C806</f>
        <v>351750_2019_12_</v>
      </c>
      <c r="B153" s="245" t="str">
        <f>'HVAC Deemed Table'!G806</f>
        <v>Cooling RES</v>
      </c>
      <c r="C153" s="245" t="str">
        <f>'HVAC Deemed Table'!G807</f>
        <v>Heating RES</v>
      </c>
      <c r="D153" s="245" t="str">
        <f>'HVAC Deemed Table'!G808</f>
        <v>Cooling RES ER2</v>
      </c>
      <c r="E153" s="245" t="str">
        <f>'HVAC Deemed Table'!G809</f>
        <v>Heating RES ER2</v>
      </c>
      <c r="F153" s="245" t="str">
        <f>'HVAC Deemed Table'!E806</f>
        <v>Ductless ASHP Replace Electric Resistance ER1 MF</v>
      </c>
      <c r="G153" s="745" t="str">
        <f>'HVAC Deemed Table'!D806</f>
        <v>MF</v>
      </c>
      <c r="H153" s="2420">
        <f t="shared" ref="H153" si="85">J153+K153</f>
        <v>4998.03</v>
      </c>
      <c r="I153" s="2420">
        <f t="shared" ref="I153" si="86">L153+M153</f>
        <v>4196.38</v>
      </c>
      <c r="J153" s="2452">
        <f>'HVAC Deemed Table'!F806</f>
        <v>1175.8</v>
      </c>
      <c r="K153" s="2452">
        <f>'HVAC Deemed Table'!F807</f>
        <v>3822.23</v>
      </c>
      <c r="L153" s="2452">
        <f>'HVAC Deemed Table'!F808</f>
        <v>374.15</v>
      </c>
      <c r="M153" s="2452">
        <f>'HVAC Deemed Table'!F809</f>
        <v>3822.23</v>
      </c>
      <c r="N153" s="2421">
        <f t="shared" ref="N153" si="87">P153+Q153</f>
        <v>1.113974</v>
      </c>
      <c r="O153" s="2421">
        <f t="shared" ref="O153" si="88">R153+S153</f>
        <v>0.35447600000000001</v>
      </c>
      <c r="P153" s="2412">
        <f>'HVAC Deemed Table'!I806</f>
        <v>1.113974</v>
      </c>
      <c r="Q153" s="2412">
        <f>'HVAC Deemed Table'!I807</f>
        <v>0</v>
      </c>
      <c r="R153" s="2412">
        <f>'HVAC Deemed Table'!I808</f>
        <v>0.35447600000000001</v>
      </c>
      <c r="S153" s="2412">
        <f>'HVAC Deemed Table'!I809</f>
        <v>0</v>
      </c>
      <c r="T153" s="2413"/>
      <c r="U153" s="2413"/>
      <c r="V153" s="2424">
        <f>O153</f>
        <v>0.35447600000000001</v>
      </c>
      <c r="W153" s="2460">
        <f>'HVAC Deemed Table'!J806</f>
        <v>6</v>
      </c>
      <c r="X153" s="2460">
        <f>'HVAC Deemed Table'!J808</f>
        <v>12</v>
      </c>
      <c r="Y153" s="94">
        <f t="shared" si="24"/>
        <v>18</v>
      </c>
      <c r="Z153" s="2414">
        <f>'HVAC Deemed Table'!BB806</f>
        <v>1.9270953860508322</v>
      </c>
      <c r="AA153" s="2417">
        <f>'HVAC Deemed Table'!K806</f>
        <v>1590</v>
      </c>
      <c r="AB153" s="2418">
        <f t="shared" si="25"/>
        <v>1319.4739886082089</v>
      </c>
      <c r="AC153" s="2418">
        <f t="shared" si="26"/>
        <v>1572.5332448234315</v>
      </c>
      <c r="AD153" s="2445">
        <f>'HVAC Deemed Table'!BD806</f>
        <v>683.70907877898162</v>
      </c>
      <c r="AE153" s="2445">
        <f>'HVAC Deemed Table'!BD807</f>
        <v>635.76490982922712</v>
      </c>
      <c r="AF153" s="2445">
        <f>'HVAC Deemed Table'!BD808</f>
        <v>442.3663425185444</v>
      </c>
      <c r="AG153" s="2445">
        <f>'HVAC Deemed Table'!BD809</f>
        <v>1130.1669023048871</v>
      </c>
      <c r="AH153" s="2378"/>
      <c r="AI153" s="2378"/>
      <c r="AJ153" s="2378"/>
      <c r="AK153" s="2378"/>
      <c r="AL153" s="2380">
        <f t="shared" si="19"/>
        <v>9.4741810000000004E-4</v>
      </c>
      <c r="AM153" s="145">
        <f t="shared" si="69"/>
        <v>1.1139742019800001</v>
      </c>
      <c r="AN153" s="2368">
        <f t="shared" si="20"/>
        <v>2.0198000005855477E-7</v>
      </c>
    </row>
    <row r="154" spans="1:40" x14ac:dyDescent="0.25">
      <c r="A154" s="2598" t="str">
        <f>'HVAC Deemed Table'!C810</f>
        <v>351751_2019_12_</v>
      </c>
      <c r="B154" s="245" t="str">
        <f>'HVAC Deemed Table'!G810</f>
        <v>Cooling RES</v>
      </c>
      <c r="C154" s="245" t="str">
        <f>'HVAC Deemed Table'!G811</f>
        <v>Heating RES</v>
      </c>
      <c r="D154" s="245" t="str">
        <f>'HVAC Deemed Table'!G812</f>
        <v>Cooling RES ER2</v>
      </c>
      <c r="E154" s="245" t="str">
        <f>'HVAC Deemed Table'!G813</f>
        <v>Heating RES ER2</v>
      </c>
      <c r="F154" s="245" t="str">
        <f>'HVAC Deemed Table'!E810</f>
        <v>Ductless ASHP Replace Electric Resistance ER1 MF_CompE</v>
      </c>
      <c r="G154" s="745" t="str">
        <f>'HVAC Deemed Table'!D810</f>
        <v>MFc</v>
      </c>
      <c r="H154" s="2420">
        <f t="shared" ref="H154" si="89">J154+K154</f>
        <v>2224.88</v>
      </c>
      <c r="I154" s="2420">
        <f t="shared" ref="I154" si="90">L154+M154</f>
        <v>1698.44</v>
      </c>
      <c r="J154" s="2452">
        <f>'HVAC Deemed Table'!F810</f>
        <v>772.14</v>
      </c>
      <c r="K154" s="2452">
        <f>'HVAC Deemed Table'!F811</f>
        <v>1452.74</v>
      </c>
      <c r="L154" s="2452">
        <f>'HVAC Deemed Table'!F812</f>
        <v>245.7</v>
      </c>
      <c r="M154" s="2452">
        <f>'HVAC Deemed Table'!F813</f>
        <v>1452.74</v>
      </c>
      <c r="N154" s="2421">
        <f t="shared" ref="N154" si="91">P154+Q154</f>
        <v>0.73153900000000005</v>
      </c>
      <c r="O154" s="2421">
        <f t="shared" ref="O154" si="92">R154+S154</f>
        <v>0.23278099999999999</v>
      </c>
      <c r="P154" s="2412">
        <f>'HVAC Deemed Table'!I810</f>
        <v>0.73153900000000005</v>
      </c>
      <c r="Q154" s="2412">
        <f>'HVAC Deemed Table'!I811</f>
        <v>0</v>
      </c>
      <c r="R154" s="2412">
        <f>'HVAC Deemed Table'!I812</f>
        <v>0.23278099999999999</v>
      </c>
      <c r="S154" s="2412">
        <f>'HVAC Deemed Table'!I813</f>
        <v>0</v>
      </c>
      <c r="T154" s="2413"/>
      <c r="U154" s="2413"/>
      <c r="V154" s="2424">
        <f>O154</f>
        <v>0.23278099999999999</v>
      </c>
      <c r="W154" s="2460">
        <f>'HVAC Deemed Table'!J810</f>
        <v>6</v>
      </c>
      <c r="X154" s="2460">
        <f>'HVAC Deemed Table'!J812</f>
        <v>12</v>
      </c>
      <c r="Y154" s="94">
        <f t="shared" si="24"/>
        <v>18</v>
      </c>
      <c r="Z154" s="2414">
        <f>'HVAC Deemed Table'!BB810</f>
        <v>0.94000528757757085</v>
      </c>
      <c r="AA154" s="2417">
        <f>'HVAC Deemed Table'!K810</f>
        <v>1590</v>
      </c>
      <c r="AB154" s="2418">
        <f t="shared" si="25"/>
        <v>690.6265164870772</v>
      </c>
      <c r="AC154" s="2418">
        <f t="shared" si="26"/>
        <v>720.04682683367537</v>
      </c>
      <c r="AD154" s="2445">
        <f>'HVAC Deemed Table'!BD810</f>
        <v>448.98718156863657</v>
      </c>
      <c r="AE154" s="2445">
        <f>'HVAC Deemed Table'!BD811</f>
        <v>241.63933491844065</v>
      </c>
      <c r="AF154" s="2445">
        <f>'HVAC Deemed Table'!BD812</f>
        <v>290.4968872292032</v>
      </c>
      <c r="AG154" s="2445">
        <f>'HVAC Deemed Table'!BD813</f>
        <v>429.54993960447217</v>
      </c>
      <c r="AH154" s="2378"/>
      <c r="AI154" s="2378"/>
      <c r="AJ154" s="2378"/>
      <c r="AK154" s="2378"/>
      <c r="AL154" s="2380">
        <f t="shared" si="19"/>
        <v>9.4741810000000004E-4</v>
      </c>
      <c r="AM154" s="145">
        <f t="shared" si="69"/>
        <v>0.73153941173400006</v>
      </c>
      <c r="AN154" s="2368">
        <f t="shared" si="20"/>
        <v>4.1173400000538152E-7</v>
      </c>
    </row>
    <row r="155" spans="1:40" x14ac:dyDescent="0.25">
      <c r="A155" s="2598" t="str">
        <f>'HVAC Deemed Table'!C814</f>
        <v>351800_2019_12_</v>
      </c>
      <c r="B155" s="245" t="str">
        <f>'HVAC Deemed Table'!G814</f>
        <v>Cooling RES</v>
      </c>
      <c r="C155" s="245" t="str">
        <f>'HVAC Deemed Table'!G815</f>
        <v>Heating RES</v>
      </c>
      <c r="D155" s="245"/>
      <c r="E155" s="245"/>
      <c r="F155" s="245" t="str">
        <f>'HVAC Deemed Table'!E814</f>
        <v>Ductless ASHP Replace Electric Resistance ROF MF</v>
      </c>
      <c r="G155" s="745" t="str">
        <f>'HVAC Deemed Table'!D814</f>
        <v>MF</v>
      </c>
      <c r="H155" s="2420">
        <f t="shared" ref="H155" si="93">J155+K155</f>
        <v>4412.47</v>
      </c>
      <c r="I155" s="2420">
        <f t="shared" ref="I155" si="94">L155+M155</f>
        <v>0</v>
      </c>
      <c r="J155" s="2452">
        <f>'HVAC Deemed Table'!F814</f>
        <v>335.42</v>
      </c>
      <c r="K155" s="2452">
        <f>'HVAC Deemed Table'!F815</f>
        <v>4077.05</v>
      </c>
      <c r="L155" s="2452"/>
      <c r="M155" s="2452"/>
      <c r="N155" s="2421">
        <f t="shared" ref="N155" si="95">P155+Q155</f>
        <v>0.31778299999999998</v>
      </c>
      <c r="O155" s="2421">
        <f t="shared" ref="O155" si="96">R155+S155</f>
        <v>0</v>
      </c>
      <c r="P155" s="2412">
        <f>'HVAC Deemed Table'!I814</f>
        <v>0.31778299999999998</v>
      </c>
      <c r="Q155" s="2412">
        <f>'HVAC Deemed Table'!I815</f>
        <v>0</v>
      </c>
      <c r="R155" s="2412"/>
      <c r="S155" s="2412"/>
      <c r="T155" s="2413"/>
      <c r="U155" s="2413"/>
      <c r="V155" s="2413">
        <f t="shared" ref="V155" si="97">N155</f>
        <v>0.31778299999999998</v>
      </c>
      <c r="W155" s="2460">
        <f>'HVAC Deemed Table'!J814</f>
        <v>18</v>
      </c>
      <c r="X155" s="2460"/>
      <c r="Y155" s="94">
        <f t="shared" si="24"/>
        <v>18</v>
      </c>
      <c r="Z155" s="2414">
        <f>'HVAC Deemed Table'!BB814</f>
        <v>3.4874444607549622</v>
      </c>
      <c r="AA155" s="2417">
        <f>'HVAC Deemed Table'!K814</f>
        <v>752</v>
      </c>
      <c r="AB155" s="2418">
        <f t="shared" si="25"/>
        <v>2475.2791264631724</v>
      </c>
      <c r="AC155" s="2418">
        <f t="shared" si="26"/>
        <v>0</v>
      </c>
      <c r="AD155" s="2445">
        <f>'HVAC Deemed Table'!BD814</f>
        <v>591.61637077829971</v>
      </c>
      <c r="AE155" s="2445">
        <f>'HVAC Deemed Table'!BD815</f>
        <v>1883.6627556848725</v>
      </c>
      <c r="AF155" s="2445"/>
      <c r="AG155" s="2445"/>
      <c r="AH155" s="2378"/>
      <c r="AI155" s="2378"/>
      <c r="AJ155" s="2378"/>
      <c r="AK155" s="2378"/>
      <c r="AL155" s="2380">
        <f t="shared" si="19"/>
        <v>9.4741810000000004E-4</v>
      </c>
      <c r="AM155" s="145">
        <f t="shared" si="69"/>
        <v>0.31778297910200004</v>
      </c>
      <c r="AN155" s="2368">
        <f t="shared" si="20"/>
        <v>-2.0897999941649203E-8</v>
      </c>
    </row>
    <row r="156" spans="1:40" x14ac:dyDescent="0.25">
      <c r="A156" s="2598" t="str">
        <f>'HVAC Deemed Table'!C816</f>
        <v>351801_2019_12_</v>
      </c>
      <c r="B156" s="245" t="str">
        <f>'HVAC Deemed Table'!G816</f>
        <v>Cooling RES</v>
      </c>
      <c r="C156" s="245" t="str">
        <f>'HVAC Deemed Table'!G817</f>
        <v>Heating RES</v>
      </c>
      <c r="D156" s="245"/>
      <c r="E156" s="245"/>
      <c r="F156" s="245" t="str">
        <f>'HVAC Deemed Table'!E816</f>
        <v>Ductless ASHP Replace Electric Resistance ROF MF_CompE</v>
      </c>
      <c r="G156" s="745" t="str">
        <f>'HVAC Deemed Table'!D816</f>
        <v>MFc</v>
      </c>
      <c r="H156" s="2420">
        <f t="shared" ref="H156" si="98">J156+K156</f>
        <v>1769.86</v>
      </c>
      <c r="I156" s="2420">
        <f t="shared" ref="I156" si="99">L156+M156</f>
        <v>0</v>
      </c>
      <c r="J156" s="2452">
        <f>'HVAC Deemed Table'!F816</f>
        <v>220.27</v>
      </c>
      <c r="K156" s="2452">
        <f>'HVAC Deemed Table'!F817</f>
        <v>1549.59</v>
      </c>
      <c r="L156" s="2452"/>
      <c r="M156" s="2452"/>
      <c r="N156" s="2421">
        <f t="shared" ref="N156" si="100">P156+Q156</f>
        <v>0.20868800000000001</v>
      </c>
      <c r="O156" s="2421">
        <f t="shared" ref="O156" si="101">R156+S156</f>
        <v>0</v>
      </c>
      <c r="P156" s="2412">
        <f>'HVAC Deemed Table'!I816</f>
        <v>0.20868800000000001</v>
      </c>
      <c r="Q156" s="2412">
        <f>'HVAC Deemed Table'!I817</f>
        <v>0</v>
      </c>
      <c r="R156" s="2412"/>
      <c r="S156" s="2412"/>
      <c r="T156" s="2413"/>
      <c r="U156" s="2413"/>
      <c r="V156" s="2413">
        <f t="shared" ref="V156" si="102">N156</f>
        <v>0.20868800000000001</v>
      </c>
      <c r="W156" s="2460">
        <f>'HVAC Deemed Table'!J816</f>
        <v>18</v>
      </c>
      <c r="X156" s="2460"/>
      <c r="Y156" s="94">
        <f t="shared" si="24"/>
        <v>18</v>
      </c>
      <c r="Z156" s="2414">
        <f>'HVAC Deemed Table'!BB816</f>
        <v>1.556069406062337</v>
      </c>
      <c r="AA156" s="2417">
        <f>'HVAC Deemed Table'!K816</f>
        <v>752</v>
      </c>
      <c r="AB156" s="2418">
        <f t="shared" si="25"/>
        <v>1104.4494510230084</v>
      </c>
      <c r="AC156" s="2418">
        <f t="shared" si="26"/>
        <v>0</v>
      </c>
      <c r="AD156" s="2445">
        <f>'HVAC Deemed Table'!BD816</f>
        <v>388.51391685449903</v>
      </c>
      <c r="AE156" s="2445">
        <f>'HVAC Deemed Table'!BD817</f>
        <v>715.93553416850943</v>
      </c>
      <c r="AF156" s="2445"/>
      <c r="AG156" s="2445"/>
      <c r="AH156" s="2378"/>
      <c r="AI156" s="2378"/>
      <c r="AJ156" s="2378"/>
      <c r="AK156" s="2378"/>
      <c r="AL156" s="2380">
        <f t="shared" si="19"/>
        <v>9.4741810000000004E-4</v>
      </c>
      <c r="AM156" s="145">
        <f t="shared" si="69"/>
        <v>0.20868778488700002</v>
      </c>
      <c r="AN156" s="2368">
        <f t="shared" si="20"/>
        <v>-2.1511299999610323E-7</v>
      </c>
    </row>
    <row r="157" spans="1:40" x14ac:dyDescent="0.25">
      <c r="A157" s="2598" t="str">
        <f>'HVAC Deemed Table'!C818</f>
        <v>351850_2019_12_</v>
      </c>
      <c r="B157" s="245" t="str">
        <f>'HVAC Deemed Table'!G818</f>
        <v>Cooling RES</v>
      </c>
      <c r="C157" s="245" t="str">
        <f>'HVAC Deemed Table'!G819</f>
        <v>Heating RES</v>
      </c>
      <c r="D157" s="245" t="str">
        <f>'HVAC Deemed Table'!G820</f>
        <v>Cooling RES ER2</v>
      </c>
      <c r="E157" s="245" t="str">
        <f>'HVAC Deemed Table'!G821</f>
        <v>Heating RES ER2</v>
      </c>
      <c r="F157" s="245" t="str">
        <f>'HVAC Deemed Table'!E818</f>
        <v>Ductless ASHP ER1 MF</v>
      </c>
      <c r="G157" s="745" t="str">
        <f>'HVAC Deemed Table'!D818</f>
        <v>MF</v>
      </c>
      <c r="H157" s="2420">
        <f t="shared" ref="H157:H158" si="103">J157+K157</f>
        <v>3108.5</v>
      </c>
      <c r="I157" s="2420">
        <f t="shared" ref="I157:I158" si="104">L157+M157</f>
        <v>1807.48</v>
      </c>
      <c r="J157" s="2452">
        <f>'HVAC Deemed Table'!F818</f>
        <v>1164.32</v>
      </c>
      <c r="K157" s="2452">
        <f>'HVAC Deemed Table'!F819</f>
        <v>1944.18</v>
      </c>
      <c r="L157" s="2452">
        <f>'HVAC Deemed Table'!F820</f>
        <v>456.05</v>
      </c>
      <c r="M157" s="2452">
        <f>'HVAC Deemed Table'!F821</f>
        <v>1351.43</v>
      </c>
      <c r="N157" s="2421">
        <f t="shared" ref="N157:N158" si="105">P157+Q157</f>
        <v>1.1030979999999999</v>
      </c>
      <c r="O157" s="2421">
        <f t="shared" ref="O157:O158" si="106">R157+S157</f>
        <v>0.43207000000000001</v>
      </c>
      <c r="P157" s="2412">
        <f>'HVAC Deemed Table'!I818</f>
        <v>1.1030979999999999</v>
      </c>
      <c r="Q157" s="2412">
        <f>'HVAC Deemed Table'!I819</f>
        <v>0</v>
      </c>
      <c r="R157" s="2412">
        <f>'HVAC Deemed Table'!I820</f>
        <v>0.43207000000000001</v>
      </c>
      <c r="S157" s="2412">
        <f>'HVAC Deemed Table'!I821</f>
        <v>0</v>
      </c>
      <c r="T157" s="2413"/>
      <c r="U157" s="2413"/>
      <c r="V157" s="2424">
        <f>O157</f>
        <v>0.43207000000000001</v>
      </c>
      <c r="W157" s="2460">
        <f>'HVAC Deemed Table'!J818</f>
        <v>6</v>
      </c>
      <c r="X157" s="2460">
        <f>'HVAC Deemed Table'!J820</f>
        <v>12</v>
      </c>
      <c r="Y157" s="94">
        <f t="shared" si="24"/>
        <v>18</v>
      </c>
      <c r="Z157" s="2414">
        <f>'HVAC Deemed Table'!BB818</f>
        <v>1.4267998717214621</v>
      </c>
      <c r="AA157" s="2417">
        <f>'HVAC Deemed Table'!K818</f>
        <v>1440</v>
      </c>
      <c r="AB157" s="2418">
        <f t="shared" si="25"/>
        <v>1000.4159128200873</v>
      </c>
      <c r="AC157" s="2418">
        <f t="shared" si="26"/>
        <v>938.79297371026223</v>
      </c>
      <c r="AD157" s="2445">
        <f>'HVAC Deemed Table'!BD818</f>
        <v>677.03364058848774</v>
      </c>
      <c r="AE157" s="2445">
        <f>'HVAC Deemed Table'!BD819</f>
        <v>323.38227223159959</v>
      </c>
      <c r="AF157" s="2445">
        <f>'HVAC Deemed Table'!BD820</f>
        <v>539.19863826161225</v>
      </c>
      <c r="AG157" s="2445">
        <f>'HVAC Deemed Table'!BD821</f>
        <v>399.59433544864999</v>
      </c>
      <c r="AH157" s="2378"/>
      <c r="AI157" s="2378"/>
      <c r="AJ157" s="2378"/>
      <c r="AK157" s="2378"/>
      <c r="AL157" s="2380">
        <f t="shared" si="19"/>
        <v>9.4741810000000004E-4</v>
      </c>
      <c r="AM157" s="145">
        <f t="shared" si="69"/>
        <v>1.1030978421919999</v>
      </c>
      <c r="AN157" s="2368">
        <f t="shared" si="20"/>
        <v>-1.578080000008697E-7</v>
      </c>
    </row>
    <row r="158" spans="1:40" x14ac:dyDescent="0.25">
      <c r="A158" s="2598" t="str">
        <f>'HVAC Deemed Table'!C822</f>
        <v>351851_2019_12_</v>
      </c>
      <c r="B158" s="245" t="str">
        <f>'HVAC Deemed Table'!G822</f>
        <v>Cooling RES</v>
      </c>
      <c r="C158" s="245" t="str">
        <f>'HVAC Deemed Table'!G823</f>
        <v>Heating RES</v>
      </c>
      <c r="D158" s="245" t="str">
        <f>'HVAC Deemed Table'!G824</f>
        <v>Cooling RES ER2</v>
      </c>
      <c r="E158" s="245" t="str">
        <f>'HVAC Deemed Table'!G825</f>
        <v>Heating RES ER2</v>
      </c>
      <c r="F158" s="245" t="str">
        <f>'HVAC Deemed Table'!E822</f>
        <v>Ductless ASHP ER1 MF_CompE</v>
      </c>
      <c r="G158" s="745" t="str">
        <f>'HVAC Deemed Table'!D822</f>
        <v>MFc</v>
      </c>
      <c r="H158" s="2420">
        <f t="shared" si="103"/>
        <v>1503.54</v>
      </c>
      <c r="I158" s="2420">
        <f t="shared" si="104"/>
        <v>813.14</v>
      </c>
      <c r="J158" s="2452">
        <f>'HVAC Deemed Table'!F822</f>
        <v>764.6</v>
      </c>
      <c r="K158" s="2452">
        <f>'HVAC Deemed Table'!F823</f>
        <v>738.94</v>
      </c>
      <c r="L158" s="2452">
        <f>'HVAC Deemed Table'!F824</f>
        <v>299.49</v>
      </c>
      <c r="M158" s="2452">
        <f>'HVAC Deemed Table'!F825</f>
        <v>513.65</v>
      </c>
      <c r="N158" s="2421">
        <f t="shared" si="105"/>
        <v>0.72439600000000004</v>
      </c>
      <c r="O158" s="2421">
        <f t="shared" si="106"/>
        <v>0.28374199999999999</v>
      </c>
      <c r="P158" s="2412">
        <f>'HVAC Deemed Table'!I822</f>
        <v>0.72439600000000004</v>
      </c>
      <c r="Q158" s="2412">
        <f>'HVAC Deemed Table'!I823</f>
        <v>0</v>
      </c>
      <c r="R158" s="2412">
        <f>'HVAC Deemed Table'!I824</f>
        <v>0.28374199999999999</v>
      </c>
      <c r="S158" s="2412">
        <f>'HVAC Deemed Table'!I825</f>
        <v>0</v>
      </c>
      <c r="T158" s="2413"/>
      <c r="U158" s="2413"/>
      <c r="V158" s="2424">
        <f>O158</f>
        <v>0.28374199999999999</v>
      </c>
      <c r="W158" s="2460">
        <f>'HVAC Deemed Table'!J822</f>
        <v>6</v>
      </c>
      <c r="X158" s="2460">
        <f>'HVAC Deemed Table'!J824</f>
        <v>12</v>
      </c>
      <c r="Y158" s="94">
        <f t="shared" si="24"/>
        <v>18</v>
      </c>
      <c r="Z158" s="2414">
        <f>'HVAC Deemed Table'!BB822</f>
        <v>0.78983128256370727</v>
      </c>
      <c r="AA158" s="2417">
        <f>'HVAC Deemed Table'!K822</f>
        <v>1440</v>
      </c>
      <c r="AB158" s="2418">
        <f t="shared" si="25"/>
        <v>567.51327058735399</v>
      </c>
      <c r="AC158" s="2418">
        <f t="shared" si="26"/>
        <v>505.97143624769865</v>
      </c>
      <c r="AD158" s="2445">
        <f>'HVAC Deemed Table'!BD822</f>
        <v>444.60279098010665</v>
      </c>
      <c r="AE158" s="2445">
        <f>'HVAC Deemed Table'!BD823</f>
        <v>122.91047960724737</v>
      </c>
      <c r="AF158" s="2445">
        <f>'HVAC Deemed Table'!BD824</f>
        <v>354.09406901210446</v>
      </c>
      <c r="AG158" s="2445">
        <f>'HVAC Deemed Table'!BD825</f>
        <v>151.87736723559419</v>
      </c>
      <c r="AH158" s="2378"/>
      <c r="AI158" s="2378"/>
      <c r="AJ158" s="2378"/>
      <c r="AK158" s="2378"/>
      <c r="AL158" s="2380">
        <f t="shared" si="19"/>
        <v>9.4741810000000004E-4</v>
      </c>
      <c r="AM158" s="145">
        <f t="shared" si="69"/>
        <v>0.72439587926000004</v>
      </c>
      <c r="AN158" s="2368">
        <f t="shared" si="20"/>
        <v>-1.2073999999806517E-7</v>
      </c>
    </row>
    <row r="159" spans="1:40" x14ac:dyDescent="0.25">
      <c r="A159" s="2598" t="str">
        <f>'HVAC Deemed Table'!C1180</f>
        <v>351900_2019_12_</v>
      </c>
      <c r="B159" s="2425" t="str">
        <f>'HVAC Deemed Table'!G1180</f>
        <v>Cooling Res</v>
      </c>
      <c r="C159" s="2425" t="str">
        <f>'HVAC Deemed Table'!G1181</f>
        <v>Heating Res</v>
      </c>
      <c r="D159" s="245"/>
      <c r="E159" s="245"/>
      <c r="F159" s="245" t="str">
        <f>'HVAC Deemed Table'!E1180</f>
        <v xml:space="preserve">DFHP - SEER 19 MF heat pump base </v>
      </c>
      <c r="G159" s="745" t="str">
        <f>'HVAC Deemed Table'!D1180</f>
        <v>MF</v>
      </c>
      <c r="H159" s="2420">
        <f t="shared" ref="H159:H164" si="107">J159+K159</f>
        <v>1084.6099999999999</v>
      </c>
      <c r="I159" s="2420">
        <f t="shared" ref="I159:I164" si="108">L159+M159</f>
        <v>0</v>
      </c>
      <c r="J159" s="2452">
        <f>'HVAC Deemed Table'!F1180</f>
        <v>433.19</v>
      </c>
      <c r="K159" s="2452">
        <f>'HVAC Deemed Table'!F1181</f>
        <v>651.41999999999996</v>
      </c>
      <c r="L159" s="2452"/>
      <c r="M159" s="2452"/>
      <c r="N159" s="2421">
        <f t="shared" ref="N159:N164" si="109">P159+Q159</f>
        <v>0.410412</v>
      </c>
      <c r="O159" s="2421">
        <f t="shared" ref="O159:O164" si="110">R159+S159</f>
        <v>0</v>
      </c>
      <c r="P159" s="2412">
        <f>'HVAC Deemed Table'!I1180</f>
        <v>0.410412</v>
      </c>
      <c r="Q159" s="2412">
        <f>'HVAC Deemed Table'!I1181</f>
        <v>0</v>
      </c>
      <c r="R159" s="2412"/>
      <c r="S159" s="2412"/>
      <c r="T159" s="2413"/>
      <c r="U159" s="2413"/>
      <c r="V159" s="2413">
        <f t="shared" ref="V159:V164" si="111">N159</f>
        <v>0.410412</v>
      </c>
      <c r="W159" s="2460">
        <f>'HVAC Deemed Table'!J1180</f>
        <v>18</v>
      </c>
      <c r="X159" s="2460"/>
      <c r="Y159" s="94">
        <f t="shared" si="24"/>
        <v>18</v>
      </c>
      <c r="Z159" s="2414">
        <f>'HVAC Deemed Table'!BB1180</f>
        <v>0.38425379181416769</v>
      </c>
      <c r="AA159" s="2417">
        <f>'HVAC Deemed Table'!K1180</f>
        <v>2936.6</v>
      </c>
      <c r="AB159" s="2418">
        <f t="shared" si="25"/>
        <v>1065.0303775757288</v>
      </c>
      <c r="AC159" s="2418">
        <f t="shared" si="26"/>
        <v>0</v>
      </c>
      <c r="AD159" s="2445">
        <f>'HVAC Deemed Table'!BD1180</f>
        <v>764.06384728832995</v>
      </c>
      <c r="AE159" s="2445">
        <f>'HVAC Deemed Table'!BD1181</f>
        <v>300.96653028739888</v>
      </c>
      <c r="AF159" s="2445"/>
      <c r="AG159" s="2445"/>
      <c r="AH159" s="2378"/>
      <c r="AI159" s="2378"/>
      <c r="AJ159" s="2378"/>
      <c r="AK159" s="2378"/>
      <c r="AL159" s="2380">
        <f t="shared" si="19"/>
        <v>9.4741810000000004E-4</v>
      </c>
      <c r="AM159" s="145">
        <f t="shared" si="69"/>
        <v>0.410412046739</v>
      </c>
      <c r="AN159" s="2368">
        <f t="shared" si="20"/>
        <v>4.6739000003626074E-8</v>
      </c>
    </row>
    <row r="160" spans="1:40" x14ac:dyDescent="0.25">
      <c r="A160" s="2598" t="str">
        <f>'HVAC Deemed Table'!C1182</f>
        <v>351901_2019_12_</v>
      </c>
      <c r="B160" s="2425" t="str">
        <f>'HVAC Deemed Table'!G1182</f>
        <v>Cooling Res</v>
      </c>
      <c r="C160" s="2425" t="str">
        <f>'HVAC Deemed Table'!G1183</f>
        <v>Heating Res</v>
      </c>
      <c r="D160" s="245"/>
      <c r="E160" s="245"/>
      <c r="F160" s="245" t="str">
        <f>'HVAC Deemed Table'!E1182</f>
        <v>DFHP - SEER 19 MF heat pump base _CompE</v>
      </c>
      <c r="G160" s="745" t="str">
        <f>'HVAC Deemed Table'!D1182</f>
        <v>MFc</v>
      </c>
      <c r="H160" s="2420">
        <f t="shared" si="107"/>
        <v>611.94000000000005</v>
      </c>
      <c r="I160" s="2420">
        <f t="shared" si="108"/>
        <v>0</v>
      </c>
      <c r="J160" s="2452">
        <f>'HVAC Deemed Table'!F1182</f>
        <v>315.05</v>
      </c>
      <c r="K160" s="2452">
        <f>'HVAC Deemed Table'!F1183</f>
        <v>296.89</v>
      </c>
      <c r="L160" s="2452"/>
      <c r="M160" s="2452"/>
      <c r="N160" s="2421">
        <f t="shared" si="109"/>
        <v>0.29848400000000003</v>
      </c>
      <c r="O160" s="2421">
        <f t="shared" si="110"/>
        <v>0</v>
      </c>
      <c r="P160" s="2412">
        <f>'HVAC Deemed Table'!I1182</f>
        <v>0.29848400000000003</v>
      </c>
      <c r="Q160" s="2412">
        <f>'HVAC Deemed Table'!I1183</f>
        <v>0</v>
      </c>
      <c r="R160" s="2412"/>
      <c r="S160" s="2412"/>
      <c r="T160" s="2413"/>
      <c r="U160" s="2413"/>
      <c r="V160" s="2413">
        <f t="shared" si="111"/>
        <v>0.29848400000000003</v>
      </c>
      <c r="W160" s="2460">
        <f>'HVAC Deemed Table'!J1182</f>
        <v>18</v>
      </c>
      <c r="X160" s="2460"/>
      <c r="Y160" s="94">
        <f t="shared" si="24"/>
        <v>18</v>
      </c>
      <c r="Z160" s="2414">
        <f>'HVAC Deemed Table'!BB1182</f>
        <v>0.2499763249434484</v>
      </c>
      <c r="AA160" s="2417">
        <f>'HVAC Deemed Table'!K1182</f>
        <v>2936.6</v>
      </c>
      <c r="AB160" s="2418">
        <f t="shared" si="25"/>
        <v>692.85556944684333</v>
      </c>
      <c r="AC160" s="2418">
        <f t="shared" si="26"/>
        <v>0</v>
      </c>
      <c r="AD160" s="2445">
        <f>'HVAC Deemed Table'!BD1182</f>
        <v>555.68760841244796</v>
      </c>
      <c r="AE160" s="2445">
        <f>'HVAC Deemed Table'!BD1183</f>
        <v>137.1679610343954</v>
      </c>
      <c r="AF160" s="2445"/>
      <c r="AG160" s="2445"/>
      <c r="AH160" s="2378"/>
      <c r="AI160" s="2378"/>
      <c r="AJ160" s="2378"/>
      <c r="AK160" s="2378"/>
      <c r="AL160" s="2380">
        <f t="shared" si="19"/>
        <v>9.4741810000000004E-4</v>
      </c>
      <c r="AM160" s="145">
        <f t="shared" si="69"/>
        <v>0.29848407240500002</v>
      </c>
      <c r="AN160" s="2368">
        <f t="shared" si="20"/>
        <v>7.2404999995612229E-8</v>
      </c>
    </row>
    <row r="161" spans="1:40" x14ac:dyDescent="0.25">
      <c r="A161" s="2598" t="str">
        <f>'HVAC Deemed Table'!C1184</f>
        <v>351950_2019_12_</v>
      </c>
      <c r="B161" s="2425" t="str">
        <f>'HVAC Deemed Table'!G1184</f>
        <v>Cooling Res</v>
      </c>
      <c r="C161" s="2425" t="str">
        <f>'HVAC Deemed Table'!G1185</f>
        <v>Heating Res</v>
      </c>
      <c r="D161" s="245"/>
      <c r="E161" s="245"/>
      <c r="F161" s="245" t="str">
        <f>'HVAC Deemed Table'!E1184</f>
        <v>DFHP - SEER 20 MF heat pump base</v>
      </c>
      <c r="G161" s="745" t="str">
        <f>'HVAC Deemed Table'!D1184</f>
        <v>MF</v>
      </c>
      <c r="H161" s="2420">
        <f t="shared" si="107"/>
        <v>1629.81</v>
      </c>
      <c r="I161" s="2420">
        <f t="shared" si="108"/>
        <v>0</v>
      </c>
      <c r="J161" s="2452">
        <f>'HVAC Deemed Table'!F1184</f>
        <v>639.09</v>
      </c>
      <c r="K161" s="2452">
        <f>'HVAC Deemed Table'!F1185</f>
        <v>990.72</v>
      </c>
      <c r="L161" s="2452"/>
      <c r="M161" s="2452"/>
      <c r="N161" s="2421">
        <f t="shared" si="109"/>
        <v>0.60548500000000005</v>
      </c>
      <c r="O161" s="2421">
        <f t="shared" si="110"/>
        <v>0</v>
      </c>
      <c r="P161" s="2412">
        <f>'HVAC Deemed Table'!I1184</f>
        <v>0.60548500000000005</v>
      </c>
      <c r="Q161" s="2412">
        <f>'HVAC Deemed Table'!I1185</f>
        <v>0</v>
      </c>
      <c r="R161" s="2412"/>
      <c r="S161" s="2412"/>
      <c r="T161" s="2413"/>
      <c r="U161" s="2413"/>
      <c r="V161" s="2413">
        <f t="shared" si="111"/>
        <v>0.60548500000000005</v>
      </c>
      <c r="W161" s="2460">
        <f>'HVAC Deemed Table'!J1184</f>
        <v>18</v>
      </c>
      <c r="X161" s="2460"/>
      <c r="Y161" s="94">
        <f t="shared" si="24"/>
        <v>18</v>
      </c>
      <c r="Z161" s="2414">
        <f>'HVAC Deemed Table'!BB1184</f>
        <v>0.52863614821545901</v>
      </c>
      <c r="AA161" s="2417">
        <f>'HVAC Deemed Table'!K1184</f>
        <v>3176.6</v>
      </c>
      <c r="AB161" s="2418">
        <f t="shared" si="25"/>
        <v>1584.9604421153629</v>
      </c>
      <c r="AC161" s="2418">
        <f t="shared" si="26"/>
        <v>0</v>
      </c>
      <c r="AD161" s="2445">
        <f>'HVAC Deemed Table'!BD1184</f>
        <v>1127.2318478346656</v>
      </c>
      <c r="AE161" s="2445">
        <f>'HVAC Deemed Table'!BD1185</f>
        <v>457.72859428069728</v>
      </c>
      <c r="AF161" s="2445"/>
      <c r="AG161" s="2445"/>
      <c r="AH161" s="2378"/>
      <c r="AI161" s="2378"/>
      <c r="AJ161" s="2378"/>
      <c r="AK161" s="2378"/>
      <c r="AL161" s="2380">
        <f t="shared" ref="AL161:AL224" si="112">VLOOKUP(B161,$AR$10:$AS$30,2,FALSE)</f>
        <v>9.4741810000000004E-4</v>
      </c>
      <c r="AM161" s="145">
        <f t="shared" si="69"/>
        <v>0.60548543352900008</v>
      </c>
      <c r="AN161" s="2368">
        <f t="shared" ref="AN161:AN224" si="113">AM161-N161</f>
        <v>4.3352900003235106E-7</v>
      </c>
    </row>
    <row r="162" spans="1:40" x14ac:dyDescent="0.25">
      <c r="A162" s="2598" t="str">
        <f>'HVAC Deemed Table'!C1186</f>
        <v>351951_2019_12_</v>
      </c>
      <c r="B162" s="2425" t="str">
        <f>'HVAC Deemed Table'!G1186</f>
        <v>Cooling Res</v>
      </c>
      <c r="C162" s="2425" t="str">
        <f>'HVAC Deemed Table'!G1187</f>
        <v>Heating Res</v>
      </c>
      <c r="D162" s="245"/>
      <c r="E162" s="245"/>
      <c r="F162" s="245" t="str">
        <f>'HVAC Deemed Table'!E1186</f>
        <v>DFHP - SEER 20 MF heat pump base_CompE</v>
      </c>
      <c r="G162" s="745" t="str">
        <f>'HVAC Deemed Table'!D1186</f>
        <v>MFc</v>
      </c>
      <c r="H162" s="2420">
        <f t="shared" si="107"/>
        <v>916.33</v>
      </c>
      <c r="I162" s="2420">
        <f t="shared" si="108"/>
        <v>0</v>
      </c>
      <c r="J162" s="2452">
        <f>'HVAC Deemed Table'!F1186</f>
        <v>464.79</v>
      </c>
      <c r="K162" s="2452">
        <f>'HVAC Deemed Table'!F1187</f>
        <v>451.54</v>
      </c>
      <c r="L162" s="2452"/>
      <c r="M162" s="2452"/>
      <c r="N162" s="2421">
        <f t="shared" si="109"/>
        <v>0.44035000000000002</v>
      </c>
      <c r="O162" s="2421">
        <f t="shared" si="110"/>
        <v>0</v>
      </c>
      <c r="P162" s="2412">
        <f>'HVAC Deemed Table'!I1186</f>
        <v>0.44035000000000002</v>
      </c>
      <c r="Q162" s="2412">
        <f>'HVAC Deemed Table'!I1187</f>
        <v>0</v>
      </c>
      <c r="R162" s="2412"/>
      <c r="S162" s="2412"/>
      <c r="T162" s="2413"/>
      <c r="U162" s="2413"/>
      <c r="V162" s="2413">
        <f t="shared" si="111"/>
        <v>0.44035000000000002</v>
      </c>
      <c r="W162" s="2460">
        <f>'HVAC Deemed Table'!J1186</f>
        <v>18</v>
      </c>
      <c r="X162" s="2460"/>
      <c r="Y162" s="94">
        <f t="shared" si="24"/>
        <v>18</v>
      </c>
      <c r="Z162" s="2414">
        <f>'HVAC Deemed Table'!BB1186</f>
        <v>0.34301134771560521</v>
      </c>
      <c r="AA162" s="2417">
        <f>'HVAC Deemed Table'!K1186</f>
        <v>3176.6</v>
      </c>
      <c r="AB162" s="2418">
        <f t="shared" si="25"/>
        <v>1028.4189213340173</v>
      </c>
      <c r="AC162" s="2418">
        <f t="shared" si="26"/>
        <v>0</v>
      </c>
      <c r="AD162" s="2445">
        <f>'HVAC Deemed Table'!BD1186</f>
        <v>819.8001698588215</v>
      </c>
      <c r="AE162" s="2445">
        <f>'HVAC Deemed Table'!BD1187</f>
        <v>208.61875147519586</v>
      </c>
      <c r="AF162" s="2445"/>
      <c r="AG162" s="2445"/>
      <c r="AH162" s="2378"/>
      <c r="AI162" s="2378"/>
      <c r="AJ162" s="2378"/>
      <c r="AK162" s="2378"/>
      <c r="AL162" s="2380">
        <f t="shared" si="112"/>
        <v>9.4741810000000004E-4</v>
      </c>
      <c r="AM162" s="145">
        <f t="shared" si="69"/>
        <v>0.44035045869900002</v>
      </c>
      <c r="AN162" s="2368">
        <f t="shared" si="113"/>
        <v>4.5869900000550246E-7</v>
      </c>
    </row>
    <row r="163" spans="1:40" x14ac:dyDescent="0.25">
      <c r="A163" s="2598" t="str">
        <f>'HVAC Deemed Table'!C1188</f>
        <v>352000_2019_12_</v>
      </c>
      <c r="B163" s="2425" t="str">
        <f>'HVAC Deemed Table'!G1188</f>
        <v>Cooling Res</v>
      </c>
      <c r="C163" s="2425" t="str">
        <f>'HVAC Deemed Table'!G1189</f>
        <v>Heating Res</v>
      </c>
      <c r="D163" s="245"/>
      <c r="E163" s="245"/>
      <c r="F163" s="245" t="str">
        <f>'HVAC Deemed Table'!E1188</f>
        <v>DFHP - SEER 21 MF heat pump base</v>
      </c>
      <c r="G163" s="745" t="str">
        <f>'HVAC Deemed Table'!D1188</f>
        <v>MF</v>
      </c>
      <c r="H163" s="2420">
        <f t="shared" si="107"/>
        <v>2255.2200000000003</v>
      </c>
      <c r="I163" s="2420">
        <f t="shared" si="108"/>
        <v>0</v>
      </c>
      <c r="J163" s="2452">
        <f>'HVAC Deemed Table'!F1188</f>
        <v>871.48</v>
      </c>
      <c r="K163" s="2452">
        <f>'HVAC Deemed Table'!F1189</f>
        <v>1383.74</v>
      </c>
      <c r="L163" s="2452"/>
      <c r="M163" s="2452"/>
      <c r="N163" s="2421">
        <f t="shared" si="109"/>
        <v>0.82565599999999995</v>
      </c>
      <c r="O163" s="2421">
        <f t="shared" si="110"/>
        <v>0</v>
      </c>
      <c r="P163" s="2412">
        <f>'HVAC Deemed Table'!I1188</f>
        <v>0.82565599999999995</v>
      </c>
      <c r="Q163" s="2412">
        <f>'HVAC Deemed Table'!I1189</f>
        <v>0</v>
      </c>
      <c r="R163" s="2412"/>
      <c r="S163" s="2412"/>
      <c r="T163" s="2413"/>
      <c r="U163" s="2413"/>
      <c r="V163" s="2413">
        <f t="shared" si="111"/>
        <v>0.82565599999999995</v>
      </c>
      <c r="W163" s="2460">
        <f>'HVAC Deemed Table'!J1188</f>
        <v>18</v>
      </c>
      <c r="X163" s="2460"/>
      <c r="Y163" s="94">
        <f t="shared" si="24"/>
        <v>18</v>
      </c>
      <c r="Z163" s="2414">
        <f>'HVAC Deemed Table'!BB1188</f>
        <v>0.63583826644202834</v>
      </c>
      <c r="AA163" s="2417">
        <f>'HVAC Deemed Table'!K1188</f>
        <v>3626.6</v>
      </c>
      <c r="AB163" s="2418">
        <f t="shared" si="25"/>
        <v>2176.4332770917035</v>
      </c>
      <c r="AC163" s="2418">
        <f t="shared" si="26"/>
        <v>0</v>
      </c>
      <c r="AD163" s="2445">
        <f>'HVAC Deemed Table'!BD1188</f>
        <v>1537.1231137256948</v>
      </c>
      <c r="AE163" s="2445">
        <f>'HVAC Deemed Table'!BD1189</f>
        <v>639.31016336600862</v>
      </c>
      <c r="AF163" s="2445"/>
      <c r="AG163" s="2445"/>
      <c r="AH163" s="2378"/>
      <c r="AI163" s="2378"/>
      <c r="AJ163" s="2378"/>
      <c r="AK163" s="2378"/>
      <c r="AL163" s="2380">
        <f t="shared" si="112"/>
        <v>9.4741810000000004E-4</v>
      </c>
      <c r="AM163" s="145">
        <f t="shared" si="69"/>
        <v>0.82565592578800007</v>
      </c>
      <c r="AN163" s="2368">
        <f t="shared" si="113"/>
        <v>-7.4211999878670554E-8</v>
      </c>
    </row>
    <row r="164" spans="1:40" x14ac:dyDescent="0.25">
      <c r="A164" s="2598" t="str">
        <f>'HVAC Deemed Table'!C1190</f>
        <v>352001_2019_12_</v>
      </c>
      <c r="B164" s="2425" t="str">
        <f>'HVAC Deemed Table'!G1190</f>
        <v>Cooling Res</v>
      </c>
      <c r="C164" s="2425" t="str">
        <f>'HVAC Deemed Table'!G1191</f>
        <v>Heating Res</v>
      </c>
      <c r="D164" s="245"/>
      <c r="E164" s="245"/>
      <c r="F164" s="245" t="str">
        <f>'HVAC Deemed Table'!E1190</f>
        <v>DFHP - SEER 21 MF heat pump base_CompE</v>
      </c>
      <c r="G164" s="745" t="str">
        <f>'HVAC Deemed Table'!D1190</f>
        <v>MFc</v>
      </c>
      <c r="H164" s="2420">
        <f t="shared" si="107"/>
        <v>1264.4699999999998</v>
      </c>
      <c r="I164" s="2420">
        <f t="shared" si="108"/>
        <v>0</v>
      </c>
      <c r="J164" s="2452">
        <f>'HVAC Deemed Table'!F1190</f>
        <v>633.80999999999995</v>
      </c>
      <c r="K164" s="2452">
        <f>'HVAC Deemed Table'!F1191</f>
        <v>630.66</v>
      </c>
      <c r="L164" s="2452"/>
      <c r="M164" s="2452"/>
      <c r="N164" s="2421">
        <f t="shared" si="109"/>
        <v>0.60048299999999999</v>
      </c>
      <c r="O164" s="2421">
        <f t="shared" si="110"/>
        <v>0</v>
      </c>
      <c r="P164" s="2412">
        <f>'HVAC Deemed Table'!I1190</f>
        <v>0.60048299999999999</v>
      </c>
      <c r="Q164" s="2412">
        <f>'HVAC Deemed Table'!I1191</f>
        <v>0</v>
      </c>
      <c r="R164" s="2412"/>
      <c r="S164" s="2412"/>
      <c r="T164" s="2413"/>
      <c r="U164" s="2413"/>
      <c r="V164" s="2413">
        <f t="shared" si="111"/>
        <v>0.60048299999999999</v>
      </c>
      <c r="W164" s="2460">
        <f>'HVAC Deemed Table'!J1190</f>
        <v>18</v>
      </c>
      <c r="X164" s="2460"/>
      <c r="Y164" s="94">
        <f t="shared" si="24"/>
        <v>18</v>
      </c>
      <c r="Z164" s="2414">
        <f>'HVAC Deemed Table'!BB1190</f>
        <v>0.4117208993065255</v>
      </c>
      <c r="AA164" s="2417">
        <f>'HVAC Deemed Table'!K1190</f>
        <v>3626.6</v>
      </c>
      <c r="AB164" s="2418">
        <f t="shared" si="25"/>
        <v>1409.294019278004</v>
      </c>
      <c r="AC164" s="2418">
        <f t="shared" si="26"/>
        <v>0</v>
      </c>
      <c r="AD164" s="2445">
        <f>'HVAC Deemed Table'!BD1190</f>
        <v>1117.9189433038998</v>
      </c>
      <c r="AE164" s="2445">
        <f>'HVAC Deemed Table'!BD1191</f>
        <v>291.37507597410422</v>
      </c>
      <c r="AF164" s="2445"/>
      <c r="AG164" s="2445"/>
      <c r="AH164" s="2378"/>
      <c r="AI164" s="2378"/>
      <c r="AJ164" s="2378"/>
      <c r="AK164" s="2378"/>
      <c r="AL164" s="2380">
        <f t="shared" si="112"/>
        <v>9.4741810000000004E-4</v>
      </c>
      <c r="AM164" s="145">
        <f t="shared" si="69"/>
        <v>0.60048306596099998</v>
      </c>
      <c r="AN164" s="2368">
        <f t="shared" si="113"/>
        <v>6.596099999534033E-8</v>
      </c>
    </row>
    <row r="165" spans="1:40" x14ac:dyDescent="0.25">
      <c r="A165" s="2598" t="str">
        <f>'HVAC Deemed Table'!C1285</f>
        <v>352050_2019_12_</v>
      </c>
      <c r="B165" s="2425" t="str">
        <f>'HVAC Deemed Table'!G1285</f>
        <v>Cooling Res</v>
      </c>
      <c r="C165" s="2425" t="str">
        <f>'HVAC Deemed Table'!G1286</f>
        <v>Heating RES</v>
      </c>
      <c r="D165" s="245"/>
      <c r="E165" s="245"/>
      <c r="F165" s="245" t="str">
        <f>'HVAC Deemed Table'!E1285</f>
        <v>GSHP - EER 23 - replace electric furnace / CAC - Cooling</v>
      </c>
      <c r="G165" s="745" t="str">
        <f>'HVAC Deemed Table'!D1285</f>
        <v>SF</v>
      </c>
      <c r="H165" s="2420">
        <f t="shared" ref="H165:H168" si="114">J165+K165</f>
        <v>17650.86</v>
      </c>
      <c r="I165" s="2420">
        <f t="shared" ref="I165:I168" si="115">L165+M165</f>
        <v>0</v>
      </c>
      <c r="J165" s="2452">
        <f>'HVAC Deemed Table'!F1285</f>
        <v>1417.18</v>
      </c>
      <c r="K165" s="2452">
        <f>'HVAC Deemed Table'!F1286</f>
        <v>16233.68</v>
      </c>
      <c r="L165" s="2452"/>
      <c r="M165" s="2452"/>
      <c r="N165" s="2421">
        <f t="shared" ref="N165:N168" si="116">P165+Q165</f>
        <v>1.342662</v>
      </c>
      <c r="O165" s="2421">
        <f t="shared" ref="O165:O168" si="117">R165+S165</f>
        <v>0</v>
      </c>
      <c r="P165" s="2412">
        <f>'HVAC Deemed Table'!I1285</f>
        <v>1.342662</v>
      </c>
      <c r="Q165" s="2412">
        <f>'HVAC Deemed Table'!I1286</f>
        <v>0</v>
      </c>
      <c r="R165" s="2412"/>
      <c r="S165" s="2412"/>
      <c r="T165" s="2413"/>
      <c r="U165" s="2413"/>
      <c r="V165" s="2413">
        <f t="shared" ref="V165:V168" si="118">N165</f>
        <v>1.342662</v>
      </c>
      <c r="W165" s="2460">
        <f>'HVAC Deemed Table'!J1285</f>
        <v>18</v>
      </c>
      <c r="X165" s="2460"/>
      <c r="Y165" s="94">
        <f t="shared" si="24"/>
        <v>18</v>
      </c>
      <c r="Z165" s="2414">
        <f>'HVAC Deemed Table'!BB1285</f>
        <v>2.2460983444586695</v>
      </c>
      <c r="AA165" s="2417">
        <f>'HVAC Deemed Table'!K1285</f>
        <v>4717</v>
      </c>
      <c r="AB165" s="2418">
        <f t="shared" si="25"/>
        <v>9999.8545453624756</v>
      </c>
      <c r="AC165" s="2418">
        <f t="shared" si="26"/>
        <v>0</v>
      </c>
      <c r="AD165" s="2445">
        <f>'HVAC Deemed Table'!BD1285</f>
        <v>2499.6329626724428</v>
      </c>
      <c r="AE165" s="2445">
        <f>'HVAC Deemed Table'!BD1286</f>
        <v>7500.2215826900338</v>
      </c>
      <c r="AF165" s="2445"/>
      <c r="AG165" s="2445"/>
      <c r="AH165" s="2378"/>
      <c r="AI165" s="2378"/>
      <c r="AJ165" s="2378"/>
      <c r="AK165" s="2378"/>
      <c r="AL165" s="2380">
        <f t="shared" si="112"/>
        <v>9.4741810000000004E-4</v>
      </c>
      <c r="AM165" s="145">
        <f t="shared" si="69"/>
        <v>1.3426619829580002</v>
      </c>
      <c r="AN165" s="2368">
        <f t="shared" si="113"/>
        <v>-1.7041999811340247E-8</v>
      </c>
    </row>
    <row r="166" spans="1:40" x14ac:dyDescent="0.25">
      <c r="A166" s="2598" t="str">
        <f>'HVAC Deemed Table'!C1287</f>
        <v>352100_2019_12_</v>
      </c>
      <c r="B166" s="2425" t="str">
        <f>'HVAC Deemed Table'!G1287</f>
        <v>Cooling Res</v>
      </c>
      <c r="C166" s="2425" t="str">
        <f>'HVAC Deemed Table'!G1288</f>
        <v>Heating RES</v>
      </c>
      <c r="D166" s="2425" t="str">
        <f>'HVAC Deemed Table'!G1289</f>
        <v>Cooling Res ER2</v>
      </c>
      <c r="E166" s="2425" t="str">
        <f>'HVAC Deemed Table'!G1290</f>
        <v>Heating RES ER2</v>
      </c>
      <c r="F166" s="245" t="str">
        <f>'HVAC Deemed Table'!E1287</f>
        <v>GSHP - EER 23 - replace electric furnace / CAC ER1- Cooling</v>
      </c>
      <c r="G166" s="745" t="str">
        <f>'HVAC Deemed Table'!D1287</f>
        <v>SF</v>
      </c>
      <c r="H166" s="2420">
        <f t="shared" si="114"/>
        <v>20466.509999999998</v>
      </c>
      <c r="I166" s="2420">
        <f t="shared" si="115"/>
        <v>17210.739999999998</v>
      </c>
      <c r="J166" s="2452">
        <f>'HVAC Deemed Table'!F1287</f>
        <v>4722.29</v>
      </c>
      <c r="K166" s="2452">
        <f>'HVAC Deemed Table'!F1288</f>
        <v>15744.22</v>
      </c>
      <c r="L166" s="2452">
        <f>'HVAC Deemed Table'!F1289</f>
        <v>1466.52</v>
      </c>
      <c r="M166" s="2452">
        <f>'HVAC Deemed Table'!F1290</f>
        <v>15744.22</v>
      </c>
      <c r="N166" s="2421">
        <f t="shared" si="116"/>
        <v>4.4739829999999996</v>
      </c>
      <c r="O166" s="2421">
        <f t="shared" si="117"/>
        <v>1.389408</v>
      </c>
      <c r="P166" s="2412">
        <f>'HVAC Deemed Table'!I1287</f>
        <v>4.4739829999999996</v>
      </c>
      <c r="Q166" s="2412">
        <f>'HVAC Deemed Table'!I1288</f>
        <v>0</v>
      </c>
      <c r="R166" s="2412">
        <f>'HVAC Deemed Table'!I1289</f>
        <v>1.389408</v>
      </c>
      <c r="S166" s="2412">
        <f>'HVAC Deemed Table'!I1290</f>
        <v>0</v>
      </c>
      <c r="T166" s="2413"/>
      <c r="U166" s="2413"/>
      <c r="V166" s="2424">
        <f>O166</f>
        <v>1.389408</v>
      </c>
      <c r="W166" s="2460">
        <f>'HVAC Deemed Table'!J1287</f>
        <v>6</v>
      </c>
      <c r="X166" s="2460">
        <f>'HVAC Deemed Table'!J1289</f>
        <v>12</v>
      </c>
      <c r="Y166" s="94">
        <f t="shared" si="24"/>
        <v>18</v>
      </c>
      <c r="Z166" s="2414">
        <f>'HVAC Deemed Table'!BB1287</f>
        <v>2.3720532215267811</v>
      </c>
      <c r="AA166" s="2417">
        <f>'HVAC Deemed Table'!K1287</f>
        <v>5250</v>
      </c>
      <c r="AB166" s="2418">
        <f t="shared" si="25"/>
        <v>5364.7281315739656</v>
      </c>
      <c r="AC166" s="2418">
        <f t="shared" si="26"/>
        <v>6389.1929755667616</v>
      </c>
      <c r="AD166" s="2445">
        <f>'HVAC Deemed Table'!BD1287</f>
        <v>2745.9368477863559</v>
      </c>
      <c r="AE166" s="2445">
        <f>'HVAC Deemed Table'!BD1288</f>
        <v>2618.7912837876092</v>
      </c>
      <c r="AF166" s="2445">
        <f>'HVAC Deemed Table'!BD1289</f>
        <v>1733.9010787927189</v>
      </c>
      <c r="AG166" s="2445">
        <f>'HVAC Deemed Table'!BD1290</f>
        <v>4655.2918967740425</v>
      </c>
      <c r="AH166" s="2378"/>
      <c r="AI166" s="2378"/>
      <c r="AJ166" s="2378"/>
      <c r="AK166" s="2378"/>
      <c r="AL166" s="2380">
        <f t="shared" si="112"/>
        <v>9.4741810000000004E-4</v>
      </c>
      <c r="AM166" s="145">
        <f t="shared" si="69"/>
        <v>4.4739830194490002</v>
      </c>
      <c r="AN166" s="2368">
        <f t="shared" si="113"/>
        <v>1.9449000632221214E-8</v>
      </c>
    </row>
    <row r="167" spans="1:40" x14ac:dyDescent="0.25">
      <c r="A167" s="2598" t="str">
        <f>'HVAC Deemed Table'!C1291</f>
        <v>352200_2019_12_</v>
      </c>
      <c r="B167" s="2425" t="str">
        <f>'HVAC Deemed Table'!G1291</f>
        <v>Cooling Res</v>
      </c>
      <c r="C167" s="2425" t="str">
        <f>'HVAC Deemed Table'!G1292</f>
        <v>Heating RES</v>
      </c>
      <c r="D167" s="2425" t="str">
        <f>'HVAC Deemed Table'!G1293</f>
        <v>Cooling Res ER2</v>
      </c>
      <c r="E167" s="2425" t="str">
        <f>'HVAC Deemed Table'!G1294</f>
        <v>Heating RES ER2</v>
      </c>
      <c r="F167" s="245" t="str">
        <f>'HVAC Deemed Table'!E1291</f>
        <v>GSHP EER 23 ER1 - Cooling</v>
      </c>
      <c r="G167" s="745" t="str">
        <f>'HVAC Deemed Table'!D1291</f>
        <v>SF</v>
      </c>
      <c r="H167" s="2420">
        <f t="shared" si="114"/>
        <v>5000.7700000000004</v>
      </c>
      <c r="I167" s="2420">
        <f t="shared" si="115"/>
        <v>3688.5699999999997</v>
      </c>
      <c r="J167" s="2452">
        <f>'HVAC Deemed Table'!F1291</f>
        <v>2085.6</v>
      </c>
      <c r="K167" s="2452">
        <f>'HVAC Deemed Table'!F1292</f>
        <v>2915.17</v>
      </c>
      <c r="L167" s="2452">
        <f>'HVAC Deemed Table'!F1293</f>
        <v>1542.01</v>
      </c>
      <c r="M167" s="2452">
        <f>'HVAC Deemed Table'!F1294</f>
        <v>2146.56</v>
      </c>
      <c r="N167" s="2421">
        <f t="shared" si="116"/>
        <v>1.975935</v>
      </c>
      <c r="O167" s="2421">
        <f t="shared" si="117"/>
        <v>1.460928</v>
      </c>
      <c r="P167" s="2412">
        <f>'HVAC Deemed Table'!I1291</f>
        <v>1.975935</v>
      </c>
      <c r="Q167" s="2412">
        <f>'HVAC Deemed Table'!I1292</f>
        <v>0</v>
      </c>
      <c r="R167" s="2412">
        <f>'HVAC Deemed Table'!I1293</f>
        <v>1.460928</v>
      </c>
      <c r="S167" s="2412">
        <f>'HVAC Deemed Table'!I1294</f>
        <v>0</v>
      </c>
      <c r="T167" s="2413"/>
      <c r="U167" s="2413"/>
      <c r="V167" s="2424">
        <f>O167</f>
        <v>1.460928</v>
      </c>
      <c r="W167" s="2460">
        <f>'HVAC Deemed Table'!J1291</f>
        <v>6</v>
      </c>
      <c r="X167" s="2460">
        <f>'HVAC Deemed Table'!J1293</f>
        <v>12</v>
      </c>
      <c r="Y167" s="94">
        <f t="shared" si="24"/>
        <v>18</v>
      </c>
      <c r="Z167" s="2414">
        <f>'HVAC Deemed Table'!BB1291</f>
        <v>0.90610012859652256</v>
      </c>
      <c r="AA167" s="2417">
        <f>'HVAC Deemed Table'!K1291</f>
        <v>4859</v>
      </c>
      <c r="AB167" s="2418">
        <f t="shared" si="25"/>
        <v>1697.6338117100104</v>
      </c>
      <c r="AC167" s="2418">
        <f t="shared" si="26"/>
        <v>2457.8551216080664</v>
      </c>
      <c r="AD167" s="2445">
        <f>'HVAC Deemed Table'!BD1291</f>
        <v>1212.7433702172514</v>
      </c>
      <c r="AE167" s="2445">
        <f>'HVAC Deemed Table'!BD1292</f>
        <v>484.89044149275895</v>
      </c>
      <c r="AF167" s="2445">
        <f>'HVAC Deemed Table'!BD1293</f>
        <v>1823.1546808152366</v>
      </c>
      <c r="AG167" s="2445">
        <f>'HVAC Deemed Table'!BD1294</f>
        <v>634.70044079282991</v>
      </c>
      <c r="AH167" s="2378"/>
      <c r="AI167" s="2378"/>
      <c r="AJ167" s="2378"/>
      <c r="AK167" s="2378"/>
      <c r="AL167" s="2380">
        <f t="shared" si="112"/>
        <v>9.4741810000000004E-4</v>
      </c>
      <c r="AM167" s="145">
        <f t="shared" si="69"/>
        <v>1.9759351893599999</v>
      </c>
      <c r="AN167" s="2368">
        <f t="shared" si="113"/>
        <v>1.893599999025497E-7</v>
      </c>
    </row>
    <row r="168" spans="1:40" x14ac:dyDescent="0.25">
      <c r="A168" s="2598" t="str">
        <f>'HVAC Deemed Table'!C1295</f>
        <v>352250_2019_12_</v>
      </c>
      <c r="B168" s="2425" t="str">
        <f>'HVAC Deemed Table'!G1295</f>
        <v>Cooling Res</v>
      </c>
      <c r="C168" s="2425" t="str">
        <f>'HVAC Deemed Table'!G1296</f>
        <v>Heating RES</v>
      </c>
      <c r="D168" s="245"/>
      <c r="E168" s="245"/>
      <c r="F168" s="245" t="str">
        <f>'HVAC Deemed Table'!E1295</f>
        <v>GSHP EER 23 Replace at Fail GSHP</v>
      </c>
      <c r="G168" s="745" t="str">
        <f>'HVAC Deemed Table'!D1295</f>
        <v>SF</v>
      </c>
      <c r="H168" s="2420">
        <f t="shared" si="114"/>
        <v>3451.44</v>
      </c>
      <c r="I168" s="2420">
        <f t="shared" si="115"/>
        <v>0</v>
      </c>
      <c r="J168" s="2452">
        <f>'HVAC Deemed Table'!F1295</f>
        <v>1442.88</v>
      </c>
      <c r="K168" s="2452">
        <f>'HVAC Deemed Table'!F1296</f>
        <v>2008.56</v>
      </c>
      <c r="L168" s="2452"/>
      <c r="M168" s="2452"/>
      <c r="N168" s="2421">
        <f t="shared" si="116"/>
        <v>1.367011</v>
      </c>
      <c r="O168" s="2421">
        <f t="shared" si="117"/>
        <v>0</v>
      </c>
      <c r="P168" s="2412">
        <f>'HVAC Deemed Table'!I1295</f>
        <v>1.367011</v>
      </c>
      <c r="Q168" s="2412">
        <f>'HVAC Deemed Table'!I1296</f>
        <v>0</v>
      </c>
      <c r="R168" s="2412"/>
      <c r="S168" s="2412"/>
      <c r="T168" s="2413"/>
      <c r="U168" s="2413"/>
      <c r="V168" s="2413">
        <f t="shared" si="118"/>
        <v>1.367011</v>
      </c>
      <c r="W168" s="2460">
        <f>'HVAC Deemed Table'!J1295</f>
        <v>18</v>
      </c>
      <c r="X168" s="2460"/>
      <c r="Y168" s="94">
        <f t="shared" ref="Y168:Y234" si="119">X168+W168</f>
        <v>18</v>
      </c>
      <c r="Z168" s="2414">
        <f>'HVAC Deemed Table'!BB1295</f>
        <v>1.1498720010685797</v>
      </c>
      <c r="AA168" s="2417">
        <f>'HVAC Deemed Table'!K1295</f>
        <v>3200</v>
      </c>
      <c r="AB168" s="2418">
        <f t="shared" si="25"/>
        <v>3472.9498852472434</v>
      </c>
      <c r="AC168" s="2418">
        <f t="shared" si="26"/>
        <v>0</v>
      </c>
      <c r="AD168" s="2445">
        <f>'HVAC Deemed Table'!BD1295</f>
        <v>2544.9628199528743</v>
      </c>
      <c r="AE168" s="2445">
        <f>'HVAC Deemed Table'!BD1296</f>
        <v>927.98706529436902</v>
      </c>
      <c r="AF168" s="2445"/>
      <c r="AG168" s="2445"/>
      <c r="AH168" s="2378"/>
      <c r="AI168" s="2378"/>
      <c r="AJ168" s="2378"/>
      <c r="AK168" s="2378"/>
      <c r="AL168" s="2380">
        <f t="shared" si="112"/>
        <v>9.4741810000000004E-4</v>
      </c>
      <c r="AM168" s="145">
        <f t="shared" si="69"/>
        <v>1.3670106281280001</v>
      </c>
      <c r="AN168" s="2368">
        <f t="shared" si="113"/>
        <v>-3.7187199986021824E-7</v>
      </c>
    </row>
    <row r="169" spans="1:40" x14ac:dyDescent="0.25">
      <c r="A169" s="2598" t="str">
        <f>'HVAC Deemed Table'!C1388</f>
        <v>352300_2019_12_</v>
      </c>
      <c r="B169" s="2425" t="str">
        <f>'HVAC Deemed Table'!G1388</f>
        <v>Cooling Res</v>
      </c>
      <c r="C169" s="2425" t="str">
        <f>'HVAC Deemed Table'!G1389</f>
        <v>Heating Res</v>
      </c>
      <c r="D169" s="2425" t="str">
        <f>'HVAC Deemed Table'!G1390</f>
        <v>Cooling Res ER2</v>
      </c>
      <c r="E169" s="2425" t="str">
        <f>'HVAC Deemed Table'!G1391</f>
        <v>Heating Res ER2</v>
      </c>
      <c r="F169" s="245" t="str">
        <f>'HVAC Deemed Table'!E1388</f>
        <v>ASHP - SEER 15 ER Elec Resist Furnace: HVAC ER1</v>
      </c>
      <c r="G169" s="745" t="str">
        <f>'HVAC Deemed Table'!D1388</f>
        <v>SF</v>
      </c>
      <c r="H169" s="2420">
        <f t="shared" ref="H169" si="120">J169+K169</f>
        <v>10891.38</v>
      </c>
      <c r="I169" s="2420">
        <f t="shared" ref="I169" si="121">L169+M169</f>
        <v>9587.23</v>
      </c>
      <c r="J169" s="2452">
        <f>'HVAC Deemed Table'!F1388</f>
        <v>1628.99</v>
      </c>
      <c r="K169" s="2452">
        <f>'HVAC Deemed Table'!F1389</f>
        <v>9262.39</v>
      </c>
      <c r="L169" s="2452">
        <f>'HVAC Deemed Table'!F1390</f>
        <v>324.83999999999997</v>
      </c>
      <c r="M169" s="2452">
        <f>'HVAC Deemed Table'!F1391</f>
        <v>9262.39</v>
      </c>
      <c r="N169" s="2421">
        <f t="shared" ref="N169" si="122">P169+Q169</f>
        <v>1.5433349999999999</v>
      </c>
      <c r="O169" s="2421">
        <f t="shared" ref="O169" si="123">R169+S169</f>
        <v>0.307759</v>
      </c>
      <c r="P169" s="2412">
        <f>'HVAC Deemed Table'!I1388</f>
        <v>1.5433349999999999</v>
      </c>
      <c r="Q169" s="2412">
        <f>'HVAC Deemed Table'!I1389</f>
        <v>0</v>
      </c>
      <c r="R169" s="2412">
        <f>'HVAC Deemed Table'!I1390</f>
        <v>0.307759</v>
      </c>
      <c r="S169" s="2412">
        <f>'HVAC Deemed Table'!I1391</f>
        <v>0</v>
      </c>
      <c r="T169" s="2413"/>
      <c r="U169" s="2413"/>
      <c r="V169" s="2424">
        <f>O169</f>
        <v>0.307759</v>
      </c>
      <c r="W169" s="2460">
        <f>'HVAC Deemed Table'!J1388</f>
        <v>6</v>
      </c>
      <c r="X169" s="2460">
        <f>'HVAC Deemed Table'!J1390</f>
        <v>12</v>
      </c>
      <c r="Y169" s="94">
        <f t="shared" si="119"/>
        <v>18</v>
      </c>
      <c r="Z169" s="767">
        <f>'HVAC Deemed Table'!BB1388</f>
        <v>5.9688601965552106</v>
      </c>
      <c r="AA169" s="2419">
        <f>'HVAC Deemed Table'!K1388</f>
        <v>995.91981316470583</v>
      </c>
      <c r="AB169" s="2418">
        <f t="shared" si="25"/>
        <v>2487.8776727182531</v>
      </c>
      <c r="AC169" s="2418">
        <f t="shared" si="26"/>
        <v>3122.793522901864</v>
      </c>
      <c r="AD169" s="2445">
        <f>'HVAC Deemed Table'!BD1388</f>
        <v>947.23188657949765</v>
      </c>
      <c r="AE169" s="2445">
        <f>'HVAC Deemed Table'!BD1389</f>
        <v>1540.6457861387553</v>
      </c>
      <c r="AF169" s="2445">
        <f>'HVAC Deemed Table'!BD1390</f>
        <v>384.0659700754349</v>
      </c>
      <c r="AG169" s="2445">
        <f>'HVAC Deemed Table'!BD1391</f>
        <v>2738.727552826429</v>
      </c>
      <c r="AH169" s="2378"/>
      <c r="AI169" s="2378"/>
      <c r="AJ169" s="2378"/>
      <c r="AK169" s="2378"/>
      <c r="AL169" s="2380">
        <f t="shared" si="112"/>
        <v>9.4741810000000004E-4</v>
      </c>
      <c r="AM169" s="145">
        <f t="shared" si="69"/>
        <v>1.543334610719</v>
      </c>
      <c r="AN169" s="2368">
        <f t="shared" si="113"/>
        <v>-3.8928099987955989E-7</v>
      </c>
    </row>
    <row r="170" spans="1:40" x14ac:dyDescent="0.25">
      <c r="A170" s="2598" t="str">
        <f>'HVAC Deemed Table'!C1392</f>
        <v>352350_2019_12_</v>
      </c>
      <c r="B170" s="2425" t="str">
        <f>'HVAC Deemed Table'!G1392</f>
        <v>Cooling Res</v>
      </c>
      <c r="C170" s="2425" t="str">
        <f>'HVAC Deemed Table'!G1393</f>
        <v>Heating Res</v>
      </c>
      <c r="D170" s="2425" t="str">
        <f>'HVAC Deemed Table'!G1394</f>
        <v>Cooling Res ER2</v>
      </c>
      <c r="E170" s="2425" t="str">
        <f>'HVAC Deemed Table'!G1395</f>
        <v>Heating Res ER2</v>
      </c>
      <c r="F170" s="245" t="str">
        <f>'HVAC Deemed Table'!E1392</f>
        <v>ASHP - SEER 15 ER with ASHP: HVAC ER1</v>
      </c>
      <c r="G170" s="745" t="str">
        <f>'HVAC Deemed Table'!D1392</f>
        <v>SF</v>
      </c>
      <c r="H170" s="2420">
        <f t="shared" ref="H170" si="124">J170+K170</f>
        <v>3629.65</v>
      </c>
      <c r="I170" s="2420">
        <f t="shared" ref="I170" si="125">L170+M170</f>
        <v>564.86</v>
      </c>
      <c r="J170" s="2452">
        <f>'HVAC Deemed Table'!F1392</f>
        <v>1647.18</v>
      </c>
      <c r="K170" s="2452">
        <f>'HVAC Deemed Table'!F1393</f>
        <v>1982.47</v>
      </c>
      <c r="L170" s="2452">
        <f>'HVAC Deemed Table'!F1394</f>
        <v>161.66</v>
      </c>
      <c r="M170" s="2452">
        <f>'HVAC Deemed Table'!F1395</f>
        <v>403.2</v>
      </c>
      <c r="N170" s="2421">
        <f t="shared" ref="N170" si="126">P170+Q170</f>
        <v>1.560568</v>
      </c>
      <c r="O170" s="2421">
        <f t="shared" ref="O170" si="127">R170+S170</f>
        <v>0.15315999999999999</v>
      </c>
      <c r="P170" s="2412">
        <f>'HVAC Deemed Table'!I1392</f>
        <v>1.560568</v>
      </c>
      <c r="Q170" s="2412">
        <f>'HVAC Deemed Table'!I1393</f>
        <v>0</v>
      </c>
      <c r="R170" s="2412">
        <f>'HVAC Deemed Table'!I1394</f>
        <v>0.15315999999999999</v>
      </c>
      <c r="S170" s="2412">
        <f>'HVAC Deemed Table'!I1395</f>
        <v>0</v>
      </c>
      <c r="T170" s="2413"/>
      <c r="U170" s="2413"/>
      <c r="V170" s="2424">
        <f>O170</f>
        <v>0.15315999999999999</v>
      </c>
      <c r="W170" s="2460">
        <f>'HVAC Deemed Table'!J1392</f>
        <v>6</v>
      </c>
      <c r="X170" s="2460">
        <f>'HVAC Deemed Table'!J1394</f>
        <v>12</v>
      </c>
      <c r="Y170" s="94">
        <f t="shared" si="119"/>
        <v>18</v>
      </c>
      <c r="Z170" s="767">
        <f>'HVAC Deemed Table'!BB1392</f>
        <v>1.6877780137738956</v>
      </c>
      <c r="AA170" s="2419">
        <f>'HVAC Deemed Table'!K1392</f>
        <v>1003.0879491629616</v>
      </c>
      <c r="AB170" s="2418">
        <f t="shared" si="25"/>
        <v>1287.5602656114129</v>
      </c>
      <c r="AC170" s="2418">
        <f t="shared" si="26"/>
        <v>310.35364328787318</v>
      </c>
      <c r="AD170" s="2445">
        <f>'HVAC Deemed Table'!BD1392</f>
        <v>957.80908350328548</v>
      </c>
      <c r="AE170" s="2445">
        <f>'HVAC Deemed Table'!BD1393</f>
        <v>329.75118210812741</v>
      </c>
      <c r="AF170" s="2445">
        <f>'HVAC Deemed Table'!BD1394</f>
        <v>191.13441916757421</v>
      </c>
      <c r="AG170" s="2445">
        <f>'HVAC Deemed Table'!BD1395</f>
        <v>119.21922412029899</v>
      </c>
      <c r="AH170" s="2378"/>
      <c r="AI170" s="2378"/>
      <c r="AJ170" s="2378"/>
      <c r="AK170" s="2378"/>
      <c r="AL170" s="2380">
        <f t="shared" si="112"/>
        <v>9.4741810000000004E-4</v>
      </c>
      <c r="AM170" s="145">
        <f t="shared" si="69"/>
        <v>1.5605681459580001</v>
      </c>
      <c r="AN170" s="2368">
        <f t="shared" si="113"/>
        <v>1.4595800013061933E-7</v>
      </c>
    </row>
    <row r="171" spans="1:40" x14ac:dyDescent="0.25">
      <c r="A171" s="2598" t="str">
        <f>'HVAC Deemed Table'!C1396</f>
        <v>352400_2019_12_</v>
      </c>
      <c r="B171" s="2425" t="str">
        <f>'HVAC Deemed Table'!G1396</f>
        <v>Cooling Res</v>
      </c>
      <c r="C171" s="2425" t="str">
        <f>'HVAC Deemed Table'!G1397</f>
        <v>Heating Res</v>
      </c>
      <c r="D171" s="245"/>
      <c r="E171" s="245"/>
      <c r="F171" s="245" t="str">
        <f>'HVAC Deemed Table'!E1396</f>
        <v>ASHP-  SEER 15 Replace at Fail Elec Resist Furnace: HVAC</v>
      </c>
      <c r="G171" s="745" t="str">
        <f>'HVAC Deemed Table'!D1396</f>
        <v>SF</v>
      </c>
      <c r="H171" s="2420">
        <f t="shared" ref="H171" si="128">J171+K171</f>
        <v>9448.16</v>
      </c>
      <c r="I171" s="2420">
        <f t="shared" ref="I171" si="129">L171+M171</f>
        <v>0</v>
      </c>
      <c r="J171" s="2452">
        <f>'HVAC Deemed Table'!F1396</f>
        <v>320.36</v>
      </c>
      <c r="K171" s="2452">
        <f>'HVAC Deemed Table'!F1397</f>
        <v>9127.7999999999993</v>
      </c>
      <c r="L171" s="2452"/>
      <c r="M171" s="2452"/>
      <c r="N171" s="2421">
        <f t="shared" ref="N171" si="130">P171+Q171</f>
        <v>0.30351499999999998</v>
      </c>
      <c r="O171" s="2421">
        <f t="shared" ref="O171" si="131">R171+S171</f>
        <v>0</v>
      </c>
      <c r="P171" s="2412">
        <f>'HVAC Deemed Table'!I1396</f>
        <v>0.30351499999999998</v>
      </c>
      <c r="Q171" s="2412">
        <f>'HVAC Deemed Table'!I1397</f>
        <v>0</v>
      </c>
      <c r="R171" s="2412"/>
      <c r="S171" s="2412"/>
      <c r="T171" s="2413"/>
      <c r="U171" s="2413"/>
      <c r="V171" s="2413">
        <f t="shared" ref="V171" si="132">N171</f>
        <v>0.30351499999999998</v>
      </c>
      <c r="W171" s="2460">
        <f>'HVAC Deemed Table'!J1396</f>
        <v>18</v>
      </c>
      <c r="X171" s="2460"/>
      <c r="Y171" s="94">
        <f t="shared" si="119"/>
        <v>18</v>
      </c>
      <c r="Z171" s="767">
        <f>'HVAC Deemed Table'!BB1396</f>
        <v>16.722071082024822</v>
      </c>
      <c r="AA171" s="2419">
        <f>'HVAC Deemed Table'!K1396</f>
        <v>303</v>
      </c>
      <c r="AB171" s="2418">
        <f t="shared" si="25"/>
        <v>4782.2440187385746</v>
      </c>
      <c r="AC171" s="2418">
        <f t="shared" si="26"/>
        <v>0</v>
      </c>
      <c r="AD171" s="2445">
        <f>'HVAC Deemed Table'!BD1396</f>
        <v>565.05342717350209</v>
      </c>
      <c r="AE171" s="2445">
        <f>'HVAC Deemed Table'!BD1397</f>
        <v>4217.1905915650723</v>
      </c>
      <c r="AF171" s="2445"/>
      <c r="AG171" s="2445"/>
      <c r="AH171" s="2378"/>
      <c r="AI171" s="2378"/>
      <c r="AJ171" s="2378"/>
      <c r="AK171" s="2378"/>
      <c r="AL171" s="2380">
        <f t="shared" si="112"/>
        <v>9.4741810000000004E-4</v>
      </c>
      <c r="AM171" s="145">
        <f t="shared" si="69"/>
        <v>0.30351486251600002</v>
      </c>
      <c r="AN171" s="2368">
        <f t="shared" si="113"/>
        <v>-1.3748399996238447E-7</v>
      </c>
    </row>
    <row r="172" spans="1:40" x14ac:dyDescent="0.25">
      <c r="A172" s="2598" t="str">
        <f>'HVAC Deemed Table'!C1398</f>
        <v>352450_2019_12_</v>
      </c>
      <c r="B172" s="2425" t="str">
        <f>'HVAC Deemed Table'!G1398</f>
        <v>Cooling Res</v>
      </c>
      <c r="C172" s="2425" t="str">
        <f>'HVAC Deemed Table'!G1399</f>
        <v>Heating Res</v>
      </c>
      <c r="D172" s="245"/>
      <c r="E172" s="245"/>
      <c r="F172" s="245" t="str">
        <f>'HVAC Deemed Table'!E1398</f>
        <v>ASHP - SEER 15 Replace at Fail with ASHP: HVAC</v>
      </c>
      <c r="G172" s="745" t="str">
        <f>'HVAC Deemed Table'!D1398</f>
        <v>SF</v>
      </c>
      <c r="H172" s="2420">
        <f t="shared" ref="H172:H177" si="133">J172+K172</f>
        <v>529.64</v>
      </c>
      <c r="I172" s="2420">
        <f t="shared" ref="I172:I177" si="134">L172+M172</f>
        <v>0</v>
      </c>
      <c r="J172" s="2452">
        <f>'HVAC Deemed Table'!F1398</f>
        <v>166.02</v>
      </c>
      <c r="K172" s="2452">
        <f>'HVAC Deemed Table'!F1399</f>
        <v>363.62</v>
      </c>
      <c r="L172" s="2452"/>
      <c r="M172" s="2452"/>
      <c r="N172" s="2421">
        <f t="shared" ref="N172:N177" si="135">P172+Q172</f>
        <v>0.15729000000000001</v>
      </c>
      <c r="O172" s="2421">
        <f t="shared" ref="O172:O177" si="136">R172+S172</f>
        <v>0</v>
      </c>
      <c r="P172" s="2412">
        <f>'HVAC Deemed Table'!I1398</f>
        <v>0.15729000000000001</v>
      </c>
      <c r="Q172" s="2412">
        <f>'HVAC Deemed Table'!I1399</f>
        <v>0</v>
      </c>
      <c r="R172" s="2412"/>
      <c r="S172" s="2412"/>
      <c r="T172" s="2413"/>
      <c r="U172" s="2413"/>
      <c r="V172" s="2413">
        <f t="shared" ref="V172" si="137">N172</f>
        <v>0.15729000000000001</v>
      </c>
      <c r="W172" s="2460">
        <f>'HVAC Deemed Table'!J1398</f>
        <v>18</v>
      </c>
      <c r="X172" s="2460"/>
      <c r="Y172" s="94">
        <f t="shared" si="119"/>
        <v>18</v>
      </c>
      <c r="Z172" s="767">
        <f>'HVAC Deemed Table'!BB1398</f>
        <v>1.6113688844626437</v>
      </c>
      <c r="AA172" s="2419">
        <f>'HVAC Deemed Table'!K1398</f>
        <v>303</v>
      </c>
      <c r="AB172" s="2418">
        <f t="shared" si="25"/>
        <v>460.82564605208211</v>
      </c>
      <c r="AC172" s="2418">
        <f t="shared" si="26"/>
        <v>0</v>
      </c>
      <c r="AD172" s="2445">
        <f>'HVAC Deemed Table'!BD1398</f>
        <v>292.82735041623431</v>
      </c>
      <c r="AE172" s="2445">
        <f>'HVAC Deemed Table'!BD1399</f>
        <v>167.99829563584782</v>
      </c>
      <c r="AF172" s="2445"/>
      <c r="AG172" s="2445"/>
      <c r="AH172" s="2378"/>
      <c r="AI172" s="2378"/>
      <c r="AJ172" s="2378"/>
      <c r="AK172" s="2378"/>
      <c r="AL172" s="2380">
        <f t="shared" si="112"/>
        <v>9.4741810000000004E-4</v>
      </c>
      <c r="AM172" s="145">
        <f t="shared" si="69"/>
        <v>0.157290352962</v>
      </c>
      <c r="AN172" s="2368">
        <f t="shared" si="113"/>
        <v>3.5296199998868794E-7</v>
      </c>
    </row>
    <row r="173" spans="1:40" x14ac:dyDescent="0.25">
      <c r="A173" s="2598" t="str">
        <f>'HVAC Deemed Table'!C1400</f>
        <v>352500_2019_12_</v>
      </c>
      <c r="B173" s="2425" t="str">
        <f>'HVAC Deemed Table'!G1400</f>
        <v>Cooling Res</v>
      </c>
      <c r="C173" s="2425" t="str">
        <f>'HVAC Deemed Table'!G1401</f>
        <v>Heating Res</v>
      </c>
      <c r="D173" s="2425" t="str">
        <f>'HVAC Deemed Table'!G1402</f>
        <v>Cooling Res ER2</v>
      </c>
      <c r="E173" s="2425" t="str">
        <f>'HVAC Deemed Table'!G1403</f>
        <v>Heating Res ER2</v>
      </c>
      <c r="F173" s="245" t="str">
        <f>'HVAC Deemed Table'!E1400</f>
        <v>ASHP - SEER 16 - replace electric furnace / CAC - early replacement SF ER1</v>
      </c>
      <c r="G173" s="745" t="str">
        <f>'HVAC Deemed Table'!D1400</f>
        <v>SF</v>
      </c>
      <c r="H173" s="2420">
        <f t="shared" si="133"/>
        <v>12543.91</v>
      </c>
      <c r="I173" s="2420">
        <f t="shared" si="134"/>
        <v>11113.84</v>
      </c>
      <c r="J173" s="2452">
        <f>'HVAC Deemed Table'!F1400</f>
        <v>1908.35</v>
      </c>
      <c r="K173" s="2452">
        <f>'HVAC Deemed Table'!F1401</f>
        <v>10635.56</v>
      </c>
      <c r="L173" s="2452">
        <f>'HVAC Deemed Table'!F1402</f>
        <v>478.28</v>
      </c>
      <c r="M173" s="2452">
        <f>'HVAC Deemed Table'!F1403</f>
        <v>10635.56</v>
      </c>
      <c r="N173" s="2421">
        <f t="shared" si="135"/>
        <v>1.8080050000000001</v>
      </c>
      <c r="O173" s="2421">
        <f t="shared" si="136"/>
        <v>0.45313100000000001</v>
      </c>
      <c r="P173" s="2412">
        <f>'HVAC Deemed Table'!I1400</f>
        <v>1.8080050000000001</v>
      </c>
      <c r="Q173" s="2412">
        <f>'HVAC Deemed Table'!I1401</f>
        <v>0</v>
      </c>
      <c r="R173" s="2412">
        <f>'HVAC Deemed Table'!I1402</f>
        <v>0.45313100000000001</v>
      </c>
      <c r="S173" s="2412">
        <f>'HVAC Deemed Table'!I1403</f>
        <v>0</v>
      </c>
      <c r="T173" s="2413"/>
      <c r="U173" s="2413"/>
      <c r="V173" s="2424">
        <f>O173</f>
        <v>0.45313100000000001</v>
      </c>
      <c r="W173" s="2460">
        <f>'HVAC Deemed Table'!J1400</f>
        <v>6</v>
      </c>
      <c r="X173" s="2460">
        <f>'HVAC Deemed Table'!J1402</f>
        <v>12</v>
      </c>
      <c r="Y173" s="94">
        <f t="shared" si="119"/>
        <v>18</v>
      </c>
      <c r="Z173" s="767">
        <f>'HVAC Deemed Table'!BB1400</f>
        <v>5.8280758757026998</v>
      </c>
      <c r="AA173" s="2419">
        <f>'HVAC Deemed Table'!K1400</f>
        <v>1197.8224158150915</v>
      </c>
      <c r="AB173" s="2418">
        <f t="shared" ref="AB173:AB236" si="138">AD173+AE173</f>
        <v>2878.725266463548</v>
      </c>
      <c r="AC173" s="2418">
        <f t="shared" ref="AC173:AC236" si="139">AF173+AG173</f>
        <v>3710.2317179516135</v>
      </c>
      <c r="AD173" s="2445">
        <f>'HVAC Deemed Table'!BD1400</f>
        <v>1109.6753023370213</v>
      </c>
      <c r="AE173" s="2445">
        <f>'HVAC Deemed Table'!BD1401</f>
        <v>1769.0499641265267</v>
      </c>
      <c r="AF173" s="2445">
        <f>'HVAC Deemed Table'!BD1402</f>
        <v>565.48168996330196</v>
      </c>
      <c r="AG173" s="2445">
        <f>'HVAC Deemed Table'!BD1403</f>
        <v>3144.7500279883116</v>
      </c>
      <c r="AH173" s="2378"/>
      <c r="AI173" s="2378"/>
      <c r="AJ173" s="2378"/>
      <c r="AK173" s="2378"/>
      <c r="AL173" s="2380">
        <f t="shared" si="112"/>
        <v>9.4741810000000004E-4</v>
      </c>
      <c r="AM173" s="145">
        <f t="shared" si="69"/>
        <v>1.8080053311349999</v>
      </c>
      <c r="AN173" s="2368">
        <f t="shared" si="113"/>
        <v>3.3113499986470174E-7</v>
      </c>
    </row>
    <row r="174" spans="1:40" x14ac:dyDescent="0.25">
      <c r="A174" s="2598" t="str">
        <f>'HVAC Deemed Table'!C1404</f>
        <v>352550_2019_12_</v>
      </c>
      <c r="B174" s="2425" t="str">
        <f>'HVAC Deemed Table'!G1404</f>
        <v>Cooling Res</v>
      </c>
      <c r="C174" s="2425" t="str">
        <f>'HVAC Deemed Table'!G1405</f>
        <v>Heating Res</v>
      </c>
      <c r="D174" s="2425" t="str">
        <f>'HVAC Deemed Table'!G1406</f>
        <v>Cooling Res ER2</v>
      </c>
      <c r="E174" s="2425" t="str">
        <f>'HVAC Deemed Table'!G1407</f>
        <v>Heating Res ER2</v>
      </c>
      <c r="F174" s="245" t="str">
        <f>'HVAC Deemed Table'!E1404</f>
        <v>ASHP SEER 16 replace ASHP - early replacement SF ER1</v>
      </c>
      <c r="G174" s="745" t="str">
        <f>'HVAC Deemed Table'!D1404</f>
        <v>SF</v>
      </c>
      <c r="H174" s="2420">
        <f t="shared" si="133"/>
        <v>4423.43</v>
      </c>
      <c r="I174" s="2420">
        <f t="shared" si="134"/>
        <v>1128.52</v>
      </c>
      <c r="J174" s="2452">
        <f>'HVAC Deemed Table'!F1404</f>
        <v>1890.35</v>
      </c>
      <c r="K174" s="2452">
        <f>'HVAC Deemed Table'!F1405</f>
        <v>2533.08</v>
      </c>
      <c r="L174" s="2452">
        <f>'HVAC Deemed Table'!F1406</f>
        <v>293.29000000000002</v>
      </c>
      <c r="M174" s="2452">
        <f>'HVAC Deemed Table'!F1407</f>
        <v>835.23</v>
      </c>
      <c r="N174" s="2421">
        <f t="shared" si="135"/>
        <v>1.7909520000000001</v>
      </c>
      <c r="O174" s="2421">
        <f t="shared" si="136"/>
        <v>0.277868</v>
      </c>
      <c r="P174" s="2412">
        <f>'HVAC Deemed Table'!I1404</f>
        <v>1.7909520000000001</v>
      </c>
      <c r="Q174" s="2412">
        <f>'HVAC Deemed Table'!I1405</f>
        <v>0</v>
      </c>
      <c r="R174" s="2412">
        <f>'HVAC Deemed Table'!I1406</f>
        <v>0.277868</v>
      </c>
      <c r="S174" s="2412">
        <f>'HVAC Deemed Table'!I1407</f>
        <v>0</v>
      </c>
      <c r="T174" s="2413"/>
      <c r="U174" s="2413"/>
      <c r="V174" s="2424">
        <f>O174</f>
        <v>0.277868</v>
      </c>
      <c r="W174" s="2460">
        <f>'HVAC Deemed Table'!J1404</f>
        <v>6</v>
      </c>
      <c r="X174" s="2460">
        <f>'HVAC Deemed Table'!J1406</f>
        <v>12</v>
      </c>
      <c r="Y174" s="94">
        <f t="shared" si="119"/>
        <v>18</v>
      </c>
      <c r="Z174" s="767">
        <f>'HVAC Deemed Table'!BB1404</f>
        <v>1.8813777277505355</v>
      </c>
      <c r="AA174" s="2419">
        <f>'HVAC Deemed Table'!K1404</f>
        <v>1190.6542798168357</v>
      </c>
      <c r="AB174" s="2418">
        <f t="shared" si="138"/>
        <v>1520.5446602700883</v>
      </c>
      <c r="AC174" s="2418">
        <f t="shared" si="139"/>
        <v>593.72664081367577</v>
      </c>
      <c r="AD174" s="2445">
        <f>'HVAC Deemed Table'!BD1404</f>
        <v>1099.2085874041911</v>
      </c>
      <c r="AE174" s="2445">
        <f>'HVAC Deemed Table'!BD1405</f>
        <v>421.33607286589728</v>
      </c>
      <c r="AF174" s="2445">
        <f>'HVAC Deemed Table'!BD1406</f>
        <v>346.76366322935695</v>
      </c>
      <c r="AG174" s="2445">
        <f>'HVAC Deemed Table'!BD1407</f>
        <v>246.96297758431879</v>
      </c>
      <c r="AH174" s="2378"/>
      <c r="AI174" s="2378"/>
      <c r="AJ174" s="2378"/>
      <c r="AK174" s="2378"/>
      <c r="AL174" s="2380">
        <f t="shared" si="112"/>
        <v>9.4741810000000004E-4</v>
      </c>
      <c r="AM174" s="145">
        <f t="shared" si="69"/>
        <v>1.790951805335</v>
      </c>
      <c r="AN174" s="2368">
        <f t="shared" si="113"/>
        <v>-1.9466500011944277E-7</v>
      </c>
    </row>
    <row r="175" spans="1:40" x14ac:dyDescent="0.25">
      <c r="A175" s="2598" t="str">
        <f>'HVAC Deemed Table'!C1408</f>
        <v>352600_2019_12_</v>
      </c>
      <c r="B175" s="2425" t="str">
        <f>'HVAC Deemed Table'!G1408</f>
        <v>Cooling Res</v>
      </c>
      <c r="C175" s="2425" t="str">
        <f>'HVAC Deemed Table'!G1409</f>
        <v>Heating Res</v>
      </c>
      <c r="D175" s="245"/>
      <c r="E175" s="245"/>
      <c r="F175" s="245" t="str">
        <f>'HVAC Deemed Table'!E1408</f>
        <v>ASHP - SEER 16 - replace electric furnace / CAC SF</v>
      </c>
      <c r="G175" s="745" t="str">
        <f>'HVAC Deemed Table'!D1408</f>
        <v>SF</v>
      </c>
      <c r="H175" s="2420">
        <f t="shared" si="133"/>
        <v>10919.86</v>
      </c>
      <c r="I175" s="2420">
        <f t="shared" si="134"/>
        <v>0</v>
      </c>
      <c r="J175" s="2452">
        <f>'HVAC Deemed Table'!F1408</f>
        <v>467.76</v>
      </c>
      <c r="K175" s="2452">
        <f>'HVAC Deemed Table'!F1409</f>
        <v>10452.1</v>
      </c>
      <c r="L175" s="2452"/>
      <c r="M175" s="2452"/>
      <c r="N175" s="2421">
        <f t="shared" si="135"/>
        <v>0.443164</v>
      </c>
      <c r="O175" s="2421">
        <f t="shared" si="136"/>
        <v>0</v>
      </c>
      <c r="P175" s="2412">
        <f>'HVAC Deemed Table'!I1408</f>
        <v>0.443164</v>
      </c>
      <c r="Q175" s="2412">
        <f>'HVAC Deemed Table'!I1409</f>
        <v>0</v>
      </c>
      <c r="R175" s="2412"/>
      <c r="S175" s="2412"/>
      <c r="T175" s="2413"/>
      <c r="U175" s="2413"/>
      <c r="V175" s="2413">
        <f t="shared" ref="V175" si="140">N175</f>
        <v>0.443164</v>
      </c>
      <c r="W175" s="2460">
        <f>'HVAC Deemed Table'!J1408</f>
        <v>18</v>
      </c>
      <c r="X175" s="2460"/>
      <c r="Y175" s="94">
        <f t="shared" si="119"/>
        <v>18</v>
      </c>
      <c r="Z175" s="767">
        <f>'HVAC Deemed Table'!BB1408</f>
        <v>13.676928743305814</v>
      </c>
      <c r="AA175" s="2419">
        <f>'HVAC Deemed Table'!K1408</f>
        <v>438</v>
      </c>
      <c r="AB175" s="2418">
        <f t="shared" si="138"/>
        <v>5654.0771963831485</v>
      </c>
      <c r="AC175" s="2418">
        <f t="shared" si="139"/>
        <v>0</v>
      </c>
      <c r="AD175" s="2445">
        <f>'HVAC Deemed Table'!BD1408</f>
        <v>825.03867865737709</v>
      </c>
      <c r="AE175" s="2445">
        <f>'HVAC Deemed Table'!BD1409</f>
        <v>4829.0385177257713</v>
      </c>
      <c r="AF175" s="2445"/>
      <c r="AG175" s="2445"/>
      <c r="AH175" s="2378"/>
      <c r="AI175" s="2378"/>
      <c r="AJ175" s="2378"/>
      <c r="AK175" s="2378"/>
      <c r="AL175" s="2380">
        <f t="shared" si="112"/>
        <v>9.4741810000000004E-4</v>
      </c>
      <c r="AM175" s="145">
        <f t="shared" si="69"/>
        <v>0.44316429045600003</v>
      </c>
      <c r="AN175" s="2368">
        <f t="shared" si="113"/>
        <v>2.9045600002941541E-7</v>
      </c>
    </row>
    <row r="176" spans="1:40" x14ac:dyDescent="0.25">
      <c r="A176" s="2598" t="str">
        <f>'HVAC Deemed Table'!C1410</f>
        <v>352650_2019_12_</v>
      </c>
      <c r="B176" s="2425" t="str">
        <f>'HVAC Deemed Table'!G1410</f>
        <v>Cooling Res</v>
      </c>
      <c r="C176" s="2425" t="str">
        <f>'HVAC Deemed Table'!G1411</f>
        <v>Heating Res</v>
      </c>
      <c r="D176" s="245"/>
      <c r="E176" s="245"/>
      <c r="F176" s="245" t="str">
        <f>'HVAC Deemed Table'!E1410</f>
        <v>ASHP SEER 16 replace ASHP - replace on fail SF</v>
      </c>
      <c r="G176" s="745" t="str">
        <f>'HVAC Deemed Table'!D1410</f>
        <v>SF</v>
      </c>
      <c r="H176" s="2420">
        <f t="shared" si="133"/>
        <v>1230.6599999999999</v>
      </c>
      <c r="I176" s="2420">
        <f t="shared" si="134"/>
        <v>0</v>
      </c>
      <c r="J176" s="2452">
        <f>'HVAC Deemed Table'!F1410</f>
        <v>302.60000000000002</v>
      </c>
      <c r="K176" s="2452">
        <f>'HVAC Deemed Table'!F1411</f>
        <v>928.06</v>
      </c>
      <c r="L176" s="2452"/>
      <c r="M176" s="2452"/>
      <c r="N176" s="2421">
        <f t="shared" si="135"/>
        <v>0.28668900000000003</v>
      </c>
      <c r="O176" s="2421">
        <f t="shared" si="136"/>
        <v>0</v>
      </c>
      <c r="P176" s="2412">
        <f>'HVAC Deemed Table'!I1410</f>
        <v>0.28668900000000003</v>
      </c>
      <c r="Q176" s="2412">
        <f>'HVAC Deemed Table'!I1411</f>
        <v>0</v>
      </c>
      <c r="R176" s="2412"/>
      <c r="S176" s="2412"/>
      <c r="T176" s="2413"/>
      <c r="U176" s="2413"/>
      <c r="V176" s="2413">
        <f t="shared" ref="V176" si="141">N176</f>
        <v>0.28668900000000003</v>
      </c>
      <c r="W176" s="2460">
        <f>'HVAC Deemed Table'!J1410</f>
        <v>18</v>
      </c>
      <c r="X176" s="2460"/>
      <c r="Y176" s="94">
        <f t="shared" si="119"/>
        <v>18</v>
      </c>
      <c r="Z176" s="767">
        <f>'HVAC Deemed Table'!BB1410</f>
        <v>2.3282557687533334</v>
      </c>
      <c r="AA176" s="2419">
        <f>'HVAC Deemed Table'!K1410</f>
        <v>438</v>
      </c>
      <c r="AB176" s="2418">
        <f t="shared" si="138"/>
        <v>962.5068680641433</v>
      </c>
      <c r="AC176" s="2418">
        <f t="shared" si="139"/>
        <v>0</v>
      </c>
      <c r="AD176" s="2445">
        <f>'HVAC Deemed Table'!BD1410</f>
        <v>533.72820284274485</v>
      </c>
      <c r="AE176" s="2445">
        <f>'HVAC Deemed Table'!BD1411</f>
        <v>428.77866522139846</v>
      </c>
      <c r="AF176" s="2445"/>
      <c r="AG176" s="2445"/>
      <c r="AH176" s="2378"/>
      <c r="AI176" s="2378"/>
      <c r="AJ176" s="2378"/>
      <c r="AK176" s="2378"/>
      <c r="AL176" s="2380">
        <f t="shared" si="112"/>
        <v>9.4741810000000004E-4</v>
      </c>
      <c r="AM176" s="145">
        <f t="shared" si="69"/>
        <v>0.28668871706000004</v>
      </c>
      <c r="AN176" s="2368">
        <f t="shared" si="113"/>
        <v>-2.8293999998485475E-7</v>
      </c>
    </row>
    <row r="177" spans="1:47" x14ac:dyDescent="0.25">
      <c r="A177" s="2598" t="str">
        <f>'HVAC Deemed Table'!C1412</f>
        <v>352700_2019_12_</v>
      </c>
      <c r="B177" s="2425" t="str">
        <f>'HVAC Deemed Table'!G1412</f>
        <v>Cooling Res</v>
      </c>
      <c r="C177" s="2425" t="str">
        <f>'HVAC Deemed Table'!G1413</f>
        <v>Heating Res</v>
      </c>
      <c r="D177" s="2425" t="str">
        <f>'HVAC Deemed Table'!G1414</f>
        <v>Cooling Res ER2</v>
      </c>
      <c r="E177" s="2425" t="str">
        <f>'HVAC Deemed Table'!G1415</f>
        <v>Heating Res ER2</v>
      </c>
      <c r="F177" s="245" t="str">
        <f>'HVAC Deemed Table'!E1412</f>
        <v>ASHP SEER 15 MF ER replace ASHP: HVAC ER1</v>
      </c>
      <c r="G177" s="745" t="str">
        <f>'HVAC Deemed Table'!D1412</f>
        <v>MF</v>
      </c>
      <c r="H177" s="2420">
        <f t="shared" si="133"/>
        <v>2470.56</v>
      </c>
      <c r="I177" s="2420">
        <f t="shared" si="134"/>
        <v>362.87</v>
      </c>
      <c r="J177" s="2452">
        <f>'HVAC Deemed Table'!F1412</f>
        <v>1130.95</v>
      </c>
      <c r="K177" s="2452">
        <f>'HVAC Deemed Table'!F1413</f>
        <v>1339.61</v>
      </c>
      <c r="L177" s="2452">
        <f>'HVAC Deemed Table'!F1414</f>
        <v>109.34</v>
      </c>
      <c r="M177" s="2452">
        <f>'HVAC Deemed Table'!F1415</f>
        <v>253.53</v>
      </c>
      <c r="N177" s="2421">
        <f t="shared" si="135"/>
        <v>1.071483</v>
      </c>
      <c r="O177" s="2421">
        <f t="shared" si="136"/>
        <v>0.103591</v>
      </c>
      <c r="P177" s="2412">
        <f>'HVAC Deemed Table'!I1412</f>
        <v>1.071483</v>
      </c>
      <c r="Q177" s="2412">
        <f>'HVAC Deemed Table'!I1413</f>
        <v>0</v>
      </c>
      <c r="R177" s="2412">
        <f>'HVAC Deemed Table'!I1414</f>
        <v>0.103591</v>
      </c>
      <c r="S177" s="2412">
        <f>'HVAC Deemed Table'!I1415</f>
        <v>0</v>
      </c>
      <c r="T177" s="2413"/>
      <c r="U177" s="2413"/>
      <c r="V177" s="2424">
        <f>O177</f>
        <v>0.103591</v>
      </c>
      <c r="W177" s="2460">
        <f>'HVAC Deemed Table'!J1412</f>
        <v>6</v>
      </c>
      <c r="X177" s="2460">
        <f>'HVAC Deemed Table'!J1414</f>
        <v>12</v>
      </c>
      <c r="Y177" s="94">
        <f t="shared" si="119"/>
        <v>18</v>
      </c>
      <c r="Z177" s="767">
        <f>'HVAC Deemed Table'!BB1412</f>
        <v>1.464995818523922</v>
      </c>
      <c r="AA177" s="2419">
        <f>'HVAC Deemed Table'!K1412</f>
        <v>784.45980121616685</v>
      </c>
      <c r="AB177" s="2418">
        <f t="shared" si="138"/>
        <v>880.45153965754389</v>
      </c>
      <c r="AC177" s="2418">
        <f t="shared" si="139"/>
        <v>204.2396624017212</v>
      </c>
      <c r="AD177" s="2445">
        <f>'HVAC Deemed Table'!BD1412</f>
        <v>657.62951407134665</v>
      </c>
      <c r="AE177" s="2445">
        <f>'HVAC Deemed Table'!BD1413</f>
        <v>222.8220255861973</v>
      </c>
      <c r="AF177" s="2445">
        <f>'HVAC Deemed Table'!BD1414</f>
        <v>129.27525294929214</v>
      </c>
      <c r="AG177" s="2445">
        <f>'HVAC Deemed Table'!BD1415</f>
        <v>74.964409452429081</v>
      </c>
      <c r="AH177" s="2378"/>
      <c r="AI177" s="2378"/>
      <c r="AJ177" s="2378"/>
      <c r="AK177" s="2378"/>
      <c r="AL177" s="2380">
        <f t="shared" si="112"/>
        <v>9.4741810000000004E-4</v>
      </c>
      <c r="AM177" s="145">
        <f t="shared" si="69"/>
        <v>1.0714825001950001</v>
      </c>
      <c r="AN177" s="2368">
        <f t="shared" si="113"/>
        <v>-4.9980499983171001E-7</v>
      </c>
    </row>
    <row r="178" spans="1:47" x14ac:dyDescent="0.25">
      <c r="A178" s="2598" t="str">
        <f>'HVAC Deemed Table'!C1416</f>
        <v>352701_2019_12_</v>
      </c>
      <c r="B178" s="2425" t="str">
        <f>'HVAC Deemed Table'!G1416</f>
        <v>Cooling Res</v>
      </c>
      <c r="C178" s="2425" t="str">
        <f>'HVAC Deemed Table'!G1417</f>
        <v>Heating Res</v>
      </c>
      <c r="D178" s="2425" t="str">
        <f>'HVAC Deemed Table'!G1418</f>
        <v>Cooling Res ER2</v>
      </c>
      <c r="E178" s="2425" t="str">
        <f>'HVAC Deemed Table'!G1419</f>
        <v>Heating Res ER2</v>
      </c>
      <c r="F178" s="245" t="str">
        <f>'HVAC Deemed Table'!E1416</f>
        <v>ASHP SEER 15 MF ER replace ASHP: HVAC ER1_CompE</v>
      </c>
      <c r="G178" s="745" t="str">
        <f>'HVAC Deemed Table'!D1416</f>
        <v>MFc</v>
      </c>
      <c r="H178" s="2420">
        <f t="shared" ref="H178" si="142">J178+K178</f>
        <v>1279.2</v>
      </c>
      <c r="I178" s="2420">
        <f t="shared" ref="I178" si="143">L178+M178</f>
        <v>165.95</v>
      </c>
      <c r="J178" s="2452">
        <f>'HVAC Deemed Table'!F1416</f>
        <v>822.51</v>
      </c>
      <c r="K178" s="2452">
        <f>'HVAC Deemed Table'!F1417</f>
        <v>456.69</v>
      </c>
      <c r="L178" s="2452">
        <f>'HVAC Deemed Table'!F1418</f>
        <v>79.52</v>
      </c>
      <c r="M178" s="2452">
        <f>'HVAC Deemed Table'!F1419</f>
        <v>86.43</v>
      </c>
      <c r="N178" s="2421">
        <f t="shared" ref="N178" si="144">P178+Q178</f>
        <v>0.77926099999999998</v>
      </c>
      <c r="O178" s="2421">
        <f t="shared" ref="O178" si="145">R178+S178</f>
        <v>7.5339000000000003E-2</v>
      </c>
      <c r="P178" s="2412">
        <f>'HVAC Deemed Table'!I1416</f>
        <v>0.77926099999999998</v>
      </c>
      <c r="Q178" s="2412">
        <f>'HVAC Deemed Table'!I1417</f>
        <v>0</v>
      </c>
      <c r="R178" s="2412">
        <f>'HVAC Deemed Table'!I1418</f>
        <v>7.5339000000000003E-2</v>
      </c>
      <c r="S178" s="2412">
        <f>'HVAC Deemed Table'!I1419</f>
        <v>0</v>
      </c>
      <c r="T178" s="2413"/>
      <c r="U178" s="2413"/>
      <c r="V178" s="2424">
        <f>O178</f>
        <v>7.5339000000000003E-2</v>
      </c>
      <c r="W178" s="2460">
        <f>'HVAC Deemed Table'!J1416</f>
        <v>6</v>
      </c>
      <c r="X178" s="2460">
        <f>'HVAC Deemed Table'!J1418</f>
        <v>12</v>
      </c>
      <c r="Y178" s="94">
        <f t="shared" si="119"/>
        <v>18</v>
      </c>
      <c r="Z178" s="767">
        <f>'HVAC Deemed Table'!BB1416</f>
        <v>0.91006002835619548</v>
      </c>
      <c r="AA178" s="2419">
        <f>'HVAC Deemed Table'!K1416</f>
        <v>784.45980121616685</v>
      </c>
      <c r="AB178" s="2418">
        <f t="shared" si="138"/>
        <v>554.23938689723764</v>
      </c>
      <c r="AC178" s="2418">
        <f t="shared" si="139"/>
        <v>119.57421285649544</v>
      </c>
      <c r="AD178" s="2445">
        <f>'HVAC Deemed Table'!BD1416</f>
        <v>478.27653885567292</v>
      </c>
      <c r="AE178" s="2445">
        <f>'HVAC Deemed Table'!BD1417</f>
        <v>75.962848041564669</v>
      </c>
      <c r="AF178" s="2445">
        <f>'HVAC Deemed Table'!BD1418</f>
        <v>94.018365781303359</v>
      </c>
      <c r="AG178" s="2445">
        <f>'HVAC Deemed Table'!BD1419</f>
        <v>25.555847075192073</v>
      </c>
      <c r="AH178" s="2378"/>
      <c r="AI178" s="2378"/>
      <c r="AJ178" s="2378"/>
      <c r="AK178" s="2378"/>
      <c r="AL178" s="2380">
        <f t="shared" si="112"/>
        <v>9.4741810000000004E-4</v>
      </c>
      <c r="AM178" s="145">
        <f t="shared" si="69"/>
        <v>0.77926086143100004</v>
      </c>
      <c r="AN178" s="2376">
        <f t="shared" si="113"/>
        <v>-1.3856899994113547E-7</v>
      </c>
      <c r="AO178" s="248">
        <f>AN178/N178</f>
        <v>-1.7782103806187591E-7</v>
      </c>
      <c r="AP178" s="2396" t="s">
        <v>3452</v>
      </c>
      <c r="AQ178" s="2395"/>
      <c r="AR178" s="2395"/>
      <c r="AS178" s="2395"/>
      <c r="AT178" s="2395"/>
      <c r="AU178" s="2395"/>
    </row>
    <row r="179" spans="1:47" x14ac:dyDescent="0.25">
      <c r="A179" s="2598" t="str">
        <f>'HVAC Deemed Table'!C1420</f>
        <v>352750_2019_12_</v>
      </c>
      <c r="B179" s="2425" t="str">
        <f>'HVAC Deemed Table'!G1420</f>
        <v>Cooling Res</v>
      </c>
      <c r="C179" s="2425" t="str">
        <f>'HVAC Deemed Table'!G1421</f>
        <v>Heating Res</v>
      </c>
      <c r="D179" s="2425" t="str">
        <f>'HVAC Deemed Table'!G1422</f>
        <v>Cooling Res ER2</v>
      </c>
      <c r="E179" s="2425" t="str">
        <f>'HVAC Deemed Table'!G1423</f>
        <v>Heating Res ER2</v>
      </c>
      <c r="F179" s="245" t="str">
        <f>'HVAC Deemed Table'!E1420</f>
        <v>ASHP SEER 15 MF ER replace Elec Resist Furnace: HVAC ER1</v>
      </c>
      <c r="G179" s="745" t="str">
        <f>'HVAC Deemed Table'!D1420</f>
        <v>MF</v>
      </c>
      <c r="H179" s="2420">
        <f t="shared" ref="H179:H181" si="146">J179+K179</f>
        <v>6847.44</v>
      </c>
      <c r="I179" s="2420">
        <f t="shared" ref="I179:I181" si="147">L179+M179</f>
        <v>6028.98</v>
      </c>
      <c r="J179" s="2452">
        <f>'HVAC Deemed Table'!F1420</f>
        <v>1021.5</v>
      </c>
      <c r="K179" s="2452">
        <f>'HVAC Deemed Table'!F1421</f>
        <v>5825.94</v>
      </c>
      <c r="L179" s="2452">
        <f>'HVAC Deemed Table'!F1422</f>
        <v>203.04</v>
      </c>
      <c r="M179" s="2452">
        <f>'HVAC Deemed Table'!F1423</f>
        <v>5825.94</v>
      </c>
      <c r="N179" s="2421">
        <f t="shared" ref="N179:N181" si="148">P179+Q179</f>
        <v>0.96778799999999998</v>
      </c>
      <c r="O179" s="2421">
        <f t="shared" ref="O179:O181" si="149">R179+S179</f>
        <v>0.19236400000000001</v>
      </c>
      <c r="P179" s="2412">
        <f>'HVAC Deemed Table'!I1420</f>
        <v>0.96778799999999998</v>
      </c>
      <c r="Q179" s="2412">
        <f>'HVAC Deemed Table'!I1421</f>
        <v>0</v>
      </c>
      <c r="R179" s="2412">
        <f>'HVAC Deemed Table'!I1422</f>
        <v>0.19236400000000001</v>
      </c>
      <c r="S179" s="2412">
        <f>'HVAC Deemed Table'!I1423</f>
        <v>0</v>
      </c>
      <c r="T179" s="2413"/>
      <c r="U179" s="2413"/>
      <c r="V179" s="2424">
        <f>O179</f>
        <v>0.19236400000000001</v>
      </c>
      <c r="W179" s="2460">
        <f>'HVAC Deemed Table'!J1420</f>
        <v>6</v>
      </c>
      <c r="X179" s="2460">
        <f>'HVAC Deemed Table'!J1422</f>
        <v>12</v>
      </c>
      <c r="Y179" s="94">
        <f t="shared" si="119"/>
        <v>18</v>
      </c>
      <c r="Z179" s="767">
        <f>'HVAC Deemed Table'!BB1420</f>
        <v>5.0625710103051942</v>
      </c>
      <c r="AA179" s="2419">
        <f>'HVAC Deemed Table'!K1420</f>
        <v>737.86691722750493</v>
      </c>
      <c r="AB179" s="2418">
        <f t="shared" si="138"/>
        <v>1563.0350880050662</v>
      </c>
      <c r="AC179" s="2418">
        <f t="shared" si="139"/>
        <v>1962.6880499083161</v>
      </c>
      <c r="AD179" s="2445">
        <f>'HVAC Deemed Table'!BD1420</f>
        <v>593.98607243811</v>
      </c>
      <c r="AE179" s="2445">
        <f>'HVAC Deemed Table'!BD1421</f>
        <v>969.0490155669562</v>
      </c>
      <c r="AF179" s="2445">
        <f>'HVAC Deemed Table'!BD1422</f>
        <v>240.05896614984701</v>
      </c>
      <c r="AG179" s="2445">
        <f>'HVAC Deemed Table'!BD1423</f>
        <v>1722.6290837584691</v>
      </c>
      <c r="AH179" s="2378"/>
      <c r="AI179" s="2378"/>
      <c r="AJ179" s="2378"/>
      <c r="AK179" s="2378"/>
      <c r="AL179" s="2380">
        <f t="shared" si="112"/>
        <v>9.4741810000000004E-4</v>
      </c>
      <c r="AM179" s="145">
        <f t="shared" si="69"/>
        <v>0.96778758915000007</v>
      </c>
      <c r="AN179" s="2368">
        <f t="shared" si="113"/>
        <v>-4.1084999991003457E-7</v>
      </c>
    </row>
    <row r="180" spans="1:47" x14ac:dyDescent="0.25">
      <c r="A180" s="2598" t="str">
        <f>'HVAC Deemed Table'!C1424</f>
        <v>352751_2019_12_</v>
      </c>
      <c r="B180" s="2425" t="str">
        <f>'HVAC Deemed Table'!G1424</f>
        <v>Cooling Res</v>
      </c>
      <c r="C180" s="2425" t="str">
        <f>'HVAC Deemed Table'!G1425</f>
        <v>Heating Res</v>
      </c>
      <c r="D180" s="2425" t="str">
        <f>'HVAC Deemed Table'!G1426</f>
        <v>Cooling Res ER2</v>
      </c>
      <c r="E180" s="2425" t="str">
        <f>'HVAC Deemed Table'!G1427</f>
        <v>Heating Res ER2</v>
      </c>
      <c r="F180" s="245" t="str">
        <f>'HVAC Deemed Table'!E1424</f>
        <v>ASHP SEER 15 MF ER replace Elec Resist Furnace: HVAC ER1_CompE</v>
      </c>
      <c r="G180" s="745" t="str">
        <f>'HVAC Deemed Table'!D1424</f>
        <v>MFc</v>
      </c>
      <c r="H180" s="2420">
        <f t="shared" si="146"/>
        <v>2729.0299999999997</v>
      </c>
      <c r="I180" s="2420">
        <f t="shared" si="147"/>
        <v>2133.7799999999997</v>
      </c>
      <c r="J180" s="2452">
        <f>'HVAC Deemed Table'!F1424</f>
        <v>742.91</v>
      </c>
      <c r="K180" s="2452">
        <f>'HVAC Deemed Table'!F1425</f>
        <v>1986.12</v>
      </c>
      <c r="L180" s="2452">
        <f>'HVAC Deemed Table'!F1426</f>
        <v>147.66</v>
      </c>
      <c r="M180" s="2452">
        <f>'HVAC Deemed Table'!F1427</f>
        <v>1986.12</v>
      </c>
      <c r="N180" s="2421">
        <f t="shared" si="148"/>
        <v>0.70384599999999997</v>
      </c>
      <c r="O180" s="2421">
        <f t="shared" si="149"/>
        <v>0.13989599999999999</v>
      </c>
      <c r="P180" s="2412">
        <f>'HVAC Deemed Table'!I1424</f>
        <v>0.70384599999999997</v>
      </c>
      <c r="Q180" s="2412">
        <f>'HVAC Deemed Table'!I1425</f>
        <v>0</v>
      </c>
      <c r="R180" s="2412">
        <f>'HVAC Deemed Table'!I1426</f>
        <v>0.13989599999999999</v>
      </c>
      <c r="S180" s="2412">
        <f>'HVAC Deemed Table'!I1427</f>
        <v>0</v>
      </c>
      <c r="T180" s="2413"/>
      <c r="U180" s="2413"/>
      <c r="V180" s="2424">
        <f>O180</f>
        <v>0.13989599999999999</v>
      </c>
      <c r="W180" s="2460">
        <f>'HVAC Deemed Table'!J1424</f>
        <v>6</v>
      </c>
      <c r="X180" s="2460">
        <f>'HVAC Deemed Table'!J1426</f>
        <v>12</v>
      </c>
      <c r="Y180" s="94">
        <f t="shared" si="119"/>
        <v>18</v>
      </c>
      <c r="Z180" s="767">
        <f>'HVAC Deemed Table'!BB1424</f>
        <v>2.1885804643584481</v>
      </c>
      <c r="AA180" s="2419">
        <f>'HVAC Deemed Table'!K1424</f>
        <v>737.86691722750493</v>
      </c>
      <c r="AB180" s="2418">
        <f t="shared" si="138"/>
        <v>762.34869888457138</v>
      </c>
      <c r="AC180" s="2418">
        <f t="shared" si="139"/>
        <v>761.84301450901921</v>
      </c>
      <c r="AD180" s="2445">
        <f>'HVAC Deemed Table'!BD1424</f>
        <v>431.99039948604633</v>
      </c>
      <c r="AE180" s="2445">
        <f>'HVAC Deemed Table'!BD1425</f>
        <v>330.35829939852505</v>
      </c>
      <c r="AF180" s="2445">
        <f>'HVAC Deemed Table'!BD1426</f>
        <v>174.58188998072504</v>
      </c>
      <c r="AG180" s="2445">
        <f>'HVAC Deemed Table'!BD1427</f>
        <v>587.2611245282942</v>
      </c>
      <c r="AH180" s="2378"/>
      <c r="AI180" s="2378"/>
      <c r="AJ180" s="2378"/>
      <c r="AK180" s="2378"/>
      <c r="AL180" s="2380">
        <f t="shared" si="112"/>
        <v>9.4741810000000004E-4</v>
      </c>
      <c r="AM180" s="145">
        <f t="shared" si="69"/>
        <v>0.70384638067100003</v>
      </c>
      <c r="AN180" s="2376">
        <f t="shared" si="113"/>
        <v>3.8067100005534371E-7</v>
      </c>
      <c r="AO180" s="248">
        <f>AN180/N180</f>
        <v>5.4084416201178061E-7</v>
      </c>
    </row>
    <row r="181" spans="1:47" x14ac:dyDescent="0.25">
      <c r="A181" s="2598" t="str">
        <f>'HVAC Deemed Table'!C1428</f>
        <v>352800_2019_12_</v>
      </c>
      <c r="B181" s="2425" t="str">
        <f>'HVAC Deemed Table'!G1428</f>
        <v>Cooling Res</v>
      </c>
      <c r="C181" s="2425" t="str">
        <f>'HVAC Deemed Table'!G1429</f>
        <v>Heating Res</v>
      </c>
      <c r="D181" s="245"/>
      <c r="E181" s="245"/>
      <c r="F181" s="245" t="str">
        <f>'HVAC Deemed Table'!E1428</f>
        <v>ASHP SEER 15 MF replace at Fail Elec Resist Furnace: HVAC</v>
      </c>
      <c r="G181" s="745" t="str">
        <f>'HVAC Deemed Table'!D1428</f>
        <v>MF</v>
      </c>
      <c r="H181" s="2420">
        <f t="shared" si="146"/>
        <v>5565.47</v>
      </c>
      <c r="I181" s="2420">
        <f t="shared" si="147"/>
        <v>0</v>
      </c>
      <c r="J181" s="2452">
        <f>'HVAC Deemed Table'!F1428</f>
        <v>196.21</v>
      </c>
      <c r="K181" s="2452">
        <f>'HVAC Deemed Table'!F1429</f>
        <v>5369.26</v>
      </c>
      <c r="L181" s="2452"/>
      <c r="M181" s="2452"/>
      <c r="N181" s="2421">
        <f t="shared" si="148"/>
        <v>0.185893</v>
      </c>
      <c r="O181" s="2421">
        <f t="shared" si="149"/>
        <v>0</v>
      </c>
      <c r="P181" s="2412">
        <f>'HVAC Deemed Table'!I1428</f>
        <v>0.185893</v>
      </c>
      <c r="Q181" s="2412">
        <f>'HVAC Deemed Table'!I1429</f>
        <v>0</v>
      </c>
      <c r="R181" s="2412"/>
      <c r="S181" s="2412"/>
      <c r="T181" s="2413"/>
      <c r="U181" s="2413"/>
      <c r="V181" s="2413">
        <f t="shared" ref="V181" si="150">N181</f>
        <v>0.185893</v>
      </c>
      <c r="W181" s="2460">
        <f>'HVAC Deemed Table'!J1428</f>
        <v>18</v>
      </c>
      <c r="X181" s="2460"/>
      <c r="Y181" s="94">
        <f t="shared" si="119"/>
        <v>18</v>
      </c>
      <c r="Z181" s="767">
        <f>'HVAC Deemed Table'!BB1428</f>
        <v>9.8843352671619051</v>
      </c>
      <c r="AA181" s="2419">
        <f>'HVAC Deemed Table'!K1428</f>
        <v>303</v>
      </c>
      <c r="AB181" s="2418">
        <f t="shared" si="138"/>
        <v>2826.7612892402612</v>
      </c>
      <c r="AC181" s="2418">
        <f t="shared" si="139"/>
        <v>0</v>
      </c>
      <c r="AD181" s="2445">
        <f>'HVAC Deemed Table'!BD1428</f>
        <v>346.0767041631691</v>
      </c>
      <c r="AE181" s="2445">
        <f>'HVAC Deemed Table'!BD1429</f>
        <v>2480.6845850770924</v>
      </c>
      <c r="AF181" s="2445"/>
      <c r="AG181" s="2445"/>
      <c r="AH181" s="2378"/>
      <c r="AI181" s="2378"/>
      <c r="AJ181" s="2378"/>
      <c r="AK181" s="2378"/>
      <c r="AL181" s="2380">
        <f t="shared" si="112"/>
        <v>9.4741810000000004E-4</v>
      </c>
      <c r="AM181" s="145">
        <f t="shared" ref="AM181:AM212" si="151">AL181*J181</f>
        <v>0.18589290540100001</v>
      </c>
      <c r="AN181" s="2368">
        <f t="shared" si="113"/>
        <v>-9.4598999994532917E-8</v>
      </c>
    </row>
    <row r="182" spans="1:47" x14ac:dyDescent="0.25">
      <c r="A182" s="2598" t="str">
        <f>'HVAC Deemed Table'!C1430</f>
        <v>352801_2019_12_</v>
      </c>
      <c r="B182" s="2425" t="str">
        <f>'HVAC Deemed Table'!G1430</f>
        <v>Cooling Res</v>
      </c>
      <c r="C182" s="2425" t="str">
        <f>'HVAC Deemed Table'!G1431</f>
        <v>Heating Res</v>
      </c>
      <c r="D182" s="245"/>
      <c r="E182" s="245"/>
      <c r="F182" s="245" t="str">
        <f>'HVAC Deemed Table'!E1430</f>
        <v>ASHP SEER 15 MF replace at Fail Elec Resist Furnace: HVAC_CompE</v>
      </c>
      <c r="G182" s="745" t="str">
        <f>'HVAC Deemed Table'!D1430</f>
        <v>MFc</v>
      </c>
      <c r="H182" s="2420">
        <f t="shared" ref="H182:H183" si="152">J182+K182</f>
        <v>3035.58</v>
      </c>
      <c r="I182" s="2420">
        <f t="shared" ref="I182:I183" si="153">L182+M182</f>
        <v>0</v>
      </c>
      <c r="J182" s="2452">
        <f>'HVAC Deemed Table'!F1430</f>
        <v>219.54</v>
      </c>
      <c r="K182" s="2452">
        <f>'HVAC Deemed Table'!F1431</f>
        <v>2816.04</v>
      </c>
      <c r="L182" s="2452"/>
      <c r="M182" s="2452"/>
      <c r="N182" s="2421">
        <f t="shared" ref="N182:N183" si="154">P182+Q182</f>
        <v>0.20799599999999999</v>
      </c>
      <c r="O182" s="2421">
        <f t="shared" ref="O182:O183" si="155">R182+S182</f>
        <v>0</v>
      </c>
      <c r="P182" s="2412">
        <f>'HVAC Deemed Table'!I1430</f>
        <v>0.20799599999999999</v>
      </c>
      <c r="Q182" s="2412">
        <f>'HVAC Deemed Table'!I1431</f>
        <v>0</v>
      </c>
      <c r="R182" s="2412"/>
      <c r="S182" s="2412"/>
      <c r="T182" s="2413"/>
      <c r="U182" s="2413"/>
      <c r="V182" s="2413">
        <f t="shared" ref="V182" si="156">N182</f>
        <v>0.20799599999999999</v>
      </c>
      <c r="W182" s="2460">
        <f>'HVAC Deemed Table'!J1430</f>
        <v>18</v>
      </c>
      <c r="X182" s="2460"/>
      <c r="Y182" s="94">
        <f t="shared" si="119"/>
        <v>18</v>
      </c>
      <c r="Z182" s="767">
        <f>'HVAC Deemed Table'!BB1430</f>
        <v>5.9034156925921462</v>
      </c>
      <c r="AA182" s="2419">
        <f>'HVAC Deemed Table'!K1430</f>
        <v>303</v>
      </c>
      <c r="AB182" s="2418">
        <f t="shared" si="138"/>
        <v>1688.2821659796318</v>
      </c>
      <c r="AC182" s="2418">
        <f t="shared" si="139"/>
        <v>0</v>
      </c>
      <c r="AD182" s="2445">
        <f>'HVAC Deemed Table'!BD1430</f>
        <v>387.22633725081357</v>
      </c>
      <c r="AE182" s="2445">
        <f>'HVAC Deemed Table'!BD1431</f>
        <v>1301.0558287288181</v>
      </c>
      <c r="AF182" s="2445"/>
      <c r="AG182" s="2445"/>
      <c r="AH182" s="2378"/>
      <c r="AI182" s="2378"/>
      <c r="AJ182" s="2378"/>
      <c r="AK182" s="2378"/>
      <c r="AL182" s="2380">
        <f t="shared" si="112"/>
        <v>9.4741810000000004E-4</v>
      </c>
      <c r="AM182" s="145">
        <f t="shared" si="151"/>
        <v>0.207996169674</v>
      </c>
      <c r="AN182" s="2376">
        <f t="shared" si="113"/>
        <v>1.6967400001677291E-7</v>
      </c>
      <c r="AO182" s="248">
        <f>AN182/N182</f>
        <v>8.1575607231279888E-7</v>
      </c>
    </row>
    <row r="183" spans="1:47" x14ac:dyDescent="0.25">
      <c r="A183" s="2598" t="str">
        <f>'HVAC Deemed Table'!C1432</f>
        <v>352850_2019_12_</v>
      </c>
      <c r="B183" s="2425" t="str">
        <f>'HVAC Deemed Table'!G1432</f>
        <v>Cooling Res</v>
      </c>
      <c r="C183" s="2425" t="str">
        <f>'HVAC Deemed Table'!G1433</f>
        <v>Heating Res</v>
      </c>
      <c r="D183" s="2425" t="str">
        <f>'HVAC Deemed Table'!G1434</f>
        <v>Cooling Res ER2</v>
      </c>
      <c r="E183" s="2425" t="str">
        <f>'HVAC Deemed Table'!G1435</f>
        <v>Heating Res ER2</v>
      </c>
      <c r="F183" s="245" t="str">
        <f>'HVAC Deemed Table'!E1432</f>
        <v>ASHP SEER 16 MF ER replace ASHP: HVAC ER1</v>
      </c>
      <c r="G183" s="745" t="str">
        <f>'HVAC Deemed Table'!D1432</f>
        <v>MF</v>
      </c>
      <c r="H183" s="2420">
        <f t="shared" si="152"/>
        <v>3086</v>
      </c>
      <c r="I183" s="2420">
        <f t="shared" si="153"/>
        <v>842.32</v>
      </c>
      <c r="J183" s="2452">
        <f>'HVAC Deemed Table'!F1432</f>
        <v>1287.24</v>
      </c>
      <c r="K183" s="2452">
        <f>'HVAC Deemed Table'!F1433</f>
        <v>1798.76</v>
      </c>
      <c r="L183" s="2452">
        <f>'HVAC Deemed Table'!F1434</f>
        <v>199.71</v>
      </c>
      <c r="M183" s="2452">
        <f>'HVAC Deemed Table'!F1435</f>
        <v>642.61</v>
      </c>
      <c r="N183" s="2421">
        <f t="shared" si="154"/>
        <v>1.219554</v>
      </c>
      <c r="O183" s="2421">
        <f t="shared" si="155"/>
        <v>0.18920899999999999</v>
      </c>
      <c r="P183" s="2412">
        <f>'HVAC Deemed Table'!I1432</f>
        <v>1.219554</v>
      </c>
      <c r="Q183" s="2412">
        <f>'HVAC Deemed Table'!I1433</f>
        <v>0</v>
      </c>
      <c r="R183" s="2412">
        <f>'HVAC Deemed Table'!I1434</f>
        <v>0.18920899999999999</v>
      </c>
      <c r="S183" s="2412">
        <f>'HVAC Deemed Table'!I1435</f>
        <v>0</v>
      </c>
      <c r="T183" s="2413"/>
      <c r="U183" s="2413"/>
      <c r="V183" s="2424">
        <f>O183</f>
        <v>0.18920899999999999</v>
      </c>
      <c r="W183" s="2460">
        <f>'HVAC Deemed Table'!J1432</f>
        <v>6</v>
      </c>
      <c r="X183" s="2460">
        <f>'HVAC Deemed Table'!J1434</f>
        <v>12</v>
      </c>
      <c r="Y183" s="94">
        <f t="shared" si="119"/>
        <v>18</v>
      </c>
      <c r="Z183" s="767">
        <f>'HVAC Deemed Table'!BB1432</f>
        <v>1.6428107268754624</v>
      </c>
      <c r="AA183" s="2419">
        <f>'HVAC Deemed Table'!K1432</f>
        <v>950.52172387527389</v>
      </c>
      <c r="AB183" s="2418">
        <f t="shared" si="138"/>
        <v>1047.7037279445985</v>
      </c>
      <c r="AC183" s="2418">
        <f t="shared" si="139"/>
        <v>426.13042411812523</v>
      </c>
      <c r="AD183" s="2445">
        <f>'HVAC Deemed Table'!BD1432</f>
        <v>748.50967389645893</v>
      </c>
      <c r="AE183" s="2445">
        <f>'HVAC Deemed Table'!BD1433</f>
        <v>299.19405404813961</v>
      </c>
      <c r="AF183" s="2445">
        <f>'HVAC Deemed Table'!BD1434</f>
        <v>236.12182885040363</v>
      </c>
      <c r="AG183" s="2445">
        <f>'HVAC Deemed Table'!BD1435</f>
        <v>190.00859526772157</v>
      </c>
      <c r="AH183" s="2378"/>
      <c r="AI183" s="2378"/>
      <c r="AJ183" s="2378"/>
      <c r="AK183" s="2378"/>
      <c r="AL183" s="2380">
        <f t="shared" si="112"/>
        <v>9.4741810000000004E-4</v>
      </c>
      <c r="AM183" s="145">
        <f t="shared" si="151"/>
        <v>1.2195544750440002</v>
      </c>
      <c r="AN183" s="2368">
        <f t="shared" si="113"/>
        <v>4.7504400013664849E-7</v>
      </c>
    </row>
    <row r="184" spans="1:47" x14ac:dyDescent="0.25">
      <c r="A184" s="2598" t="str">
        <f>'HVAC Deemed Table'!C1436</f>
        <v>352851_2019_12_</v>
      </c>
      <c r="B184" s="2425" t="str">
        <f>'HVAC Deemed Table'!G1436</f>
        <v>Cooling Res</v>
      </c>
      <c r="C184" s="2425" t="str">
        <f>'HVAC Deemed Table'!G1437</f>
        <v>Heating Res</v>
      </c>
      <c r="D184" s="2425" t="str">
        <f>'HVAC Deemed Table'!G1438</f>
        <v>Cooling Res ER2</v>
      </c>
      <c r="E184" s="2425" t="str">
        <f>'HVAC Deemed Table'!G1439</f>
        <v>Heating Res ER2</v>
      </c>
      <c r="F184" s="245" t="str">
        <f>'HVAC Deemed Table'!E1436</f>
        <v>ASHP SEER 16 MF ER replace ASHP: HVAC ER1_CompE</v>
      </c>
      <c r="G184" s="745" t="str">
        <f>'HVAC Deemed Table'!D1436</f>
        <v>MFc</v>
      </c>
      <c r="H184" s="2420">
        <f t="shared" ref="H184:H188" si="157">J184+K184</f>
        <v>1549.38</v>
      </c>
      <c r="I184" s="2420">
        <f t="shared" ref="I184:I188" si="158">L184+M184</f>
        <v>364.32</v>
      </c>
      <c r="J184" s="2452">
        <f>'HVAC Deemed Table'!F1436</f>
        <v>936.17</v>
      </c>
      <c r="K184" s="2452">
        <f>'HVAC Deemed Table'!F1437</f>
        <v>613.21</v>
      </c>
      <c r="L184" s="2452">
        <f>'HVAC Deemed Table'!F1438</f>
        <v>145.25</v>
      </c>
      <c r="M184" s="2452">
        <f>'HVAC Deemed Table'!F1439</f>
        <v>219.07</v>
      </c>
      <c r="N184" s="2421">
        <f t="shared" ref="N184:N188" si="159">P184+Q184</f>
        <v>0.88694399999999995</v>
      </c>
      <c r="O184" s="2421">
        <f t="shared" ref="O184:O188" si="160">R184+S184</f>
        <v>0.13761200000000001</v>
      </c>
      <c r="P184" s="2412">
        <f>'HVAC Deemed Table'!I1436</f>
        <v>0.88694399999999995</v>
      </c>
      <c r="Q184" s="2412">
        <f>'HVAC Deemed Table'!I1437</f>
        <v>0</v>
      </c>
      <c r="R184" s="2412">
        <f>'HVAC Deemed Table'!I1438</f>
        <v>0.13761200000000001</v>
      </c>
      <c r="S184" s="2412">
        <f>'HVAC Deemed Table'!I1439</f>
        <v>0</v>
      </c>
      <c r="T184" s="2413"/>
      <c r="U184" s="2413"/>
      <c r="V184" s="2424">
        <f>O184</f>
        <v>0.13761200000000001</v>
      </c>
      <c r="W184" s="2460">
        <f>'HVAC Deemed Table'!J1436</f>
        <v>6</v>
      </c>
      <c r="X184" s="2460">
        <f>'HVAC Deemed Table'!J1438</f>
        <v>12</v>
      </c>
      <c r="Y184" s="94">
        <f t="shared" si="119"/>
        <v>18</v>
      </c>
      <c r="Z184" s="767">
        <f>'HVAC Deemed Table'!BB1436</f>
        <v>0.984095364419867</v>
      </c>
      <c r="AA184" s="2419">
        <f>'HVAC Deemed Table'!K1436</f>
        <v>950.52172387527389</v>
      </c>
      <c r="AB184" s="2418">
        <f t="shared" si="138"/>
        <v>646.36539693671625</v>
      </c>
      <c r="AC184" s="2418">
        <f t="shared" si="139"/>
        <v>236.50767738705707</v>
      </c>
      <c r="AD184" s="2445">
        <f>'HVAC Deemed Table'!BD1436</f>
        <v>544.36802881486585</v>
      </c>
      <c r="AE184" s="2445">
        <f>'HVAC Deemed Table'!BD1437</f>
        <v>101.99736812185043</v>
      </c>
      <c r="AF184" s="2445">
        <f>'HVAC Deemed Table'!BD1438</f>
        <v>171.73249031356028</v>
      </c>
      <c r="AG184" s="2445">
        <f>'HVAC Deemed Table'!BD1439</f>
        <v>64.775187073496781</v>
      </c>
      <c r="AH184" s="2378"/>
      <c r="AI184" s="2378"/>
      <c r="AJ184" s="2378"/>
      <c r="AK184" s="2378"/>
      <c r="AL184" s="2380">
        <f t="shared" si="112"/>
        <v>9.4741810000000004E-4</v>
      </c>
      <c r="AM184" s="145">
        <f t="shared" si="151"/>
        <v>0.88694440267700003</v>
      </c>
      <c r="AN184" s="2376">
        <f t="shared" si="113"/>
        <v>4.0267700007756702E-7</v>
      </c>
      <c r="AO184" s="248">
        <f>AN184/N184</f>
        <v>4.5400498800100914E-7</v>
      </c>
    </row>
    <row r="185" spans="1:47" x14ac:dyDescent="0.25">
      <c r="A185" s="2598" t="str">
        <f>'HVAC Deemed Table'!C1440</f>
        <v>352900_2019_12_</v>
      </c>
      <c r="B185" s="2425" t="str">
        <f>'HVAC Deemed Table'!G1440</f>
        <v>Cooling Res</v>
      </c>
      <c r="C185" s="2425" t="str">
        <f>'HVAC Deemed Table'!G1441</f>
        <v>Heating Res</v>
      </c>
      <c r="D185" s="245"/>
      <c r="E185" s="245"/>
      <c r="F185" s="245" t="str">
        <f>'HVAC Deemed Table'!E1440</f>
        <v>ASHP - SEER 16 - replace on fail MF</v>
      </c>
      <c r="G185" s="745" t="str">
        <f>'HVAC Deemed Table'!D1440</f>
        <v>MF</v>
      </c>
      <c r="H185" s="2420">
        <f t="shared" si="157"/>
        <v>966.40000000000009</v>
      </c>
      <c r="I185" s="2420">
        <f t="shared" si="158"/>
        <v>0</v>
      </c>
      <c r="J185" s="2452">
        <f>'HVAC Deemed Table'!F1440</f>
        <v>199.71</v>
      </c>
      <c r="K185" s="2452">
        <f>'HVAC Deemed Table'!F1441</f>
        <v>766.69</v>
      </c>
      <c r="L185" s="2452"/>
      <c r="M185" s="2452"/>
      <c r="N185" s="2421">
        <f t="shared" si="159"/>
        <v>0.18920899999999999</v>
      </c>
      <c r="O185" s="2421">
        <f t="shared" si="160"/>
        <v>0</v>
      </c>
      <c r="P185" s="2412">
        <f>'HVAC Deemed Table'!I1440</f>
        <v>0.18920899999999999</v>
      </c>
      <c r="Q185" s="2412">
        <f>'HVAC Deemed Table'!I1441</f>
        <v>0</v>
      </c>
      <c r="R185" s="2412"/>
      <c r="S185" s="2412"/>
      <c r="T185" s="2413"/>
      <c r="U185" s="2413"/>
      <c r="V185" s="2413">
        <f t="shared" ref="V185:V188" si="161">N185</f>
        <v>0.18920899999999999</v>
      </c>
      <c r="W185" s="2460">
        <f>'HVAC Deemed Table'!J1440</f>
        <v>18</v>
      </c>
      <c r="X185" s="2460"/>
      <c r="Y185" s="94">
        <f t="shared" si="119"/>
        <v>18</v>
      </c>
      <c r="Z185" s="767">
        <f>'HVAC Deemed Table'!BB1440</f>
        <v>1.708923083266116</v>
      </c>
      <c r="AA185" s="2419">
        <f>'HVAC Deemed Table'!K1440</f>
        <v>438</v>
      </c>
      <c r="AB185" s="2418">
        <f t="shared" si="138"/>
        <v>706.47315759373168</v>
      </c>
      <c r="AC185" s="2418">
        <f t="shared" si="139"/>
        <v>0</v>
      </c>
      <c r="AD185" s="2445">
        <f>'HVAC Deemed Table'!BD1440</f>
        <v>352.25003103015393</v>
      </c>
      <c r="AE185" s="2445">
        <f>'HVAC Deemed Table'!BD1441</f>
        <v>354.22312656357781</v>
      </c>
      <c r="AF185" s="2445"/>
      <c r="AG185" s="2445"/>
      <c r="AH185" s="2378"/>
      <c r="AI185" s="2378"/>
      <c r="AJ185" s="2378"/>
      <c r="AK185" s="2378"/>
      <c r="AL185" s="2380">
        <f t="shared" si="112"/>
        <v>9.4741810000000004E-4</v>
      </c>
      <c r="AM185" s="145">
        <f t="shared" si="151"/>
        <v>0.18920886875100001</v>
      </c>
      <c r="AN185" s="2368">
        <f t="shared" si="113"/>
        <v>-1.312489999738542E-7</v>
      </c>
    </row>
    <row r="186" spans="1:47" x14ac:dyDescent="0.25">
      <c r="A186" s="2598" t="str">
        <f>'HVAC Deemed Table'!C1442</f>
        <v>352901_2019_12_</v>
      </c>
      <c r="B186" s="2425" t="str">
        <f>'HVAC Deemed Table'!G1442</f>
        <v>Cooling Res</v>
      </c>
      <c r="C186" s="2425" t="str">
        <f>'HVAC Deemed Table'!G1443</f>
        <v>Heating Res</v>
      </c>
      <c r="D186" s="245"/>
      <c r="E186" s="245"/>
      <c r="F186" s="245" t="str">
        <f>'HVAC Deemed Table'!E1442</f>
        <v>ASHP - SEER 16 - replace on fail MF_CompE</v>
      </c>
      <c r="G186" s="745" t="str">
        <f>'HVAC Deemed Table'!D1442</f>
        <v>MFc</v>
      </c>
      <c r="H186" s="2420">
        <f t="shared" si="157"/>
        <v>406.62</v>
      </c>
      <c r="I186" s="2420">
        <f t="shared" si="158"/>
        <v>0</v>
      </c>
      <c r="J186" s="2452">
        <f>'HVAC Deemed Table'!F1442</f>
        <v>145.25</v>
      </c>
      <c r="K186" s="2452">
        <f>'HVAC Deemed Table'!F1443</f>
        <v>261.37</v>
      </c>
      <c r="L186" s="2452"/>
      <c r="M186" s="2452"/>
      <c r="N186" s="2421">
        <f t="shared" si="159"/>
        <v>0.13761200000000001</v>
      </c>
      <c r="O186" s="2421">
        <f t="shared" si="160"/>
        <v>0</v>
      </c>
      <c r="P186" s="2412">
        <f>'HVAC Deemed Table'!I1442</f>
        <v>0.13761200000000001</v>
      </c>
      <c r="Q186" s="2412">
        <f>'HVAC Deemed Table'!I1443</f>
        <v>0</v>
      </c>
      <c r="R186" s="2412"/>
      <c r="S186" s="2412"/>
      <c r="T186" s="2413"/>
      <c r="U186" s="2413"/>
      <c r="V186" s="2413">
        <f t="shared" si="161"/>
        <v>0.13761200000000001</v>
      </c>
      <c r="W186" s="2460">
        <f>'HVAC Deemed Table'!J1442</f>
        <v>18</v>
      </c>
      <c r="X186" s="2460"/>
      <c r="Y186" s="94">
        <f t="shared" si="119"/>
        <v>18</v>
      </c>
      <c r="Z186" s="767">
        <f>'HVAC Deemed Table'!BB1442</f>
        <v>0.91182363411783474</v>
      </c>
      <c r="AA186" s="2419">
        <f>'HVAC Deemed Table'!K1442</f>
        <v>438</v>
      </c>
      <c r="AB186" s="2418">
        <f t="shared" si="138"/>
        <v>376.95021401001566</v>
      </c>
      <c r="AC186" s="2418">
        <f t="shared" si="139"/>
        <v>0</v>
      </c>
      <c r="AD186" s="2445">
        <f>'HVAC Deemed Table'!BD1442</f>
        <v>256.19306497987009</v>
      </c>
      <c r="AE186" s="2445">
        <f>'HVAC Deemed Table'!BD1443</f>
        <v>120.7571490301456</v>
      </c>
      <c r="AF186" s="2445"/>
      <c r="AG186" s="2445"/>
      <c r="AH186" s="2378"/>
      <c r="AI186" s="2378"/>
      <c r="AJ186" s="2378"/>
      <c r="AK186" s="2378"/>
      <c r="AL186" s="2380">
        <f t="shared" si="112"/>
        <v>9.4741810000000004E-4</v>
      </c>
      <c r="AM186" s="145">
        <f t="shared" si="151"/>
        <v>0.13761247902500001</v>
      </c>
      <c r="AN186" s="2368">
        <f t="shared" si="113"/>
        <v>4.7902499999974424E-7</v>
      </c>
    </row>
    <row r="187" spans="1:47" x14ac:dyDescent="0.25">
      <c r="A187" s="2598" t="str">
        <f>'HVAC Deemed Table'!C1444</f>
        <v>352950_2019_12_</v>
      </c>
      <c r="B187" s="2425" t="str">
        <f>'HVAC Deemed Table'!G1444</f>
        <v>Cooling Res</v>
      </c>
      <c r="C187" s="2425" t="str">
        <f>'HVAC Deemed Table'!G1445</f>
        <v>Heating Res</v>
      </c>
      <c r="D187" s="245"/>
      <c r="E187" s="245"/>
      <c r="F187" s="245" t="str">
        <f>'HVAC Deemed Table'!E1444</f>
        <v>ASHP - SEER 16 - replace electric furnace / CAC MF</v>
      </c>
      <c r="G187" s="745" t="str">
        <f>'HVAC Deemed Table'!D1444</f>
        <v>MF</v>
      </c>
      <c r="H187" s="2420">
        <f t="shared" si="157"/>
        <v>7413.53</v>
      </c>
      <c r="I187" s="2420">
        <f t="shared" si="158"/>
        <v>0</v>
      </c>
      <c r="J187" s="2452">
        <f>'HVAC Deemed Table'!F1444</f>
        <v>312.83999999999997</v>
      </c>
      <c r="K187" s="2452">
        <f>'HVAC Deemed Table'!F1445</f>
        <v>7100.69</v>
      </c>
      <c r="L187" s="2452"/>
      <c r="M187" s="2452"/>
      <c r="N187" s="2421">
        <f t="shared" si="159"/>
        <v>0.29638999999999999</v>
      </c>
      <c r="O187" s="2421">
        <f t="shared" si="160"/>
        <v>0</v>
      </c>
      <c r="P187" s="2412">
        <f>'HVAC Deemed Table'!I1444</f>
        <v>0.29638999999999999</v>
      </c>
      <c r="Q187" s="2412">
        <f>'HVAC Deemed Table'!I1445</f>
        <v>0</v>
      </c>
      <c r="R187" s="2412"/>
      <c r="S187" s="2412"/>
      <c r="T187" s="2413"/>
      <c r="U187" s="2413"/>
      <c r="V187" s="2413">
        <f t="shared" si="161"/>
        <v>0.29638999999999999</v>
      </c>
      <c r="W187" s="2460">
        <f>'HVAC Deemed Table'!J1444</f>
        <v>18</v>
      </c>
      <c r="X187" s="2460"/>
      <c r="Y187" s="94">
        <f t="shared" si="119"/>
        <v>18</v>
      </c>
      <c r="Z187" s="767">
        <f>'HVAC Deemed Table'!BB1444</f>
        <v>9.2704380659672978</v>
      </c>
      <c r="AA187" s="2419">
        <f>'HVAC Deemed Table'!K1444</f>
        <v>438</v>
      </c>
      <c r="AB187" s="2418">
        <f t="shared" si="138"/>
        <v>3832.4227209945029</v>
      </c>
      <c r="AC187" s="2418">
        <f t="shared" si="139"/>
        <v>0</v>
      </c>
      <c r="AD187" s="2445">
        <f>'HVAC Deemed Table'!BD1444</f>
        <v>551.78959344786608</v>
      </c>
      <c r="AE187" s="2445">
        <f>'HVAC Deemed Table'!BD1445</f>
        <v>3280.6331275466368</v>
      </c>
      <c r="AF187" s="2445"/>
      <c r="AG187" s="2445"/>
      <c r="AH187" s="2378"/>
      <c r="AI187" s="2378"/>
      <c r="AJ187" s="2378"/>
      <c r="AK187" s="2378"/>
      <c r="AL187" s="2380">
        <f t="shared" si="112"/>
        <v>9.4741810000000004E-4</v>
      </c>
      <c r="AM187" s="145">
        <f t="shared" si="151"/>
        <v>0.29639027840400001</v>
      </c>
      <c r="AN187" s="2368">
        <f t="shared" si="113"/>
        <v>2.7840400002032695E-7</v>
      </c>
    </row>
    <row r="188" spans="1:47" x14ac:dyDescent="0.25">
      <c r="A188" s="2598" t="str">
        <f>'HVAC Deemed Table'!C1446</f>
        <v>352951_2019_12_</v>
      </c>
      <c r="B188" s="2425" t="str">
        <f>'HVAC Deemed Table'!G1446</f>
        <v>Cooling Res</v>
      </c>
      <c r="C188" s="2425" t="str">
        <f>'HVAC Deemed Table'!G1447</f>
        <v>Heating Res</v>
      </c>
      <c r="D188" s="245"/>
      <c r="E188" s="245"/>
      <c r="F188" s="245" t="str">
        <f>'HVAC Deemed Table'!E1446</f>
        <v>ASHP - SEER 16 - replace electric furnace / CAC MF_CompE</v>
      </c>
      <c r="G188" s="745" t="str">
        <f>'HVAC Deemed Table'!D1446</f>
        <v>MFc</v>
      </c>
      <c r="H188" s="2420">
        <f t="shared" si="157"/>
        <v>2648.21</v>
      </c>
      <c r="I188" s="2420">
        <f t="shared" si="158"/>
        <v>0</v>
      </c>
      <c r="J188" s="2452">
        <f>'HVAC Deemed Table'!F1446</f>
        <v>227.52</v>
      </c>
      <c r="K188" s="2452">
        <f>'HVAC Deemed Table'!F1447</f>
        <v>2420.69</v>
      </c>
      <c r="L188" s="2452"/>
      <c r="M188" s="2452"/>
      <c r="N188" s="2421">
        <f t="shared" si="159"/>
        <v>0.29638999999999999</v>
      </c>
      <c r="O188" s="2421">
        <f t="shared" si="160"/>
        <v>0</v>
      </c>
      <c r="P188" s="2412">
        <f>'HVAC Deemed Table'!I1446</f>
        <v>0.29638999999999999</v>
      </c>
      <c r="Q188" s="2412">
        <f>'HVAC Deemed Table'!I1447</f>
        <v>0</v>
      </c>
      <c r="R188" s="2412"/>
      <c r="S188" s="2412"/>
      <c r="T188" s="2413"/>
      <c r="U188" s="2413"/>
      <c r="V188" s="2413">
        <f t="shared" si="161"/>
        <v>0.29638999999999999</v>
      </c>
      <c r="W188" s="2460">
        <f>'HVAC Deemed Table'!J1446</f>
        <v>18</v>
      </c>
      <c r="X188" s="2460"/>
      <c r="Y188" s="94">
        <f t="shared" si="119"/>
        <v>18</v>
      </c>
      <c r="Z188" s="767">
        <f>'HVAC Deemed Table'!BB1446</f>
        <v>3.6760762375909093</v>
      </c>
      <c r="AA188" s="2419">
        <f>'HVAC Deemed Table'!K1446</f>
        <v>438</v>
      </c>
      <c r="AB188" s="2418">
        <f t="shared" si="138"/>
        <v>1519.6992846293706</v>
      </c>
      <c r="AC188" s="2418">
        <f t="shared" si="139"/>
        <v>0</v>
      </c>
      <c r="AD188" s="2445">
        <f>'HVAC Deemed Table'!BD1446</f>
        <v>401.301522507539</v>
      </c>
      <c r="AE188" s="2445">
        <f>'HVAC Deemed Table'!BD1447</f>
        <v>1118.3977621218316</v>
      </c>
      <c r="AF188" s="2445"/>
      <c r="AG188" s="2445"/>
      <c r="AH188" s="2378"/>
      <c r="AI188" s="2378"/>
      <c r="AJ188" s="2378"/>
      <c r="AK188" s="2378"/>
      <c r="AL188" s="2380">
        <f t="shared" si="112"/>
        <v>9.4741810000000004E-4</v>
      </c>
      <c r="AM188" s="145">
        <f t="shared" si="151"/>
        <v>0.21555656611200003</v>
      </c>
      <c r="AN188" s="2376">
        <f t="shared" si="113"/>
        <v>-8.0833433887999961E-2</v>
      </c>
      <c r="AO188" s="248">
        <f>AN188/N188</f>
        <v>-0.27272658958804269</v>
      </c>
    </row>
    <row r="189" spans="1:47" x14ac:dyDescent="0.25">
      <c r="A189" s="2598" t="str">
        <f>'HVAC Deemed Table'!C1448</f>
        <v>353000_2019_12_</v>
      </c>
      <c r="B189" s="2425" t="str">
        <f>'HVAC Deemed Table'!G1448</f>
        <v>Cooling Res</v>
      </c>
      <c r="C189" s="2425" t="str">
        <f>'HVAC Deemed Table'!G1449</f>
        <v>Heating Res</v>
      </c>
      <c r="D189" s="2425" t="str">
        <f>'HVAC Deemed Table'!G1450</f>
        <v>Cooling Res ER2</v>
      </c>
      <c r="E189" s="2425" t="str">
        <f>'HVAC Deemed Table'!G1451</f>
        <v>Heating Res ER2</v>
      </c>
      <c r="F189" s="245" t="str">
        <f>'HVAC Deemed Table'!E1448</f>
        <v>ASHP - SEER 16 - replace electric furnace / CAC - early replacement MF ER1</v>
      </c>
      <c r="G189" s="745" t="str">
        <f>'HVAC Deemed Table'!D1448</f>
        <v>MF</v>
      </c>
      <c r="H189" s="2420">
        <f t="shared" ref="H189:H190" si="162">J189+K189</f>
        <v>7969</v>
      </c>
      <c r="I189" s="2420">
        <f t="shared" ref="I189:I190" si="163">L189+M189</f>
        <v>7062.84</v>
      </c>
      <c r="J189" s="2452">
        <f>'HVAC Deemed Table'!F1448</f>
        <v>1209.22</v>
      </c>
      <c r="K189" s="2452">
        <f>'HVAC Deemed Table'!F1449</f>
        <v>6759.78</v>
      </c>
      <c r="L189" s="2452">
        <f>'HVAC Deemed Table'!F1450</f>
        <v>303.06</v>
      </c>
      <c r="M189" s="2452">
        <f>'HVAC Deemed Table'!F1451</f>
        <v>6759.78</v>
      </c>
      <c r="N189" s="2421">
        <f t="shared" ref="N189:N190" si="164">P189+Q189</f>
        <v>1.145637</v>
      </c>
      <c r="O189" s="2421">
        <f t="shared" ref="O189:O190" si="165">R189+S189</f>
        <v>0.28712500000000002</v>
      </c>
      <c r="P189" s="2412">
        <f>'HVAC Deemed Table'!I1448</f>
        <v>1.145637</v>
      </c>
      <c r="Q189" s="2412">
        <f>'HVAC Deemed Table'!I1449</f>
        <v>0</v>
      </c>
      <c r="R189" s="2412">
        <f>'HVAC Deemed Table'!I1450</f>
        <v>0.28712500000000002</v>
      </c>
      <c r="S189" s="2412">
        <f>'HVAC Deemed Table'!I1451</f>
        <v>0</v>
      </c>
      <c r="T189" s="2413"/>
      <c r="U189" s="2413"/>
      <c r="V189" s="2424">
        <f>O189</f>
        <v>0.28712500000000002</v>
      </c>
      <c r="W189" s="2460">
        <f>'HVAC Deemed Table'!J1448</f>
        <v>6</v>
      </c>
      <c r="X189" s="2460">
        <f>'HVAC Deemed Table'!J1450</f>
        <v>12</v>
      </c>
      <c r="Y189" s="94">
        <f t="shared" si="119"/>
        <v>18</v>
      </c>
      <c r="Z189" s="767">
        <f>'HVAC Deemed Table'!BB1448</f>
        <v>4.8219261251614016</v>
      </c>
      <c r="AA189" s="2419">
        <f>'HVAC Deemed Table'!K1448</f>
        <v>919.45980121616685</v>
      </c>
      <c r="AB189" s="2418">
        <f t="shared" si="138"/>
        <v>1827.5201746506664</v>
      </c>
      <c r="AC189" s="2418">
        <f t="shared" si="139"/>
        <v>2357.0642864346983</v>
      </c>
      <c r="AD189" s="2445">
        <f>'HVAC Deemed Table'!BD1448</f>
        <v>703.1422795042696</v>
      </c>
      <c r="AE189" s="2445">
        <f>'HVAC Deemed Table'!BD1449</f>
        <v>1124.3778951463969</v>
      </c>
      <c r="AF189" s="2445">
        <f>'HVAC Deemed Table'!BD1450</f>
        <v>358.31496395475097</v>
      </c>
      <c r="AG189" s="2445">
        <f>'HVAC Deemed Table'!BD1451</f>
        <v>1998.7493224799473</v>
      </c>
      <c r="AH189" s="2378"/>
      <c r="AI189" s="2378"/>
      <c r="AJ189" s="2378"/>
      <c r="AK189" s="2378"/>
      <c r="AL189" s="2380">
        <f t="shared" si="112"/>
        <v>9.4741810000000004E-4</v>
      </c>
      <c r="AM189" s="145">
        <f t="shared" si="151"/>
        <v>1.145636914882</v>
      </c>
      <c r="AN189" s="2368">
        <f t="shared" si="113"/>
        <v>-8.5117999981676462E-8</v>
      </c>
    </row>
    <row r="190" spans="1:47" x14ac:dyDescent="0.25">
      <c r="A190" s="2598" t="str">
        <f>'HVAC Deemed Table'!C1452</f>
        <v>353001_2019_12_</v>
      </c>
      <c r="B190" s="2425" t="str">
        <f>'HVAC Deemed Table'!G1452</f>
        <v>Cooling Res</v>
      </c>
      <c r="C190" s="2425" t="str">
        <f>'HVAC Deemed Table'!G1453</f>
        <v>Heating Res</v>
      </c>
      <c r="D190" s="2425" t="str">
        <f>'HVAC Deemed Table'!G1454</f>
        <v>Cooling Res ER2</v>
      </c>
      <c r="E190" s="2425" t="str">
        <f>'HVAC Deemed Table'!G1455</f>
        <v>Heating Res ER2</v>
      </c>
      <c r="F190" s="245" t="str">
        <f>'HVAC Deemed Table'!E1452</f>
        <v>ASHP - SEER 16 - replace electric furnace / CAC - early replacement MF ER1_CompE</v>
      </c>
      <c r="G190" s="745" t="str">
        <f>'HVAC Deemed Table'!D1452</f>
        <v>MFc</v>
      </c>
      <c r="H190" s="2420">
        <f t="shared" si="162"/>
        <v>3183.91</v>
      </c>
      <c r="I190" s="2420">
        <f t="shared" si="163"/>
        <v>2524.8799999999997</v>
      </c>
      <c r="J190" s="2452">
        <f>'HVAC Deemed Table'!F1452</f>
        <v>879.44</v>
      </c>
      <c r="K190" s="2452">
        <f>'HVAC Deemed Table'!F1453</f>
        <v>2304.4699999999998</v>
      </c>
      <c r="L190" s="2452">
        <f>'HVAC Deemed Table'!F1454</f>
        <v>220.41</v>
      </c>
      <c r="M190" s="2452">
        <f>'HVAC Deemed Table'!F1455</f>
        <v>2304.4699999999998</v>
      </c>
      <c r="N190" s="2421">
        <f t="shared" si="164"/>
        <v>0.83319699999999997</v>
      </c>
      <c r="O190" s="2421">
        <f t="shared" si="165"/>
        <v>0.20882000000000001</v>
      </c>
      <c r="P190" s="2412">
        <f>'HVAC Deemed Table'!I1452</f>
        <v>0.83319699999999997</v>
      </c>
      <c r="Q190" s="2412">
        <f>'HVAC Deemed Table'!I1453</f>
        <v>0</v>
      </c>
      <c r="R190" s="2412">
        <f>'HVAC Deemed Table'!I1454</f>
        <v>0.20882000000000001</v>
      </c>
      <c r="S190" s="2412">
        <f>'HVAC Deemed Table'!I1455</f>
        <v>0</v>
      </c>
      <c r="T190" s="2413"/>
      <c r="U190" s="2413"/>
      <c r="V190" s="2424">
        <f>O190</f>
        <v>0.20882000000000001</v>
      </c>
      <c r="W190" s="2460">
        <f>'HVAC Deemed Table'!J1452</f>
        <v>6</v>
      </c>
      <c r="X190" s="2460">
        <f>'HVAC Deemed Table'!J1454</f>
        <v>12</v>
      </c>
      <c r="Y190" s="94">
        <f t="shared" si="119"/>
        <v>18</v>
      </c>
      <c r="Z190" s="767">
        <f>'HVAC Deemed Table'!BB1452</f>
        <v>2.1164176867762667</v>
      </c>
      <c r="AA190" s="2419">
        <f>'HVAC Deemed Table'!K1452</f>
        <v>919.45980121616685</v>
      </c>
      <c r="AB190" s="2418">
        <f t="shared" si="138"/>
        <v>894.69100271805996</v>
      </c>
      <c r="AC190" s="2418">
        <f t="shared" si="139"/>
        <v>941.98760565729208</v>
      </c>
      <c r="AD190" s="2445">
        <f>'HVAC Deemed Table'!BD1452</f>
        <v>511.38043225156292</v>
      </c>
      <c r="AE190" s="2445">
        <f>'HVAC Deemed Table'!BD1453</f>
        <v>383.31057046649704</v>
      </c>
      <c r="AF190" s="2445">
        <f>'HVAC Deemed Table'!BD1454</f>
        <v>260.59592557667349</v>
      </c>
      <c r="AG190" s="2445">
        <f>'HVAC Deemed Table'!BD1455</f>
        <v>681.39168008061858</v>
      </c>
      <c r="AH190" s="2378"/>
      <c r="AI190" s="2378"/>
      <c r="AJ190" s="2378"/>
      <c r="AK190" s="2378"/>
      <c r="AL190" s="2380">
        <f t="shared" si="112"/>
        <v>9.4741810000000004E-4</v>
      </c>
      <c r="AM190" s="145">
        <f t="shared" si="151"/>
        <v>0.83319737386400006</v>
      </c>
      <c r="AN190" s="2376">
        <f t="shared" si="113"/>
        <v>3.7386400009165044E-7</v>
      </c>
      <c r="AO190" s="248">
        <f>AN190/N190</f>
        <v>4.4871020910018935E-7</v>
      </c>
    </row>
    <row r="191" spans="1:47" x14ac:dyDescent="0.25">
      <c r="A191" s="2598" t="str">
        <f>'HVAC Deemed Table'!C1456</f>
        <v>353050_2019_12_</v>
      </c>
      <c r="B191" s="2425" t="str">
        <f>'HVAC Deemed Table'!G1456</f>
        <v>Cooling Res</v>
      </c>
      <c r="C191" s="2425" t="str">
        <f>'HVAC Deemed Table'!G1457</f>
        <v>Heating Res</v>
      </c>
      <c r="D191" s="245"/>
      <c r="E191" s="245"/>
      <c r="F191" s="245" t="str">
        <f>'HVAC Deemed Table'!E1456</f>
        <v xml:space="preserve">ASHP SEER 15 - replace on Fail MF </v>
      </c>
      <c r="G191" s="745" t="str">
        <f>'HVAC Deemed Table'!D1456</f>
        <v>MF</v>
      </c>
      <c r="H191" s="2420">
        <f t="shared" ref="H191:H201" si="166">J191+K191</f>
        <v>362.87</v>
      </c>
      <c r="I191" s="2420">
        <f t="shared" ref="I191:I201" si="167">L191+M191</f>
        <v>0</v>
      </c>
      <c r="J191" s="2452">
        <f>'HVAC Deemed Table'!F1456</f>
        <v>109.34</v>
      </c>
      <c r="K191" s="2452">
        <f>'HVAC Deemed Table'!F1457</f>
        <v>253.53</v>
      </c>
      <c r="L191" s="2452"/>
      <c r="M191" s="2452"/>
      <c r="N191" s="2421">
        <f t="shared" ref="N191:N198" si="168">P191+Q191</f>
        <v>0.103591</v>
      </c>
      <c r="O191" s="2421">
        <f t="shared" ref="O191:O198" si="169">R191+S191</f>
        <v>0</v>
      </c>
      <c r="P191" s="2412">
        <f>'HVAC Deemed Table'!I1456</f>
        <v>0.103591</v>
      </c>
      <c r="Q191" s="2412">
        <f>'HVAC Deemed Table'!I1457</f>
        <v>0</v>
      </c>
      <c r="R191" s="2412"/>
      <c r="S191" s="2412"/>
      <c r="T191" s="2413"/>
      <c r="U191" s="2413"/>
      <c r="V191" s="2413">
        <f t="shared" ref="V191:V201" si="170">N191</f>
        <v>0.103591</v>
      </c>
      <c r="W191" s="2460">
        <f>'HVAC Deemed Table'!J1456</f>
        <v>18</v>
      </c>
      <c r="X191" s="2460"/>
      <c r="Y191" s="94">
        <f t="shared" si="119"/>
        <v>18</v>
      </c>
      <c r="Z191" s="767">
        <f>'HVAC Deemed Table'!BB1456</f>
        <v>1.0839407911241059</v>
      </c>
      <c r="AA191" s="2419">
        <f>'HVAC Deemed Table'!K1456</f>
        <v>303</v>
      </c>
      <c r="AB191" s="2418">
        <f t="shared" si="138"/>
        <v>309.98967410156115</v>
      </c>
      <c r="AC191" s="2418">
        <f t="shared" si="139"/>
        <v>0</v>
      </c>
      <c r="AD191" s="2445">
        <f>'HVAC Deemed Table'!BD1456</f>
        <v>192.85473132460581</v>
      </c>
      <c r="AE191" s="2445">
        <f>'HVAC Deemed Table'!BD1457</f>
        <v>117.13494277695533</v>
      </c>
      <c r="AF191" s="2445"/>
      <c r="AG191" s="2445"/>
      <c r="AH191" s="2378"/>
      <c r="AI191" s="2378"/>
      <c r="AJ191" s="2378"/>
      <c r="AK191" s="2378"/>
      <c r="AL191" s="2380">
        <f t="shared" si="112"/>
        <v>9.4741810000000004E-4</v>
      </c>
      <c r="AM191" s="145">
        <f t="shared" si="151"/>
        <v>0.10359069505400001</v>
      </c>
      <c r="AN191" s="2368">
        <f t="shared" si="113"/>
        <v>-3.0494599999320027E-7</v>
      </c>
    </row>
    <row r="192" spans="1:47" x14ac:dyDescent="0.25">
      <c r="A192" s="2598" t="str">
        <f>'HVAC Deemed Table'!C1458</f>
        <v>353051_2019_12_</v>
      </c>
      <c r="B192" s="2425" t="str">
        <f>'HVAC Deemed Table'!G1458</f>
        <v>Cooling Res</v>
      </c>
      <c r="C192" s="2425" t="str">
        <f>'HVAC Deemed Table'!G1459</f>
        <v>Heating Res</v>
      </c>
      <c r="D192" s="245"/>
      <c r="E192" s="245"/>
      <c r="F192" s="245" t="str">
        <f>'HVAC Deemed Table'!E1458</f>
        <v>ASHP SEER 15 - replace on Fail MF _CompE</v>
      </c>
      <c r="G192" s="745" t="str">
        <f>'HVAC Deemed Table'!D1458</f>
        <v>MFc</v>
      </c>
      <c r="H192" s="2420">
        <f t="shared" si="166"/>
        <v>165.95</v>
      </c>
      <c r="I192" s="2420">
        <f t="shared" si="167"/>
        <v>0</v>
      </c>
      <c r="J192" s="2452">
        <f>'HVAC Deemed Table'!F1458</f>
        <v>79.52</v>
      </c>
      <c r="K192" s="2452">
        <f>'HVAC Deemed Table'!F1459</f>
        <v>86.43</v>
      </c>
      <c r="L192" s="2452"/>
      <c r="M192" s="2452"/>
      <c r="N192" s="2421">
        <f t="shared" si="168"/>
        <v>7.5339000000000003E-2</v>
      </c>
      <c r="O192" s="2421">
        <f t="shared" si="169"/>
        <v>0</v>
      </c>
      <c r="P192" s="2412">
        <f>'HVAC Deemed Table'!I1458</f>
        <v>7.5339000000000003E-2</v>
      </c>
      <c r="Q192" s="2412">
        <f>'HVAC Deemed Table'!I1459</f>
        <v>0</v>
      </c>
      <c r="R192" s="2412"/>
      <c r="S192" s="2412"/>
      <c r="T192" s="2413"/>
      <c r="U192" s="2413"/>
      <c r="V192" s="2413">
        <f t="shared" si="170"/>
        <v>7.5339000000000003E-2</v>
      </c>
      <c r="W192" s="2460">
        <f>'HVAC Deemed Table'!J1458</f>
        <v>18</v>
      </c>
      <c r="X192" s="2460"/>
      <c r="Y192" s="94">
        <f t="shared" si="119"/>
        <v>18</v>
      </c>
      <c r="Z192" s="767">
        <f>'HVAC Deemed Table'!BB1458</f>
        <v>0.63007044732450812</v>
      </c>
      <c r="AA192" s="2419">
        <f>'HVAC Deemed Table'!K1458</f>
        <v>303</v>
      </c>
      <c r="AB192" s="2418">
        <f t="shared" si="138"/>
        <v>180.19003826269554</v>
      </c>
      <c r="AC192" s="2418">
        <f t="shared" si="139"/>
        <v>0</v>
      </c>
      <c r="AD192" s="2445">
        <f>'HVAC Deemed Table'!BD1458</f>
        <v>140.25798641789513</v>
      </c>
      <c r="AE192" s="2445">
        <f>'HVAC Deemed Table'!BD1459</f>
        <v>39.932051844800419</v>
      </c>
      <c r="AF192" s="2445"/>
      <c r="AG192" s="2445"/>
      <c r="AH192" s="2378"/>
      <c r="AI192" s="2378"/>
      <c r="AJ192" s="2378"/>
      <c r="AK192" s="2378"/>
      <c r="AL192" s="2380">
        <f t="shared" si="112"/>
        <v>9.4741810000000004E-4</v>
      </c>
      <c r="AM192" s="145">
        <f t="shared" si="151"/>
        <v>7.5338687311999997E-2</v>
      </c>
      <c r="AN192" s="2376">
        <f t="shared" si="113"/>
        <v>-3.1268800000650021E-7</v>
      </c>
      <c r="AO192" s="248">
        <f>AN192/N192</f>
        <v>-4.150413464560191E-6</v>
      </c>
    </row>
    <row r="193" spans="1:41" x14ac:dyDescent="0.25">
      <c r="A193" s="2598" t="str">
        <f>'HVAC Deemed Table'!C1460</f>
        <v>353100_2019_12_</v>
      </c>
      <c r="B193" s="2425" t="str">
        <f>'HVAC Deemed Table'!G1460</f>
        <v>Cooling Res</v>
      </c>
      <c r="C193" s="2425" t="str">
        <f>'HVAC Deemed Table'!G1461</f>
        <v>Heating Res</v>
      </c>
      <c r="D193" s="245"/>
      <c r="E193" s="245"/>
      <c r="F193" s="245" t="str">
        <f>'HVAC Deemed Table'!E1460</f>
        <v>ASHP - SEER 17 - replace electric furnace / CAC SF</v>
      </c>
      <c r="G193" s="745" t="str">
        <f>'HVAC Deemed Table'!D1460</f>
        <v>SF</v>
      </c>
      <c r="H193" s="2420">
        <f t="shared" si="166"/>
        <v>10087.1</v>
      </c>
      <c r="I193" s="2420">
        <f t="shared" si="167"/>
        <v>0</v>
      </c>
      <c r="J193" s="2452">
        <f>'HVAC Deemed Table'!F1460</f>
        <v>528.48</v>
      </c>
      <c r="K193" s="2452">
        <f>'HVAC Deemed Table'!F1461</f>
        <v>9558.6200000000008</v>
      </c>
      <c r="L193" s="2452"/>
      <c r="M193" s="2452"/>
      <c r="N193" s="2421">
        <f t="shared" si="168"/>
        <v>0.50069200000000003</v>
      </c>
      <c r="O193" s="2421">
        <f t="shared" si="169"/>
        <v>0</v>
      </c>
      <c r="P193" s="2412">
        <f>'HVAC Deemed Table'!I1460</f>
        <v>0.50069200000000003</v>
      </c>
      <c r="Q193" s="2412">
        <f>'HVAC Deemed Table'!I1461</f>
        <v>0</v>
      </c>
      <c r="R193" s="2412"/>
      <c r="S193" s="2412"/>
      <c r="T193" s="2413"/>
      <c r="U193" s="2413"/>
      <c r="V193" s="2413">
        <f t="shared" si="170"/>
        <v>0.50069200000000003</v>
      </c>
      <c r="W193" s="2460">
        <f>'HVAC Deemed Table'!J1460</f>
        <v>18</v>
      </c>
      <c r="X193" s="2460"/>
      <c r="Y193" s="94">
        <f t="shared" si="119"/>
        <v>18</v>
      </c>
      <c r="Z193" s="767">
        <f>'HVAC Deemed Table'!BB1460</f>
        <v>7.8267978873137816</v>
      </c>
      <c r="AA193" s="2419">
        <f>'HVAC Deemed Table'!K1460</f>
        <v>724</v>
      </c>
      <c r="AB193" s="2418">
        <f t="shared" si="138"/>
        <v>5348.3734501323052</v>
      </c>
      <c r="AC193" s="2418">
        <f t="shared" si="139"/>
        <v>0</v>
      </c>
      <c r="AD193" s="2445">
        <f>'HVAC Deemed Table'!BD1460</f>
        <v>932.13708076118235</v>
      </c>
      <c r="AE193" s="2445">
        <f>'HVAC Deemed Table'!BD1461</f>
        <v>4416.2363693711231</v>
      </c>
      <c r="AF193" s="2445"/>
      <c r="AG193" s="2445"/>
      <c r="AH193" s="2378"/>
      <c r="AI193" s="2378"/>
      <c r="AJ193" s="2378"/>
      <c r="AK193" s="2378"/>
      <c r="AL193" s="2380">
        <f t="shared" si="112"/>
        <v>9.4741810000000004E-4</v>
      </c>
      <c r="AM193" s="145">
        <f t="shared" si="151"/>
        <v>0.500691517488</v>
      </c>
      <c r="AN193" s="2368">
        <f t="shared" si="113"/>
        <v>-4.8251200002180639E-7</v>
      </c>
    </row>
    <row r="194" spans="1:41" x14ac:dyDescent="0.25">
      <c r="A194" s="2598" t="str">
        <f>'HVAC Deemed Table'!C1462</f>
        <v>353150_2019_12_</v>
      </c>
      <c r="B194" s="2425" t="str">
        <f>'HVAC Deemed Table'!G1462</f>
        <v>Cooling Res</v>
      </c>
      <c r="C194" s="2425" t="str">
        <f>'HVAC Deemed Table'!G1463</f>
        <v>Heating Res</v>
      </c>
      <c r="D194" s="245"/>
      <c r="E194" s="245"/>
      <c r="F194" s="245" t="str">
        <f>'HVAC Deemed Table'!E1462</f>
        <v>ASHP - SEER 17 - replace electric furnace / CAC MF</v>
      </c>
      <c r="G194" s="745" t="str">
        <f>'HVAC Deemed Table'!D1462</f>
        <v>MF</v>
      </c>
      <c r="H194" s="2420">
        <f t="shared" si="166"/>
        <v>6556.62</v>
      </c>
      <c r="I194" s="2420">
        <f t="shared" si="167"/>
        <v>0</v>
      </c>
      <c r="J194" s="2452">
        <f>'HVAC Deemed Table'!F1462</f>
        <v>343.51</v>
      </c>
      <c r="K194" s="2452">
        <f>'HVAC Deemed Table'!F1463</f>
        <v>6213.11</v>
      </c>
      <c r="L194" s="2452"/>
      <c r="M194" s="2452"/>
      <c r="N194" s="2421">
        <f t="shared" si="168"/>
        <v>0.32544800000000002</v>
      </c>
      <c r="O194" s="2421">
        <f t="shared" si="169"/>
        <v>0</v>
      </c>
      <c r="P194" s="2412">
        <f>'HVAC Deemed Table'!I1462</f>
        <v>0.32544800000000002</v>
      </c>
      <c r="Q194" s="2412">
        <f>'HVAC Deemed Table'!I1463</f>
        <v>0</v>
      </c>
      <c r="R194" s="2412"/>
      <c r="S194" s="2412"/>
      <c r="T194" s="2413"/>
      <c r="U194" s="2413"/>
      <c r="V194" s="2413">
        <f t="shared" si="170"/>
        <v>0.32544800000000002</v>
      </c>
      <c r="W194" s="2460">
        <f>'HVAC Deemed Table'!J1462</f>
        <v>18</v>
      </c>
      <c r="X194" s="2460"/>
      <c r="Y194" s="94">
        <f t="shared" si="119"/>
        <v>18</v>
      </c>
      <c r="Z194" s="767">
        <f>'HVAC Deemed Table'!BB1462</f>
        <v>5.0874181972428625</v>
      </c>
      <c r="AA194" s="2419">
        <f>'HVAC Deemed Table'!K1462</f>
        <v>724</v>
      </c>
      <c r="AB194" s="2418">
        <f t="shared" si="138"/>
        <v>3476.4424490833712</v>
      </c>
      <c r="AC194" s="2418">
        <f t="shared" si="139"/>
        <v>0</v>
      </c>
      <c r="AD194" s="2445">
        <f>'HVAC Deemed Table'!BD1462</f>
        <v>605.88557487941591</v>
      </c>
      <c r="AE194" s="2445">
        <f>'HVAC Deemed Table'!BD1463</f>
        <v>2870.5568742039554</v>
      </c>
      <c r="AF194" s="2445"/>
      <c r="AG194" s="2445"/>
      <c r="AH194" s="2378"/>
      <c r="AI194" s="2378"/>
      <c r="AJ194" s="2378"/>
      <c r="AK194" s="2378"/>
      <c r="AL194" s="2380">
        <f t="shared" si="112"/>
        <v>9.4741810000000004E-4</v>
      </c>
      <c r="AM194" s="145">
        <f t="shared" si="151"/>
        <v>0.325447591531</v>
      </c>
      <c r="AN194" s="2368">
        <f t="shared" si="113"/>
        <v>-4.0846900001278996E-7</v>
      </c>
    </row>
    <row r="195" spans="1:41" x14ac:dyDescent="0.25">
      <c r="A195" s="2598" t="str">
        <f>'HVAC Deemed Table'!C1464</f>
        <v>353151_2019_12_</v>
      </c>
      <c r="B195" s="2425" t="str">
        <f>'HVAC Deemed Table'!G1464</f>
        <v>Cooling Res</v>
      </c>
      <c r="C195" s="2425" t="str">
        <f>'HVAC Deemed Table'!G1465</f>
        <v>Heating Res</v>
      </c>
      <c r="D195" s="245"/>
      <c r="E195" s="245"/>
      <c r="F195" s="245" t="str">
        <f>'HVAC Deemed Table'!E1464</f>
        <v>ASHP - SEER 17 - replace electric furnace / CAC MF_CompE</v>
      </c>
      <c r="G195" s="745" t="str">
        <f>'HVAC Deemed Table'!D1464</f>
        <v>MFc</v>
      </c>
      <c r="H195" s="2420">
        <f t="shared" si="166"/>
        <v>2367.9299999999998</v>
      </c>
      <c r="I195" s="2420">
        <f t="shared" si="167"/>
        <v>0</v>
      </c>
      <c r="J195" s="2452">
        <f>'HVAC Deemed Table'!F1464</f>
        <v>249.83</v>
      </c>
      <c r="K195" s="2452">
        <f>'HVAC Deemed Table'!F1465</f>
        <v>2118.1</v>
      </c>
      <c r="L195" s="2452"/>
      <c r="M195" s="2452"/>
      <c r="N195" s="2421">
        <f t="shared" si="168"/>
        <v>0.23669299999999999</v>
      </c>
      <c r="O195" s="2421">
        <f t="shared" si="169"/>
        <v>0</v>
      </c>
      <c r="P195" s="2412">
        <f>'HVAC Deemed Table'!I1464</f>
        <v>0.23669299999999999</v>
      </c>
      <c r="Q195" s="2412">
        <f>'HVAC Deemed Table'!I1465</f>
        <v>0</v>
      </c>
      <c r="R195" s="2412"/>
      <c r="S195" s="2412"/>
      <c r="T195" s="2413"/>
      <c r="U195" s="2413"/>
      <c r="V195" s="2413">
        <f t="shared" si="170"/>
        <v>0.23669299999999999</v>
      </c>
      <c r="W195" s="2460">
        <f>'HVAC Deemed Table'!J1464</f>
        <v>18</v>
      </c>
      <c r="X195" s="2460"/>
      <c r="Y195" s="94">
        <f t="shared" si="119"/>
        <v>18</v>
      </c>
      <c r="Z195" s="767">
        <f>'HVAC Deemed Table'!BB1464</f>
        <v>2.0769249443850204</v>
      </c>
      <c r="AA195" s="2419">
        <f>'HVAC Deemed Table'!K1464</f>
        <v>724</v>
      </c>
      <c r="AB195" s="2418">
        <f t="shared" si="138"/>
        <v>1419.2483810615902</v>
      </c>
      <c r="AC195" s="2418">
        <f t="shared" si="139"/>
        <v>0</v>
      </c>
      <c r="AD195" s="2445">
        <f>'HVAC Deemed Table'!BD1464</f>
        <v>440.65207176537655</v>
      </c>
      <c r="AE195" s="2445">
        <f>'HVAC Deemed Table'!BD1465</f>
        <v>978.59630929621369</v>
      </c>
      <c r="AF195" s="2445"/>
      <c r="AG195" s="2445"/>
      <c r="AH195" s="2378"/>
      <c r="AI195" s="2378"/>
      <c r="AJ195" s="2378"/>
      <c r="AK195" s="2378"/>
      <c r="AL195" s="2380">
        <f t="shared" si="112"/>
        <v>9.4741810000000004E-4</v>
      </c>
      <c r="AM195" s="145">
        <f t="shared" si="151"/>
        <v>0.23669346392300003</v>
      </c>
      <c r="AN195" s="2376">
        <f t="shared" si="113"/>
        <v>4.6392300004360898E-7</v>
      </c>
      <c r="AO195" s="248">
        <f>AN195/N195</f>
        <v>1.9600199416273779E-6</v>
      </c>
    </row>
    <row r="196" spans="1:41" x14ac:dyDescent="0.25">
      <c r="A196" s="2598" t="str">
        <f>'HVAC Deemed Table'!C1466</f>
        <v>353200_2019_12_</v>
      </c>
      <c r="B196" s="2425" t="str">
        <f>'HVAC Deemed Table'!G1466</f>
        <v>Cooling Res</v>
      </c>
      <c r="C196" s="2425" t="str">
        <f>'HVAC Deemed Table'!G1467</f>
        <v>Heating Res</v>
      </c>
      <c r="D196" s="245"/>
      <c r="E196" s="245"/>
      <c r="F196" s="245" t="str">
        <f>'HVAC Deemed Table'!E1466</f>
        <v>ASHP - SEER 18 - replace electric furnace / CAC SF</v>
      </c>
      <c r="G196" s="745" t="str">
        <f>'HVAC Deemed Table'!D1466</f>
        <v>SF</v>
      </c>
      <c r="H196" s="2420">
        <f t="shared" si="166"/>
        <v>10182.52</v>
      </c>
      <c r="I196" s="2420">
        <f t="shared" si="167"/>
        <v>0</v>
      </c>
      <c r="J196" s="2452">
        <f>'HVAC Deemed Table'!F1466</f>
        <v>623.9</v>
      </c>
      <c r="K196" s="2452">
        <f>'HVAC Deemed Table'!F1467</f>
        <v>9558.6200000000008</v>
      </c>
      <c r="L196" s="2452"/>
      <c r="M196" s="2452"/>
      <c r="N196" s="2421">
        <f t="shared" si="168"/>
        <v>0.59109400000000001</v>
      </c>
      <c r="O196" s="2421">
        <f t="shared" si="169"/>
        <v>0</v>
      </c>
      <c r="P196" s="2412">
        <f>'HVAC Deemed Table'!I1466</f>
        <v>0.59109400000000001</v>
      </c>
      <c r="Q196" s="2412">
        <f>'HVAC Deemed Table'!I1467</f>
        <v>0</v>
      </c>
      <c r="R196" s="2412"/>
      <c r="S196" s="2412"/>
      <c r="T196" s="2413"/>
      <c r="U196" s="2413"/>
      <c r="V196" s="2413">
        <f t="shared" si="170"/>
        <v>0.59109400000000001</v>
      </c>
      <c r="W196" s="2460">
        <f>'HVAC Deemed Table'!J1466</f>
        <v>18</v>
      </c>
      <c r="X196" s="2460"/>
      <c r="Y196" s="94">
        <f t="shared" si="119"/>
        <v>18</v>
      </c>
      <c r="Z196" s="767">
        <f>'HVAC Deemed Table'!BB1466</f>
        <v>6.0699935605553499</v>
      </c>
      <c r="AA196" s="2419">
        <f>'HVAC Deemed Table'!K1466</f>
        <v>962.92000000000007</v>
      </c>
      <c r="AB196" s="2418">
        <f t="shared" si="138"/>
        <v>5516.6759786030743</v>
      </c>
      <c r="AC196" s="2418">
        <f t="shared" si="139"/>
        <v>0</v>
      </c>
      <c r="AD196" s="2445">
        <f>'HVAC Deemed Table'!BD1466</f>
        <v>1100.4396092319514</v>
      </c>
      <c r="AE196" s="2445">
        <f>'HVAC Deemed Table'!BD1467</f>
        <v>4416.2363693711231</v>
      </c>
      <c r="AF196" s="2445"/>
      <c r="AG196" s="2445"/>
      <c r="AH196" s="2378"/>
      <c r="AI196" s="2378"/>
      <c r="AJ196" s="2378"/>
      <c r="AK196" s="2378"/>
      <c r="AL196" s="2380">
        <f t="shared" si="112"/>
        <v>9.4741810000000004E-4</v>
      </c>
      <c r="AM196" s="145">
        <f t="shared" si="151"/>
        <v>0.59109415258999998</v>
      </c>
      <c r="AN196" s="2368">
        <f t="shared" si="113"/>
        <v>1.5258999996881073E-7</v>
      </c>
    </row>
    <row r="197" spans="1:41" x14ac:dyDescent="0.25">
      <c r="A197" s="2598" t="str">
        <f>'HVAC Deemed Table'!C1468</f>
        <v>353250_2019_12_</v>
      </c>
      <c r="B197" s="2425" t="str">
        <f>'HVAC Deemed Table'!G1468</f>
        <v>Cooling Res</v>
      </c>
      <c r="C197" s="2425" t="str">
        <f>'HVAC Deemed Table'!G1469</f>
        <v>Heating Res</v>
      </c>
      <c r="D197" s="245"/>
      <c r="E197" s="245"/>
      <c r="F197" s="245" t="str">
        <f>'HVAC Deemed Table'!E1468</f>
        <v>ASHP - SEER 18 - replace electric furnace / CAC MF</v>
      </c>
      <c r="G197" s="745" t="str">
        <f>'HVAC Deemed Table'!D1468</f>
        <v>MF</v>
      </c>
      <c r="H197" s="2420">
        <f t="shared" si="166"/>
        <v>6618.6399999999994</v>
      </c>
      <c r="I197" s="2420">
        <f t="shared" si="167"/>
        <v>0</v>
      </c>
      <c r="J197" s="2452">
        <f>'HVAC Deemed Table'!F1468</f>
        <v>405.53</v>
      </c>
      <c r="K197" s="2452">
        <f>'HVAC Deemed Table'!F1469</f>
        <v>6213.11</v>
      </c>
      <c r="L197" s="2452"/>
      <c r="M197" s="2452"/>
      <c r="N197" s="2421">
        <f t="shared" si="168"/>
        <v>0.38420599999999999</v>
      </c>
      <c r="O197" s="2421">
        <f t="shared" si="169"/>
        <v>0</v>
      </c>
      <c r="P197" s="2412">
        <f>'HVAC Deemed Table'!I1468</f>
        <v>0.38420599999999999</v>
      </c>
      <c r="Q197" s="2412">
        <f>'HVAC Deemed Table'!I1469</f>
        <v>0</v>
      </c>
      <c r="R197" s="2412"/>
      <c r="S197" s="2412"/>
      <c r="T197" s="2413"/>
      <c r="U197" s="2413"/>
      <c r="V197" s="2413">
        <f t="shared" si="170"/>
        <v>0.38420599999999999</v>
      </c>
      <c r="W197" s="2460">
        <f>'HVAC Deemed Table'!J1468</f>
        <v>18</v>
      </c>
      <c r="X197" s="2460"/>
      <c r="Y197" s="94">
        <f t="shared" si="119"/>
        <v>18</v>
      </c>
      <c r="Z197" s="767">
        <f>'HVAC Deemed Table'!BB1468</f>
        <v>3.9454896692723587</v>
      </c>
      <c r="AA197" s="2419">
        <f>'HVAC Deemed Table'!K1468</f>
        <v>962.92000000000007</v>
      </c>
      <c r="AB197" s="2418">
        <f t="shared" si="138"/>
        <v>3585.8338011663423</v>
      </c>
      <c r="AC197" s="2418">
        <f t="shared" si="139"/>
        <v>0</v>
      </c>
      <c r="AD197" s="2445">
        <f>'HVAC Deemed Table'!BD1468</f>
        <v>715.27692696238694</v>
      </c>
      <c r="AE197" s="2445">
        <f>'HVAC Deemed Table'!BD1469</f>
        <v>2870.5568742039554</v>
      </c>
      <c r="AF197" s="2445"/>
      <c r="AG197" s="2445"/>
      <c r="AH197" s="2378"/>
      <c r="AI197" s="2378"/>
      <c r="AJ197" s="2378"/>
      <c r="AK197" s="2378"/>
      <c r="AL197" s="2380">
        <f t="shared" si="112"/>
        <v>9.4741810000000004E-4</v>
      </c>
      <c r="AM197" s="145">
        <f t="shared" si="151"/>
        <v>0.38420646209299997</v>
      </c>
      <c r="AN197" s="2368">
        <f t="shared" si="113"/>
        <v>4.6209299997546083E-7</v>
      </c>
    </row>
    <row r="198" spans="1:41" x14ac:dyDescent="0.25">
      <c r="A198" s="2598" t="str">
        <f>'HVAC Deemed Table'!C1470</f>
        <v>353251_2019_12_</v>
      </c>
      <c r="B198" s="2425" t="str">
        <f>'HVAC Deemed Table'!G1470</f>
        <v>Cooling Res</v>
      </c>
      <c r="C198" s="2425" t="str">
        <f>'HVAC Deemed Table'!G1471</f>
        <v>Heating Res</v>
      </c>
      <c r="D198" s="245"/>
      <c r="E198" s="245"/>
      <c r="F198" s="245" t="str">
        <f>'HVAC Deemed Table'!E1470</f>
        <v>ASHP - SEER 18 - replace electric furnace / CAC MF_CompE</v>
      </c>
      <c r="G198" s="745" t="str">
        <f>'HVAC Deemed Table'!D1470</f>
        <v>MFc</v>
      </c>
      <c r="H198" s="2420">
        <f t="shared" si="166"/>
        <v>2413.0299999999997</v>
      </c>
      <c r="I198" s="2420">
        <f t="shared" si="167"/>
        <v>0</v>
      </c>
      <c r="J198" s="2452">
        <f>'HVAC Deemed Table'!F1470</f>
        <v>294.93</v>
      </c>
      <c r="K198" s="2452">
        <f>'HVAC Deemed Table'!F1471</f>
        <v>2118.1</v>
      </c>
      <c r="L198" s="2452"/>
      <c r="M198" s="2452"/>
      <c r="N198" s="2421">
        <f t="shared" si="168"/>
        <v>0.279422</v>
      </c>
      <c r="O198" s="2421">
        <f t="shared" si="169"/>
        <v>0</v>
      </c>
      <c r="P198" s="2412">
        <f>'HVAC Deemed Table'!I1470</f>
        <v>0.279422</v>
      </c>
      <c r="Q198" s="2412">
        <f>'HVAC Deemed Table'!I1471</f>
        <v>0</v>
      </c>
      <c r="R198" s="2412"/>
      <c r="S198" s="2412"/>
      <c r="T198" s="2413"/>
      <c r="U198" s="2413"/>
      <c r="V198" s="2413">
        <f t="shared" si="170"/>
        <v>0.279422</v>
      </c>
      <c r="W198" s="2460">
        <f>'HVAC Deemed Table'!J1470</f>
        <v>18</v>
      </c>
      <c r="X198" s="2460"/>
      <c r="Y198" s="94">
        <f t="shared" si="119"/>
        <v>18</v>
      </c>
      <c r="Z198" s="767">
        <f>'HVAC Deemed Table'!BB1470</f>
        <v>1.6491239933161244</v>
      </c>
      <c r="AA198" s="2419">
        <f>'HVAC Deemed Table'!K1470</f>
        <v>962.92000000000007</v>
      </c>
      <c r="AB198" s="2418">
        <f t="shared" si="138"/>
        <v>1498.7961072618805</v>
      </c>
      <c r="AC198" s="2418">
        <f t="shared" si="139"/>
        <v>0</v>
      </c>
      <c r="AD198" s="2445">
        <f>'HVAC Deemed Table'!BD1470</f>
        <v>520.19979796566668</v>
      </c>
      <c r="AE198" s="2445">
        <f>'HVAC Deemed Table'!BD1471</f>
        <v>978.59630929621369</v>
      </c>
      <c r="AF198" s="2445"/>
      <c r="AG198" s="2445"/>
      <c r="AH198" s="2378"/>
      <c r="AI198" s="2378"/>
      <c r="AJ198" s="2378"/>
      <c r="AK198" s="2378"/>
      <c r="AL198" s="2380">
        <f t="shared" si="112"/>
        <v>9.4741810000000004E-4</v>
      </c>
      <c r="AM198" s="145">
        <f t="shared" si="151"/>
        <v>0.279422020233</v>
      </c>
      <c r="AN198" s="2376">
        <f t="shared" si="113"/>
        <v>2.0232999997649159E-8</v>
      </c>
      <c r="AO198" s="248">
        <f>AN198/N198</f>
        <v>7.2410189597272798E-8</v>
      </c>
    </row>
    <row r="199" spans="1:41" x14ac:dyDescent="0.25">
      <c r="A199" s="2598" t="str">
        <f>'HVAC Deemed Table'!C1472</f>
        <v>353300_2019_12_</v>
      </c>
      <c r="B199" s="2425" t="str">
        <f>'HVAC Deemed Table'!G1472</f>
        <v>Cooling Res</v>
      </c>
      <c r="C199" s="2425" t="str">
        <f>'HVAC Deemed Table'!G1473</f>
        <v>Heating Res</v>
      </c>
      <c r="D199" s="245"/>
      <c r="E199" s="245"/>
      <c r="F199" s="245" t="str">
        <f>'HVAC Deemed Table'!E1472</f>
        <v>ASHP - SEER 19 - replace electric furnace / CAC SF</v>
      </c>
      <c r="G199" s="745" t="str">
        <f>'HVAC Deemed Table'!D1472</f>
        <v>SF</v>
      </c>
      <c r="H199" s="2420">
        <f t="shared" si="166"/>
        <v>10267.890000000001</v>
      </c>
      <c r="I199" s="2420">
        <f t="shared" si="167"/>
        <v>0</v>
      </c>
      <c r="J199" s="2452">
        <f>'HVAC Deemed Table'!F1472</f>
        <v>709.27</v>
      </c>
      <c r="K199" s="2452">
        <f>'HVAC Deemed Table'!F1473</f>
        <v>9558.6200000000008</v>
      </c>
      <c r="L199" s="2452"/>
      <c r="M199" s="2452"/>
      <c r="N199" s="2421">
        <f t="shared" ref="N199:N214" si="171">P199+Q199</f>
        <v>0.67197499999999999</v>
      </c>
      <c r="O199" s="2421">
        <f t="shared" ref="O199:O214" si="172">R199+S199</f>
        <v>0</v>
      </c>
      <c r="P199" s="2412">
        <f>'HVAC Deemed Table'!I1472</f>
        <v>0.67197499999999999</v>
      </c>
      <c r="Q199" s="2412">
        <f>'HVAC Deemed Table'!I1473</f>
        <v>0</v>
      </c>
      <c r="R199" s="2412"/>
      <c r="S199" s="2412"/>
      <c r="T199" s="2413"/>
      <c r="U199" s="2413"/>
      <c r="V199" s="2413">
        <f t="shared" si="170"/>
        <v>0.67197499999999999</v>
      </c>
      <c r="W199" s="2460">
        <f>'HVAC Deemed Table'!J1472</f>
        <v>18</v>
      </c>
      <c r="X199" s="2460"/>
      <c r="Y199" s="94">
        <f t="shared" si="119"/>
        <v>18</v>
      </c>
      <c r="Z199" s="767">
        <f>'HVAC Deemed Table'!BB1472</f>
        <v>4.9885379871248992</v>
      </c>
      <c r="AA199" s="2419">
        <f>'HVAC Deemed Table'!K1472</f>
        <v>1203.6500000000003</v>
      </c>
      <c r="AB199" s="2418">
        <f t="shared" si="138"/>
        <v>5667.2522399272157</v>
      </c>
      <c r="AC199" s="2418">
        <f t="shared" si="139"/>
        <v>0</v>
      </c>
      <c r="AD199" s="2445">
        <f>'HVAC Deemed Table'!BD1472</f>
        <v>1251.0158705560925</v>
      </c>
      <c r="AE199" s="2445">
        <f>'HVAC Deemed Table'!BD1473</f>
        <v>4416.2363693711231</v>
      </c>
      <c r="AF199" s="2445"/>
      <c r="AG199" s="2445"/>
      <c r="AH199" s="2378"/>
      <c r="AI199" s="2378"/>
      <c r="AJ199" s="2378"/>
      <c r="AK199" s="2378"/>
      <c r="AL199" s="2380">
        <f t="shared" si="112"/>
        <v>9.4741810000000004E-4</v>
      </c>
      <c r="AM199" s="145">
        <f t="shared" si="151"/>
        <v>0.67197523578700002</v>
      </c>
      <c r="AN199" s="2368">
        <f t="shared" si="113"/>
        <v>2.35787000035792E-7</v>
      </c>
    </row>
    <row r="200" spans="1:41" x14ac:dyDescent="0.25">
      <c r="A200" s="2598" t="str">
        <f>'HVAC Deemed Table'!C1474</f>
        <v>353350_2019_12_</v>
      </c>
      <c r="B200" s="2425" t="str">
        <f>'HVAC Deemed Table'!G1474</f>
        <v>Cooling Res</v>
      </c>
      <c r="C200" s="2425" t="str">
        <f>'HVAC Deemed Table'!G1475</f>
        <v>Heating Res</v>
      </c>
      <c r="D200" s="245"/>
      <c r="E200" s="245"/>
      <c r="F200" s="245" t="str">
        <f>'HVAC Deemed Table'!E1474</f>
        <v>ASHP - SEER 19 - replace electric furnace / CAC MF</v>
      </c>
      <c r="G200" s="745" t="str">
        <f>'HVAC Deemed Table'!D1474</f>
        <v>MF</v>
      </c>
      <c r="H200" s="2420">
        <f t="shared" si="166"/>
        <v>6674.1399999999994</v>
      </c>
      <c r="I200" s="2420">
        <f t="shared" si="167"/>
        <v>0</v>
      </c>
      <c r="J200" s="2452">
        <f>'HVAC Deemed Table'!F1474</f>
        <v>461.03</v>
      </c>
      <c r="K200" s="2452">
        <f>'HVAC Deemed Table'!F1475</f>
        <v>6213.11</v>
      </c>
      <c r="L200" s="2452"/>
      <c r="M200" s="2452"/>
      <c r="N200" s="2421">
        <f t="shared" si="171"/>
        <v>0.43678800000000001</v>
      </c>
      <c r="O200" s="2421">
        <f t="shared" si="172"/>
        <v>0</v>
      </c>
      <c r="P200" s="2412">
        <f>'HVAC Deemed Table'!I1474</f>
        <v>0.43678800000000001</v>
      </c>
      <c r="Q200" s="2412">
        <f>'HVAC Deemed Table'!I1475</f>
        <v>0</v>
      </c>
      <c r="R200" s="2412"/>
      <c r="S200" s="2412"/>
      <c r="T200" s="2413"/>
      <c r="U200" s="2413"/>
      <c r="V200" s="2413">
        <f t="shared" si="170"/>
        <v>0.43678800000000001</v>
      </c>
      <c r="W200" s="2460">
        <f>'HVAC Deemed Table'!J1474</f>
        <v>18</v>
      </c>
      <c r="X200" s="2460"/>
      <c r="Y200" s="94">
        <f t="shared" si="119"/>
        <v>18</v>
      </c>
      <c r="Z200" s="767">
        <f>'HVAC Deemed Table'!BB1474</f>
        <v>3.24255952500175</v>
      </c>
      <c r="AA200" s="2419">
        <f>'HVAC Deemed Table'!K1474</f>
        <v>1203.6500000000003</v>
      </c>
      <c r="AB200" s="2418">
        <f t="shared" si="138"/>
        <v>3683.7251271999589</v>
      </c>
      <c r="AC200" s="2418">
        <f t="shared" si="139"/>
        <v>0</v>
      </c>
      <c r="AD200" s="2445">
        <f>'HVAC Deemed Table'!BD1474</f>
        <v>813.16825299600339</v>
      </c>
      <c r="AE200" s="2445">
        <f>'HVAC Deemed Table'!BD1475</f>
        <v>2870.5568742039554</v>
      </c>
      <c r="AF200" s="2445"/>
      <c r="AG200" s="2445"/>
      <c r="AH200" s="2378"/>
      <c r="AI200" s="2378"/>
      <c r="AJ200" s="2378"/>
      <c r="AK200" s="2378"/>
      <c r="AL200" s="2380">
        <f t="shared" si="112"/>
        <v>9.4741810000000004E-4</v>
      </c>
      <c r="AM200" s="145">
        <f t="shared" si="151"/>
        <v>0.43678816664299996</v>
      </c>
      <c r="AN200" s="2368">
        <f t="shared" si="113"/>
        <v>1.6664299995472476E-7</v>
      </c>
    </row>
    <row r="201" spans="1:41" x14ac:dyDescent="0.25">
      <c r="A201" s="2598" t="str">
        <f>'HVAC Deemed Table'!C1476</f>
        <v>353351_2019_12_</v>
      </c>
      <c r="B201" s="2425" t="str">
        <f>'HVAC Deemed Table'!G1476</f>
        <v>Cooling Res</v>
      </c>
      <c r="C201" s="2425" t="str">
        <f>'HVAC Deemed Table'!G1477</f>
        <v>Heating Res</v>
      </c>
      <c r="D201" s="245"/>
      <c r="E201" s="245"/>
      <c r="F201" s="245" t="str">
        <f>'HVAC Deemed Table'!E1476</f>
        <v>ASHP - SEER 19 - replace electric furnace / CAC MF_CompE</v>
      </c>
      <c r="G201" s="745" t="str">
        <f>'HVAC Deemed Table'!D1476</f>
        <v>MFc</v>
      </c>
      <c r="H201" s="2420">
        <f t="shared" si="166"/>
        <v>2453.39</v>
      </c>
      <c r="I201" s="2420">
        <f t="shared" si="167"/>
        <v>0</v>
      </c>
      <c r="J201" s="2452">
        <f>'HVAC Deemed Table'!F1476</f>
        <v>335.29</v>
      </c>
      <c r="K201" s="2452">
        <f>'HVAC Deemed Table'!F1477</f>
        <v>2118.1</v>
      </c>
      <c r="L201" s="2452"/>
      <c r="M201" s="2452"/>
      <c r="N201" s="2421">
        <f t="shared" si="171"/>
        <v>0.31766</v>
      </c>
      <c r="O201" s="2421">
        <f t="shared" si="172"/>
        <v>0</v>
      </c>
      <c r="P201" s="2412">
        <f>'HVAC Deemed Table'!I1476</f>
        <v>0.31766</v>
      </c>
      <c r="Q201" s="2412">
        <f>'HVAC Deemed Table'!I1477</f>
        <v>0</v>
      </c>
      <c r="R201" s="2412"/>
      <c r="S201" s="2412"/>
      <c r="T201" s="2413"/>
      <c r="U201" s="2413"/>
      <c r="V201" s="2413">
        <f t="shared" si="170"/>
        <v>0.31766</v>
      </c>
      <c r="W201" s="2460">
        <f>'HVAC Deemed Table'!J1476</f>
        <v>18</v>
      </c>
      <c r="X201" s="2460"/>
      <c r="Y201" s="94">
        <f t="shared" si="119"/>
        <v>18</v>
      </c>
      <c r="Z201" s="767">
        <f>'HVAC Deemed Table'!BB1476</f>
        <v>1.3819610322673985</v>
      </c>
      <c r="AA201" s="2419">
        <f>'HVAC Deemed Table'!K1476</f>
        <v>1203.6500000000003</v>
      </c>
      <c r="AB201" s="2418">
        <f t="shared" si="138"/>
        <v>1569.9833850765967</v>
      </c>
      <c r="AC201" s="2418">
        <f t="shared" si="139"/>
        <v>0</v>
      </c>
      <c r="AD201" s="2445">
        <f>'HVAC Deemed Table'!BD1476</f>
        <v>591.38707578038304</v>
      </c>
      <c r="AE201" s="2445">
        <f>'HVAC Deemed Table'!BD1477</f>
        <v>978.59630929621369</v>
      </c>
      <c r="AF201" s="2445"/>
      <c r="AG201" s="2445"/>
      <c r="AH201" s="2378"/>
      <c r="AI201" s="2378"/>
      <c r="AJ201" s="2378"/>
      <c r="AK201" s="2378"/>
      <c r="AL201" s="2380">
        <f t="shared" si="112"/>
        <v>9.4741810000000004E-4</v>
      </c>
      <c r="AM201" s="145">
        <f t="shared" si="151"/>
        <v>0.31765981474900001</v>
      </c>
      <c r="AN201" s="2376">
        <f t="shared" si="113"/>
        <v>-1.8525099998445427E-7</v>
      </c>
      <c r="AO201" s="248">
        <f>AN201/N201</f>
        <v>-5.8317383360969043E-7</v>
      </c>
    </row>
    <row r="202" spans="1:41" x14ac:dyDescent="0.25">
      <c r="A202" s="2598" t="str">
        <f>'HVAC Deemed Table'!C1478</f>
        <v>353400_2019_12_</v>
      </c>
      <c r="B202" s="2425" t="str">
        <f>'HVAC Deemed Table'!G1478</f>
        <v>Cooling Res</v>
      </c>
      <c r="C202" s="2425" t="str">
        <f>'HVAC Deemed Table'!G1479</f>
        <v>Heating Res</v>
      </c>
      <c r="D202" s="2425" t="str">
        <f>'HVAC Deemed Table'!G1480</f>
        <v>Cooling Res ER2</v>
      </c>
      <c r="E202" s="2425" t="str">
        <f>'HVAC Deemed Table'!G1481</f>
        <v>Heating Res ER2</v>
      </c>
      <c r="F202" s="245" t="str">
        <f>'HVAC Deemed Table'!E1478</f>
        <v>ASHP - SEER 20 - replace electric furnace / CAC - early replacement SF ER1</v>
      </c>
      <c r="G202" s="745" t="str">
        <f>'HVAC Deemed Table'!D1478</f>
        <v>SF</v>
      </c>
      <c r="H202" s="2420">
        <f t="shared" ref="H202:H208" si="173">J202+K202</f>
        <v>12664.09</v>
      </c>
      <c r="I202" s="2420">
        <f t="shared" ref="I202:I208" si="174">L202+M202</f>
        <v>11270</v>
      </c>
      <c r="J202" s="2452">
        <f>'HVAC Deemed Table'!F1478</f>
        <v>2264.4299999999998</v>
      </c>
      <c r="K202" s="2452">
        <f>'HVAC Deemed Table'!F1479</f>
        <v>10399.66</v>
      </c>
      <c r="L202" s="2452">
        <f>'HVAC Deemed Table'!F1480</f>
        <v>870.34</v>
      </c>
      <c r="M202" s="2452">
        <f>'HVAC Deemed Table'!F1481</f>
        <v>10399.66</v>
      </c>
      <c r="N202" s="2421">
        <f t="shared" si="171"/>
        <v>2.145362</v>
      </c>
      <c r="O202" s="2421">
        <f t="shared" si="172"/>
        <v>0.82457599999999998</v>
      </c>
      <c r="P202" s="2412">
        <f>'HVAC Deemed Table'!I1478</f>
        <v>2.145362</v>
      </c>
      <c r="Q202" s="2412">
        <f>'HVAC Deemed Table'!I1479</f>
        <v>0</v>
      </c>
      <c r="R202" s="2412">
        <f>'HVAC Deemed Table'!I1480</f>
        <v>0.82457599999999998</v>
      </c>
      <c r="S202" s="2412">
        <f>'HVAC Deemed Table'!I1481</f>
        <v>0</v>
      </c>
      <c r="T202" s="2413"/>
      <c r="U202" s="2413"/>
      <c r="V202" s="2424">
        <f>O202</f>
        <v>0.82457599999999998</v>
      </c>
      <c r="W202" s="2460">
        <f>'HVAC Deemed Table'!J1478</f>
        <v>6</v>
      </c>
      <c r="X202" s="2460">
        <f>'HVAC Deemed Table'!J1480</f>
        <v>12</v>
      </c>
      <c r="Y202" s="94">
        <f t="shared" si="119"/>
        <v>18</v>
      </c>
      <c r="Z202" s="767">
        <f>'HVAC Deemed Table'!BB1478</f>
        <v>3.4671485585176707</v>
      </c>
      <c r="AA202" s="2419">
        <f>'HVAC Deemed Table'!K1478</f>
        <v>2185.0873864864097</v>
      </c>
      <c r="AB202" s="2418">
        <f t="shared" si="138"/>
        <v>3046.5420735562921</v>
      </c>
      <c r="AC202" s="2418">
        <f t="shared" si="139"/>
        <v>4104.0219493710301</v>
      </c>
      <c r="AD202" s="2445">
        <f>'HVAC Deemed Table'!BD1478</f>
        <v>1316.7301830749186</v>
      </c>
      <c r="AE202" s="2445">
        <f>'HVAC Deemed Table'!BD1479</f>
        <v>1729.8118904813734</v>
      </c>
      <c r="AF202" s="2445">
        <f>'HVAC Deemed Table'!BD1480</f>
        <v>1029.0234466058801</v>
      </c>
      <c r="AG202" s="2445">
        <f>'HVAC Deemed Table'!BD1481</f>
        <v>3074.9985027651505</v>
      </c>
      <c r="AH202" s="2378"/>
      <c r="AI202" s="2378"/>
      <c r="AJ202" s="2378"/>
      <c r="AK202" s="2378"/>
      <c r="AL202" s="2380">
        <f t="shared" si="112"/>
        <v>9.4741810000000004E-4</v>
      </c>
      <c r="AM202" s="145">
        <f t="shared" si="151"/>
        <v>2.1453619681829998</v>
      </c>
      <c r="AN202" s="2368">
        <f t="shared" si="113"/>
        <v>-3.1817000145650809E-8</v>
      </c>
    </row>
    <row r="203" spans="1:41" x14ac:dyDescent="0.25">
      <c r="A203" s="2598" t="str">
        <f>'HVAC Deemed Table'!C1482</f>
        <v>353450_2019_12_</v>
      </c>
      <c r="B203" s="2425" t="str">
        <f>'HVAC Deemed Table'!G1482</f>
        <v>Cooling Res</v>
      </c>
      <c r="C203" s="2425" t="str">
        <f>'HVAC Deemed Table'!G1483</f>
        <v>Heating Res</v>
      </c>
      <c r="D203" s="245"/>
      <c r="E203" s="245"/>
      <c r="F203" s="245" t="str">
        <f>'HVAC Deemed Table'!E1482</f>
        <v>ASHP - SEER 20 - replace electric furnace / CAC SF</v>
      </c>
      <c r="G203" s="745" t="str">
        <f>'HVAC Deemed Table'!D1482</f>
        <v>SF</v>
      </c>
      <c r="H203" s="2420">
        <f t="shared" si="173"/>
        <v>11822.55</v>
      </c>
      <c r="I203" s="2420">
        <f t="shared" si="174"/>
        <v>0</v>
      </c>
      <c r="J203" s="2452">
        <f>'HVAC Deemed Table'!F1482</f>
        <v>898.41</v>
      </c>
      <c r="K203" s="2452">
        <f>'HVAC Deemed Table'!F1483</f>
        <v>10924.14</v>
      </c>
      <c r="L203" s="2452"/>
      <c r="M203" s="2452"/>
      <c r="N203" s="2421">
        <f t="shared" si="171"/>
        <v>0.85116999999999998</v>
      </c>
      <c r="O203" s="2421">
        <f t="shared" si="172"/>
        <v>0</v>
      </c>
      <c r="P203" s="2412">
        <f>'HVAC Deemed Table'!I1482</f>
        <v>0.85116999999999998</v>
      </c>
      <c r="Q203" s="2412">
        <f>'HVAC Deemed Table'!I1483</f>
        <v>0</v>
      </c>
      <c r="R203" s="2412"/>
      <c r="S203" s="2412"/>
      <c r="T203" s="2413"/>
      <c r="U203" s="2413"/>
      <c r="V203" s="2413">
        <f t="shared" ref="V203:V205" si="175">N203</f>
        <v>0.85116999999999998</v>
      </c>
      <c r="W203" s="2460">
        <f>'HVAC Deemed Table'!J1482</f>
        <v>18</v>
      </c>
      <c r="X203" s="2460"/>
      <c r="Y203" s="94">
        <f t="shared" si="119"/>
        <v>18</v>
      </c>
      <c r="Z203" s="767">
        <f>'HVAC Deemed Table'!BB1482</f>
        <v>4.8646064342312112</v>
      </c>
      <c r="AA203" s="2419">
        <f>'HVAC Deemed Table'!K1482</f>
        <v>1444.3799999999994</v>
      </c>
      <c r="AB203" s="2418">
        <f t="shared" si="138"/>
        <v>6631.751053775246</v>
      </c>
      <c r="AC203" s="2418">
        <f t="shared" si="139"/>
        <v>0</v>
      </c>
      <c r="AD203" s="2445">
        <f>'HVAC Deemed Table'!BD1482</f>
        <v>1584.6224544479524</v>
      </c>
      <c r="AE203" s="2445">
        <f>'HVAC Deemed Table'!BD1483</f>
        <v>5047.1285993272932</v>
      </c>
      <c r="AF203" s="2445"/>
      <c r="AG203" s="2445"/>
      <c r="AH203" s="2378"/>
      <c r="AI203" s="2378"/>
      <c r="AJ203" s="2378"/>
      <c r="AK203" s="2378"/>
      <c r="AL203" s="2380">
        <f t="shared" si="112"/>
        <v>9.4741810000000004E-4</v>
      </c>
      <c r="AM203" s="145">
        <f t="shared" si="151"/>
        <v>0.85116989522099995</v>
      </c>
      <c r="AN203" s="2368">
        <f t="shared" si="113"/>
        <v>-1.047790000319182E-7</v>
      </c>
    </row>
    <row r="204" spans="1:41" x14ac:dyDescent="0.25">
      <c r="A204" s="2598" t="str">
        <f>'HVAC Deemed Table'!C1484</f>
        <v>353500_2019_12_</v>
      </c>
      <c r="B204" s="2425" t="str">
        <f>'HVAC Deemed Table'!G1484</f>
        <v>Cooling Res</v>
      </c>
      <c r="C204" s="2425" t="str">
        <f>'HVAC Deemed Table'!G1485</f>
        <v>Heating Res</v>
      </c>
      <c r="D204" s="245"/>
      <c r="E204" s="245"/>
      <c r="F204" s="245" t="str">
        <f>'HVAC Deemed Table'!E1484</f>
        <v>ASHP - SEER 20 - replace electric furnace / CAC MF</v>
      </c>
      <c r="G204" s="745" t="str">
        <f>'HVAC Deemed Table'!D1484</f>
        <v>MF</v>
      </c>
      <c r="H204" s="2420">
        <f t="shared" si="173"/>
        <v>7684.66</v>
      </c>
      <c r="I204" s="2420">
        <f t="shared" si="174"/>
        <v>0</v>
      </c>
      <c r="J204" s="2452">
        <f>'HVAC Deemed Table'!F1484</f>
        <v>583.97</v>
      </c>
      <c r="K204" s="2452">
        <f>'HVAC Deemed Table'!F1485</f>
        <v>7100.69</v>
      </c>
      <c r="L204" s="2452"/>
      <c r="M204" s="2452"/>
      <c r="N204" s="2421">
        <f t="shared" si="171"/>
        <v>0.55326399999999998</v>
      </c>
      <c r="O204" s="2421">
        <f t="shared" si="172"/>
        <v>0</v>
      </c>
      <c r="P204" s="2412">
        <f>'HVAC Deemed Table'!I1484</f>
        <v>0.55326399999999998</v>
      </c>
      <c r="Q204" s="2412">
        <f>'HVAC Deemed Table'!I1485</f>
        <v>0</v>
      </c>
      <c r="R204" s="2412"/>
      <c r="S204" s="2412"/>
      <c r="T204" s="2413"/>
      <c r="U204" s="2413"/>
      <c r="V204" s="2413">
        <f t="shared" si="175"/>
        <v>0.55326399999999998</v>
      </c>
      <c r="W204" s="2460">
        <f>'HVAC Deemed Table'!J1484</f>
        <v>18</v>
      </c>
      <c r="X204" s="2460"/>
      <c r="Y204" s="94">
        <f t="shared" si="119"/>
        <v>18</v>
      </c>
      <c r="Z204" s="767">
        <f>'HVAC Deemed Table'!BB1484</f>
        <v>3.1619983716836453</v>
      </c>
      <c r="AA204" s="2419">
        <f>'HVAC Deemed Table'!K1484</f>
        <v>1444.3799999999994</v>
      </c>
      <c r="AB204" s="2418">
        <f t="shared" si="138"/>
        <v>4310.6438962646735</v>
      </c>
      <c r="AC204" s="2418">
        <f t="shared" si="139"/>
        <v>0</v>
      </c>
      <c r="AD204" s="2445">
        <f>'HVAC Deemed Table'!BD1484</f>
        <v>1030.0107687180362</v>
      </c>
      <c r="AE204" s="2445">
        <f>'HVAC Deemed Table'!BD1485</f>
        <v>3280.6331275466368</v>
      </c>
      <c r="AF204" s="2445"/>
      <c r="AG204" s="2445"/>
      <c r="AH204" s="2378"/>
      <c r="AI204" s="2378"/>
      <c r="AJ204" s="2378"/>
      <c r="AK204" s="2378"/>
      <c r="AL204" s="2380">
        <f t="shared" si="112"/>
        <v>9.4741810000000004E-4</v>
      </c>
      <c r="AM204" s="145">
        <f t="shared" si="151"/>
        <v>0.55326374785700005</v>
      </c>
      <c r="AN204" s="2368">
        <f t="shared" si="113"/>
        <v>-2.5214299992359912E-7</v>
      </c>
    </row>
    <row r="205" spans="1:41" x14ac:dyDescent="0.25">
      <c r="A205" s="2598" t="str">
        <f>'HVAC Deemed Table'!C1486</f>
        <v>353501_2019_12_</v>
      </c>
      <c r="B205" s="2425" t="str">
        <f>'HVAC Deemed Table'!G1486</f>
        <v>Cooling Res</v>
      </c>
      <c r="C205" s="2425" t="str">
        <f>'HVAC Deemed Table'!G1487</f>
        <v>Heating Res</v>
      </c>
      <c r="D205" s="245"/>
      <c r="E205" s="245"/>
      <c r="F205" s="245" t="str">
        <f>'HVAC Deemed Table'!E1486</f>
        <v>ASHP - SEER 20 - replace electric furnace / CAC MF_CompE</v>
      </c>
      <c r="G205" s="745" t="str">
        <f>'HVAC Deemed Table'!D1486</f>
        <v>MFc</v>
      </c>
      <c r="H205" s="2420">
        <f t="shared" si="173"/>
        <v>2845.39</v>
      </c>
      <c r="I205" s="2420">
        <f t="shared" si="174"/>
        <v>0</v>
      </c>
      <c r="J205" s="2452">
        <f>'HVAC Deemed Table'!F1486</f>
        <v>424.7</v>
      </c>
      <c r="K205" s="2452">
        <f>'HVAC Deemed Table'!F1487</f>
        <v>2420.69</v>
      </c>
      <c r="L205" s="2452"/>
      <c r="M205" s="2452"/>
      <c r="N205" s="2421">
        <f t="shared" si="171"/>
        <v>0.402368</v>
      </c>
      <c r="O205" s="2421">
        <f t="shared" si="172"/>
        <v>0</v>
      </c>
      <c r="P205" s="2412">
        <f>'HVAC Deemed Table'!I1486</f>
        <v>0.402368</v>
      </c>
      <c r="Q205" s="2412">
        <f>'HVAC Deemed Table'!I1487</f>
        <v>0</v>
      </c>
      <c r="R205" s="2412"/>
      <c r="S205" s="2412"/>
      <c r="T205" s="2413"/>
      <c r="U205" s="2413"/>
      <c r="V205" s="2413">
        <f t="shared" si="175"/>
        <v>0.402368</v>
      </c>
      <c r="W205" s="2460">
        <f>'HVAC Deemed Table'!J1486</f>
        <v>18</v>
      </c>
      <c r="X205" s="2460"/>
      <c r="Y205" s="94">
        <f t="shared" si="119"/>
        <v>18</v>
      </c>
      <c r="Z205" s="767">
        <f>'HVAC Deemed Table'!BB1486</f>
        <v>1.3698627450752061</v>
      </c>
      <c r="AA205" s="2419">
        <f>'HVAC Deemed Table'!K1486</f>
        <v>1444.3799999999994</v>
      </c>
      <c r="AB205" s="2418">
        <f t="shared" si="138"/>
        <v>1867.4868822385326</v>
      </c>
      <c r="AC205" s="2418">
        <f t="shared" si="139"/>
        <v>0</v>
      </c>
      <c r="AD205" s="2445">
        <f>'HVAC Deemed Table'!BD1486</f>
        <v>749.089120116701</v>
      </c>
      <c r="AE205" s="2445">
        <f>'HVAC Deemed Table'!BD1487</f>
        <v>1118.3977621218316</v>
      </c>
      <c r="AF205" s="2445"/>
      <c r="AG205" s="2445"/>
      <c r="AH205" s="2378"/>
      <c r="AI205" s="2378"/>
      <c r="AJ205" s="2378"/>
      <c r="AK205" s="2378"/>
      <c r="AL205" s="2380">
        <f t="shared" si="112"/>
        <v>9.4741810000000004E-4</v>
      </c>
      <c r="AM205" s="145">
        <f t="shared" si="151"/>
        <v>0.40236846707000001</v>
      </c>
      <c r="AN205" s="2376">
        <f t="shared" si="113"/>
        <v>4.6707000000978383E-7</v>
      </c>
      <c r="AO205" s="248">
        <f>AN205/N205</f>
        <v>1.1608030459921859E-6</v>
      </c>
    </row>
    <row r="206" spans="1:41" x14ac:dyDescent="0.25">
      <c r="A206" s="2598" t="str">
        <f>'HVAC Deemed Table'!C1488</f>
        <v>353550_2019_12_</v>
      </c>
      <c r="B206" s="2425" t="str">
        <f>'HVAC Deemed Table'!G1488</f>
        <v>Cooling Res</v>
      </c>
      <c r="C206" s="2425" t="str">
        <f>'HVAC Deemed Table'!G1489</f>
        <v>Heating Res</v>
      </c>
      <c r="D206" s="2425" t="str">
        <f>'HVAC Deemed Table'!G1490</f>
        <v>Cooling Res ER2</v>
      </c>
      <c r="E206" s="2425" t="str">
        <f>'HVAC Deemed Table'!G1491</f>
        <v>Heating Res ER2</v>
      </c>
      <c r="F206" s="245" t="str">
        <f>'HVAC Deemed Table'!E1488</f>
        <v>ASHP - SEER 21 - replace electric furnace / CAC - early replacement SF ER1</v>
      </c>
      <c r="G206" s="745" t="str">
        <f>'HVAC Deemed Table'!D1488</f>
        <v>SF</v>
      </c>
      <c r="H206" s="2420">
        <f t="shared" si="173"/>
        <v>12741.06</v>
      </c>
      <c r="I206" s="2420">
        <f t="shared" si="174"/>
        <v>11346.97</v>
      </c>
      <c r="J206" s="2452">
        <f>'HVAC Deemed Table'!F1488</f>
        <v>2341.4</v>
      </c>
      <c r="K206" s="2452">
        <f>'HVAC Deemed Table'!F1489</f>
        <v>10399.66</v>
      </c>
      <c r="L206" s="2452">
        <f>'HVAC Deemed Table'!F1490</f>
        <v>947.31</v>
      </c>
      <c r="M206" s="2452">
        <f>'HVAC Deemed Table'!F1491</f>
        <v>10399.66</v>
      </c>
      <c r="N206" s="2421">
        <f t="shared" si="171"/>
        <v>2.2182849999999998</v>
      </c>
      <c r="O206" s="2421">
        <f t="shared" si="172"/>
        <v>0.89749900000000005</v>
      </c>
      <c r="P206" s="2412">
        <f>'HVAC Deemed Table'!I1488</f>
        <v>2.2182849999999998</v>
      </c>
      <c r="Q206" s="2412">
        <f>'HVAC Deemed Table'!I1489</f>
        <v>0</v>
      </c>
      <c r="R206" s="2412">
        <f>'HVAC Deemed Table'!I1490</f>
        <v>0.89749900000000005</v>
      </c>
      <c r="S206" s="2412">
        <f>'HVAC Deemed Table'!I1491</f>
        <v>0</v>
      </c>
      <c r="T206" s="2413"/>
      <c r="U206" s="2413"/>
      <c r="V206" s="2424">
        <f t="shared" ref="V206:V208" si="176">O206</f>
        <v>0.89749900000000005</v>
      </c>
      <c r="W206" s="2460">
        <f>'HVAC Deemed Table'!J1488</f>
        <v>6</v>
      </c>
      <c r="X206" s="2460">
        <f>'HVAC Deemed Table'!J1490</f>
        <v>12</v>
      </c>
      <c r="Y206" s="94">
        <f t="shared" si="119"/>
        <v>18</v>
      </c>
      <c r="Z206" s="767">
        <f>'HVAC Deemed Table'!BB1488</f>
        <v>3.176071342155943</v>
      </c>
      <c r="AA206" s="2419">
        <f>'HVAC Deemed Table'!K1488</f>
        <v>2430.6319864864099</v>
      </c>
      <c r="AB206" s="2418">
        <f t="shared" si="138"/>
        <v>3091.2989095774001</v>
      </c>
      <c r="AC206" s="2418">
        <f t="shared" si="139"/>
        <v>4195.0253901933011</v>
      </c>
      <c r="AD206" s="2445">
        <f>'HVAC Deemed Table'!BD1488</f>
        <v>1361.4870190960264</v>
      </c>
      <c r="AE206" s="2445">
        <f>'HVAC Deemed Table'!BD1489</f>
        <v>1729.8118904813734</v>
      </c>
      <c r="AF206" s="2445">
        <f>'HVAC Deemed Table'!BD1490</f>
        <v>1120.0268874281501</v>
      </c>
      <c r="AG206" s="2445">
        <f>'HVAC Deemed Table'!BD1491</f>
        <v>3074.9985027651505</v>
      </c>
      <c r="AH206" s="2378"/>
      <c r="AI206" s="2378"/>
      <c r="AJ206" s="2378"/>
      <c r="AK206" s="2378"/>
      <c r="AL206" s="2380">
        <f t="shared" si="112"/>
        <v>9.4741810000000004E-4</v>
      </c>
      <c r="AM206" s="145">
        <f t="shared" si="151"/>
        <v>2.21828473934</v>
      </c>
      <c r="AN206" s="2368">
        <f t="shared" si="113"/>
        <v>-2.6065999980673382E-7</v>
      </c>
    </row>
    <row r="207" spans="1:41" x14ac:dyDescent="0.25">
      <c r="A207" s="2598" t="str">
        <f>'HVAC Deemed Table'!C1492</f>
        <v>353600_2019_12_</v>
      </c>
      <c r="B207" s="2425" t="str">
        <f>'HVAC Deemed Table'!G1492</f>
        <v>Cooling Res</v>
      </c>
      <c r="C207" s="2425" t="str">
        <f>'HVAC Deemed Table'!G1493</f>
        <v>Heating Res</v>
      </c>
      <c r="D207" s="2425" t="str">
        <f>'HVAC Deemed Table'!G1494</f>
        <v>Cooling Res ER2</v>
      </c>
      <c r="E207" s="2425" t="str">
        <f>'HVAC Deemed Table'!G1495</f>
        <v>Heating Res ER2</v>
      </c>
      <c r="F207" s="245" t="str">
        <f>'HVAC Deemed Table'!E1492</f>
        <v>ASHP - SEER 21 - replace electric furnace / CAC - early replacement MF ER1</v>
      </c>
      <c r="G207" s="745" t="str">
        <f>'HVAC Deemed Table'!D1492</f>
        <v>MF</v>
      </c>
      <c r="H207" s="2420">
        <f t="shared" si="173"/>
        <v>8281.69</v>
      </c>
      <c r="I207" s="2420">
        <f t="shared" si="174"/>
        <v>7375.53</v>
      </c>
      <c r="J207" s="2452">
        <f>'HVAC Deemed Table'!F1492</f>
        <v>1521.91</v>
      </c>
      <c r="K207" s="2452">
        <f>'HVAC Deemed Table'!F1493</f>
        <v>6759.78</v>
      </c>
      <c r="L207" s="2452">
        <f>'HVAC Deemed Table'!F1494</f>
        <v>615.75</v>
      </c>
      <c r="M207" s="2452">
        <f>'HVAC Deemed Table'!F1495</f>
        <v>6759.78</v>
      </c>
      <c r="N207" s="2421">
        <f t="shared" si="171"/>
        <v>1.4418850000000001</v>
      </c>
      <c r="O207" s="2421">
        <f t="shared" si="172"/>
        <v>0.58337300000000003</v>
      </c>
      <c r="P207" s="2412">
        <f>'HVAC Deemed Table'!I1492</f>
        <v>1.4418850000000001</v>
      </c>
      <c r="Q207" s="2412">
        <f>'HVAC Deemed Table'!I1493</f>
        <v>0</v>
      </c>
      <c r="R207" s="2412">
        <f>'HVAC Deemed Table'!I1494</f>
        <v>0.58337300000000003</v>
      </c>
      <c r="S207" s="2412">
        <f>'HVAC Deemed Table'!I1495</f>
        <v>0</v>
      </c>
      <c r="T207" s="2413"/>
      <c r="U207" s="2413"/>
      <c r="V207" s="2424">
        <f t="shared" si="176"/>
        <v>0.58337300000000003</v>
      </c>
      <c r="W207" s="2460">
        <f>'HVAC Deemed Table'!J1492</f>
        <v>6</v>
      </c>
      <c r="X207" s="2460">
        <f>'HVAC Deemed Table'!J1494</f>
        <v>12</v>
      </c>
      <c r="Y207" s="94">
        <f t="shared" si="119"/>
        <v>18</v>
      </c>
      <c r="Z207" s="767">
        <f>'HVAC Deemed Table'!BB1492</f>
        <v>2.3109256909244333</v>
      </c>
      <c r="AA207" s="2419">
        <f>'HVAC Deemed Table'!K1492</f>
        <v>2171.3844012161662</v>
      </c>
      <c r="AB207" s="2418">
        <f t="shared" si="138"/>
        <v>2009.3444575588142</v>
      </c>
      <c r="AC207" s="2418">
        <f t="shared" si="139"/>
        <v>2726.7650258229751</v>
      </c>
      <c r="AD207" s="2445">
        <f>'HVAC Deemed Table'!BD1492</f>
        <v>884.96656241241715</v>
      </c>
      <c r="AE207" s="2445">
        <f>'HVAC Deemed Table'!BD1493</f>
        <v>1124.3778951463969</v>
      </c>
      <c r="AF207" s="2445">
        <f>'HVAC Deemed Table'!BD1494</f>
        <v>728.01570334302755</v>
      </c>
      <c r="AG207" s="2445">
        <f>'HVAC Deemed Table'!BD1495</f>
        <v>1998.7493224799473</v>
      </c>
      <c r="AH207" s="2378"/>
      <c r="AI207" s="2378"/>
      <c r="AJ207" s="2378"/>
      <c r="AK207" s="2378"/>
      <c r="AL207" s="2380">
        <f t="shared" si="112"/>
        <v>9.4741810000000004E-4</v>
      </c>
      <c r="AM207" s="145">
        <f t="shared" si="151"/>
        <v>1.4418850805710002</v>
      </c>
      <c r="AN207" s="2368">
        <f t="shared" si="113"/>
        <v>8.0571000093954126E-8</v>
      </c>
    </row>
    <row r="208" spans="1:41" x14ac:dyDescent="0.25">
      <c r="A208" s="2598" t="str">
        <f>'HVAC Deemed Table'!C1496</f>
        <v>353601_2019_12_</v>
      </c>
      <c r="B208" s="2425" t="str">
        <f>'HVAC Deemed Table'!G1496</f>
        <v>Cooling Res</v>
      </c>
      <c r="C208" s="2425" t="str">
        <f>'HVAC Deemed Table'!G1497</f>
        <v>Heating Res</v>
      </c>
      <c r="D208" s="2425" t="str">
        <f>'HVAC Deemed Table'!G1498</f>
        <v>Cooling Res ER2</v>
      </c>
      <c r="E208" s="2425" t="str">
        <f>'HVAC Deemed Table'!G1499</f>
        <v>Heating Res ER2</v>
      </c>
      <c r="F208" s="245" t="str">
        <f>'HVAC Deemed Table'!E1496</f>
        <v>ASHP - SEER 21 - replace electric furnace / CAC - early replacement MF ER1_CompE</v>
      </c>
      <c r="G208" s="745" t="str">
        <f>'HVAC Deemed Table'!D1496</f>
        <v>MFc</v>
      </c>
      <c r="H208" s="2420">
        <f t="shared" si="173"/>
        <v>3411.3099999999995</v>
      </c>
      <c r="I208" s="2420">
        <f t="shared" si="174"/>
        <v>2752.29</v>
      </c>
      <c r="J208" s="2452">
        <f>'HVAC Deemed Table'!F1496</f>
        <v>1106.8399999999999</v>
      </c>
      <c r="K208" s="2452">
        <f>'HVAC Deemed Table'!F1497</f>
        <v>2304.4699999999998</v>
      </c>
      <c r="L208" s="2452">
        <f>'HVAC Deemed Table'!F1498</f>
        <v>447.82</v>
      </c>
      <c r="M208" s="2452">
        <f>'HVAC Deemed Table'!F1499</f>
        <v>2304.4699999999998</v>
      </c>
      <c r="N208" s="2421">
        <f t="shared" si="171"/>
        <v>1.04864</v>
      </c>
      <c r="O208" s="2421">
        <f t="shared" si="172"/>
        <v>0.42427300000000001</v>
      </c>
      <c r="P208" s="2412">
        <f>'HVAC Deemed Table'!I1496</f>
        <v>1.04864</v>
      </c>
      <c r="Q208" s="2412">
        <f>'HVAC Deemed Table'!I1497</f>
        <v>0</v>
      </c>
      <c r="R208" s="2412">
        <f>'HVAC Deemed Table'!I1498</f>
        <v>0.42427300000000001</v>
      </c>
      <c r="S208" s="2412">
        <f>'HVAC Deemed Table'!I1499</f>
        <v>0</v>
      </c>
      <c r="T208" s="2413"/>
      <c r="U208" s="2413"/>
      <c r="V208" s="2424">
        <f t="shared" si="176"/>
        <v>0.42427300000000001</v>
      </c>
      <c r="W208" s="2460">
        <f>'HVAC Deemed Table'!J1496</f>
        <v>6</v>
      </c>
      <c r="X208" s="2460">
        <f>'HVAC Deemed Table'!J1498</f>
        <v>12</v>
      </c>
      <c r="Y208" s="94">
        <f t="shared" si="119"/>
        <v>18</v>
      </c>
      <c r="Z208" s="767">
        <f>'HVAC Deemed Table'!BB1496</f>
        <v>1.09189705127851</v>
      </c>
      <c r="AA208" s="2419">
        <f>'HVAC Deemed Table'!K1496</f>
        <v>2171.3844012161662</v>
      </c>
      <c r="AB208" s="2418">
        <f t="shared" si="138"/>
        <v>1026.9205013694805</v>
      </c>
      <c r="AC208" s="2418">
        <f t="shared" si="139"/>
        <v>1210.8597958273901</v>
      </c>
      <c r="AD208" s="2445">
        <f>'HVAC Deemed Table'!BD1496</f>
        <v>643.60993090298348</v>
      </c>
      <c r="AE208" s="2445">
        <f>'HVAC Deemed Table'!BD1497</f>
        <v>383.31057046649704</v>
      </c>
      <c r="AF208" s="2445">
        <f>'HVAC Deemed Table'!BD1498</f>
        <v>529.46811574677156</v>
      </c>
      <c r="AG208" s="2445">
        <f>'HVAC Deemed Table'!BD1499</f>
        <v>681.39168008061858</v>
      </c>
      <c r="AH208" s="2378"/>
      <c r="AI208" s="2378"/>
      <c r="AJ208" s="2378"/>
      <c r="AK208" s="2378"/>
      <c r="AL208" s="2380">
        <f t="shared" si="112"/>
        <v>9.4741810000000004E-4</v>
      </c>
      <c r="AM208" s="145">
        <f t="shared" si="151"/>
        <v>1.0486402498039999</v>
      </c>
      <c r="AN208" s="2376">
        <f t="shared" si="113"/>
        <v>2.4980399992990954E-7</v>
      </c>
      <c r="AO208" s="248">
        <f>AN208/N208</f>
        <v>2.3821711924960857E-7</v>
      </c>
    </row>
    <row r="209" spans="1:41" x14ac:dyDescent="0.25">
      <c r="A209" s="2598" t="str">
        <f>'HVAC Deemed Table'!C1500</f>
        <v>353650_2019_12_</v>
      </c>
      <c r="B209" s="2425" t="str">
        <f>'HVAC Deemed Table'!G1500</f>
        <v>Cooling Res</v>
      </c>
      <c r="C209" s="2425" t="str">
        <f>'HVAC Deemed Table'!G1501</f>
        <v>Heating Res</v>
      </c>
      <c r="D209" s="245"/>
      <c r="E209" s="245"/>
      <c r="F209" s="245" t="str">
        <f>'HVAC Deemed Table'!E1500</f>
        <v>ASHP - SEER 21 - replace electric furnace / CAC SF</v>
      </c>
      <c r="G209" s="745" t="str">
        <f>'HVAC Deemed Table'!D1500</f>
        <v>SF</v>
      </c>
      <c r="H209" s="2420">
        <f t="shared" ref="H209:H217" si="177">J209+K209</f>
        <v>11902</v>
      </c>
      <c r="I209" s="2420">
        <f t="shared" ref="I209:I217" si="178">L209+M209</f>
        <v>0</v>
      </c>
      <c r="J209" s="2452">
        <f>'HVAC Deemed Table'!F1500</f>
        <v>977.86</v>
      </c>
      <c r="K209" s="2452">
        <f>'HVAC Deemed Table'!F1501</f>
        <v>10924.14</v>
      </c>
      <c r="L209" s="2452"/>
      <c r="M209" s="2452"/>
      <c r="N209" s="2421">
        <f t="shared" si="171"/>
        <v>0.92644199999999999</v>
      </c>
      <c r="O209" s="2421">
        <f t="shared" si="172"/>
        <v>0</v>
      </c>
      <c r="P209" s="2412">
        <f>'HVAC Deemed Table'!I1500</f>
        <v>0.92644199999999999</v>
      </c>
      <c r="Q209" s="2412">
        <f>'HVAC Deemed Table'!I1501</f>
        <v>0</v>
      </c>
      <c r="R209" s="2412"/>
      <c r="S209" s="2412"/>
      <c r="T209" s="2413"/>
      <c r="U209" s="2413"/>
      <c r="V209" s="2413">
        <f t="shared" ref="V209:V211" si="179">N209</f>
        <v>0.92644199999999999</v>
      </c>
      <c r="W209" s="2460">
        <f>'HVAC Deemed Table'!J1500</f>
        <v>18</v>
      </c>
      <c r="X209" s="2460"/>
      <c r="Y209" s="94">
        <f t="shared" si="119"/>
        <v>18</v>
      </c>
      <c r="Z209" s="767">
        <f>'HVAC Deemed Table'!BB1500</f>
        <v>4.2456407613027976</v>
      </c>
      <c r="AA209" s="2419">
        <f>'HVAC Deemed Table'!K1500</f>
        <v>1689.9245999999991</v>
      </c>
      <c r="AB209" s="2418">
        <f t="shared" si="138"/>
        <v>6771.8855736558007</v>
      </c>
      <c r="AC209" s="2418">
        <f t="shared" si="139"/>
        <v>0</v>
      </c>
      <c r="AD209" s="2445">
        <f>'HVAC Deemed Table'!BD1500</f>
        <v>1724.7569743285078</v>
      </c>
      <c r="AE209" s="2445">
        <f>'HVAC Deemed Table'!BD1501</f>
        <v>5047.1285993272932</v>
      </c>
      <c r="AF209" s="2445"/>
      <c r="AG209" s="2445"/>
      <c r="AH209" s="2378"/>
      <c r="AI209" s="2378"/>
      <c r="AJ209" s="2378"/>
      <c r="AK209" s="2378"/>
      <c r="AL209" s="2380">
        <f t="shared" si="112"/>
        <v>9.4741810000000004E-4</v>
      </c>
      <c r="AM209" s="145">
        <f t="shared" si="151"/>
        <v>0.9264422632660001</v>
      </c>
      <c r="AN209" s="2368">
        <f t="shared" si="113"/>
        <v>2.6326600011117307E-7</v>
      </c>
    </row>
    <row r="210" spans="1:41" x14ac:dyDescent="0.25">
      <c r="A210" s="2598" t="str">
        <f>'HVAC Deemed Table'!C1502</f>
        <v>353700_2019_12_</v>
      </c>
      <c r="B210" s="2425" t="str">
        <f>'HVAC Deemed Table'!G1502</f>
        <v>Cooling Res</v>
      </c>
      <c r="C210" s="2425" t="str">
        <f>'HVAC Deemed Table'!G1503</f>
        <v>Heating Res</v>
      </c>
      <c r="D210" s="245"/>
      <c r="E210" s="245"/>
      <c r="F210" s="245" t="str">
        <f>'HVAC Deemed Table'!E1502</f>
        <v>ASHP-  SEER 21+ replace at Fail Elec Resist Furnace MF</v>
      </c>
      <c r="G210" s="745" t="str">
        <f>'HVAC Deemed Table'!D1502</f>
        <v>SF</v>
      </c>
      <c r="H210" s="2420">
        <f t="shared" si="177"/>
        <v>7736.2999999999993</v>
      </c>
      <c r="I210" s="2420">
        <f t="shared" si="178"/>
        <v>0</v>
      </c>
      <c r="J210" s="2452">
        <f>'HVAC Deemed Table'!F1502</f>
        <v>635.61</v>
      </c>
      <c r="K210" s="2452">
        <f>'HVAC Deemed Table'!F1503</f>
        <v>7100.69</v>
      </c>
      <c r="L210" s="2452"/>
      <c r="M210" s="2452"/>
      <c r="N210" s="2421">
        <f t="shared" si="171"/>
        <v>0.60218799999999995</v>
      </c>
      <c r="O210" s="2421">
        <f t="shared" si="172"/>
        <v>0</v>
      </c>
      <c r="P210" s="2412">
        <f>'HVAC Deemed Table'!I1502</f>
        <v>0.60218799999999995</v>
      </c>
      <c r="Q210" s="2412">
        <f>'HVAC Deemed Table'!I1503</f>
        <v>0</v>
      </c>
      <c r="R210" s="2412"/>
      <c r="S210" s="2412"/>
      <c r="T210" s="2413"/>
      <c r="U210" s="2413"/>
      <c r="V210" s="2413">
        <f t="shared" si="179"/>
        <v>0.60218799999999995</v>
      </c>
      <c r="W210" s="2460">
        <f>'HVAC Deemed Table'!J1502</f>
        <v>18</v>
      </c>
      <c r="X210" s="2460"/>
      <c r="Y210" s="94">
        <f t="shared" si="119"/>
        <v>18</v>
      </c>
      <c r="Z210" s="767">
        <f>'HVAC Deemed Table'!BB1502</f>
        <v>2.7596673110064098</v>
      </c>
      <c r="AA210" s="2419">
        <f>'HVAC Deemed Table'!K1502</f>
        <v>1689.9245999999991</v>
      </c>
      <c r="AB210" s="2418">
        <f t="shared" si="138"/>
        <v>4401.7269246678434</v>
      </c>
      <c r="AC210" s="2418">
        <f t="shared" si="139"/>
        <v>0</v>
      </c>
      <c r="AD210" s="2445">
        <f>'HVAC Deemed Table'!BD1502</f>
        <v>1121.0937971212063</v>
      </c>
      <c r="AE210" s="2445">
        <f>'HVAC Deemed Table'!BD1503</f>
        <v>3280.6331275466368</v>
      </c>
      <c r="AF210" s="2445"/>
      <c r="AG210" s="2445"/>
      <c r="AH210" s="2378"/>
      <c r="AI210" s="2378"/>
      <c r="AJ210" s="2378"/>
      <c r="AK210" s="2378"/>
      <c r="AL210" s="2380">
        <f t="shared" si="112"/>
        <v>9.4741810000000004E-4</v>
      </c>
      <c r="AM210" s="145">
        <f t="shared" si="151"/>
        <v>0.60218841854100003</v>
      </c>
      <c r="AN210" s="2368">
        <f t="shared" si="113"/>
        <v>4.1854100008009709E-7</v>
      </c>
    </row>
    <row r="211" spans="1:41" x14ac:dyDescent="0.25">
      <c r="A211" s="2598" t="str">
        <f>'HVAC Deemed Table'!C1504</f>
        <v>353701_2019_12_</v>
      </c>
      <c r="B211" s="2425" t="str">
        <f>'HVAC Deemed Table'!G1504</f>
        <v>Cooling Res</v>
      </c>
      <c r="C211" s="2425" t="str">
        <f>'HVAC Deemed Table'!G1505</f>
        <v>Heating Res</v>
      </c>
      <c r="D211" s="245"/>
      <c r="E211" s="245"/>
      <c r="F211" s="245" t="str">
        <f>'HVAC Deemed Table'!E1504</f>
        <v>ASHP-  SEER 21+ replace at Fail Elec Resist Furnace MF_CompE</v>
      </c>
      <c r="G211" s="745" t="str">
        <f>'HVAC Deemed Table'!D1504</f>
        <v>MFc</v>
      </c>
      <c r="H211" s="2420">
        <f t="shared" si="177"/>
        <v>2882.95</v>
      </c>
      <c r="I211" s="2420">
        <f t="shared" si="178"/>
        <v>0</v>
      </c>
      <c r="J211" s="2452">
        <f>'HVAC Deemed Table'!F1504</f>
        <v>462.26</v>
      </c>
      <c r="K211" s="2452">
        <f>'HVAC Deemed Table'!F1505</f>
        <v>2420.69</v>
      </c>
      <c r="L211" s="2452"/>
      <c r="M211" s="2452"/>
      <c r="N211" s="2421">
        <f t="shared" si="171"/>
        <v>0.43795299999999998</v>
      </c>
      <c r="O211" s="2421">
        <f t="shared" si="172"/>
        <v>0</v>
      </c>
      <c r="P211" s="2412">
        <f>'HVAC Deemed Table'!I1504</f>
        <v>0.43795299999999998</v>
      </c>
      <c r="Q211" s="2412">
        <f>'HVAC Deemed Table'!I1505</f>
        <v>0</v>
      </c>
      <c r="R211" s="2412"/>
      <c r="S211" s="2412"/>
      <c r="T211" s="2413"/>
      <c r="U211" s="2413"/>
      <c r="V211" s="2413">
        <f t="shared" si="179"/>
        <v>0.43795299999999998</v>
      </c>
      <c r="W211" s="2460">
        <f>'HVAC Deemed Table'!J1504</f>
        <v>18</v>
      </c>
      <c r="X211" s="2460"/>
      <c r="Y211" s="94">
        <f t="shared" si="119"/>
        <v>18</v>
      </c>
      <c r="Z211" s="767">
        <f>'HVAC Deemed Table'!BB1504</f>
        <v>1.2123574985084911</v>
      </c>
      <c r="AA211" s="2419">
        <f>'HVAC Deemed Table'!K1504</f>
        <v>1689.9245999999991</v>
      </c>
      <c r="AB211" s="2418">
        <f t="shared" si="138"/>
        <v>1933.7354985596612</v>
      </c>
      <c r="AC211" s="2418">
        <f t="shared" si="139"/>
        <v>0</v>
      </c>
      <c r="AD211" s="2445">
        <f>'HVAC Deemed Table'!BD1504</f>
        <v>815.33773643782956</v>
      </c>
      <c r="AE211" s="2445">
        <f>'HVAC Deemed Table'!BD1505</f>
        <v>1118.3977621218316</v>
      </c>
      <c r="AF211" s="2445"/>
      <c r="AG211" s="2445"/>
      <c r="AH211" s="2378"/>
      <c r="AI211" s="2378"/>
      <c r="AJ211" s="2378"/>
      <c r="AK211" s="2378"/>
      <c r="AL211" s="2380">
        <f t="shared" si="112"/>
        <v>9.4741810000000004E-4</v>
      </c>
      <c r="AM211" s="145">
        <f t="shared" si="151"/>
        <v>0.437953490906</v>
      </c>
      <c r="AN211" s="2368">
        <f t="shared" si="113"/>
        <v>4.9090600001688856E-7</v>
      </c>
    </row>
    <row r="212" spans="1:41" x14ac:dyDescent="0.25">
      <c r="A212" s="2598" t="str">
        <f>'HVAC Deemed Table'!C1506</f>
        <v>353750_2019_12_</v>
      </c>
      <c r="B212" s="2425" t="str">
        <f>'HVAC Deemed Table'!G1506</f>
        <v>Cooling Res</v>
      </c>
      <c r="C212" s="2425" t="str">
        <f>'HVAC Deemed Table'!G1507</f>
        <v>Heating Res</v>
      </c>
      <c r="D212" s="2425" t="str">
        <f>'HVAC Deemed Table'!G1508</f>
        <v>Cooling Res ER2</v>
      </c>
      <c r="E212" s="2425" t="str">
        <f>'HVAC Deemed Table'!G1509</f>
        <v>Heating Res ER2</v>
      </c>
      <c r="F212" s="245" t="str">
        <f>'HVAC Deemed Table'!E1506</f>
        <v>ASHP SEER 17 replace ASHP - early replacement SF ER1</v>
      </c>
      <c r="G212" s="745" t="str">
        <f>'HVAC Deemed Table'!D1506</f>
        <v>SF</v>
      </c>
      <c r="H212" s="2420">
        <f t="shared" si="177"/>
        <v>4874.2000000000007</v>
      </c>
      <c r="I212" s="2420">
        <f t="shared" si="178"/>
        <v>1422.4</v>
      </c>
      <c r="J212" s="2452">
        <f>'HVAC Deemed Table'!F1506</f>
        <v>2106.88</v>
      </c>
      <c r="K212" s="2452">
        <f>'HVAC Deemed Table'!F1507</f>
        <v>2767.32</v>
      </c>
      <c r="L212" s="2452">
        <f>'HVAC Deemed Table'!F1508</f>
        <v>433.77</v>
      </c>
      <c r="M212" s="2452">
        <f>'HVAC Deemed Table'!F1509</f>
        <v>988.63</v>
      </c>
      <c r="N212" s="2421">
        <f t="shared" si="171"/>
        <v>1.9960960000000001</v>
      </c>
      <c r="O212" s="2421">
        <f t="shared" si="172"/>
        <v>0.41096199999999999</v>
      </c>
      <c r="P212" s="2412">
        <f>'HVAC Deemed Table'!I1506</f>
        <v>1.9960960000000001</v>
      </c>
      <c r="Q212" s="2412">
        <f>'HVAC Deemed Table'!I1507</f>
        <v>0</v>
      </c>
      <c r="R212" s="2412">
        <f>'HVAC Deemed Table'!I1508</f>
        <v>0.41096199999999999</v>
      </c>
      <c r="S212" s="2412">
        <f>'HVAC Deemed Table'!I1509</f>
        <v>0</v>
      </c>
      <c r="T212" s="2413"/>
      <c r="U212" s="2413"/>
      <c r="V212" s="2424">
        <f t="shared" ref="V212" si="180">O212</f>
        <v>0.41096199999999999</v>
      </c>
      <c r="W212" s="2460">
        <f>'HVAC Deemed Table'!J1506</f>
        <v>6</v>
      </c>
      <c r="X212" s="2460">
        <f>'HVAC Deemed Table'!J1508</f>
        <v>12</v>
      </c>
      <c r="Y212" s="94">
        <f t="shared" si="119"/>
        <v>18</v>
      </c>
      <c r="Z212" s="767">
        <f>'HVAC Deemed Table'!BB1506</f>
        <v>1.7446555997670108</v>
      </c>
      <c r="AA212" s="2419">
        <f>'HVAC Deemed Table'!K1506</f>
        <v>1512.4949598081143</v>
      </c>
      <c r="AB212" s="2418">
        <f t="shared" si="138"/>
        <v>1685.4153860985564</v>
      </c>
      <c r="AC212" s="2418">
        <f t="shared" si="139"/>
        <v>805.17715873259624</v>
      </c>
      <c r="AD212" s="2445">
        <f>'HVAC Deemed Table'!BD1506</f>
        <v>1225.1173532045084</v>
      </c>
      <c r="AE212" s="2445">
        <f>'HVAC Deemed Table'!BD1507</f>
        <v>460.29803289404794</v>
      </c>
      <c r="AF212" s="2445">
        <f>'HVAC Deemed Table'!BD1508</f>
        <v>512.85647038425498</v>
      </c>
      <c r="AG212" s="2445">
        <f>'HVAC Deemed Table'!BD1509</f>
        <v>292.32068834834126</v>
      </c>
      <c r="AH212" s="2378"/>
      <c r="AI212" s="2378"/>
      <c r="AJ212" s="2378"/>
      <c r="AK212" s="2378"/>
      <c r="AL212" s="2380">
        <f t="shared" si="112"/>
        <v>9.4741810000000004E-4</v>
      </c>
      <c r="AM212" s="145">
        <f t="shared" si="151"/>
        <v>1.9960962465280001</v>
      </c>
      <c r="AN212" s="2368">
        <f t="shared" si="113"/>
        <v>2.4652800001412345E-7</v>
      </c>
    </row>
    <row r="213" spans="1:41" x14ac:dyDescent="0.25">
      <c r="A213" s="2598" t="str">
        <f>'HVAC Deemed Table'!C1510</f>
        <v>353800_2019_12_</v>
      </c>
      <c r="B213" s="2425" t="str">
        <f>'HVAC Deemed Table'!G1510</f>
        <v>Cooling Res</v>
      </c>
      <c r="C213" s="2425" t="str">
        <f>'HVAC Deemed Table'!G1511</f>
        <v>Heating Res</v>
      </c>
      <c r="D213" s="245"/>
      <c r="E213" s="245"/>
      <c r="F213" s="245" t="str">
        <f>'HVAC Deemed Table'!E1510</f>
        <v>ASHP SEER 17 replace ASHP - replace on fail SF</v>
      </c>
      <c r="G213" s="745" t="str">
        <f>'HVAC Deemed Table'!D1510</f>
        <v>SF</v>
      </c>
      <c r="H213" s="2420">
        <f t="shared" si="177"/>
        <v>1613.29</v>
      </c>
      <c r="I213" s="2420">
        <f t="shared" si="178"/>
        <v>0</v>
      </c>
      <c r="J213" s="2452">
        <f>'HVAC Deemed Table'!F1510</f>
        <v>433.77</v>
      </c>
      <c r="K213" s="2452">
        <f>'HVAC Deemed Table'!F1511</f>
        <v>1179.52</v>
      </c>
      <c r="L213" s="2452"/>
      <c r="M213" s="2452"/>
      <c r="N213" s="2421">
        <f t="shared" si="171"/>
        <v>0.41096199999999999</v>
      </c>
      <c r="O213" s="2421">
        <f t="shared" si="172"/>
        <v>0</v>
      </c>
      <c r="P213" s="2412">
        <f>'HVAC Deemed Table'!I1510</f>
        <v>0.41096199999999999</v>
      </c>
      <c r="Q213" s="2412">
        <f>'HVAC Deemed Table'!I1511</f>
        <v>0</v>
      </c>
      <c r="R213" s="2412"/>
      <c r="S213" s="2412"/>
      <c r="T213" s="2413"/>
      <c r="U213" s="2413"/>
      <c r="V213" s="2413">
        <f t="shared" ref="V213" si="181">N213</f>
        <v>0.41096199999999999</v>
      </c>
      <c r="W213" s="2460">
        <f>'HVAC Deemed Table'!J1510</f>
        <v>18</v>
      </c>
      <c r="X213" s="2460"/>
      <c r="Y213" s="94">
        <f t="shared" si="119"/>
        <v>18</v>
      </c>
      <c r="Z213" s="767">
        <f>'HVAC Deemed Table'!BB1510</f>
        <v>1.9171156267724738</v>
      </c>
      <c r="AA213" s="2419">
        <f>'HVAC Deemed Table'!K1510</f>
        <v>724</v>
      </c>
      <c r="AB213" s="2418">
        <f t="shared" si="138"/>
        <v>1310.0440904042198</v>
      </c>
      <c r="AC213" s="2418">
        <f t="shared" si="139"/>
        <v>0</v>
      </c>
      <c r="AD213" s="2445">
        <f>'HVAC Deemed Table'!BD1510</f>
        <v>765.08685574057313</v>
      </c>
      <c r="AE213" s="2445">
        <f>'HVAC Deemed Table'!BD1511</f>
        <v>544.95723466364666</v>
      </c>
      <c r="AF213" s="2445"/>
      <c r="AG213" s="2445"/>
      <c r="AH213" s="2378"/>
      <c r="AI213" s="2378"/>
      <c r="AJ213" s="2378"/>
      <c r="AK213" s="2378"/>
      <c r="AL213" s="2380">
        <f t="shared" si="112"/>
        <v>9.4741810000000004E-4</v>
      </c>
      <c r="AM213" s="145">
        <f t="shared" ref="AM213:AM244" si="182">AL213*J213</f>
        <v>0.41096154923700001</v>
      </c>
      <c r="AN213" s="2368">
        <f t="shared" si="113"/>
        <v>-4.50762999981702E-7</v>
      </c>
    </row>
    <row r="214" spans="1:41" x14ac:dyDescent="0.25">
      <c r="A214" s="2598" t="str">
        <f>'HVAC Deemed Table'!C1512</f>
        <v>353850_2019_12_</v>
      </c>
      <c r="B214" s="2425" t="str">
        <f>'HVAC Deemed Table'!G1512</f>
        <v>Cooling Res</v>
      </c>
      <c r="C214" s="2425" t="str">
        <f>'HVAC Deemed Table'!G1513</f>
        <v>Heating Res</v>
      </c>
      <c r="D214" s="2425" t="str">
        <f>'HVAC Deemed Table'!G1514</f>
        <v>Cooling Res ER2</v>
      </c>
      <c r="E214" s="2425" t="str">
        <f>'HVAC Deemed Table'!G1515</f>
        <v>Heating Res ER2</v>
      </c>
      <c r="F214" s="245" t="str">
        <f>'HVAC Deemed Table'!E1512</f>
        <v>ASHP SEER 18 replace ASHP - early replacement SF ER1</v>
      </c>
      <c r="G214" s="745" t="str">
        <f>'HVAC Deemed Table'!D1512</f>
        <v>SF</v>
      </c>
      <c r="H214" s="2420">
        <f t="shared" si="177"/>
        <v>4986.66</v>
      </c>
      <c r="I214" s="2420">
        <f t="shared" si="178"/>
        <v>1534.8600000000001</v>
      </c>
      <c r="J214" s="2452">
        <f>'HVAC Deemed Table'!F1512</f>
        <v>2219.34</v>
      </c>
      <c r="K214" s="2452">
        <f>'HVAC Deemed Table'!F1513</f>
        <v>2767.32</v>
      </c>
      <c r="L214" s="2452">
        <f>'HVAC Deemed Table'!F1514</f>
        <v>546.23</v>
      </c>
      <c r="M214" s="2452">
        <f>'HVAC Deemed Table'!F1515</f>
        <v>988.63</v>
      </c>
      <c r="N214" s="2421">
        <f t="shared" si="171"/>
        <v>2.102643</v>
      </c>
      <c r="O214" s="2421">
        <f t="shared" si="172"/>
        <v>0.51750799999999997</v>
      </c>
      <c r="P214" s="2412">
        <f>'HVAC Deemed Table'!I1512</f>
        <v>2.102643</v>
      </c>
      <c r="Q214" s="2412">
        <f>'HVAC Deemed Table'!I1513</f>
        <v>0</v>
      </c>
      <c r="R214" s="2412">
        <f>'HVAC Deemed Table'!I1514</f>
        <v>0.51750799999999997</v>
      </c>
      <c r="S214" s="2412">
        <f>'HVAC Deemed Table'!I1515</f>
        <v>0</v>
      </c>
      <c r="T214" s="2413"/>
      <c r="U214" s="2413"/>
      <c r="V214" s="2424">
        <f t="shared" ref="V214" si="183">O214</f>
        <v>0.51750799999999997</v>
      </c>
      <c r="W214" s="2460">
        <f>'HVAC Deemed Table'!J1512</f>
        <v>6</v>
      </c>
      <c r="X214" s="2460">
        <f>'HVAC Deemed Table'!J1514</f>
        <v>12</v>
      </c>
      <c r="Y214" s="94">
        <f t="shared" si="119"/>
        <v>18</v>
      </c>
      <c r="Z214" s="767">
        <f>'HVAC Deemed Table'!BB1512</f>
        <v>1.6266521456492413</v>
      </c>
      <c r="AA214" s="2419">
        <f>'HVAC Deemed Table'!K1512</f>
        <v>1751.4149598081144</v>
      </c>
      <c r="AB214" s="2418">
        <f t="shared" si="138"/>
        <v>1750.8090950622272</v>
      </c>
      <c r="AC214" s="2418">
        <f t="shared" si="139"/>
        <v>938.1412610435292</v>
      </c>
      <c r="AD214" s="2445">
        <f>'HVAC Deemed Table'!BD1512</f>
        <v>1290.5110621681793</v>
      </c>
      <c r="AE214" s="2445">
        <f>'HVAC Deemed Table'!BD1513</f>
        <v>460.29803289404794</v>
      </c>
      <c r="AF214" s="2445">
        <f>'HVAC Deemed Table'!BD1514</f>
        <v>645.82057269518793</v>
      </c>
      <c r="AG214" s="2445">
        <f>'HVAC Deemed Table'!BD1515</f>
        <v>292.32068834834126</v>
      </c>
      <c r="AH214" s="2378"/>
      <c r="AI214" s="2378"/>
      <c r="AJ214" s="2378"/>
      <c r="AK214" s="2378"/>
      <c r="AL214" s="2380">
        <f t="shared" si="112"/>
        <v>9.4741810000000004E-4</v>
      </c>
      <c r="AM214" s="145">
        <f t="shared" si="182"/>
        <v>2.1026428860540003</v>
      </c>
      <c r="AN214" s="2368">
        <f t="shared" si="113"/>
        <v>-1.1394599974678954E-7</v>
      </c>
    </row>
    <row r="215" spans="1:41" x14ac:dyDescent="0.25">
      <c r="A215" s="2598" t="str">
        <f>'HVAC Deemed Table'!C1516</f>
        <v>353950_2019_12_</v>
      </c>
      <c r="B215" s="2425" t="str">
        <f>'HVAC Deemed Table'!G1516</f>
        <v>Cooling Res</v>
      </c>
      <c r="C215" s="2425" t="str">
        <f>'HVAC Deemed Table'!G1517</f>
        <v>Heating Res</v>
      </c>
      <c r="D215" s="245"/>
      <c r="E215" s="245"/>
      <c r="F215" s="245" t="str">
        <f>'HVAC Deemed Table'!E1516</f>
        <v>ASHP - SEER 18 - replace on fail SF</v>
      </c>
      <c r="G215" s="745" t="str">
        <f>'HVAC Deemed Table'!D1516</f>
        <v>SF</v>
      </c>
      <c r="H215" s="2420">
        <f t="shared" si="177"/>
        <v>1725.75</v>
      </c>
      <c r="I215" s="2420">
        <f t="shared" si="178"/>
        <v>0</v>
      </c>
      <c r="J215" s="2452">
        <f>'HVAC Deemed Table'!F1516</f>
        <v>546.23</v>
      </c>
      <c r="K215" s="2452">
        <f>'HVAC Deemed Table'!F1517</f>
        <v>1179.52</v>
      </c>
      <c r="L215" s="2452"/>
      <c r="M215" s="2452"/>
      <c r="N215" s="2421">
        <f t="shared" ref="N215:N233" si="184">P215+Q215</f>
        <v>0.51750799999999997</v>
      </c>
      <c r="O215" s="2421">
        <f t="shared" ref="O215:O233" si="185">R215+S215</f>
        <v>0</v>
      </c>
      <c r="P215" s="2412">
        <f>'HVAC Deemed Table'!I1516</f>
        <v>0.51750799999999997</v>
      </c>
      <c r="Q215" s="2412">
        <f>'HVAC Deemed Table'!I1517</f>
        <v>0</v>
      </c>
      <c r="R215" s="2412"/>
      <c r="S215" s="2412"/>
      <c r="T215" s="2413"/>
      <c r="U215" s="2413"/>
      <c r="V215" s="2413">
        <f t="shared" ref="V215" si="186">N215</f>
        <v>0.51750799999999997</v>
      </c>
      <c r="W215" s="2460">
        <f>'HVAC Deemed Table'!J1516</f>
        <v>18</v>
      </c>
      <c r="X215" s="2460"/>
      <c r="Y215" s="94">
        <f t="shared" si="119"/>
        <v>18</v>
      </c>
      <c r="Z215" s="767">
        <f>'HVAC Deemed Table'!BB1516</f>
        <v>1.6596932401743794</v>
      </c>
      <c r="AA215" s="2419">
        <f>'HVAC Deemed Table'!K1516</f>
        <v>962.92000000000007</v>
      </c>
      <c r="AB215" s="2418">
        <f t="shared" si="138"/>
        <v>1508.4019016788234</v>
      </c>
      <c r="AC215" s="2418">
        <f t="shared" si="139"/>
        <v>0</v>
      </c>
      <c r="AD215" s="2445">
        <f>'HVAC Deemed Table'!BD1516</f>
        <v>963.44466701517683</v>
      </c>
      <c r="AE215" s="2445">
        <f>'HVAC Deemed Table'!BD1517</f>
        <v>544.95723466364666</v>
      </c>
      <c r="AF215" s="2445"/>
      <c r="AG215" s="2445"/>
      <c r="AH215" s="2378"/>
      <c r="AI215" s="2378"/>
      <c r="AJ215" s="2378"/>
      <c r="AK215" s="2378"/>
      <c r="AL215" s="2380">
        <f t="shared" si="112"/>
        <v>9.4741810000000004E-4</v>
      </c>
      <c r="AM215" s="145">
        <f t="shared" si="182"/>
        <v>0.51750818876300009</v>
      </c>
      <c r="AN215" s="2368">
        <f t="shared" si="113"/>
        <v>1.8876300011960723E-7</v>
      </c>
    </row>
    <row r="216" spans="1:41" x14ac:dyDescent="0.25">
      <c r="A216" s="2598" t="str">
        <f>'HVAC Deemed Table'!C1518</f>
        <v>354000_2019_12_</v>
      </c>
      <c r="B216" s="2425" t="str">
        <f>'HVAC Deemed Table'!G1518</f>
        <v>Cooling Res</v>
      </c>
      <c r="C216" s="2425" t="str">
        <f>'HVAC Deemed Table'!G1519</f>
        <v>Heating Res</v>
      </c>
      <c r="D216" s="2425" t="str">
        <f>'HVAC Deemed Table'!G1520</f>
        <v>Cooling Res ER2</v>
      </c>
      <c r="E216" s="2425" t="str">
        <f>'HVAC Deemed Table'!G1521</f>
        <v>Heating Res ER2</v>
      </c>
      <c r="F216" s="245" t="str">
        <f>'HVAC Deemed Table'!E1518</f>
        <v>ASHP SEER 19 replace ASHP - early replacement SF ER1</v>
      </c>
      <c r="G216" s="745" t="str">
        <f>'HVAC Deemed Table'!D1518</f>
        <v>SF</v>
      </c>
      <c r="H216" s="2420">
        <f t="shared" si="177"/>
        <v>5087.2800000000007</v>
      </c>
      <c r="I216" s="2420">
        <f t="shared" si="178"/>
        <v>1635.48</v>
      </c>
      <c r="J216" s="2452">
        <f>'HVAC Deemed Table'!F1518</f>
        <v>2319.96</v>
      </c>
      <c r="K216" s="2452">
        <f>'HVAC Deemed Table'!F1519</f>
        <v>2767.32</v>
      </c>
      <c r="L216" s="2452">
        <f>'HVAC Deemed Table'!F1520</f>
        <v>646.85</v>
      </c>
      <c r="M216" s="2452">
        <f>'HVAC Deemed Table'!F1521</f>
        <v>988.63</v>
      </c>
      <c r="N216" s="2421">
        <f t="shared" si="184"/>
        <v>2.197972</v>
      </c>
      <c r="O216" s="2421">
        <f t="shared" si="185"/>
        <v>0.61283699999999997</v>
      </c>
      <c r="P216" s="2412">
        <f>'HVAC Deemed Table'!I1518</f>
        <v>2.197972</v>
      </c>
      <c r="Q216" s="2412">
        <f>'HVAC Deemed Table'!I1519</f>
        <v>0</v>
      </c>
      <c r="R216" s="2412">
        <f>'HVAC Deemed Table'!I1520</f>
        <v>0.61283699999999997</v>
      </c>
      <c r="S216" s="2412">
        <f>'HVAC Deemed Table'!I1521</f>
        <v>0</v>
      </c>
      <c r="T216" s="2413"/>
      <c r="U216" s="2413"/>
      <c r="V216" s="2424">
        <f t="shared" ref="V216" si="187">O216</f>
        <v>0.61283699999999997</v>
      </c>
      <c r="W216" s="2460">
        <f>'HVAC Deemed Table'!J1518</f>
        <v>6</v>
      </c>
      <c r="X216" s="2460">
        <f>'HVAC Deemed Table'!J1520</f>
        <v>12</v>
      </c>
      <c r="Y216" s="94">
        <f t="shared" si="119"/>
        <v>18</v>
      </c>
      <c r="Z216" s="767">
        <f>'HVAC Deemed Table'!BB1518</f>
        <v>1.5244758862894483</v>
      </c>
      <c r="AA216" s="2419">
        <f>'HVAC Deemed Table'!K1518</f>
        <v>1992.1449598081149</v>
      </c>
      <c r="AB216" s="2418">
        <f t="shared" si="138"/>
        <v>1809.3180315367476</v>
      </c>
      <c r="AC216" s="2418">
        <f t="shared" si="139"/>
        <v>1057.1066529564409</v>
      </c>
      <c r="AD216" s="2445">
        <f>'HVAC Deemed Table'!BD1518</f>
        <v>1349.0199986426996</v>
      </c>
      <c r="AE216" s="2445">
        <f>'HVAC Deemed Table'!BD1519</f>
        <v>460.29803289404794</v>
      </c>
      <c r="AF216" s="2445">
        <f>'HVAC Deemed Table'!BD1520</f>
        <v>764.78596460809968</v>
      </c>
      <c r="AG216" s="2445">
        <f>'HVAC Deemed Table'!BD1521</f>
        <v>292.32068834834126</v>
      </c>
      <c r="AH216" s="2378"/>
      <c r="AI216" s="2378"/>
      <c r="AJ216" s="2378"/>
      <c r="AK216" s="2378"/>
      <c r="AL216" s="2380">
        <f t="shared" si="112"/>
        <v>9.4741810000000004E-4</v>
      </c>
      <c r="AM216" s="145">
        <f t="shared" si="182"/>
        <v>2.197972095276</v>
      </c>
      <c r="AN216" s="2368">
        <f t="shared" si="113"/>
        <v>9.5275999978383652E-8</v>
      </c>
    </row>
    <row r="217" spans="1:41" x14ac:dyDescent="0.25">
      <c r="A217" s="2598" t="str">
        <f>'HVAC Deemed Table'!C1522</f>
        <v>354050_2019_12_</v>
      </c>
      <c r="B217" s="2425" t="str">
        <f>'HVAC Deemed Table'!G1522</f>
        <v>Cooling Res</v>
      </c>
      <c r="C217" s="2425" t="str">
        <f>'HVAC Deemed Table'!G1523</f>
        <v>Heating Res</v>
      </c>
      <c r="D217" s="245"/>
      <c r="E217" s="245"/>
      <c r="F217" s="245" t="str">
        <f>'HVAC Deemed Table'!E1522</f>
        <v>ASHP SEER 19 replace ASHP - replace on fail SF</v>
      </c>
      <c r="G217" s="745" t="str">
        <f>'HVAC Deemed Table'!D1522</f>
        <v>SF</v>
      </c>
      <c r="H217" s="2420">
        <f t="shared" si="177"/>
        <v>1826.37</v>
      </c>
      <c r="I217" s="2420">
        <f t="shared" si="178"/>
        <v>0</v>
      </c>
      <c r="J217" s="2452">
        <f>'HVAC Deemed Table'!F1522</f>
        <v>646.85</v>
      </c>
      <c r="K217" s="2452">
        <f>'HVAC Deemed Table'!F1523</f>
        <v>1179.52</v>
      </c>
      <c r="L217" s="2452"/>
      <c r="M217" s="2452"/>
      <c r="N217" s="2421">
        <f t="shared" si="184"/>
        <v>0.61283699999999997</v>
      </c>
      <c r="O217" s="2421">
        <f t="shared" si="185"/>
        <v>0</v>
      </c>
      <c r="P217" s="2412">
        <f>'HVAC Deemed Table'!I1522</f>
        <v>0.61283699999999997</v>
      </c>
      <c r="Q217" s="2412">
        <f>'HVAC Deemed Table'!I1523</f>
        <v>0</v>
      </c>
      <c r="R217" s="2412"/>
      <c r="S217" s="2412"/>
      <c r="T217" s="2413"/>
      <c r="U217" s="2413"/>
      <c r="V217" s="2413">
        <f t="shared" ref="V217" si="188">N217</f>
        <v>0.61283699999999997</v>
      </c>
      <c r="W217" s="2460">
        <f>'HVAC Deemed Table'!J1522</f>
        <v>18</v>
      </c>
      <c r="X217" s="2460"/>
      <c r="Y217" s="94">
        <f t="shared" si="119"/>
        <v>18</v>
      </c>
      <c r="Z217" s="767">
        <f>'HVAC Deemed Table'!BB1522</f>
        <v>1.4839744657958689</v>
      </c>
      <c r="AA217" s="2419">
        <f>'HVAC Deemed Table'!K1522</f>
        <v>1203.6500000000003</v>
      </c>
      <c r="AB217" s="2418">
        <f t="shared" si="138"/>
        <v>1685.8762300662556</v>
      </c>
      <c r="AC217" s="2418">
        <f t="shared" si="139"/>
        <v>0</v>
      </c>
      <c r="AD217" s="2445">
        <f>'HVAC Deemed Table'!BD1522</f>
        <v>1140.918995402609</v>
      </c>
      <c r="AE217" s="2445">
        <f>'HVAC Deemed Table'!BD1523</f>
        <v>544.95723466364666</v>
      </c>
      <c r="AF217" s="2445"/>
      <c r="AG217" s="2445"/>
      <c r="AH217" s="2378"/>
      <c r="AI217" s="2378"/>
      <c r="AJ217" s="2378"/>
      <c r="AK217" s="2378"/>
      <c r="AL217" s="2380">
        <f t="shared" si="112"/>
        <v>9.4741810000000004E-4</v>
      </c>
      <c r="AM217" s="145">
        <f t="shared" si="182"/>
        <v>0.61283739798500003</v>
      </c>
      <c r="AN217" s="2368">
        <f t="shared" si="113"/>
        <v>3.9798500006682502E-7</v>
      </c>
    </row>
    <row r="218" spans="1:41" x14ac:dyDescent="0.25">
      <c r="A218" s="2598" t="str">
        <f>'HVAC Deemed Table'!C1524</f>
        <v>354100_2019_12_</v>
      </c>
      <c r="B218" s="2425" t="str">
        <f>'HVAC Deemed Table'!G1524</f>
        <v>Cooling Res</v>
      </c>
      <c r="C218" s="2425" t="str">
        <f>'HVAC Deemed Table'!G1525</f>
        <v>Heating Res</v>
      </c>
      <c r="D218" s="2425" t="str">
        <f>'HVAC Deemed Table'!G1526</f>
        <v>Cooling Res ER2</v>
      </c>
      <c r="E218" s="2425" t="str">
        <f>'HVAC Deemed Table'!G1527</f>
        <v>Heating Res ER2</v>
      </c>
      <c r="F218" s="245" t="str">
        <f>'HVAC Deemed Table'!E1524</f>
        <v>ASHP - SEER 17 - replace electric furnace / CAC - early replacement SF ER1</v>
      </c>
      <c r="G218" s="745" t="str">
        <f>'HVAC Deemed Table'!D1524</f>
        <v>SF</v>
      </c>
      <c r="H218" s="2420">
        <f t="shared" ref="H218:H233" si="189">J218+K218</f>
        <v>12378.85</v>
      </c>
      <c r="I218" s="2420">
        <f t="shared" ref="I218:I233" si="190">L218+M218</f>
        <v>10984.76</v>
      </c>
      <c r="J218" s="2452">
        <f>'HVAC Deemed Table'!F1524</f>
        <v>1979.19</v>
      </c>
      <c r="K218" s="2452">
        <f>'HVAC Deemed Table'!F1525</f>
        <v>10399.66</v>
      </c>
      <c r="L218" s="2452">
        <f>'HVAC Deemed Table'!F1526</f>
        <v>585.1</v>
      </c>
      <c r="M218" s="2452">
        <f>'HVAC Deemed Table'!F1527</f>
        <v>10399.66</v>
      </c>
      <c r="N218" s="2421">
        <f t="shared" si="184"/>
        <v>1.8751199999999999</v>
      </c>
      <c r="O218" s="2421">
        <f t="shared" si="185"/>
        <v>0.55433399999999999</v>
      </c>
      <c r="P218" s="2412">
        <f>'HVAC Deemed Table'!I1524</f>
        <v>1.8751199999999999</v>
      </c>
      <c r="Q218" s="2412">
        <f>'HVAC Deemed Table'!I1525</f>
        <v>0</v>
      </c>
      <c r="R218" s="2412">
        <f>'HVAC Deemed Table'!I1526</f>
        <v>0.55433399999999999</v>
      </c>
      <c r="S218" s="2412">
        <f>'HVAC Deemed Table'!I1527</f>
        <v>0</v>
      </c>
      <c r="T218" s="2413"/>
      <c r="U218" s="2413"/>
      <c r="V218" s="2424">
        <f t="shared" ref="V218:V233" si="191">O218</f>
        <v>0.55433399999999999</v>
      </c>
      <c r="W218" s="2460">
        <f>'HVAC Deemed Table'!J1524</f>
        <v>6</v>
      </c>
      <c r="X218" s="2460">
        <f>'HVAC Deemed Table'!J1526</f>
        <v>12</v>
      </c>
      <c r="Y218" s="94">
        <f t="shared" si="119"/>
        <v>18</v>
      </c>
      <c r="Z218" s="767">
        <f>'HVAC Deemed Table'!BB1524</f>
        <v>4.8084547055912488</v>
      </c>
      <c r="AA218" s="2419">
        <f>'HVAC Deemed Table'!K1524</f>
        <v>1464.7073864864105</v>
      </c>
      <c r="AB218" s="2418">
        <f t="shared" si="138"/>
        <v>2880.6795309207109</v>
      </c>
      <c r="AC218" s="2418">
        <f t="shared" si="139"/>
        <v>3766.775990424112</v>
      </c>
      <c r="AD218" s="2445">
        <f>'HVAC Deemed Table'!BD1524</f>
        <v>1150.8676404393373</v>
      </c>
      <c r="AE218" s="2445">
        <f>'HVAC Deemed Table'!BD1525</f>
        <v>1729.8118904813734</v>
      </c>
      <c r="AF218" s="2445">
        <f>'HVAC Deemed Table'!BD1526</f>
        <v>691.77748765896126</v>
      </c>
      <c r="AG218" s="2445">
        <f>'HVAC Deemed Table'!BD1527</f>
        <v>3074.9985027651505</v>
      </c>
      <c r="AH218" s="2378"/>
      <c r="AI218" s="2378"/>
      <c r="AJ218" s="2378"/>
      <c r="AK218" s="2378"/>
      <c r="AL218" s="2380">
        <f t="shared" si="112"/>
        <v>9.4741810000000004E-4</v>
      </c>
      <c r="AM218" s="145">
        <f t="shared" si="182"/>
        <v>1.875120429339</v>
      </c>
      <c r="AN218" s="2368">
        <f t="shared" si="113"/>
        <v>4.2933900012975812E-7</v>
      </c>
    </row>
    <row r="219" spans="1:41" x14ac:dyDescent="0.25">
      <c r="A219" s="2598" t="str">
        <f>'HVAC Deemed Table'!C1528</f>
        <v>354150_2019_12_</v>
      </c>
      <c r="B219" s="2425" t="str">
        <f>'HVAC Deemed Table'!G1528</f>
        <v>Cooling Res</v>
      </c>
      <c r="C219" s="2425" t="str">
        <f>'HVAC Deemed Table'!G1529</f>
        <v>Heating Res</v>
      </c>
      <c r="D219" s="2425" t="str">
        <f>'HVAC Deemed Table'!G1530</f>
        <v>Cooling Res ER2</v>
      </c>
      <c r="E219" s="2425" t="str">
        <f>'HVAC Deemed Table'!G1531</f>
        <v>Heating Res ER2</v>
      </c>
      <c r="F219" s="245" t="str">
        <f>'HVAC Deemed Table'!E1528</f>
        <v>ASHP - SEER 17 - replace electric furnace / CAC - early replacement MF ER1</v>
      </c>
      <c r="G219" s="745" t="str">
        <f>'HVAC Deemed Table'!D1528</f>
        <v>MF</v>
      </c>
      <c r="H219" s="2420">
        <f t="shared" si="189"/>
        <v>8046.25</v>
      </c>
      <c r="I219" s="2420">
        <f t="shared" si="190"/>
        <v>7140.0999999999995</v>
      </c>
      <c r="J219" s="2452">
        <f>'HVAC Deemed Table'!F1528</f>
        <v>1286.47</v>
      </c>
      <c r="K219" s="2452">
        <f>'HVAC Deemed Table'!F1529</f>
        <v>6759.78</v>
      </c>
      <c r="L219" s="2452">
        <f>'HVAC Deemed Table'!F1530</f>
        <v>380.32</v>
      </c>
      <c r="M219" s="2452">
        <f>'HVAC Deemed Table'!F1531</f>
        <v>6759.78</v>
      </c>
      <c r="N219" s="2421">
        <f t="shared" si="184"/>
        <v>1.218825</v>
      </c>
      <c r="O219" s="2421">
        <f t="shared" si="185"/>
        <v>0.36032199999999998</v>
      </c>
      <c r="P219" s="2412">
        <f>'HVAC Deemed Table'!I1528</f>
        <v>1.218825</v>
      </c>
      <c r="Q219" s="2412">
        <f>'HVAC Deemed Table'!I1529</f>
        <v>0</v>
      </c>
      <c r="R219" s="2412">
        <f>'HVAC Deemed Table'!I1530</f>
        <v>0.36032199999999998</v>
      </c>
      <c r="S219" s="2412">
        <f>'HVAC Deemed Table'!I1531</f>
        <v>0</v>
      </c>
      <c r="T219" s="2413"/>
      <c r="U219" s="2413"/>
      <c r="V219" s="2424">
        <f t="shared" si="191"/>
        <v>0.36032199999999998</v>
      </c>
      <c r="W219" s="2460">
        <f>'HVAC Deemed Table'!J1528</f>
        <v>6</v>
      </c>
      <c r="X219" s="2460">
        <f>'HVAC Deemed Table'!J1530</f>
        <v>12</v>
      </c>
      <c r="Y219" s="94">
        <f t="shared" si="119"/>
        <v>18</v>
      </c>
      <c r="Z219" s="767">
        <f>'HVAC Deemed Table'!BB1528</f>
        <v>3.79767207759211</v>
      </c>
      <c r="AA219" s="2419">
        <f>'HVAC Deemed Table'!K1528</f>
        <v>1205.4598012161669</v>
      </c>
      <c r="AB219" s="2418">
        <f t="shared" si="138"/>
        <v>1872.4398262373959</v>
      </c>
      <c r="AC219" s="2418">
        <f t="shared" si="139"/>
        <v>2448.4106010758387</v>
      </c>
      <c r="AD219" s="2445">
        <f>'HVAC Deemed Table'!BD1528</f>
        <v>748.061931090999</v>
      </c>
      <c r="AE219" s="2445">
        <f>'HVAC Deemed Table'!BD1529</f>
        <v>1124.3778951463969</v>
      </c>
      <c r="AF219" s="2445">
        <f>'HVAC Deemed Table'!BD1530</f>
        <v>449.66127859589153</v>
      </c>
      <c r="AG219" s="2445">
        <f>'HVAC Deemed Table'!BD1531</f>
        <v>1998.7493224799473</v>
      </c>
      <c r="AH219" s="2378"/>
      <c r="AI219" s="2378"/>
      <c r="AJ219" s="2378"/>
      <c r="AK219" s="2378"/>
      <c r="AL219" s="2380">
        <f t="shared" si="112"/>
        <v>9.4741810000000004E-4</v>
      </c>
      <c r="AM219" s="145">
        <f t="shared" si="182"/>
        <v>1.2188249631070001</v>
      </c>
      <c r="AN219" s="2368">
        <f t="shared" si="113"/>
        <v>-3.6892999988324959E-8</v>
      </c>
    </row>
    <row r="220" spans="1:41" x14ac:dyDescent="0.25">
      <c r="A220" s="2598" t="str">
        <f>'HVAC Deemed Table'!C1532</f>
        <v>354151_2019_12_</v>
      </c>
      <c r="B220" s="2425" t="str">
        <f>'HVAC Deemed Table'!G1532</f>
        <v>Cooling Res</v>
      </c>
      <c r="C220" s="2425" t="str">
        <f>'HVAC Deemed Table'!G1533</f>
        <v>Heating Res</v>
      </c>
      <c r="D220" s="2425" t="str">
        <f>'HVAC Deemed Table'!G1534</f>
        <v>Cooling Res ER2</v>
      </c>
      <c r="E220" s="2425" t="str">
        <f>'HVAC Deemed Table'!G1535</f>
        <v>Heating Res ER2</v>
      </c>
      <c r="F220" s="245" t="str">
        <f>'HVAC Deemed Table'!E1532</f>
        <v>ASHP - SEER 17 - replace electric furnace / CAC - early replacement MF ER1_CompE</v>
      </c>
      <c r="G220" s="745" t="str">
        <f>'HVAC Deemed Table'!D1532</f>
        <v>MFc</v>
      </c>
      <c r="H220" s="2420">
        <f t="shared" si="189"/>
        <v>3240.0899999999997</v>
      </c>
      <c r="I220" s="2420">
        <f t="shared" si="190"/>
        <v>2581.06</v>
      </c>
      <c r="J220" s="2452">
        <f>'HVAC Deemed Table'!F1532</f>
        <v>935.62</v>
      </c>
      <c r="K220" s="2452">
        <f>'HVAC Deemed Table'!F1533</f>
        <v>2304.4699999999998</v>
      </c>
      <c r="L220" s="2452">
        <f>'HVAC Deemed Table'!F1534</f>
        <v>276.58999999999997</v>
      </c>
      <c r="M220" s="2452">
        <f>'HVAC Deemed Table'!F1535</f>
        <v>2304.4699999999998</v>
      </c>
      <c r="N220" s="2421">
        <f t="shared" si="184"/>
        <v>0.88642299999999996</v>
      </c>
      <c r="O220" s="2421">
        <f t="shared" si="185"/>
        <v>0.262046</v>
      </c>
      <c r="P220" s="2412">
        <f>'HVAC Deemed Table'!I1532</f>
        <v>0.88642299999999996</v>
      </c>
      <c r="Q220" s="2412">
        <f>'HVAC Deemed Table'!I1533</f>
        <v>0</v>
      </c>
      <c r="R220" s="2412">
        <f>'HVAC Deemed Table'!I1534</f>
        <v>0.262046</v>
      </c>
      <c r="S220" s="2412">
        <f>'HVAC Deemed Table'!I1535</f>
        <v>0</v>
      </c>
      <c r="T220" s="2413"/>
      <c r="U220" s="2413"/>
      <c r="V220" s="2424">
        <f t="shared" si="191"/>
        <v>0.262046</v>
      </c>
      <c r="W220" s="2460">
        <f>'HVAC Deemed Table'!J1532</f>
        <v>6</v>
      </c>
      <c r="X220" s="2460">
        <f>'HVAC Deemed Table'!J1534</f>
        <v>12</v>
      </c>
      <c r="Y220" s="94">
        <f t="shared" si="119"/>
        <v>18</v>
      </c>
      <c r="Z220" s="767">
        <f>'HVAC Deemed Table'!BB1532</f>
        <v>1.7013819924277789</v>
      </c>
      <c r="AA220" s="2419">
        <f>'HVAC Deemed Table'!K1532</f>
        <v>1205.4598012161669</v>
      </c>
      <c r="AB220" s="2418">
        <f t="shared" si="138"/>
        <v>927.35878299174874</v>
      </c>
      <c r="AC220" s="2418">
        <f t="shared" si="139"/>
        <v>1008.4105406370911</v>
      </c>
      <c r="AD220" s="2445">
        <f>'HVAC Deemed Table'!BD1532</f>
        <v>544.04821252525164</v>
      </c>
      <c r="AE220" s="2445">
        <f>'HVAC Deemed Table'!BD1533</f>
        <v>383.31057046649704</v>
      </c>
      <c r="AF220" s="2445">
        <f>'HVAC Deemed Table'!BD1534</f>
        <v>327.01886055647253</v>
      </c>
      <c r="AG220" s="2445">
        <f>'HVAC Deemed Table'!BD1535</f>
        <v>681.39168008061858</v>
      </c>
      <c r="AH220" s="2378"/>
      <c r="AI220" s="2378"/>
      <c r="AJ220" s="2378"/>
      <c r="AK220" s="2378"/>
      <c r="AL220" s="2380">
        <f t="shared" si="112"/>
        <v>9.4741810000000004E-4</v>
      </c>
      <c r="AM220" s="145">
        <f t="shared" si="182"/>
        <v>0.88642332272200008</v>
      </c>
      <c r="AN220" s="2376">
        <f t="shared" si="113"/>
        <v>3.227220001233988E-7</v>
      </c>
      <c r="AO220" s="248">
        <f>AN220/N220</f>
        <v>3.6407223201947472E-7</v>
      </c>
    </row>
    <row r="221" spans="1:41" x14ac:dyDescent="0.25">
      <c r="A221" s="2598" t="str">
        <f>'HVAC Deemed Table'!C1536</f>
        <v>354200_2019_12_</v>
      </c>
      <c r="B221" s="2425" t="str">
        <f>'HVAC Deemed Table'!G1536</f>
        <v>Cooling Res</v>
      </c>
      <c r="C221" s="2425" t="str">
        <f>'HVAC Deemed Table'!G1537</f>
        <v>Heating Res</v>
      </c>
      <c r="D221" s="2425" t="str">
        <f>'HVAC Deemed Table'!G1538</f>
        <v>Cooling Res ER2</v>
      </c>
      <c r="E221" s="2425" t="str">
        <f>'HVAC Deemed Table'!G1539</f>
        <v>Heating Res ER2</v>
      </c>
      <c r="F221" s="245" t="str">
        <f>'HVAC Deemed Table'!E1536</f>
        <v>ASHP SEER 17 replace ASHP - early replacement MF ER1</v>
      </c>
      <c r="G221" s="745" t="str">
        <f>'HVAC Deemed Table'!D1536</f>
        <v>MF</v>
      </c>
      <c r="H221" s="2420">
        <f t="shared" si="189"/>
        <v>3168.23</v>
      </c>
      <c r="I221" s="2420">
        <f t="shared" si="190"/>
        <v>924.56</v>
      </c>
      <c r="J221" s="2452">
        <f>'HVAC Deemed Table'!F1536</f>
        <v>1369.47</v>
      </c>
      <c r="K221" s="2452">
        <f>'HVAC Deemed Table'!F1537</f>
        <v>1798.76</v>
      </c>
      <c r="L221" s="2452">
        <f>'HVAC Deemed Table'!F1538</f>
        <v>281.95</v>
      </c>
      <c r="M221" s="2452">
        <f>'HVAC Deemed Table'!F1539</f>
        <v>642.61</v>
      </c>
      <c r="N221" s="2421">
        <f t="shared" si="184"/>
        <v>1.297461</v>
      </c>
      <c r="O221" s="2421">
        <f t="shared" si="185"/>
        <v>0.267125</v>
      </c>
      <c r="P221" s="2412">
        <f>'HVAC Deemed Table'!I1536</f>
        <v>1.297461</v>
      </c>
      <c r="Q221" s="2412">
        <f>'HVAC Deemed Table'!I1537</f>
        <v>0</v>
      </c>
      <c r="R221" s="2412">
        <f>'HVAC Deemed Table'!I1538</f>
        <v>0.267125</v>
      </c>
      <c r="S221" s="2412">
        <f>'HVAC Deemed Table'!I1539</f>
        <v>0</v>
      </c>
      <c r="T221" s="2413"/>
      <c r="U221" s="2413"/>
      <c r="V221" s="2424">
        <f t="shared" si="191"/>
        <v>0.267125</v>
      </c>
      <c r="W221" s="2460">
        <f>'HVAC Deemed Table'!J1536</f>
        <v>6</v>
      </c>
      <c r="X221" s="2460">
        <f>'HVAC Deemed Table'!J1538</f>
        <v>12</v>
      </c>
      <c r="Y221" s="94">
        <f t="shared" si="119"/>
        <v>18</v>
      </c>
      <c r="Z221" s="767">
        <f>'HVAC Deemed Table'!BB1536</f>
        <v>1.3871227963822939</v>
      </c>
      <c r="AA221" s="2419">
        <f>'HVAC Deemed Table'!K1536</f>
        <v>1236.5217238752739</v>
      </c>
      <c r="AB221" s="2418">
        <f t="shared" si="138"/>
        <v>1095.5191706627443</v>
      </c>
      <c r="AC221" s="2418">
        <f t="shared" si="139"/>
        <v>523.36470985573067</v>
      </c>
      <c r="AD221" s="2445">
        <f>'HVAC Deemed Table'!BD1536</f>
        <v>796.32511661460455</v>
      </c>
      <c r="AE221" s="2445">
        <f>'HVAC Deemed Table'!BD1537</f>
        <v>299.19405404813961</v>
      </c>
      <c r="AF221" s="2445">
        <f>'HVAC Deemed Table'!BD1538</f>
        <v>333.35611458800912</v>
      </c>
      <c r="AG221" s="2445">
        <f>'HVAC Deemed Table'!BD1539</f>
        <v>190.00859526772157</v>
      </c>
      <c r="AH221" s="2378"/>
      <c r="AI221" s="2378"/>
      <c r="AJ221" s="2378"/>
      <c r="AK221" s="2378"/>
      <c r="AL221" s="2380">
        <f t="shared" si="112"/>
        <v>9.4741810000000004E-4</v>
      </c>
      <c r="AM221" s="145">
        <f t="shared" si="182"/>
        <v>1.297460665407</v>
      </c>
      <c r="AN221" s="2368">
        <f t="shared" si="113"/>
        <v>-3.3459299997318226E-7</v>
      </c>
    </row>
    <row r="222" spans="1:41" x14ac:dyDescent="0.25">
      <c r="A222" s="2598" t="str">
        <f>'HVAC Deemed Table'!C1540</f>
        <v>354201_2019_12_</v>
      </c>
      <c r="B222" s="2425" t="str">
        <f>'HVAC Deemed Table'!G1540</f>
        <v>Cooling Res</v>
      </c>
      <c r="C222" s="2425" t="str">
        <f>'HVAC Deemed Table'!G1541</f>
        <v>Heating Res</v>
      </c>
      <c r="D222" s="2425" t="str">
        <f>'HVAC Deemed Table'!G1542</f>
        <v>Cooling Res ER2</v>
      </c>
      <c r="E222" s="2425" t="str">
        <f>'HVAC Deemed Table'!G1543</f>
        <v>Heating Res ER2</v>
      </c>
      <c r="F222" s="245" t="str">
        <f>'HVAC Deemed Table'!E1540</f>
        <v>ASHP SEER 17 replace ASHP - early replacement MF ER1_CompE</v>
      </c>
      <c r="G222" s="745" t="str">
        <f>'HVAC Deemed Table'!D1540</f>
        <v>MFc</v>
      </c>
      <c r="H222" s="2420">
        <f t="shared" si="189"/>
        <v>1609.19</v>
      </c>
      <c r="I222" s="2420">
        <f t="shared" si="190"/>
        <v>424.12</v>
      </c>
      <c r="J222" s="2452">
        <f>'HVAC Deemed Table'!F1540</f>
        <v>995.98</v>
      </c>
      <c r="K222" s="2452">
        <f>'HVAC Deemed Table'!F1541</f>
        <v>613.21</v>
      </c>
      <c r="L222" s="2452">
        <f>'HVAC Deemed Table'!F1542</f>
        <v>205.05</v>
      </c>
      <c r="M222" s="2452">
        <f>'HVAC Deemed Table'!F1543</f>
        <v>219.07</v>
      </c>
      <c r="N222" s="2421">
        <f t="shared" si="184"/>
        <v>0.94360900000000003</v>
      </c>
      <c r="O222" s="2421">
        <f t="shared" si="185"/>
        <v>0.194268</v>
      </c>
      <c r="P222" s="2412">
        <f>'HVAC Deemed Table'!I1540</f>
        <v>0.94360900000000003</v>
      </c>
      <c r="Q222" s="2412">
        <f>'HVAC Deemed Table'!I1541</f>
        <v>0</v>
      </c>
      <c r="R222" s="2412">
        <f>'HVAC Deemed Table'!I1542</f>
        <v>0.194268</v>
      </c>
      <c r="S222" s="2412">
        <f>'HVAC Deemed Table'!I1543</f>
        <v>0</v>
      </c>
      <c r="T222" s="2413"/>
      <c r="U222" s="2413"/>
      <c r="V222" s="2424">
        <f t="shared" si="191"/>
        <v>0.194268</v>
      </c>
      <c r="W222" s="2460">
        <f>'HVAC Deemed Table'!J1540</f>
        <v>6</v>
      </c>
      <c r="X222" s="2460">
        <f>'HVAC Deemed Table'!J1542</f>
        <v>12</v>
      </c>
      <c r="Y222" s="94">
        <f t="shared" si="119"/>
        <v>18</v>
      </c>
      <c r="Z222" s="767">
        <f>'HVAC Deemed Table'!BB1540</f>
        <v>0.84686072713994065</v>
      </c>
      <c r="AA222" s="2419">
        <f>'HVAC Deemed Table'!K1540</f>
        <v>1236.5217238752739</v>
      </c>
      <c r="AB222" s="2418">
        <f t="shared" si="138"/>
        <v>681.14396472185911</v>
      </c>
      <c r="AC222" s="2418">
        <f t="shared" si="139"/>
        <v>307.21062348517</v>
      </c>
      <c r="AD222" s="2445">
        <f>'HVAC Deemed Table'!BD1540</f>
        <v>579.14659660000871</v>
      </c>
      <c r="AE222" s="2445">
        <f>'HVAC Deemed Table'!BD1541</f>
        <v>101.99736812185043</v>
      </c>
      <c r="AF222" s="2445">
        <f>'HVAC Deemed Table'!BD1542</f>
        <v>242.43543641167324</v>
      </c>
      <c r="AG222" s="2445">
        <f>'HVAC Deemed Table'!BD1543</f>
        <v>64.775187073496781</v>
      </c>
      <c r="AH222" s="2378"/>
      <c r="AI222" s="2378"/>
      <c r="AJ222" s="2378"/>
      <c r="AK222" s="2378"/>
      <c r="AL222" s="2380">
        <f t="shared" si="112"/>
        <v>9.4741810000000004E-4</v>
      </c>
      <c r="AM222" s="145">
        <f t="shared" si="182"/>
        <v>0.94360947923800009</v>
      </c>
      <c r="AN222" s="2376">
        <f t="shared" si="113"/>
        <v>4.7923800006177686E-7</v>
      </c>
      <c r="AO222" s="248">
        <f>AN222/N222</f>
        <v>5.0787773332151015E-7</v>
      </c>
    </row>
    <row r="223" spans="1:41" x14ac:dyDescent="0.25">
      <c r="A223" s="2598" t="str">
        <f>'HVAC Deemed Table'!C1544</f>
        <v>354250_2019_12_</v>
      </c>
      <c r="B223" s="2425" t="str">
        <f>'HVAC Deemed Table'!G1544</f>
        <v>Cooling Res</v>
      </c>
      <c r="C223" s="2425" t="str">
        <f>'HVAC Deemed Table'!G1545</f>
        <v>Heating Res</v>
      </c>
      <c r="D223" s="2425" t="str">
        <f>'HVAC Deemed Table'!G1546</f>
        <v>Cooling Res ER2</v>
      </c>
      <c r="E223" s="2425" t="str">
        <f>'HVAC Deemed Table'!G1547</f>
        <v>Heating Res ER2</v>
      </c>
      <c r="F223" s="245" t="str">
        <f>'HVAC Deemed Table'!E1544</f>
        <v>ASHP - SEER 18 - replace electric furnace / CAC - early replacement SF ER1</v>
      </c>
      <c r="G223" s="745" t="str">
        <f>'HVAC Deemed Table'!D1544</f>
        <v>SF</v>
      </c>
      <c r="H223" s="2420">
        <f t="shared" si="189"/>
        <v>12484.49</v>
      </c>
      <c r="I223" s="2420">
        <f t="shared" si="190"/>
        <v>11090.4</v>
      </c>
      <c r="J223" s="2452">
        <f>'HVAC Deemed Table'!F1544</f>
        <v>2084.83</v>
      </c>
      <c r="K223" s="2452">
        <f>'HVAC Deemed Table'!F1545</f>
        <v>10399.66</v>
      </c>
      <c r="L223" s="2452">
        <f>'HVAC Deemed Table'!F1546</f>
        <v>690.74</v>
      </c>
      <c r="M223" s="2452">
        <f>'HVAC Deemed Table'!F1547</f>
        <v>10399.66</v>
      </c>
      <c r="N223" s="2421">
        <f t="shared" si="184"/>
        <v>1.975206</v>
      </c>
      <c r="O223" s="2421">
        <f t="shared" si="185"/>
        <v>0.65442</v>
      </c>
      <c r="P223" s="2412">
        <f>'HVAC Deemed Table'!I1544</f>
        <v>1.975206</v>
      </c>
      <c r="Q223" s="2412">
        <f>'HVAC Deemed Table'!I1545</f>
        <v>0</v>
      </c>
      <c r="R223" s="2412">
        <f>'HVAC Deemed Table'!I1546</f>
        <v>0.65442</v>
      </c>
      <c r="S223" s="2412">
        <f>'HVAC Deemed Table'!I1547</f>
        <v>0</v>
      </c>
      <c r="T223" s="2413"/>
      <c r="U223" s="2413"/>
      <c r="V223" s="2424">
        <f t="shared" si="191"/>
        <v>0.65442</v>
      </c>
      <c r="W223" s="2460">
        <f>'HVAC Deemed Table'!J1544</f>
        <v>6</v>
      </c>
      <c r="X223" s="2460">
        <f>'HVAC Deemed Table'!J1546</f>
        <v>12</v>
      </c>
      <c r="Y223" s="94">
        <f t="shared" si="119"/>
        <v>18</v>
      </c>
      <c r="Z223" s="767">
        <f>'HVAC Deemed Table'!BB1544</f>
        <v>4.249987044980414</v>
      </c>
      <c r="AA223" s="2419">
        <f>'HVAC Deemed Table'!K1544</f>
        <v>1703.6273864864106</v>
      </c>
      <c r="AB223" s="2418">
        <f t="shared" si="138"/>
        <v>2942.1075178931651</v>
      </c>
      <c r="AC223" s="2418">
        <f t="shared" si="139"/>
        <v>3891.6766463740223</v>
      </c>
      <c r="AD223" s="2445">
        <f>'HVAC Deemed Table'!BD1544</f>
        <v>1212.2956274117914</v>
      </c>
      <c r="AE223" s="2445">
        <f>'HVAC Deemed Table'!BD1545</f>
        <v>1729.8118904813734</v>
      </c>
      <c r="AF223" s="2445">
        <f>'HVAC Deemed Table'!BD1546</f>
        <v>816.67814360887189</v>
      </c>
      <c r="AG223" s="2445">
        <f>'HVAC Deemed Table'!BD1547</f>
        <v>3074.9985027651505</v>
      </c>
      <c r="AH223" s="2378"/>
      <c r="AI223" s="2378"/>
      <c r="AJ223" s="2378"/>
      <c r="AK223" s="2378"/>
      <c r="AL223" s="2380">
        <f t="shared" si="112"/>
        <v>9.4741810000000004E-4</v>
      </c>
      <c r="AM223" s="145">
        <f t="shared" si="182"/>
        <v>1.975205677423</v>
      </c>
      <c r="AN223" s="2368">
        <f t="shared" si="113"/>
        <v>-3.2257700000037914E-7</v>
      </c>
    </row>
    <row r="224" spans="1:41" x14ac:dyDescent="0.25">
      <c r="A224" s="2598" t="str">
        <f>'HVAC Deemed Table'!C1548</f>
        <v>354300_2019_12_</v>
      </c>
      <c r="B224" s="2425" t="str">
        <f>'HVAC Deemed Table'!G1548</f>
        <v>Cooling Res</v>
      </c>
      <c r="C224" s="2425" t="str">
        <f>'HVAC Deemed Table'!G1549</f>
        <v>Heating Res</v>
      </c>
      <c r="D224" s="2425" t="str">
        <f>'HVAC Deemed Table'!G1550</f>
        <v>Cooling Res ER2</v>
      </c>
      <c r="E224" s="2425" t="str">
        <f>'HVAC Deemed Table'!G1551</f>
        <v>Heating Res ER2</v>
      </c>
      <c r="F224" s="245" t="str">
        <f>'HVAC Deemed Table'!E1548</f>
        <v>ASHP - SEER 18 - replace electric furnace / CAC - early replacement MF ER1</v>
      </c>
      <c r="G224" s="745" t="str">
        <f>'HVAC Deemed Table'!D1548</f>
        <v>MF</v>
      </c>
      <c r="H224" s="2420">
        <f t="shared" si="189"/>
        <v>8114.92</v>
      </c>
      <c r="I224" s="2420">
        <f t="shared" si="190"/>
        <v>7208.76</v>
      </c>
      <c r="J224" s="2452">
        <f>'HVAC Deemed Table'!F1548</f>
        <v>1355.14</v>
      </c>
      <c r="K224" s="2452">
        <f>'HVAC Deemed Table'!F1549</f>
        <v>6759.78</v>
      </c>
      <c r="L224" s="2452">
        <f>'HVAC Deemed Table'!F1550</f>
        <v>448.98</v>
      </c>
      <c r="M224" s="2452">
        <f>'HVAC Deemed Table'!F1551</f>
        <v>6759.78</v>
      </c>
      <c r="N224" s="2421">
        <f t="shared" si="184"/>
        <v>1.283884</v>
      </c>
      <c r="O224" s="2421">
        <f t="shared" si="185"/>
        <v>0.42537199999999997</v>
      </c>
      <c r="P224" s="2412">
        <f>'HVAC Deemed Table'!I1548</f>
        <v>1.283884</v>
      </c>
      <c r="Q224" s="2412">
        <f>'HVAC Deemed Table'!I1549</f>
        <v>0</v>
      </c>
      <c r="R224" s="2412">
        <f>'HVAC Deemed Table'!I1550</f>
        <v>0.42537199999999997</v>
      </c>
      <c r="S224" s="2412">
        <f>'HVAC Deemed Table'!I1551</f>
        <v>0</v>
      </c>
      <c r="T224" s="2413"/>
      <c r="U224" s="2413"/>
      <c r="V224" s="2424">
        <f t="shared" si="191"/>
        <v>0.42537199999999997</v>
      </c>
      <c r="W224" s="2460">
        <f>'HVAC Deemed Table'!J1548</f>
        <v>6</v>
      </c>
      <c r="X224" s="2460">
        <f>'HVAC Deemed Table'!J1550</f>
        <v>12</v>
      </c>
      <c r="Y224" s="94">
        <f t="shared" si="119"/>
        <v>18</v>
      </c>
      <c r="Z224" s="767">
        <f>'HVAC Deemed Table'!BB1548</f>
        <v>3.2583229495729413</v>
      </c>
      <c r="AA224" s="2419">
        <f>'HVAC Deemed Table'!K1548</f>
        <v>1444.3798012161669</v>
      </c>
      <c r="AB224" s="2418">
        <f t="shared" si="138"/>
        <v>1912.3703437061429</v>
      </c>
      <c r="AC224" s="2418">
        <f t="shared" si="139"/>
        <v>2529.5889335022007</v>
      </c>
      <c r="AD224" s="2445">
        <f>'HVAC Deemed Table'!BD1548</f>
        <v>787.99244855974598</v>
      </c>
      <c r="AE224" s="2445">
        <f>'HVAC Deemed Table'!BD1549</f>
        <v>1124.3778951463969</v>
      </c>
      <c r="AF224" s="2445">
        <f>'HVAC Deemed Table'!BD1550</f>
        <v>530.83961102225339</v>
      </c>
      <c r="AG224" s="2445">
        <f>'HVAC Deemed Table'!BD1551</f>
        <v>1998.7493224799473</v>
      </c>
      <c r="AH224" s="2378"/>
      <c r="AI224" s="2378"/>
      <c r="AJ224" s="2378"/>
      <c r="AK224" s="2378"/>
      <c r="AL224" s="2380">
        <f t="shared" si="112"/>
        <v>9.4741810000000004E-4</v>
      </c>
      <c r="AM224" s="145">
        <f t="shared" si="182"/>
        <v>1.2838841640340002</v>
      </c>
      <c r="AN224" s="2368">
        <f t="shared" si="113"/>
        <v>1.6403400016073988E-7</v>
      </c>
    </row>
    <row r="225" spans="1:41" x14ac:dyDescent="0.25">
      <c r="A225" s="2598" t="str">
        <f>'HVAC Deemed Table'!C1552</f>
        <v>354301_2019_12_</v>
      </c>
      <c r="B225" s="2425" t="str">
        <f>'HVAC Deemed Table'!G1552</f>
        <v>Cooling Res</v>
      </c>
      <c r="C225" s="2425" t="str">
        <f>'HVAC Deemed Table'!G1553</f>
        <v>Heating Res</v>
      </c>
      <c r="D225" s="2425" t="str">
        <f>'HVAC Deemed Table'!G1554</f>
        <v>Cooling Res ER2</v>
      </c>
      <c r="E225" s="2425" t="str">
        <f>'HVAC Deemed Table'!G1555</f>
        <v>Heating Res ER2</v>
      </c>
      <c r="F225" s="245" t="str">
        <f>'HVAC Deemed Table'!E1552</f>
        <v>ASHP - SEER 18 - replace electric furnace / CAC - early replacement MF ER1_CompE</v>
      </c>
      <c r="G225" s="745" t="str">
        <f>'HVAC Deemed Table'!D1552</f>
        <v>MFc</v>
      </c>
      <c r="H225" s="2420">
        <f t="shared" si="189"/>
        <v>3290.0299999999997</v>
      </c>
      <c r="I225" s="2420">
        <f t="shared" si="190"/>
        <v>2631</v>
      </c>
      <c r="J225" s="2452">
        <f>'HVAC Deemed Table'!F1552</f>
        <v>985.56</v>
      </c>
      <c r="K225" s="2452">
        <f>'HVAC Deemed Table'!F1553</f>
        <v>2304.4699999999998</v>
      </c>
      <c r="L225" s="2452">
        <f>'HVAC Deemed Table'!F1554</f>
        <v>326.52999999999997</v>
      </c>
      <c r="M225" s="2452">
        <f>'HVAC Deemed Table'!F1555</f>
        <v>2304.4699999999998</v>
      </c>
      <c r="N225" s="2421">
        <f t="shared" si="184"/>
        <v>0.93373700000000004</v>
      </c>
      <c r="O225" s="2421">
        <f t="shared" si="185"/>
        <v>0.30936000000000002</v>
      </c>
      <c r="P225" s="2412">
        <f>'HVAC Deemed Table'!I1552</f>
        <v>0.93373700000000004</v>
      </c>
      <c r="Q225" s="2412">
        <f>'HVAC Deemed Table'!I1553</f>
        <v>0</v>
      </c>
      <c r="R225" s="2412">
        <f>'HVAC Deemed Table'!I1554</f>
        <v>0.30936000000000002</v>
      </c>
      <c r="S225" s="2412">
        <f>'HVAC Deemed Table'!I1555</f>
        <v>0</v>
      </c>
      <c r="T225" s="2413"/>
      <c r="U225" s="2413"/>
      <c r="V225" s="2424">
        <f t="shared" si="191"/>
        <v>0.30936000000000002</v>
      </c>
      <c r="W225" s="2460">
        <f>'HVAC Deemed Table'!J1552</f>
        <v>6</v>
      </c>
      <c r="X225" s="2460">
        <f>'HVAC Deemed Table'!J1554</f>
        <v>12</v>
      </c>
      <c r="Y225" s="94">
        <f t="shared" si="119"/>
        <v>18</v>
      </c>
      <c r="Z225" s="767">
        <f>'HVAC Deemed Table'!BB1552</f>
        <v>1.4845632588992894</v>
      </c>
      <c r="AA225" s="2419">
        <f>'HVAC Deemed Table'!K1552</f>
        <v>1444.3798012161669</v>
      </c>
      <c r="AB225" s="2418">
        <f t="shared" si="138"/>
        <v>956.39810208872291</v>
      </c>
      <c r="AC225" s="2418">
        <f t="shared" si="139"/>
        <v>1067.4557768936088</v>
      </c>
      <c r="AD225" s="2445">
        <f>'HVAC Deemed Table'!BD1552</f>
        <v>573.08753162222581</v>
      </c>
      <c r="AE225" s="2445">
        <f>'HVAC Deemed Table'!BD1553</f>
        <v>383.31057046649704</v>
      </c>
      <c r="AF225" s="2445">
        <f>'HVAC Deemed Table'!BD1554</f>
        <v>386.06409681299027</v>
      </c>
      <c r="AG225" s="2445">
        <f>'HVAC Deemed Table'!BD1555</f>
        <v>681.39168008061858</v>
      </c>
      <c r="AH225" s="2378"/>
      <c r="AI225" s="2378"/>
      <c r="AJ225" s="2378"/>
      <c r="AK225" s="2378"/>
      <c r="AL225" s="2380">
        <f t="shared" ref="AL225:AL288" si="192">VLOOKUP(B225,$AR$10:$AS$30,2,FALSE)</f>
        <v>9.4741810000000004E-4</v>
      </c>
      <c r="AM225" s="145">
        <f t="shared" si="182"/>
        <v>0.93373738263600004</v>
      </c>
      <c r="AN225" s="2376">
        <f t="shared" ref="AN225:AN288" si="193">AM225-N225</f>
        <v>3.8263599999588394E-7</v>
      </c>
      <c r="AO225" s="248">
        <f>AN225/N225</f>
        <v>4.0978990871721255E-7</v>
      </c>
    </row>
    <row r="226" spans="1:41" x14ac:dyDescent="0.25">
      <c r="A226" s="2598" t="str">
        <f>'HVAC Deemed Table'!C1556</f>
        <v>354350_2019_12_</v>
      </c>
      <c r="B226" s="2425" t="str">
        <f>'HVAC Deemed Table'!G1556</f>
        <v>Cooling Res</v>
      </c>
      <c r="C226" s="2425" t="str">
        <f>'HVAC Deemed Table'!G1557</f>
        <v>Heating Res</v>
      </c>
      <c r="D226" s="2425" t="str">
        <f>'HVAC Deemed Table'!G1558</f>
        <v>Cooling Res ER2</v>
      </c>
      <c r="E226" s="2425" t="str">
        <f>'HVAC Deemed Table'!G1559</f>
        <v>Heating Res ER2</v>
      </c>
      <c r="F226" s="245" t="str">
        <f>'HVAC Deemed Table'!E1556</f>
        <v>ASHP SEER 18 replace ASHP - early replacement MF ER1</v>
      </c>
      <c r="G226" s="745" t="str">
        <f>'HVAC Deemed Table'!D1556</f>
        <v>MF</v>
      </c>
      <c r="H226" s="2420">
        <f t="shared" si="189"/>
        <v>3241.33</v>
      </c>
      <c r="I226" s="2420">
        <f t="shared" si="190"/>
        <v>997.66000000000008</v>
      </c>
      <c r="J226" s="2452">
        <f>'HVAC Deemed Table'!F1556</f>
        <v>1442.57</v>
      </c>
      <c r="K226" s="2452">
        <f>'HVAC Deemed Table'!F1557</f>
        <v>1798.76</v>
      </c>
      <c r="L226" s="2452">
        <f>'HVAC Deemed Table'!F1558</f>
        <v>355.05</v>
      </c>
      <c r="M226" s="2452">
        <f>'HVAC Deemed Table'!F1559</f>
        <v>642.61</v>
      </c>
      <c r="N226" s="2421">
        <f t="shared" si="184"/>
        <v>1.366717</v>
      </c>
      <c r="O226" s="2421">
        <f t="shared" si="185"/>
        <v>0.33638099999999999</v>
      </c>
      <c r="P226" s="2412">
        <f>'HVAC Deemed Table'!I1556</f>
        <v>1.366717</v>
      </c>
      <c r="Q226" s="2412">
        <f>'HVAC Deemed Table'!I1557</f>
        <v>0</v>
      </c>
      <c r="R226" s="2412">
        <f>'HVAC Deemed Table'!I1558</f>
        <v>0.33638099999999999</v>
      </c>
      <c r="S226" s="2412">
        <f>'HVAC Deemed Table'!I1559</f>
        <v>0</v>
      </c>
      <c r="T226" s="2413"/>
      <c r="U226" s="2413"/>
      <c r="V226" s="2424">
        <f t="shared" si="191"/>
        <v>0.33638099999999999</v>
      </c>
      <c r="W226" s="2460">
        <f>'HVAC Deemed Table'!J1556</f>
        <v>6</v>
      </c>
      <c r="X226" s="2460">
        <f>'HVAC Deemed Table'!J1558</f>
        <v>12</v>
      </c>
      <c r="Y226" s="94">
        <f t="shared" si="119"/>
        <v>18</v>
      </c>
      <c r="Z226" s="767">
        <f>'HVAC Deemed Table'!BB1556</f>
        <v>1.2550908489826855</v>
      </c>
      <c r="AA226" s="2419">
        <f>'HVAC Deemed Table'!K1556</f>
        <v>1475.441723875274</v>
      </c>
      <c r="AB226" s="2418">
        <f t="shared" si="138"/>
        <v>1138.025662973293</v>
      </c>
      <c r="AC226" s="2418">
        <f t="shared" si="139"/>
        <v>609.79255868135033</v>
      </c>
      <c r="AD226" s="2445">
        <f>'HVAC Deemed Table'!BD1556</f>
        <v>838.83160892515355</v>
      </c>
      <c r="AE226" s="2445">
        <f>'HVAC Deemed Table'!BD1557</f>
        <v>299.19405404813961</v>
      </c>
      <c r="AF226" s="2445">
        <f>'HVAC Deemed Table'!BD1558</f>
        <v>419.78396341362878</v>
      </c>
      <c r="AG226" s="2445">
        <f>'HVAC Deemed Table'!BD1559</f>
        <v>190.00859526772157</v>
      </c>
      <c r="AH226" s="2378"/>
      <c r="AI226" s="2378"/>
      <c r="AJ226" s="2378"/>
      <c r="AK226" s="2378"/>
      <c r="AL226" s="2380">
        <f t="shared" si="192"/>
        <v>9.4741810000000004E-4</v>
      </c>
      <c r="AM226" s="145">
        <f t="shared" si="182"/>
        <v>1.366716928517</v>
      </c>
      <c r="AN226" s="2368">
        <f t="shared" si="193"/>
        <v>-7.1482999963734528E-8</v>
      </c>
    </row>
    <row r="227" spans="1:41" x14ac:dyDescent="0.25">
      <c r="A227" s="2598" t="str">
        <f>'HVAC Deemed Table'!C1560</f>
        <v>354351_2019_12_</v>
      </c>
      <c r="B227" s="2425" t="str">
        <f>'HVAC Deemed Table'!G1560</f>
        <v>Cooling Res</v>
      </c>
      <c r="C227" s="2425" t="str">
        <f>'HVAC Deemed Table'!G1561</f>
        <v>Heating Res</v>
      </c>
      <c r="D227" s="2425" t="str">
        <f>'HVAC Deemed Table'!G1562</f>
        <v>Cooling Res ER2</v>
      </c>
      <c r="E227" s="2425" t="str">
        <f>'HVAC Deemed Table'!G1563</f>
        <v>Heating Res ER2</v>
      </c>
      <c r="F227" s="245" t="str">
        <f>'HVAC Deemed Table'!E1560</f>
        <v>ASHP SEER 18 replace ASHP - early replacement MF ER1_CompE</v>
      </c>
      <c r="G227" s="745" t="str">
        <f>'HVAC Deemed Table'!D1560</f>
        <v>MFc</v>
      </c>
      <c r="H227" s="2420">
        <f t="shared" si="189"/>
        <v>1662.3500000000001</v>
      </c>
      <c r="I227" s="2420">
        <f t="shared" si="190"/>
        <v>477.29</v>
      </c>
      <c r="J227" s="2452">
        <f>'HVAC Deemed Table'!F1560</f>
        <v>1049.1400000000001</v>
      </c>
      <c r="K227" s="2452">
        <f>'HVAC Deemed Table'!F1561</f>
        <v>613.21</v>
      </c>
      <c r="L227" s="2452">
        <f>'HVAC Deemed Table'!F1562</f>
        <v>258.22000000000003</v>
      </c>
      <c r="M227" s="2452">
        <f>'HVAC Deemed Table'!F1563</f>
        <v>219.07</v>
      </c>
      <c r="N227" s="2421">
        <f t="shared" si="184"/>
        <v>0.99397400000000002</v>
      </c>
      <c r="O227" s="2421">
        <f t="shared" si="185"/>
        <v>0.244642</v>
      </c>
      <c r="P227" s="2412">
        <f>'HVAC Deemed Table'!I1560</f>
        <v>0.99397400000000002</v>
      </c>
      <c r="Q227" s="2412">
        <f>'HVAC Deemed Table'!I1561</f>
        <v>0</v>
      </c>
      <c r="R227" s="2412">
        <f>'HVAC Deemed Table'!I1562</f>
        <v>0.244642</v>
      </c>
      <c r="S227" s="2412">
        <f>'HVAC Deemed Table'!I1563</f>
        <v>0</v>
      </c>
      <c r="T227" s="2413"/>
      <c r="U227" s="2413"/>
      <c r="V227" s="2424">
        <f t="shared" si="191"/>
        <v>0.244642</v>
      </c>
      <c r="W227" s="2460">
        <f>'HVAC Deemed Table'!J1560</f>
        <v>6</v>
      </c>
      <c r="X227" s="2460">
        <f>'HVAC Deemed Table'!J1562</f>
        <v>12</v>
      </c>
      <c r="Y227" s="94">
        <f t="shared" si="119"/>
        <v>18</v>
      </c>
      <c r="Z227" s="767">
        <f>'HVAC Deemed Table'!BB1560</f>
        <v>0.77706707719975077</v>
      </c>
      <c r="AA227" s="2419">
        <f>'HVAC Deemed Table'!K1560</f>
        <v>1475.441723875274</v>
      </c>
      <c r="AB227" s="2418">
        <f t="shared" si="138"/>
        <v>712.05566282348411</v>
      </c>
      <c r="AC227" s="2418">
        <f t="shared" si="139"/>
        <v>370.07476468979655</v>
      </c>
      <c r="AD227" s="2445">
        <f>'HVAC Deemed Table'!BD1560</f>
        <v>610.05829470163371</v>
      </c>
      <c r="AE227" s="2445">
        <f>'HVAC Deemed Table'!BD1561</f>
        <v>101.99736812185043</v>
      </c>
      <c r="AF227" s="2445">
        <f>'HVAC Deemed Table'!BD1562</f>
        <v>305.29957761629976</v>
      </c>
      <c r="AG227" s="2445">
        <f>'HVAC Deemed Table'!BD1563</f>
        <v>64.775187073496781</v>
      </c>
      <c r="AH227" s="2378"/>
      <c r="AI227" s="2378"/>
      <c r="AJ227" s="2378"/>
      <c r="AK227" s="2378"/>
      <c r="AL227" s="2380">
        <f t="shared" si="192"/>
        <v>9.4741810000000004E-4</v>
      </c>
      <c r="AM227" s="145">
        <f t="shared" si="182"/>
        <v>0.99397422543400016</v>
      </c>
      <c r="AN227" s="2376">
        <f t="shared" si="193"/>
        <v>2.2543400013397275E-7</v>
      </c>
      <c r="AO227" s="248">
        <f>AN227/N227</f>
        <v>2.2680070115915783E-7</v>
      </c>
    </row>
    <row r="228" spans="1:41" x14ac:dyDescent="0.25">
      <c r="A228" s="2598" t="str">
        <f>'HVAC Deemed Table'!C1564</f>
        <v>354400_2019_12_</v>
      </c>
      <c r="B228" s="2425" t="str">
        <f>'HVAC Deemed Table'!G1564</f>
        <v>Cooling Res</v>
      </c>
      <c r="C228" s="2425" t="str">
        <f>'HVAC Deemed Table'!G1565</f>
        <v>Heating Res</v>
      </c>
      <c r="D228" s="2425" t="str">
        <f>'HVAC Deemed Table'!G1566</f>
        <v>Cooling Res ER2</v>
      </c>
      <c r="E228" s="2425" t="str">
        <f>'HVAC Deemed Table'!G1567</f>
        <v>Heating Res ER2</v>
      </c>
      <c r="F228" s="245" t="str">
        <f>'HVAC Deemed Table'!E1564</f>
        <v>ASHP - SEER 19 - replace electric furnace / CAC - early replacement SF ER1</v>
      </c>
      <c r="G228" s="745" t="str">
        <f>'HVAC Deemed Table'!D1564</f>
        <v>SF</v>
      </c>
      <c r="H228" s="2420">
        <f t="shared" si="189"/>
        <v>12579.02</v>
      </c>
      <c r="I228" s="2420">
        <f t="shared" si="190"/>
        <v>11184.93</v>
      </c>
      <c r="J228" s="2452">
        <f>'HVAC Deemed Table'!F1564</f>
        <v>2179.36</v>
      </c>
      <c r="K228" s="2452">
        <f>'HVAC Deemed Table'!F1565</f>
        <v>10399.66</v>
      </c>
      <c r="L228" s="2452">
        <f>'HVAC Deemed Table'!F1566</f>
        <v>785.27</v>
      </c>
      <c r="M228" s="2452">
        <f>'HVAC Deemed Table'!F1567</f>
        <v>10399.66</v>
      </c>
      <c r="N228" s="2421">
        <f t="shared" si="184"/>
        <v>2.064765</v>
      </c>
      <c r="O228" s="2421">
        <f t="shared" si="185"/>
        <v>0.74397899999999995</v>
      </c>
      <c r="P228" s="2412">
        <f>'HVAC Deemed Table'!I1564</f>
        <v>2.064765</v>
      </c>
      <c r="Q228" s="2412">
        <f>'HVAC Deemed Table'!I1565</f>
        <v>0</v>
      </c>
      <c r="R228" s="2412">
        <f>'HVAC Deemed Table'!I1566</f>
        <v>0.74397899999999995</v>
      </c>
      <c r="S228" s="2412">
        <f>'HVAC Deemed Table'!I1567</f>
        <v>0</v>
      </c>
      <c r="T228" s="2413"/>
      <c r="U228" s="2413"/>
      <c r="V228" s="2424">
        <f t="shared" si="191"/>
        <v>0.74397899999999995</v>
      </c>
      <c r="W228" s="2460">
        <f>'HVAC Deemed Table'!J1564</f>
        <v>6</v>
      </c>
      <c r="X228" s="2460">
        <f>'HVAC Deemed Table'!J1566</f>
        <v>12</v>
      </c>
      <c r="Y228" s="94">
        <f t="shared" si="119"/>
        <v>18</v>
      </c>
      <c r="Z228" s="767">
        <f>'HVAC Deemed Table'!BB1564</f>
        <v>3.8146524457068041</v>
      </c>
      <c r="AA228" s="2419">
        <f>'HVAC Deemed Table'!K1564</f>
        <v>1944.3573864864111</v>
      </c>
      <c r="AB228" s="2418">
        <f t="shared" si="138"/>
        <v>2997.075215815411</v>
      </c>
      <c r="AC228" s="2418">
        <f t="shared" si="139"/>
        <v>4003.4416880906547</v>
      </c>
      <c r="AD228" s="2445">
        <f>'HVAC Deemed Table'!BD1564</f>
        <v>1267.2633253340377</v>
      </c>
      <c r="AE228" s="2445">
        <f>'HVAC Deemed Table'!BD1565</f>
        <v>1729.8118904813734</v>
      </c>
      <c r="AF228" s="2445">
        <f>'HVAC Deemed Table'!BD1566</f>
        <v>928.44318532550415</v>
      </c>
      <c r="AG228" s="2445">
        <f>'HVAC Deemed Table'!BD1567</f>
        <v>3074.9985027651505</v>
      </c>
      <c r="AH228" s="2378"/>
      <c r="AI228" s="2378"/>
      <c r="AJ228" s="2378"/>
      <c r="AK228" s="2378"/>
      <c r="AL228" s="2380">
        <f t="shared" si="192"/>
        <v>9.4741810000000004E-4</v>
      </c>
      <c r="AM228" s="145">
        <f t="shared" si="182"/>
        <v>2.0647651104160003</v>
      </c>
      <c r="AN228" s="2368">
        <f t="shared" si="193"/>
        <v>1.1041600034289445E-7</v>
      </c>
    </row>
    <row r="229" spans="1:41" x14ac:dyDescent="0.25">
      <c r="A229" s="2598" t="str">
        <f>'HVAC Deemed Table'!C1568</f>
        <v>354450_2019_12_</v>
      </c>
      <c r="B229" s="2425" t="str">
        <f>'HVAC Deemed Table'!G1568</f>
        <v>Cooling Res</v>
      </c>
      <c r="C229" s="2425" t="str">
        <f>'HVAC Deemed Table'!G1569</f>
        <v>Heating Res</v>
      </c>
      <c r="D229" s="2425" t="str">
        <f>'HVAC Deemed Table'!G1570</f>
        <v>Cooling Res ER2</v>
      </c>
      <c r="E229" s="2425" t="str">
        <f>'HVAC Deemed Table'!G1571</f>
        <v>Heating Res ER2</v>
      </c>
      <c r="F229" s="245" t="str">
        <f>'HVAC Deemed Table'!E1568</f>
        <v>ASHP - SEER 19 - replace electric furnace / CAC - early replacement MF ER1</v>
      </c>
      <c r="G229" s="745" t="str">
        <f>'HVAC Deemed Table'!D1568</f>
        <v>MF</v>
      </c>
      <c r="H229" s="2420">
        <f t="shared" si="189"/>
        <v>8176.36</v>
      </c>
      <c r="I229" s="2420">
        <f t="shared" si="190"/>
        <v>7270.2</v>
      </c>
      <c r="J229" s="2452">
        <f>'HVAC Deemed Table'!F1568</f>
        <v>1416.58</v>
      </c>
      <c r="K229" s="2452">
        <f>'HVAC Deemed Table'!F1569</f>
        <v>6759.78</v>
      </c>
      <c r="L229" s="2452">
        <f>'HVAC Deemed Table'!F1570</f>
        <v>510.42</v>
      </c>
      <c r="M229" s="2452">
        <f>'HVAC Deemed Table'!F1571</f>
        <v>6759.78</v>
      </c>
      <c r="N229" s="2421">
        <f t="shared" si="184"/>
        <v>1.3420939999999999</v>
      </c>
      <c r="O229" s="2421">
        <f t="shared" si="185"/>
        <v>0.48358099999999998</v>
      </c>
      <c r="P229" s="2412">
        <f>'HVAC Deemed Table'!I1568</f>
        <v>1.3420939999999999</v>
      </c>
      <c r="Q229" s="2412">
        <f>'HVAC Deemed Table'!I1569</f>
        <v>0</v>
      </c>
      <c r="R229" s="2412">
        <f>'HVAC Deemed Table'!I1570</f>
        <v>0.48358099999999998</v>
      </c>
      <c r="S229" s="2412">
        <f>'HVAC Deemed Table'!I1571</f>
        <v>0</v>
      </c>
      <c r="T229" s="2413"/>
      <c r="U229" s="2413"/>
      <c r="V229" s="2424">
        <f t="shared" si="191"/>
        <v>0.48358099999999998</v>
      </c>
      <c r="W229" s="2460">
        <f>'HVAC Deemed Table'!J1568</f>
        <v>6</v>
      </c>
      <c r="X229" s="2460">
        <f>'HVAC Deemed Table'!J1570</f>
        <v>12</v>
      </c>
      <c r="Y229" s="94">
        <f t="shared" si="119"/>
        <v>18</v>
      </c>
      <c r="Z229" s="767">
        <f>'HVAC Deemed Table'!BB1568</f>
        <v>2.8609839612822618</v>
      </c>
      <c r="AA229" s="2419">
        <f>'HVAC Deemed Table'!K1568</f>
        <v>1685.1098012161674</v>
      </c>
      <c r="AB229" s="2418">
        <f t="shared" si="138"/>
        <v>1948.0967306768696</v>
      </c>
      <c r="AC229" s="2418">
        <f t="shared" si="139"/>
        <v>2602.2308901622018</v>
      </c>
      <c r="AD229" s="2445">
        <f>'HVAC Deemed Table'!BD1568</f>
        <v>823.71883553047269</v>
      </c>
      <c r="AE229" s="2445">
        <f>'HVAC Deemed Table'!BD1569</f>
        <v>1124.3778951463969</v>
      </c>
      <c r="AF229" s="2445">
        <f>'HVAC Deemed Table'!BD1570</f>
        <v>603.48156768225431</v>
      </c>
      <c r="AG229" s="2445">
        <f>'HVAC Deemed Table'!BD1571</f>
        <v>1998.7493224799473</v>
      </c>
      <c r="AH229" s="2378"/>
      <c r="AI229" s="2378"/>
      <c r="AJ229" s="2378"/>
      <c r="AK229" s="2378"/>
      <c r="AL229" s="2380">
        <f t="shared" si="192"/>
        <v>9.4741810000000004E-4</v>
      </c>
      <c r="AM229" s="145">
        <f t="shared" si="182"/>
        <v>1.3420935320980001</v>
      </c>
      <c r="AN229" s="2368">
        <f t="shared" si="193"/>
        <v>-4.6790199981217029E-7</v>
      </c>
    </row>
    <row r="230" spans="1:41" x14ac:dyDescent="0.25">
      <c r="A230" s="2598" t="str">
        <f>'HVAC Deemed Table'!C1572</f>
        <v>354451_2019_12_</v>
      </c>
      <c r="B230" s="2425" t="str">
        <f>'HVAC Deemed Table'!G1572</f>
        <v>Cooling Res</v>
      </c>
      <c r="C230" s="2425" t="str">
        <f>'HVAC Deemed Table'!G1573</f>
        <v>Heating Res</v>
      </c>
      <c r="D230" s="2425" t="str">
        <f>'HVAC Deemed Table'!G1574</f>
        <v>Cooling Res ER2</v>
      </c>
      <c r="E230" s="2425" t="str">
        <f>'HVAC Deemed Table'!G1575</f>
        <v>Heating Res ER2</v>
      </c>
      <c r="F230" s="245" t="str">
        <f>'HVAC Deemed Table'!E1572</f>
        <v>ASHP - SEER 19 - replace electric furnace / CAC - early replacement MF ER1_CompE</v>
      </c>
      <c r="G230" s="745" t="str">
        <f>'HVAC Deemed Table'!D1572</f>
        <v>MFc</v>
      </c>
      <c r="H230" s="2420">
        <f t="shared" si="189"/>
        <v>3334.71</v>
      </c>
      <c r="I230" s="2420">
        <f t="shared" si="190"/>
        <v>2675.6899999999996</v>
      </c>
      <c r="J230" s="2452">
        <f>'HVAC Deemed Table'!F1572</f>
        <v>1030.24</v>
      </c>
      <c r="K230" s="2452">
        <f>'HVAC Deemed Table'!F1573</f>
        <v>2304.4699999999998</v>
      </c>
      <c r="L230" s="2452">
        <f>'HVAC Deemed Table'!F1574</f>
        <v>371.22</v>
      </c>
      <c r="M230" s="2452">
        <f>'HVAC Deemed Table'!F1575</f>
        <v>2304.4699999999998</v>
      </c>
      <c r="N230" s="2421">
        <f t="shared" si="184"/>
        <v>0.97606800000000005</v>
      </c>
      <c r="O230" s="2421">
        <f t="shared" si="185"/>
        <v>0.35170099999999999</v>
      </c>
      <c r="P230" s="2412">
        <f>'HVAC Deemed Table'!I1572</f>
        <v>0.97606800000000005</v>
      </c>
      <c r="Q230" s="2412">
        <f>'HVAC Deemed Table'!I1573</f>
        <v>0</v>
      </c>
      <c r="R230" s="2412">
        <f>'HVAC Deemed Table'!I1574</f>
        <v>0.35170099999999999</v>
      </c>
      <c r="S230" s="2412">
        <f>'HVAC Deemed Table'!I1575</f>
        <v>0</v>
      </c>
      <c r="T230" s="2413"/>
      <c r="U230" s="2413"/>
      <c r="V230" s="2424">
        <f t="shared" si="191"/>
        <v>0.35170099999999999</v>
      </c>
      <c r="W230" s="2460">
        <f>'HVAC Deemed Table'!J1572</f>
        <v>6</v>
      </c>
      <c r="X230" s="2460">
        <f>'HVAC Deemed Table'!J1574</f>
        <v>12</v>
      </c>
      <c r="Y230" s="94">
        <f t="shared" si="119"/>
        <v>18</v>
      </c>
      <c r="Z230" s="767">
        <f>'HVAC Deemed Table'!BB1572</f>
        <v>1.3220394594007598</v>
      </c>
      <c r="AA230" s="2419">
        <f>'HVAC Deemed Table'!K1572</f>
        <v>1685.1098012161674</v>
      </c>
      <c r="AB230" s="2418">
        <f t="shared" si="138"/>
        <v>982.37881448865915</v>
      </c>
      <c r="AC230" s="2418">
        <f t="shared" si="139"/>
        <v>1120.2938147050581</v>
      </c>
      <c r="AD230" s="2445">
        <f>'HVAC Deemed Table'!BD1572</f>
        <v>599.06824402216205</v>
      </c>
      <c r="AE230" s="2445">
        <f>'HVAC Deemed Table'!BD1573</f>
        <v>383.31057046649704</v>
      </c>
      <c r="AF230" s="2445">
        <f>'HVAC Deemed Table'!BD1574</f>
        <v>438.90213462443961</v>
      </c>
      <c r="AG230" s="2445">
        <f>'HVAC Deemed Table'!BD1575</f>
        <v>681.39168008061858</v>
      </c>
      <c r="AH230" s="2378"/>
      <c r="AI230" s="2378"/>
      <c r="AJ230" s="2378"/>
      <c r="AK230" s="2378"/>
      <c r="AL230" s="2380">
        <f t="shared" si="192"/>
        <v>9.4741810000000004E-4</v>
      </c>
      <c r="AM230" s="145">
        <f t="shared" si="182"/>
        <v>0.976068023344</v>
      </c>
      <c r="AN230" s="2376">
        <f t="shared" si="193"/>
        <v>2.3343999955294237E-8</v>
      </c>
      <c r="AO230" s="248">
        <f>AN230/N230</f>
        <v>2.3916366436861198E-8</v>
      </c>
    </row>
    <row r="231" spans="1:41" x14ac:dyDescent="0.25">
      <c r="A231" s="2598" t="str">
        <f>'HVAC Deemed Table'!C1576</f>
        <v>354500_2019_12_</v>
      </c>
      <c r="B231" s="2425" t="str">
        <f>'HVAC Deemed Table'!G1576</f>
        <v>Cooling Res</v>
      </c>
      <c r="C231" s="2425" t="str">
        <f>'HVAC Deemed Table'!G1577</f>
        <v>Heating Res</v>
      </c>
      <c r="D231" s="2425" t="str">
        <f>'HVAC Deemed Table'!G1578</f>
        <v>Cooling Res ER2</v>
      </c>
      <c r="E231" s="2425" t="str">
        <f>'HVAC Deemed Table'!G1579</f>
        <v>Heating Res ER2</v>
      </c>
      <c r="F231" s="245" t="str">
        <f>'HVAC Deemed Table'!E1576</f>
        <v>ASHP SEER 19 replace ASHP - early replacement MF ER1</v>
      </c>
      <c r="G231" s="745" t="str">
        <f>'HVAC Deemed Table'!D1576</f>
        <v>MF</v>
      </c>
      <c r="H231" s="2420">
        <f t="shared" si="189"/>
        <v>3306.73</v>
      </c>
      <c r="I231" s="2420">
        <f t="shared" si="190"/>
        <v>1063.06</v>
      </c>
      <c r="J231" s="2452">
        <f>'HVAC Deemed Table'!F1576</f>
        <v>1507.97</v>
      </c>
      <c r="K231" s="2452">
        <f>'HVAC Deemed Table'!F1577</f>
        <v>1798.76</v>
      </c>
      <c r="L231" s="2452">
        <f>'HVAC Deemed Table'!F1578</f>
        <v>420.45</v>
      </c>
      <c r="M231" s="2452">
        <f>'HVAC Deemed Table'!F1579</f>
        <v>642.61</v>
      </c>
      <c r="N231" s="2421">
        <f t="shared" si="184"/>
        <v>1.4286779999999999</v>
      </c>
      <c r="O231" s="2421">
        <f t="shared" si="185"/>
        <v>0.39834199999999997</v>
      </c>
      <c r="P231" s="2412">
        <f>'HVAC Deemed Table'!I1576</f>
        <v>1.4286779999999999</v>
      </c>
      <c r="Q231" s="2412">
        <f>'HVAC Deemed Table'!I1577</f>
        <v>0</v>
      </c>
      <c r="R231" s="2412">
        <f>'HVAC Deemed Table'!I1578</f>
        <v>0.39834199999999997</v>
      </c>
      <c r="S231" s="2412">
        <f>'HVAC Deemed Table'!I1579</f>
        <v>0</v>
      </c>
      <c r="T231" s="2413"/>
      <c r="U231" s="2413"/>
      <c r="V231" s="2424">
        <f t="shared" si="191"/>
        <v>0.39834199999999997</v>
      </c>
      <c r="W231" s="2460">
        <f>'HVAC Deemed Table'!J1576</f>
        <v>6</v>
      </c>
      <c r="X231" s="2460">
        <f>'HVAC Deemed Table'!J1578</f>
        <v>12</v>
      </c>
      <c r="Y231" s="94">
        <f t="shared" si="119"/>
        <v>18</v>
      </c>
      <c r="Z231" s="767">
        <f>'HVAC Deemed Table'!BB1576</f>
        <v>1.1502519854045077</v>
      </c>
      <c r="AA231" s="2419">
        <f>'HVAC Deemed Table'!K1576</f>
        <v>1716.1717238752744</v>
      </c>
      <c r="AB231" s="2418">
        <f t="shared" si="138"/>
        <v>1176.0547272292426</v>
      </c>
      <c r="AC231" s="2418">
        <f t="shared" si="139"/>
        <v>687.11651645420295</v>
      </c>
      <c r="AD231" s="2445">
        <f>'HVAC Deemed Table'!BD1576</f>
        <v>876.86067318110304</v>
      </c>
      <c r="AE231" s="2445">
        <f>'HVAC Deemed Table'!BD1577</f>
        <v>299.19405404813961</v>
      </c>
      <c r="AF231" s="2445">
        <f>'HVAC Deemed Table'!BD1578</f>
        <v>497.10792118648141</v>
      </c>
      <c r="AG231" s="2445">
        <f>'HVAC Deemed Table'!BD1579</f>
        <v>190.00859526772157</v>
      </c>
      <c r="AH231" s="2378"/>
      <c r="AI231" s="2378"/>
      <c r="AJ231" s="2378"/>
      <c r="AK231" s="2378"/>
      <c r="AL231" s="2380">
        <f t="shared" si="192"/>
        <v>9.4741810000000004E-4</v>
      </c>
      <c r="AM231" s="145">
        <f t="shared" si="182"/>
        <v>1.4286780722570001</v>
      </c>
      <c r="AN231" s="2368">
        <f t="shared" si="193"/>
        <v>7.2257000161002338E-8</v>
      </c>
    </row>
    <row r="232" spans="1:41" x14ac:dyDescent="0.25">
      <c r="A232" s="2598" t="str">
        <f>'HVAC Deemed Table'!C1580</f>
        <v>354501_2019_12_</v>
      </c>
      <c r="B232" s="2425" t="str">
        <f>'HVAC Deemed Table'!G1580</f>
        <v>Cooling Res</v>
      </c>
      <c r="C232" s="2425" t="str">
        <f>'HVAC Deemed Table'!G1581</f>
        <v>Heating Res</v>
      </c>
      <c r="D232" s="2425" t="str">
        <f>'HVAC Deemed Table'!G1582</f>
        <v>Cooling Res ER2</v>
      </c>
      <c r="E232" s="2425" t="str">
        <f>'HVAC Deemed Table'!G1583</f>
        <v>Heating Res ER2</v>
      </c>
      <c r="F232" s="245" t="str">
        <f>'HVAC Deemed Table'!E1580</f>
        <v>ASHP SEER 19 replace ASHP - early replacement MF ER1_CompE</v>
      </c>
      <c r="G232" s="745" t="str">
        <f>'HVAC Deemed Table'!D1580</f>
        <v>MFc</v>
      </c>
      <c r="H232" s="2420">
        <f t="shared" si="189"/>
        <v>1709.92</v>
      </c>
      <c r="I232" s="2420">
        <f t="shared" si="190"/>
        <v>524.84999999999991</v>
      </c>
      <c r="J232" s="2452">
        <f>'HVAC Deemed Table'!F1580</f>
        <v>1096.71</v>
      </c>
      <c r="K232" s="2452">
        <f>'HVAC Deemed Table'!F1581</f>
        <v>613.21</v>
      </c>
      <c r="L232" s="2452">
        <f>'HVAC Deemed Table'!F1582</f>
        <v>305.77999999999997</v>
      </c>
      <c r="M232" s="2452">
        <f>'HVAC Deemed Table'!F1583</f>
        <v>219.07</v>
      </c>
      <c r="N232" s="2421">
        <f t="shared" si="184"/>
        <v>1.0390429999999999</v>
      </c>
      <c r="O232" s="2421">
        <f t="shared" si="185"/>
        <v>0.28970200000000002</v>
      </c>
      <c r="P232" s="2412">
        <f>'HVAC Deemed Table'!I1580</f>
        <v>1.0390429999999999</v>
      </c>
      <c r="Q232" s="2412">
        <f>'HVAC Deemed Table'!I1581</f>
        <v>0</v>
      </c>
      <c r="R232" s="2412">
        <f>'HVAC Deemed Table'!I1582</f>
        <v>0.28970200000000002</v>
      </c>
      <c r="S232" s="2412">
        <f>'HVAC Deemed Table'!I1583</f>
        <v>0</v>
      </c>
      <c r="T232" s="2413"/>
      <c r="U232" s="2413"/>
      <c r="V232" s="2424">
        <f t="shared" si="191"/>
        <v>0.28970200000000002</v>
      </c>
      <c r="W232" s="2460">
        <f>'HVAC Deemed Table'!J1580</f>
        <v>6</v>
      </c>
      <c r="X232" s="2460">
        <f>'HVAC Deemed Table'!J1582</f>
        <v>12</v>
      </c>
      <c r="Y232" s="94">
        <f t="shared" ref="Y232" si="194">X232+W232</f>
        <v>18</v>
      </c>
      <c r="Z232" s="767">
        <f>'HVAC Deemed Table'!BB1580</f>
        <v>0.71985878971820694</v>
      </c>
      <c r="AA232" s="2419">
        <f>'HVAC Deemed Table'!K1580</f>
        <v>1716.1717238752744</v>
      </c>
      <c r="AB232" s="2418">
        <f t="shared" si="138"/>
        <v>739.71686445430237</v>
      </c>
      <c r="AC232" s="2418">
        <f t="shared" si="139"/>
        <v>426.30607098454988</v>
      </c>
      <c r="AD232" s="2445">
        <f>'HVAC Deemed Table'!BD1580</f>
        <v>637.71949633245197</v>
      </c>
      <c r="AE232" s="2445">
        <f>'HVAC Deemed Table'!BD1581</f>
        <v>101.99736812185043</v>
      </c>
      <c r="AF232" s="2445">
        <f>'HVAC Deemed Table'!BD1582</f>
        <v>361.53088391105308</v>
      </c>
      <c r="AG232" s="2445">
        <f>'HVAC Deemed Table'!BD1583</f>
        <v>64.775187073496781</v>
      </c>
      <c r="AH232" s="2378"/>
      <c r="AI232" s="2378"/>
      <c r="AJ232" s="2378"/>
      <c r="AK232" s="2378"/>
      <c r="AL232" s="2380">
        <f t="shared" si="192"/>
        <v>9.4741810000000004E-4</v>
      </c>
      <c r="AM232" s="145">
        <f t="shared" si="182"/>
        <v>1.0390429044510001</v>
      </c>
      <c r="AN232" s="2376">
        <f t="shared" si="193"/>
        <v>-9.5548999823336089E-8</v>
      </c>
      <c r="AO232" s="248">
        <f>AN232/N232</f>
        <v>-9.1958657941332645E-8</v>
      </c>
    </row>
    <row r="233" spans="1:41" x14ac:dyDescent="0.25">
      <c r="A233" s="2598" t="str">
        <f>'HVAC Deemed Table'!C1584</f>
        <v>354550_2019_12_</v>
      </c>
      <c r="B233" s="2425" t="str">
        <f>'HVAC Deemed Table'!G1584</f>
        <v>Cooling Res</v>
      </c>
      <c r="C233" s="2425" t="str">
        <f>'HVAC Deemed Table'!G1585</f>
        <v>Heating Res</v>
      </c>
      <c r="D233" s="2425" t="str">
        <f>'HVAC Deemed Table'!G1586</f>
        <v>Cooling Res ER2</v>
      </c>
      <c r="E233" s="2425" t="str">
        <f>'HVAC Deemed Table'!G1587</f>
        <v>Heating Res ER2</v>
      </c>
      <c r="F233" s="245" t="str">
        <f>'HVAC Deemed Table'!E1584</f>
        <v>ASHP SEER 20 replace ASHP - early replacement SF ER1</v>
      </c>
      <c r="G233" s="745" t="str">
        <f>'HVAC Deemed Table'!D1584</f>
        <v>SF</v>
      </c>
      <c r="H233" s="2420">
        <f t="shared" si="189"/>
        <v>5177.84</v>
      </c>
      <c r="I233" s="2420">
        <f t="shared" si="190"/>
        <v>1726.04</v>
      </c>
      <c r="J233" s="2452">
        <f>'HVAC Deemed Table'!F1584</f>
        <v>2410.52</v>
      </c>
      <c r="K233" s="2452">
        <f>'HVAC Deemed Table'!F1585</f>
        <v>2767.32</v>
      </c>
      <c r="L233" s="2452">
        <f>'HVAC Deemed Table'!F1586</f>
        <v>737.41</v>
      </c>
      <c r="M233" s="2452">
        <f>'HVAC Deemed Table'!F1587</f>
        <v>988.63</v>
      </c>
      <c r="N233" s="2421">
        <f t="shared" si="184"/>
        <v>2.2837700000000001</v>
      </c>
      <c r="O233" s="2421">
        <f t="shared" si="185"/>
        <v>0.69863600000000003</v>
      </c>
      <c r="P233" s="2412">
        <f>'HVAC Deemed Table'!I1584</f>
        <v>2.2837700000000001</v>
      </c>
      <c r="Q233" s="2412">
        <f>'HVAC Deemed Table'!I1585</f>
        <v>0</v>
      </c>
      <c r="R233" s="2412">
        <f>'HVAC Deemed Table'!I1586</f>
        <v>0.69863600000000003</v>
      </c>
      <c r="S233" s="2412">
        <f>'HVAC Deemed Table'!I1587</f>
        <v>0</v>
      </c>
      <c r="T233" s="2413"/>
      <c r="U233" s="2413"/>
      <c r="V233" s="2424">
        <f t="shared" si="191"/>
        <v>0.69863600000000003</v>
      </c>
      <c r="W233" s="2460">
        <f>'HVAC Deemed Table'!J1584</f>
        <v>6</v>
      </c>
      <c r="X233" s="2460">
        <f>'HVAC Deemed Table'!J1586</f>
        <v>12</v>
      </c>
      <c r="Y233" s="94">
        <f t="shared" si="119"/>
        <v>18</v>
      </c>
      <c r="Z233" s="767">
        <f>'HVAC Deemed Table'!BB1584</f>
        <v>1.4359117255891336</v>
      </c>
      <c r="AA233" s="2419">
        <f>'HVAC Deemed Table'!K1584</f>
        <v>2232.8749598081135</v>
      </c>
      <c r="AB233" s="2418">
        <f t="shared" si="138"/>
        <v>1861.9772373321421</v>
      </c>
      <c r="AC233" s="2418">
        <f t="shared" si="139"/>
        <v>1164.1778703250882</v>
      </c>
      <c r="AD233" s="2445">
        <f>'HVAC Deemed Table'!BD1584</f>
        <v>1401.6792044380941</v>
      </c>
      <c r="AE233" s="2445">
        <f>'HVAC Deemed Table'!BD1585</f>
        <v>460.29803289404794</v>
      </c>
      <c r="AF233" s="2445">
        <f>'HVAC Deemed Table'!BD1586</f>
        <v>871.85718197674692</v>
      </c>
      <c r="AG233" s="2445">
        <f>'HVAC Deemed Table'!BD1587</f>
        <v>292.32068834834126</v>
      </c>
      <c r="AH233" s="2378"/>
      <c r="AI233" s="2378"/>
      <c r="AJ233" s="2378"/>
      <c r="AK233" s="2378"/>
      <c r="AL233" s="2380">
        <f t="shared" si="192"/>
        <v>9.4741810000000004E-4</v>
      </c>
      <c r="AM233" s="145">
        <f t="shared" si="182"/>
        <v>2.2837702784120002</v>
      </c>
      <c r="AN233" s="2368">
        <f t="shared" si="193"/>
        <v>2.7841200012090894E-7</v>
      </c>
    </row>
    <row r="234" spans="1:41" x14ac:dyDescent="0.25">
      <c r="A234" s="2598" t="str">
        <f>'HVAC Deemed Table'!C1588</f>
        <v>354600_2019_12_</v>
      </c>
      <c r="B234" s="2425" t="str">
        <f>'HVAC Deemed Table'!G1588</f>
        <v>Cooling Res</v>
      </c>
      <c r="C234" s="2425" t="str">
        <f>'HVAC Deemed Table'!G1589</f>
        <v>Heating Res</v>
      </c>
      <c r="D234" s="245"/>
      <c r="E234" s="245"/>
      <c r="F234" s="245" t="str">
        <f>'HVAC Deemed Table'!E1588</f>
        <v>ASHP SEER 20 replace ASHP - replace on fail SF</v>
      </c>
      <c r="G234" s="745" t="str">
        <f>'HVAC Deemed Table'!D1588</f>
        <v>SF</v>
      </c>
      <c r="H234" s="2420">
        <f t="shared" ref="H234:H242" si="195">J234+K234</f>
        <v>1916.9299999999998</v>
      </c>
      <c r="I234" s="2420">
        <f t="shared" ref="I234:I242" si="196">L234+M234</f>
        <v>0</v>
      </c>
      <c r="J234" s="2452">
        <f>'HVAC Deemed Table'!F1588</f>
        <v>737.41</v>
      </c>
      <c r="K234" s="2452">
        <f>'HVAC Deemed Table'!F1589</f>
        <v>1179.52</v>
      </c>
      <c r="L234" s="2452"/>
      <c r="M234" s="2452"/>
      <c r="N234" s="2421">
        <f t="shared" ref="N234:N242" si="197">P234+Q234</f>
        <v>0.69863600000000003</v>
      </c>
      <c r="O234" s="2421">
        <f t="shared" ref="O234:O242" si="198">R234+S234</f>
        <v>0</v>
      </c>
      <c r="P234" s="2412">
        <f>'HVAC Deemed Table'!I1588</f>
        <v>0.69863600000000003</v>
      </c>
      <c r="Q234" s="2412">
        <f>'HVAC Deemed Table'!I1589</f>
        <v>0</v>
      </c>
      <c r="R234" s="2412"/>
      <c r="S234" s="2412"/>
      <c r="T234" s="2413"/>
      <c r="U234" s="2413"/>
      <c r="V234" s="2413">
        <f t="shared" ref="V234" si="199">N234</f>
        <v>0.69863600000000003</v>
      </c>
      <c r="W234" s="2460">
        <f>'HVAC Deemed Table'!J1588</f>
        <v>18</v>
      </c>
      <c r="X234" s="2460"/>
      <c r="Y234" s="94">
        <f t="shared" si="119"/>
        <v>18</v>
      </c>
      <c r="Z234" s="767">
        <f>'HVAC Deemed Table'!BB1588</f>
        <v>1.3538128810268077</v>
      </c>
      <c r="AA234" s="2419">
        <f>'HVAC Deemed Table'!K1588</f>
        <v>1444.3799999999994</v>
      </c>
      <c r="AB234" s="2418">
        <f t="shared" si="138"/>
        <v>1845.6066532302971</v>
      </c>
      <c r="AC234" s="2418">
        <f t="shared" si="139"/>
        <v>0</v>
      </c>
      <c r="AD234" s="2445">
        <f>'HVAC Deemed Table'!BD1588</f>
        <v>1300.6494185666504</v>
      </c>
      <c r="AE234" s="2445">
        <f>'HVAC Deemed Table'!BD1589</f>
        <v>544.95723466364666</v>
      </c>
      <c r="AF234" s="2445"/>
      <c r="AG234" s="2445"/>
      <c r="AH234" s="2378"/>
      <c r="AI234" s="2378"/>
      <c r="AJ234" s="2378"/>
      <c r="AK234" s="2378"/>
      <c r="AL234" s="2380">
        <f t="shared" si="192"/>
        <v>9.4741810000000004E-4</v>
      </c>
      <c r="AM234" s="145">
        <f t="shared" si="182"/>
        <v>0.69863558112099999</v>
      </c>
      <c r="AN234" s="2368">
        <f t="shared" si="193"/>
        <v>-4.1887900004144996E-7</v>
      </c>
    </row>
    <row r="235" spans="1:41" x14ac:dyDescent="0.25">
      <c r="A235" s="2598" t="str">
        <f>'HVAC Deemed Table'!C1590</f>
        <v>354650_2019_12_</v>
      </c>
      <c r="B235" s="2425" t="str">
        <f>'HVAC Deemed Table'!G1590</f>
        <v>Cooling Res</v>
      </c>
      <c r="C235" s="2425" t="str">
        <f>'HVAC Deemed Table'!G1591</f>
        <v>Heating Res</v>
      </c>
      <c r="D235" s="2425" t="str">
        <f>'HVAC Deemed Table'!G1592</f>
        <v>Cooling Res ER2</v>
      </c>
      <c r="E235" s="2425" t="str">
        <f>'HVAC Deemed Table'!G1593</f>
        <v>Heating Res ER2</v>
      </c>
      <c r="F235" s="245" t="str">
        <f>'HVAC Deemed Table'!E1590</f>
        <v>ASHP - SEER 20 - replace electric furnace / CAC - early replacement MF ER1</v>
      </c>
      <c r="G235" s="745" t="str">
        <f>'HVAC Deemed Table'!D1590</f>
        <v>MF</v>
      </c>
      <c r="H235" s="2420">
        <f t="shared" si="195"/>
        <v>8231.66</v>
      </c>
      <c r="I235" s="2420">
        <f t="shared" si="196"/>
        <v>7325.5</v>
      </c>
      <c r="J235" s="2452">
        <f>'HVAC Deemed Table'!F1590</f>
        <v>1471.88</v>
      </c>
      <c r="K235" s="2452">
        <f>'HVAC Deemed Table'!F1591</f>
        <v>6759.78</v>
      </c>
      <c r="L235" s="2452">
        <f>'HVAC Deemed Table'!F1592</f>
        <v>565.72</v>
      </c>
      <c r="M235" s="2452">
        <f>'HVAC Deemed Table'!F1593</f>
        <v>6759.78</v>
      </c>
      <c r="N235" s="2421">
        <f t="shared" si="197"/>
        <v>1.3944859999999999</v>
      </c>
      <c r="O235" s="2421">
        <f t="shared" si="198"/>
        <v>0.53597300000000003</v>
      </c>
      <c r="P235" s="2412">
        <f>'HVAC Deemed Table'!I1590</f>
        <v>1.3944859999999999</v>
      </c>
      <c r="Q235" s="2412">
        <f>'HVAC Deemed Table'!I1591</f>
        <v>0</v>
      </c>
      <c r="R235" s="2412">
        <f>'HVAC Deemed Table'!I1592</f>
        <v>0.53597300000000003</v>
      </c>
      <c r="S235" s="2412">
        <f>'HVAC Deemed Table'!I1593</f>
        <v>0</v>
      </c>
      <c r="T235" s="2413"/>
      <c r="U235" s="2413"/>
      <c r="V235" s="2424">
        <f t="shared" ref="V235:V239" si="200">O235</f>
        <v>0.53597300000000003</v>
      </c>
      <c r="W235" s="2460">
        <f>'HVAC Deemed Table'!J1590</f>
        <v>6</v>
      </c>
      <c r="X235" s="2460">
        <f>'HVAC Deemed Table'!J1592</f>
        <v>12</v>
      </c>
      <c r="Y235" s="94">
        <f t="shared" ref="Y235:Y275" si="201">X235+W235</f>
        <v>18</v>
      </c>
      <c r="Z235" s="767">
        <f>'HVAC Deemed Table'!BB1590</f>
        <v>2.5570217316389692</v>
      </c>
      <c r="AA235" s="2419">
        <f>'HVAC Deemed Table'!K1590</f>
        <v>1925.8398012161661</v>
      </c>
      <c r="AB235" s="2418">
        <f t="shared" si="138"/>
        <v>1980.2528048871757</v>
      </c>
      <c r="AC235" s="2418">
        <f t="shared" si="139"/>
        <v>2667.613380450256</v>
      </c>
      <c r="AD235" s="2445">
        <f>'HVAC Deemed Table'!BD1590</f>
        <v>855.87490974077878</v>
      </c>
      <c r="AE235" s="2445">
        <f>'HVAC Deemed Table'!BD1591</f>
        <v>1124.3778951463969</v>
      </c>
      <c r="AF235" s="2445">
        <f>'HVAC Deemed Table'!BD1592</f>
        <v>668.86405797030864</v>
      </c>
      <c r="AG235" s="2445">
        <f>'HVAC Deemed Table'!BD1593</f>
        <v>1998.7493224799473</v>
      </c>
      <c r="AH235" s="2378"/>
      <c r="AI235" s="2378"/>
      <c r="AJ235" s="2378"/>
      <c r="AK235" s="2378"/>
      <c r="AL235" s="2380">
        <f t="shared" si="192"/>
        <v>9.4741810000000004E-4</v>
      </c>
      <c r="AM235" s="145">
        <f t="shared" si="182"/>
        <v>1.3944857530280002</v>
      </c>
      <c r="AN235" s="2368">
        <f t="shared" si="193"/>
        <v>-2.4697199973999773E-7</v>
      </c>
    </row>
    <row r="236" spans="1:41" x14ac:dyDescent="0.25">
      <c r="A236" s="2598" t="str">
        <f>'HVAC Deemed Table'!C1594</f>
        <v>354651_2019_12_</v>
      </c>
      <c r="B236" s="2425" t="str">
        <f>'HVAC Deemed Table'!G1594</f>
        <v>Cooling Res</v>
      </c>
      <c r="C236" s="2425" t="str">
        <f>'HVAC Deemed Table'!G1595</f>
        <v>Heating Res</v>
      </c>
      <c r="D236" s="2425" t="str">
        <f>'HVAC Deemed Table'!G1596</f>
        <v>Cooling Res ER2</v>
      </c>
      <c r="E236" s="2425" t="str">
        <f>'HVAC Deemed Table'!G1597</f>
        <v>Heating Res ER2</v>
      </c>
      <c r="F236" s="245" t="str">
        <f>'HVAC Deemed Table'!E1594</f>
        <v>ASHP - SEER 20 - replace electric furnace / CAC - early replacement MF ER1_CompE</v>
      </c>
      <c r="G236" s="745" t="str">
        <f>'HVAC Deemed Table'!D1594</f>
        <v>MFc</v>
      </c>
      <c r="H236" s="2420">
        <f t="shared" si="195"/>
        <v>3374.93</v>
      </c>
      <c r="I236" s="2420">
        <f t="shared" si="196"/>
        <v>2715.8999999999996</v>
      </c>
      <c r="J236" s="2452">
        <f>'HVAC Deemed Table'!F1594</f>
        <v>1070.46</v>
      </c>
      <c r="K236" s="2452">
        <f>'HVAC Deemed Table'!F1595</f>
        <v>2304.4699999999998</v>
      </c>
      <c r="L236" s="2452">
        <f>'HVAC Deemed Table'!F1596</f>
        <v>411.43</v>
      </c>
      <c r="M236" s="2452">
        <f>'HVAC Deemed Table'!F1597</f>
        <v>2304.4699999999998</v>
      </c>
      <c r="N236" s="2421">
        <f t="shared" si="197"/>
        <v>1.014173</v>
      </c>
      <c r="O236" s="2421">
        <f t="shared" si="198"/>
        <v>0.38979599999999998</v>
      </c>
      <c r="P236" s="2412">
        <f>'HVAC Deemed Table'!I1594</f>
        <v>1.014173</v>
      </c>
      <c r="Q236" s="2412">
        <f>'HVAC Deemed Table'!I1595</f>
        <v>0</v>
      </c>
      <c r="R236" s="2412">
        <f>'HVAC Deemed Table'!I1596</f>
        <v>0.38979599999999998</v>
      </c>
      <c r="S236" s="2412">
        <f>'HVAC Deemed Table'!I1597</f>
        <v>0</v>
      </c>
      <c r="T236" s="2413"/>
      <c r="U236" s="2413"/>
      <c r="V236" s="2424">
        <f t="shared" si="200"/>
        <v>0.38979599999999998</v>
      </c>
      <c r="W236" s="2460">
        <f>'HVAC Deemed Table'!J1594</f>
        <v>6</v>
      </c>
      <c r="X236" s="2460">
        <f>'HVAC Deemed Table'!J1596</f>
        <v>12</v>
      </c>
      <c r="Y236" s="94">
        <f t="shared" si="201"/>
        <v>18</v>
      </c>
      <c r="Z236" s="767">
        <f>'HVAC Deemed Table'!BB1594</f>
        <v>1.1958058077888361</v>
      </c>
      <c r="AA236" s="2419">
        <f>'HVAC Deemed Table'!K1594</f>
        <v>1925.8398012161661</v>
      </c>
      <c r="AB236" s="2418">
        <f t="shared" si="138"/>
        <v>1005.766107521905</v>
      </c>
      <c r="AC236" s="2418">
        <f t="shared" si="139"/>
        <v>1167.8350431767158</v>
      </c>
      <c r="AD236" s="2445">
        <f>'HVAC Deemed Table'!BD1594</f>
        <v>622.45553705540806</v>
      </c>
      <c r="AE236" s="2445">
        <f>'HVAC Deemed Table'!BD1595</f>
        <v>383.31057046649704</v>
      </c>
      <c r="AF236" s="2445">
        <f>'HVAC Deemed Table'!BD1596</f>
        <v>486.44336309609713</v>
      </c>
      <c r="AG236" s="2445">
        <f>'HVAC Deemed Table'!BD1597</f>
        <v>681.39168008061858</v>
      </c>
      <c r="AH236" s="2378"/>
      <c r="AI236" s="2378"/>
      <c r="AJ236" s="2378"/>
      <c r="AK236" s="2378"/>
      <c r="AL236" s="2380">
        <f t="shared" si="192"/>
        <v>9.4741810000000004E-4</v>
      </c>
      <c r="AM236" s="145">
        <f t="shared" si="182"/>
        <v>1.014173179326</v>
      </c>
      <c r="AN236" s="2376">
        <f t="shared" si="193"/>
        <v>1.7932600004932908E-7</v>
      </c>
      <c r="AO236" s="248">
        <f>AN236/N236</f>
        <v>1.7681993116492854E-7</v>
      </c>
    </row>
    <row r="237" spans="1:41" x14ac:dyDescent="0.25">
      <c r="A237" s="2598" t="str">
        <f>'HVAC Deemed Table'!C1598</f>
        <v>354700_2019_12_</v>
      </c>
      <c r="B237" s="2425" t="str">
        <f>'HVAC Deemed Table'!G1598</f>
        <v>Cooling Res</v>
      </c>
      <c r="C237" s="2425" t="str">
        <f>'HVAC Deemed Table'!G1599</f>
        <v>Heating Res</v>
      </c>
      <c r="D237" s="2425" t="str">
        <f>'HVAC Deemed Table'!G1600</f>
        <v>Cooling Res ER2</v>
      </c>
      <c r="E237" s="2425" t="str">
        <f>'HVAC Deemed Table'!G1601</f>
        <v>Heating Res ER2</v>
      </c>
      <c r="F237" s="245" t="str">
        <f>'HVAC Deemed Table'!E1598</f>
        <v>ASHP SEER 20 replace ASHP - early replacement MF ER1</v>
      </c>
      <c r="G237" s="745" t="str">
        <f>'HVAC Deemed Table'!D1598</f>
        <v>MF</v>
      </c>
      <c r="H237" s="2420">
        <f t="shared" si="195"/>
        <v>3365.6</v>
      </c>
      <c r="I237" s="2420">
        <f t="shared" si="196"/>
        <v>1121.93</v>
      </c>
      <c r="J237" s="2452">
        <f>'HVAC Deemed Table'!F1598</f>
        <v>1566.84</v>
      </c>
      <c r="K237" s="2452">
        <f>'HVAC Deemed Table'!F1599</f>
        <v>1798.76</v>
      </c>
      <c r="L237" s="2452">
        <f>'HVAC Deemed Table'!F1600</f>
        <v>479.32</v>
      </c>
      <c r="M237" s="2452">
        <f>'HVAC Deemed Table'!F1601</f>
        <v>642.61</v>
      </c>
      <c r="N237" s="2421">
        <f t="shared" si="197"/>
        <v>1.484453</v>
      </c>
      <c r="O237" s="2421">
        <f t="shared" si="198"/>
        <v>0.45411600000000002</v>
      </c>
      <c r="P237" s="2412">
        <f>'HVAC Deemed Table'!I1598</f>
        <v>1.484453</v>
      </c>
      <c r="Q237" s="2412">
        <f>'HVAC Deemed Table'!I1599</f>
        <v>0</v>
      </c>
      <c r="R237" s="2412">
        <f>'HVAC Deemed Table'!I1600</f>
        <v>0.45411600000000002</v>
      </c>
      <c r="S237" s="2412">
        <f>'HVAC Deemed Table'!I1601</f>
        <v>0</v>
      </c>
      <c r="T237" s="2413"/>
      <c r="U237" s="2413"/>
      <c r="V237" s="2424">
        <f t="shared" si="200"/>
        <v>0.45411600000000002</v>
      </c>
      <c r="W237" s="2460">
        <f>'HVAC Deemed Table'!J1598</f>
        <v>6</v>
      </c>
      <c r="X237" s="2460">
        <f>'HVAC Deemed Table'!J1600</f>
        <v>12</v>
      </c>
      <c r="Y237" s="94">
        <f t="shared" si="201"/>
        <v>18</v>
      </c>
      <c r="Z237" s="767">
        <f>'HVAC Deemed Table'!BB1598</f>
        <v>1.0649709532952181</v>
      </c>
      <c r="AA237" s="2419">
        <f>'HVAC Deemed Table'!K1598</f>
        <v>1956.9017238752731</v>
      </c>
      <c r="AB237" s="2418">
        <f t="shared" ref="AB237:AB300" si="202">AD237+AE237</f>
        <v>1210.2866999012265</v>
      </c>
      <c r="AC237" s="2418">
        <f t="shared" ref="AC237:AC300" si="203">AF237+AG237</f>
        <v>756.71990168490379</v>
      </c>
      <c r="AD237" s="2445">
        <f>'HVAC Deemed Table'!BD1598</f>
        <v>911.09264585308688</v>
      </c>
      <c r="AE237" s="2445">
        <f>'HVAC Deemed Table'!BD1599</f>
        <v>299.19405404813961</v>
      </c>
      <c r="AF237" s="2445">
        <f>'HVAC Deemed Table'!BD1600</f>
        <v>566.71130641718219</v>
      </c>
      <c r="AG237" s="2445">
        <f>'HVAC Deemed Table'!BD1601</f>
        <v>190.00859526772157</v>
      </c>
      <c r="AH237" s="2378"/>
      <c r="AI237" s="2378"/>
      <c r="AJ237" s="2378"/>
      <c r="AK237" s="2378"/>
      <c r="AL237" s="2380">
        <f t="shared" si="192"/>
        <v>9.4741810000000004E-4</v>
      </c>
      <c r="AM237" s="145">
        <f t="shared" si="182"/>
        <v>1.4844525758039999</v>
      </c>
      <c r="AN237" s="2368">
        <f t="shared" si="193"/>
        <v>-4.2419600010390468E-7</v>
      </c>
    </row>
    <row r="238" spans="1:41" x14ac:dyDescent="0.25">
      <c r="A238" s="2598" t="str">
        <f>'HVAC Deemed Table'!C1602</f>
        <v>354701_2019_12_</v>
      </c>
      <c r="B238" s="2425" t="str">
        <f>'HVAC Deemed Table'!G1602</f>
        <v>Cooling Res</v>
      </c>
      <c r="C238" s="2425" t="str">
        <f>'HVAC Deemed Table'!G1603</f>
        <v>Heating Res</v>
      </c>
      <c r="D238" s="2425" t="str">
        <f>'HVAC Deemed Table'!G1604</f>
        <v>Cooling Res ER2</v>
      </c>
      <c r="E238" s="2425" t="str">
        <f>'HVAC Deemed Table'!G1605</f>
        <v>Heating Res ER2</v>
      </c>
      <c r="F238" s="245" t="str">
        <f>'HVAC Deemed Table'!E1602</f>
        <v>ASHP SEER 20 replace ASHP - early replacement MF ER1_CompE</v>
      </c>
      <c r="G238" s="745" t="str">
        <f>'HVAC Deemed Table'!D1602</f>
        <v>MFc</v>
      </c>
      <c r="H238" s="2420">
        <f t="shared" si="195"/>
        <v>1752.73</v>
      </c>
      <c r="I238" s="2420">
        <f t="shared" si="196"/>
        <v>567.66</v>
      </c>
      <c r="J238" s="2452">
        <f>'HVAC Deemed Table'!F1602</f>
        <v>1139.52</v>
      </c>
      <c r="K238" s="2452">
        <f>'HVAC Deemed Table'!F1603</f>
        <v>613.21</v>
      </c>
      <c r="L238" s="2452">
        <f>'HVAC Deemed Table'!F1604</f>
        <v>348.59</v>
      </c>
      <c r="M238" s="2452">
        <f>'HVAC Deemed Table'!F1605</f>
        <v>219.07</v>
      </c>
      <c r="N238" s="2421">
        <f t="shared" si="197"/>
        <v>1.079602</v>
      </c>
      <c r="O238" s="2421">
        <f t="shared" si="198"/>
        <v>0.33026</v>
      </c>
      <c r="P238" s="2412">
        <f>'HVAC Deemed Table'!I1602</f>
        <v>1.079602</v>
      </c>
      <c r="Q238" s="2412">
        <f>'HVAC Deemed Table'!I1603</f>
        <v>0</v>
      </c>
      <c r="R238" s="2412">
        <f>'HVAC Deemed Table'!I1604</f>
        <v>0.33026</v>
      </c>
      <c r="S238" s="2412">
        <f>'HVAC Deemed Table'!I1605</f>
        <v>0</v>
      </c>
      <c r="T238" s="2413"/>
      <c r="U238" s="2413"/>
      <c r="V238" s="2424">
        <f t="shared" si="200"/>
        <v>0.33026</v>
      </c>
      <c r="W238" s="2460">
        <f>'HVAC Deemed Table'!J1602</f>
        <v>6</v>
      </c>
      <c r="X238" s="2460">
        <f>'HVAC Deemed Table'!J1604</f>
        <v>12</v>
      </c>
      <c r="Y238" s="94">
        <f t="shared" si="201"/>
        <v>18</v>
      </c>
      <c r="Z238" s="767">
        <f>'HVAC Deemed Table'!BB1602</f>
        <v>0.67218637132586789</v>
      </c>
      <c r="AA238" s="2419">
        <f>'HVAC Deemed Table'!K1602</f>
        <v>1956.9017238752731</v>
      </c>
      <c r="AB238" s="2418">
        <f t="shared" si="202"/>
        <v>764.61020146955002</v>
      </c>
      <c r="AC238" s="2418">
        <f t="shared" si="203"/>
        <v>476.92134059090802</v>
      </c>
      <c r="AD238" s="2445">
        <f>'HVAC Deemed Table'!BD1602</f>
        <v>662.61283334769962</v>
      </c>
      <c r="AE238" s="2445">
        <f>'HVAC Deemed Table'!BD1603</f>
        <v>101.99736812185043</v>
      </c>
      <c r="AF238" s="2445">
        <f>'HVAC Deemed Table'!BD1604</f>
        <v>412.14615351741122</v>
      </c>
      <c r="AG238" s="2445">
        <f>'HVAC Deemed Table'!BD1605</f>
        <v>64.775187073496781</v>
      </c>
      <c r="AH238" s="2378"/>
      <c r="AI238" s="2378"/>
      <c r="AJ238" s="2378"/>
      <c r="AK238" s="2378"/>
      <c r="AL238" s="2380">
        <f t="shared" si="192"/>
        <v>9.4741810000000004E-4</v>
      </c>
      <c r="AM238" s="145">
        <f t="shared" si="182"/>
        <v>1.0796018733120001</v>
      </c>
      <c r="AN238" s="2376">
        <f t="shared" si="193"/>
        <v>-1.2668799986848001E-7</v>
      </c>
      <c r="AO238" s="248">
        <f>AN238/N238</f>
        <v>-1.1734694810539441E-7</v>
      </c>
    </row>
    <row r="239" spans="1:41" x14ac:dyDescent="0.25">
      <c r="A239" s="2598" t="str">
        <f>'HVAC Deemed Table'!C1606</f>
        <v>354750_2019_12_</v>
      </c>
      <c r="B239" s="2425" t="str">
        <f>'HVAC Deemed Table'!G1606</f>
        <v>Cooling Res</v>
      </c>
      <c r="C239" s="2425" t="str">
        <f>'HVAC Deemed Table'!G1607</f>
        <v>Heating Res</v>
      </c>
      <c r="D239" s="2425" t="str">
        <f>'HVAC Deemed Table'!G1608</f>
        <v>Cooling Res ER2</v>
      </c>
      <c r="E239" s="2425" t="str">
        <f>'HVAC Deemed Table'!G1609</f>
        <v>Heating Res ER2</v>
      </c>
      <c r="F239" s="245" t="str">
        <f>'HVAC Deemed Table'!E1606</f>
        <v>ASHP SEER 21 replace ASHP - early replacement SF ER1</v>
      </c>
      <c r="G239" s="745" t="str">
        <f>'HVAC Deemed Table'!D1606</f>
        <v>SF</v>
      </c>
      <c r="H239" s="2420">
        <f t="shared" si="195"/>
        <v>5259.77</v>
      </c>
      <c r="I239" s="2420">
        <f t="shared" si="196"/>
        <v>1807.97</v>
      </c>
      <c r="J239" s="2452">
        <f>'HVAC Deemed Table'!F1606</f>
        <v>2492.4499999999998</v>
      </c>
      <c r="K239" s="2452">
        <f>'HVAC Deemed Table'!F1607</f>
        <v>2767.32</v>
      </c>
      <c r="L239" s="2452">
        <f>'HVAC Deemed Table'!F1608</f>
        <v>819.34</v>
      </c>
      <c r="M239" s="2452">
        <f>'HVAC Deemed Table'!F1609</f>
        <v>988.63</v>
      </c>
      <c r="N239" s="2421">
        <f t="shared" si="197"/>
        <v>2.3613919999999999</v>
      </c>
      <c r="O239" s="2421">
        <f t="shared" si="198"/>
        <v>0.776258</v>
      </c>
      <c r="P239" s="2412">
        <f>'HVAC Deemed Table'!I1606</f>
        <v>2.3613919999999999</v>
      </c>
      <c r="Q239" s="2412">
        <f>'HVAC Deemed Table'!I1607</f>
        <v>0</v>
      </c>
      <c r="R239" s="2412">
        <f>'HVAC Deemed Table'!I1608</f>
        <v>0.776258</v>
      </c>
      <c r="S239" s="2412">
        <f>'HVAC Deemed Table'!I1609</f>
        <v>0</v>
      </c>
      <c r="T239" s="2413"/>
      <c r="U239" s="2413"/>
      <c r="V239" s="2424">
        <f t="shared" si="200"/>
        <v>0.776258</v>
      </c>
      <c r="W239" s="2460">
        <f>'HVAC Deemed Table'!J1606</f>
        <v>6</v>
      </c>
      <c r="X239" s="2460">
        <f>'HVAC Deemed Table'!J1608</f>
        <v>12</v>
      </c>
      <c r="Y239" s="94">
        <f t="shared" si="201"/>
        <v>18</v>
      </c>
      <c r="Z239" s="767">
        <f>'HVAC Deemed Table'!BB1606</f>
        <v>1.3554276383834953</v>
      </c>
      <c r="AA239" s="2419">
        <f>'HVAC Deemed Table'!K1606</f>
        <v>2478.4195598081137</v>
      </c>
      <c r="AB239" s="2418">
        <f t="shared" si="202"/>
        <v>1909.618234801407</v>
      </c>
      <c r="AC239" s="2418">
        <f t="shared" si="203"/>
        <v>1261.0456357735563</v>
      </c>
      <c r="AD239" s="2445">
        <f>'HVAC Deemed Table'!BD1606</f>
        <v>1449.320201907359</v>
      </c>
      <c r="AE239" s="2445">
        <f>'HVAC Deemed Table'!BD1607</f>
        <v>460.29803289404794</v>
      </c>
      <c r="AF239" s="2445">
        <f>'HVAC Deemed Table'!BD1608</f>
        <v>968.72494742521508</v>
      </c>
      <c r="AG239" s="2445">
        <f>'HVAC Deemed Table'!BD1609</f>
        <v>292.32068834834126</v>
      </c>
      <c r="AH239" s="2378"/>
      <c r="AI239" s="2378"/>
      <c r="AJ239" s="2378"/>
      <c r="AK239" s="2378"/>
      <c r="AL239" s="2380">
        <f t="shared" si="192"/>
        <v>9.4741810000000004E-4</v>
      </c>
      <c r="AM239" s="145">
        <f t="shared" si="182"/>
        <v>2.3613922433450001</v>
      </c>
      <c r="AN239" s="2368">
        <f t="shared" si="193"/>
        <v>2.4334500015044114E-7</v>
      </c>
    </row>
    <row r="240" spans="1:41" x14ac:dyDescent="0.25">
      <c r="A240" s="2598" t="str">
        <f>'HVAC Deemed Table'!C1610</f>
        <v>354800_2019_12_</v>
      </c>
      <c r="B240" s="2425" t="str">
        <f>'HVAC Deemed Table'!G1610</f>
        <v>Cooling Res</v>
      </c>
      <c r="C240" s="2425" t="str">
        <f>'HVAC Deemed Table'!G1611</f>
        <v>Heating Res</v>
      </c>
      <c r="D240" s="245"/>
      <c r="E240" s="245"/>
      <c r="F240" s="245" t="str">
        <f>'HVAC Deemed Table'!E1610</f>
        <v>ASHP SEER 21 replace ASHP - replace on fail SF</v>
      </c>
      <c r="G240" s="745" t="str">
        <f>'HVAC Deemed Table'!D1610</f>
        <v>SF</v>
      </c>
      <c r="H240" s="2420">
        <f t="shared" si="195"/>
        <v>1998.8600000000001</v>
      </c>
      <c r="I240" s="2420">
        <f t="shared" si="196"/>
        <v>0</v>
      </c>
      <c r="J240" s="2452">
        <f>'HVAC Deemed Table'!F1610</f>
        <v>819.34</v>
      </c>
      <c r="K240" s="2452">
        <f>'HVAC Deemed Table'!F1611</f>
        <v>1179.52</v>
      </c>
      <c r="L240" s="2452"/>
      <c r="M240" s="2452"/>
      <c r="N240" s="2421">
        <f t="shared" si="197"/>
        <v>0.776258</v>
      </c>
      <c r="O240" s="2421">
        <f t="shared" si="198"/>
        <v>0</v>
      </c>
      <c r="P240" s="2412">
        <f>'HVAC Deemed Table'!I1610</f>
        <v>0.776258</v>
      </c>
      <c r="Q240" s="2412">
        <f>'HVAC Deemed Table'!I1611</f>
        <v>0</v>
      </c>
      <c r="R240" s="2412"/>
      <c r="S240" s="2412"/>
      <c r="T240" s="2413"/>
      <c r="U240" s="2413"/>
      <c r="V240" s="2413">
        <f t="shared" ref="V240:V242" si="204">N240</f>
        <v>0.776258</v>
      </c>
      <c r="W240" s="2460">
        <f>'HVAC Deemed Table'!J1610</f>
        <v>18</v>
      </c>
      <c r="X240" s="2460"/>
      <c r="Y240" s="94">
        <f t="shared" si="201"/>
        <v>18</v>
      </c>
      <c r="Z240" s="767">
        <f>'HVAC Deemed Table'!BB1610</f>
        <v>1.2477049469596688</v>
      </c>
      <c r="AA240" s="2419">
        <f>'HVAC Deemed Table'!K1610</f>
        <v>1689.9245999999991</v>
      </c>
      <c r="AB240" s="2418">
        <f t="shared" si="202"/>
        <v>1990.1154161480306</v>
      </c>
      <c r="AC240" s="2418">
        <f t="shared" si="203"/>
        <v>0</v>
      </c>
      <c r="AD240" s="2445">
        <f>'HVAC Deemed Table'!BD1610</f>
        <v>1445.1581814843839</v>
      </c>
      <c r="AE240" s="2445">
        <f>'HVAC Deemed Table'!BD1611</f>
        <v>544.95723466364666</v>
      </c>
      <c r="AF240" s="2445"/>
      <c r="AG240" s="2445"/>
      <c r="AH240" s="2378"/>
      <c r="AI240" s="2378"/>
      <c r="AJ240" s="2378"/>
      <c r="AK240" s="2378"/>
      <c r="AL240" s="2380">
        <f t="shared" si="192"/>
        <v>9.4741810000000004E-4</v>
      </c>
      <c r="AM240" s="145">
        <f t="shared" si="182"/>
        <v>0.7762575460540001</v>
      </c>
      <c r="AN240" s="2368">
        <f t="shared" si="193"/>
        <v>-4.5394599990089546E-7</v>
      </c>
    </row>
    <row r="241" spans="1:41" x14ac:dyDescent="0.25">
      <c r="A241" s="2598" t="str">
        <f>'HVAC Deemed Table'!C1612</f>
        <v>354850_2019_12_</v>
      </c>
      <c r="B241" s="2425" t="str">
        <f>'HVAC Deemed Table'!G1612</f>
        <v>Cooling Res</v>
      </c>
      <c r="C241" s="2425" t="str">
        <f>'HVAC Deemed Table'!G1613</f>
        <v>Heating Res</v>
      </c>
      <c r="D241" s="245"/>
      <c r="E241" s="245"/>
      <c r="F241" s="245" t="str">
        <f>'HVAC Deemed Table'!E1612</f>
        <v>ASHP - SEER 21 - replace electric furnace / CAC MF</v>
      </c>
      <c r="G241" s="745" t="str">
        <f>'HVAC Deemed Table'!D1612</f>
        <v>MF</v>
      </c>
      <c r="H241" s="2420">
        <f t="shared" si="195"/>
        <v>6769.2699999999995</v>
      </c>
      <c r="I241" s="2420">
        <f t="shared" si="196"/>
        <v>0</v>
      </c>
      <c r="J241" s="2452">
        <f>'HVAC Deemed Table'!F1612</f>
        <v>556.16</v>
      </c>
      <c r="K241" s="2452">
        <f>'HVAC Deemed Table'!F1613</f>
        <v>6213.11</v>
      </c>
      <c r="L241" s="2452"/>
      <c r="M241" s="2452"/>
      <c r="N241" s="2421">
        <f t="shared" si="197"/>
        <v>0.52691600000000005</v>
      </c>
      <c r="O241" s="2421">
        <f t="shared" si="198"/>
        <v>0</v>
      </c>
      <c r="P241" s="2412">
        <f>'HVAC Deemed Table'!I1612</f>
        <v>0.52691600000000005</v>
      </c>
      <c r="Q241" s="2412">
        <f>'HVAC Deemed Table'!I1613</f>
        <v>0</v>
      </c>
      <c r="R241" s="2412"/>
      <c r="S241" s="2412"/>
      <c r="T241" s="2413"/>
      <c r="U241" s="2413"/>
      <c r="V241" s="2413">
        <f t="shared" si="204"/>
        <v>0.52691600000000005</v>
      </c>
      <c r="W241" s="2460">
        <f>'HVAC Deemed Table'!J1612</f>
        <v>18</v>
      </c>
      <c r="X241" s="2460"/>
      <c r="Y241" s="94">
        <f t="shared" si="201"/>
        <v>18</v>
      </c>
      <c r="Z241" s="767">
        <f>'HVAC Deemed Table'!BB1612</f>
        <v>2.4147120897912031</v>
      </c>
      <c r="AA241" s="2419">
        <f>'HVAC Deemed Table'!K1612</f>
        <v>1689.9245999999991</v>
      </c>
      <c r="AB241" s="2418">
        <f t="shared" si="202"/>
        <v>3851.5161514446063</v>
      </c>
      <c r="AC241" s="2418">
        <f t="shared" si="203"/>
        <v>0</v>
      </c>
      <c r="AD241" s="2445">
        <f>'HVAC Deemed Table'!BD1612</f>
        <v>980.95927724065086</v>
      </c>
      <c r="AE241" s="2445">
        <f>'HVAC Deemed Table'!BD1613</f>
        <v>2870.5568742039554</v>
      </c>
      <c r="AF241" s="2445"/>
      <c r="AG241" s="2445"/>
      <c r="AH241" s="2378"/>
      <c r="AI241" s="2378"/>
      <c r="AJ241" s="2378"/>
      <c r="AK241" s="2378"/>
      <c r="AL241" s="2380">
        <f t="shared" si="192"/>
        <v>9.4741810000000004E-4</v>
      </c>
      <c r="AM241" s="145">
        <f t="shared" si="182"/>
        <v>0.52691605049599999</v>
      </c>
      <c r="AN241" s="2368">
        <f t="shared" si="193"/>
        <v>5.049599993700582E-8</v>
      </c>
    </row>
    <row r="242" spans="1:41" x14ac:dyDescent="0.25">
      <c r="A242" s="2598" t="str">
        <f>'HVAC Deemed Table'!C1614</f>
        <v>354851_2019_12_</v>
      </c>
      <c r="B242" s="2425" t="str">
        <f>'HVAC Deemed Table'!G1614</f>
        <v>Cooling Res</v>
      </c>
      <c r="C242" s="2425" t="str">
        <f>'HVAC Deemed Table'!G1615</f>
        <v>Heating Res</v>
      </c>
      <c r="D242" s="245"/>
      <c r="E242" s="245"/>
      <c r="F242" s="245" t="str">
        <f>'HVAC Deemed Table'!E1614</f>
        <v>ASHP - SEER 21 - replace electric furnace / CAC MF_CompE</v>
      </c>
      <c r="G242" s="745" t="str">
        <f>'HVAC Deemed Table'!D1614</f>
        <v>MFc</v>
      </c>
      <c r="H242" s="2420">
        <f t="shared" si="195"/>
        <v>2522.58</v>
      </c>
      <c r="I242" s="2420">
        <f t="shared" si="196"/>
        <v>0</v>
      </c>
      <c r="J242" s="2452">
        <f>'HVAC Deemed Table'!F1614</f>
        <v>404.48</v>
      </c>
      <c r="K242" s="2452">
        <f>'HVAC Deemed Table'!F1615</f>
        <v>2118.1</v>
      </c>
      <c r="L242" s="2452"/>
      <c r="M242" s="2452"/>
      <c r="N242" s="2421">
        <f t="shared" si="197"/>
        <v>0.383212</v>
      </c>
      <c r="O242" s="2421">
        <f t="shared" si="198"/>
        <v>0</v>
      </c>
      <c r="P242" s="2412">
        <f>'HVAC Deemed Table'!I1614</f>
        <v>0.383212</v>
      </c>
      <c r="Q242" s="2412">
        <f>'HVAC Deemed Table'!I1615</f>
        <v>0</v>
      </c>
      <c r="R242" s="2412"/>
      <c r="S242" s="2412"/>
      <c r="T242" s="2413"/>
      <c r="U242" s="2413"/>
      <c r="V242" s="2413">
        <f t="shared" si="204"/>
        <v>0.383212</v>
      </c>
      <c r="W242" s="2460">
        <f>'HVAC Deemed Table'!J1614</f>
        <v>18</v>
      </c>
      <c r="X242" s="2460"/>
      <c r="Y242" s="94">
        <f t="shared" si="201"/>
        <v>18</v>
      </c>
      <c r="Z242" s="767">
        <f>'HVAC Deemed Table'!BB1614</f>
        <v>1.0608144895170573</v>
      </c>
      <c r="AA242" s="2419">
        <f>'HVAC Deemed Table'!K1614</f>
        <v>1689.9245999999991</v>
      </c>
      <c r="AB242" s="2418">
        <f t="shared" si="202"/>
        <v>1692.0212381985052</v>
      </c>
      <c r="AC242" s="2418">
        <f t="shared" si="203"/>
        <v>0</v>
      </c>
      <c r="AD242" s="2445">
        <f>'HVAC Deemed Table'!BD1614</f>
        <v>713.42492890229164</v>
      </c>
      <c r="AE242" s="2445">
        <f>'HVAC Deemed Table'!BD1615</f>
        <v>978.59630929621369</v>
      </c>
      <c r="AF242" s="2445"/>
      <c r="AG242" s="2445"/>
      <c r="AH242" s="2378"/>
      <c r="AI242" s="2378"/>
      <c r="AJ242" s="2378"/>
      <c r="AK242" s="2378"/>
      <c r="AL242" s="2380">
        <f t="shared" si="192"/>
        <v>9.4741810000000004E-4</v>
      </c>
      <c r="AM242" s="145">
        <f t="shared" si="182"/>
        <v>0.38321167308800003</v>
      </c>
      <c r="AN242" s="2376">
        <f t="shared" si="193"/>
        <v>-3.2691199997048059E-7</v>
      </c>
      <c r="AO242" s="248">
        <f>AN242/N242</f>
        <v>-8.5308393257643449E-7</v>
      </c>
    </row>
    <row r="243" spans="1:41" x14ac:dyDescent="0.25">
      <c r="A243" s="2598" t="str">
        <f>'HVAC Deemed Table'!C1616</f>
        <v>354900_2019_12_</v>
      </c>
      <c r="B243" s="2425" t="str">
        <f>'HVAC Deemed Table'!G1616</f>
        <v>Cooling Res</v>
      </c>
      <c r="C243" s="2425" t="str">
        <f>'HVAC Deemed Table'!G1617</f>
        <v>Heating Res</v>
      </c>
      <c r="D243" s="2425" t="str">
        <f>'HVAC Deemed Table'!G1618</f>
        <v>Cooling Res ER2</v>
      </c>
      <c r="E243" s="2425" t="str">
        <f>'HVAC Deemed Table'!G1619</f>
        <v>Heating Res ER2</v>
      </c>
      <c r="F243" s="245" t="str">
        <f>'HVAC Deemed Table'!E1616</f>
        <v>ASHP SEER 21 replace ASHP - early replacement MF ER1</v>
      </c>
      <c r="G243" s="745" t="str">
        <f>'HVAC Deemed Table'!D1616</f>
        <v>MF</v>
      </c>
      <c r="H243" s="2420">
        <f t="shared" ref="H243:H244" si="205">J243+K243</f>
        <v>3418.8599999999997</v>
      </c>
      <c r="I243" s="2420">
        <f t="shared" ref="I243:I244" si="206">L243+M243</f>
        <v>1175.18</v>
      </c>
      <c r="J243" s="2452">
        <f>'HVAC Deemed Table'!F1616</f>
        <v>1620.1</v>
      </c>
      <c r="K243" s="2452">
        <f>'HVAC Deemed Table'!F1617</f>
        <v>1798.76</v>
      </c>
      <c r="L243" s="2452">
        <f>'HVAC Deemed Table'!F1618</f>
        <v>532.57000000000005</v>
      </c>
      <c r="M243" s="2452">
        <f>'HVAC Deemed Table'!F1619</f>
        <v>642.61</v>
      </c>
      <c r="N243" s="2421">
        <f t="shared" ref="N243:N244" si="207">P243+Q243</f>
        <v>1.5349120000000001</v>
      </c>
      <c r="O243" s="2421">
        <f t="shared" ref="O243:O244" si="208">R243+S243</f>
        <v>0.50456599999999996</v>
      </c>
      <c r="P243" s="2412">
        <f>'HVAC Deemed Table'!I1616</f>
        <v>1.5349120000000001</v>
      </c>
      <c r="Q243" s="2412">
        <f>'HVAC Deemed Table'!I1617</f>
        <v>0</v>
      </c>
      <c r="R243" s="2412">
        <f>'HVAC Deemed Table'!I1618</f>
        <v>0.50456599999999996</v>
      </c>
      <c r="S243" s="2412">
        <f>'HVAC Deemed Table'!I1619</f>
        <v>0</v>
      </c>
      <c r="T243" s="2413"/>
      <c r="U243" s="2413"/>
      <c r="V243" s="2424">
        <f t="shared" ref="V243:V244" si="209">O243</f>
        <v>0.50456599999999996</v>
      </c>
      <c r="W243" s="2460">
        <f>'HVAC Deemed Table'!J1616</f>
        <v>6</v>
      </c>
      <c r="X243" s="2460">
        <f>'HVAC Deemed Table'!J1618</f>
        <v>12</v>
      </c>
      <c r="Y243" s="94">
        <f t="shared" si="201"/>
        <v>18</v>
      </c>
      <c r="Z243" s="767">
        <f>'HVAC Deemed Table'!BB1616</f>
        <v>0.99142521406446316</v>
      </c>
      <c r="AA243" s="2419">
        <f>'HVAC Deemed Table'!K1616</f>
        <v>2202.4463238752733</v>
      </c>
      <c r="AB243" s="2418">
        <f t="shared" si="202"/>
        <v>1241.256546419145</v>
      </c>
      <c r="AC243" s="2418">
        <f t="shared" si="203"/>
        <v>819.67862877059815</v>
      </c>
      <c r="AD243" s="2445">
        <f>'HVAC Deemed Table'!BD1616</f>
        <v>942.06249237100542</v>
      </c>
      <c r="AE243" s="2445">
        <f>'HVAC Deemed Table'!BD1617</f>
        <v>299.19405404813961</v>
      </c>
      <c r="AF243" s="2445">
        <f>'HVAC Deemed Table'!BD1618</f>
        <v>629.67003350287655</v>
      </c>
      <c r="AG243" s="2445">
        <f>'HVAC Deemed Table'!BD1619</f>
        <v>190.00859526772157</v>
      </c>
      <c r="AH243" s="2378"/>
      <c r="AI243" s="2378"/>
      <c r="AJ243" s="2378"/>
      <c r="AK243" s="2378"/>
      <c r="AL243" s="2380">
        <f t="shared" si="192"/>
        <v>9.4741810000000004E-4</v>
      </c>
      <c r="AM243" s="145">
        <f t="shared" si="182"/>
        <v>1.53491206381</v>
      </c>
      <c r="AN243" s="2368">
        <f t="shared" si="193"/>
        <v>6.3809999950592555E-8</v>
      </c>
    </row>
    <row r="244" spans="1:41" x14ac:dyDescent="0.25">
      <c r="A244" s="2598" t="str">
        <f>'HVAC Deemed Table'!C1620</f>
        <v>354901_2019_12_</v>
      </c>
      <c r="B244" s="2425" t="str">
        <f>'HVAC Deemed Table'!G1620</f>
        <v>Cooling Res</v>
      </c>
      <c r="C244" s="2425" t="str">
        <f>'HVAC Deemed Table'!G1621</f>
        <v>Heating Res</v>
      </c>
      <c r="D244" s="2425" t="str">
        <f>'HVAC Deemed Table'!G1622</f>
        <v>Cooling Res ER2</v>
      </c>
      <c r="E244" s="2425" t="str">
        <f>'HVAC Deemed Table'!G1623</f>
        <v>Heating Res ER2</v>
      </c>
      <c r="F244" s="245" t="str">
        <f>'HVAC Deemed Table'!E1620</f>
        <v>ASHP SEER 21 replace ASHP - early replacement MF ER1_CompE</v>
      </c>
      <c r="G244" s="745" t="str">
        <f>'HVAC Deemed Table'!D1620</f>
        <v>MFc</v>
      </c>
      <c r="H244" s="2420">
        <f t="shared" si="205"/>
        <v>1791.46</v>
      </c>
      <c r="I244" s="2420">
        <f t="shared" si="206"/>
        <v>606.4</v>
      </c>
      <c r="J244" s="2452">
        <f>'HVAC Deemed Table'!F1620</f>
        <v>1178.25</v>
      </c>
      <c r="K244" s="2452">
        <f>'HVAC Deemed Table'!F1621</f>
        <v>613.21</v>
      </c>
      <c r="L244" s="2452">
        <f>'HVAC Deemed Table'!F1622</f>
        <v>387.33</v>
      </c>
      <c r="M244" s="2452">
        <f>'HVAC Deemed Table'!F1623</f>
        <v>219.07</v>
      </c>
      <c r="N244" s="2421">
        <f t="shared" si="207"/>
        <v>1.116295</v>
      </c>
      <c r="O244" s="2421">
        <f t="shared" si="208"/>
        <v>0.36696299999999998</v>
      </c>
      <c r="P244" s="2412">
        <f>'HVAC Deemed Table'!I1620</f>
        <v>1.116295</v>
      </c>
      <c r="Q244" s="2412">
        <f>'HVAC Deemed Table'!I1621</f>
        <v>0</v>
      </c>
      <c r="R244" s="2412">
        <f>'HVAC Deemed Table'!I1622</f>
        <v>0.36696299999999998</v>
      </c>
      <c r="S244" s="2412">
        <f>'HVAC Deemed Table'!I1623</f>
        <v>0</v>
      </c>
      <c r="T244" s="2413"/>
      <c r="U244" s="2413"/>
      <c r="V244" s="2424">
        <f t="shared" si="209"/>
        <v>0.36696299999999998</v>
      </c>
      <c r="W244" s="2460">
        <f>'HVAC Deemed Table'!J1620</f>
        <v>6</v>
      </c>
      <c r="X244" s="2460">
        <f>'HVAC Deemed Table'!J1622</f>
        <v>12</v>
      </c>
      <c r="Y244" s="94">
        <f t="shared" si="201"/>
        <v>18</v>
      </c>
      <c r="Z244" s="767">
        <f>'HVAC Deemed Table'!BB1620</f>
        <v>0.63011390195139227</v>
      </c>
      <c r="AA244" s="2419">
        <f>'HVAC Deemed Table'!K1620</f>
        <v>2202.4463238752733</v>
      </c>
      <c r="AB244" s="2418">
        <f t="shared" si="202"/>
        <v>787.13108310002281</v>
      </c>
      <c r="AC244" s="2418">
        <f t="shared" si="203"/>
        <v>522.72455349794632</v>
      </c>
      <c r="AD244" s="2445">
        <f>'HVAC Deemed Table'!BD1620</f>
        <v>685.13371497817241</v>
      </c>
      <c r="AE244" s="2445">
        <f>'HVAC Deemed Table'!BD1621</f>
        <v>101.99736812185043</v>
      </c>
      <c r="AF244" s="2445">
        <f>'HVAC Deemed Table'!BD1622</f>
        <v>457.94936642444958</v>
      </c>
      <c r="AG244" s="2445">
        <f>'HVAC Deemed Table'!BD1623</f>
        <v>64.775187073496781</v>
      </c>
      <c r="AH244" s="2378"/>
      <c r="AI244" s="2378"/>
      <c r="AJ244" s="2378"/>
      <c r="AK244" s="2378"/>
      <c r="AL244" s="2380">
        <f t="shared" si="192"/>
        <v>9.4741810000000004E-4</v>
      </c>
      <c r="AM244" s="145">
        <f t="shared" si="182"/>
        <v>1.1162953763250001</v>
      </c>
      <c r="AN244" s="2376">
        <f t="shared" si="193"/>
        <v>3.7632500005102543E-7</v>
      </c>
      <c r="AO244" s="248">
        <f>AN244/N244</f>
        <v>3.3711966823377819E-7</v>
      </c>
    </row>
    <row r="245" spans="1:41" x14ac:dyDescent="0.25">
      <c r="A245" s="2598" t="str">
        <f>'HVAC Deemed Table'!C1624</f>
        <v>354950_2019_12_</v>
      </c>
      <c r="B245" s="2425" t="str">
        <f>'HVAC Deemed Table'!G1624</f>
        <v>Cooling Res</v>
      </c>
      <c r="C245" s="2425" t="str">
        <f>'HVAC Deemed Table'!G1625</f>
        <v>Heating Res</v>
      </c>
      <c r="D245" s="245"/>
      <c r="E245" s="245"/>
      <c r="F245" s="245" t="str">
        <f>'HVAC Deemed Table'!E1624</f>
        <v>ASHP - SEER 17 - replace on fail MF</v>
      </c>
      <c r="G245" s="745" t="str">
        <f>'HVAC Deemed Table'!D1624</f>
        <v>MF</v>
      </c>
      <c r="H245" s="2420">
        <f t="shared" ref="H245:H254" si="210">J245+K245</f>
        <v>1048.6400000000001</v>
      </c>
      <c r="I245" s="2420">
        <f t="shared" ref="I245:I254" si="211">L245+M245</f>
        <v>0</v>
      </c>
      <c r="J245" s="2452">
        <f>'HVAC Deemed Table'!F1624</f>
        <v>281.95</v>
      </c>
      <c r="K245" s="2452">
        <f>'HVAC Deemed Table'!F1625</f>
        <v>766.69</v>
      </c>
      <c r="L245" s="2452"/>
      <c r="M245" s="2452"/>
      <c r="N245" s="2421">
        <f t="shared" ref="N245:N254" si="212">P245+Q245</f>
        <v>0.267125</v>
      </c>
      <c r="O245" s="2421">
        <f t="shared" ref="O245:O254" si="213">R245+S245</f>
        <v>0</v>
      </c>
      <c r="P245" s="2412">
        <f>'HVAC Deemed Table'!I1624</f>
        <v>0.267125</v>
      </c>
      <c r="Q245" s="2412">
        <f>'HVAC Deemed Table'!I1625</f>
        <v>0</v>
      </c>
      <c r="R245" s="2412"/>
      <c r="S245" s="2412"/>
      <c r="T245" s="2413"/>
      <c r="U245" s="2413"/>
      <c r="V245" s="2413">
        <f t="shared" ref="V245:V254" si="214">N245</f>
        <v>0.267125</v>
      </c>
      <c r="W245" s="2460">
        <f>'HVAC Deemed Table'!J1624</f>
        <v>18</v>
      </c>
      <c r="X245" s="2460"/>
      <c r="Y245" s="94">
        <f t="shared" si="201"/>
        <v>18</v>
      </c>
      <c r="Z245" s="767">
        <f>'HVAC Deemed Table'!BB1624</f>
        <v>1.2461252190526704</v>
      </c>
      <c r="AA245" s="2419">
        <f>'HVAC Deemed Table'!K1624</f>
        <v>724</v>
      </c>
      <c r="AB245" s="2418">
        <f t="shared" si="202"/>
        <v>851.52870089111218</v>
      </c>
      <c r="AC245" s="2418">
        <f t="shared" si="203"/>
        <v>0</v>
      </c>
      <c r="AD245" s="2445">
        <f>'HVAC Deemed Table'!BD1624</f>
        <v>497.30557432753437</v>
      </c>
      <c r="AE245" s="2445">
        <f>'HVAC Deemed Table'!BD1625</f>
        <v>354.22312656357781</v>
      </c>
      <c r="AF245" s="2445"/>
      <c r="AG245" s="2445"/>
      <c r="AH245" s="2378"/>
      <c r="AI245" s="2378"/>
      <c r="AJ245" s="2378"/>
      <c r="AK245" s="2378"/>
      <c r="AL245" s="2380">
        <f t="shared" si="192"/>
        <v>9.4741810000000004E-4</v>
      </c>
      <c r="AM245" s="145">
        <f t="shared" ref="AM245:AM254" si="215">AL245*J245</f>
        <v>0.26712453329500002</v>
      </c>
      <c r="AN245" s="2368">
        <f t="shared" si="193"/>
        <v>-4.6670499997958359E-7</v>
      </c>
    </row>
    <row r="246" spans="1:41" x14ac:dyDescent="0.25">
      <c r="A246" s="2598" t="str">
        <f>'HVAC Deemed Table'!C1626</f>
        <v>354951_2019_12_</v>
      </c>
      <c r="B246" s="2425" t="str">
        <f>'HVAC Deemed Table'!G1626</f>
        <v>Cooling Res</v>
      </c>
      <c r="C246" s="2425" t="str">
        <f>'HVAC Deemed Table'!G1627</f>
        <v>Heating Res</v>
      </c>
      <c r="D246" s="245"/>
      <c r="E246" s="245"/>
      <c r="F246" s="245" t="str">
        <f>'HVAC Deemed Table'!E1626</f>
        <v>ASHP - SEER 17 - replace on fail MF_CompE</v>
      </c>
      <c r="G246" s="745" t="str">
        <f>'HVAC Deemed Table'!D1626</f>
        <v>MFc</v>
      </c>
      <c r="H246" s="2420">
        <f t="shared" si="210"/>
        <v>466.42</v>
      </c>
      <c r="I246" s="2420">
        <f t="shared" si="211"/>
        <v>0</v>
      </c>
      <c r="J246" s="2452">
        <f>'HVAC Deemed Table'!F1626</f>
        <v>205.05</v>
      </c>
      <c r="K246" s="2452">
        <f>'HVAC Deemed Table'!F1627</f>
        <v>261.37</v>
      </c>
      <c r="L246" s="2452"/>
      <c r="M246" s="2452"/>
      <c r="N246" s="2421">
        <f t="shared" si="212"/>
        <v>0.194268</v>
      </c>
      <c r="O246" s="2421">
        <f t="shared" si="213"/>
        <v>0</v>
      </c>
      <c r="P246" s="2412">
        <f>'HVAC Deemed Table'!I1626</f>
        <v>0.194268</v>
      </c>
      <c r="Q246" s="2412">
        <f>'HVAC Deemed Table'!I1627</f>
        <v>0</v>
      </c>
      <c r="R246" s="2412"/>
      <c r="S246" s="2412"/>
      <c r="T246" s="2413"/>
      <c r="U246" s="2413"/>
      <c r="V246" s="2413">
        <f t="shared" si="214"/>
        <v>0.194268</v>
      </c>
      <c r="W246" s="2460">
        <f>'HVAC Deemed Table'!J1626</f>
        <v>18</v>
      </c>
      <c r="X246" s="2460"/>
      <c r="Y246" s="94">
        <f t="shared" si="201"/>
        <v>18</v>
      </c>
      <c r="Z246" s="767">
        <f>'HVAC Deemed Table'!BB1626</f>
        <v>0.70598101502515853</v>
      </c>
      <c r="AA246" s="2419">
        <f>'HVAC Deemed Table'!K1626</f>
        <v>724</v>
      </c>
      <c r="AB246" s="2418">
        <f t="shared" si="202"/>
        <v>482.42591305164206</v>
      </c>
      <c r="AC246" s="2418">
        <f t="shared" si="203"/>
        <v>0</v>
      </c>
      <c r="AD246" s="2445">
        <f>'HVAC Deemed Table'!BD1626</f>
        <v>361.66876402149649</v>
      </c>
      <c r="AE246" s="2445">
        <f>'HVAC Deemed Table'!BD1627</f>
        <v>120.7571490301456</v>
      </c>
      <c r="AF246" s="2445"/>
      <c r="AG246" s="2445"/>
      <c r="AH246" s="2378"/>
      <c r="AI246" s="2378"/>
      <c r="AJ246" s="2378"/>
      <c r="AK246" s="2378"/>
      <c r="AL246" s="2380">
        <f t="shared" si="192"/>
        <v>9.4741810000000004E-4</v>
      </c>
      <c r="AM246" s="145">
        <f t="shared" si="215"/>
        <v>0.19426808140500001</v>
      </c>
      <c r="AN246" s="2376">
        <f t="shared" si="193"/>
        <v>8.1405000018630602E-8</v>
      </c>
      <c r="AO246" s="248">
        <f>AN246/N246</f>
        <v>4.1903452971477858E-7</v>
      </c>
    </row>
    <row r="247" spans="1:41" x14ac:dyDescent="0.25">
      <c r="A247" s="2598" t="str">
        <f>'HVAC Deemed Table'!C1628</f>
        <v>355000_2019_12_</v>
      </c>
      <c r="B247" s="2425" t="str">
        <f>'HVAC Deemed Table'!G1628</f>
        <v>Cooling Res</v>
      </c>
      <c r="C247" s="2425" t="str">
        <f>'HVAC Deemed Table'!G1629</f>
        <v>Heating Res</v>
      </c>
      <c r="D247" s="245"/>
      <c r="E247" s="245"/>
      <c r="F247" s="245" t="str">
        <f>'HVAC Deemed Table'!E1628</f>
        <v>ASHP - SEER 18 - replace on fail MF</v>
      </c>
      <c r="G247" s="745" t="str">
        <f>'HVAC Deemed Table'!D1628</f>
        <v>MF</v>
      </c>
      <c r="H247" s="2420">
        <f t="shared" si="210"/>
        <v>1121.74</v>
      </c>
      <c r="I247" s="2420">
        <f t="shared" si="211"/>
        <v>0</v>
      </c>
      <c r="J247" s="2452">
        <f>'HVAC Deemed Table'!F1628</f>
        <v>355.05</v>
      </c>
      <c r="K247" s="2452">
        <f>'HVAC Deemed Table'!F1629</f>
        <v>766.69</v>
      </c>
      <c r="L247" s="2452"/>
      <c r="M247" s="2452"/>
      <c r="N247" s="2421">
        <f t="shared" si="212"/>
        <v>0.33638099999999999</v>
      </c>
      <c r="O247" s="2421">
        <f t="shared" si="213"/>
        <v>0</v>
      </c>
      <c r="P247" s="2412">
        <f>'HVAC Deemed Table'!I1628</f>
        <v>0.33638099999999999</v>
      </c>
      <c r="Q247" s="2412">
        <f>'HVAC Deemed Table'!I1629</f>
        <v>0</v>
      </c>
      <c r="R247" s="2412"/>
      <c r="S247" s="2412"/>
      <c r="T247" s="2413"/>
      <c r="U247" s="2413"/>
      <c r="V247" s="2413">
        <f t="shared" si="214"/>
        <v>0.33638099999999999</v>
      </c>
      <c r="W247" s="2460">
        <f>'HVAC Deemed Table'!J1628</f>
        <v>18</v>
      </c>
      <c r="X247" s="2460"/>
      <c r="Y247" s="94">
        <f t="shared" si="201"/>
        <v>18</v>
      </c>
      <c r="Z247" s="767">
        <f>'HVAC Deemed Table'!BB1628</f>
        <v>1.0788025931831349</v>
      </c>
      <c r="AA247" s="2419">
        <f>'HVAC Deemed Table'!K1628</f>
        <v>962.92000000000007</v>
      </c>
      <c r="AB247" s="2418">
        <f t="shared" si="202"/>
        <v>980.46304202728095</v>
      </c>
      <c r="AC247" s="2418">
        <f t="shared" si="203"/>
        <v>0</v>
      </c>
      <c r="AD247" s="2445">
        <f>'HVAC Deemed Table'!BD1628</f>
        <v>626.23991546370314</v>
      </c>
      <c r="AE247" s="2445">
        <f>'HVAC Deemed Table'!BD1629</f>
        <v>354.22312656357781</v>
      </c>
      <c r="AF247" s="2445"/>
      <c r="AG247" s="2445"/>
      <c r="AH247" s="2378"/>
      <c r="AI247" s="2378"/>
      <c r="AJ247" s="2378"/>
      <c r="AK247" s="2378"/>
      <c r="AL247" s="2380">
        <f t="shared" si="192"/>
        <v>9.4741810000000004E-4</v>
      </c>
      <c r="AM247" s="145">
        <f t="shared" si="215"/>
        <v>0.33638079640500002</v>
      </c>
      <c r="AN247" s="2368">
        <f t="shared" si="193"/>
        <v>-2.0359499997013586E-7</v>
      </c>
    </row>
    <row r="248" spans="1:41" x14ac:dyDescent="0.25">
      <c r="A248" s="2598" t="str">
        <f>'HVAC Deemed Table'!C1630</f>
        <v>355001_2019_12_</v>
      </c>
      <c r="B248" s="2425" t="str">
        <f>'HVAC Deemed Table'!G1630</f>
        <v>Cooling Res</v>
      </c>
      <c r="C248" s="2425" t="str">
        <f>'HVAC Deemed Table'!G1631</f>
        <v>Heating Res</v>
      </c>
      <c r="D248" s="245"/>
      <c r="E248" s="245"/>
      <c r="F248" s="245" t="str">
        <f>'HVAC Deemed Table'!E1630</f>
        <v>ASHP - SEER 18 - replace on fail MF_CompE</v>
      </c>
      <c r="G248" s="745" t="str">
        <f>'HVAC Deemed Table'!D1630</f>
        <v>MFc</v>
      </c>
      <c r="H248" s="2420">
        <f t="shared" si="210"/>
        <v>799.37</v>
      </c>
      <c r="I248" s="2420">
        <f t="shared" si="211"/>
        <v>0</v>
      </c>
      <c r="J248" s="2452">
        <f>'HVAC Deemed Table'!F1630</f>
        <v>397.26</v>
      </c>
      <c r="K248" s="2452">
        <f>'HVAC Deemed Table'!F1631</f>
        <v>402.11</v>
      </c>
      <c r="L248" s="2452"/>
      <c r="M248" s="2452"/>
      <c r="N248" s="2421">
        <f t="shared" si="212"/>
        <v>0.37637100000000001</v>
      </c>
      <c r="O248" s="2421">
        <f t="shared" si="213"/>
        <v>0</v>
      </c>
      <c r="P248" s="2412">
        <f>'HVAC Deemed Table'!I1630</f>
        <v>0.37637100000000001</v>
      </c>
      <c r="Q248" s="2412">
        <f>'HVAC Deemed Table'!I1631</f>
        <v>0</v>
      </c>
      <c r="R248" s="2412"/>
      <c r="S248" s="2412"/>
      <c r="T248" s="2413"/>
      <c r="U248" s="2413"/>
      <c r="V248" s="2413">
        <f t="shared" si="214"/>
        <v>0.37637100000000001</v>
      </c>
      <c r="W248" s="2460">
        <f>'HVAC Deemed Table'!J1630</f>
        <v>18</v>
      </c>
      <c r="X248" s="2460"/>
      <c r="Y248" s="94">
        <f t="shared" si="201"/>
        <v>18</v>
      </c>
      <c r="Z248" s="767">
        <f>'HVAC Deemed Table'!BB1630</f>
        <v>0.97538382125003487</v>
      </c>
      <c r="AA248" s="2419">
        <f>'HVAC Deemed Table'!K1630</f>
        <v>962.92000000000007</v>
      </c>
      <c r="AB248" s="2418">
        <f t="shared" si="202"/>
        <v>886.47153294769566</v>
      </c>
      <c r="AC248" s="2418">
        <f t="shared" si="203"/>
        <v>0</v>
      </c>
      <c r="AD248" s="2445">
        <f>'HVAC Deemed Table'!BD1630</f>
        <v>700.69023747953997</v>
      </c>
      <c r="AE248" s="2445">
        <f>'HVAC Deemed Table'!BD1631</f>
        <v>185.78129546815566</v>
      </c>
      <c r="AF248" s="2445"/>
      <c r="AG248" s="2445"/>
      <c r="AH248" s="2378"/>
      <c r="AI248" s="2378"/>
      <c r="AJ248" s="2378"/>
      <c r="AK248" s="2378"/>
      <c r="AL248" s="2380">
        <f t="shared" si="192"/>
        <v>9.4741810000000004E-4</v>
      </c>
      <c r="AM248" s="145">
        <f t="shared" si="215"/>
        <v>0.37637131440600002</v>
      </c>
      <c r="AN248" s="2376">
        <f t="shared" si="193"/>
        <v>3.1440600001264585E-7</v>
      </c>
      <c r="AO248" s="248">
        <f>AN248/N248</f>
        <v>8.3536191686566142E-7</v>
      </c>
    </row>
    <row r="249" spans="1:41" x14ac:dyDescent="0.25">
      <c r="A249" s="2598" t="str">
        <f>'HVAC Deemed Table'!C1632</f>
        <v>355050_2019_12_</v>
      </c>
      <c r="B249" s="2425" t="str">
        <f>'HVAC Deemed Table'!G1632</f>
        <v>Cooling Res</v>
      </c>
      <c r="C249" s="2425" t="str">
        <f>'HVAC Deemed Table'!G1633</f>
        <v>Heating Res</v>
      </c>
      <c r="D249" s="245"/>
      <c r="E249" s="245"/>
      <c r="F249" s="245" t="str">
        <f>'HVAC Deemed Table'!E1632</f>
        <v>ASHP - SEER 19 - replace on fail MF</v>
      </c>
      <c r="G249" s="745" t="str">
        <f>'HVAC Deemed Table'!D1632</f>
        <v>MF</v>
      </c>
      <c r="H249" s="2420">
        <f t="shared" si="210"/>
        <v>1187.1400000000001</v>
      </c>
      <c r="I249" s="2420">
        <f t="shared" si="211"/>
        <v>0</v>
      </c>
      <c r="J249" s="2452">
        <f>'HVAC Deemed Table'!F1632</f>
        <v>420.45</v>
      </c>
      <c r="K249" s="2452">
        <f>'HVAC Deemed Table'!F1633</f>
        <v>766.69</v>
      </c>
      <c r="L249" s="2452"/>
      <c r="M249" s="2452"/>
      <c r="N249" s="2421">
        <f t="shared" si="212"/>
        <v>0.39834199999999997</v>
      </c>
      <c r="O249" s="2421">
        <f t="shared" si="213"/>
        <v>0</v>
      </c>
      <c r="P249" s="2412">
        <f>'HVAC Deemed Table'!I1632</f>
        <v>0.39834199999999997</v>
      </c>
      <c r="Q249" s="2412">
        <f>'HVAC Deemed Table'!I1633</f>
        <v>0</v>
      </c>
      <c r="R249" s="2412"/>
      <c r="S249" s="2412"/>
      <c r="T249" s="2413"/>
      <c r="U249" s="2413"/>
      <c r="V249" s="2413">
        <f t="shared" si="214"/>
        <v>0.39834199999999997</v>
      </c>
      <c r="W249" s="2460">
        <f>'HVAC Deemed Table'!J1632</f>
        <v>18</v>
      </c>
      <c r="X249" s="2460"/>
      <c r="Y249" s="94">
        <f t="shared" si="201"/>
        <v>18</v>
      </c>
      <c r="Z249" s="767">
        <f>'HVAC Deemed Table'!BB1632</f>
        <v>0.96458033470478943</v>
      </c>
      <c r="AA249" s="2419">
        <f>'HVAC Deemed Table'!K1632</f>
        <v>1203.6500000000003</v>
      </c>
      <c r="AB249" s="2418">
        <f t="shared" si="202"/>
        <v>1095.816064056083</v>
      </c>
      <c r="AC249" s="2418">
        <f t="shared" si="203"/>
        <v>0</v>
      </c>
      <c r="AD249" s="2445">
        <f>'HVAC Deemed Table'!BD1632</f>
        <v>741.59293749250514</v>
      </c>
      <c r="AE249" s="2445">
        <f>'HVAC Deemed Table'!BD1633</f>
        <v>354.22312656357781</v>
      </c>
      <c r="AF249" s="2445"/>
      <c r="AG249" s="2445"/>
      <c r="AH249" s="2378"/>
      <c r="AI249" s="2378"/>
      <c r="AJ249" s="2378"/>
      <c r="AK249" s="2378"/>
      <c r="AL249" s="2380">
        <f t="shared" si="192"/>
        <v>9.4741810000000004E-4</v>
      </c>
      <c r="AM249" s="145">
        <f t="shared" si="215"/>
        <v>0.39834194014500002</v>
      </c>
      <c r="AN249" s="2368">
        <f t="shared" si="193"/>
        <v>-5.9854999956421295E-8</v>
      </c>
    </row>
    <row r="250" spans="1:41" x14ac:dyDescent="0.25">
      <c r="A250" s="2598" t="str">
        <f>'HVAC Deemed Table'!C1634</f>
        <v>355051_2019_12_</v>
      </c>
      <c r="B250" s="2425" t="str">
        <f>'HVAC Deemed Table'!G1634</f>
        <v>Cooling Res</v>
      </c>
      <c r="C250" s="2425" t="str">
        <f>'HVAC Deemed Table'!G1635</f>
        <v>Heating Res</v>
      </c>
      <c r="D250" s="245"/>
      <c r="E250" s="245"/>
      <c r="F250" s="245" t="str">
        <f>'HVAC Deemed Table'!E1634</f>
        <v>ASHP - SEER 19 - replace on fail MF_CompE</v>
      </c>
      <c r="G250" s="745" t="str">
        <f>'HVAC Deemed Table'!D1634</f>
        <v>MFc</v>
      </c>
      <c r="H250" s="2420">
        <f t="shared" si="210"/>
        <v>567.15</v>
      </c>
      <c r="I250" s="2420">
        <f t="shared" si="211"/>
        <v>0</v>
      </c>
      <c r="J250" s="2452">
        <f>'HVAC Deemed Table'!F1634</f>
        <v>305.77999999999997</v>
      </c>
      <c r="K250" s="2452">
        <f>'HVAC Deemed Table'!F1635</f>
        <v>261.37</v>
      </c>
      <c r="L250" s="2452"/>
      <c r="M250" s="2452"/>
      <c r="N250" s="2421">
        <f t="shared" si="212"/>
        <v>0.28970200000000002</v>
      </c>
      <c r="O250" s="2421">
        <f t="shared" si="213"/>
        <v>0</v>
      </c>
      <c r="P250" s="2412">
        <f>'HVAC Deemed Table'!I1634</f>
        <v>0.28970200000000002</v>
      </c>
      <c r="Q250" s="2412">
        <f>'HVAC Deemed Table'!I1635</f>
        <v>0</v>
      </c>
      <c r="R250" s="2412"/>
      <c r="S250" s="2412"/>
      <c r="T250" s="2413"/>
      <c r="U250" s="2413"/>
      <c r="V250" s="2413">
        <f t="shared" si="214"/>
        <v>0.28970200000000002</v>
      </c>
      <c r="W250" s="2460">
        <f>'HVAC Deemed Table'!J1634</f>
        <v>18</v>
      </c>
      <c r="X250" s="2460"/>
      <c r="Y250" s="94">
        <f t="shared" si="201"/>
        <v>18</v>
      </c>
      <c r="Z250" s="767">
        <f>'HVAC Deemed Table'!BB1634</f>
        <v>0.58104089126434699</v>
      </c>
      <c r="AA250" s="2419">
        <f>'HVAC Deemed Table'!K1634</f>
        <v>1203.6500000000003</v>
      </c>
      <c r="AB250" s="2418">
        <f t="shared" si="202"/>
        <v>660.09426028346513</v>
      </c>
      <c r="AC250" s="2418">
        <f t="shared" si="203"/>
        <v>0</v>
      </c>
      <c r="AD250" s="2445">
        <f>'HVAC Deemed Table'!BD1634</f>
        <v>539.33711125331956</v>
      </c>
      <c r="AE250" s="2445">
        <f>'HVAC Deemed Table'!BD1635</f>
        <v>120.7571490301456</v>
      </c>
      <c r="AF250" s="2445"/>
      <c r="AG250" s="2445"/>
      <c r="AH250" s="2378"/>
      <c r="AI250" s="2378"/>
      <c r="AJ250" s="2378"/>
      <c r="AK250" s="2378"/>
      <c r="AL250" s="2380">
        <f t="shared" si="192"/>
        <v>9.4741810000000004E-4</v>
      </c>
      <c r="AM250" s="145">
        <f t="shared" si="215"/>
        <v>0.28970150661799998</v>
      </c>
      <c r="AN250" s="2376">
        <f t="shared" si="193"/>
        <v>-4.933820000330158E-7</v>
      </c>
      <c r="AO250" s="248">
        <f>AN250/N250</f>
        <v>-1.7030672899497269E-6</v>
      </c>
    </row>
    <row r="251" spans="1:41" x14ac:dyDescent="0.25">
      <c r="A251" s="2598" t="str">
        <f>'HVAC Deemed Table'!C1636</f>
        <v>355100_2019_12_</v>
      </c>
      <c r="B251" s="2425" t="str">
        <f>'HVAC Deemed Table'!G1636</f>
        <v>Cooling Res</v>
      </c>
      <c r="C251" s="2425" t="str">
        <f>'HVAC Deemed Table'!G1637</f>
        <v>Heating Res</v>
      </c>
      <c r="D251" s="245"/>
      <c r="E251" s="245"/>
      <c r="F251" s="245" t="str">
        <f>'HVAC Deemed Table'!E1636</f>
        <v>ASHP - SEER 20 - replace on fail MF</v>
      </c>
      <c r="G251" s="745" t="str">
        <f>'HVAC Deemed Table'!D1636</f>
        <v>MF</v>
      </c>
      <c r="H251" s="2420">
        <f t="shared" si="210"/>
        <v>1246.01</v>
      </c>
      <c r="I251" s="2420">
        <f t="shared" si="211"/>
        <v>0</v>
      </c>
      <c r="J251" s="2452">
        <f>'HVAC Deemed Table'!F1636</f>
        <v>479.32</v>
      </c>
      <c r="K251" s="2452">
        <f>'HVAC Deemed Table'!F1637</f>
        <v>766.69</v>
      </c>
      <c r="L251" s="2452"/>
      <c r="M251" s="2452"/>
      <c r="N251" s="2421">
        <f t="shared" si="212"/>
        <v>0.45411600000000002</v>
      </c>
      <c r="O251" s="2421">
        <f t="shared" si="213"/>
        <v>0</v>
      </c>
      <c r="P251" s="2412">
        <f>'HVAC Deemed Table'!I1636</f>
        <v>0.45411600000000002</v>
      </c>
      <c r="Q251" s="2412">
        <f>'HVAC Deemed Table'!I1637</f>
        <v>0</v>
      </c>
      <c r="R251" s="2412"/>
      <c r="S251" s="2412"/>
      <c r="T251" s="2413"/>
      <c r="U251" s="2413"/>
      <c r="V251" s="2413">
        <f t="shared" si="214"/>
        <v>0.45411600000000002</v>
      </c>
      <c r="W251" s="2460">
        <f>'HVAC Deemed Table'!J1636</f>
        <v>18</v>
      </c>
      <c r="X251" s="2460"/>
      <c r="Y251" s="94">
        <f t="shared" si="201"/>
        <v>18</v>
      </c>
      <c r="Z251" s="767">
        <f>'HVAC Deemed Table'!BB1636</f>
        <v>0.87998357881258038</v>
      </c>
      <c r="AA251" s="2419">
        <f>'HVAC Deemed Table'!K1636</f>
        <v>1444.3799999999994</v>
      </c>
      <c r="AB251" s="2418">
        <f t="shared" si="202"/>
        <v>1199.6514219587675</v>
      </c>
      <c r="AC251" s="2418">
        <f t="shared" si="203"/>
        <v>0</v>
      </c>
      <c r="AD251" s="2445">
        <f>'HVAC Deemed Table'!BD1636</f>
        <v>845.42829539518982</v>
      </c>
      <c r="AE251" s="2445">
        <f>'HVAC Deemed Table'!BD1637</f>
        <v>354.22312656357781</v>
      </c>
      <c r="AF251" s="2445"/>
      <c r="AG251" s="2445"/>
      <c r="AH251" s="2378"/>
      <c r="AI251" s="2378"/>
      <c r="AJ251" s="2378"/>
      <c r="AK251" s="2378"/>
      <c r="AL251" s="2380">
        <f t="shared" si="192"/>
        <v>9.4741810000000004E-4</v>
      </c>
      <c r="AM251" s="145">
        <f t="shared" si="215"/>
        <v>0.45411644369199999</v>
      </c>
      <c r="AN251" s="2368">
        <f t="shared" si="193"/>
        <v>4.436919999739608E-7</v>
      </c>
    </row>
    <row r="252" spans="1:41" x14ac:dyDescent="0.25">
      <c r="A252" s="2598" t="str">
        <f>'HVAC Deemed Table'!C1638</f>
        <v>355101_2019_12_</v>
      </c>
      <c r="B252" s="2425" t="str">
        <f>'HVAC Deemed Table'!G1638</f>
        <v>Cooling Res</v>
      </c>
      <c r="C252" s="2425" t="str">
        <f>'HVAC Deemed Table'!G1639</f>
        <v>Heating Res</v>
      </c>
      <c r="D252" s="245"/>
      <c r="E252" s="245"/>
      <c r="F252" s="245" t="str">
        <f>'HVAC Deemed Table'!E1638</f>
        <v>ASHP - SEER 20 - replace on fail MF_CompE</v>
      </c>
      <c r="G252" s="745" t="str">
        <f>'HVAC Deemed Table'!D1638</f>
        <v>MFc</v>
      </c>
      <c r="H252" s="2420">
        <f t="shared" si="210"/>
        <v>609.96</v>
      </c>
      <c r="I252" s="2420">
        <f t="shared" si="211"/>
        <v>0</v>
      </c>
      <c r="J252" s="2452">
        <f>'HVAC Deemed Table'!F1638</f>
        <v>348.59</v>
      </c>
      <c r="K252" s="2452">
        <f>'HVAC Deemed Table'!F1639</f>
        <v>261.37</v>
      </c>
      <c r="L252" s="2452"/>
      <c r="M252" s="2452"/>
      <c r="N252" s="2421">
        <f t="shared" si="212"/>
        <v>0.33026</v>
      </c>
      <c r="O252" s="2421">
        <f t="shared" si="213"/>
        <v>0</v>
      </c>
      <c r="P252" s="2412">
        <f>'HVAC Deemed Table'!I1638</f>
        <v>0.33026</v>
      </c>
      <c r="Q252" s="2412">
        <f>'HVAC Deemed Table'!I1639</f>
        <v>0</v>
      </c>
      <c r="R252" s="2412"/>
      <c r="S252" s="2412"/>
      <c r="T252" s="2413"/>
      <c r="U252" s="2413"/>
      <c r="V252" s="2413">
        <f t="shared" si="214"/>
        <v>0.33026</v>
      </c>
      <c r="W252" s="2460">
        <f>'HVAC Deemed Table'!J1638</f>
        <v>18</v>
      </c>
      <c r="X252" s="2460"/>
      <c r="Y252" s="94">
        <f t="shared" si="201"/>
        <v>18</v>
      </c>
      <c r="Z252" s="767">
        <f>'HVAC Deemed Table'!BB1638</f>
        <v>0.5395887768356824</v>
      </c>
      <c r="AA252" s="2419">
        <f>'HVAC Deemed Table'!K1638</f>
        <v>1444.3799999999994</v>
      </c>
      <c r="AB252" s="2418">
        <f t="shared" si="202"/>
        <v>735.60286690507087</v>
      </c>
      <c r="AC252" s="2418">
        <f t="shared" si="203"/>
        <v>0</v>
      </c>
      <c r="AD252" s="2445">
        <f>'HVAC Deemed Table'!BD1638</f>
        <v>614.8457178749253</v>
      </c>
      <c r="AE252" s="2445">
        <f>'HVAC Deemed Table'!BD1639</f>
        <v>120.7571490301456</v>
      </c>
      <c r="AF252" s="2445"/>
      <c r="AG252" s="2445"/>
      <c r="AH252" s="2378"/>
      <c r="AI252" s="2378"/>
      <c r="AJ252" s="2378"/>
      <c r="AK252" s="2378"/>
      <c r="AL252" s="2380">
        <f t="shared" si="192"/>
        <v>9.4741810000000004E-4</v>
      </c>
      <c r="AM252" s="145">
        <f t="shared" si="215"/>
        <v>0.330260475479</v>
      </c>
      <c r="AN252" s="2376">
        <f t="shared" si="193"/>
        <v>4.754790000061071E-7</v>
      </c>
      <c r="AO252" s="248">
        <f>AN252/N252</f>
        <v>1.4397111366986831E-6</v>
      </c>
    </row>
    <row r="253" spans="1:41" x14ac:dyDescent="0.25">
      <c r="A253" s="2598" t="str">
        <f>'HVAC Deemed Table'!C1640</f>
        <v>355150_2019_12_</v>
      </c>
      <c r="B253" s="2425" t="str">
        <f>'HVAC Deemed Table'!G1640</f>
        <v>Cooling Res</v>
      </c>
      <c r="C253" s="2425" t="str">
        <f>'HVAC Deemed Table'!G1641</f>
        <v>Heating Res</v>
      </c>
      <c r="D253" s="245"/>
      <c r="E253" s="245"/>
      <c r="F253" s="245" t="str">
        <f>'HVAC Deemed Table'!E1640</f>
        <v>ASHP - SEER 21 - replace on fail MF</v>
      </c>
      <c r="G253" s="745" t="str">
        <f>'HVAC Deemed Table'!D1640</f>
        <v>MF</v>
      </c>
      <c r="H253" s="2420">
        <f t="shared" si="210"/>
        <v>1299.2600000000002</v>
      </c>
      <c r="I253" s="2420">
        <f t="shared" si="211"/>
        <v>0</v>
      </c>
      <c r="J253" s="2452">
        <f>'HVAC Deemed Table'!F1640</f>
        <v>532.57000000000005</v>
      </c>
      <c r="K253" s="2452">
        <f>'HVAC Deemed Table'!F1641</f>
        <v>766.69</v>
      </c>
      <c r="L253" s="2452"/>
      <c r="M253" s="2452"/>
      <c r="N253" s="2421">
        <f t="shared" si="212"/>
        <v>0.50456599999999996</v>
      </c>
      <c r="O253" s="2421">
        <f t="shared" si="213"/>
        <v>0</v>
      </c>
      <c r="P253" s="2412">
        <f>'HVAC Deemed Table'!I1640</f>
        <v>0.50456599999999996</v>
      </c>
      <c r="Q253" s="2412">
        <f>'HVAC Deemed Table'!I1641</f>
        <v>0</v>
      </c>
      <c r="R253" s="2412"/>
      <c r="S253" s="2412"/>
      <c r="T253" s="2413"/>
      <c r="U253" s="2413"/>
      <c r="V253" s="2413">
        <f t="shared" si="214"/>
        <v>0.50456599999999996</v>
      </c>
      <c r="W253" s="2460">
        <f>'HVAC Deemed Table'!J1640</f>
        <v>18</v>
      </c>
      <c r="X253" s="2460"/>
      <c r="Y253" s="94">
        <f t="shared" si="201"/>
        <v>18</v>
      </c>
      <c r="Z253" s="767">
        <f>'HVAC Deemed Table'!BB1640</f>
        <v>0.81100768902567399</v>
      </c>
      <c r="AA253" s="2419">
        <f>'HVAC Deemed Table'!K1640</f>
        <v>1689.9245999999991</v>
      </c>
      <c r="AB253" s="2418">
        <f t="shared" si="202"/>
        <v>1293.574180720751</v>
      </c>
      <c r="AC253" s="2418">
        <f t="shared" si="203"/>
        <v>0</v>
      </c>
      <c r="AD253" s="2445">
        <f>'HVAC Deemed Table'!BD1640</f>
        <v>939.35105415717328</v>
      </c>
      <c r="AE253" s="2445">
        <f>'HVAC Deemed Table'!BD1641</f>
        <v>354.22312656357781</v>
      </c>
      <c r="AF253" s="2445"/>
      <c r="AG253" s="2445"/>
      <c r="AH253" s="2378"/>
      <c r="AI253" s="2378"/>
      <c r="AJ253" s="2378"/>
      <c r="AK253" s="2378"/>
      <c r="AL253" s="2380">
        <f t="shared" si="192"/>
        <v>9.4741810000000004E-4</v>
      </c>
      <c r="AM253" s="145">
        <f t="shared" si="215"/>
        <v>0.50456645751700002</v>
      </c>
      <c r="AN253" s="2368">
        <f t="shared" si="193"/>
        <v>4.5751700006313456E-7</v>
      </c>
    </row>
    <row r="254" spans="1:41" x14ac:dyDescent="0.25">
      <c r="A254" s="2598" t="str">
        <f>'HVAC Deemed Table'!C1642</f>
        <v>355151_2019_12_</v>
      </c>
      <c r="B254" s="2425" t="str">
        <f>'HVAC Deemed Table'!G1642</f>
        <v>Cooling Res</v>
      </c>
      <c r="C254" s="2425" t="str">
        <f>'HVAC Deemed Table'!G1643</f>
        <v>Heating Res</v>
      </c>
      <c r="D254" s="245"/>
      <c r="E254" s="245"/>
      <c r="F254" s="245" t="str">
        <f>'HVAC Deemed Table'!E1642</f>
        <v>ASHP - SEER 21 - replace on fail MF_CompE</v>
      </c>
      <c r="G254" s="745" t="str">
        <f>'HVAC Deemed Table'!D1642</f>
        <v>MFc</v>
      </c>
      <c r="H254" s="2420">
        <f t="shared" si="210"/>
        <v>648.70000000000005</v>
      </c>
      <c r="I254" s="2420">
        <f t="shared" si="211"/>
        <v>0</v>
      </c>
      <c r="J254" s="2452">
        <f>'HVAC Deemed Table'!F1642</f>
        <v>387.33</v>
      </c>
      <c r="K254" s="2452">
        <f>'HVAC Deemed Table'!F1643</f>
        <v>261.37</v>
      </c>
      <c r="L254" s="2452"/>
      <c r="M254" s="2452"/>
      <c r="N254" s="2421">
        <f t="shared" si="212"/>
        <v>0.36696299999999998</v>
      </c>
      <c r="O254" s="2421">
        <f t="shared" si="213"/>
        <v>0</v>
      </c>
      <c r="P254" s="2412">
        <f>'HVAC Deemed Table'!I1642</f>
        <v>0.36696299999999998</v>
      </c>
      <c r="Q254" s="2412">
        <f>'HVAC Deemed Table'!I1643</f>
        <v>0</v>
      </c>
      <c r="R254" s="2412"/>
      <c r="S254" s="2412"/>
      <c r="T254" s="2413"/>
      <c r="U254" s="2413"/>
      <c r="V254" s="2413">
        <f t="shared" si="214"/>
        <v>0.36696299999999998</v>
      </c>
      <c r="W254" s="2460">
        <f>'HVAC Deemed Table'!J1642</f>
        <v>18</v>
      </c>
      <c r="X254" s="2460"/>
      <c r="Y254" s="94">
        <f t="shared" si="201"/>
        <v>18</v>
      </c>
      <c r="Z254" s="767">
        <f>'HVAC Deemed Table'!BB1642</f>
        <v>0.5040264970834335</v>
      </c>
      <c r="AA254" s="2419">
        <f>'HVAC Deemed Table'!K1642</f>
        <v>1689.9245999999991</v>
      </c>
      <c r="AB254" s="2418">
        <f t="shared" si="202"/>
        <v>803.93277628421151</v>
      </c>
      <c r="AC254" s="2418">
        <f t="shared" si="203"/>
        <v>0</v>
      </c>
      <c r="AD254" s="2445">
        <f>'HVAC Deemed Table'!BD1642</f>
        <v>683.17562725406594</v>
      </c>
      <c r="AE254" s="2445">
        <f>'HVAC Deemed Table'!BD1643</f>
        <v>120.7571490301456</v>
      </c>
      <c r="AF254" s="2445"/>
      <c r="AG254" s="2445"/>
      <c r="AH254" s="2378"/>
      <c r="AI254" s="2378"/>
      <c r="AJ254" s="2378"/>
      <c r="AK254" s="2378"/>
      <c r="AL254" s="2380">
        <f t="shared" si="192"/>
        <v>9.4741810000000004E-4</v>
      </c>
      <c r="AM254" s="145">
        <f t="shared" si="215"/>
        <v>0.36696345267300001</v>
      </c>
      <c r="AN254" s="2376">
        <f t="shared" si="193"/>
        <v>4.526730000287138E-7</v>
      </c>
      <c r="AO254" s="248">
        <f>AN254/N254</f>
        <v>1.2335657819145631E-6</v>
      </c>
    </row>
    <row r="255" spans="1:41" x14ac:dyDescent="0.25">
      <c r="A255" s="2598" t="str">
        <f>'Income Eligble Deemed Table'!C7</f>
        <v>400050_2019_12_</v>
      </c>
      <c r="B255" s="2425" t="str">
        <f>'Income Eligble Deemed Table'!G7</f>
        <v>Cooling RES</v>
      </c>
      <c r="C255" s="245"/>
      <c r="D255" s="245"/>
      <c r="E255" s="245"/>
      <c r="F255" s="245" t="str">
        <f>'Income Eligble Deemed Table'!E7</f>
        <v>AC General Tune-Up (no charge or coil clean) SF</v>
      </c>
      <c r="G255" s="745" t="str">
        <f>'Income Eligble Deemed Table'!D7</f>
        <v>SFLI</v>
      </c>
      <c r="H255" s="2420">
        <f t="shared" ref="H255:H266" si="216">J255+K255</f>
        <v>142.51</v>
      </c>
      <c r="I255" s="2420">
        <f t="shared" ref="I255:I319" si="217">L255+M255</f>
        <v>0</v>
      </c>
      <c r="J255" s="2452">
        <f>'Income Eligble Deemed Table'!F7</f>
        <v>142.51</v>
      </c>
      <c r="K255" s="2452"/>
      <c r="L255" s="2452"/>
      <c r="M255" s="2452"/>
      <c r="N255" s="2421">
        <f t="shared" ref="N255:N266" si="218">P255+Q255</f>
        <v>0.135017</v>
      </c>
      <c r="O255" s="2421">
        <f t="shared" ref="O255:O304" si="219">R255+S255</f>
        <v>0</v>
      </c>
      <c r="P255" s="2412">
        <f>'Income Eligble Deemed Table'!I7</f>
        <v>0.135017</v>
      </c>
      <c r="Q255" s="2412"/>
      <c r="R255" s="2412"/>
      <c r="S255" s="2412"/>
      <c r="T255" s="2413">
        <v>0</v>
      </c>
      <c r="U255" s="2413">
        <v>0</v>
      </c>
      <c r="V255" s="2413">
        <v>0</v>
      </c>
      <c r="W255" s="2460">
        <f>'Income Eligble Deemed Table'!J7</f>
        <v>2</v>
      </c>
      <c r="X255" s="2460"/>
      <c r="Y255" s="94">
        <f t="shared" si="201"/>
        <v>2</v>
      </c>
      <c r="Z255" s="767">
        <f>'Income Eligble Deemed Table'!BB7</f>
        <v>0.36910615743656439</v>
      </c>
      <c r="AA255" s="2419">
        <f>'Income Eligble Deemed Table'!K7</f>
        <v>70</v>
      </c>
      <c r="AB255" s="2416">
        <f t="shared" si="202"/>
        <v>24.386437961830584</v>
      </c>
      <c r="AC255" s="2416">
        <f t="shared" si="203"/>
        <v>0</v>
      </c>
      <c r="AD255" s="2446">
        <f>'Income Eligble Deemed Table'!BD7</f>
        <v>24.386437961830584</v>
      </c>
      <c r="AE255" s="2440"/>
      <c r="AF255" s="2440"/>
      <c r="AG255" s="2440"/>
      <c r="AL255" s="2380">
        <f t="shared" si="192"/>
        <v>9.4741810000000004E-4</v>
      </c>
      <c r="AM255">
        <f t="shared" ref="AM255:AM286" si="220">AL255*H255</f>
        <v>0.135016553431</v>
      </c>
      <c r="AN255" s="2368">
        <f t="shared" si="193"/>
        <v>-4.4656900000106248E-7</v>
      </c>
    </row>
    <row r="256" spans="1:41" x14ac:dyDescent="0.25">
      <c r="A256" s="2598" t="str">
        <f>'Income Eligble Deemed Table'!C8</f>
        <v>400100_2019_12_</v>
      </c>
      <c r="B256" s="2425" t="str">
        <f>'Income Eligble Deemed Table'!G8</f>
        <v>Cooling RES</v>
      </c>
      <c r="C256" s="245"/>
      <c r="D256" s="245"/>
      <c r="E256" s="245"/>
      <c r="F256" s="245" t="str">
        <f>'Income Eligble Deemed Table'!E8</f>
        <v>AC General Tune-Up (no charge or coil clean) MF</v>
      </c>
      <c r="G256" s="745" t="str">
        <f>'Income Eligble Deemed Table'!D8</f>
        <v>MFLI</v>
      </c>
      <c r="H256" s="2420">
        <f t="shared" si="216"/>
        <v>92.63</v>
      </c>
      <c r="I256" s="2420">
        <f t="shared" si="217"/>
        <v>0</v>
      </c>
      <c r="J256" s="2452">
        <f>'Income Eligble Deemed Table'!F8</f>
        <v>92.63</v>
      </c>
      <c r="K256" s="2452"/>
      <c r="L256" s="2452"/>
      <c r="M256" s="2452"/>
      <c r="N256" s="2421">
        <f t="shared" si="218"/>
        <v>8.7759000000000004E-2</v>
      </c>
      <c r="O256" s="2421">
        <f t="shared" si="219"/>
        <v>0</v>
      </c>
      <c r="P256" s="2412">
        <f>'Income Eligble Deemed Table'!I8</f>
        <v>8.7759000000000004E-2</v>
      </c>
      <c r="Q256" s="2412"/>
      <c r="R256" s="2412"/>
      <c r="S256" s="2412"/>
      <c r="T256" s="2413">
        <v>0</v>
      </c>
      <c r="U256" s="2413">
        <v>0</v>
      </c>
      <c r="V256" s="2413">
        <v>0</v>
      </c>
      <c r="W256" s="2460">
        <f>'Income Eligble Deemed Table'!J8</f>
        <v>2</v>
      </c>
      <c r="X256" s="2460"/>
      <c r="Y256" s="94">
        <f t="shared" si="201"/>
        <v>2</v>
      </c>
      <c r="Z256" s="767">
        <f>'Income Eligble Deemed Table'!BB8</f>
        <v>0.23991511727842932</v>
      </c>
      <c r="AA256" s="2419">
        <f>'Income Eligble Deemed Table'!K8</f>
        <v>70</v>
      </c>
      <c r="AB256" s="2416">
        <f t="shared" si="202"/>
        <v>15.85092799385564</v>
      </c>
      <c r="AC256" s="2416">
        <f t="shared" si="203"/>
        <v>0</v>
      </c>
      <c r="AD256" s="2446">
        <f>'Income Eligble Deemed Table'!BD8</f>
        <v>15.85092799385564</v>
      </c>
      <c r="AE256" s="2440"/>
      <c r="AF256" s="2440"/>
      <c r="AG256" s="2440"/>
      <c r="AL256" s="2380">
        <f t="shared" si="192"/>
        <v>9.4741810000000004E-4</v>
      </c>
      <c r="AM256">
        <f t="shared" si="220"/>
        <v>8.7759338603000003E-2</v>
      </c>
      <c r="AN256" s="2368">
        <f t="shared" si="193"/>
        <v>3.3860299999965981E-7</v>
      </c>
    </row>
    <row r="257" spans="1:40" x14ac:dyDescent="0.25">
      <c r="A257" s="2598" t="str">
        <f>'Income Eligble Deemed Table'!C9</f>
        <v>400101_2019_12_</v>
      </c>
      <c r="B257" s="2425" t="str">
        <f>'Income Eligble Deemed Table'!G9</f>
        <v>Cooling RES</v>
      </c>
      <c r="C257" s="245"/>
      <c r="D257" s="245"/>
      <c r="E257" s="245"/>
      <c r="F257" s="245" t="str">
        <f>'Income Eligble Deemed Table'!E9</f>
        <v>AC General Tune-Up (no charge or coil clean) MF_CompE</v>
      </c>
      <c r="G257" s="745" t="str">
        <f>'Income Eligble Deemed Table'!D9</f>
        <v>MFLIc</v>
      </c>
      <c r="H257" s="2420">
        <f t="shared" si="216"/>
        <v>67.37</v>
      </c>
      <c r="I257" s="2420">
        <f t="shared" si="217"/>
        <v>0</v>
      </c>
      <c r="J257" s="2452">
        <f>'Income Eligble Deemed Table'!F9</f>
        <v>67.37</v>
      </c>
      <c r="K257" s="2452"/>
      <c r="L257" s="2452"/>
      <c r="M257" s="2452"/>
      <c r="N257" s="2421">
        <f t="shared" si="218"/>
        <v>6.3827999999999996E-2</v>
      </c>
      <c r="O257" s="2421">
        <f t="shared" si="219"/>
        <v>0</v>
      </c>
      <c r="P257" s="2412">
        <f>'Income Eligble Deemed Table'!I9</f>
        <v>6.3827999999999996E-2</v>
      </c>
      <c r="Q257" s="2412"/>
      <c r="R257" s="2412"/>
      <c r="S257" s="2412"/>
      <c r="T257" s="2413">
        <v>0</v>
      </c>
      <c r="U257" s="2413">
        <v>0</v>
      </c>
      <c r="V257" s="2413">
        <v>0</v>
      </c>
      <c r="W257" s="2460">
        <f>'Income Eligble Deemed Table'!J9</f>
        <v>2</v>
      </c>
      <c r="X257" s="2460"/>
      <c r="Y257" s="94">
        <f t="shared" si="201"/>
        <v>2</v>
      </c>
      <c r="Z257" s="767">
        <f>'Income Eligble Deemed Table'!BB9</f>
        <v>0.17449078539401688</v>
      </c>
      <c r="AA257" s="2419">
        <f>'Income Eligble Deemed Table'!K9</f>
        <v>70</v>
      </c>
      <c r="AB257" s="2416">
        <f t="shared" si="202"/>
        <v>11.528414325229996</v>
      </c>
      <c r="AC257" s="2416">
        <f t="shared" si="203"/>
        <v>0</v>
      </c>
      <c r="AD257" s="2446">
        <f>'Income Eligble Deemed Table'!BD9</f>
        <v>11.528414325229996</v>
      </c>
      <c r="AE257" s="2440"/>
      <c r="AF257" s="2440"/>
      <c r="AG257" s="2440"/>
      <c r="AL257" s="2380">
        <f t="shared" si="192"/>
        <v>9.4741810000000004E-4</v>
      </c>
      <c r="AM257">
        <f t="shared" si="220"/>
        <v>6.3827557397000009E-2</v>
      </c>
      <c r="AN257" s="2368">
        <f t="shared" si="193"/>
        <v>-4.4260299998655217E-7</v>
      </c>
    </row>
    <row r="258" spans="1:40" x14ac:dyDescent="0.25">
      <c r="A258" s="2598" t="str">
        <f>'Income Eligble Deemed Table'!C10</f>
        <v>400150_2019_12_</v>
      </c>
      <c r="B258" s="2425" t="str">
        <f>'Income Eligble Deemed Table'!G10</f>
        <v>Cooling RES</v>
      </c>
      <c r="C258" s="245"/>
      <c r="D258" s="245"/>
      <c r="E258" s="245"/>
      <c r="F258" s="245" t="str">
        <f>'Income Eligble Deemed Table'!E10</f>
        <v>AC Tune-up / Refrigerant charge SF</v>
      </c>
      <c r="G258" s="745" t="str">
        <f>'Income Eligble Deemed Table'!D10</f>
        <v>SFLI</v>
      </c>
      <c r="H258" s="2420">
        <f t="shared" si="216"/>
        <v>594.39</v>
      </c>
      <c r="I258" s="2420">
        <f t="shared" si="217"/>
        <v>0</v>
      </c>
      <c r="J258" s="2452">
        <f>'Income Eligble Deemed Table'!F10</f>
        <v>594.39</v>
      </c>
      <c r="K258" s="2452"/>
      <c r="L258" s="2452"/>
      <c r="M258" s="2452"/>
      <c r="N258" s="2421">
        <f t="shared" si="218"/>
        <v>0.56313599999999997</v>
      </c>
      <c r="O258" s="2421">
        <f t="shared" si="219"/>
        <v>0</v>
      </c>
      <c r="P258" s="2412">
        <f>'Income Eligble Deemed Table'!I10</f>
        <v>0.56313599999999997</v>
      </c>
      <c r="Q258" s="2412"/>
      <c r="R258" s="2412"/>
      <c r="S258" s="2412"/>
      <c r="T258" s="2413">
        <v>0</v>
      </c>
      <c r="U258" s="2413">
        <v>0</v>
      </c>
      <c r="V258" s="2413">
        <v>0</v>
      </c>
      <c r="W258" s="2460">
        <f>'Income Eligble Deemed Table'!J10</f>
        <v>2</v>
      </c>
      <c r="X258" s="2460"/>
      <c r="Y258" s="94">
        <f t="shared" si="201"/>
        <v>2</v>
      </c>
      <c r="Z258" s="767">
        <f>'Income Eligble Deemed Table'!BB10</f>
        <v>1.3304252094338942</v>
      </c>
      <c r="AA258" s="2419">
        <f>'Income Eligble Deemed Table'!K10</f>
        <v>81</v>
      </c>
      <c r="AB258" s="2416">
        <f t="shared" si="202"/>
        <v>101.71254550650819</v>
      </c>
      <c r="AC258" s="2416">
        <f t="shared" si="203"/>
        <v>0</v>
      </c>
      <c r="AD258" s="2446">
        <f>'Income Eligble Deemed Table'!BD10</f>
        <v>101.71254550650819</v>
      </c>
      <c r="AE258" s="2440"/>
      <c r="AF258" s="2440"/>
      <c r="AG258" s="2440"/>
      <c r="AL258" s="2380">
        <f t="shared" si="192"/>
        <v>9.4741810000000004E-4</v>
      </c>
      <c r="AM258">
        <f t="shared" si="220"/>
        <v>0.563135844459</v>
      </c>
      <c r="AN258" s="2368">
        <f t="shared" si="193"/>
        <v>-1.555409999687285E-7</v>
      </c>
    </row>
    <row r="259" spans="1:40" x14ac:dyDescent="0.25">
      <c r="A259" s="2598" t="str">
        <f>'Income Eligble Deemed Table'!C11</f>
        <v>400200_2019_12_</v>
      </c>
      <c r="B259" s="2425" t="str">
        <f>'Income Eligble Deemed Table'!G11</f>
        <v>Cooling RES</v>
      </c>
      <c r="C259" s="245"/>
      <c r="D259" s="245"/>
      <c r="E259" s="245"/>
      <c r="F259" s="245" t="str">
        <f>'Income Eligble Deemed Table'!E11</f>
        <v>AC Tune-up / Refrigerant charge MF</v>
      </c>
      <c r="G259" s="745" t="str">
        <f>'Income Eligble Deemed Table'!D11</f>
        <v>MFLI</v>
      </c>
      <c r="H259" s="2420">
        <f t="shared" si="216"/>
        <v>386.36</v>
      </c>
      <c r="I259" s="2420">
        <f t="shared" si="217"/>
        <v>0</v>
      </c>
      <c r="J259" s="2452">
        <f>'Income Eligble Deemed Table'!F11</f>
        <v>386.36</v>
      </c>
      <c r="K259" s="2452"/>
      <c r="L259" s="2452"/>
      <c r="M259" s="2452"/>
      <c r="N259" s="2421">
        <f t="shared" si="218"/>
        <v>0.36604399999999998</v>
      </c>
      <c r="O259" s="2421">
        <f t="shared" si="219"/>
        <v>0</v>
      </c>
      <c r="P259" s="2412">
        <f>'Income Eligble Deemed Table'!I11</f>
        <v>0.36604399999999998</v>
      </c>
      <c r="Q259" s="2412"/>
      <c r="R259" s="2412"/>
      <c r="S259" s="2412"/>
      <c r="T259" s="2413">
        <v>0</v>
      </c>
      <c r="U259" s="2413">
        <v>0</v>
      </c>
      <c r="V259" s="2413">
        <v>0</v>
      </c>
      <c r="W259" s="2460">
        <f>'Income Eligble Deemed Table'!J11</f>
        <v>2</v>
      </c>
      <c r="X259" s="2460"/>
      <c r="Y259" s="94">
        <f t="shared" si="201"/>
        <v>2</v>
      </c>
      <c r="Z259" s="767">
        <f>'Income Eligble Deemed Table'!BB11</f>
        <v>0.86479093510469462</v>
      </c>
      <c r="AA259" s="2419">
        <f>'Income Eligble Deemed Table'!K11</f>
        <v>81</v>
      </c>
      <c r="AB259" s="2416">
        <f t="shared" si="202"/>
        <v>66.114266865012041</v>
      </c>
      <c r="AC259" s="2416">
        <f t="shared" si="203"/>
        <v>0</v>
      </c>
      <c r="AD259" s="2446">
        <f>'Income Eligble Deemed Table'!BD11</f>
        <v>66.114266865012041</v>
      </c>
      <c r="AE259" s="2440"/>
      <c r="AF259" s="2440"/>
      <c r="AG259" s="2440"/>
      <c r="AL259" s="2380">
        <f t="shared" si="192"/>
        <v>9.4741810000000004E-4</v>
      </c>
      <c r="AM259">
        <f t="shared" si="220"/>
        <v>0.36604445711600003</v>
      </c>
      <c r="AN259" s="2368">
        <f t="shared" si="193"/>
        <v>4.5711600005216013E-7</v>
      </c>
    </row>
    <row r="260" spans="1:40" x14ac:dyDescent="0.25">
      <c r="A260" s="2598" t="str">
        <f>'Income Eligble Deemed Table'!C12</f>
        <v>400201_2019_12_</v>
      </c>
      <c r="B260" s="2425" t="str">
        <f>'Income Eligble Deemed Table'!G12</f>
        <v>Cooling RES</v>
      </c>
      <c r="C260" s="245"/>
      <c r="D260" s="245"/>
      <c r="E260" s="245"/>
      <c r="F260" s="245" t="str">
        <f>'Income Eligble Deemed Table'!E12</f>
        <v>AC Tune-up / Refrigerant charge MF_CompE</v>
      </c>
      <c r="G260" s="745" t="str">
        <f>'Income Eligble Deemed Table'!D12</f>
        <v>MFLIc</v>
      </c>
      <c r="H260" s="2420">
        <f t="shared" si="216"/>
        <v>280.99</v>
      </c>
      <c r="I260" s="2420">
        <f t="shared" si="217"/>
        <v>0</v>
      </c>
      <c r="J260" s="2452">
        <f>'Income Eligble Deemed Table'!F12</f>
        <v>280.99</v>
      </c>
      <c r="K260" s="2452"/>
      <c r="L260" s="2452"/>
      <c r="M260" s="2452"/>
      <c r="N260" s="2421">
        <f t="shared" si="218"/>
        <v>0.26621499999999998</v>
      </c>
      <c r="O260" s="2421">
        <f t="shared" si="219"/>
        <v>0</v>
      </c>
      <c r="P260" s="2412">
        <f>'Income Eligble Deemed Table'!I12</f>
        <v>0.26621499999999998</v>
      </c>
      <c r="Q260" s="2412"/>
      <c r="R260" s="2412"/>
      <c r="S260" s="2412"/>
      <c r="T260" s="2413">
        <v>0</v>
      </c>
      <c r="U260" s="2413">
        <v>0</v>
      </c>
      <c r="V260" s="2413">
        <v>0</v>
      </c>
      <c r="W260" s="2460">
        <f>'Income Eligble Deemed Table'!J12</f>
        <v>2</v>
      </c>
      <c r="X260" s="2460"/>
      <c r="Y260" s="94">
        <f t="shared" si="201"/>
        <v>2</v>
      </c>
      <c r="Z260" s="767">
        <f>'Income Eligble Deemed Table'!BB12</f>
        <v>0.62894089671567488</v>
      </c>
      <c r="AA260" s="2419">
        <f>'Income Eligble Deemed Table'!K12</f>
        <v>81</v>
      </c>
      <c r="AB260" s="2416">
        <f t="shared" si="202"/>
        <v>48.083258738999206</v>
      </c>
      <c r="AC260" s="2416">
        <f t="shared" si="203"/>
        <v>0</v>
      </c>
      <c r="AD260" s="2446">
        <f>'Income Eligble Deemed Table'!BD12</f>
        <v>48.083258738999206</v>
      </c>
      <c r="AE260" s="2440"/>
      <c r="AF260" s="2440"/>
      <c r="AG260" s="2440"/>
      <c r="AL260" s="2380">
        <f t="shared" si="192"/>
        <v>9.4741810000000004E-4</v>
      </c>
      <c r="AM260">
        <f t="shared" si="220"/>
        <v>0.26621501191900004</v>
      </c>
      <c r="AN260" s="2368">
        <f t="shared" si="193"/>
        <v>1.1919000064697371E-8</v>
      </c>
    </row>
    <row r="261" spans="1:40" x14ac:dyDescent="0.25">
      <c r="A261" s="2598" t="str">
        <f>'Income Eligble Deemed Table'!C13</f>
        <v>400250_2019_12_</v>
      </c>
      <c r="B261" s="2425" t="str">
        <f>'Income Eligble Deemed Table'!G13</f>
        <v>Cooling RES</v>
      </c>
      <c r="C261" s="245"/>
      <c r="D261" s="245"/>
      <c r="E261" s="245"/>
      <c r="F261" s="245" t="str">
        <f>'Income Eligble Deemed Table'!E13</f>
        <v>AC Tune-up / Indoor Coil (Evaporator) Cleaning SF</v>
      </c>
      <c r="G261" s="745" t="str">
        <f>'Income Eligble Deemed Table'!D13</f>
        <v>SFLI</v>
      </c>
      <c r="H261" s="2420">
        <f t="shared" si="216"/>
        <v>98.38</v>
      </c>
      <c r="I261" s="2420">
        <f t="shared" si="217"/>
        <v>0</v>
      </c>
      <c r="J261" s="2452">
        <f>'Income Eligble Deemed Table'!F13</f>
        <v>98.38</v>
      </c>
      <c r="K261" s="2452"/>
      <c r="L261" s="2452"/>
      <c r="M261" s="2452"/>
      <c r="N261" s="2421">
        <f t="shared" si="218"/>
        <v>9.3206999999999998E-2</v>
      </c>
      <c r="O261" s="2421">
        <f t="shared" si="219"/>
        <v>0</v>
      </c>
      <c r="P261" s="2412">
        <f>'Income Eligble Deemed Table'!I13</f>
        <v>9.3206999999999998E-2</v>
      </c>
      <c r="Q261" s="2412"/>
      <c r="R261" s="2412"/>
      <c r="S261" s="2412"/>
      <c r="T261" s="2413">
        <v>0</v>
      </c>
      <c r="U261" s="2413">
        <v>0</v>
      </c>
      <c r="V261" s="2413">
        <v>0</v>
      </c>
      <c r="W261" s="2460">
        <f>'Income Eligble Deemed Table'!J13</f>
        <v>2</v>
      </c>
      <c r="X261" s="2460"/>
      <c r="Y261" s="94">
        <f t="shared" si="201"/>
        <v>2</v>
      </c>
      <c r="Z261" s="767">
        <f>'Income Eligble Deemed Table'!BB13</f>
        <v>0.28311981045080037</v>
      </c>
      <c r="AA261" s="2419">
        <f>'Income Eligble Deemed Table'!K13</f>
        <v>63</v>
      </c>
      <c r="AB261" s="2416">
        <f t="shared" si="202"/>
        <v>16.834873108447781</v>
      </c>
      <c r="AC261" s="2416">
        <f t="shared" si="203"/>
        <v>0</v>
      </c>
      <c r="AD261" s="2446">
        <f>'Income Eligble Deemed Table'!BD13</f>
        <v>16.834873108447781</v>
      </c>
      <c r="AE261" s="2440"/>
      <c r="AF261" s="2440"/>
      <c r="AG261" s="2440"/>
      <c r="AL261" s="2380">
        <f t="shared" si="192"/>
        <v>9.4741810000000004E-4</v>
      </c>
      <c r="AM261">
        <f t="shared" si="220"/>
        <v>9.3206992678000006E-2</v>
      </c>
      <c r="AN261" s="2368">
        <f t="shared" si="193"/>
        <v>-7.3219999924267753E-9</v>
      </c>
    </row>
    <row r="262" spans="1:40" x14ac:dyDescent="0.25">
      <c r="A262" s="2598" t="str">
        <f>'Income Eligble Deemed Table'!C14</f>
        <v>400300_2019_12_</v>
      </c>
      <c r="B262" s="2425" t="str">
        <f>'Income Eligble Deemed Table'!G14</f>
        <v>Cooling RES</v>
      </c>
      <c r="C262" s="245"/>
      <c r="D262" s="245"/>
      <c r="E262" s="245"/>
      <c r="F262" s="245" t="str">
        <f>'Income Eligble Deemed Table'!E14</f>
        <v>AC Tune-up /Indoor Coil (Evaporator) Cleaning MF</v>
      </c>
      <c r="G262" s="745" t="str">
        <f>'Income Eligble Deemed Table'!D14</f>
        <v>MFLI</v>
      </c>
      <c r="H262" s="2420">
        <f t="shared" si="216"/>
        <v>63.95</v>
      </c>
      <c r="I262" s="2420">
        <f t="shared" si="217"/>
        <v>0</v>
      </c>
      <c r="J262" s="2452">
        <f>'Income Eligble Deemed Table'!F14</f>
        <v>63.95</v>
      </c>
      <c r="K262" s="2452"/>
      <c r="L262" s="2452"/>
      <c r="M262" s="2452"/>
      <c r="N262" s="2421">
        <f t="shared" si="218"/>
        <v>6.0587000000000002E-2</v>
      </c>
      <c r="O262" s="2421">
        <f t="shared" si="219"/>
        <v>0</v>
      </c>
      <c r="P262" s="2412">
        <f>'Income Eligble Deemed Table'!I14</f>
        <v>6.0587000000000002E-2</v>
      </c>
      <c r="Q262" s="2412"/>
      <c r="R262" s="2412"/>
      <c r="S262" s="2412"/>
      <c r="T262" s="2413">
        <v>0</v>
      </c>
      <c r="U262" s="2413">
        <v>0</v>
      </c>
      <c r="V262" s="2413">
        <v>0</v>
      </c>
      <c r="W262" s="2460">
        <f>'Income Eligble Deemed Table'!J14</f>
        <v>2</v>
      </c>
      <c r="X262" s="2460"/>
      <c r="Y262" s="94">
        <f t="shared" si="201"/>
        <v>2</v>
      </c>
      <c r="Z262" s="767">
        <f>'Income Eligble Deemed Table'!BB14</f>
        <v>0.18403651024932594</v>
      </c>
      <c r="AA262" s="2419">
        <f>'Income Eligble Deemed Table'!K14</f>
        <v>63</v>
      </c>
      <c r="AB262" s="2416">
        <f t="shared" si="202"/>
        <v>10.94318088315954</v>
      </c>
      <c r="AC262" s="2416">
        <f t="shared" si="203"/>
        <v>0</v>
      </c>
      <c r="AD262" s="2446">
        <f>'Income Eligble Deemed Table'!BD14</f>
        <v>10.94318088315954</v>
      </c>
      <c r="AE262" s="2440"/>
      <c r="AF262" s="2440"/>
      <c r="AG262" s="2440"/>
      <c r="AL262" s="2380">
        <f t="shared" si="192"/>
        <v>9.4741810000000004E-4</v>
      </c>
      <c r="AM262">
        <f t="shared" si="220"/>
        <v>6.0587387495000006E-2</v>
      </c>
      <c r="AN262" s="2368">
        <f t="shared" si="193"/>
        <v>3.8749500000379022E-7</v>
      </c>
    </row>
    <row r="263" spans="1:40" x14ac:dyDescent="0.25">
      <c r="A263" s="2598" t="str">
        <f>'Income Eligble Deemed Table'!C15</f>
        <v>400301_2019_12_</v>
      </c>
      <c r="B263" s="2425" t="str">
        <f>'Income Eligble Deemed Table'!G15</f>
        <v>Cooling RES</v>
      </c>
      <c r="C263" s="245"/>
      <c r="D263" s="245"/>
      <c r="E263" s="245"/>
      <c r="F263" s="245" t="str">
        <f>'Income Eligble Deemed Table'!E15</f>
        <v>AC Tune-up /Indoor Coil (Evaporator) Cleaning MF_CompE</v>
      </c>
      <c r="G263" s="745" t="str">
        <f>'Income Eligble Deemed Table'!D15</f>
        <v>MFLIc</v>
      </c>
      <c r="H263" s="2420">
        <f t="shared" si="216"/>
        <v>46.51</v>
      </c>
      <c r="I263" s="2420">
        <f t="shared" si="217"/>
        <v>0</v>
      </c>
      <c r="J263" s="2452">
        <f>'Income Eligble Deemed Table'!F15</f>
        <v>46.51</v>
      </c>
      <c r="K263" s="2452"/>
      <c r="L263" s="2452"/>
      <c r="M263" s="2452"/>
      <c r="N263" s="2421">
        <f t="shared" si="218"/>
        <v>4.4063999999999999E-2</v>
      </c>
      <c r="O263" s="2421">
        <f t="shared" si="219"/>
        <v>0</v>
      </c>
      <c r="P263" s="2412">
        <f>'Income Eligble Deemed Table'!I15</f>
        <v>4.4063999999999999E-2</v>
      </c>
      <c r="Q263" s="2412"/>
      <c r="R263" s="2412"/>
      <c r="S263" s="2412"/>
      <c r="T263" s="2413">
        <v>0</v>
      </c>
      <c r="U263" s="2413">
        <v>0</v>
      </c>
      <c r="V263" s="2413">
        <v>0</v>
      </c>
      <c r="W263" s="2460">
        <f>'Income Eligble Deemed Table'!J15</f>
        <v>2</v>
      </c>
      <c r="X263" s="2460"/>
      <c r="Y263" s="94">
        <f t="shared" si="201"/>
        <v>2</v>
      </c>
      <c r="Z263" s="767">
        <f>'Income Eligble Deemed Table'!BB15</f>
        <v>0.13384735092566299</v>
      </c>
      <c r="AA263" s="2419">
        <f>'Income Eligble Deemed Table'!K15</f>
        <v>63</v>
      </c>
      <c r="AB263" s="2416">
        <f t="shared" si="202"/>
        <v>7.9588325703792053</v>
      </c>
      <c r="AC263" s="2416">
        <f t="shared" si="203"/>
        <v>0</v>
      </c>
      <c r="AD263" s="2446">
        <f>'Income Eligble Deemed Table'!BD15</f>
        <v>7.9588325703792053</v>
      </c>
      <c r="AE263" s="2440"/>
      <c r="AF263" s="2440"/>
      <c r="AG263" s="2440"/>
      <c r="AL263" s="2380">
        <f t="shared" si="192"/>
        <v>9.4741810000000004E-4</v>
      </c>
      <c r="AM263">
        <f t="shared" si="220"/>
        <v>4.4064415831000001E-2</v>
      </c>
      <c r="AN263" s="2368">
        <f t="shared" si="193"/>
        <v>4.1583100000158746E-7</v>
      </c>
    </row>
    <row r="264" spans="1:40" x14ac:dyDescent="0.25">
      <c r="A264" s="2598" t="str">
        <f>'Income Eligble Deemed Table'!C16</f>
        <v>400350_2019_12_</v>
      </c>
      <c r="B264" s="2425" t="str">
        <f>'Income Eligble Deemed Table'!G16</f>
        <v>Cooling RES</v>
      </c>
      <c r="C264" s="245"/>
      <c r="D264" s="245"/>
      <c r="E264" s="245"/>
      <c r="F264" s="245" t="str">
        <f>'Income Eligble Deemed Table'!E16</f>
        <v>AC Tune-up /Outdoor Coil (Condenser) Cleaning SF</v>
      </c>
      <c r="G264" s="745" t="str">
        <f>'Income Eligble Deemed Table'!D16</f>
        <v>SFLI</v>
      </c>
      <c r="H264" s="2420">
        <f t="shared" si="216"/>
        <v>196.76</v>
      </c>
      <c r="I264" s="2420">
        <f t="shared" si="217"/>
        <v>0</v>
      </c>
      <c r="J264" s="2452">
        <f>'Income Eligble Deemed Table'!F16</f>
        <v>196.76</v>
      </c>
      <c r="K264" s="2452"/>
      <c r="L264" s="2452"/>
      <c r="M264" s="2452"/>
      <c r="N264" s="2421">
        <f t="shared" si="218"/>
        <v>0.186414</v>
      </c>
      <c r="O264" s="2421">
        <f t="shared" si="219"/>
        <v>0</v>
      </c>
      <c r="P264" s="2412">
        <f>'Income Eligble Deemed Table'!I16</f>
        <v>0.186414</v>
      </c>
      <c r="Q264" s="2412"/>
      <c r="R264" s="2412"/>
      <c r="S264" s="2412"/>
      <c r="T264" s="2413">
        <v>0</v>
      </c>
      <c r="U264" s="2413">
        <v>0</v>
      </c>
      <c r="V264" s="2413">
        <v>0</v>
      </c>
      <c r="W264" s="2460">
        <f>'Income Eligble Deemed Table'!J16</f>
        <v>2</v>
      </c>
      <c r="X264" s="2460"/>
      <c r="Y264" s="94">
        <f t="shared" si="201"/>
        <v>2</v>
      </c>
      <c r="Z264" s="767">
        <f>'Income Eligble Deemed Table'!BB16</f>
        <v>1.150745036025834</v>
      </c>
      <c r="AA264" s="2419">
        <f>'Income Eligble Deemed Table'!K16</f>
        <v>31</v>
      </c>
      <c r="AB264" s="2416">
        <f t="shared" si="202"/>
        <v>33.669746216895561</v>
      </c>
      <c r="AC264" s="2416">
        <f t="shared" si="203"/>
        <v>0</v>
      </c>
      <c r="AD264" s="2446">
        <f>'Income Eligble Deemed Table'!BD16</f>
        <v>33.669746216895561</v>
      </c>
      <c r="AE264" s="2440"/>
      <c r="AF264" s="2440"/>
      <c r="AG264" s="2440"/>
      <c r="AL264" s="2380">
        <f t="shared" si="192"/>
        <v>9.4741810000000004E-4</v>
      </c>
      <c r="AM264">
        <f t="shared" si="220"/>
        <v>0.18641398535600001</v>
      </c>
      <c r="AN264" s="2368">
        <f t="shared" si="193"/>
        <v>-1.4643999984853551E-8</v>
      </c>
    </row>
    <row r="265" spans="1:40" x14ac:dyDescent="0.25">
      <c r="A265" s="2598" t="str">
        <f>'Income Eligble Deemed Table'!C17</f>
        <v>400400_2019_12_</v>
      </c>
      <c r="B265" s="2425" t="str">
        <f>'Income Eligble Deemed Table'!G17</f>
        <v>Cooling RES</v>
      </c>
      <c r="C265" s="245"/>
      <c r="D265" s="245"/>
      <c r="E265" s="245"/>
      <c r="F265" s="245" t="str">
        <f>'Income Eligble Deemed Table'!E17</f>
        <v>AC Tune-up /Outdoor Coil (Condenser) Cleaning MF</v>
      </c>
      <c r="G265" s="745" t="str">
        <f>'Income Eligble Deemed Table'!D17</f>
        <v>MFLI</v>
      </c>
      <c r="H265" s="2420">
        <f t="shared" si="216"/>
        <v>127.89</v>
      </c>
      <c r="I265" s="2420">
        <f t="shared" si="217"/>
        <v>0</v>
      </c>
      <c r="J265" s="2452">
        <f>'Income Eligble Deemed Table'!F17</f>
        <v>127.89</v>
      </c>
      <c r="K265" s="2452"/>
      <c r="L265" s="2452"/>
      <c r="M265" s="2452"/>
      <c r="N265" s="2421">
        <f t="shared" si="218"/>
        <v>0.12116499999999999</v>
      </c>
      <c r="O265" s="2421">
        <f t="shared" si="219"/>
        <v>0</v>
      </c>
      <c r="P265" s="2412">
        <f>'Income Eligble Deemed Table'!I17</f>
        <v>0.12116499999999999</v>
      </c>
      <c r="Q265" s="2412"/>
      <c r="R265" s="2412"/>
      <c r="S265" s="2412"/>
      <c r="T265" s="2413">
        <v>0</v>
      </c>
      <c r="U265" s="2413">
        <v>0</v>
      </c>
      <c r="V265" s="2413">
        <v>0</v>
      </c>
      <c r="W265" s="2460">
        <f>'Income Eligble Deemed Table'!J17</f>
        <v>2</v>
      </c>
      <c r="X265" s="2460"/>
      <c r="Y265" s="94">
        <f t="shared" si="201"/>
        <v>2</v>
      </c>
      <c r="Z265" s="767">
        <f>'Income Eligble Deemed Table'!BB17</f>
        <v>0.74796087953518953</v>
      </c>
      <c r="AA265" s="2419">
        <f>'Income Eligble Deemed Table'!K17</f>
        <v>31</v>
      </c>
      <c r="AB265" s="2416">
        <f t="shared" si="202"/>
        <v>21.884650557424138</v>
      </c>
      <c r="AC265" s="2416">
        <f t="shared" si="203"/>
        <v>0</v>
      </c>
      <c r="AD265" s="2446">
        <f>'Income Eligble Deemed Table'!BD17</f>
        <v>21.884650557424138</v>
      </c>
      <c r="AE265" s="2440"/>
      <c r="AF265" s="2440"/>
      <c r="AG265" s="2440"/>
      <c r="AL265" s="2380">
        <f t="shared" si="192"/>
        <v>9.4741810000000004E-4</v>
      </c>
      <c r="AM265">
        <f t="shared" si="220"/>
        <v>0.12116530080900001</v>
      </c>
      <c r="AN265" s="2368">
        <f t="shared" si="193"/>
        <v>3.0080900001450139E-7</v>
      </c>
    </row>
    <row r="266" spans="1:40" x14ac:dyDescent="0.25">
      <c r="A266" s="2598" t="str">
        <f>'Income Eligble Deemed Table'!C18</f>
        <v>400401_2019_12_</v>
      </c>
      <c r="B266" s="2425" t="str">
        <f>'Income Eligble Deemed Table'!G18</f>
        <v>Cooling RES</v>
      </c>
      <c r="C266" s="245"/>
      <c r="D266" s="245"/>
      <c r="E266" s="245"/>
      <c r="F266" s="245" t="str">
        <f>'Income Eligble Deemed Table'!E18</f>
        <v>AC Tune-up /Outdoor Coil (Condenser) Cleaning MF_CompE</v>
      </c>
      <c r="G266" s="745" t="str">
        <f>'Income Eligble Deemed Table'!D18</f>
        <v>MFLIc</v>
      </c>
      <c r="H266" s="2420">
        <f t="shared" si="216"/>
        <v>93.01</v>
      </c>
      <c r="I266" s="2420">
        <f t="shared" si="217"/>
        <v>0</v>
      </c>
      <c r="J266" s="2452">
        <f>'Income Eligble Deemed Table'!F18</f>
        <v>93.01</v>
      </c>
      <c r="K266" s="2452"/>
      <c r="L266" s="2452"/>
      <c r="M266" s="2452"/>
      <c r="N266" s="2421">
        <f t="shared" si="218"/>
        <v>8.8119000000000003E-2</v>
      </c>
      <c r="O266" s="2421">
        <f t="shared" si="219"/>
        <v>0</v>
      </c>
      <c r="P266" s="2412">
        <f>'Income Eligble Deemed Table'!I18</f>
        <v>8.8119000000000003E-2</v>
      </c>
      <c r="Q266" s="2412"/>
      <c r="R266" s="2412"/>
      <c r="S266" s="2412"/>
      <c r="T266" s="2413">
        <v>0</v>
      </c>
      <c r="U266" s="2413">
        <v>0</v>
      </c>
      <c r="V266" s="2413">
        <v>0</v>
      </c>
      <c r="W266" s="2460">
        <f>'Income Eligble Deemed Table'!J18</f>
        <v>2</v>
      </c>
      <c r="X266" s="2460"/>
      <c r="Y266" s="94">
        <f t="shared" si="201"/>
        <v>2</v>
      </c>
      <c r="Z266" s="767">
        <f>'Income Eligble Deemed Table'!BB18</f>
        <v>0.54396623196159188</v>
      </c>
      <c r="AA266" s="2419">
        <f>'Income Eligble Deemed Table'!K18</f>
        <v>31</v>
      </c>
      <c r="AB266" s="2416">
        <f t="shared" si="202"/>
        <v>15.91595393186347</v>
      </c>
      <c r="AC266" s="2416">
        <f t="shared" si="203"/>
        <v>0</v>
      </c>
      <c r="AD266" s="2446">
        <f>'Income Eligble Deemed Table'!BD18</f>
        <v>15.91595393186347</v>
      </c>
      <c r="AE266" s="2440"/>
      <c r="AF266" s="2440"/>
      <c r="AG266" s="2440"/>
      <c r="AL266" s="2380">
        <f t="shared" si="192"/>
        <v>9.4741810000000004E-4</v>
      </c>
      <c r="AM266">
        <f t="shared" si="220"/>
        <v>8.8119357481000013E-2</v>
      </c>
      <c r="AN266" s="2368">
        <f t="shared" si="193"/>
        <v>3.5748100001009586E-7</v>
      </c>
    </row>
    <row r="267" spans="1:40" x14ac:dyDescent="0.25">
      <c r="A267" s="2598" t="str">
        <f>'Income Eligble Deemed Table'!C52</f>
        <v>400450_2019_12_</v>
      </c>
      <c r="B267" s="245" t="str">
        <f>'Income Eligble Deemed Table'!G52</f>
        <v>Building Shell RES</v>
      </c>
      <c r="C267" s="245"/>
      <c r="D267" s="245"/>
      <c r="E267" s="245"/>
      <c r="F267" s="245" t="str">
        <f>'Income Eligble Deemed Table'!E52</f>
        <v>Air Sealing (Infiltration reduction) - 30% MF LI DI electric furnace base</v>
      </c>
      <c r="G267" s="745" t="str">
        <f>'Income Eligble Deemed Table'!D52</f>
        <v>MFLI</v>
      </c>
      <c r="H267" s="2410">
        <f>'Income Eligble Deemed Table'!F52</f>
        <v>0.33</v>
      </c>
      <c r="I267" s="2420">
        <f t="shared" si="217"/>
        <v>0</v>
      </c>
      <c r="J267" s="2454"/>
      <c r="K267" s="2454"/>
      <c r="L267" s="2452"/>
      <c r="M267" s="2452"/>
      <c r="N267" s="2411">
        <f>'Income Eligble Deemed Table'!K52</f>
        <v>1.54E-4</v>
      </c>
      <c r="O267" s="2421">
        <f t="shared" si="219"/>
        <v>0</v>
      </c>
      <c r="P267" s="2426"/>
      <c r="Q267" s="2426"/>
      <c r="R267" s="2412"/>
      <c r="S267" s="2412"/>
      <c r="T267" s="2413"/>
      <c r="U267" s="2413"/>
      <c r="V267" s="2413">
        <f t="shared" ref="V267:V274" si="221">N267</f>
        <v>1.54E-4</v>
      </c>
      <c r="W267" s="2460">
        <f>'Income Eligble Deemed Table'!L52</f>
        <v>15</v>
      </c>
      <c r="X267" s="2460"/>
      <c r="Y267" s="94">
        <f t="shared" si="201"/>
        <v>15</v>
      </c>
      <c r="Z267" s="767">
        <f>'Income Eligble Deemed Table'!BB52</f>
        <v>2.7496621881200949</v>
      </c>
      <c r="AA267" s="2419">
        <f>'Income Eligble Deemed Table'!M52</f>
        <v>0.12</v>
      </c>
      <c r="AB267" s="2416">
        <f t="shared" si="202"/>
        <v>0.31142941252893941</v>
      </c>
      <c r="AC267" s="2416">
        <f t="shared" si="203"/>
        <v>0</v>
      </c>
      <c r="AD267" s="2446">
        <f>'Income Eligble Deemed Table'!BD52</f>
        <v>0.31142941252893941</v>
      </c>
      <c r="AE267" s="2440"/>
      <c r="AF267" s="2440"/>
      <c r="AG267" s="2440"/>
      <c r="AL267" s="2380">
        <f t="shared" si="192"/>
        <v>4.6608050000000002E-4</v>
      </c>
      <c r="AM267">
        <f t="shared" si="220"/>
        <v>1.53806565E-4</v>
      </c>
      <c r="AN267" s="2368">
        <f t="shared" si="193"/>
        <v>-1.9343499999999961E-7</v>
      </c>
    </row>
    <row r="268" spans="1:40" x14ac:dyDescent="0.25">
      <c r="A268" s="2598" t="str">
        <f>'Income Eligble Deemed Table'!C53</f>
        <v>400500_2019_12_</v>
      </c>
      <c r="B268" s="245" t="str">
        <f>'Income Eligble Deemed Table'!G53</f>
        <v>Building Shell RES</v>
      </c>
      <c r="C268" s="245"/>
      <c r="D268" s="245"/>
      <c r="E268" s="245"/>
      <c r="F268" s="245" t="str">
        <f>'Income Eligble Deemed Table'!E53</f>
        <v>Air Sealing (Infiltration reduction) - 30% MF LI DI heat pump base</v>
      </c>
      <c r="G268" s="745"/>
      <c r="H268" s="2410">
        <f>'Income Eligble Deemed Table'!F53</f>
        <v>0.25</v>
      </c>
      <c r="I268" s="2420">
        <f t="shared" si="217"/>
        <v>0</v>
      </c>
      <c r="J268" s="2454"/>
      <c r="K268" s="2454"/>
      <c r="L268" s="2452"/>
      <c r="M268" s="2452"/>
      <c r="N268" s="2411">
        <f>'Income Eligble Deemed Table'!K53</f>
        <v>1.17E-4</v>
      </c>
      <c r="O268" s="2421">
        <f t="shared" si="219"/>
        <v>0</v>
      </c>
      <c r="P268" s="2426"/>
      <c r="Q268" s="2426"/>
      <c r="R268" s="2412"/>
      <c r="S268" s="2412"/>
      <c r="T268" s="2413"/>
      <c r="U268" s="2413"/>
      <c r="V268" s="2413">
        <f t="shared" si="221"/>
        <v>1.17E-4</v>
      </c>
      <c r="W268" s="2460">
        <f>'Income Eligble Deemed Table'!L53</f>
        <v>15</v>
      </c>
      <c r="X268" s="2460"/>
      <c r="Y268" s="94">
        <f t="shared" si="201"/>
        <v>15</v>
      </c>
      <c r="Z268" s="767">
        <f>'Income Eligble Deemed Table'!BB53</f>
        <v>2.0830774152424958</v>
      </c>
      <c r="AA268" s="2419">
        <f>'Income Eligble Deemed Table'!M53</f>
        <v>0.12</v>
      </c>
      <c r="AB268" s="2416">
        <f t="shared" si="202"/>
        <v>0.23593137312798437</v>
      </c>
      <c r="AC268" s="2416">
        <f t="shared" si="203"/>
        <v>0</v>
      </c>
      <c r="AD268" s="2446">
        <f>'Income Eligble Deemed Table'!BD53</f>
        <v>0.23593137312798437</v>
      </c>
      <c r="AE268" s="2440"/>
      <c r="AF268" s="2440"/>
      <c r="AG268" s="2440"/>
      <c r="AL268" s="2380">
        <f t="shared" si="192"/>
        <v>4.6608050000000002E-4</v>
      </c>
      <c r="AM268">
        <f t="shared" si="220"/>
        <v>1.16520125E-4</v>
      </c>
      <c r="AN268" s="2368">
        <f t="shared" si="193"/>
        <v>-4.7987499999999344E-7</v>
      </c>
    </row>
    <row r="269" spans="1:40" x14ac:dyDescent="0.25">
      <c r="A269" s="2598" t="str">
        <f>'Income Eligble Deemed Table'!C54</f>
        <v>400550_2019_12_</v>
      </c>
      <c r="B269" s="245" t="str">
        <f>'Income Eligble Deemed Table'!G54</f>
        <v>Building Shell RES</v>
      </c>
      <c r="C269" s="245"/>
      <c r="D269" s="245"/>
      <c r="E269" s="245"/>
      <c r="F269" s="245" t="str">
        <f>'Income Eligble Deemed Table'!E54</f>
        <v>Air Sealing (Infiltration reduction) - 30% SF LI DI electric furnace base</v>
      </c>
      <c r="G269" s="745"/>
      <c r="H269" s="2410">
        <f>'Income Eligble Deemed Table'!F54</f>
        <v>0.36</v>
      </c>
      <c r="I269" s="2420">
        <f t="shared" si="217"/>
        <v>0</v>
      </c>
      <c r="J269" s="2454"/>
      <c r="K269" s="2454"/>
      <c r="L269" s="2452"/>
      <c r="M269" s="2452"/>
      <c r="N269" s="2411">
        <f>'Income Eligble Deemed Table'!K54</f>
        <v>1.6799999999999999E-4</v>
      </c>
      <c r="O269" s="2421">
        <f t="shared" si="219"/>
        <v>0</v>
      </c>
      <c r="P269" s="2426"/>
      <c r="Q269" s="2426"/>
      <c r="R269" s="2412"/>
      <c r="S269" s="2412"/>
      <c r="T269" s="2413"/>
      <c r="U269" s="2413"/>
      <c r="V269" s="2413">
        <f t="shared" si="221"/>
        <v>1.6799999999999999E-4</v>
      </c>
      <c r="W269" s="2460">
        <f>'Income Eligble Deemed Table'!L54</f>
        <v>15</v>
      </c>
      <c r="X269" s="2460"/>
      <c r="Y269" s="94">
        <f t="shared" si="201"/>
        <v>15</v>
      </c>
      <c r="Z269" s="767">
        <f>'Income Eligble Deemed Table'!BB54</f>
        <v>2.9996314779491935</v>
      </c>
      <c r="AA269" s="2419">
        <f>'Income Eligble Deemed Table'!M54</f>
        <v>0.12</v>
      </c>
      <c r="AB269" s="2416">
        <f t="shared" si="202"/>
        <v>0.33974117730429748</v>
      </c>
      <c r="AC269" s="2416">
        <f t="shared" si="203"/>
        <v>0</v>
      </c>
      <c r="AD269" s="2446">
        <f>'Income Eligble Deemed Table'!BD54</f>
        <v>0.33974117730429748</v>
      </c>
      <c r="AE269" s="2440"/>
      <c r="AF269" s="2440"/>
      <c r="AG269" s="2440"/>
      <c r="AL269" s="2380">
        <f t="shared" si="192"/>
        <v>4.6608050000000002E-4</v>
      </c>
      <c r="AM269">
        <f t="shared" si="220"/>
        <v>1.6778898E-4</v>
      </c>
      <c r="AN269" s="2368">
        <f t="shared" si="193"/>
        <v>-2.1101999999998972E-7</v>
      </c>
    </row>
    <row r="270" spans="1:40" x14ac:dyDescent="0.25">
      <c r="A270" s="2598" t="str">
        <f>'Income Eligble Deemed Table'!C55</f>
        <v>400551_2019_12_</v>
      </c>
      <c r="B270" s="245" t="str">
        <f>'Income Eligble Deemed Table'!G55</f>
        <v>Building Shell RES</v>
      </c>
      <c r="C270" s="245"/>
      <c r="D270" s="245"/>
      <c r="E270" s="245"/>
      <c r="F270" s="245" t="str">
        <f>'Income Eligble Deemed Table'!E55</f>
        <v>Air Sealing (Infiltration reduction) - 30% SF LI Gas furnace base</v>
      </c>
      <c r="G270" s="745"/>
      <c r="H270" s="2410">
        <f>'Income Eligble Deemed Table'!F55</f>
        <v>0.06</v>
      </c>
      <c r="I270" s="2420">
        <f t="shared" si="217"/>
        <v>0</v>
      </c>
      <c r="J270" s="2454"/>
      <c r="K270" s="2454"/>
      <c r="L270" s="2452"/>
      <c r="M270" s="2452"/>
      <c r="N270" s="2411">
        <f>'Income Eligble Deemed Table'!K55</f>
        <v>2.8E-5</v>
      </c>
      <c r="O270" s="2421">
        <f t="shared" si="219"/>
        <v>0</v>
      </c>
      <c r="P270" s="2426"/>
      <c r="Q270" s="2426"/>
      <c r="R270" s="2412"/>
      <c r="S270" s="2412"/>
      <c r="T270" s="2413"/>
      <c r="U270" s="2413"/>
      <c r="V270" s="2413">
        <f t="shared" si="221"/>
        <v>2.8E-5</v>
      </c>
      <c r="W270" s="2460">
        <f>'Income Eligble Deemed Table'!L55</f>
        <v>15</v>
      </c>
      <c r="X270" s="2460"/>
      <c r="Y270" s="94">
        <f t="shared" si="201"/>
        <v>15</v>
      </c>
      <c r="Z270" s="767">
        <f>'Income Eligble Deemed Table'!BB55</f>
        <v>0.49993857965819899</v>
      </c>
      <c r="AA270" s="2419">
        <f>'Income Eligble Deemed Table'!M55</f>
        <v>0.12</v>
      </c>
      <c r="AB270" s="2416">
        <f t="shared" si="202"/>
        <v>5.6623529550716249E-2</v>
      </c>
      <c r="AC270" s="2416">
        <f t="shared" si="203"/>
        <v>0</v>
      </c>
      <c r="AD270" s="2446">
        <f>'Income Eligble Deemed Table'!BD55</f>
        <v>5.6623529550716249E-2</v>
      </c>
      <c r="AE270" s="2440"/>
      <c r="AF270" s="2440"/>
      <c r="AG270" s="2440"/>
      <c r="AL270" s="2380">
        <f t="shared" si="192"/>
        <v>4.6608050000000002E-4</v>
      </c>
      <c r="AM270">
        <f t="shared" si="220"/>
        <v>2.7964829999999999E-5</v>
      </c>
      <c r="AN270" s="2368">
        <f t="shared" si="193"/>
        <v>-3.5170000000000546E-8</v>
      </c>
    </row>
    <row r="271" spans="1:40" x14ac:dyDescent="0.25">
      <c r="A271" s="2598" t="str">
        <f>'Income Eligble Deemed Table'!C56</f>
        <v>400600_2019_12_</v>
      </c>
      <c r="B271" s="245" t="str">
        <f>'Income Eligble Deemed Table'!G56</f>
        <v>Building Shell RES</v>
      </c>
      <c r="C271" s="245"/>
      <c r="D271" s="245"/>
      <c r="E271" s="245"/>
      <c r="F271" s="245" t="str">
        <f>'Income Eligble Deemed Table'!E56</f>
        <v>Air Sealing (Infiltration reduction) - 30% SF LI DI heat pump base</v>
      </c>
      <c r="G271" s="745"/>
      <c r="H271" s="2410">
        <f>'Income Eligble Deemed Table'!F56</f>
        <v>0.31</v>
      </c>
      <c r="I271" s="2420">
        <f t="shared" si="217"/>
        <v>0</v>
      </c>
      <c r="J271" s="2454"/>
      <c r="K271" s="2454"/>
      <c r="L271" s="2452"/>
      <c r="M271" s="2452"/>
      <c r="N271" s="2411">
        <f>'Income Eligble Deemed Table'!K56</f>
        <v>1.44E-4</v>
      </c>
      <c r="O271" s="2421">
        <f t="shared" si="219"/>
        <v>0</v>
      </c>
      <c r="P271" s="2426"/>
      <c r="Q271" s="2426"/>
      <c r="R271" s="2412"/>
      <c r="S271" s="2412"/>
      <c r="T271" s="2413"/>
      <c r="U271" s="2413"/>
      <c r="V271" s="2413">
        <f t="shared" si="221"/>
        <v>1.44E-4</v>
      </c>
      <c r="W271" s="2460">
        <f>'Income Eligble Deemed Table'!L56</f>
        <v>15</v>
      </c>
      <c r="X271" s="2460"/>
      <c r="Y271" s="94">
        <f t="shared" si="201"/>
        <v>15</v>
      </c>
      <c r="Z271" s="767">
        <f>'Income Eligble Deemed Table'!BB56</f>
        <v>2.5830159949006943</v>
      </c>
      <c r="AA271" s="2419">
        <f>'Income Eligble Deemed Table'!M56</f>
        <v>0.12</v>
      </c>
      <c r="AB271" s="2416">
        <f t="shared" si="202"/>
        <v>0.2925549026787006</v>
      </c>
      <c r="AC271" s="2416">
        <f t="shared" si="203"/>
        <v>0</v>
      </c>
      <c r="AD271" s="2446">
        <f>'Income Eligble Deemed Table'!BD56</f>
        <v>0.2925549026787006</v>
      </c>
      <c r="AE271" s="2440"/>
      <c r="AF271" s="2440"/>
      <c r="AG271" s="2440"/>
      <c r="AL271" s="2380">
        <f t="shared" si="192"/>
        <v>4.6608050000000002E-4</v>
      </c>
      <c r="AM271">
        <f t="shared" si="220"/>
        <v>1.4448495500000001E-4</v>
      </c>
      <c r="AN271" s="2368">
        <f t="shared" si="193"/>
        <v>4.8495500000001E-7</v>
      </c>
    </row>
    <row r="272" spans="1:40" x14ac:dyDescent="0.25">
      <c r="A272" s="2598" t="str">
        <f>'Income Eligble Deemed Table'!C57</f>
        <v>400650_2019_12_</v>
      </c>
      <c r="B272" s="245" t="str">
        <f>'Income Eligble Deemed Table'!G57</f>
        <v>Building Shell RES</v>
      </c>
      <c r="C272" s="245"/>
      <c r="D272" s="245"/>
      <c r="E272" s="245"/>
      <c r="F272" s="245" t="str">
        <f>'Income Eligble Deemed Table'!E57</f>
        <v>MH Adjusted Air Sealing (Infiltration reduction) - 30% SF LI DI electric furnace base</v>
      </c>
      <c r="G272" s="745"/>
      <c r="H272" s="2410">
        <f>'Income Eligble Deemed Table'!F57</f>
        <v>0.48</v>
      </c>
      <c r="I272" s="2420">
        <f t="shared" si="217"/>
        <v>0</v>
      </c>
      <c r="J272" s="2454"/>
      <c r="K272" s="2454"/>
      <c r="L272" s="2452"/>
      <c r="M272" s="2452"/>
      <c r="N272" s="2411">
        <f>'Income Eligble Deemed Table'!K57</f>
        <v>2.24E-4</v>
      </c>
      <c r="O272" s="2421">
        <f t="shared" si="219"/>
        <v>0</v>
      </c>
      <c r="P272" s="2426"/>
      <c r="Q272" s="2426"/>
      <c r="R272" s="2412"/>
      <c r="S272" s="2412"/>
      <c r="T272" s="2413"/>
      <c r="U272" s="2413"/>
      <c r="V272" s="2413">
        <f t="shared" si="221"/>
        <v>2.24E-4</v>
      </c>
      <c r="W272" s="2460">
        <f>'Income Eligble Deemed Table'!L57</f>
        <v>15</v>
      </c>
      <c r="X272" s="2460"/>
      <c r="Y272" s="94">
        <f t="shared" si="201"/>
        <v>15</v>
      </c>
      <c r="Z272" s="767">
        <f>'Income Eligble Deemed Table'!BB57</f>
        <v>3.9995086372655919</v>
      </c>
      <c r="AA272" s="2419">
        <f>'Income Eligble Deemed Table'!M57</f>
        <v>0.12</v>
      </c>
      <c r="AB272" s="2416">
        <f t="shared" si="202"/>
        <v>0.45298823640572999</v>
      </c>
      <c r="AC272" s="2416">
        <f t="shared" si="203"/>
        <v>0</v>
      </c>
      <c r="AD272" s="2446">
        <f>'Income Eligble Deemed Table'!BD57</f>
        <v>0.45298823640572999</v>
      </c>
      <c r="AE272" s="2440"/>
      <c r="AF272" s="2440"/>
      <c r="AG272" s="2440"/>
      <c r="AL272" s="2380">
        <f t="shared" si="192"/>
        <v>4.6608050000000002E-4</v>
      </c>
      <c r="AM272">
        <f t="shared" si="220"/>
        <v>2.2371863999999999E-4</v>
      </c>
      <c r="AN272" s="2368">
        <f t="shared" si="193"/>
        <v>-2.8136000000000437E-7</v>
      </c>
    </row>
    <row r="273" spans="1:40" x14ac:dyDescent="0.25">
      <c r="A273" s="2598" t="str">
        <f>'Income Eligble Deemed Table'!C58</f>
        <v>400651_2019_12_</v>
      </c>
      <c r="B273" s="245" t="str">
        <f>'Income Eligble Deemed Table'!G58</f>
        <v>Building Shell RES</v>
      </c>
      <c r="C273" s="245"/>
      <c r="D273" s="245"/>
      <c r="E273" s="245"/>
      <c r="F273" s="245" t="str">
        <f>'Income Eligble Deemed Table'!E58</f>
        <v>MH Adjusted Air Sealing (Infiltration reduction) - 30% SF LI DI heat pump base</v>
      </c>
      <c r="G273" s="745"/>
      <c r="H273" s="2410">
        <f>'Income Eligble Deemed Table'!F58</f>
        <v>0.45</v>
      </c>
      <c r="I273" s="2420">
        <f t="shared" si="217"/>
        <v>0</v>
      </c>
      <c r="J273" s="2454"/>
      <c r="K273" s="2454"/>
      <c r="L273" s="2452"/>
      <c r="M273" s="2452"/>
      <c r="N273" s="2411">
        <f>'Income Eligble Deemed Table'!K58</f>
        <v>2.1000000000000001E-4</v>
      </c>
      <c r="O273" s="2421">
        <f t="shared" si="219"/>
        <v>0</v>
      </c>
      <c r="P273" s="2426"/>
      <c r="Q273" s="2426"/>
      <c r="R273" s="2412"/>
      <c r="S273" s="2412"/>
      <c r="T273" s="2413"/>
      <c r="U273" s="2413"/>
      <c r="V273" s="2413">
        <f t="shared" si="221"/>
        <v>2.1000000000000001E-4</v>
      </c>
      <c r="W273" s="2460">
        <f>'Income Eligble Deemed Table'!L58</f>
        <v>15</v>
      </c>
      <c r="X273" s="2460"/>
      <c r="Y273" s="94">
        <f t="shared" si="201"/>
        <v>15</v>
      </c>
      <c r="Z273" s="767">
        <f>'Income Eligble Deemed Table'!BB58</f>
        <v>0</v>
      </c>
      <c r="AA273" s="2419">
        <f>'Income Eligble Deemed Table'!M58</f>
        <v>0.12</v>
      </c>
      <c r="AB273" s="2416">
        <f t="shared" si="202"/>
        <v>0</v>
      </c>
      <c r="AC273" s="2416">
        <f t="shared" si="203"/>
        <v>0</v>
      </c>
      <c r="AD273" s="2446">
        <f>'Income Eligble Deemed Table'!BD58</f>
        <v>0</v>
      </c>
      <c r="AE273" s="2440"/>
      <c r="AF273" s="2440"/>
      <c r="AG273" s="2440"/>
      <c r="AL273" s="2380">
        <f t="shared" si="192"/>
        <v>4.6608050000000002E-4</v>
      </c>
      <c r="AM273">
        <f t="shared" si="220"/>
        <v>2.0973622500000002E-4</v>
      </c>
      <c r="AN273" s="2368">
        <f t="shared" si="193"/>
        <v>-2.6377499999998715E-7</v>
      </c>
    </row>
    <row r="274" spans="1:40" x14ac:dyDescent="0.25">
      <c r="A274" s="2598" t="str">
        <f>'Income Eligble Deemed Table'!C59</f>
        <v>400652_2019_12_</v>
      </c>
      <c r="B274" s="245" t="str">
        <f>'Income Eligble Deemed Table'!G59</f>
        <v>Building Shell RES</v>
      </c>
      <c r="C274" s="245"/>
      <c r="D274" s="245"/>
      <c r="E274" s="245"/>
      <c r="F274" s="245" t="str">
        <f>'Income Eligble Deemed Table'!E59</f>
        <v>MH Adjusted Air Sealing (Infiltration reduction) - 30% SF LI DI gas furnace base</v>
      </c>
      <c r="G274" s="745"/>
      <c r="H274" s="2410">
        <f>'Income Eligble Deemed Table'!F59</f>
        <v>0.08</v>
      </c>
      <c r="I274" s="2420">
        <f t="shared" si="217"/>
        <v>0</v>
      </c>
      <c r="J274" s="2454"/>
      <c r="K274" s="2454"/>
      <c r="L274" s="2452"/>
      <c r="M274" s="2452"/>
      <c r="N274" s="2411">
        <f>'Income Eligble Deemed Table'!K59</f>
        <v>3.6999999999999998E-5</v>
      </c>
      <c r="O274" s="2421">
        <f t="shared" si="219"/>
        <v>0</v>
      </c>
      <c r="P274" s="2426"/>
      <c r="Q274" s="2426"/>
      <c r="R274" s="2412"/>
      <c r="S274" s="2412"/>
      <c r="T274" s="2413"/>
      <c r="U274" s="2413"/>
      <c r="V274" s="2413">
        <f t="shared" si="221"/>
        <v>3.6999999999999998E-5</v>
      </c>
      <c r="W274" s="2460">
        <f>'Income Eligble Deemed Table'!L59</f>
        <v>15</v>
      </c>
      <c r="X274" s="2460"/>
      <c r="Y274" s="94">
        <f t="shared" si="201"/>
        <v>15</v>
      </c>
      <c r="Z274" s="767">
        <f>'Income Eligble Deemed Table'!BB59</f>
        <v>0</v>
      </c>
      <c r="AA274" s="2419">
        <f>'Income Eligble Deemed Table'!M59</f>
        <v>0.12</v>
      </c>
      <c r="AB274" s="2416">
        <f t="shared" si="202"/>
        <v>0</v>
      </c>
      <c r="AC274" s="2416">
        <f t="shared" si="203"/>
        <v>0</v>
      </c>
      <c r="AD274" s="2446">
        <f>'Income Eligble Deemed Table'!BD59</f>
        <v>0</v>
      </c>
      <c r="AE274" s="2440"/>
      <c r="AF274" s="2440"/>
      <c r="AG274" s="2440"/>
      <c r="AL274" s="2380">
        <f t="shared" si="192"/>
        <v>4.6608050000000002E-4</v>
      </c>
      <c r="AM274">
        <f t="shared" si="220"/>
        <v>3.7286440000000005E-5</v>
      </c>
      <c r="AN274" s="2368">
        <f t="shared" si="193"/>
        <v>2.8644000000000737E-7</v>
      </c>
    </row>
    <row r="275" spans="1:40" x14ac:dyDescent="0.25">
      <c r="A275" s="2598" t="str">
        <f>'Income Eligble Deemed Table'!C116</f>
        <v>400700_2019_12_</v>
      </c>
      <c r="B275" s="245" t="str">
        <f>'Income Eligble Deemed Table'!G116</f>
        <v>Building Shell RES</v>
      </c>
      <c r="C275" s="245"/>
      <c r="D275" s="245"/>
      <c r="E275" s="245"/>
      <c r="F275" s="245" t="str">
        <f>'Income Eligble Deemed Table'!E116</f>
        <v>Ceiling Insulation R11-R49 MF LI DI electric furnace base</v>
      </c>
      <c r="G275" s="745" t="str">
        <f>'Income Eligble Deemed Table'!D116</f>
        <v>MFLI</v>
      </c>
      <c r="H275" s="2410">
        <f>'Income Eligble Deemed Table'!F116</f>
        <v>1.06</v>
      </c>
      <c r="I275" s="2420">
        <f t="shared" si="217"/>
        <v>0</v>
      </c>
      <c r="J275" s="2454"/>
      <c r="K275" s="2454"/>
      <c r="L275" s="2452"/>
      <c r="M275" s="2452"/>
      <c r="N275" s="2411">
        <f>'Income Eligble Deemed Table'!K116</f>
        <v>4.9399999999999997E-4</v>
      </c>
      <c r="O275" s="2421">
        <f t="shared" si="219"/>
        <v>0</v>
      </c>
      <c r="P275" s="2426"/>
      <c r="Q275" s="2426"/>
      <c r="R275" s="2412"/>
      <c r="S275" s="2412"/>
      <c r="T275" s="2413"/>
      <c r="U275" s="2413"/>
      <c r="V275" s="2413">
        <f t="shared" ref="V275" si="222">N275</f>
        <v>4.9399999999999997E-4</v>
      </c>
      <c r="W275" s="2460">
        <f>'Income Eligble Deemed Table'!L116</f>
        <v>25</v>
      </c>
      <c r="X275" s="2460"/>
      <c r="Y275" s="94">
        <f t="shared" si="201"/>
        <v>25</v>
      </c>
      <c r="Z275" s="767">
        <f>'Income Eligble Deemed Table'!BB116</f>
        <v>0.73564454661671608</v>
      </c>
      <c r="AA275" s="2419">
        <f>'Income Eligble Deemed Table'!M116</f>
        <v>2.1249043458397576</v>
      </c>
      <c r="AB275" s="2416">
        <f t="shared" si="202"/>
        <v>1.4753886683333441</v>
      </c>
      <c r="AC275" s="2416">
        <f t="shared" si="203"/>
        <v>0</v>
      </c>
      <c r="AD275" s="2446">
        <f>'Income Eligble Deemed Table'!BD116</f>
        <v>1.4753886683333441</v>
      </c>
      <c r="AE275" s="2440"/>
      <c r="AF275" s="2440"/>
      <c r="AG275" s="2440"/>
      <c r="AL275" s="2380">
        <f t="shared" si="192"/>
        <v>4.6608050000000002E-4</v>
      </c>
      <c r="AM275">
        <f t="shared" si="220"/>
        <v>4.9404533000000001E-4</v>
      </c>
      <c r="AN275" s="2368">
        <f t="shared" si="193"/>
        <v>4.5330000000040442E-8</v>
      </c>
    </row>
    <row r="276" spans="1:40" x14ac:dyDescent="0.25">
      <c r="A276" s="2598" t="str">
        <f>'Income Eligble Deemed Table'!C117</f>
        <v>400750_2019_12_</v>
      </c>
      <c r="B276" s="245" t="str">
        <f>'Income Eligble Deemed Table'!G117</f>
        <v>Building Shell RES</v>
      </c>
      <c r="C276" s="245"/>
      <c r="D276" s="245"/>
      <c r="E276" s="245"/>
      <c r="F276" s="245" t="str">
        <f>'Income Eligble Deemed Table'!E117</f>
        <v>Ceiling Insulation R11-R49 MF LI DI heat pump base</v>
      </c>
      <c r="G276" s="745" t="str">
        <f>'Income Eligble Deemed Table'!D117</f>
        <v>MFLI</v>
      </c>
      <c r="H276" s="2410">
        <f>'Income Eligble Deemed Table'!F117</f>
        <v>0.66</v>
      </c>
      <c r="I276" s="2420">
        <f t="shared" si="217"/>
        <v>0</v>
      </c>
      <c r="J276" s="2454"/>
      <c r="K276" s="2454"/>
      <c r="L276" s="2452"/>
      <c r="M276" s="2452"/>
      <c r="N276" s="2411">
        <f>'Income Eligble Deemed Table'!K117</f>
        <v>3.0800000000000001E-4</v>
      </c>
      <c r="O276" s="2421">
        <f t="shared" si="219"/>
        <v>0</v>
      </c>
      <c r="P276" s="2426"/>
      <c r="Q276" s="2426"/>
      <c r="R276" s="2412"/>
      <c r="S276" s="2412"/>
      <c r="T276" s="2413"/>
      <c r="U276" s="2413"/>
      <c r="V276" s="2413">
        <f t="shared" ref="V276:V305" si="223">N276</f>
        <v>3.0800000000000001E-4</v>
      </c>
      <c r="W276" s="2460">
        <f>'Income Eligble Deemed Table'!L117</f>
        <v>25</v>
      </c>
      <c r="X276" s="2460"/>
      <c r="Y276" s="94">
        <f t="shared" ref="Y276:Y316" si="224">X276+W276</f>
        <v>25</v>
      </c>
      <c r="Z276" s="767">
        <f>'Income Eligble Deemed Table'!BB117</f>
        <v>0.45804283091229497</v>
      </c>
      <c r="AA276" s="2419">
        <f>'Income Eligble Deemed Table'!M117</f>
        <v>2.1249043458397576</v>
      </c>
      <c r="AB276" s="2416">
        <f t="shared" si="202"/>
        <v>0.91863822745283696</v>
      </c>
      <c r="AC276" s="2416">
        <f t="shared" si="203"/>
        <v>0</v>
      </c>
      <c r="AD276" s="2446">
        <f>'Income Eligble Deemed Table'!BD117</f>
        <v>0.91863822745283696</v>
      </c>
      <c r="AE276" s="2440"/>
      <c r="AF276" s="2440"/>
      <c r="AG276" s="2440"/>
      <c r="AL276" s="2380">
        <f t="shared" si="192"/>
        <v>4.6608050000000002E-4</v>
      </c>
      <c r="AM276">
        <f t="shared" si="220"/>
        <v>3.0761313000000001E-4</v>
      </c>
      <c r="AN276" s="2368">
        <f t="shared" si="193"/>
        <v>-3.8686999999999923E-7</v>
      </c>
    </row>
    <row r="277" spans="1:40" x14ac:dyDescent="0.25">
      <c r="A277" s="2598" t="str">
        <f>'Income Eligble Deemed Table'!C118</f>
        <v>400800_2019_12_</v>
      </c>
      <c r="B277" s="245" t="str">
        <f>'Income Eligble Deemed Table'!G118</f>
        <v>Building Shell RES</v>
      </c>
      <c r="C277" s="245"/>
      <c r="D277" s="245"/>
      <c r="E277" s="245"/>
      <c r="F277" s="245" t="str">
        <f>'Income Eligble Deemed Table'!E118</f>
        <v>Ceiling Insulation R11-R49 MF LI DI gas heat electric cool base</v>
      </c>
      <c r="G277" s="745" t="str">
        <f>'Income Eligble Deemed Table'!D118</f>
        <v>MFLI</v>
      </c>
      <c r="H277" s="2410">
        <f>'Income Eligble Deemed Table'!F118</f>
        <v>0.14000000000000001</v>
      </c>
      <c r="I277" s="2420">
        <f t="shared" si="217"/>
        <v>0</v>
      </c>
      <c r="J277" s="2454"/>
      <c r="K277" s="2454"/>
      <c r="L277" s="2452"/>
      <c r="M277" s="2452"/>
      <c r="N277" s="2411">
        <f>'Income Eligble Deemed Table'!K118</f>
        <v>6.4999999999999994E-5</v>
      </c>
      <c r="O277" s="2421">
        <f t="shared" si="219"/>
        <v>0</v>
      </c>
      <c r="P277" s="2426"/>
      <c r="Q277" s="2426"/>
      <c r="R277" s="2412"/>
      <c r="S277" s="2412"/>
      <c r="T277" s="2413"/>
      <c r="U277" s="2413"/>
      <c r="V277" s="2413">
        <f t="shared" si="223"/>
        <v>6.4999999999999994E-5</v>
      </c>
      <c r="W277" s="2460">
        <f>'Income Eligble Deemed Table'!L118</f>
        <v>25</v>
      </c>
      <c r="X277" s="2460"/>
      <c r="Y277" s="94">
        <f t="shared" si="224"/>
        <v>25</v>
      </c>
      <c r="Z277" s="767">
        <f>'Income Eligble Deemed Table'!BB118</f>
        <v>9.7160600496547414E-2</v>
      </c>
      <c r="AA277" s="2419">
        <f>'Income Eligble Deemed Table'!M118</f>
        <v>2.1249043458397576</v>
      </c>
      <c r="AB277" s="2416">
        <f t="shared" si="202"/>
        <v>0.19486265430817754</v>
      </c>
      <c r="AC277" s="2416">
        <f t="shared" si="203"/>
        <v>0</v>
      </c>
      <c r="AD277" s="2446">
        <f>'Income Eligble Deemed Table'!BD118</f>
        <v>0.19486265430817754</v>
      </c>
      <c r="AE277" s="2440"/>
      <c r="AF277" s="2440"/>
      <c r="AG277" s="2440"/>
      <c r="AL277" s="2380">
        <f t="shared" si="192"/>
        <v>4.6608050000000002E-4</v>
      </c>
      <c r="AM277">
        <f t="shared" si="220"/>
        <v>6.5251270000000008E-5</v>
      </c>
      <c r="AN277" s="2368">
        <f t="shared" si="193"/>
        <v>2.512700000000136E-7</v>
      </c>
    </row>
    <row r="278" spans="1:40" x14ac:dyDescent="0.25">
      <c r="A278" s="2598" t="str">
        <f>'Income Eligble Deemed Table'!C119</f>
        <v>400850_2019_12_</v>
      </c>
      <c r="B278" s="245" t="str">
        <f>'Income Eligble Deemed Table'!G119</f>
        <v>Building Shell RES</v>
      </c>
      <c r="C278" s="245"/>
      <c r="D278" s="245"/>
      <c r="E278" s="245"/>
      <c r="F278" s="245" t="str">
        <f>'Income Eligble Deemed Table'!E119</f>
        <v>Ceiling Insulation R11-R49 SF LI DI electric furnace base</v>
      </c>
      <c r="G278" s="745" t="str">
        <f>'Income Eligble Deemed Table'!D119</f>
        <v>SFLI</v>
      </c>
      <c r="H278" s="2410">
        <f>'Income Eligble Deemed Table'!F119</f>
        <v>1.06</v>
      </c>
      <c r="I278" s="2420">
        <f t="shared" si="217"/>
        <v>0</v>
      </c>
      <c r="J278" s="2454"/>
      <c r="K278" s="2454"/>
      <c r="L278" s="2452"/>
      <c r="M278" s="2452"/>
      <c r="N278" s="2411">
        <f>'Income Eligble Deemed Table'!K119</f>
        <v>4.9399999999999997E-4</v>
      </c>
      <c r="O278" s="2421">
        <f t="shared" si="219"/>
        <v>0</v>
      </c>
      <c r="P278" s="2426"/>
      <c r="Q278" s="2426"/>
      <c r="R278" s="2412"/>
      <c r="S278" s="2412"/>
      <c r="T278" s="2413"/>
      <c r="U278" s="2413"/>
      <c r="V278" s="2413">
        <f t="shared" si="223"/>
        <v>4.9399999999999997E-4</v>
      </c>
      <c r="W278" s="2460">
        <f>'Income Eligble Deemed Table'!L119</f>
        <v>25</v>
      </c>
      <c r="X278" s="2460"/>
      <c r="Y278" s="94">
        <f t="shared" si="224"/>
        <v>25</v>
      </c>
      <c r="Z278" s="767">
        <f>'Income Eligble Deemed Table'!BB119</f>
        <v>0.73564355809296633</v>
      </c>
      <c r="AA278" s="2419">
        <f>'Income Eligble Deemed Table'!M119</f>
        <v>2.1249072011878249</v>
      </c>
      <c r="AB278" s="2416">
        <f t="shared" si="202"/>
        <v>1.4753886683333441</v>
      </c>
      <c r="AC278" s="2416">
        <f t="shared" si="203"/>
        <v>0</v>
      </c>
      <c r="AD278" s="2446">
        <f>'Income Eligble Deemed Table'!BD119</f>
        <v>1.4753886683333441</v>
      </c>
      <c r="AE278" s="2440"/>
      <c r="AF278" s="2440"/>
      <c r="AG278" s="2440"/>
      <c r="AL278" s="2380">
        <f t="shared" si="192"/>
        <v>4.6608050000000002E-4</v>
      </c>
      <c r="AM278">
        <f t="shared" si="220"/>
        <v>4.9404533000000001E-4</v>
      </c>
      <c r="AN278" s="2368">
        <f t="shared" si="193"/>
        <v>4.5330000000040442E-8</v>
      </c>
    </row>
    <row r="279" spans="1:40" x14ac:dyDescent="0.25">
      <c r="A279" s="2598" t="str">
        <f>'Income Eligble Deemed Table'!C120</f>
        <v>400900_2019_12_</v>
      </c>
      <c r="B279" s="245" t="str">
        <f>'Income Eligble Deemed Table'!G120</f>
        <v>Building Shell RES</v>
      </c>
      <c r="C279" s="245"/>
      <c r="D279" s="245"/>
      <c r="E279" s="245"/>
      <c r="F279" s="245" t="str">
        <f>'Income Eligble Deemed Table'!E120</f>
        <v>Ceiling Insulation R11-R49 SF LI DI heat pump base</v>
      </c>
      <c r="G279" s="745" t="str">
        <f>'Income Eligble Deemed Table'!D120</f>
        <v>SFLI</v>
      </c>
      <c r="H279" s="2410">
        <f>'Income Eligble Deemed Table'!F120</f>
        <v>0.66</v>
      </c>
      <c r="I279" s="2420">
        <f t="shared" si="217"/>
        <v>0</v>
      </c>
      <c r="J279" s="2454"/>
      <c r="K279" s="2454"/>
      <c r="L279" s="2452"/>
      <c r="M279" s="2452"/>
      <c r="N279" s="2411">
        <f>'Income Eligble Deemed Table'!K120</f>
        <v>3.0800000000000001E-4</v>
      </c>
      <c r="O279" s="2421">
        <f t="shared" si="219"/>
        <v>0</v>
      </c>
      <c r="P279" s="2426"/>
      <c r="Q279" s="2426"/>
      <c r="R279" s="2412"/>
      <c r="S279" s="2412"/>
      <c r="T279" s="2413"/>
      <c r="U279" s="2413"/>
      <c r="V279" s="2413">
        <f t="shared" si="223"/>
        <v>3.0800000000000001E-4</v>
      </c>
      <c r="W279" s="2460">
        <f>'Income Eligble Deemed Table'!L120</f>
        <v>25</v>
      </c>
      <c r="X279" s="2460"/>
      <c r="Y279" s="94">
        <f t="shared" si="224"/>
        <v>25</v>
      </c>
      <c r="Z279" s="767">
        <f>'Income Eligble Deemed Table'!BB120</f>
        <v>0.4580422154163753</v>
      </c>
      <c r="AA279" s="2419">
        <f>'Income Eligble Deemed Table'!M120</f>
        <v>2.1249072011878249</v>
      </c>
      <c r="AB279" s="2416">
        <f t="shared" si="202"/>
        <v>0.91863822745283696</v>
      </c>
      <c r="AC279" s="2416">
        <f t="shared" si="203"/>
        <v>0</v>
      </c>
      <c r="AD279" s="2446">
        <f>'Income Eligble Deemed Table'!BD120</f>
        <v>0.91863822745283696</v>
      </c>
      <c r="AE279" s="2440"/>
      <c r="AF279" s="2440"/>
      <c r="AG279" s="2440"/>
      <c r="AL279" s="2380">
        <f t="shared" si="192"/>
        <v>4.6608050000000002E-4</v>
      </c>
      <c r="AM279">
        <f t="shared" si="220"/>
        <v>3.0761313000000001E-4</v>
      </c>
      <c r="AN279" s="2368">
        <f t="shared" si="193"/>
        <v>-3.8686999999999923E-7</v>
      </c>
    </row>
    <row r="280" spans="1:40" x14ac:dyDescent="0.25">
      <c r="A280" s="2598" t="str">
        <f>'Income Eligble Deemed Table'!C121</f>
        <v>400950_2019_12_</v>
      </c>
      <c r="B280" s="245" t="str">
        <f>'Income Eligble Deemed Table'!G121</f>
        <v>Building Shell RES</v>
      </c>
      <c r="C280" s="245"/>
      <c r="D280" s="245"/>
      <c r="E280" s="245"/>
      <c r="F280" s="245" t="str">
        <f>'Income Eligble Deemed Table'!E121</f>
        <v>Ceiling Insulation R11-R49 SF LI DI gas heat electric cool base</v>
      </c>
      <c r="G280" s="745" t="str">
        <f>'Income Eligble Deemed Table'!D121</f>
        <v>SFLI</v>
      </c>
      <c r="H280" s="2410">
        <f>'Income Eligble Deemed Table'!F121</f>
        <v>0.14000000000000001</v>
      </c>
      <c r="I280" s="2420">
        <f t="shared" si="217"/>
        <v>0</v>
      </c>
      <c r="J280" s="2454"/>
      <c r="K280" s="2454"/>
      <c r="L280" s="2452"/>
      <c r="M280" s="2452"/>
      <c r="N280" s="2411">
        <f>'Income Eligble Deemed Table'!K121</f>
        <v>6.4999999999999994E-5</v>
      </c>
      <c r="O280" s="2421">
        <f t="shared" si="219"/>
        <v>0</v>
      </c>
      <c r="P280" s="2426"/>
      <c r="Q280" s="2426"/>
      <c r="R280" s="2412"/>
      <c r="S280" s="2412"/>
      <c r="T280" s="2413"/>
      <c r="U280" s="2413"/>
      <c r="V280" s="2413">
        <f t="shared" si="223"/>
        <v>6.4999999999999994E-5</v>
      </c>
      <c r="W280" s="2460">
        <f>'Income Eligble Deemed Table'!L121</f>
        <v>25</v>
      </c>
      <c r="X280" s="2460"/>
      <c r="Y280" s="94">
        <f t="shared" si="224"/>
        <v>25</v>
      </c>
      <c r="Z280" s="767">
        <f>'Income Eligble Deemed Table'!BB121</f>
        <v>9.7160469936806881E-2</v>
      </c>
      <c r="AA280" s="2419">
        <f>'Income Eligble Deemed Table'!M121</f>
        <v>2.1249072011878249</v>
      </c>
      <c r="AB280" s="2416">
        <f t="shared" si="202"/>
        <v>0.19486265430817754</v>
      </c>
      <c r="AC280" s="2416">
        <f t="shared" si="203"/>
        <v>0</v>
      </c>
      <c r="AD280" s="2446">
        <f>'Income Eligble Deemed Table'!BD121</f>
        <v>0.19486265430817754</v>
      </c>
      <c r="AE280" s="2440"/>
      <c r="AF280" s="2440"/>
      <c r="AG280" s="2440"/>
      <c r="AL280" s="2380">
        <f t="shared" si="192"/>
        <v>4.6608050000000002E-4</v>
      </c>
      <c r="AM280">
        <f t="shared" si="220"/>
        <v>6.5251270000000008E-5</v>
      </c>
      <c r="AN280" s="2368">
        <f t="shared" si="193"/>
        <v>2.512700000000136E-7</v>
      </c>
    </row>
    <row r="281" spans="1:40" x14ac:dyDescent="0.25">
      <c r="A281" s="2598" t="str">
        <f>'Income Eligble Deemed Table'!C122</f>
        <v>401000_2019_12_</v>
      </c>
      <c r="B281" s="245" t="str">
        <f>'Income Eligble Deemed Table'!G122</f>
        <v>Building Shell RES</v>
      </c>
      <c r="C281" s="245"/>
      <c r="D281" s="245"/>
      <c r="E281" s="245"/>
      <c r="F281" s="245" t="str">
        <f>'Income Eligble Deemed Table'!E122</f>
        <v>Ceiling Insulation R5-R30 MF LI DI electric furnace base</v>
      </c>
      <c r="G281" s="745" t="str">
        <f>'Income Eligble Deemed Table'!D122</f>
        <v>MFLI</v>
      </c>
      <c r="H281" s="2410">
        <f>'Income Eligble Deemed Table'!F122</f>
        <v>1.71</v>
      </c>
      <c r="I281" s="2420">
        <f t="shared" si="217"/>
        <v>0</v>
      </c>
      <c r="J281" s="2454"/>
      <c r="K281" s="2454"/>
      <c r="L281" s="2452"/>
      <c r="M281" s="2452"/>
      <c r="N281" s="2411">
        <f>'Income Eligble Deemed Table'!K122</f>
        <v>7.9699999999999997E-4</v>
      </c>
      <c r="O281" s="2421">
        <f t="shared" si="219"/>
        <v>0</v>
      </c>
      <c r="P281" s="2426"/>
      <c r="Q281" s="2426"/>
      <c r="R281" s="2412"/>
      <c r="S281" s="2412"/>
      <c r="T281" s="2413"/>
      <c r="U281" s="2413"/>
      <c r="V281" s="2413">
        <f t="shared" si="223"/>
        <v>7.9699999999999997E-4</v>
      </c>
      <c r="W281" s="2460">
        <f>'Income Eligble Deemed Table'!L122</f>
        <v>25</v>
      </c>
      <c r="X281" s="2460"/>
      <c r="Y281" s="94">
        <f t="shared" si="224"/>
        <v>25</v>
      </c>
      <c r="Z281" s="767">
        <f>'Income Eligble Deemed Table'!BB122</f>
        <v>2.1680871992176587</v>
      </c>
      <c r="AA281" s="2419">
        <f>'Income Eligble Deemed Table'!M122</f>
        <v>1.1631103074141049</v>
      </c>
      <c r="AB281" s="2416">
        <f t="shared" si="202"/>
        <v>2.3801081347641682</v>
      </c>
      <c r="AC281" s="2416">
        <f t="shared" si="203"/>
        <v>0</v>
      </c>
      <c r="AD281" s="2446">
        <f>'Income Eligble Deemed Table'!BD122</f>
        <v>2.3801081347641682</v>
      </c>
      <c r="AE281" s="2440"/>
      <c r="AF281" s="2440"/>
      <c r="AG281" s="2440"/>
      <c r="AL281" s="2380">
        <f t="shared" si="192"/>
        <v>4.6608050000000002E-4</v>
      </c>
      <c r="AM281">
        <f t="shared" si="220"/>
        <v>7.9699765500000001E-4</v>
      </c>
      <c r="AN281" s="2368">
        <f t="shared" si="193"/>
        <v>-2.3449999999539811E-9</v>
      </c>
    </row>
    <row r="282" spans="1:40" x14ac:dyDescent="0.25">
      <c r="A282" s="2598" t="str">
        <f>'Income Eligble Deemed Table'!C123</f>
        <v>401050_2019_12_</v>
      </c>
      <c r="B282" s="245" t="str">
        <f>'Income Eligble Deemed Table'!G123</f>
        <v>Building Shell RES</v>
      </c>
      <c r="C282" s="245"/>
      <c r="D282" s="245"/>
      <c r="E282" s="245"/>
      <c r="F282" s="245" t="str">
        <f>'Income Eligble Deemed Table'!E123</f>
        <v>Ceiling Insulation R5-R30 MF LI DI heat pump base</v>
      </c>
      <c r="G282" s="745" t="str">
        <f>'Income Eligble Deemed Table'!D123</f>
        <v>MFLI</v>
      </c>
      <c r="H282" s="2410">
        <f>'Income Eligble Deemed Table'!F123</f>
        <v>1.07</v>
      </c>
      <c r="I282" s="2420">
        <f t="shared" si="217"/>
        <v>0</v>
      </c>
      <c r="J282" s="2454"/>
      <c r="K282" s="2454"/>
      <c r="L282" s="2452"/>
      <c r="M282" s="2452"/>
      <c r="N282" s="2411">
        <f>'Income Eligble Deemed Table'!K123</f>
        <v>4.9899999999999999E-4</v>
      </c>
      <c r="O282" s="2421">
        <f t="shared" si="219"/>
        <v>0</v>
      </c>
      <c r="P282" s="2426"/>
      <c r="Q282" s="2426"/>
      <c r="R282" s="2412"/>
      <c r="S282" s="2412"/>
      <c r="T282" s="2413"/>
      <c r="U282" s="2413"/>
      <c r="V282" s="2413">
        <f t="shared" si="223"/>
        <v>4.9899999999999999E-4</v>
      </c>
      <c r="W282" s="2460">
        <f>'Income Eligble Deemed Table'!L123</f>
        <v>25</v>
      </c>
      <c r="X282" s="2460"/>
      <c r="Y282" s="94">
        <f t="shared" si="224"/>
        <v>25</v>
      </c>
      <c r="Z282" s="767">
        <f>'Income Eligble Deemed Table'!BB123</f>
        <v>1.3566393585747922</v>
      </c>
      <c r="AA282" s="2419">
        <f>'Income Eligble Deemed Table'!M123</f>
        <v>1.1631103074141049</v>
      </c>
      <c r="AB282" s="2416">
        <f t="shared" si="202"/>
        <v>1.4893074293553568</v>
      </c>
      <c r="AC282" s="2416">
        <f t="shared" si="203"/>
        <v>0</v>
      </c>
      <c r="AD282" s="2446">
        <f>'Income Eligble Deemed Table'!BD123</f>
        <v>1.4893074293553568</v>
      </c>
      <c r="AE282" s="2440"/>
      <c r="AF282" s="2440"/>
      <c r="AG282" s="2440"/>
      <c r="AL282" s="2380">
        <f t="shared" si="192"/>
        <v>4.6608050000000002E-4</v>
      </c>
      <c r="AM282">
        <f t="shared" si="220"/>
        <v>4.9870613500000002E-4</v>
      </c>
      <c r="AN282" s="2368">
        <f t="shared" si="193"/>
        <v>-2.9386499999996436E-7</v>
      </c>
    </row>
    <row r="283" spans="1:40" x14ac:dyDescent="0.25">
      <c r="A283" s="2598" t="str">
        <f>'Income Eligble Deemed Table'!C124</f>
        <v>401100_2019_12_</v>
      </c>
      <c r="B283" s="245" t="str">
        <f>'Income Eligble Deemed Table'!G124</f>
        <v>Building Shell RES</v>
      </c>
      <c r="C283" s="245"/>
      <c r="D283" s="245"/>
      <c r="E283" s="245"/>
      <c r="F283" s="245" t="str">
        <f>'Income Eligble Deemed Table'!E124</f>
        <v>Ceiling Insulation R5-R30 MF LI DI gas heat electric cool base</v>
      </c>
      <c r="G283" s="745" t="str">
        <f>'Income Eligble Deemed Table'!D124</f>
        <v>MFLI</v>
      </c>
      <c r="H283" s="2410">
        <f>'Income Eligble Deemed Table'!F124</f>
        <v>0.23</v>
      </c>
      <c r="I283" s="2420">
        <f t="shared" si="217"/>
        <v>0</v>
      </c>
      <c r="J283" s="2454"/>
      <c r="K283" s="2454"/>
      <c r="L283" s="2452"/>
      <c r="M283" s="2452"/>
      <c r="N283" s="2411">
        <f>'Income Eligble Deemed Table'!K124</f>
        <v>1.07E-4</v>
      </c>
      <c r="O283" s="2421">
        <f t="shared" si="219"/>
        <v>0</v>
      </c>
      <c r="P283" s="2426"/>
      <c r="Q283" s="2426"/>
      <c r="R283" s="2412"/>
      <c r="S283" s="2412"/>
      <c r="T283" s="2413"/>
      <c r="U283" s="2413"/>
      <c r="V283" s="2413">
        <f t="shared" si="223"/>
        <v>1.07E-4</v>
      </c>
      <c r="W283" s="2460">
        <f>'Income Eligble Deemed Table'!L124</f>
        <v>25</v>
      </c>
      <c r="X283" s="2460"/>
      <c r="Y283" s="94">
        <f t="shared" si="224"/>
        <v>25</v>
      </c>
      <c r="Z283" s="767">
        <f>'Income Eligble Deemed Table'!BB124</f>
        <v>0.29161406773103016</v>
      </c>
      <c r="AA283" s="2419">
        <f>'Income Eligble Deemed Table'!M124</f>
        <v>1.1631103074141049</v>
      </c>
      <c r="AB283" s="2416">
        <f t="shared" si="202"/>
        <v>0.32013150350629166</v>
      </c>
      <c r="AC283" s="2416">
        <f t="shared" si="203"/>
        <v>0</v>
      </c>
      <c r="AD283" s="2446">
        <f>'Income Eligble Deemed Table'!BD124</f>
        <v>0.32013150350629166</v>
      </c>
      <c r="AE283" s="2440"/>
      <c r="AF283" s="2440"/>
      <c r="AG283" s="2440"/>
      <c r="AL283" s="2380">
        <f t="shared" si="192"/>
        <v>4.6608050000000002E-4</v>
      </c>
      <c r="AM283">
        <f t="shared" si="220"/>
        <v>1.0719851500000001E-4</v>
      </c>
      <c r="AN283" s="2368">
        <f t="shared" si="193"/>
        <v>1.9851500000001617E-7</v>
      </c>
    </row>
    <row r="284" spans="1:40" x14ac:dyDescent="0.25">
      <c r="A284" s="2598" t="str">
        <f>'Income Eligble Deemed Table'!C125</f>
        <v>401150_2019_12_</v>
      </c>
      <c r="B284" s="245" t="str">
        <f>'Income Eligble Deemed Table'!G125</f>
        <v>Building Shell RES</v>
      </c>
      <c r="C284" s="245"/>
      <c r="D284" s="245"/>
      <c r="E284" s="245"/>
      <c r="F284" s="245" t="str">
        <f>'Income Eligble Deemed Table'!E125</f>
        <v>Ceiling Insulation R5-R30 SF LI DI electric furnace base</v>
      </c>
      <c r="G284" s="745" t="str">
        <f>'Income Eligble Deemed Table'!D125</f>
        <v>SFLI</v>
      </c>
      <c r="H284" s="2410">
        <f>'Income Eligble Deemed Table'!F125</f>
        <v>1.71</v>
      </c>
      <c r="I284" s="2420">
        <f t="shared" si="217"/>
        <v>0</v>
      </c>
      <c r="J284" s="2454"/>
      <c r="K284" s="2454"/>
      <c r="L284" s="2452"/>
      <c r="M284" s="2452"/>
      <c r="N284" s="2411">
        <f>'Income Eligble Deemed Table'!K125</f>
        <v>7.9699999999999997E-4</v>
      </c>
      <c r="O284" s="2421">
        <f t="shared" si="219"/>
        <v>0</v>
      </c>
      <c r="P284" s="2426"/>
      <c r="Q284" s="2426"/>
      <c r="R284" s="2412"/>
      <c r="S284" s="2412"/>
      <c r="T284" s="2413"/>
      <c r="U284" s="2413"/>
      <c r="V284" s="2413">
        <f t="shared" si="223"/>
        <v>7.9699999999999997E-4</v>
      </c>
      <c r="W284" s="2460">
        <f>'Income Eligble Deemed Table'!L125</f>
        <v>25</v>
      </c>
      <c r="X284" s="2460"/>
      <c r="Y284" s="94">
        <f t="shared" si="224"/>
        <v>25</v>
      </c>
      <c r="Z284" s="767">
        <f>'Income Eligble Deemed Table'!BB125</f>
        <v>2.168104053260361</v>
      </c>
      <c r="AA284" s="2419">
        <f>'Income Eligble Deemed Table'!M125</f>
        <v>1.1631012658227848</v>
      </c>
      <c r="AB284" s="2416">
        <f t="shared" si="202"/>
        <v>2.3801081347641682</v>
      </c>
      <c r="AC284" s="2416">
        <f t="shared" si="203"/>
        <v>0</v>
      </c>
      <c r="AD284" s="2446">
        <f>'Income Eligble Deemed Table'!BD125</f>
        <v>2.3801081347641682</v>
      </c>
      <c r="AE284" s="2440"/>
      <c r="AF284" s="2440"/>
      <c r="AG284" s="2440"/>
      <c r="AL284" s="2380">
        <f t="shared" si="192"/>
        <v>4.6608050000000002E-4</v>
      </c>
      <c r="AM284">
        <f t="shared" si="220"/>
        <v>7.9699765500000001E-4</v>
      </c>
      <c r="AN284" s="2368">
        <f t="shared" si="193"/>
        <v>-2.3449999999539811E-9</v>
      </c>
    </row>
    <row r="285" spans="1:40" x14ac:dyDescent="0.25">
      <c r="A285" s="2598" t="str">
        <f>'Income Eligble Deemed Table'!C126</f>
        <v>401200_2019_12_</v>
      </c>
      <c r="B285" s="245" t="str">
        <f>'Income Eligble Deemed Table'!G126</f>
        <v>Building Shell RES</v>
      </c>
      <c r="C285" s="245"/>
      <c r="D285" s="245"/>
      <c r="E285" s="245"/>
      <c r="F285" s="245" t="str">
        <f>'Income Eligble Deemed Table'!E126</f>
        <v>Ceiling Insulation R5-R30 SF LI DI heat pump base</v>
      </c>
      <c r="G285" s="745" t="str">
        <f>'Income Eligble Deemed Table'!D126</f>
        <v>SFLI</v>
      </c>
      <c r="H285" s="2410">
        <f>'Income Eligble Deemed Table'!F126</f>
        <v>1.07</v>
      </c>
      <c r="I285" s="2420">
        <f t="shared" si="217"/>
        <v>0</v>
      </c>
      <c r="J285" s="2454"/>
      <c r="K285" s="2454"/>
      <c r="L285" s="2452"/>
      <c r="M285" s="2452"/>
      <c r="N285" s="2411">
        <f>'Income Eligble Deemed Table'!K126</f>
        <v>4.9899999999999999E-4</v>
      </c>
      <c r="O285" s="2421">
        <f t="shared" si="219"/>
        <v>0</v>
      </c>
      <c r="P285" s="2426"/>
      <c r="Q285" s="2426"/>
      <c r="R285" s="2412"/>
      <c r="S285" s="2412"/>
      <c r="T285" s="2413"/>
      <c r="U285" s="2413"/>
      <c r="V285" s="2413">
        <f t="shared" si="223"/>
        <v>4.9899999999999999E-4</v>
      </c>
      <c r="W285" s="2460">
        <f>'Income Eligble Deemed Table'!L126</f>
        <v>25</v>
      </c>
      <c r="X285" s="2460"/>
      <c r="Y285" s="94">
        <f t="shared" si="224"/>
        <v>25</v>
      </c>
      <c r="Z285" s="767">
        <f>'Income Eligble Deemed Table'!BB126</f>
        <v>1.356649904671688</v>
      </c>
      <c r="AA285" s="2419">
        <f>'Income Eligble Deemed Table'!M126</f>
        <v>1.1631012658227848</v>
      </c>
      <c r="AB285" s="2416">
        <f t="shared" si="202"/>
        <v>1.4893074293553568</v>
      </c>
      <c r="AC285" s="2416">
        <f t="shared" si="203"/>
        <v>0</v>
      </c>
      <c r="AD285" s="2446">
        <f>'Income Eligble Deemed Table'!BD126</f>
        <v>1.4893074293553568</v>
      </c>
      <c r="AE285" s="2440"/>
      <c r="AF285" s="2440"/>
      <c r="AG285" s="2440"/>
      <c r="AL285" s="2380">
        <f t="shared" si="192"/>
        <v>4.6608050000000002E-4</v>
      </c>
      <c r="AM285">
        <f t="shared" si="220"/>
        <v>4.9870613500000002E-4</v>
      </c>
      <c r="AN285" s="2368">
        <f t="shared" si="193"/>
        <v>-2.9386499999996436E-7</v>
      </c>
    </row>
    <row r="286" spans="1:40" x14ac:dyDescent="0.25">
      <c r="A286" s="2598" t="str">
        <f>'Income Eligble Deemed Table'!C127</f>
        <v>401250_2019_12_</v>
      </c>
      <c r="B286" s="245" t="str">
        <f>'Income Eligble Deemed Table'!G127</f>
        <v>Building Shell RES</v>
      </c>
      <c r="C286" s="245"/>
      <c r="D286" s="245"/>
      <c r="E286" s="245"/>
      <c r="F286" s="245" t="str">
        <f>'Income Eligble Deemed Table'!E127</f>
        <v>Ceiling Insulation R5-R30 SF LI DI gas heat electric cool base</v>
      </c>
      <c r="G286" s="745" t="str">
        <f>'Income Eligble Deemed Table'!D127</f>
        <v>SFLI</v>
      </c>
      <c r="H286" s="2410">
        <f>'Income Eligble Deemed Table'!F127</f>
        <v>0.23</v>
      </c>
      <c r="I286" s="2420">
        <f t="shared" si="217"/>
        <v>0</v>
      </c>
      <c r="J286" s="2454"/>
      <c r="K286" s="2454"/>
      <c r="L286" s="2452"/>
      <c r="M286" s="2452"/>
      <c r="N286" s="2411">
        <f>'Income Eligble Deemed Table'!K127</f>
        <v>1.07E-4</v>
      </c>
      <c r="O286" s="2421">
        <f t="shared" si="219"/>
        <v>0</v>
      </c>
      <c r="P286" s="2426"/>
      <c r="Q286" s="2426"/>
      <c r="R286" s="2412"/>
      <c r="S286" s="2412"/>
      <c r="T286" s="2413"/>
      <c r="U286" s="2413"/>
      <c r="V286" s="2413">
        <f t="shared" si="223"/>
        <v>1.07E-4</v>
      </c>
      <c r="W286" s="2460">
        <f>'Income Eligble Deemed Table'!L127</f>
        <v>25</v>
      </c>
      <c r="X286" s="2460"/>
      <c r="Y286" s="94">
        <f t="shared" si="224"/>
        <v>25</v>
      </c>
      <c r="Z286" s="767">
        <f>'Income Eligble Deemed Table'!BB127</f>
        <v>0.29161633464905445</v>
      </c>
      <c r="AA286" s="2419">
        <f>'Income Eligble Deemed Table'!M127</f>
        <v>1.1631012658227848</v>
      </c>
      <c r="AB286" s="2416">
        <f t="shared" si="202"/>
        <v>0.32013150350629166</v>
      </c>
      <c r="AC286" s="2416">
        <f t="shared" si="203"/>
        <v>0</v>
      </c>
      <c r="AD286" s="2446">
        <f>'Income Eligble Deemed Table'!BD127</f>
        <v>0.32013150350629166</v>
      </c>
      <c r="AE286" s="2440"/>
      <c r="AF286" s="2440"/>
      <c r="AG286" s="2440"/>
      <c r="AL286" s="2380">
        <f t="shared" si="192"/>
        <v>4.6608050000000002E-4</v>
      </c>
      <c r="AM286">
        <f t="shared" si="220"/>
        <v>1.0719851500000001E-4</v>
      </c>
      <c r="AN286" s="2368">
        <f t="shared" si="193"/>
        <v>1.9851500000001617E-7</v>
      </c>
    </row>
    <row r="287" spans="1:40" x14ac:dyDescent="0.25">
      <c r="A287" s="2598" t="str">
        <f>'Income Eligble Deemed Table'!C128</f>
        <v>401300_2019_12_</v>
      </c>
      <c r="B287" s="245" t="str">
        <f>'Income Eligble Deemed Table'!G128</f>
        <v>Building Shell RES</v>
      </c>
      <c r="C287" s="245"/>
      <c r="D287" s="245"/>
      <c r="E287" s="245"/>
      <c r="F287" s="245" t="str">
        <f>'Income Eligble Deemed Table'!E128</f>
        <v>Ceiling Insulation R5-R38 MF LI DI electric furnace base</v>
      </c>
      <c r="G287" s="745" t="str">
        <f>'Income Eligble Deemed Table'!D128</f>
        <v>MFLI</v>
      </c>
      <c r="H287" s="2410">
        <f>'Income Eligble Deemed Table'!F128</f>
        <v>1.84</v>
      </c>
      <c r="I287" s="2420">
        <f t="shared" si="217"/>
        <v>0</v>
      </c>
      <c r="J287" s="2454"/>
      <c r="K287" s="2454"/>
      <c r="L287" s="2452"/>
      <c r="M287" s="2452"/>
      <c r="N287" s="2411">
        <f>'Income Eligble Deemed Table'!K128</f>
        <v>8.5800000000000004E-4</v>
      </c>
      <c r="O287" s="2421">
        <f t="shared" si="219"/>
        <v>0</v>
      </c>
      <c r="P287" s="2426"/>
      <c r="Q287" s="2426"/>
      <c r="R287" s="2412"/>
      <c r="S287" s="2412"/>
      <c r="T287" s="2413"/>
      <c r="U287" s="2413"/>
      <c r="V287" s="2413">
        <f t="shared" si="223"/>
        <v>8.5800000000000004E-4</v>
      </c>
      <c r="W287" s="2460">
        <f>'Income Eligble Deemed Table'!L128</f>
        <v>25</v>
      </c>
      <c r="X287" s="2460"/>
      <c r="Y287" s="94">
        <f t="shared" si="224"/>
        <v>25</v>
      </c>
      <c r="Z287" s="767">
        <f>'Income Eligble Deemed Table'!BB128</f>
        <v>1.6141399677218247</v>
      </c>
      <c r="AA287" s="2419">
        <f>'Income Eligble Deemed Table'!M128</f>
        <v>1.6810404785088331</v>
      </c>
      <c r="AB287" s="2416">
        <f t="shared" si="202"/>
        <v>2.5610520280503333</v>
      </c>
      <c r="AC287" s="2416">
        <f t="shared" si="203"/>
        <v>0</v>
      </c>
      <c r="AD287" s="2446">
        <f>'Income Eligble Deemed Table'!BD128</f>
        <v>2.5610520280503333</v>
      </c>
      <c r="AE287" s="2440"/>
      <c r="AF287" s="2440"/>
      <c r="AG287" s="2440"/>
      <c r="AL287" s="2380">
        <f t="shared" si="192"/>
        <v>4.6608050000000002E-4</v>
      </c>
      <c r="AM287">
        <f t="shared" ref="AM287:AM321" si="225">AL287*H287</f>
        <v>8.5758812000000012E-4</v>
      </c>
      <c r="AN287" s="2368">
        <f t="shared" si="193"/>
        <v>-4.1187999999991922E-7</v>
      </c>
    </row>
    <row r="288" spans="1:40" x14ac:dyDescent="0.25">
      <c r="A288" s="2598" t="str">
        <f>'Income Eligble Deemed Table'!C129</f>
        <v>401350_2019_12_</v>
      </c>
      <c r="B288" s="245" t="str">
        <f>'Income Eligble Deemed Table'!G129</f>
        <v>Building Shell RES</v>
      </c>
      <c r="C288" s="245"/>
      <c r="D288" s="245"/>
      <c r="E288" s="245"/>
      <c r="F288" s="245" t="str">
        <f>'Income Eligble Deemed Table'!E129</f>
        <v>Ceiling Insulation R5-R38 MF LI DI heat pump base</v>
      </c>
      <c r="G288" s="745" t="str">
        <f>'Income Eligble Deemed Table'!D129</f>
        <v>MFLI</v>
      </c>
      <c r="H288" s="2410">
        <f>'Income Eligble Deemed Table'!F129</f>
        <v>1.1499999999999999</v>
      </c>
      <c r="I288" s="2420">
        <f t="shared" si="217"/>
        <v>0</v>
      </c>
      <c r="J288" s="2454"/>
      <c r="K288" s="2454"/>
      <c r="L288" s="2452"/>
      <c r="M288" s="2452"/>
      <c r="N288" s="2411">
        <f>'Income Eligble Deemed Table'!K129</f>
        <v>5.3600000000000002E-4</v>
      </c>
      <c r="O288" s="2421">
        <f t="shared" si="219"/>
        <v>0</v>
      </c>
      <c r="P288" s="2426"/>
      <c r="Q288" s="2426"/>
      <c r="R288" s="2412"/>
      <c r="S288" s="2412"/>
      <c r="T288" s="2413"/>
      <c r="U288" s="2413"/>
      <c r="V288" s="2413">
        <f t="shared" si="223"/>
        <v>5.3600000000000002E-4</v>
      </c>
      <c r="W288" s="2460">
        <f>'Income Eligble Deemed Table'!L129</f>
        <v>25</v>
      </c>
      <c r="X288" s="2460"/>
      <c r="Y288" s="94">
        <f t="shared" si="224"/>
        <v>25</v>
      </c>
      <c r="Z288" s="767">
        <f>'Income Eligble Deemed Table'!BB129</f>
        <v>1.0088374798261404</v>
      </c>
      <c r="AA288" s="2419">
        <f>'Income Eligble Deemed Table'!M129</f>
        <v>1.6810404785088331</v>
      </c>
      <c r="AB288" s="2416">
        <f t="shared" si="202"/>
        <v>1.6006575175314581</v>
      </c>
      <c r="AC288" s="2416">
        <f t="shared" si="203"/>
        <v>0</v>
      </c>
      <c r="AD288" s="2446">
        <f>'Income Eligble Deemed Table'!BD129</f>
        <v>1.6006575175314581</v>
      </c>
      <c r="AE288" s="2440"/>
      <c r="AF288" s="2440"/>
      <c r="AG288" s="2440"/>
      <c r="AL288" s="2380">
        <f t="shared" si="192"/>
        <v>4.6608050000000002E-4</v>
      </c>
      <c r="AM288">
        <f t="shared" si="225"/>
        <v>5.3599257499999998E-4</v>
      </c>
      <c r="AN288" s="2368">
        <f t="shared" si="193"/>
        <v>-7.4250000000383037E-9</v>
      </c>
    </row>
    <row r="289" spans="1:40" x14ac:dyDescent="0.25">
      <c r="A289" s="2598" t="str">
        <f>'Income Eligble Deemed Table'!C130</f>
        <v>401400_2019_12_</v>
      </c>
      <c r="B289" s="245" t="str">
        <f>'Income Eligble Deemed Table'!G130</f>
        <v>Building Shell RES</v>
      </c>
      <c r="C289" s="245"/>
      <c r="D289" s="245"/>
      <c r="E289" s="245"/>
      <c r="F289" s="245" t="str">
        <f>'Income Eligble Deemed Table'!E130</f>
        <v>Ceiling Insulation R5-R38 MF LI DI gas heat electric cool base</v>
      </c>
      <c r="G289" s="745" t="str">
        <f>'Income Eligble Deemed Table'!D130</f>
        <v>MFLI</v>
      </c>
      <c r="H289" s="2410">
        <f>'Income Eligble Deemed Table'!F130</f>
        <v>0.25</v>
      </c>
      <c r="I289" s="2420">
        <f t="shared" si="217"/>
        <v>0</v>
      </c>
      <c r="J289" s="2454"/>
      <c r="K289" s="2454"/>
      <c r="L289" s="2452"/>
      <c r="M289" s="2452"/>
      <c r="N289" s="2411">
        <f>'Income Eligble Deemed Table'!K130</f>
        <v>1.17E-4</v>
      </c>
      <c r="O289" s="2421">
        <f t="shared" si="219"/>
        <v>0</v>
      </c>
      <c r="P289" s="2426"/>
      <c r="Q289" s="2426"/>
      <c r="R289" s="2412"/>
      <c r="S289" s="2412"/>
      <c r="T289" s="2413"/>
      <c r="U289" s="2413"/>
      <c r="V289" s="2413">
        <f t="shared" si="223"/>
        <v>1.17E-4</v>
      </c>
      <c r="W289" s="2460">
        <f>'Income Eligble Deemed Table'!L130</f>
        <v>25</v>
      </c>
      <c r="X289" s="2460"/>
      <c r="Y289" s="94">
        <f t="shared" si="224"/>
        <v>25</v>
      </c>
      <c r="Z289" s="767">
        <f>'Income Eligble Deemed Table'!BB130</f>
        <v>0.21931249561437835</v>
      </c>
      <c r="AA289" s="2419">
        <f>'Income Eligble Deemed Table'!M130</f>
        <v>1.6810404785088331</v>
      </c>
      <c r="AB289" s="2416">
        <f t="shared" si="202"/>
        <v>0.347969025550317</v>
      </c>
      <c r="AC289" s="2416">
        <f t="shared" si="203"/>
        <v>0</v>
      </c>
      <c r="AD289" s="2446">
        <f>'Income Eligble Deemed Table'!BD130</f>
        <v>0.347969025550317</v>
      </c>
      <c r="AE289" s="2440"/>
      <c r="AF289" s="2440"/>
      <c r="AG289" s="2440"/>
      <c r="AL289" s="2380">
        <f t="shared" ref="AL289:AL355" si="226">VLOOKUP(B289,$AR$10:$AS$30,2,FALSE)</f>
        <v>4.6608050000000002E-4</v>
      </c>
      <c r="AM289">
        <f t="shared" si="225"/>
        <v>1.16520125E-4</v>
      </c>
      <c r="AN289" s="2368">
        <f t="shared" ref="AN289:AN355" si="227">AM289-N289</f>
        <v>-4.7987499999999344E-7</v>
      </c>
    </row>
    <row r="290" spans="1:40" x14ac:dyDescent="0.25">
      <c r="A290" s="2598" t="str">
        <f>'Income Eligble Deemed Table'!C131</f>
        <v>401450_2019_12_</v>
      </c>
      <c r="B290" s="245" t="str">
        <f>'Income Eligble Deemed Table'!G131</f>
        <v>Building Shell RES</v>
      </c>
      <c r="C290" s="245"/>
      <c r="D290" s="245"/>
      <c r="E290" s="245"/>
      <c r="F290" s="245" t="str">
        <f>'Income Eligble Deemed Table'!E131</f>
        <v>Ceiling Insulation R5-R38 SF LI DI electric furnace base</v>
      </c>
      <c r="G290" s="745" t="str">
        <f>'Income Eligble Deemed Table'!D131</f>
        <v>SFLI</v>
      </c>
      <c r="H290" s="2410">
        <f>'Income Eligble Deemed Table'!F131</f>
        <v>1.84</v>
      </c>
      <c r="I290" s="2420">
        <f t="shared" si="217"/>
        <v>0</v>
      </c>
      <c r="J290" s="2454"/>
      <c r="K290" s="2454"/>
      <c r="L290" s="2452"/>
      <c r="M290" s="2452"/>
      <c r="N290" s="2411">
        <f>'Income Eligble Deemed Table'!K131</f>
        <v>8.5800000000000004E-4</v>
      </c>
      <c r="O290" s="2421">
        <f t="shared" si="219"/>
        <v>0</v>
      </c>
      <c r="P290" s="2426"/>
      <c r="Q290" s="2426"/>
      <c r="R290" s="2412"/>
      <c r="S290" s="2412"/>
      <c r="T290" s="2413"/>
      <c r="U290" s="2413"/>
      <c r="V290" s="2413">
        <f t="shared" si="223"/>
        <v>8.5800000000000004E-4</v>
      </c>
      <c r="W290" s="2460">
        <f>'Income Eligble Deemed Table'!L131</f>
        <v>25</v>
      </c>
      <c r="X290" s="2460"/>
      <c r="Y290" s="94">
        <f t="shared" si="224"/>
        <v>25</v>
      </c>
      <c r="Z290" s="767">
        <f>'Income Eligble Deemed Table'!BB131</f>
        <v>1.6141406355499737</v>
      </c>
      <c r="AA290" s="2419">
        <f>'Income Eligble Deemed Table'!M131</f>
        <v>1.6810397830018082</v>
      </c>
      <c r="AB290" s="2416">
        <f t="shared" si="202"/>
        <v>2.5610520280503333</v>
      </c>
      <c r="AC290" s="2416">
        <f t="shared" si="203"/>
        <v>0</v>
      </c>
      <c r="AD290" s="2446">
        <f>'Income Eligble Deemed Table'!BD131</f>
        <v>2.5610520280503333</v>
      </c>
      <c r="AE290" s="2440"/>
      <c r="AF290" s="2440"/>
      <c r="AG290" s="2440"/>
      <c r="AL290" s="2380">
        <f t="shared" si="226"/>
        <v>4.6608050000000002E-4</v>
      </c>
      <c r="AM290">
        <f t="shared" si="225"/>
        <v>8.5758812000000012E-4</v>
      </c>
      <c r="AN290" s="2368">
        <f t="shared" si="227"/>
        <v>-4.1187999999991922E-7</v>
      </c>
    </row>
    <row r="291" spans="1:40" x14ac:dyDescent="0.25">
      <c r="A291" s="2598" t="str">
        <f>'Income Eligble Deemed Table'!C132</f>
        <v>401500_2019_12_</v>
      </c>
      <c r="B291" s="245" t="str">
        <f>'Income Eligble Deemed Table'!G132</f>
        <v>Building Shell RES</v>
      </c>
      <c r="C291" s="245"/>
      <c r="D291" s="245"/>
      <c r="E291" s="245"/>
      <c r="F291" s="245" t="str">
        <f>'Income Eligble Deemed Table'!E132</f>
        <v>Ceiling Insulation R5-R38 SF LI DI heat pump base</v>
      </c>
      <c r="G291" s="745" t="str">
        <f>'Income Eligble Deemed Table'!D132</f>
        <v>SFLI</v>
      </c>
      <c r="H291" s="2410">
        <f>'Income Eligble Deemed Table'!F132</f>
        <v>1.1499999999999999</v>
      </c>
      <c r="I291" s="2420">
        <f t="shared" si="217"/>
        <v>0</v>
      </c>
      <c r="J291" s="2454"/>
      <c r="K291" s="2454"/>
      <c r="L291" s="2452"/>
      <c r="M291" s="2452"/>
      <c r="N291" s="2411">
        <f>'Income Eligble Deemed Table'!K132</f>
        <v>5.3600000000000002E-4</v>
      </c>
      <c r="O291" s="2421">
        <f t="shared" si="219"/>
        <v>0</v>
      </c>
      <c r="P291" s="2426"/>
      <c r="Q291" s="2426"/>
      <c r="R291" s="2412"/>
      <c r="S291" s="2412"/>
      <c r="T291" s="2413"/>
      <c r="U291" s="2413"/>
      <c r="V291" s="2413">
        <f t="shared" si="223"/>
        <v>5.3600000000000002E-4</v>
      </c>
      <c r="W291" s="2460">
        <f>'Income Eligble Deemed Table'!L132</f>
        <v>25</v>
      </c>
      <c r="X291" s="2460"/>
      <c r="Y291" s="94">
        <f t="shared" si="224"/>
        <v>25</v>
      </c>
      <c r="Z291" s="767">
        <f>'Income Eligble Deemed Table'!BB132</f>
        <v>1.0088378972187335</v>
      </c>
      <c r="AA291" s="2419">
        <f>'Income Eligble Deemed Table'!M132</f>
        <v>1.6810397830018082</v>
      </c>
      <c r="AB291" s="2416">
        <f t="shared" si="202"/>
        <v>1.6006575175314581</v>
      </c>
      <c r="AC291" s="2416">
        <f t="shared" si="203"/>
        <v>0</v>
      </c>
      <c r="AD291" s="2446">
        <f>'Income Eligble Deemed Table'!BD132</f>
        <v>1.6006575175314581</v>
      </c>
      <c r="AE291" s="2440"/>
      <c r="AF291" s="2440"/>
      <c r="AG291" s="2440"/>
      <c r="AL291" s="2380">
        <f t="shared" si="226"/>
        <v>4.6608050000000002E-4</v>
      </c>
      <c r="AM291">
        <f t="shared" si="225"/>
        <v>5.3599257499999998E-4</v>
      </c>
      <c r="AN291" s="2368">
        <f t="shared" si="227"/>
        <v>-7.4250000000383037E-9</v>
      </c>
    </row>
    <row r="292" spans="1:40" x14ac:dyDescent="0.25">
      <c r="A292" s="2598" t="str">
        <f>'Income Eligble Deemed Table'!C133</f>
        <v>401550_2019_12_</v>
      </c>
      <c r="B292" s="245" t="str">
        <f>'Income Eligble Deemed Table'!G133</f>
        <v>Building Shell RES</v>
      </c>
      <c r="C292" s="245"/>
      <c r="D292" s="245"/>
      <c r="E292" s="245"/>
      <c r="F292" s="245" t="str">
        <f>'Income Eligble Deemed Table'!E133</f>
        <v>Ceiling Insulation R5-R38 SF LI DI gas heat electric cool base</v>
      </c>
      <c r="G292" s="745" t="str">
        <f>'Income Eligble Deemed Table'!D133</f>
        <v>SFLI</v>
      </c>
      <c r="H292" s="2410">
        <f>'Income Eligble Deemed Table'!F133</f>
        <v>0.25</v>
      </c>
      <c r="I292" s="2420">
        <f t="shared" si="217"/>
        <v>0</v>
      </c>
      <c r="J292" s="2454"/>
      <c r="K292" s="2454"/>
      <c r="L292" s="2452"/>
      <c r="M292" s="2452"/>
      <c r="N292" s="2411">
        <f>'Income Eligble Deemed Table'!K133</f>
        <v>1.17E-4</v>
      </c>
      <c r="O292" s="2421">
        <f t="shared" si="219"/>
        <v>0</v>
      </c>
      <c r="P292" s="2426"/>
      <c r="Q292" s="2426"/>
      <c r="R292" s="2412"/>
      <c r="S292" s="2412"/>
      <c r="T292" s="2413"/>
      <c r="U292" s="2413"/>
      <c r="V292" s="2413">
        <f t="shared" si="223"/>
        <v>1.17E-4</v>
      </c>
      <c r="W292" s="2460">
        <f>'Income Eligble Deemed Table'!L133</f>
        <v>25</v>
      </c>
      <c r="X292" s="2460"/>
      <c r="Y292" s="94">
        <f t="shared" si="224"/>
        <v>25</v>
      </c>
      <c r="Z292" s="767">
        <f>'Income Eligble Deemed Table'!BB133</f>
        <v>0.21931258635189857</v>
      </c>
      <c r="AA292" s="2419">
        <f>'Income Eligble Deemed Table'!M133</f>
        <v>1.6810397830018082</v>
      </c>
      <c r="AB292" s="2416">
        <f t="shared" si="202"/>
        <v>0.347969025550317</v>
      </c>
      <c r="AC292" s="2416">
        <f t="shared" si="203"/>
        <v>0</v>
      </c>
      <c r="AD292" s="2446">
        <f>'Income Eligble Deemed Table'!BD133</f>
        <v>0.347969025550317</v>
      </c>
      <c r="AE292" s="2440"/>
      <c r="AF292" s="2440"/>
      <c r="AG292" s="2440"/>
      <c r="AL292" s="2380">
        <f t="shared" si="226"/>
        <v>4.6608050000000002E-4</v>
      </c>
      <c r="AM292">
        <f t="shared" si="225"/>
        <v>1.16520125E-4</v>
      </c>
      <c r="AN292" s="2368">
        <f t="shared" si="227"/>
        <v>-4.7987499999999344E-7</v>
      </c>
    </row>
    <row r="293" spans="1:40" x14ac:dyDescent="0.25">
      <c r="A293" s="2598" t="str">
        <f>'Income Eligble Deemed Table'!C134</f>
        <v>401600_2019_12_</v>
      </c>
      <c r="B293" s="245" t="str">
        <f>'Income Eligble Deemed Table'!G134</f>
        <v>Building Shell RES</v>
      </c>
      <c r="C293" s="245"/>
      <c r="D293" s="245"/>
      <c r="E293" s="245"/>
      <c r="F293" s="245" t="str">
        <f>'Income Eligble Deemed Table'!E134</f>
        <v>Ceiling Insulation R5-R49 MF LI DI electric furnace base</v>
      </c>
      <c r="G293" s="745" t="str">
        <f>'Income Eligble Deemed Table'!D134</f>
        <v>MFLI</v>
      </c>
      <c r="H293" s="2410">
        <f>'Income Eligble Deemed Table'!F134</f>
        <v>1.96</v>
      </c>
      <c r="I293" s="2420">
        <f t="shared" si="217"/>
        <v>0</v>
      </c>
      <c r="J293" s="2454"/>
      <c r="K293" s="2454"/>
      <c r="L293" s="2452"/>
      <c r="M293" s="2452"/>
      <c r="N293" s="2411">
        <f>'Income Eligble Deemed Table'!K134</f>
        <v>9.1399999999999999E-4</v>
      </c>
      <c r="O293" s="2421">
        <f t="shared" si="219"/>
        <v>0</v>
      </c>
      <c r="P293" s="2426"/>
      <c r="Q293" s="2426"/>
      <c r="R293" s="2412"/>
      <c r="S293" s="2412"/>
      <c r="T293" s="2413"/>
      <c r="U293" s="2413"/>
      <c r="V293" s="2413">
        <f t="shared" si="223"/>
        <v>9.1399999999999999E-4</v>
      </c>
      <c r="W293" s="2460">
        <f>'Income Eligble Deemed Table'!L134</f>
        <v>25</v>
      </c>
      <c r="X293" s="2460"/>
      <c r="Y293" s="94">
        <f t="shared" si="224"/>
        <v>25</v>
      </c>
      <c r="Z293" s="767">
        <f>'Income Eligble Deemed Table'!BB134</f>
        <v>1.1252122422118687</v>
      </c>
      <c r="AA293" s="2419">
        <f>'Income Eligble Deemed Table'!M134</f>
        <v>2.568757824454027</v>
      </c>
      <c r="AB293" s="2416">
        <f t="shared" si="202"/>
        <v>2.7280771603144851</v>
      </c>
      <c r="AC293" s="2416">
        <f t="shared" si="203"/>
        <v>0</v>
      </c>
      <c r="AD293" s="2446">
        <f>'Income Eligble Deemed Table'!BD134</f>
        <v>2.7280771603144851</v>
      </c>
      <c r="AE293" s="2440"/>
      <c r="AF293" s="2440"/>
      <c r="AG293" s="2440"/>
      <c r="AL293" s="2380">
        <f t="shared" si="226"/>
        <v>4.6608050000000002E-4</v>
      </c>
      <c r="AM293">
        <f t="shared" si="225"/>
        <v>9.1351778E-4</v>
      </c>
      <c r="AN293" s="2368">
        <f t="shared" si="227"/>
        <v>-4.8221999999998807E-7</v>
      </c>
    </row>
    <row r="294" spans="1:40" x14ac:dyDescent="0.25">
      <c r="A294" s="2598" t="str">
        <f>'Income Eligble Deemed Table'!C135</f>
        <v>401650_2019_12_</v>
      </c>
      <c r="B294" s="245" t="str">
        <f>'Income Eligble Deemed Table'!G135</f>
        <v>Building Shell RES</v>
      </c>
      <c r="C294" s="245"/>
      <c r="D294" s="245"/>
      <c r="E294" s="245"/>
      <c r="F294" s="245" t="str">
        <f>'Income Eligble Deemed Table'!E135</f>
        <v>Ceiling Insulation R5-R49 MF LI DI heat pump base</v>
      </c>
      <c r="G294" s="745" t="str">
        <f>'Income Eligble Deemed Table'!D135</f>
        <v>MFLI</v>
      </c>
      <c r="H294" s="2410">
        <f>'Income Eligble Deemed Table'!F135</f>
        <v>1.22</v>
      </c>
      <c r="I294" s="2420">
        <f t="shared" si="217"/>
        <v>0</v>
      </c>
      <c r="J294" s="2454"/>
      <c r="K294" s="2454"/>
      <c r="L294" s="2452"/>
      <c r="M294" s="2452"/>
      <c r="N294" s="2411">
        <f>'Income Eligble Deemed Table'!K135</f>
        <v>5.6899999999999995E-4</v>
      </c>
      <c r="O294" s="2421">
        <f t="shared" si="219"/>
        <v>0</v>
      </c>
      <c r="P294" s="2426"/>
      <c r="Q294" s="2426"/>
      <c r="R294" s="2412"/>
      <c r="S294" s="2412"/>
      <c r="T294" s="2413"/>
      <c r="U294" s="2413"/>
      <c r="V294" s="2413">
        <f t="shared" si="223"/>
        <v>5.6899999999999995E-4</v>
      </c>
      <c r="W294" s="2460">
        <f>'Income Eligble Deemed Table'!L135</f>
        <v>25</v>
      </c>
      <c r="X294" s="2460"/>
      <c r="Y294" s="94">
        <f t="shared" si="224"/>
        <v>25</v>
      </c>
      <c r="Z294" s="767">
        <f>'Income Eligble Deemed Table'!BB135</f>
        <v>0.70038721198902032</v>
      </c>
      <c r="AA294" s="2419">
        <f>'Income Eligble Deemed Table'!M135</f>
        <v>2.568757824454027</v>
      </c>
      <c r="AB294" s="2416">
        <f t="shared" si="202"/>
        <v>1.6980888446855469</v>
      </c>
      <c r="AC294" s="2416">
        <f t="shared" si="203"/>
        <v>0</v>
      </c>
      <c r="AD294" s="2446">
        <f>'Income Eligble Deemed Table'!BD135</f>
        <v>1.6980888446855469</v>
      </c>
      <c r="AE294" s="2440"/>
      <c r="AF294" s="2440"/>
      <c r="AG294" s="2440"/>
      <c r="AL294" s="2380">
        <f t="shared" si="226"/>
        <v>4.6608050000000002E-4</v>
      </c>
      <c r="AM294">
        <f t="shared" si="225"/>
        <v>5.6861821000000004E-4</v>
      </c>
      <c r="AN294" s="2368">
        <f t="shared" si="227"/>
        <v>-3.8178999999991491E-7</v>
      </c>
    </row>
    <row r="295" spans="1:40" x14ac:dyDescent="0.25">
      <c r="A295" s="2598" t="str">
        <f>'Income Eligble Deemed Table'!C136</f>
        <v>401700_2019_12_</v>
      </c>
      <c r="B295" s="245" t="str">
        <f>'Income Eligble Deemed Table'!G136</f>
        <v>Building Shell RES</v>
      </c>
      <c r="C295" s="245"/>
      <c r="D295" s="245"/>
      <c r="E295" s="245"/>
      <c r="F295" s="245" t="str">
        <f>'Income Eligble Deemed Table'!E136</f>
        <v>Ceiling Insulation R5-R49 MF LI DI gas heat electric cool base</v>
      </c>
      <c r="G295" s="745" t="str">
        <f>'Income Eligble Deemed Table'!D136</f>
        <v>MFLI</v>
      </c>
      <c r="H295" s="2410">
        <f>'Income Eligble Deemed Table'!F136</f>
        <v>0.26</v>
      </c>
      <c r="I295" s="2420">
        <f t="shared" si="217"/>
        <v>0</v>
      </c>
      <c r="J295" s="2454"/>
      <c r="K295" s="2454"/>
      <c r="L295" s="2452"/>
      <c r="M295" s="2452"/>
      <c r="N295" s="2411">
        <f>'Income Eligble Deemed Table'!K136</f>
        <v>1.21E-4</v>
      </c>
      <c r="O295" s="2421">
        <f t="shared" si="219"/>
        <v>0</v>
      </c>
      <c r="P295" s="2426"/>
      <c r="Q295" s="2426"/>
      <c r="R295" s="2412"/>
      <c r="S295" s="2412"/>
      <c r="T295" s="2413"/>
      <c r="U295" s="2413"/>
      <c r="V295" s="2413">
        <f t="shared" si="223"/>
        <v>1.21E-4</v>
      </c>
      <c r="W295" s="2460">
        <f>'Income Eligble Deemed Table'!L136</f>
        <v>25</v>
      </c>
      <c r="X295" s="2460"/>
      <c r="Y295" s="94">
        <f t="shared" si="224"/>
        <v>25</v>
      </c>
      <c r="Z295" s="767">
        <f>'Income Eligble Deemed Table'!BB136</f>
        <v>0.14926284845667645</v>
      </c>
      <c r="AA295" s="2419">
        <f>'Income Eligble Deemed Table'!M136</f>
        <v>2.568757824454027</v>
      </c>
      <c r="AB295" s="2416">
        <f t="shared" si="202"/>
        <v>0.36188778657232967</v>
      </c>
      <c r="AC295" s="2416">
        <f t="shared" si="203"/>
        <v>0</v>
      </c>
      <c r="AD295" s="2446">
        <f>'Income Eligble Deemed Table'!BD136</f>
        <v>0.36188778657232967</v>
      </c>
      <c r="AE295" s="2440"/>
      <c r="AF295" s="2440"/>
      <c r="AG295" s="2440"/>
      <c r="AL295" s="2380">
        <f t="shared" si="226"/>
        <v>4.6608050000000002E-4</v>
      </c>
      <c r="AM295">
        <f t="shared" si="225"/>
        <v>1.2118093000000001E-4</v>
      </c>
      <c r="AN295" s="2368">
        <f t="shared" si="227"/>
        <v>1.8093000000001251E-7</v>
      </c>
    </row>
    <row r="296" spans="1:40" x14ac:dyDescent="0.25">
      <c r="A296" s="2598" t="str">
        <f>'Income Eligble Deemed Table'!C137</f>
        <v>401750_2019_12_</v>
      </c>
      <c r="B296" s="245" t="str">
        <f>'Income Eligble Deemed Table'!G137</f>
        <v>Building Shell RES</v>
      </c>
      <c r="C296" s="245"/>
      <c r="D296" s="245"/>
      <c r="E296" s="245"/>
      <c r="F296" s="245" t="str">
        <f>'Income Eligble Deemed Table'!E137</f>
        <v>Ceiling Insulation R5-R49 SF LI DI electric furnace base</v>
      </c>
      <c r="G296" s="745" t="str">
        <f>'Income Eligble Deemed Table'!D137</f>
        <v>SFLI</v>
      </c>
      <c r="H296" s="2410">
        <f>'Income Eligble Deemed Table'!F137</f>
        <v>1.96</v>
      </c>
      <c r="I296" s="2420">
        <f t="shared" si="217"/>
        <v>0</v>
      </c>
      <c r="J296" s="2454"/>
      <c r="K296" s="2454"/>
      <c r="L296" s="2452"/>
      <c r="M296" s="2452"/>
      <c r="N296" s="2411">
        <f>'Income Eligble Deemed Table'!K137</f>
        <v>9.1399999999999999E-4</v>
      </c>
      <c r="O296" s="2421">
        <f t="shared" si="219"/>
        <v>0</v>
      </c>
      <c r="P296" s="2426"/>
      <c r="Q296" s="2426"/>
      <c r="R296" s="2412"/>
      <c r="S296" s="2412"/>
      <c r="T296" s="2413"/>
      <c r="U296" s="2413"/>
      <c r="V296" s="2413">
        <f t="shared" si="223"/>
        <v>9.1399999999999999E-4</v>
      </c>
      <c r="W296" s="2460">
        <f>'Income Eligble Deemed Table'!L137</f>
        <v>25</v>
      </c>
      <c r="X296" s="2460"/>
      <c r="Y296" s="94">
        <f t="shared" si="224"/>
        <v>25</v>
      </c>
      <c r="Z296" s="767">
        <f>'Income Eligble Deemed Table'!BB137</f>
        <v>1.1252146794823854</v>
      </c>
      <c r="AA296" s="2419">
        <f>'Income Eligble Deemed Table'!M137</f>
        <v>2.5687522603978299</v>
      </c>
      <c r="AB296" s="2416">
        <f t="shared" si="202"/>
        <v>2.7280771603144851</v>
      </c>
      <c r="AC296" s="2416">
        <f t="shared" si="203"/>
        <v>0</v>
      </c>
      <c r="AD296" s="2446">
        <f>'Income Eligble Deemed Table'!BD137</f>
        <v>2.7280771603144851</v>
      </c>
      <c r="AE296" s="2440"/>
      <c r="AF296" s="2440"/>
      <c r="AG296" s="2440"/>
      <c r="AL296" s="2380">
        <f t="shared" si="226"/>
        <v>4.6608050000000002E-4</v>
      </c>
      <c r="AM296">
        <f t="shared" si="225"/>
        <v>9.1351778E-4</v>
      </c>
      <c r="AN296" s="2368">
        <f t="shared" si="227"/>
        <v>-4.8221999999998807E-7</v>
      </c>
    </row>
    <row r="297" spans="1:40" x14ac:dyDescent="0.25">
      <c r="A297" s="2598" t="str">
        <f>'Income Eligble Deemed Table'!C138</f>
        <v>401800_2019_12_</v>
      </c>
      <c r="B297" s="245" t="str">
        <f>'Income Eligble Deemed Table'!G138</f>
        <v>Building Shell RES</v>
      </c>
      <c r="C297" s="245"/>
      <c r="D297" s="245"/>
      <c r="E297" s="245"/>
      <c r="F297" s="245" t="str">
        <f>'Income Eligble Deemed Table'!E138</f>
        <v>Ceiling Insulation R5-R49 SF LI DI heat pump base</v>
      </c>
      <c r="G297" s="745" t="str">
        <f>'Income Eligble Deemed Table'!D138</f>
        <v>SFLI</v>
      </c>
      <c r="H297" s="2410">
        <f>'Income Eligble Deemed Table'!F138</f>
        <v>1.22</v>
      </c>
      <c r="I297" s="2420">
        <f t="shared" si="217"/>
        <v>0</v>
      </c>
      <c r="J297" s="2454"/>
      <c r="K297" s="2454"/>
      <c r="L297" s="2452"/>
      <c r="M297" s="2452"/>
      <c r="N297" s="2411">
        <f>'Income Eligble Deemed Table'!K138</f>
        <v>5.6899999999999995E-4</v>
      </c>
      <c r="O297" s="2421">
        <f t="shared" si="219"/>
        <v>0</v>
      </c>
      <c r="P297" s="2426"/>
      <c r="Q297" s="2426"/>
      <c r="R297" s="2412"/>
      <c r="S297" s="2412"/>
      <c r="T297" s="2413"/>
      <c r="U297" s="2413"/>
      <c r="V297" s="2413">
        <f t="shared" si="223"/>
        <v>5.6899999999999995E-4</v>
      </c>
      <c r="W297" s="2460">
        <f>'Income Eligble Deemed Table'!L138</f>
        <v>25</v>
      </c>
      <c r="X297" s="2460"/>
      <c r="Y297" s="94">
        <f t="shared" si="224"/>
        <v>25</v>
      </c>
      <c r="Z297" s="767">
        <f>'Income Eligble Deemed Table'!BB138</f>
        <v>0.70038872906556648</v>
      </c>
      <c r="AA297" s="2419">
        <f>'Income Eligble Deemed Table'!M138</f>
        <v>2.5687522603978299</v>
      </c>
      <c r="AB297" s="2416">
        <f t="shared" si="202"/>
        <v>1.6980888446855469</v>
      </c>
      <c r="AC297" s="2416">
        <f t="shared" si="203"/>
        <v>0</v>
      </c>
      <c r="AD297" s="2446">
        <f>'Income Eligble Deemed Table'!BD138</f>
        <v>1.6980888446855469</v>
      </c>
      <c r="AE297" s="2440"/>
      <c r="AF297" s="2440"/>
      <c r="AG297" s="2440"/>
      <c r="AL297" s="2380">
        <f t="shared" si="226"/>
        <v>4.6608050000000002E-4</v>
      </c>
      <c r="AM297">
        <f t="shared" si="225"/>
        <v>5.6861821000000004E-4</v>
      </c>
      <c r="AN297" s="2368">
        <f t="shared" si="227"/>
        <v>-3.8178999999991491E-7</v>
      </c>
    </row>
    <row r="298" spans="1:40" x14ac:dyDescent="0.25">
      <c r="A298" s="2598" t="str">
        <f>'Income Eligble Deemed Table'!C139</f>
        <v>401850_2019_12_</v>
      </c>
      <c r="B298" s="245" t="str">
        <f>'Income Eligble Deemed Table'!G139</f>
        <v>Building Shell RES</v>
      </c>
      <c r="C298" s="245"/>
      <c r="D298" s="245"/>
      <c r="E298" s="245"/>
      <c r="F298" s="245" t="str">
        <f>'Income Eligble Deemed Table'!E139</f>
        <v>Ceiling Insulation R5-R49 SF LI DI gas heat electric cool base</v>
      </c>
      <c r="G298" s="745" t="str">
        <f>'Income Eligble Deemed Table'!D139</f>
        <v>SFLI</v>
      </c>
      <c r="H298" s="2410">
        <f>'Income Eligble Deemed Table'!F139</f>
        <v>0.26</v>
      </c>
      <c r="I298" s="2420">
        <f t="shared" si="217"/>
        <v>0</v>
      </c>
      <c r="J298" s="2454"/>
      <c r="K298" s="2454"/>
      <c r="L298" s="2452"/>
      <c r="M298" s="2452"/>
      <c r="N298" s="2411">
        <f>'Income Eligble Deemed Table'!K139</f>
        <v>1.21E-4</v>
      </c>
      <c r="O298" s="2421">
        <f t="shared" si="219"/>
        <v>0</v>
      </c>
      <c r="P298" s="2426"/>
      <c r="Q298" s="2426"/>
      <c r="R298" s="2412"/>
      <c r="S298" s="2412"/>
      <c r="T298" s="2413"/>
      <c r="U298" s="2413"/>
      <c r="V298" s="2413">
        <f t="shared" si="223"/>
        <v>1.21E-4</v>
      </c>
      <c r="W298" s="2460">
        <f>'Income Eligble Deemed Table'!L139</f>
        <v>25</v>
      </c>
      <c r="X298" s="2460"/>
      <c r="Y298" s="94">
        <f t="shared" si="224"/>
        <v>25</v>
      </c>
      <c r="Z298" s="767">
        <f>'Income Eligble Deemed Table'!BB139</f>
        <v>0.14926317176807155</v>
      </c>
      <c r="AA298" s="2419">
        <f>'Income Eligble Deemed Table'!M139</f>
        <v>2.5687522603978299</v>
      </c>
      <c r="AB298" s="2416">
        <f t="shared" si="202"/>
        <v>0.36188778657232967</v>
      </c>
      <c r="AC298" s="2416">
        <f t="shared" si="203"/>
        <v>0</v>
      </c>
      <c r="AD298" s="2446">
        <f>'Income Eligble Deemed Table'!BD139</f>
        <v>0.36188778657232967</v>
      </c>
      <c r="AE298" s="2440"/>
      <c r="AF298" s="2440"/>
      <c r="AG298" s="2440"/>
      <c r="AL298" s="2380">
        <f t="shared" si="226"/>
        <v>4.6608050000000002E-4</v>
      </c>
      <c r="AM298">
        <f t="shared" si="225"/>
        <v>1.2118093000000001E-4</v>
      </c>
      <c r="AN298" s="2368">
        <f t="shared" si="227"/>
        <v>1.8093000000001251E-7</v>
      </c>
    </row>
    <row r="299" spans="1:40" x14ac:dyDescent="0.25">
      <c r="A299" s="2598" t="str">
        <f>'Income Eligble Deemed Table'!C140</f>
        <v>401900_2019_12_</v>
      </c>
      <c r="B299" s="245" t="str">
        <f>'Income Eligble Deemed Table'!G140</f>
        <v>Building Shell RES</v>
      </c>
      <c r="C299" s="245"/>
      <c r="D299" s="245"/>
      <c r="E299" s="245"/>
      <c r="F299" s="245" t="str">
        <f>'Income Eligble Deemed Table'!E140</f>
        <v>Ceiling Insulation R5-R60 MF LI DI electric furnace base</v>
      </c>
      <c r="G299" s="745" t="str">
        <f>'Income Eligble Deemed Table'!D140</f>
        <v>MFLI</v>
      </c>
      <c r="H299" s="2410">
        <f>'Income Eligble Deemed Table'!F140</f>
        <v>2.0299999999999998</v>
      </c>
      <c r="I299" s="2420">
        <f t="shared" si="217"/>
        <v>0</v>
      </c>
      <c r="J299" s="2454"/>
      <c r="K299" s="2454"/>
      <c r="L299" s="2452"/>
      <c r="M299" s="2452"/>
      <c r="N299" s="2411">
        <f>'Income Eligble Deemed Table'!K140</f>
        <v>9.4600000000000001E-4</v>
      </c>
      <c r="O299" s="2421">
        <f t="shared" si="219"/>
        <v>0</v>
      </c>
      <c r="P299" s="2426"/>
      <c r="Q299" s="2426"/>
      <c r="R299" s="2412"/>
      <c r="S299" s="2412"/>
      <c r="T299" s="2413"/>
      <c r="U299" s="2413"/>
      <c r="V299" s="2413">
        <f t="shared" si="223"/>
        <v>9.4600000000000001E-4</v>
      </c>
      <c r="W299" s="2460">
        <f>'Income Eligble Deemed Table'!L140</f>
        <v>25</v>
      </c>
      <c r="X299" s="2460"/>
      <c r="Y299" s="94">
        <f t="shared" si="224"/>
        <v>25</v>
      </c>
      <c r="Z299" s="767">
        <f>'Income Eligble Deemed Table'!BB140</f>
        <v>0.87422987318422674</v>
      </c>
      <c r="AA299" s="2419">
        <f>'Income Eligble Deemed Table'!M140</f>
        <v>3.424301015440256</v>
      </c>
      <c r="AB299" s="2416">
        <f t="shared" si="202"/>
        <v>2.8255084874685736</v>
      </c>
      <c r="AC299" s="2416">
        <f t="shared" si="203"/>
        <v>0</v>
      </c>
      <c r="AD299" s="2446">
        <f>'Income Eligble Deemed Table'!BD140</f>
        <v>2.8255084874685736</v>
      </c>
      <c r="AE299" s="2440"/>
      <c r="AF299" s="2440"/>
      <c r="AG299" s="2440"/>
      <c r="AL299" s="2380">
        <f t="shared" si="226"/>
        <v>4.6608050000000002E-4</v>
      </c>
      <c r="AM299">
        <f t="shared" si="225"/>
        <v>9.4614341499999995E-4</v>
      </c>
      <c r="AN299" s="2368">
        <f t="shared" si="227"/>
        <v>1.4341499999994279E-7</v>
      </c>
    </row>
    <row r="300" spans="1:40" x14ac:dyDescent="0.25">
      <c r="A300" s="2598" t="str">
        <f>'Income Eligble Deemed Table'!C141</f>
        <v>401950_2019_12_</v>
      </c>
      <c r="B300" s="245" t="str">
        <f>'Income Eligble Deemed Table'!G141</f>
        <v>Building Shell RES</v>
      </c>
      <c r="C300" s="245"/>
      <c r="D300" s="245"/>
      <c r="E300" s="245"/>
      <c r="F300" s="245" t="str">
        <f>'Income Eligble Deemed Table'!E141</f>
        <v>Ceiling Insulation R5-R60 MF LI DI heat pump base</v>
      </c>
      <c r="G300" s="745" t="str">
        <f>'Income Eligble Deemed Table'!D141</f>
        <v>MFLI</v>
      </c>
      <c r="H300" s="2410">
        <f>'Income Eligble Deemed Table'!F141</f>
        <v>1.27</v>
      </c>
      <c r="I300" s="2420">
        <f t="shared" si="217"/>
        <v>0</v>
      </c>
      <c r="J300" s="2454"/>
      <c r="K300" s="2454"/>
      <c r="L300" s="2452"/>
      <c r="M300" s="2452"/>
      <c r="N300" s="2411">
        <f>'Income Eligble Deemed Table'!K141</f>
        <v>5.9199999999999997E-4</v>
      </c>
      <c r="O300" s="2421">
        <f t="shared" si="219"/>
        <v>0</v>
      </c>
      <c r="P300" s="2426"/>
      <c r="Q300" s="2426"/>
      <c r="R300" s="2412"/>
      <c r="S300" s="2412"/>
      <c r="T300" s="2413"/>
      <c r="U300" s="2413"/>
      <c r="V300" s="2413">
        <f t="shared" si="223"/>
        <v>5.9199999999999997E-4</v>
      </c>
      <c r="W300" s="2460">
        <f>'Income Eligble Deemed Table'!L141</f>
        <v>25</v>
      </c>
      <c r="X300" s="2460"/>
      <c r="Y300" s="94">
        <f t="shared" si="224"/>
        <v>25</v>
      </c>
      <c r="Z300" s="767">
        <f>'Income Eligble Deemed Table'!BB141</f>
        <v>0.5469319896275705</v>
      </c>
      <c r="AA300" s="2419">
        <f>'Income Eligble Deemed Table'!M141</f>
        <v>3.424301015440256</v>
      </c>
      <c r="AB300" s="2416">
        <f t="shared" si="202"/>
        <v>1.7676826497956104</v>
      </c>
      <c r="AC300" s="2416">
        <f t="shared" si="203"/>
        <v>0</v>
      </c>
      <c r="AD300" s="2446">
        <f>'Income Eligble Deemed Table'!BD141</f>
        <v>1.7676826497956104</v>
      </c>
      <c r="AE300" s="2440"/>
      <c r="AF300" s="2440"/>
      <c r="AG300" s="2440"/>
      <c r="AL300" s="2380">
        <f t="shared" si="226"/>
        <v>4.6608050000000002E-4</v>
      </c>
      <c r="AM300">
        <f t="shared" si="225"/>
        <v>5.9192223500000008E-4</v>
      </c>
      <c r="AN300" s="2368">
        <f t="shared" si="227"/>
        <v>-7.7764999999890318E-8</v>
      </c>
    </row>
    <row r="301" spans="1:40" x14ac:dyDescent="0.25">
      <c r="A301" s="2598" t="str">
        <f>'Income Eligble Deemed Table'!C142</f>
        <v>402000_2019_12_</v>
      </c>
      <c r="B301" s="245" t="str">
        <f>'Income Eligble Deemed Table'!G142</f>
        <v>Building Shell RES</v>
      </c>
      <c r="C301" s="245"/>
      <c r="D301" s="245"/>
      <c r="E301" s="245"/>
      <c r="F301" s="245" t="str">
        <f>'Income Eligble Deemed Table'!E142</f>
        <v>Ceiling Insulation R5-R60 MF LI DI gas heat electric cool base</v>
      </c>
      <c r="G301" s="745" t="str">
        <f>'Income Eligble Deemed Table'!D142</f>
        <v>MFLI</v>
      </c>
      <c r="H301" s="2410">
        <f>'Income Eligble Deemed Table'!F142</f>
        <v>0.27</v>
      </c>
      <c r="I301" s="2420">
        <f t="shared" si="217"/>
        <v>0</v>
      </c>
      <c r="J301" s="2454"/>
      <c r="K301" s="2454"/>
      <c r="L301" s="2452"/>
      <c r="M301" s="2452"/>
      <c r="N301" s="2411">
        <f>'Income Eligble Deemed Table'!K142</f>
        <v>1.26E-4</v>
      </c>
      <c r="O301" s="2421">
        <f t="shared" si="219"/>
        <v>0</v>
      </c>
      <c r="P301" s="2426"/>
      <c r="Q301" s="2426"/>
      <c r="R301" s="2412"/>
      <c r="S301" s="2412"/>
      <c r="T301" s="2413"/>
      <c r="U301" s="2413"/>
      <c r="V301" s="2413">
        <f t="shared" si="223"/>
        <v>1.26E-4</v>
      </c>
      <c r="W301" s="2460">
        <f>'Income Eligble Deemed Table'!L142</f>
        <v>25</v>
      </c>
      <c r="X301" s="2460"/>
      <c r="Y301" s="94">
        <f t="shared" si="224"/>
        <v>25</v>
      </c>
      <c r="Z301" s="767">
        <f>'Income Eligble Deemed Table'!BB142</f>
        <v>0.11627687968460163</v>
      </c>
      <c r="AA301" s="2419">
        <f>'Income Eligble Deemed Table'!M142</f>
        <v>3.424301015440256</v>
      </c>
      <c r="AB301" s="2416">
        <f t="shared" ref="AB301:AB367" si="228">AD301+AE301</f>
        <v>0.3758065475943424</v>
      </c>
      <c r="AC301" s="2416">
        <f t="shared" ref="AC301:AC367" si="229">AF301+AG301</f>
        <v>0</v>
      </c>
      <c r="AD301" s="2446">
        <f>'Income Eligble Deemed Table'!BD142</f>
        <v>0.3758065475943424</v>
      </c>
      <c r="AE301" s="2440"/>
      <c r="AF301" s="2440"/>
      <c r="AG301" s="2440"/>
      <c r="AL301" s="2380">
        <f t="shared" si="226"/>
        <v>4.6608050000000002E-4</v>
      </c>
      <c r="AM301">
        <f t="shared" si="225"/>
        <v>1.2584173500000001E-4</v>
      </c>
      <c r="AN301" s="2368">
        <f t="shared" si="227"/>
        <v>-1.5826499999999229E-7</v>
      </c>
    </row>
    <row r="302" spans="1:40" x14ac:dyDescent="0.25">
      <c r="A302" s="2598" t="str">
        <f>'Income Eligble Deemed Table'!C143</f>
        <v>402050_2019_12_</v>
      </c>
      <c r="B302" s="245" t="str">
        <f>'Income Eligble Deemed Table'!G143</f>
        <v>Building Shell RES</v>
      </c>
      <c r="C302" s="245"/>
      <c r="D302" s="245"/>
      <c r="E302" s="245"/>
      <c r="F302" s="245" t="str">
        <f>'Income Eligble Deemed Table'!E143</f>
        <v>Ceiling Insulation R5-R60 SF LI DI electric furnace base</v>
      </c>
      <c r="G302" s="745" t="str">
        <f>'Income Eligble Deemed Table'!D143</f>
        <v>SFLI</v>
      </c>
      <c r="H302" s="2410">
        <f>'Income Eligble Deemed Table'!F143</f>
        <v>2.0299999999999998</v>
      </c>
      <c r="I302" s="2420">
        <f t="shared" si="217"/>
        <v>0</v>
      </c>
      <c r="J302" s="2454"/>
      <c r="K302" s="2454"/>
      <c r="L302" s="2452"/>
      <c r="M302" s="2452"/>
      <c r="N302" s="2411">
        <f>'Income Eligble Deemed Table'!K143</f>
        <v>9.4600000000000001E-4</v>
      </c>
      <c r="O302" s="2421">
        <f t="shared" si="219"/>
        <v>0</v>
      </c>
      <c r="P302" s="2426"/>
      <c r="Q302" s="2426"/>
      <c r="R302" s="2412"/>
      <c r="S302" s="2412"/>
      <c r="T302" s="2413"/>
      <c r="U302" s="2413"/>
      <c r="V302" s="2413">
        <f t="shared" si="223"/>
        <v>9.4600000000000001E-4</v>
      </c>
      <c r="W302" s="2460">
        <f>'Income Eligble Deemed Table'!L143</f>
        <v>25</v>
      </c>
      <c r="X302" s="2460"/>
      <c r="Y302" s="94">
        <f t="shared" si="224"/>
        <v>25</v>
      </c>
      <c r="Z302" s="767">
        <f>'Income Eligble Deemed Table'!BB143</f>
        <v>0.87422916292829866</v>
      </c>
      <c r="AA302" s="2419">
        <f>'Income Eligble Deemed Table'!M143</f>
        <v>3.4243037974683546</v>
      </c>
      <c r="AB302" s="2416">
        <f t="shared" si="228"/>
        <v>2.8255084874685736</v>
      </c>
      <c r="AC302" s="2416">
        <f t="shared" si="229"/>
        <v>0</v>
      </c>
      <c r="AD302" s="2446">
        <f>'Income Eligble Deemed Table'!BD143</f>
        <v>2.8255084874685736</v>
      </c>
      <c r="AE302" s="2440"/>
      <c r="AF302" s="2440"/>
      <c r="AG302" s="2440"/>
      <c r="AL302" s="2380">
        <f t="shared" si="226"/>
        <v>4.6608050000000002E-4</v>
      </c>
      <c r="AM302">
        <f t="shared" si="225"/>
        <v>9.4614341499999995E-4</v>
      </c>
      <c r="AN302" s="2368">
        <f t="shared" si="227"/>
        <v>1.4341499999994279E-7</v>
      </c>
    </row>
    <row r="303" spans="1:40" x14ac:dyDescent="0.25">
      <c r="A303" s="2598" t="str">
        <f>'Income Eligble Deemed Table'!C144</f>
        <v>402100_2019_12_</v>
      </c>
      <c r="B303" s="245" t="str">
        <f>'Income Eligble Deemed Table'!G144</f>
        <v>Building Shell RES</v>
      </c>
      <c r="C303" s="245"/>
      <c r="D303" s="245"/>
      <c r="E303" s="245"/>
      <c r="F303" s="245" t="str">
        <f>'Income Eligble Deemed Table'!E144</f>
        <v>Ceiling Insulation R5-R60 SF LI DI heat pump base</v>
      </c>
      <c r="G303" s="745" t="str">
        <f>'Income Eligble Deemed Table'!D144</f>
        <v>SFLI</v>
      </c>
      <c r="H303" s="2410">
        <f>'Income Eligble Deemed Table'!F144</f>
        <v>1.27</v>
      </c>
      <c r="I303" s="2420">
        <f t="shared" si="217"/>
        <v>0</v>
      </c>
      <c r="J303" s="2454"/>
      <c r="K303" s="2454"/>
      <c r="L303" s="2452"/>
      <c r="M303" s="2452"/>
      <c r="N303" s="2411">
        <f>'Income Eligble Deemed Table'!K144</f>
        <v>5.9199999999999997E-4</v>
      </c>
      <c r="O303" s="2421">
        <f t="shared" si="219"/>
        <v>0</v>
      </c>
      <c r="P303" s="2426"/>
      <c r="Q303" s="2426"/>
      <c r="R303" s="2412"/>
      <c r="S303" s="2412"/>
      <c r="T303" s="2413"/>
      <c r="U303" s="2413"/>
      <c r="V303" s="2413">
        <f t="shared" si="223"/>
        <v>5.9199999999999997E-4</v>
      </c>
      <c r="W303" s="2460">
        <f>'Income Eligble Deemed Table'!L144</f>
        <v>25</v>
      </c>
      <c r="X303" s="2460"/>
      <c r="Y303" s="94">
        <f t="shared" si="224"/>
        <v>25</v>
      </c>
      <c r="Z303" s="767">
        <f>'Income Eligble Deemed Table'!BB144</f>
        <v>0.54693154528026577</v>
      </c>
      <c r="AA303" s="2419">
        <f>'Income Eligble Deemed Table'!M144</f>
        <v>3.4243037974683546</v>
      </c>
      <c r="AB303" s="2416">
        <f t="shared" si="228"/>
        <v>1.7676826497956104</v>
      </c>
      <c r="AC303" s="2416">
        <f t="shared" si="229"/>
        <v>0</v>
      </c>
      <c r="AD303" s="2446">
        <f>'Income Eligble Deemed Table'!BD144</f>
        <v>1.7676826497956104</v>
      </c>
      <c r="AE303" s="2440"/>
      <c r="AF303" s="2440"/>
      <c r="AG303" s="2440"/>
      <c r="AL303" s="2380">
        <f t="shared" si="226"/>
        <v>4.6608050000000002E-4</v>
      </c>
      <c r="AM303">
        <f t="shared" si="225"/>
        <v>5.9192223500000008E-4</v>
      </c>
      <c r="AN303" s="2368">
        <f t="shared" si="227"/>
        <v>-7.7764999999890318E-8</v>
      </c>
    </row>
    <row r="304" spans="1:40" x14ac:dyDescent="0.25">
      <c r="A304" s="2598" t="str">
        <f>'Income Eligble Deemed Table'!C145</f>
        <v>402150_2019_12_</v>
      </c>
      <c r="B304" s="245" t="str">
        <f>'Income Eligble Deemed Table'!G145</f>
        <v>Building Shell RES</v>
      </c>
      <c r="C304" s="245"/>
      <c r="D304" s="245"/>
      <c r="E304" s="245"/>
      <c r="F304" s="245" t="str">
        <f>'Income Eligble Deemed Table'!E145</f>
        <v>Ceiling Insulation R5-R60 SF LI DI gas heat electric cool base</v>
      </c>
      <c r="G304" s="745" t="str">
        <f>'Income Eligble Deemed Table'!D145</f>
        <v>SFLI</v>
      </c>
      <c r="H304" s="2410">
        <f>'Income Eligble Deemed Table'!F145</f>
        <v>0.27</v>
      </c>
      <c r="I304" s="2420">
        <f t="shared" si="217"/>
        <v>0</v>
      </c>
      <c r="J304" s="2454"/>
      <c r="K304" s="2454"/>
      <c r="L304" s="2452"/>
      <c r="M304" s="2452"/>
      <c r="N304" s="2411">
        <f>'Income Eligble Deemed Table'!K145</f>
        <v>1.26E-4</v>
      </c>
      <c r="O304" s="2421">
        <f t="shared" si="219"/>
        <v>0</v>
      </c>
      <c r="P304" s="2426"/>
      <c r="Q304" s="2426"/>
      <c r="R304" s="2412"/>
      <c r="S304" s="2412"/>
      <c r="T304" s="2413"/>
      <c r="U304" s="2413"/>
      <c r="V304" s="2413">
        <f t="shared" si="223"/>
        <v>1.26E-4</v>
      </c>
      <c r="W304" s="2460">
        <f>'Income Eligble Deemed Table'!L145</f>
        <v>25</v>
      </c>
      <c r="X304" s="2460"/>
      <c r="Y304" s="94">
        <f t="shared" si="224"/>
        <v>25</v>
      </c>
      <c r="Z304" s="767">
        <f>'Income Eligble Deemed Table'!BB145</f>
        <v>0.11627678521706439</v>
      </c>
      <c r="AA304" s="2419">
        <f>'Income Eligble Deemed Table'!M145</f>
        <v>3.4243037974683546</v>
      </c>
      <c r="AB304" s="2416">
        <f t="shared" si="228"/>
        <v>0.3758065475943424</v>
      </c>
      <c r="AC304" s="2416">
        <f t="shared" si="229"/>
        <v>0</v>
      </c>
      <c r="AD304" s="2446">
        <f>'Income Eligble Deemed Table'!BD145</f>
        <v>0.3758065475943424</v>
      </c>
      <c r="AE304" s="2440"/>
      <c r="AF304" s="2440"/>
      <c r="AG304" s="2440"/>
      <c r="AL304" s="2380">
        <f t="shared" si="226"/>
        <v>4.6608050000000002E-4</v>
      </c>
      <c r="AM304">
        <f t="shared" si="225"/>
        <v>1.2584173500000001E-4</v>
      </c>
      <c r="AN304" s="2368">
        <f t="shared" si="227"/>
        <v>-1.5826499999999229E-7</v>
      </c>
    </row>
    <row r="305" spans="1:40" x14ac:dyDescent="0.25">
      <c r="A305" s="2598" t="str">
        <f>'Income Eligble Deemed Table'!C437</f>
        <v>402200_2019_12_</v>
      </c>
      <c r="B305" s="245" t="str">
        <f>'Income Eligble Deemed Table'!G437</f>
        <v>Building Shell RES</v>
      </c>
      <c r="C305" s="245"/>
      <c r="D305" s="245"/>
      <c r="E305" s="245"/>
      <c r="F305" s="245" t="str">
        <f>'Income Eligble Deemed Table'!E437</f>
        <v>Floor Insulation R25 (R-3.96 base) MH electric furnace/baseboard and electric cooling</v>
      </c>
      <c r="G305" s="745" t="str">
        <f>'Income Eligble Deemed Table'!D437</f>
        <v>SFLI</v>
      </c>
      <c r="H305" s="2410">
        <f>'Income Eligble Deemed Table'!F437</f>
        <v>2.4500000000000002</v>
      </c>
      <c r="I305" s="2420">
        <f t="shared" si="217"/>
        <v>0</v>
      </c>
      <c r="J305" s="2454"/>
      <c r="K305" s="2454"/>
      <c r="L305" s="2452"/>
      <c r="M305" s="2452"/>
      <c r="N305" s="2411">
        <f>'Income Eligble Deemed Table'!K437</f>
        <v>1.142E-3</v>
      </c>
      <c r="O305" s="2411"/>
      <c r="P305" s="2426"/>
      <c r="Q305" s="2426"/>
      <c r="R305" s="2412"/>
      <c r="S305" s="2412"/>
      <c r="T305" s="2413"/>
      <c r="U305" s="2413"/>
      <c r="V305" s="2413">
        <f t="shared" si="223"/>
        <v>1.142E-3</v>
      </c>
      <c r="W305" s="2460">
        <f>'Income Eligble Deemed Table'!L437</f>
        <v>25</v>
      </c>
      <c r="X305" s="2460"/>
      <c r="Y305" s="94">
        <f t="shared" si="224"/>
        <v>25</v>
      </c>
      <c r="Z305" s="767">
        <f>'Income Eligble Deemed Table'!BB437</f>
        <v>5.3158369630085787</v>
      </c>
      <c r="AA305" s="2419">
        <f>'Income Eligble Deemed Table'!M437</f>
        <v>0.67966666666666664</v>
      </c>
      <c r="AB305" s="2416">
        <f t="shared" si="228"/>
        <v>3.410096450393107</v>
      </c>
      <c r="AC305" s="2416">
        <f t="shared" si="229"/>
        <v>0</v>
      </c>
      <c r="AD305" s="2446">
        <f>'Income Eligble Deemed Table'!BD437</f>
        <v>3.410096450393107</v>
      </c>
      <c r="AE305" s="2440"/>
      <c r="AF305" s="2440"/>
      <c r="AG305" s="2440"/>
      <c r="AL305" s="2380">
        <f t="shared" si="226"/>
        <v>4.6608050000000002E-4</v>
      </c>
      <c r="AM305">
        <f t="shared" si="225"/>
        <v>1.1418972250000002E-3</v>
      </c>
      <c r="AN305" s="2368">
        <f t="shared" si="227"/>
        <v>-1.0277499999981031E-7</v>
      </c>
    </row>
    <row r="306" spans="1:40" x14ac:dyDescent="0.25">
      <c r="A306" s="2598" t="str">
        <f>'Income Eligble Deemed Table'!C438</f>
        <v>402201_2019_12_</v>
      </c>
      <c r="B306" s="245" t="str">
        <f>'Income Eligble Deemed Table'!G438</f>
        <v>Building Shell RES</v>
      </c>
      <c r="C306" s="245"/>
      <c r="D306" s="245"/>
      <c r="E306" s="245"/>
      <c r="F306" s="245" t="str">
        <f>'Income Eligble Deemed Table'!E438</f>
        <v>Floor Insulation R25 (R-3.96 base) MH heat pump and electric cooling</v>
      </c>
      <c r="G306" s="745" t="str">
        <f>'Income Eligble Deemed Table'!D438</f>
        <v>SFLI</v>
      </c>
      <c r="H306" s="2410">
        <f>'Income Eligble Deemed Table'!F438</f>
        <v>1.42</v>
      </c>
      <c r="I306" s="2420">
        <f t="shared" si="217"/>
        <v>0</v>
      </c>
      <c r="J306" s="2454"/>
      <c r="K306" s="2454"/>
      <c r="L306" s="2452"/>
      <c r="M306" s="2452"/>
      <c r="N306" s="2411">
        <f>'Income Eligble Deemed Table'!K438</f>
        <v>6.6200000000000005E-4</v>
      </c>
      <c r="O306" s="2411"/>
      <c r="P306" s="2426"/>
      <c r="Q306" s="2426"/>
      <c r="R306" s="2412"/>
      <c r="S306" s="2412"/>
      <c r="T306" s="2413"/>
      <c r="U306" s="2413"/>
      <c r="V306" s="2413">
        <f t="shared" ref="V306:V312" si="230">N306</f>
        <v>6.6200000000000005E-4</v>
      </c>
      <c r="W306" s="2460">
        <f>'Income Eligble Deemed Table'!L438</f>
        <v>25</v>
      </c>
      <c r="X306" s="2460"/>
      <c r="Y306" s="94">
        <f t="shared" si="224"/>
        <v>25</v>
      </c>
      <c r="Z306" s="767">
        <f>'Income Eligble Deemed Table'!BB438</f>
        <v>3.0810157091723185</v>
      </c>
      <c r="AA306" s="2419">
        <f>'Income Eligble Deemed Table'!M438</f>
        <v>0.67966666666666664</v>
      </c>
      <c r="AB306" s="2416">
        <f t="shared" si="228"/>
        <v>1.9764640651258005</v>
      </c>
      <c r="AC306" s="2416">
        <f t="shared" si="229"/>
        <v>0</v>
      </c>
      <c r="AD306" s="2446">
        <f>'Income Eligble Deemed Table'!BD438</f>
        <v>1.9764640651258005</v>
      </c>
      <c r="AE306" s="2440"/>
      <c r="AF306" s="2440"/>
      <c r="AG306" s="2440"/>
      <c r="AL306" s="2380">
        <f t="shared" si="226"/>
        <v>4.6608050000000002E-4</v>
      </c>
      <c r="AM306">
        <f t="shared" si="225"/>
        <v>6.6183430999999999E-4</v>
      </c>
      <c r="AN306" s="2368">
        <f t="shared" si="227"/>
        <v>-1.656900000000577E-7</v>
      </c>
    </row>
    <row r="307" spans="1:40" x14ac:dyDescent="0.25">
      <c r="A307" s="2598" t="str">
        <f>'Income Eligble Deemed Table'!C439</f>
        <v>402202_2019_12_</v>
      </c>
      <c r="B307" s="245" t="str">
        <f>'Income Eligble Deemed Table'!G439</f>
        <v>Building Shell RES</v>
      </c>
      <c r="C307" s="245"/>
      <c r="D307" s="245"/>
      <c r="E307" s="245"/>
      <c r="F307" s="245" t="str">
        <f>'Income Eligble Deemed Table'!E439</f>
        <v>Floor Insulation R25 (R-3.96 base) MH gas furnace/baseboard and electric cooling</v>
      </c>
      <c r="G307" s="745" t="str">
        <f>'Income Eligble Deemed Table'!D439</f>
        <v>SFLI</v>
      </c>
      <c r="H307" s="2410">
        <f>'Income Eligble Deemed Table'!F439</f>
        <v>0.23</v>
      </c>
      <c r="I307" s="2420">
        <f t="shared" si="217"/>
        <v>0</v>
      </c>
      <c r="J307" s="2454"/>
      <c r="K307" s="2454"/>
      <c r="L307" s="2452"/>
      <c r="M307" s="2452"/>
      <c r="N307" s="2411">
        <f>'Income Eligble Deemed Table'!K439</f>
        <v>1.07E-4</v>
      </c>
      <c r="O307" s="2411"/>
      <c r="P307" s="2426"/>
      <c r="Q307" s="2426"/>
      <c r="R307" s="2412"/>
      <c r="S307" s="2412"/>
      <c r="T307" s="2413"/>
      <c r="U307" s="2413"/>
      <c r="V307" s="2413">
        <f t="shared" si="230"/>
        <v>1.07E-4</v>
      </c>
      <c r="W307" s="2460">
        <f>'Income Eligble Deemed Table'!L439</f>
        <v>25</v>
      </c>
      <c r="X307" s="2460"/>
      <c r="Y307" s="94">
        <f t="shared" si="224"/>
        <v>25</v>
      </c>
      <c r="Z307" s="767">
        <f>'Income Eligble Deemed Table'!BB439</f>
        <v>0.49903775571100939</v>
      </c>
      <c r="AA307" s="2419">
        <f>'Income Eligble Deemed Table'!M439</f>
        <v>0.67966666666666664</v>
      </c>
      <c r="AB307" s="2416">
        <f t="shared" si="228"/>
        <v>0.32013150350629166</v>
      </c>
      <c r="AC307" s="2416">
        <f t="shared" si="229"/>
        <v>0</v>
      </c>
      <c r="AD307" s="2446">
        <f>'Income Eligble Deemed Table'!BD439</f>
        <v>0.32013150350629166</v>
      </c>
      <c r="AE307" s="2440"/>
      <c r="AF307" s="2440"/>
      <c r="AG307" s="2440"/>
      <c r="AL307" s="2380">
        <f t="shared" si="226"/>
        <v>4.6608050000000002E-4</v>
      </c>
      <c r="AM307">
        <f t="shared" si="225"/>
        <v>1.0719851500000001E-4</v>
      </c>
      <c r="AN307" s="2368">
        <f t="shared" si="227"/>
        <v>1.9851500000001617E-7</v>
      </c>
    </row>
    <row r="308" spans="1:40" x14ac:dyDescent="0.25">
      <c r="A308" s="790" t="str">
        <f>'Income Eligble Deemed Table'!C440</f>
        <v>402203_2020_02_</v>
      </c>
      <c r="B308" s="144" t="str">
        <f>'Income Eligble Deemed Table'!G440</f>
        <v>Building Shell RES</v>
      </c>
      <c r="C308" s="245"/>
      <c r="D308" s="245"/>
      <c r="E308" s="245"/>
      <c r="F308" s="144" t="str">
        <f>'Income Eligble Deemed Table'!E440</f>
        <v>Floor Insulation R25 (R-13 base) MH electric furnace/baseboard and electric cooling</v>
      </c>
      <c r="G308" s="2494" t="str">
        <f>'Income Eligble Deemed Table'!D440</f>
        <v>SFLI</v>
      </c>
      <c r="H308" s="2420">
        <f>'Income Eligble Deemed Table'!F440</f>
        <v>0.22</v>
      </c>
      <c r="I308" s="2420">
        <f t="shared" si="217"/>
        <v>0</v>
      </c>
      <c r="J308" s="2454"/>
      <c r="K308" s="2454"/>
      <c r="L308" s="2452"/>
      <c r="M308" s="2452"/>
      <c r="N308" s="2411">
        <f>'Income Eligble Deemed Table'!K440</f>
        <v>1.03E-4</v>
      </c>
      <c r="O308" s="2411"/>
      <c r="P308" s="2426"/>
      <c r="Q308" s="2426"/>
      <c r="R308" s="2412"/>
      <c r="S308" s="2412"/>
      <c r="T308" s="2413"/>
      <c r="U308" s="2413"/>
      <c r="V308" s="2413">
        <f t="shared" si="230"/>
        <v>1.03E-4</v>
      </c>
      <c r="W308" s="2460">
        <f>'Income Eligble Deemed Table'!L440</f>
        <v>25</v>
      </c>
      <c r="X308" s="2460"/>
      <c r="Y308" s="94">
        <f t="shared" si="224"/>
        <v>25</v>
      </c>
      <c r="Z308" s="767">
        <f>'Income Eligble Deemed Table'!BB440</f>
        <v>0.47734046198444374</v>
      </c>
      <c r="AA308" s="2419">
        <f>'Income Eligble Deemed Table'!M440</f>
        <v>0.67966666666666664</v>
      </c>
      <c r="AB308" s="2416">
        <f t="shared" ref="AB308:AB310" si="231">AD308+AE308</f>
        <v>0.30621274248427899</v>
      </c>
      <c r="AC308" s="2416">
        <f t="shared" ref="AC308:AC310" si="232">AF308+AG308</f>
        <v>0</v>
      </c>
      <c r="AD308" s="2446">
        <f>'Income Eligble Deemed Table'!BD440</f>
        <v>0.30621274248427899</v>
      </c>
      <c r="AE308" s="2440"/>
      <c r="AF308" s="2440"/>
      <c r="AG308" s="2440"/>
      <c r="AL308" s="2380"/>
      <c r="AN308" s="2368"/>
    </row>
    <row r="309" spans="1:40" x14ac:dyDescent="0.25">
      <c r="A309" s="790" t="str">
        <f>'Income Eligble Deemed Table'!C441</f>
        <v>402204_2020_02_</v>
      </c>
      <c r="B309" s="144" t="str">
        <f>'Income Eligble Deemed Table'!G441</f>
        <v>Building Shell RES</v>
      </c>
      <c r="C309" s="245"/>
      <c r="D309" s="245"/>
      <c r="E309" s="245"/>
      <c r="F309" s="144" t="str">
        <f>'Income Eligble Deemed Table'!E441</f>
        <v>Floor Insulation R25 (R-13 base) MH heat pump and electric cooling</v>
      </c>
      <c r="G309" s="2494" t="str">
        <f>'Income Eligble Deemed Table'!D441</f>
        <v>SFLI</v>
      </c>
      <c r="H309" s="2420">
        <f>'Income Eligble Deemed Table'!F441</f>
        <v>0.13</v>
      </c>
      <c r="I309" s="2420">
        <f t="shared" si="217"/>
        <v>0</v>
      </c>
      <c r="J309" s="2454"/>
      <c r="K309" s="2454"/>
      <c r="L309" s="2452"/>
      <c r="M309" s="2452"/>
      <c r="N309" s="2411">
        <f>'Income Eligble Deemed Table'!K441</f>
        <v>6.0999999999999999E-5</v>
      </c>
      <c r="O309" s="2411"/>
      <c r="P309" s="2426"/>
      <c r="Q309" s="2426"/>
      <c r="R309" s="2412"/>
      <c r="S309" s="2412"/>
      <c r="T309" s="2413"/>
      <c r="U309" s="2413"/>
      <c r="V309" s="2413">
        <f t="shared" si="230"/>
        <v>6.0999999999999999E-5</v>
      </c>
      <c r="W309" s="2460">
        <f>'Income Eligble Deemed Table'!L441</f>
        <v>25</v>
      </c>
      <c r="X309" s="2460"/>
      <c r="Y309" s="94">
        <f t="shared" si="224"/>
        <v>25</v>
      </c>
      <c r="Z309" s="767">
        <f>'Income Eligble Deemed Table'!BB441</f>
        <v>0.28206481844535308</v>
      </c>
      <c r="AA309" s="2419">
        <f>'Income Eligble Deemed Table'!M441</f>
        <v>0.67966666666666664</v>
      </c>
      <c r="AB309" s="2416">
        <f t="shared" si="231"/>
        <v>0.18094389328616484</v>
      </c>
      <c r="AC309" s="2416">
        <f t="shared" si="232"/>
        <v>0</v>
      </c>
      <c r="AD309" s="2446">
        <f>'Income Eligble Deemed Table'!BD441</f>
        <v>0.18094389328616484</v>
      </c>
      <c r="AE309" s="2440"/>
      <c r="AF309" s="2440"/>
      <c r="AG309" s="2440"/>
      <c r="AL309" s="2380"/>
      <c r="AN309" s="2368"/>
    </row>
    <row r="310" spans="1:40" x14ac:dyDescent="0.25">
      <c r="A310" s="790" t="str">
        <f>'Income Eligble Deemed Table'!C442</f>
        <v>402205_2020_02_</v>
      </c>
      <c r="B310" s="144" t="str">
        <f>'Income Eligble Deemed Table'!G442</f>
        <v>Building Shell RES</v>
      </c>
      <c r="C310" s="245"/>
      <c r="D310" s="245"/>
      <c r="E310" s="245"/>
      <c r="F310" s="144" t="str">
        <f>'Income Eligble Deemed Table'!E442</f>
        <v>Floor Insulation R25 (R-13 base) MH gas furnace/baseboard and electric cooling</v>
      </c>
      <c r="G310" s="2494" t="str">
        <f>'Income Eligble Deemed Table'!D442</f>
        <v>SFLI</v>
      </c>
      <c r="H310" s="2420">
        <f>'Income Eligble Deemed Table'!F442</f>
        <v>0.02</v>
      </c>
      <c r="I310" s="2420">
        <f t="shared" si="217"/>
        <v>0</v>
      </c>
      <c r="J310" s="2454"/>
      <c r="K310" s="2454"/>
      <c r="L310" s="2452"/>
      <c r="M310" s="2452"/>
      <c r="N310" s="2411">
        <f>'Income Eligble Deemed Table'!K442</f>
        <v>9.0000000000000002E-6</v>
      </c>
      <c r="O310" s="2411"/>
      <c r="P310" s="2426"/>
      <c r="Q310" s="2426"/>
      <c r="R310" s="2412"/>
      <c r="S310" s="2412"/>
      <c r="T310" s="2413"/>
      <c r="U310" s="2413"/>
      <c r="V310" s="2413">
        <f t="shared" si="230"/>
        <v>9.0000000000000002E-6</v>
      </c>
      <c r="W310" s="2460">
        <f>'Income Eligble Deemed Table'!L442</f>
        <v>25</v>
      </c>
      <c r="X310" s="2460"/>
      <c r="Y310" s="94">
        <f t="shared" si="224"/>
        <v>25</v>
      </c>
      <c r="Z310" s="767">
        <f>'Income Eligble Deemed Table'!BB442</f>
        <v>4.3394587453131246E-2</v>
      </c>
      <c r="AA310" s="2419">
        <f>'Income Eligble Deemed Table'!M442</f>
        <v>0.67966666666666664</v>
      </c>
      <c r="AB310" s="2416">
        <f t="shared" si="231"/>
        <v>2.783752204402536E-2</v>
      </c>
      <c r="AC310" s="2416">
        <f t="shared" si="232"/>
        <v>0</v>
      </c>
      <c r="AD310" s="2446">
        <f>'Income Eligble Deemed Table'!BD442</f>
        <v>2.783752204402536E-2</v>
      </c>
      <c r="AE310" s="2440"/>
      <c r="AF310" s="2440"/>
      <c r="AG310" s="2440"/>
      <c r="AL310" s="2380"/>
      <c r="AN310" s="2368"/>
    </row>
    <row r="311" spans="1:40" x14ac:dyDescent="0.25">
      <c r="A311" s="2598" t="str">
        <f>'Income Eligble Deemed Table'!C475</f>
        <v>402250_2019_12_</v>
      </c>
      <c r="B311" s="245" t="str">
        <f>'Income Eligble Deemed Table'!G475</f>
        <v>HVAC RES</v>
      </c>
      <c r="C311" s="245"/>
      <c r="D311" s="245"/>
      <c r="E311" s="245"/>
      <c r="F311" s="245" t="str">
        <f>'Income Eligble Deemed Table'!E475</f>
        <v>Dirty Filter Alarm_MFLI</v>
      </c>
      <c r="G311" s="745" t="str">
        <f>'Income Eligble Deemed Table'!D475</f>
        <v>MFLI</v>
      </c>
      <c r="H311" s="2410">
        <f>'Income Eligble Deemed Table'!F475</f>
        <v>102.68</v>
      </c>
      <c r="I311" s="2420">
        <f t="shared" si="217"/>
        <v>0</v>
      </c>
      <c r="J311" s="2454"/>
      <c r="K311" s="2454"/>
      <c r="L311" s="2452"/>
      <c r="M311" s="2452"/>
      <c r="N311" s="2411">
        <f>'Income Eligble Deemed Table'!K475</f>
        <v>4.7856999999999997E-2</v>
      </c>
      <c r="O311" s="2411"/>
      <c r="P311" s="2426"/>
      <c r="Q311" s="2426"/>
      <c r="R311" s="2412"/>
      <c r="S311" s="2412"/>
      <c r="T311" s="2413"/>
      <c r="U311" s="2413"/>
      <c r="V311" s="2413">
        <f t="shared" si="230"/>
        <v>4.7856999999999997E-2</v>
      </c>
      <c r="W311" s="2460">
        <f>'Income Eligble Deemed Table'!L475</f>
        <v>14</v>
      </c>
      <c r="X311" s="2460"/>
      <c r="Y311" s="94">
        <f t="shared" si="224"/>
        <v>14</v>
      </c>
      <c r="Z311" s="767">
        <f>'Income Eligble Deemed Table'!BB475</f>
        <v>19.319216314838293</v>
      </c>
      <c r="AA311" s="2419">
        <f>'Income Eligble Deemed Table'!M475</f>
        <v>5</v>
      </c>
      <c r="AB311" s="2416">
        <f t="shared" si="228"/>
        <v>91.171384213488864</v>
      </c>
      <c r="AC311" s="2416">
        <f t="shared" si="229"/>
        <v>0</v>
      </c>
      <c r="AD311" s="2446">
        <f>'Income Eligble Deemed Table'!BD475</f>
        <v>91.171384213488864</v>
      </c>
      <c r="AE311" s="2440"/>
      <c r="AF311" s="2440"/>
      <c r="AG311" s="2440"/>
      <c r="AL311" s="2380">
        <f t="shared" si="226"/>
        <v>4.6608050000000002E-4</v>
      </c>
      <c r="AM311">
        <f t="shared" si="225"/>
        <v>4.7857145740000002E-2</v>
      </c>
      <c r="AN311" s="2368">
        <f t="shared" si="227"/>
        <v>1.4574000000572296E-7</v>
      </c>
    </row>
    <row r="312" spans="1:40" x14ac:dyDescent="0.25">
      <c r="A312" s="2598" t="str">
        <f>'Income Eligble Deemed Table'!C476</f>
        <v>402251_2019_12_</v>
      </c>
      <c r="B312" s="245" t="str">
        <f>'Income Eligble Deemed Table'!G476</f>
        <v>HVAC RES</v>
      </c>
      <c r="C312" s="245"/>
      <c r="D312" s="245"/>
      <c r="E312" s="245"/>
      <c r="F312" s="245" t="str">
        <f>'Income Eligble Deemed Table'!E476</f>
        <v>Dirty Filter Alarm_MFLI_CompE</v>
      </c>
      <c r="G312" s="745" t="str">
        <f>'Income Eligble Deemed Table'!D476</f>
        <v>MFLIc</v>
      </c>
      <c r="H312" s="2410">
        <f>'Income Eligble Deemed Table'!F476</f>
        <v>49.58</v>
      </c>
      <c r="I312" s="2420">
        <f t="shared" si="217"/>
        <v>0</v>
      </c>
      <c r="J312" s="2454"/>
      <c r="K312" s="2454"/>
      <c r="L312" s="2452"/>
      <c r="M312" s="2452"/>
      <c r="N312" s="2411">
        <f>'Income Eligble Deemed Table'!K476</f>
        <v>2.3108E-2</v>
      </c>
      <c r="O312" s="2411"/>
      <c r="P312" s="2426"/>
      <c r="Q312" s="2426"/>
      <c r="R312" s="2412"/>
      <c r="S312" s="2412"/>
      <c r="T312" s="2413"/>
      <c r="U312" s="2413"/>
      <c r="V312" s="2413">
        <f t="shared" si="230"/>
        <v>2.3108E-2</v>
      </c>
      <c r="W312" s="2460">
        <f>'Income Eligble Deemed Table'!L476</f>
        <v>14</v>
      </c>
      <c r="X312" s="2460"/>
      <c r="Y312" s="94">
        <f t="shared" si="224"/>
        <v>14</v>
      </c>
      <c r="Z312" s="767">
        <f>'Income Eligble Deemed Table'!BB476</f>
        <v>9.3284645976790266</v>
      </c>
      <c r="AA312" s="2419">
        <f>'Income Eligble Deemed Table'!M476</f>
        <v>5</v>
      </c>
      <c r="AB312" s="2416">
        <f t="shared" si="228"/>
        <v>44.022957044261567</v>
      </c>
      <c r="AC312" s="2416">
        <f t="shared" si="229"/>
        <v>0</v>
      </c>
      <c r="AD312" s="2446">
        <f>'Income Eligble Deemed Table'!BD476</f>
        <v>44.022957044261567</v>
      </c>
      <c r="AE312" s="2440"/>
      <c r="AF312" s="2440"/>
      <c r="AG312" s="2440"/>
      <c r="AL312" s="2380">
        <f t="shared" si="226"/>
        <v>4.6608050000000002E-4</v>
      </c>
      <c r="AM312">
        <f t="shared" si="225"/>
        <v>2.3108271190000002E-2</v>
      </c>
      <c r="AN312" s="2368">
        <f t="shared" si="227"/>
        <v>2.7119000000144777E-7</v>
      </c>
    </row>
    <row r="313" spans="1:40" x14ac:dyDescent="0.25">
      <c r="A313" s="2598" t="str">
        <f>'Income Eligble Deemed Table'!C502</f>
        <v>402300_2019_12_</v>
      </c>
      <c r="B313" s="245" t="str">
        <f>'Income Eligble Deemed Table'!G502</f>
        <v>HVAC RES</v>
      </c>
      <c r="C313" s="245"/>
      <c r="D313" s="245"/>
      <c r="E313" s="245"/>
      <c r="F313" s="245" t="str">
        <f>'Income Eligble Deemed Table'!E502</f>
        <v>Duct Insulation - Electric Heating</v>
      </c>
      <c r="G313" s="745" t="str">
        <f>'Income Eligble Deemed Table'!D502</f>
        <v>SFLI</v>
      </c>
      <c r="H313" s="2410">
        <f>'Income Eligble Deemed Table'!F502</f>
        <v>29.13</v>
      </c>
      <c r="I313" s="2420">
        <f t="shared" si="217"/>
        <v>0</v>
      </c>
      <c r="J313" s="2454"/>
      <c r="K313" s="2454"/>
      <c r="L313" s="2452"/>
      <c r="M313" s="2452"/>
      <c r="N313" s="2411">
        <f>'Income Eligble Deemed Table'!L502</f>
        <v>1.3577000000000001E-2</v>
      </c>
      <c r="O313" s="2411"/>
      <c r="P313" s="2426"/>
      <c r="Q313" s="2426"/>
      <c r="R313" s="2412"/>
      <c r="S313" s="2412"/>
      <c r="T313" s="2413"/>
      <c r="U313" s="2413"/>
      <c r="V313" s="2413">
        <f t="shared" ref="V313:V315" si="233">N313</f>
        <v>1.3577000000000001E-2</v>
      </c>
      <c r="W313" s="2460">
        <f>'Income Eligble Deemed Table'!M502</f>
        <v>20</v>
      </c>
      <c r="X313" s="2460"/>
      <c r="Y313" s="94">
        <f t="shared" si="224"/>
        <v>20</v>
      </c>
      <c r="Z313" s="767">
        <f>'Income Eligble Deemed Table'!BB502</f>
        <v>8.704896824384484</v>
      </c>
      <c r="AA313" s="2419">
        <f>'Income Eligble Deemed Table'!N502</f>
        <v>4.2205065958870298</v>
      </c>
      <c r="AB313" s="2416">
        <f t="shared" si="228"/>
        <v>34.675860749250376</v>
      </c>
      <c r="AC313" s="2416">
        <f t="shared" si="229"/>
        <v>0</v>
      </c>
      <c r="AD313" s="2446">
        <f>'Income Eligble Deemed Table'!BD502</f>
        <v>34.675860749250376</v>
      </c>
      <c r="AE313" s="2440"/>
      <c r="AF313" s="2440"/>
      <c r="AG313" s="2440"/>
      <c r="AL313" s="2380">
        <f t="shared" si="226"/>
        <v>4.6608050000000002E-4</v>
      </c>
      <c r="AM313">
        <f t="shared" si="225"/>
        <v>1.3576924965000001E-2</v>
      </c>
      <c r="AN313" s="2368">
        <f t="shared" si="227"/>
        <v>-7.5034999999848417E-8</v>
      </c>
    </row>
    <row r="314" spans="1:40" x14ac:dyDescent="0.25">
      <c r="A314" s="2598" t="str">
        <f>'Income Eligble Deemed Table'!C503</f>
        <v>402350_2019_12_</v>
      </c>
      <c r="B314" s="245" t="str">
        <f>'Income Eligble Deemed Table'!G503</f>
        <v>HVAC RES</v>
      </c>
      <c r="C314" s="245"/>
      <c r="D314" s="245"/>
      <c r="E314" s="245"/>
      <c r="F314" s="245" t="str">
        <f>'Income Eligble Deemed Table'!E503</f>
        <v>Mobile Home Adjusted Duct Insulation - Electric Heating </v>
      </c>
      <c r="G314" s="745" t="str">
        <f>'Income Eligble Deemed Table'!D503</f>
        <v>SFLI</v>
      </c>
      <c r="H314" s="2410">
        <f>'Income Eligble Deemed Table'!F503</f>
        <v>29.13</v>
      </c>
      <c r="I314" s="2420">
        <f t="shared" si="217"/>
        <v>0</v>
      </c>
      <c r="J314" s="2454"/>
      <c r="K314" s="2454"/>
      <c r="L314" s="2452"/>
      <c r="M314" s="2452"/>
      <c r="N314" s="2411">
        <f>'Income Eligble Deemed Table'!L503</f>
        <v>1.3577000000000001E-2</v>
      </c>
      <c r="O314" s="2411"/>
      <c r="P314" s="2426"/>
      <c r="Q314" s="2426"/>
      <c r="R314" s="2412"/>
      <c r="S314" s="2412"/>
      <c r="T314" s="2413"/>
      <c r="U314" s="2413"/>
      <c r="V314" s="2413">
        <f t="shared" si="233"/>
        <v>1.3577000000000001E-2</v>
      </c>
      <c r="W314" s="2460">
        <f>'Income Eligble Deemed Table'!M503</f>
        <v>20</v>
      </c>
      <c r="X314" s="2460"/>
      <c r="Y314" s="94">
        <f t="shared" si="224"/>
        <v>20</v>
      </c>
      <c r="Z314" s="767">
        <f>'Income Eligble Deemed Table'!BB503</f>
        <v>8.704896824384484</v>
      </c>
      <c r="AA314" s="2419">
        <f>'Income Eligble Deemed Table'!N503</f>
        <v>4.2205065958870298</v>
      </c>
      <c r="AB314" s="2416">
        <f t="shared" si="228"/>
        <v>34.675860749250376</v>
      </c>
      <c r="AC314" s="2416">
        <f t="shared" si="229"/>
        <v>0</v>
      </c>
      <c r="AD314" s="2446">
        <f>'Income Eligble Deemed Table'!BD503</f>
        <v>34.675860749250376</v>
      </c>
      <c r="AE314" s="2440"/>
      <c r="AF314" s="2440"/>
      <c r="AG314" s="2440"/>
      <c r="AL314" s="2380">
        <f t="shared" si="226"/>
        <v>4.6608050000000002E-4</v>
      </c>
      <c r="AM314">
        <f t="shared" si="225"/>
        <v>1.3576924965000001E-2</v>
      </c>
      <c r="AN314" s="2368">
        <f t="shared" si="227"/>
        <v>-7.5034999999848417E-8</v>
      </c>
    </row>
    <row r="315" spans="1:40" x14ac:dyDescent="0.25">
      <c r="A315" s="2598" t="str">
        <f>'Income Eligble Deemed Table'!C504</f>
        <v>402400_2019_12_</v>
      </c>
      <c r="B315" s="245" t="str">
        <f>'Income Eligble Deemed Table'!G504</f>
        <v>HVAC RES</v>
      </c>
      <c r="C315" s="245"/>
      <c r="D315" s="245"/>
      <c r="E315" s="245"/>
      <c r="F315" s="245" t="str">
        <f>'Income Eligble Deemed Table'!E504</f>
        <v>Duct Insulation - Gas Heating</v>
      </c>
      <c r="G315" s="745" t="str">
        <f>'Income Eligble Deemed Table'!D504</f>
        <v>SFLI</v>
      </c>
      <c r="H315" s="2410">
        <f>'Income Eligble Deemed Table'!F504</f>
        <v>2.69</v>
      </c>
      <c r="I315" s="2420">
        <f t="shared" si="217"/>
        <v>0</v>
      </c>
      <c r="J315" s="2454"/>
      <c r="K315" s="2454"/>
      <c r="L315" s="2452"/>
      <c r="M315" s="2452"/>
      <c r="N315" s="2411">
        <f>'Income Eligble Deemed Table'!L504</f>
        <v>1.2539999999999999E-3</v>
      </c>
      <c r="O315" s="2411"/>
      <c r="P315" s="2426"/>
      <c r="Q315" s="2426"/>
      <c r="R315" s="2412"/>
      <c r="S315" s="2412"/>
      <c r="T315" s="2413"/>
      <c r="U315" s="2413"/>
      <c r="V315" s="2413">
        <f t="shared" si="233"/>
        <v>1.2539999999999999E-3</v>
      </c>
      <c r="W315" s="2460">
        <f>'Income Eligble Deemed Table'!M504</f>
        <v>20</v>
      </c>
      <c r="X315" s="2460"/>
      <c r="Y315" s="94">
        <f t="shared" si="224"/>
        <v>20</v>
      </c>
      <c r="Z315" s="767">
        <f>'Income Eligble Deemed Table'!BB504</f>
        <v>0.80385075377941162</v>
      </c>
      <c r="AA315" s="2419">
        <f>'Income Eligble Deemed Table'!N504</f>
        <v>4.2205065958870298</v>
      </c>
      <c r="AB315" s="2416">
        <f t="shared" si="228"/>
        <v>3.2021306356156369</v>
      </c>
      <c r="AC315" s="2416">
        <f t="shared" si="229"/>
        <v>0</v>
      </c>
      <c r="AD315" s="2446">
        <f>'Income Eligble Deemed Table'!BD504</f>
        <v>3.2021306356156369</v>
      </c>
      <c r="AE315" s="2440"/>
      <c r="AF315" s="2440"/>
      <c r="AG315" s="2440"/>
      <c r="AL315" s="2380">
        <f t="shared" si="226"/>
        <v>4.6608050000000002E-4</v>
      </c>
      <c r="AM315">
        <f t="shared" si="225"/>
        <v>1.253756545E-3</v>
      </c>
      <c r="AN315" s="2368">
        <f t="shared" si="227"/>
        <v>-2.4345499999994802E-7</v>
      </c>
    </row>
    <row r="316" spans="1:40" x14ac:dyDescent="0.25">
      <c r="A316" s="2598" t="str">
        <f>'Income Eligble Deemed Table'!C543</f>
        <v>402450_2019_12_</v>
      </c>
      <c r="B316" s="245" t="str">
        <f>'Income Eligble Deemed Table'!G543</f>
        <v>HVAC RES</v>
      </c>
      <c r="C316" s="245"/>
      <c r="D316" s="245"/>
      <c r="E316" s="245"/>
      <c r="F316" s="245" t="str">
        <f>'Income Eligble Deemed Table'!E543</f>
        <v>Duct Repair (Sealing) - Electric Heating SF</v>
      </c>
      <c r="G316" s="745" t="str">
        <f>'Income Eligble Deemed Table'!D543</f>
        <v>SFLI</v>
      </c>
      <c r="H316" s="2410">
        <f>'Income Eligble Deemed Table'!F543</f>
        <v>4.92</v>
      </c>
      <c r="I316" s="2420">
        <f t="shared" si="217"/>
        <v>0</v>
      </c>
      <c r="J316" s="2454"/>
      <c r="K316" s="2454"/>
      <c r="L316" s="2452"/>
      <c r="M316" s="2452"/>
      <c r="N316" s="2411">
        <f>'Income Eligble Deemed Table'!K543</f>
        <v>2.2929999999999999E-3</v>
      </c>
      <c r="O316" s="2411"/>
      <c r="P316" s="2426"/>
      <c r="Q316" s="2426"/>
      <c r="R316" s="2412"/>
      <c r="S316" s="2412"/>
      <c r="T316" s="2413"/>
      <c r="U316" s="2413"/>
      <c r="V316" s="2413">
        <f t="shared" ref="V316" si="234">N316</f>
        <v>2.2929999999999999E-3</v>
      </c>
      <c r="W316" s="2460">
        <f>'Income Eligble Deemed Table'!L543</f>
        <v>20</v>
      </c>
      <c r="X316" s="2460"/>
      <c r="Y316" s="94">
        <f t="shared" si="224"/>
        <v>20</v>
      </c>
      <c r="Z316" s="767">
        <f>'Income Eligble Deemed Table'!BB543</f>
        <v>0.77200997302022389</v>
      </c>
      <c r="AA316" s="2419">
        <f>'Income Eligble Deemed Table'!M543</f>
        <v>8.0376653213977498</v>
      </c>
      <c r="AB316" s="2416">
        <f t="shared" si="228"/>
        <v>5.8566850287096415</v>
      </c>
      <c r="AC316" s="2416">
        <f t="shared" si="229"/>
        <v>0</v>
      </c>
      <c r="AD316" s="2446">
        <f>'Income Eligble Deemed Table'!BD543</f>
        <v>5.8566850287096415</v>
      </c>
      <c r="AE316" s="2440"/>
      <c r="AF316" s="2440"/>
      <c r="AG316" s="2440"/>
      <c r="AL316" s="2380">
        <f t="shared" si="226"/>
        <v>4.6608050000000002E-4</v>
      </c>
      <c r="AM316">
        <f t="shared" si="225"/>
        <v>2.2931160600000002E-3</v>
      </c>
      <c r="AN316" s="2368">
        <f t="shared" si="227"/>
        <v>1.1606000000028566E-7</v>
      </c>
    </row>
    <row r="317" spans="1:40" x14ac:dyDescent="0.25">
      <c r="A317" s="2598" t="str">
        <f>'Income Eligble Deemed Table'!C544</f>
        <v>402451_2019_12_</v>
      </c>
      <c r="B317" s="245" t="str">
        <f>'Income Eligble Deemed Table'!G544</f>
        <v>HVAC RES</v>
      </c>
      <c r="C317" s="245"/>
      <c r="D317" s="245"/>
      <c r="E317" s="245"/>
      <c r="F317" s="245" t="str">
        <f>'Income Eligble Deemed Table'!E544</f>
        <v>Duct Repair (Sealing) - Gas Heating SF</v>
      </c>
      <c r="G317" s="745" t="str">
        <f>'Income Eligble Deemed Table'!D544</f>
        <v>SFLI</v>
      </c>
      <c r="H317" s="2410">
        <f>'Income Eligble Deemed Table'!F544</f>
        <v>1.02</v>
      </c>
      <c r="I317" s="2420">
        <f t="shared" si="217"/>
        <v>0</v>
      </c>
      <c r="J317" s="2454"/>
      <c r="K317" s="2454"/>
      <c r="L317" s="2452"/>
      <c r="M317" s="2452"/>
      <c r="N317" s="2411">
        <f>'Income Eligble Deemed Table'!K544</f>
        <v>4.75E-4</v>
      </c>
      <c r="O317" s="2411"/>
      <c r="P317" s="2426"/>
      <c r="Q317" s="2426"/>
      <c r="R317" s="2412"/>
      <c r="S317" s="2412"/>
      <c r="T317" s="2413"/>
      <c r="U317" s="2413"/>
      <c r="V317" s="2413">
        <f t="shared" ref="V317:V320" si="235">N317</f>
        <v>4.75E-4</v>
      </c>
      <c r="W317" s="2460">
        <f>'Income Eligble Deemed Table'!L544</f>
        <v>20</v>
      </c>
      <c r="X317" s="2460"/>
      <c r="Y317" s="94">
        <f t="shared" ref="Y317:Y326" si="236">X317+W317</f>
        <v>20</v>
      </c>
      <c r="Z317" s="767">
        <f>'Income Eligble Deemed Table'!BB544</f>
        <v>0.16005084806516837</v>
      </c>
      <c r="AA317" s="2419">
        <f>'Income Eligble Deemed Table'!M544</f>
        <v>8.0376653213977498</v>
      </c>
      <c r="AB317" s="2416">
        <f t="shared" si="228"/>
        <v>1.2141907986349256</v>
      </c>
      <c r="AC317" s="2416">
        <f t="shared" si="229"/>
        <v>0</v>
      </c>
      <c r="AD317" s="2446">
        <f>'Income Eligble Deemed Table'!BD544</f>
        <v>1.2141907986349256</v>
      </c>
      <c r="AE317" s="2440"/>
      <c r="AF317" s="2440"/>
      <c r="AG317" s="2440"/>
      <c r="AL317" s="2380">
        <f t="shared" si="226"/>
        <v>4.6608050000000002E-4</v>
      </c>
      <c r="AM317">
        <f t="shared" si="225"/>
        <v>4.7540211000000003E-4</v>
      </c>
      <c r="AN317" s="2368">
        <f t="shared" si="227"/>
        <v>4.0211000000003536E-7</v>
      </c>
    </row>
    <row r="318" spans="1:40" x14ac:dyDescent="0.25">
      <c r="A318" s="2598" t="str">
        <f>'Income Eligble Deemed Table'!C545</f>
        <v>402500_2019_12_</v>
      </c>
      <c r="B318" s="245" t="str">
        <f>'Income Eligble Deemed Table'!G545</f>
        <v>HVAC RES</v>
      </c>
      <c r="C318" s="245"/>
      <c r="D318" s="245"/>
      <c r="E318" s="245"/>
      <c r="F318" s="245" t="str">
        <f>'Income Eligble Deemed Table'!E545</f>
        <v>Duct Repair (Sealing) - Electric Heating MH Adjusted</v>
      </c>
      <c r="G318" s="745" t="str">
        <f>'Income Eligble Deemed Table'!D545</f>
        <v>SFLI</v>
      </c>
      <c r="H318" s="2410">
        <f>'Income Eligble Deemed Table'!F545</f>
        <v>6.01</v>
      </c>
      <c r="I318" s="2420">
        <f t="shared" si="217"/>
        <v>0</v>
      </c>
      <c r="J318" s="2454"/>
      <c r="K318" s="2454"/>
      <c r="L318" s="2452"/>
      <c r="M318" s="2452"/>
      <c r="N318" s="2411">
        <f>'Income Eligble Deemed Table'!K545</f>
        <v>2.8010000000000001E-3</v>
      </c>
      <c r="O318" s="2411"/>
      <c r="P318" s="2426"/>
      <c r="Q318" s="2426"/>
      <c r="R318" s="2412"/>
      <c r="S318" s="2412"/>
      <c r="T318" s="2413"/>
      <c r="U318" s="2413"/>
      <c r="V318" s="2413">
        <f t="shared" si="235"/>
        <v>2.8010000000000001E-3</v>
      </c>
      <c r="W318" s="2460">
        <f>'Income Eligble Deemed Table'!L545</f>
        <v>20</v>
      </c>
      <c r="X318" s="2460"/>
      <c r="Y318" s="94">
        <f t="shared" si="236"/>
        <v>20</v>
      </c>
      <c r="Z318" s="767">
        <f>'Income Eligble Deemed Table'!BB545</f>
        <v>0.94304470281535469</v>
      </c>
      <c r="AA318" s="2419">
        <f>'Income Eligble Deemed Table'!M545</f>
        <v>8.0376653213977498</v>
      </c>
      <c r="AB318" s="2416">
        <f t="shared" si="228"/>
        <v>7.1542026468587281</v>
      </c>
      <c r="AC318" s="2416">
        <f t="shared" si="229"/>
        <v>0</v>
      </c>
      <c r="AD318" s="2446">
        <f>'Income Eligble Deemed Table'!BD545</f>
        <v>7.1542026468587281</v>
      </c>
      <c r="AE318" s="2440"/>
      <c r="AF318" s="2440"/>
      <c r="AG318" s="2440"/>
      <c r="AL318" s="2380">
        <f t="shared" si="226"/>
        <v>4.6608050000000002E-4</v>
      </c>
      <c r="AM318">
        <f t="shared" si="225"/>
        <v>2.8011438050000001E-3</v>
      </c>
      <c r="AN318" s="2368">
        <f t="shared" si="227"/>
        <v>1.4380500000001073E-7</v>
      </c>
    </row>
    <row r="319" spans="1:40" x14ac:dyDescent="0.25">
      <c r="A319" s="2598" t="str">
        <f>'Income Eligble Deemed Table'!C546</f>
        <v>402501_2019_12_</v>
      </c>
      <c r="B319" s="245" t="str">
        <f>'Income Eligble Deemed Table'!G546</f>
        <v>HVAC RES</v>
      </c>
      <c r="C319" s="245"/>
      <c r="D319" s="245"/>
      <c r="E319" s="245"/>
      <c r="F319" s="245" t="str">
        <f>'Income Eligble Deemed Table'!E546</f>
        <v>Duct Repair (Sealing) - Gas Heating  MH Adjusted</v>
      </c>
      <c r="G319" s="745" t="str">
        <f>'Income Eligble Deemed Table'!D546</f>
        <v>SFLI</v>
      </c>
      <c r="H319" s="2410">
        <f>'Income Eligble Deemed Table'!F546</f>
        <v>1.21</v>
      </c>
      <c r="I319" s="2420">
        <f t="shared" si="217"/>
        <v>0</v>
      </c>
      <c r="J319" s="2454"/>
      <c r="K319" s="2454"/>
      <c r="L319" s="2452"/>
      <c r="M319" s="2452"/>
      <c r="N319" s="2411">
        <f>'Income Eligble Deemed Table'!K546</f>
        <v>5.6400000000000005E-4</v>
      </c>
      <c r="O319" s="2411"/>
      <c r="P319" s="2426"/>
      <c r="Q319" s="2426"/>
      <c r="R319" s="2412"/>
      <c r="S319" s="2412"/>
      <c r="T319" s="2413"/>
      <c r="U319" s="2413"/>
      <c r="V319" s="2413">
        <f t="shared" si="235"/>
        <v>5.6400000000000005E-4</v>
      </c>
      <c r="W319" s="2460">
        <f>'Income Eligble Deemed Table'!L546</f>
        <v>20</v>
      </c>
      <c r="X319" s="2460"/>
      <c r="Y319" s="94">
        <f t="shared" si="236"/>
        <v>20</v>
      </c>
      <c r="Z319" s="767">
        <f>'Income Eligble Deemed Table'!BB546</f>
        <v>0.18986424133220953</v>
      </c>
      <c r="AA319" s="2419">
        <f>'Income Eligble Deemed Table'!M546</f>
        <v>8.0376653213977498</v>
      </c>
      <c r="AB319" s="2416">
        <f t="shared" si="228"/>
        <v>1.4403635944590785</v>
      </c>
      <c r="AC319" s="2416">
        <f t="shared" si="229"/>
        <v>0</v>
      </c>
      <c r="AD319" s="2446">
        <f>'Income Eligble Deemed Table'!BD546</f>
        <v>1.4403635944590785</v>
      </c>
      <c r="AE319" s="2440"/>
      <c r="AF319" s="2440"/>
      <c r="AG319" s="2440"/>
      <c r="AL319" s="2380">
        <f t="shared" si="226"/>
        <v>4.6608050000000002E-4</v>
      </c>
      <c r="AM319">
        <f t="shared" si="225"/>
        <v>5.6395740500000003E-4</v>
      </c>
      <c r="AN319" s="2368">
        <f t="shared" si="227"/>
        <v>-4.2595000000018521E-8</v>
      </c>
    </row>
    <row r="320" spans="1:40" x14ac:dyDescent="0.25">
      <c r="A320" s="2598" t="str">
        <f>'Income Eligble Deemed Table'!C580</f>
        <v>402550_2019_12_</v>
      </c>
      <c r="B320" s="245" t="str">
        <f>'Income Eligble Deemed Table'!G580</f>
        <v>HVAC RES</v>
      </c>
      <c r="C320" s="245"/>
      <c r="D320" s="245"/>
      <c r="E320" s="245"/>
      <c r="F320" s="245" t="str">
        <f>'Income Eligble Deemed Table'!E580</f>
        <v>ECM Auto Fan EUL Replacement -SF</v>
      </c>
      <c r="G320" s="745" t="str">
        <f>'Income Eligble Deemed Table'!D580</f>
        <v>SFLI</v>
      </c>
      <c r="H320" s="2410">
        <f>'Income Eligble Deemed Table'!F580</f>
        <v>582</v>
      </c>
      <c r="I320" s="2420"/>
      <c r="J320" s="2454"/>
      <c r="K320" s="2454"/>
      <c r="L320" s="2452"/>
      <c r="M320" s="2452"/>
      <c r="N320" s="2411">
        <f>'Income Eligble Deemed Table'!M580</f>
        <v>0.27125899999999997</v>
      </c>
      <c r="O320" s="2411"/>
      <c r="P320" s="2426"/>
      <c r="Q320" s="2426"/>
      <c r="R320" s="2412"/>
      <c r="S320" s="2412"/>
      <c r="T320" s="2413"/>
      <c r="U320" s="2413"/>
      <c r="V320" s="2413">
        <f t="shared" si="235"/>
        <v>0.27125899999999997</v>
      </c>
      <c r="W320" s="2460">
        <f>'Income Eligble Deemed Table'!N580</f>
        <v>20</v>
      </c>
      <c r="X320" s="2460"/>
      <c r="Y320" s="94">
        <f t="shared" si="236"/>
        <v>20</v>
      </c>
      <c r="Z320" s="767">
        <f>'Income Eligble Deemed Table'!BB580</f>
        <v>9.8755842478136593</v>
      </c>
      <c r="AA320" s="2419">
        <f>'Income Eligble Deemed Table'!O580</f>
        <v>74.327224020150311</v>
      </c>
      <c r="AB320" s="2416">
        <f t="shared" si="228"/>
        <v>692.80298510345756</v>
      </c>
      <c r="AC320" s="2416">
        <f t="shared" si="229"/>
        <v>0</v>
      </c>
      <c r="AD320" s="2446">
        <f>'Income Eligble Deemed Table'!BD580</f>
        <v>692.80298510345756</v>
      </c>
      <c r="AE320" s="2440"/>
      <c r="AF320" s="2440"/>
      <c r="AG320" s="2440"/>
      <c r="AL320" s="2380">
        <f t="shared" si="226"/>
        <v>4.6608050000000002E-4</v>
      </c>
      <c r="AM320">
        <f t="shared" si="225"/>
        <v>0.27125885100000002</v>
      </c>
      <c r="AN320" s="2368">
        <f t="shared" si="227"/>
        <v>-1.4899999994932855E-7</v>
      </c>
    </row>
    <row r="321" spans="1:40" x14ac:dyDescent="0.25">
      <c r="A321" s="2598" t="str">
        <f>'Income Eligble Deemed Table'!C581</f>
        <v>402600_2019_12_</v>
      </c>
      <c r="B321" s="245" t="str">
        <f>'Income Eligble Deemed Table'!G581</f>
        <v>HVAC RES</v>
      </c>
      <c r="C321" s="245" t="str">
        <f>'Income Eligble Deemed Table'!G582</f>
        <v>HVAC RES ER2</v>
      </c>
      <c r="D321" s="245"/>
      <c r="E321" s="245"/>
      <c r="F321" s="245" t="str">
        <f>'Income Eligble Deemed Table'!E581</f>
        <v>ECM Auto Fan Early Replacement ER1 (Full Cost) - SF</v>
      </c>
      <c r="G321" s="745" t="str">
        <f>'Income Eligble Deemed Table'!D581</f>
        <v>SFLI</v>
      </c>
      <c r="H321" s="2410">
        <f>'Income Eligble Deemed Table'!F581</f>
        <v>582</v>
      </c>
      <c r="I321" s="2410">
        <f>'Income Eligble Deemed Table'!F582</f>
        <v>582</v>
      </c>
      <c r="J321" s="2454"/>
      <c r="K321" s="2454"/>
      <c r="L321" s="2452"/>
      <c r="M321" s="2452"/>
      <c r="N321" s="2411">
        <f>'Income Eligble Deemed Table'!M581</f>
        <v>0.27125899999999997</v>
      </c>
      <c r="O321" s="2411">
        <f>'Income Eligble Deemed Table'!M582</f>
        <v>0.27125899999999997</v>
      </c>
      <c r="P321" s="2426"/>
      <c r="Q321" s="2426"/>
      <c r="R321" s="2412"/>
      <c r="S321" s="2412"/>
      <c r="T321" s="2413"/>
      <c r="U321" s="2413"/>
      <c r="V321" s="2413">
        <f t="shared" ref="V321:V327" si="237">N321</f>
        <v>0.27125899999999997</v>
      </c>
      <c r="W321" s="2460">
        <f>'Income Eligble Deemed Table'!N581</f>
        <v>6</v>
      </c>
      <c r="X321" s="2460">
        <f>'Income Eligble Deemed Table'!N582</f>
        <v>12</v>
      </c>
      <c r="Y321" s="94">
        <f t="shared" si="236"/>
        <v>18</v>
      </c>
      <c r="Z321" s="767">
        <f>'Income Eligble Deemed Table'!BB581</f>
        <v>1.4249213128950478</v>
      </c>
      <c r="AA321" s="2419">
        <f>'Income Eligble Deemed Table'!O581</f>
        <v>475</v>
      </c>
      <c r="AB321" s="2416">
        <f t="shared" si="228"/>
        <v>214.66614365077814</v>
      </c>
      <c r="AC321" s="2416">
        <f t="shared" si="229"/>
        <v>424.16125004921963</v>
      </c>
      <c r="AD321" s="2446">
        <f>'Income Eligble Deemed Table'!BD581</f>
        <v>214.66614365077814</v>
      </c>
      <c r="AE321" s="2440"/>
      <c r="AF321" s="2447">
        <f>'Income Eligble Deemed Table'!BD582</f>
        <v>424.16125004921963</v>
      </c>
      <c r="AG321" s="2440"/>
      <c r="AL321" s="2380">
        <f t="shared" si="226"/>
        <v>4.6608050000000002E-4</v>
      </c>
      <c r="AM321">
        <f t="shared" si="225"/>
        <v>0.27125885100000002</v>
      </c>
      <c r="AN321" s="2368">
        <f t="shared" si="227"/>
        <v>-1.4899999994932855E-7</v>
      </c>
    </row>
    <row r="322" spans="1:40" x14ac:dyDescent="0.25">
      <c r="A322" s="2598" t="str">
        <f>'Income Eligble Deemed Table'!C583</f>
        <v>402650_2019_12_</v>
      </c>
      <c r="B322" s="245" t="str">
        <f>'Income Eligble Deemed Table'!G583</f>
        <v>HVAC RES</v>
      </c>
      <c r="C322" s="245"/>
      <c r="D322" s="245"/>
      <c r="E322" s="245"/>
      <c r="F322" s="245" t="str">
        <f>'Income Eligble Deemed Table'!E583</f>
        <v>ECM Continous Fan EUL Replacement - SF</v>
      </c>
      <c r="G322" s="745" t="str">
        <f>'Income Eligble Deemed Table'!D583</f>
        <v>SFLI</v>
      </c>
      <c r="H322" s="2410">
        <f>'Income Eligble Deemed Table'!F583</f>
        <v>582</v>
      </c>
      <c r="I322" s="2410"/>
      <c r="J322" s="2454"/>
      <c r="K322" s="2454"/>
      <c r="L322" s="2452"/>
      <c r="M322" s="2452"/>
      <c r="N322" s="2411">
        <f>'Income Eligble Deemed Table'!M583</f>
        <v>0.27125899999999997</v>
      </c>
      <c r="O322" s="2411"/>
      <c r="P322" s="2426"/>
      <c r="Q322" s="2426"/>
      <c r="R322" s="2412"/>
      <c r="S322" s="2412"/>
      <c r="T322" s="2413"/>
      <c r="U322" s="2413"/>
      <c r="V322" s="2413">
        <f t="shared" si="237"/>
        <v>0.27125899999999997</v>
      </c>
      <c r="W322" s="2460">
        <f>'Income Eligble Deemed Table'!N583</f>
        <v>20</v>
      </c>
      <c r="X322" s="2460"/>
      <c r="Y322" s="94">
        <f t="shared" si="236"/>
        <v>20</v>
      </c>
      <c r="Z322" s="767">
        <f>'Income Eligble Deemed Table'!BB583</f>
        <v>9.8755842478136593</v>
      </c>
      <c r="AA322" s="2419">
        <f>'Income Eligble Deemed Table'!O583</f>
        <v>74.327224020150311</v>
      </c>
      <c r="AB322" s="2416">
        <f t="shared" si="228"/>
        <v>692.80298510345756</v>
      </c>
      <c r="AC322" s="2416">
        <f t="shared" si="229"/>
        <v>0</v>
      </c>
      <c r="AD322" s="2446">
        <f>'Income Eligble Deemed Table'!BD583</f>
        <v>692.80298510345756</v>
      </c>
      <c r="AE322" s="2440"/>
      <c r="AF322" s="2444"/>
      <c r="AG322" s="2440"/>
      <c r="AL322" s="2380">
        <f t="shared" si="226"/>
        <v>4.6608050000000002E-4</v>
      </c>
      <c r="AM322">
        <f t="shared" ref="AM322:AM327" si="238">AL322*H322</f>
        <v>0.27125885100000002</v>
      </c>
      <c r="AN322" s="2368">
        <f t="shared" si="227"/>
        <v>-1.4899999994932855E-7</v>
      </c>
    </row>
    <row r="323" spans="1:40" x14ac:dyDescent="0.25">
      <c r="A323" s="2598" t="str">
        <f>'Income Eligble Deemed Table'!C584</f>
        <v>402700_2019_12_</v>
      </c>
      <c r="B323" s="245" t="str">
        <f>'Income Eligble Deemed Table'!G584</f>
        <v>HVAC RES</v>
      </c>
      <c r="C323" s="245" t="str">
        <f>'Income Eligble Deemed Table'!G585</f>
        <v>HVAC RES ER2</v>
      </c>
      <c r="D323" s="245"/>
      <c r="E323" s="245"/>
      <c r="F323" s="245" t="str">
        <f>'Income Eligble Deemed Table'!E584</f>
        <v>ECM Continous Fan Early Replacement ER1 (Full Cost) - SF</v>
      </c>
      <c r="G323" s="745" t="str">
        <f>'Income Eligble Deemed Table'!D584</f>
        <v>SFLI</v>
      </c>
      <c r="H323" s="2410">
        <f>'Income Eligble Deemed Table'!F584</f>
        <v>582</v>
      </c>
      <c r="I323" s="2410">
        <f>'Income Eligble Deemed Table'!F585</f>
        <v>582</v>
      </c>
      <c r="J323" s="2454"/>
      <c r="K323" s="2454"/>
      <c r="L323" s="2452"/>
      <c r="M323" s="2452"/>
      <c r="N323" s="2411">
        <f>'Income Eligble Deemed Table'!M584</f>
        <v>0.27125899999999997</v>
      </c>
      <c r="O323" s="2411">
        <f>'Income Eligble Deemed Table'!M585</f>
        <v>0.27125899999999997</v>
      </c>
      <c r="P323" s="2426"/>
      <c r="Q323" s="2426"/>
      <c r="R323" s="2412"/>
      <c r="S323" s="2412"/>
      <c r="T323" s="2413"/>
      <c r="U323" s="2413"/>
      <c r="V323" s="2413">
        <f t="shared" si="237"/>
        <v>0.27125899999999997</v>
      </c>
      <c r="W323" s="2460">
        <f>'Income Eligble Deemed Table'!N584</f>
        <v>6</v>
      </c>
      <c r="X323" s="2460">
        <f>'Income Eligble Deemed Table'!N585</f>
        <v>12</v>
      </c>
      <c r="Y323" s="94">
        <f t="shared" si="236"/>
        <v>18</v>
      </c>
      <c r="Z323" s="767">
        <f>'Income Eligble Deemed Table'!BB584</f>
        <v>1.4249213128950478</v>
      </c>
      <c r="AA323" s="2419">
        <f>'Income Eligble Deemed Table'!O584</f>
        <v>475</v>
      </c>
      <c r="AB323" s="2416">
        <f t="shared" si="228"/>
        <v>214.66614365077814</v>
      </c>
      <c r="AC323" s="2416">
        <f t="shared" si="229"/>
        <v>424.16125004921963</v>
      </c>
      <c r="AD323" s="2446">
        <f>'Income Eligble Deemed Table'!BD584</f>
        <v>214.66614365077814</v>
      </c>
      <c r="AE323" s="2440"/>
      <c r="AF323" s="2447">
        <f>'Income Eligble Deemed Table'!BD585</f>
        <v>424.16125004921963</v>
      </c>
      <c r="AG323" s="2440"/>
      <c r="AL323" s="2380">
        <f t="shared" si="226"/>
        <v>4.6608050000000002E-4</v>
      </c>
      <c r="AM323">
        <f t="shared" si="238"/>
        <v>0.27125885100000002</v>
      </c>
      <c r="AN323" s="2368">
        <f t="shared" si="227"/>
        <v>-1.4899999994932855E-7</v>
      </c>
    </row>
    <row r="324" spans="1:40" x14ac:dyDescent="0.25">
      <c r="A324" s="2598" t="str">
        <f>'Income Eligble Deemed Table'!C586</f>
        <v>402750_2019_12_</v>
      </c>
      <c r="B324" s="245" t="str">
        <f>'Income Eligble Deemed Table'!G586</f>
        <v>HVAC RES</v>
      </c>
      <c r="C324" s="245"/>
      <c r="D324" s="245"/>
      <c r="E324" s="245"/>
      <c r="F324" s="245" t="str">
        <f>'Income Eligble Deemed Table'!E586</f>
        <v>ECM Auto Fan EUL Replacement - MF</v>
      </c>
      <c r="G324" s="745" t="str">
        <f>'Income Eligble Deemed Table'!D586</f>
        <v>MFLI</v>
      </c>
      <c r="H324" s="2410">
        <f>'Income Eligble Deemed Table'!F586</f>
        <v>582</v>
      </c>
      <c r="I324" s="2410"/>
      <c r="J324" s="2454"/>
      <c r="K324" s="2454"/>
      <c r="L324" s="2452"/>
      <c r="M324" s="2452"/>
      <c r="N324" s="2411">
        <f>'Income Eligble Deemed Table'!M586</f>
        <v>0.27125899999999997</v>
      </c>
      <c r="O324" s="2411"/>
      <c r="P324" s="2426"/>
      <c r="Q324" s="2426"/>
      <c r="R324" s="2412"/>
      <c r="S324" s="2412"/>
      <c r="T324" s="2413"/>
      <c r="U324" s="2413"/>
      <c r="V324" s="2413">
        <f t="shared" si="237"/>
        <v>0.27125899999999997</v>
      </c>
      <c r="W324" s="2460">
        <f>'Income Eligble Deemed Table'!N586</f>
        <v>20</v>
      </c>
      <c r="X324" s="2460"/>
      <c r="Y324" s="94">
        <f t="shared" si="236"/>
        <v>20</v>
      </c>
      <c r="Z324" s="767">
        <f>'Income Eligble Deemed Table'!BB586</f>
        <v>9.8755842478136593</v>
      </c>
      <c r="AA324" s="2419">
        <f>'Income Eligble Deemed Table'!O586</f>
        <v>74.327224020150311</v>
      </c>
      <c r="AB324" s="2416">
        <f t="shared" si="228"/>
        <v>692.80298510345756</v>
      </c>
      <c r="AC324" s="2416">
        <f t="shared" si="229"/>
        <v>0</v>
      </c>
      <c r="AD324" s="2446">
        <f>'Income Eligble Deemed Table'!BD586</f>
        <v>692.80298510345756</v>
      </c>
      <c r="AE324" s="2440"/>
      <c r="AF324" s="2444"/>
      <c r="AG324" s="2440"/>
      <c r="AL324" s="2380">
        <f t="shared" si="226"/>
        <v>4.6608050000000002E-4</v>
      </c>
      <c r="AM324">
        <f t="shared" si="238"/>
        <v>0.27125885100000002</v>
      </c>
      <c r="AN324" s="2368">
        <f t="shared" si="227"/>
        <v>-1.4899999994932855E-7</v>
      </c>
    </row>
    <row r="325" spans="1:40" x14ac:dyDescent="0.25">
      <c r="A325" s="2598" t="str">
        <f>'Income Eligble Deemed Table'!C587</f>
        <v>402800_2019_12_</v>
      </c>
      <c r="B325" s="245" t="str">
        <f>'Income Eligble Deemed Table'!G587</f>
        <v>HVAC RES</v>
      </c>
      <c r="C325" s="245" t="str">
        <f>'Income Eligble Deemed Table'!G588</f>
        <v>HVAC RES ER2</v>
      </c>
      <c r="D325" s="245"/>
      <c r="E325" s="245"/>
      <c r="F325" s="245" t="str">
        <f>'Income Eligble Deemed Table'!E587</f>
        <v>ECM Auto Fan Early Replacement ER1 (Full Cost) - MF</v>
      </c>
      <c r="G325" s="745" t="str">
        <f>'Income Eligble Deemed Table'!D587</f>
        <v>MFLI</v>
      </c>
      <c r="H325" s="2410">
        <f>'Income Eligble Deemed Table'!F587</f>
        <v>582</v>
      </c>
      <c r="I325" s="2410">
        <f>'Income Eligble Deemed Table'!F588</f>
        <v>582</v>
      </c>
      <c r="J325" s="2454"/>
      <c r="K325" s="2454"/>
      <c r="L325" s="2452"/>
      <c r="M325" s="2452"/>
      <c r="N325" s="2411">
        <f>'Income Eligble Deemed Table'!M587</f>
        <v>0.27125899999999997</v>
      </c>
      <c r="O325" s="2411">
        <f>'Income Eligble Deemed Table'!M588</f>
        <v>0.27125899999999997</v>
      </c>
      <c r="P325" s="2426"/>
      <c r="Q325" s="2426"/>
      <c r="R325" s="2412"/>
      <c r="S325" s="2412"/>
      <c r="T325" s="2413"/>
      <c r="U325" s="2413"/>
      <c r="V325" s="2413">
        <f t="shared" si="237"/>
        <v>0.27125899999999997</v>
      </c>
      <c r="W325" s="2460">
        <f>'Income Eligble Deemed Table'!N587</f>
        <v>6</v>
      </c>
      <c r="X325" s="2460">
        <f>'Income Eligble Deemed Table'!N588</f>
        <v>12</v>
      </c>
      <c r="Y325" s="94">
        <f t="shared" si="236"/>
        <v>18</v>
      </c>
      <c r="Z325" s="767">
        <f>'Income Eligble Deemed Table'!BB587</f>
        <v>1.4249213128950478</v>
      </c>
      <c r="AA325" s="2419">
        <f>'Income Eligble Deemed Table'!O587</f>
        <v>475</v>
      </c>
      <c r="AB325" s="2416">
        <f t="shared" si="228"/>
        <v>214.66614365077814</v>
      </c>
      <c r="AC325" s="2416">
        <f t="shared" si="229"/>
        <v>424.16125004921963</v>
      </c>
      <c r="AD325" s="2446">
        <f>'Income Eligble Deemed Table'!BD587</f>
        <v>214.66614365077814</v>
      </c>
      <c r="AE325" s="2440"/>
      <c r="AF325" s="2447">
        <f>'Income Eligble Deemed Table'!BD588</f>
        <v>424.16125004921963</v>
      </c>
      <c r="AG325" s="2440"/>
      <c r="AL325" s="2380">
        <f t="shared" si="226"/>
        <v>4.6608050000000002E-4</v>
      </c>
      <c r="AM325">
        <f t="shared" si="238"/>
        <v>0.27125885100000002</v>
      </c>
      <c r="AN325" s="2368">
        <f t="shared" si="227"/>
        <v>-1.4899999994932855E-7</v>
      </c>
    </row>
    <row r="326" spans="1:40" x14ac:dyDescent="0.25">
      <c r="A326" s="2598" t="str">
        <f>'Income Eligble Deemed Table'!C589</f>
        <v>402850_2019_12_</v>
      </c>
      <c r="B326" s="245" t="str">
        <f>'Income Eligble Deemed Table'!G589</f>
        <v>HVAC RES</v>
      </c>
      <c r="C326" s="245"/>
      <c r="D326" s="245"/>
      <c r="E326" s="245"/>
      <c r="F326" s="245" t="str">
        <f>'Income Eligble Deemed Table'!E589</f>
        <v>ECM Continous Fan EUL Replacement - MF</v>
      </c>
      <c r="G326" s="745" t="str">
        <f>'Income Eligble Deemed Table'!D589</f>
        <v>MFLI</v>
      </c>
      <c r="H326" s="2410">
        <f>'Income Eligble Deemed Table'!F589</f>
        <v>582</v>
      </c>
      <c r="I326" s="2410"/>
      <c r="J326" s="2454"/>
      <c r="K326" s="2454"/>
      <c r="L326" s="2452"/>
      <c r="M326" s="2452"/>
      <c r="N326" s="2411">
        <f>'Income Eligble Deemed Table'!M589</f>
        <v>0.27125899999999997</v>
      </c>
      <c r="O326" s="2411"/>
      <c r="P326" s="2426"/>
      <c r="Q326" s="2426"/>
      <c r="R326" s="2412"/>
      <c r="S326" s="2412"/>
      <c r="T326" s="2413"/>
      <c r="U326" s="2413"/>
      <c r="V326" s="2413">
        <f t="shared" si="237"/>
        <v>0.27125899999999997</v>
      </c>
      <c r="W326" s="2460">
        <f>'Income Eligble Deemed Table'!N589</f>
        <v>20</v>
      </c>
      <c r="X326" s="2460"/>
      <c r="Y326" s="94">
        <f t="shared" si="236"/>
        <v>20</v>
      </c>
      <c r="Z326" s="767">
        <f>'Income Eligble Deemed Table'!BB589</f>
        <v>9.8755842478136593</v>
      </c>
      <c r="AA326" s="2419">
        <f>'Income Eligble Deemed Table'!O589</f>
        <v>74.327224020150311</v>
      </c>
      <c r="AB326" s="2416">
        <f t="shared" si="228"/>
        <v>692.80298510345756</v>
      </c>
      <c r="AC326" s="2416">
        <f t="shared" si="229"/>
        <v>0</v>
      </c>
      <c r="AD326" s="2446">
        <f>'Income Eligble Deemed Table'!BD589</f>
        <v>692.80298510345756</v>
      </c>
      <c r="AE326" s="2440"/>
      <c r="AF326" s="2444"/>
      <c r="AG326" s="2440"/>
      <c r="AL326" s="2380">
        <f t="shared" si="226"/>
        <v>4.6608050000000002E-4</v>
      </c>
      <c r="AM326">
        <f t="shared" si="238"/>
        <v>0.27125885100000002</v>
      </c>
      <c r="AN326" s="2368">
        <f t="shared" si="227"/>
        <v>-1.4899999994932855E-7</v>
      </c>
    </row>
    <row r="327" spans="1:40" x14ac:dyDescent="0.25">
      <c r="A327" s="2598" t="str">
        <f>'Income Eligble Deemed Table'!C590</f>
        <v>402900_2019_12_</v>
      </c>
      <c r="B327" s="245" t="str">
        <f>'Income Eligble Deemed Table'!G590</f>
        <v>HVAC RES</v>
      </c>
      <c r="C327" s="245" t="str">
        <f>'Income Eligble Deemed Table'!G591</f>
        <v>HVAC RES ER2</v>
      </c>
      <c r="D327" s="245"/>
      <c r="E327" s="245"/>
      <c r="F327" s="245" t="str">
        <f>'Income Eligble Deemed Table'!E590</f>
        <v>ECM Continous Fan Early Replacement ER1 (Full Cost) - MF</v>
      </c>
      <c r="G327" s="745" t="str">
        <f>'Income Eligble Deemed Table'!D590</f>
        <v>MFLI</v>
      </c>
      <c r="H327" s="2410">
        <f>'Income Eligble Deemed Table'!F590</f>
        <v>582</v>
      </c>
      <c r="I327" s="2410">
        <f>'Income Eligble Deemed Table'!F591</f>
        <v>582</v>
      </c>
      <c r="J327" s="2454"/>
      <c r="K327" s="2454"/>
      <c r="L327" s="2452"/>
      <c r="M327" s="2452"/>
      <c r="N327" s="2411">
        <f>'Income Eligble Deemed Table'!M590</f>
        <v>0.27125899999999997</v>
      </c>
      <c r="O327" s="2411">
        <f>'Income Eligble Deemed Table'!M591</f>
        <v>0.27125899999999997</v>
      </c>
      <c r="P327" s="2426"/>
      <c r="Q327" s="2426"/>
      <c r="R327" s="2412"/>
      <c r="S327" s="2412"/>
      <c r="T327" s="2413"/>
      <c r="U327" s="2413"/>
      <c r="V327" s="2413">
        <f t="shared" si="237"/>
        <v>0.27125899999999997</v>
      </c>
      <c r="W327" s="2460">
        <f>'Income Eligble Deemed Table'!N590</f>
        <v>6</v>
      </c>
      <c r="X327" s="2460">
        <f>'Income Eligble Deemed Table'!N591</f>
        <v>12</v>
      </c>
      <c r="Y327" s="94">
        <f>X327+W327</f>
        <v>18</v>
      </c>
      <c r="Z327" s="767">
        <f>'Income Eligble Deemed Table'!BB590</f>
        <v>1.4249213128950478</v>
      </c>
      <c r="AA327" s="2419">
        <f>'Income Eligble Deemed Table'!O590</f>
        <v>475</v>
      </c>
      <c r="AB327" s="2416">
        <f t="shared" si="228"/>
        <v>214.66614365077814</v>
      </c>
      <c r="AC327" s="2416">
        <f t="shared" si="229"/>
        <v>424.16125004921963</v>
      </c>
      <c r="AD327" s="2446">
        <f>'Income Eligble Deemed Table'!BD590</f>
        <v>214.66614365077814</v>
      </c>
      <c r="AE327" s="2440"/>
      <c r="AF327" s="2447">
        <f>'Income Eligble Deemed Table'!BD591</f>
        <v>424.16125004921963</v>
      </c>
      <c r="AG327" s="2440"/>
      <c r="AL327" s="2380">
        <f t="shared" si="226"/>
        <v>4.6608050000000002E-4</v>
      </c>
      <c r="AM327">
        <f t="shared" si="238"/>
        <v>0.27125885100000002</v>
      </c>
      <c r="AN327" s="2368">
        <f t="shared" si="227"/>
        <v>-1.4899999994932855E-7</v>
      </c>
    </row>
    <row r="328" spans="1:40" x14ac:dyDescent="0.25">
      <c r="A328" s="2598" t="str">
        <f>'Income Eligble Deemed Table'!C646</f>
        <v>402950_2019_12_</v>
      </c>
      <c r="B328" s="245" t="str">
        <f>'Income Eligble Deemed Table'!G646</f>
        <v>Cooling RES</v>
      </c>
      <c r="C328" s="245" t="str">
        <f>'Income Eligble Deemed Table'!G647</f>
        <v>Heating RES</v>
      </c>
      <c r="D328" s="245"/>
      <c r="E328" s="245"/>
      <c r="F328" s="245" t="str">
        <f>'Income Eligble Deemed Table'!E646</f>
        <v>General HP tune-up (no charge or coil clean)</v>
      </c>
      <c r="G328" s="745" t="str">
        <f>'Income Eligble Deemed Table'!D646</f>
        <v>SFLI</v>
      </c>
      <c r="H328" s="2420">
        <f t="shared" ref="H328" si="239">J328+K328</f>
        <v>263.61</v>
      </c>
      <c r="I328" s="2420">
        <f t="shared" ref="I328" si="240">L328+M328</f>
        <v>0</v>
      </c>
      <c r="J328" s="2452">
        <f>'Income Eligble Deemed Table'!F646</f>
        <v>146.06</v>
      </c>
      <c r="K328" s="2452">
        <f>'Income Eligble Deemed Table'!F647</f>
        <v>117.55</v>
      </c>
      <c r="L328" s="2452"/>
      <c r="M328" s="2452"/>
      <c r="N328" s="2421">
        <f t="shared" ref="N328:N338" si="241">P328+Q328</f>
        <v>0.13838</v>
      </c>
      <c r="O328" s="2421">
        <f t="shared" ref="O328:O338" si="242">R328+S328</f>
        <v>0</v>
      </c>
      <c r="P328" s="2412">
        <f>'Income Eligble Deemed Table'!I646</f>
        <v>0.13838</v>
      </c>
      <c r="Q328" s="2412">
        <f>'Income Eligble Deemed Table'!I647</f>
        <v>0</v>
      </c>
      <c r="R328" s="2412"/>
      <c r="S328" s="2412"/>
      <c r="T328" s="2413">
        <v>0</v>
      </c>
      <c r="U328" s="2413">
        <v>0</v>
      </c>
      <c r="V328" s="2413">
        <v>0</v>
      </c>
      <c r="W328" s="2460">
        <f>'Income Eligble Deemed Table'!J646</f>
        <v>2</v>
      </c>
      <c r="X328" s="2460"/>
      <c r="Y328" s="94">
        <f>X328+W328</f>
        <v>2</v>
      </c>
      <c r="Z328" s="767">
        <f>'Income Eligble Deemed Table'!BB646</f>
        <v>0.47929235975456674</v>
      </c>
      <c r="AA328" s="2419">
        <f>'Income Eligble Deemed Table'!K646</f>
        <v>70</v>
      </c>
      <c r="AB328" s="2416">
        <f t="shared" si="228"/>
        <v>31.666319190957687</v>
      </c>
      <c r="AC328" s="2416">
        <f t="shared" si="229"/>
        <v>0</v>
      </c>
      <c r="AD328" s="2446">
        <f>'Income Eligble Deemed Table'!BD646</f>
        <v>24.9939171195353</v>
      </c>
      <c r="AE328" s="2443">
        <f>'Income Eligble Deemed Table'!BD647</f>
        <v>6.6724020714223853</v>
      </c>
      <c r="AF328" s="2440"/>
      <c r="AG328" s="2440"/>
      <c r="AL328" s="2380">
        <f t="shared" si="226"/>
        <v>9.4741810000000004E-4</v>
      </c>
      <c r="AM328" s="145">
        <f t="shared" ref="AM328:AM338" si="243">AL328*J328</f>
        <v>0.13837988768600001</v>
      </c>
      <c r="AN328" s="2368">
        <f t="shared" si="227"/>
        <v>-1.1231399998923308E-7</v>
      </c>
    </row>
    <row r="329" spans="1:40" x14ac:dyDescent="0.25">
      <c r="A329" s="2598" t="str">
        <f>'Income Eligble Deemed Table'!C648</f>
        <v>403000_2019_12_</v>
      </c>
      <c r="B329" s="245" t="str">
        <f>'Income Eligble Deemed Table'!G648</f>
        <v>Cooling RES</v>
      </c>
      <c r="C329" s="245" t="str">
        <f>'Income Eligble Deemed Table'!G649</f>
        <v>Heating RES</v>
      </c>
      <c r="D329" s="245"/>
      <c r="E329" s="245"/>
      <c r="F329" s="245" t="str">
        <f>'Income Eligble Deemed Table'!E648</f>
        <v>General HP tune-up (no charge or coil clean)</v>
      </c>
      <c r="G329" s="745" t="str">
        <f>'Income Eligble Deemed Table'!D648</f>
        <v>MFLI</v>
      </c>
      <c r="H329" s="2420">
        <f t="shared" ref="H329:H338" si="244">J329+K329</f>
        <v>157.53</v>
      </c>
      <c r="I329" s="2420">
        <f t="shared" ref="I329:I338" si="245">L329+M329</f>
        <v>0</v>
      </c>
      <c r="J329" s="2452">
        <f>'Income Eligble Deemed Table'!F648</f>
        <v>87.28</v>
      </c>
      <c r="K329" s="2452">
        <f>'Income Eligble Deemed Table'!F649</f>
        <v>70.25</v>
      </c>
      <c r="L329" s="2452"/>
      <c r="M329" s="2452"/>
      <c r="N329" s="2421">
        <f t="shared" si="241"/>
        <v>8.2691000000000001E-2</v>
      </c>
      <c r="O329" s="2421">
        <f t="shared" si="242"/>
        <v>0</v>
      </c>
      <c r="P329" s="2412">
        <f>'Income Eligble Deemed Table'!I648</f>
        <v>8.2691000000000001E-2</v>
      </c>
      <c r="Q329" s="2412">
        <f>'Income Eligble Deemed Table'!I649</f>
        <v>0</v>
      </c>
      <c r="R329" s="2412"/>
      <c r="S329" s="2412"/>
      <c r="T329" s="2413">
        <v>0</v>
      </c>
      <c r="U329" s="2413">
        <v>0</v>
      </c>
      <c r="V329" s="2413">
        <v>0</v>
      </c>
      <c r="W329" s="2460">
        <f>'Income Eligble Deemed Table'!J648</f>
        <v>2</v>
      </c>
      <c r="X329" s="2460"/>
      <c r="Y329" s="94">
        <f t="shared" ref="Y329:Y339" si="246">X329+W329</f>
        <v>2</v>
      </c>
      <c r="Z329" s="767">
        <f>'Income Eligble Deemed Table'!BB648</f>
        <v>0.28641280431879457</v>
      </c>
      <c r="AA329" s="2419">
        <f>'Income Eligble Deemed Table'!K648</f>
        <v>70</v>
      </c>
      <c r="AB329" s="2416">
        <f t="shared" si="228"/>
        <v>18.922979048905727</v>
      </c>
      <c r="AC329" s="2416">
        <f t="shared" si="229"/>
        <v>0</v>
      </c>
      <c r="AD329" s="2446">
        <f>'Income Eligble Deemed Table'!BD648</f>
        <v>14.935431235061214</v>
      </c>
      <c r="AE329" s="2443">
        <f>'Income Eligble Deemed Table'!BD649</f>
        <v>3.9875478138445133</v>
      </c>
      <c r="AF329" s="2440"/>
      <c r="AG329" s="2440"/>
      <c r="AL329" s="2380">
        <f t="shared" si="226"/>
        <v>9.4741810000000004E-4</v>
      </c>
      <c r="AM329" s="145">
        <f t="shared" si="243"/>
        <v>8.2690651768000001E-2</v>
      </c>
      <c r="AN329" s="2368">
        <f t="shared" si="227"/>
        <v>-3.4823199999978183E-7</v>
      </c>
    </row>
    <row r="330" spans="1:40" x14ac:dyDescent="0.25">
      <c r="A330" s="2598" t="str">
        <f>'Income Eligble Deemed Table'!C650</f>
        <v>403050_2019_12_</v>
      </c>
      <c r="B330" s="245" t="str">
        <f>'Income Eligble Deemed Table'!G650</f>
        <v>Cooling RES</v>
      </c>
      <c r="C330" s="245" t="str">
        <f>'Income Eligble Deemed Table'!G651</f>
        <v>Heating RES</v>
      </c>
      <c r="D330" s="245"/>
      <c r="E330" s="245"/>
      <c r="F330" s="245" t="str">
        <f>'Income Eligble Deemed Table'!E650</f>
        <v>HP tune-up / Refrigerant charge SF</v>
      </c>
      <c r="G330" s="745" t="str">
        <f>'Income Eligble Deemed Table'!D650</f>
        <v>SFLI</v>
      </c>
      <c r="H330" s="2420">
        <f t="shared" si="244"/>
        <v>1175.1100000000001</v>
      </c>
      <c r="I330" s="2420">
        <f t="shared" si="245"/>
        <v>0</v>
      </c>
      <c r="J330" s="2452">
        <f>'Income Eligble Deemed Table'!F650</f>
        <v>609.19000000000005</v>
      </c>
      <c r="K330" s="2452">
        <f>'Income Eligble Deemed Table'!F651</f>
        <v>565.91999999999996</v>
      </c>
      <c r="L330" s="2452"/>
      <c r="M330" s="2452"/>
      <c r="N330" s="2421">
        <f t="shared" si="241"/>
        <v>0.57715799999999995</v>
      </c>
      <c r="O330" s="2421">
        <f t="shared" si="242"/>
        <v>0</v>
      </c>
      <c r="P330" s="2412">
        <f>'Income Eligble Deemed Table'!I650</f>
        <v>0.57715799999999995</v>
      </c>
      <c r="Q330" s="2412">
        <f>'Income Eligble Deemed Table'!I651</f>
        <v>0</v>
      </c>
      <c r="R330" s="2412"/>
      <c r="S330" s="2412"/>
      <c r="T330" s="2413">
        <v>0</v>
      </c>
      <c r="U330" s="2413">
        <v>0</v>
      </c>
      <c r="V330" s="2413">
        <v>0</v>
      </c>
      <c r="W330" s="2460">
        <f>'Income Eligble Deemed Table'!J650</f>
        <v>2</v>
      </c>
      <c r="X330" s="2460"/>
      <c r="Y330" s="94">
        <f t="shared" si="246"/>
        <v>2</v>
      </c>
      <c r="Z330" s="767">
        <f>'Income Eligble Deemed Table'!BB650</f>
        <v>1.7837274405751224</v>
      </c>
      <c r="AA330" s="2419">
        <f>'Income Eligble Deemed Table'!K650</f>
        <v>81</v>
      </c>
      <c r="AB330" s="2416">
        <f t="shared" si="228"/>
        <v>136.36802518790458</v>
      </c>
      <c r="AC330" s="2416">
        <f t="shared" si="229"/>
        <v>0</v>
      </c>
      <c r="AD330" s="2446">
        <f>'Income Eligble Deemed Table'!BD650</f>
        <v>104.24513467102362</v>
      </c>
      <c r="AE330" s="2443">
        <f>'Income Eligble Deemed Table'!BD651</f>
        <v>32.12289051688095</v>
      </c>
      <c r="AF330" s="2440"/>
      <c r="AG330" s="2440"/>
      <c r="AL330" s="2380">
        <f t="shared" si="226"/>
        <v>9.4741810000000004E-4</v>
      </c>
      <c r="AM330" s="145">
        <f t="shared" si="243"/>
        <v>0.57715763233900008</v>
      </c>
      <c r="AN330" s="2368">
        <f t="shared" si="227"/>
        <v>-3.676609998670699E-7</v>
      </c>
    </row>
    <row r="331" spans="1:40" x14ac:dyDescent="0.25">
      <c r="A331" s="2598" t="str">
        <f>'Income Eligble Deemed Table'!C652</f>
        <v>403100_2019_12_</v>
      </c>
      <c r="B331" s="245" t="str">
        <f>'Income Eligble Deemed Table'!G652</f>
        <v>Cooling RES</v>
      </c>
      <c r="C331" s="245" t="str">
        <f>'Income Eligble Deemed Table'!G653</f>
        <v>Heating RES</v>
      </c>
      <c r="D331" s="245"/>
      <c r="E331" s="245"/>
      <c r="F331" s="245" t="str">
        <f>'Income Eligble Deemed Table'!E652</f>
        <v>HP tune-up / Refrigerant charge MF</v>
      </c>
      <c r="G331" s="745" t="str">
        <f>'Income Eligble Deemed Table'!D652</f>
        <v>MFLI</v>
      </c>
      <c r="H331" s="2420">
        <f t="shared" si="244"/>
        <v>702.21</v>
      </c>
      <c r="I331" s="2420">
        <f t="shared" si="245"/>
        <v>0</v>
      </c>
      <c r="J331" s="2452">
        <f>'Income Eligble Deemed Table'!F652</f>
        <v>364.03</v>
      </c>
      <c r="K331" s="2452">
        <f>'Income Eligble Deemed Table'!F653</f>
        <v>338.18</v>
      </c>
      <c r="L331" s="2452"/>
      <c r="M331" s="2452"/>
      <c r="N331" s="2421">
        <f t="shared" si="241"/>
        <v>0.344889</v>
      </c>
      <c r="O331" s="2421">
        <f t="shared" si="242"/>
        <v>0</v>
      </c>
      <c r="P331" s="2412">
        <f>'Income Eligble Deemed Table'!I652</f>
        <v>0.344889</v>
      </c>
      <c r="Q331" s="2412">
        <f>'Income Eligble Deemed Table'!I653</f>
        <v>0</v>
      </c>
      <c r="R331" s="2412"/>
      <c r="S331" s="2412"/>
      <c r="T331" s="2413">
        <v>0</v>
      </c>
      <c r="U331" s="2413">
        <v>0</v>
      </c>
      <c r="V331" s="2413">
        <v>0</v>
      </c>
      <c r="W331" s="2460">
        <f>'Income Eligble Deemed Table'!J652</f>
        <v>2</v>
      </c>
      <c r="X331" s="2460"/>
      <c r="Y331" s="94">
        <f t="shared" si="246"/>
        <v>2</v>
      </c>
      <c r="Z331" s="767">
        <f>'Income Eligble Deemed Table'!BB652</f>
        <v>1.0658961610897484</v>
      </c>
      <c r="AA331" s="2419">
        <f>'Income Eligble Deemed Table'!K652</f>
        <v>81</v>
      </c>
      <c r="AB331" s="2416">
        <f t="shared" si="228"/>
        <v>81.488993910589528</v>
      </c>
      <c r="AC331" s="2416">
        <f t="shared" si="229"/>
        <v>0</v>
      </c>
      <c r="AD331" s="2446">
        <f>'Income Eligble Deemed Table'!BD652</f>
        <v>62.293137402604643</v>
      </c>
      <c r="AE331" s="2443">
        <f>'Income Eligble Deemed Table'!BD653</f>
        <v>19.195856507984878</v>
      </c>
      <c r="AF331" s="2440"/>
      <c r="AG331" s="2440"/>
      <c r="AL331" s="2380">
        <f t="shared" si="226"/>
        <v>9.4741810000000004E-4</v>
      </c>
      <c r="AM331" s="145">
        <f t="shared" si="243"/>
        <v>0.344888610943</v>
      </c>
      <c r="AN331" s="2368">
        <f t="shared" si="227"/>
        <v>-3.8905700000535504E-7</v>
      </c>
    </row>
    <row r="332" spans="1:40" x14ac:dyDescent="0.25">
      <c r="A332" s="2598" t="str">
        <f>'Income Eligble Deemed Table'!C654</f>
        <v>403101_2019_12_</v>
      </c>
      <c r="B332" s="245" t="str">
        <f>'Income Eligble Deemed Table'!G654</f>
        <v>Cooling RES</v>
      </c>
      <c r="C332" s="245" t="str">
        <f>'Income Eligble Deemed Table'!G655</f>
        <v>Heating RES</v>
      </c>
      <c r="D332" s="245"/>
      <c r="E332" s="245"/>
      <c r="F332" s="245" t="str">
        <f>'Income Eligble Deemed Table'!E654</f>
        <v>HP tune-up / Refrigerant charge MF_CompE</v>
      </c>
      <c r="G332" s="745" t="str">
        <f>'Income Eligble Deemed Table'!D654</f>
        <v>MFLIc</v>
      </c>
      <c r="H332" s="2420">
        <f t="shared" si="244"/>
        <v>380.04</v>
      </c>
      <c r="I332" s="2420">
        <f t="shared" si="245"/>
        <v>0</v>
      </c>
      <c r="J332" s="2452">
        <f>'Income Eligble Deemed Table'!F654</f>
        <v>264.75</v>
      </c>
      <c r="K332" s="2452">
        <f>'Income Eligble Deemed Table'!F655</f>
        <v>115.29</v>
      </c>
      <c r="L332" s="2452"/>
      <c r="M332" s="2452"/>
      <c r="N332" s="2421">
        <f t="shared" si="241"/>
        <v>0.25082900000000002</v>
      </c>
      <c r="O332" s="2421">
        <f t="shared" si="242"/>
        <v>0</v>
      </c>
      <c r="P332" s="2412">
        <f>'Income Eligble Deemed Table'!I654</f>
        <v>0.25082900000000002</v>
      </c>
      <c r="Q332" s="2412">
        <f>'Income Eligble Deemed Table'!I655</f>
        <v>0</v>
      </c>
      <c r="R332" s="2412"/>
      <c r="S332" s="2412"/>
      <c r="T332" s="2413">
        <v>0</v>
      </c>
      <c r="U332" s="2413">
        <v>0</v>
      </c>
      <c r="V332" s="2413">
        <v>0</v>
      </c>
      <c r="W332" s="2460">
        <f>'Income Eligble Deemed Table'!J654</f>
        <v>2</v>
      </c>
      <c r="X332" s="2460"/>
      <c r="Y332" s="94">
        <f t="shared" si="246"/>
        <v>2</v>
      </c>
      <c r="Z332" s="767">
        <f>'Income Eligble Deemed Table'!BB654</f>
        <v>0.67818954560335631</v>
      </c>
      <c r="AA332" s="2419">
        <f>'Income Eligble Deemed Table'!K654</f>
        <v>81</v>
      </c>
      <c r="AB332" s="2416">
        <f t="shared" si="228"/>
        <v>51.848374888033845</v>
      </c>
      <c r="AC332" s="2416">
        <f t="shared" si="229"/>
        <v>0</v>
      </c>
      <c r="AD332" s="2446">
        <f>'Income Eligble Deemed Table'!BD654</f>
        <v>45.304255493612011</v>
      </c>
      <c r="AE332" s="2443">
        <f>'Income Eligble Deemed Table'!BD655</f>
        <v>6.5441193944218359</v>
      </c>
      <c r="AF332" s="2440"/>
      <c r="AG332" s="2440"/>
      <c r="AL332" s="2380">
        <f t="shared" si="226"/>
        <v>9.4741810000000004E-4</v>
      </c>
      <c r="AM332" s="145">
        <f t="shared" si="243"/>
        <v>0.250828941975</v>
      </c>
      <c r="AN332" s="2368">
        <f t="shared" si="227"/>
        <v>-5.8025000027051021E-8</v>
      </c>
    </row>
    <row r="333" spans="1:40" x14ac:dyDescent="0.25">
      <c r="A333" s="2598" t="str">
        <f>'Income Eligble Deemed Table'!C656</f>
        <v>403150_2019_12_</v>
      </c>
      <c r="B333" s="245" t="str">
        <f>'Income Eligble Deemed Table'!G656</f>
        <v>Cooling RES</v>
      </c>
      <c r="C333" s="245" t="str">
        <f>'Income Eligble Deemed Table'!G657</f>
        <v>Heating RES</v>
      </c>
      <c r="D333" s="245"/>
      <c r="E333" s="245"/>
      <c r="F333" s="245" t="str">
        <f>'Income Eligble Deemed Table'!E656</f>
        <v>HP tune-up / Indoor Coil (Evaporator) Cleaning SF</v>
      </c>
      <c r="G333" s="745" t="str">
        <f>'Income Eligble Deemed Table'!D656</f>
        <v>SFLI</v>
      </c>
      <c r="H333" s="2420">
        <f t="shared" si="244"/>
        <v>180.94</v>
      </c>
      <c r="I333" s="2420">
        <f t="shared" si="245"/>
        <v>0</v>
      </c>
      <c r="J333" s="2452">
        <f>'Income Eligble Deemed Table'!F656</f>
        <v>100.83</v>
      </c>
      <c r="K333" s="2452">
        <f>'Income Eligble Deemed Table'!F657</f>
        <v>80.11</v>
      </c>
      <c r="L333" s="2452"/>
      <c r="M333" s="2452"/>
      <c r="N333" s="2421">
        <f t="shared" si="241"/>
        <v>9.5528000000000002E-2</v>
      </c>
      <c r="O333" s="2421">
        <f t="shared" si="242"/>
        <v>0</v>
      </c>
      <c r="P333" s="2412">
        <f>'Income Eligble Deemed Table'!I656</f>
        <v>9.5528000000000002E-2</v>
      </c>
      <c r="Q333" s="2412">
        <f>'Income Eligble Deemed Table'!I657</f>
        <v>0</v>
      </c>
      <c r="R333" s="2412"/>
      <c r="S333" s="2412"/>
      <c r="T333" s="2413">
        <v>0</v>
      </c>
      <c r="U333" s="2413">
        <v>0</v>
      </c>
      <c r="V333" s="2413">
        <v>0</v>
      </c>
      <c r="W333" s="2460">
        <f>'Income Eligble Deemed Table'!J656</f>
        <v>2</v>
      </c>
      <c r="X333" s="2460"/>
      <c r="Y333" s="94">
        <f t="shared" si="246"/>
        <v>2</v>
      </c>
      <c r="Z333" s="767">
        <f>'Income Eligble Deemed Table'!BB656</f>
        <v>0.36664321827502205</v>
      </c>
      <c r="AA333" s="2419">
        <f>'Income Eligble Deemed Table'!K656</f>
        <v>63</v>
      </c>
      <c r="AB333" s="2416">
        <f t="shared" si="228"/>
        <v>21.801342851653033</v>
      </c>
      <c r="AC333" s="2416">
        <f t="shared" si="229"/>
        <v>0</v>
      </c>
      <c r="AD333" s="2446">
        <f>'Income Eligble Deemed Table'!BD656</f>
        <v>17.254119287708779</v>
      </c>
      <c r="AE333" s="2443">
        <f>'Income Eligble Deemed Table'!BD657</f>
        <v>4.5472235639442555</v>
      </c>
      <c r="AF333" s="2440"/>
      <c r="AG333" s="2440"/>
      <c r="AL333" s="2380">
        <f t="shared" si="226"/>
        <v>9.4741810000000004E-4</v>
      </c>
      <c r="AM333" s="145">
        <f t="shared" si="243"/>
        <v>9.5528167023000002E-2</v>
      </c>
      <c r="AN333" s="2368">
        <f t="shared" si="227"/>
        <v>1.6702300000004389E-7</v>
      </c>
    </row>
    <row r="334" spans="1:40" x14ac:dyDescent="0.25">
      <c r="A334" s="2598" t="str">
        <f>'Income Eligble Deemed Table'!C658</f>
        <v>403200_2019_12_</v>
      </c>
      <c r="B334" s="245" t="str">
        <f>'Income Eligble Deemed Table'!G658</f>
        <v>Cooling RES</v>
      </c>
      <c r="C334" s="245" t="str">
        <f>'Income Eligble Deemed Table'!G659</f>
        <v>Heating RES</v>
      </c>
      <c r="D334" s="245"/>
      <c r="E334" s="245"/>
      <c r="F334" s="245" t="str">
        <f>'Income Eligble Deemed Table'!E658</f>
        <v>HP tune-up / Indoor Coil (Evaporator) Cleaning MF</v>
      </c>
      <c r="G334" s="745" t="str">
        <f>'Income Eligble Deemed Table'!D658</f>
        <v>MFLI</v>
      </c>
      <c r="H334" s="2420">
        <f t="shared" si="244"/>
        <v>108.12</v>
      </c>
      <c r="I334" s="2420">
        <f t="shared" si="245"/>
        <v>0</v>
      </c>
      <c r="J334" s="2452">
        <f>'Income Eligble Deemed Table'!F658</f>
        <v>60.25</v>
      </c>
      <c r="K334" s="2452">
        <f>'Income Eligble Deemed Table'!F659</f>
        <v>47.87</v>
      </c>
      <c r="L334" s="2452"/>
      <c r="M334" s="2452"/>
      <c r="N334" s="2421">
        <f t="shared" si="241"/>
        <v>5.7082000000000001E-2</v>
      </c>
      <c r="O334" s="2421">
        <f t="shared" si="242"/>
        <v>0</v>
      </c>
      <c r="P334" s="2412">
        <f>'Income Eligble Deemed Table'!I658</f>
        <v>5.7082000000000001E-2</v>
      </c>
      <c r="Q334" s="2412">
        <f>'Income Eligble Deemed Table'!I659</f>
        <v>0</v>
      </c>
      <c r="R334" s="2412"/>
      <c r="S334" s="2412"/>
      <c r="T334" s="2413">
        <v>0</v>
      </c>
      <c r="U334" s="2413">
        <v>0</v>
      </c>
      <c r="V334" s="2413">
        <v>0</v>
      </c>
      <c r="W334" s="2460">
        <f>'Income Eligble Deemed Table'!J658</f>
        <v>2</v>
      </c>
      <c r="X334" s="2460"/>
      <c r="Y334" s="94">
        <f t="shared" si="246"/>
        <v>2</v>
      </c>
      <c r="Z334" s="767">
        <f>'Income Eligble Deemed Table'!BB658</f>
        <v>0.2190851309322446</v>
      </c>
      <c r="AA334" s="2419">
        <f>'Income Eligble Deemed Table'!K658</f>
        <v>63</v>
      </c>
      <c r="AB334" s="2416">
        <f t="shared" si="228"/>
        <v>13.027242330090996</v>
      </c>
      <c r="AC334" s="2416">
        <f t="shared" si="229"/>
        <v>0</v>
      </c>
      <c r="AD334" s="2446">
        <f>'Income Eligble Deemed Table'!BD658</f>
        <v>10.310033592030685</v>
      </c>
      <c r="AE334" s="2443">
        <f>'Income Eligble Deemed Table'!BD659</f>
        <v>2.7172087380603109</v>
      </c>
      <c r="AF334" s="2440"/>
      <c r="AG334" s="2440"/>
      <c r="AL334" s="2380">
        <f t="shared" si="226"/>
        <v>9.4741810000000004E-4</v>
      </c>
      <c r="AM334" s="145">
        <f t="shared" si="243"/>
        <v>5.7081940524999999E-2</v>
      </c>
      <c r="AN334" s="2368">
        <f t="shared" si="227"/>
        <v>-5.9475000001307787E-8</v>
      </c>
    </row>
    <row r="335" spans="1:40" x14ac:dyDescent="0.25">
      <c r="A335" s="2598" t="str">
        <f>'Income Eligble Deemed Table'!C660</f>
        <v>403201_2019_12_</v>
      </c>
      <c r="B335" s="245" t="str">
        <f>'Income Eligble Deemed Table'!G660</f>
        <v>Cooling RES</v>
      </c>
      <c r="C335" s="245" t="str">
        <f>'Income Eligble Deemed Table'!G661</f>
        <v>Heating RES</v>
      </c>
      <c r="D335" s="245"/>
      <c r="E335" s="245"/>
      <c r="F335" s="245" t="str">
        <f>'Income Eligble Deemed Table'!E660</f>
        <v>HP tune-up / Indoor Coil (Evaporator) Cleaning MF_CompE</v>
      </c>
      <c r="G335" s="745" t="str">
        <f>'Income Eligble Deemed Table'!D660</f>
        <v>MFLIc</v>
      </c>
      <c r="H335" s="2420">
        <f t="shared" si="244"/>
        <v>60.14</v>
      </c>
      <c r="I335" s="2420">
        <f t="shared" si="245"/>
        <v>0</v>
      </c>
      <c r="J335" s="2452">
        <f>'Income Eligble Deemed Table'!F660</f>
        <v>43.82</v>
      </c>
      <c r="K335" s="2452">
        <f>'Income Eligble Deemed Table'!F661</f>
        <v>16.32</v>
      </c>
      <c r="L335" s="2452"/>
      <c r="M335" s="2452"/>
      <c r="N335" s="2421">
        <f t="shared" si="241"/>
        <v>4.1515999999999997E-2</v>
      </c>
      <c r="O335" s="2421">
        <f t="shared" si="242"/>
        <v>0</v>
      </c>
      <c r="P335" s="2412">
        <f>'Income Eligble Deemed Table'!I660</f>
        <v>4.1515999999999997E-2</v>
      </c>
      <c r="Q335" s="2412">
        <f>'Income Eligble Deemed Table'!I661</f>
        <v>0</v>
      </c>
      <c r="R335" s="2412"/>
      <c r="S335" s="2412"/>
      <c r="T335" s="2413">
        <v>0</v>
      </c>
      <c r="U335" s="2413">
        <v>0</v>
      </c>
      <c r="V335" s="2413">
        <v>0</v>
      </c>
      <c r="W335" s="2460">
        <f>'Income Eligble Deemed Table'!J660</f>
        <v>2</v>
      </c>
      <c r="X335" s="2460"/>
      <c r="Y335" s="94">
        <f t="shared" si="246"/>
        <v>2</v>
      </c>
      <c r="Z335" s="767">
        <f>'Income Eligble Deemed Table'!BB660</f>
        <v>0.14168503866104951</v>
      </c>
      <c r="AA335" s="2419">
        <f>'Income Eligble Deemed Table'!K660</f>
        <v>63</v>
      </c>
      <c r="AB335" s="2416">
        <f t="shared" si="228"/>
        <v>8.424877239873636</v>
      </c>
      <c r="AC335" s="2416">
        <f t="shared" si="229"/>
        <v>0</v>
      </c>
      <c r="AD335" s="2446">
        <f>'Income Eligble Deemed Table'!BD660</f>
        <v>7.4985173776395788</v>
      </c>
      <c r="AE335" s="2443">
        <f>'Income Eligble Deemed Table'!BD661</f>
        <v>0.92635986223405642</v>
      </c>
      <c r="AF335" s="2440"/>
      <c r="AG335" s="2440"/>
      <c r="AL335" s="2380">
        <f t="shared" si="226"/>
        <v>9.4741810000000004E-4</v>
      </c>
      <c r="AM335" s="145">
        <f t="shared" si="243"/>
        <v>4.1515861142000003E-2</v>
      </c>
      <c r="AN335" s="2368">
        <f t="shared" si="227"/>
        <v>-1.3885799999419079E-7</v>
      </c>
    </row>
    <row r="336" spans="1:40" x14ac:dyDescent="0.25">
      <c r="A336" s="2598" t="str">
        <f>'Income Eligble Deemed Table'!C662</f>
        <v>403250_2019_12_</v>
      </c>
      <c r="B336" s="245" t="str">
        <f>'Income Eligble Deemed Table'!G662</f>
        <v>Cooling RES</v>
      </c>
      <c r="C336" s="245" t="str">
        <f>'Income Eligble Deemed Table'!G663</f>
        <v>Heating RES</v>
      </c>
      <c r="D336" s="245"/>
      <c r="E336" s="245"/>
      <c r="F336" s="245" t="str">
        <f>'Income Eligble Deemed Table'!E662</f>
        <v>HP tune-up / Outdoor Coil (Condenser) Cleaning SF</v>
      </c>
      <c r="G336" s="745" t="str">
        <f>'Income Eligble Deemed Table'!D662</f>
        <v>SFLI</v>
      </c>
      <c r="H336" s="2420">
        <f t="shared" si="244"/>
        <v>366.6</v>
      </c>
      <c r="I336" s="2420">
        <f t="shared" si="245"/>
        <v>0</v>
      </c>
      <c r="J336" s="2452">
        <f>'Income Eligble Deemed Table'!F662</f>
        <v>201.65</v>
      </c>
      <c r="K336" s="2452">
        <f>'Income Eligble Deemed Table'!F663</f>
        <v>164.95</v>
      </c>
      <c r="L336" s="2452"/>
      <c r="M336" s="2452"/>
      <c r="N336" s="2421">
        <f t="shared" si="241"/>
        <v>0.19104699999999999</v>
      </c>
      <c r="O336" s="2421">
        <f t="shared" si="242"/>
        <v>0</v>
      </c>
      <c r="P336" s="2412">
        <f>'Income Eligble Deemed Table'!I662</f>
        <v>0.19104699999999999</v>
      </c>
      <c r="Q336" s="2412">
        <f>'Income Eligble Deemed Table'!I663</f>
        <v>0</v>
      </c>
      <c r="R336" s="2412"/>
      <c r="S336" s="2412"/>
      <c r="T336" s="2413">
        <v>0</v>
      </c>
      <c r="U336" s="2413">
        <v>0</v>
      </c>
      <c r="V336" s="2413">
        <v>0</v>
      </c>
      <c r="W336" s="2460">
        <f>'Income Eligble Deemed Table'!J662</f>
        <v>2</v>
      </c>
      <c r="X336" s="2460"/>
      <c r="Y336" s="94">
        <f t="shared" si="246"/>
        <v>2</v>
      </c>
      <c r="Z336" s="767">
        <f>'Income Eligble Deemed Table'!BB662</f>
        <v>1.4993449285619023</v>
      </c>
      <c r="AA336" s="2419">
        <f>'Income Eligble Deemed Table'!K662</f>
        <v>31</v>
      </c>
      <c r="AB336" s="2416">
        <f t="shared" si="228"/>
        <v>43.869459920168914</v>
      </c>
      <c r="AC336" s="2416">
        <f t="shared" si="229"/>
        <v>0</v>
      </c>
      <c r="AD336" s="2446">
        <f>'Income Eligble Deemed Table'!BD662</f>
        <v>34.506527366522619</v>
      </c>
      <c r="AE336" s="2443">
        <f>'Income Eligble Deemed Table'!BD663</f>
        <v>9.3629325536462975</v>
      </c>
      <c r="AF336" s="2440"/>
      <c r="AG336" s="2440"/>
      <c r="AL336" s="2380">
        <f t="shared" si="226"/>
        <v>9.4741810000000004E-4</v>
      </c>
      <c r="AM336" s="145">
        <f t="shared" si="243"/>
        <v>0.191046859865</v>
      </c>
      <c r="AN336" s="2368">
        <f t="shared" si="227"/>
        <v>-1.4013499999299128E-7</v>
      </c>
    </row>
    <row r="337" spans="1:40" x14ac:dyDescent="0.25">
      <c r="A337" s="2598" t="str">
        <f>'Income Eligble Deemed Table'!C664</f>
        <v>403300_2019_12_</v>
      </c>
      <c r="B337" s="245" t="str">
        <f>'Income Eligble Deemed Table'!G664</f>
        <v>Cooling RES</v>
      </c>
      <c r="C337" s="245" t="str">
        <f>'Income Eligble Deemed Table'!G665</f>
        <v>Heating RES</v>
      </c>
      <c r="D337" s="245"/>
      <c r="E337" s="245"/>
      <c r="F337" s="245" t="str">
        <f>'Income Eligble Deemed Table'!E664</f>
        <v>HP tune-up / Outdoor Coil (Condenser) Cleaning MF</v>
      </c>
      <c r="G337" s="745" t="str">
        <f>'Income Eligble Deemed Table'!D664</f>
        <v>MFLI</v>
      </c>
      <c r="H337" s="2420">
        <f t="shared" si="244"/>
        <v>219.07</v>
      </c>
      <c r="I337" s="2420">
        <f t="shared" si="245"/>
        <v>0</v>
      </c>
      <c r="J337" s="2452">
        <f>'Income Eligble Deemed Table'!F664</f>
        <v>120.5</v>
      </c>
      <c r="K337" s="2452">
        <f>'Income Eligble Deemed Table'!F665</f>
        <v>98.57</v>
      </c>
      <c r="L337" s="2452"/>
      <c r="M337" s="2452"/>
      <c r="N337" s="2421">
        <f t="shared" si="241"/>
        <v>0.114164</v>
      </c>
      <c r="O337" s="2421">
        <f t="shared" si="242"/>
        <v>0</v>
      </c>
      <c r="P337" s="2412">
        <f>'Income Eligble Deemed Table'!I664</f>
        <v>0.114164</v>
      </c>
      <c r="Q337" s="2412">
        <f>'Income Eligble Deemed Table'!I665</f>
        <v>0</v>
      </c>
      <c r="R337" s="2412"/>
      <c r="S337" s="2412"/>
      <c r="T337" s="2413">
        <v>0</v>
      </c>
      <c r="U337" s="2413">
        <v>0</v>
      </c>
      <c r="V337" s="2413">
        <v>0</v>
      </c>
      <c r="W337" s="2460">
        <f>'Income Eligble Deemed Table'!J664</f>
        <v>2</v>
      </c>
      <c r="X337" s="2460"/>
      <c r="Y337" s="94">
        <f t="shared" si="246"/>
        <v>2</v>
      </c>
      <c r="Z337" s="767">
        <f>'Income Eligble Deemed Table'!BB664</f>
        <v>0.89596521180051769</v>
      </c>
      <c r="AA337" s="2419">
        <f>'Income Eligble Deemed Table'!K664</f>
        <v>31</v>
      </c>
      <c r="AB337" s="2416">
        <f t="shared" si="228"/>
        <v>26.215121817664979</v>
      </c>
      <c r="AC337" s="2416">
        <f t="shared" si="229"/>
        <v>0</v>
      </c>
      <c r="AD337" s="2446">
        <f>'Income Eligble Deemed Table'!BD664</f>
        <v>20.620067184061369</v>
      </c>
      <c r="AE337" s="2443">
        <f>'Income Eligble Deemed Table'!BD665</f>
        <v>5.5950546336036107</v>
      </c>
      <c r="AF337" s="2440"/>
      <c r="AG337" s="2440"/>
      <c r="AL337" s="2380">
        <f t="shared" si="226"/>
        <v>9.4741810000000004E-4</v>
      </c>
      <c r="AM337" s="145">
        <f t="shared" si="243"/>
        <v>0.11416388105</v>
      </c>
      <c r="AN337" s="2368">
        <f t="shared" si="227"/>
        <v>-1.1895000000261557E-7</v>
      </c>
    </row>
    <row r="338" spans="1:40" x14ac:dyDescent="0.25">
      <c r="A338" s="2598" t="str">
        <f>'Income Eligble Deemed Table'!C666</f>
        <v>403301_2019_12_</v>
      </c>
      <c r="B338" s="245" t="str">
        <f>'Income Eligble Deemed Table'!G666</f>
        <v>Cooling RES</v>
      </c>
      <c r="C338" s="245" t="str">
        <f>'Income Eligble Deemed Table'!G667</f>
        <v>Heating RES</v>
      </c>
      <c r="D338" s="245"/>
      <c r="E338" s="245"/>
      <c r="F338" s="245" t="str">
        <f>'Income Eligble Deemed Table'!E666</f>
        <v>HP tune-up / Outdoor Coil (Condenser) Cleaning MF_CompE</v>
      </c>
      <c r="G338" s="745" t="str">
        <f>'Income Eligble Deemed Table'!D666</f>
        <v>MFLIc</v>
      </c>
      <c r="H338" s="2420">
        <f t="shared" si="244"/>
        <v>121.24000000000001</v>
      </c>
      <c r="I338" s="2420">
        <f t="shared" si="245"/>
        <v>0</v>
      </c>
      <c r="J338" s="2452">
        <f>'Income Eligble Deemed Table'!F666</f>
        <v>87.64</v>
      </c>
      <c r="K338" s="2452">
        <f>'Income Eligble Deemed Table'!F667</f>
        <v>33.6</v>
      </c>
      <c r="L338" s="2452"/>
      <c r="M338" s="2452"/>
      <c r="N338" s="2421">
        <f t="shared" si="241"/>
        <v>8.3031999999999995E-2</v>
      </c>
      <c r="O338" s="2421">
        <f t="shared" si="242"/>
        <v>0</v>
      </c>
      <c r="P338" s="2412">
        <f>'Income Eligble Deemed Table'!I666</f>
        <v>8.3031999999999995E-2</v>
      </c>
      <c r="Q338" s="2412">
        <f>'Income Eligble Deemed Table'!I667</f>
        <v>0</v>
      </c>
      <c r="R338" s="2412"/>
      <c r="S338" s="2412"/>
      <c r="T338" s="2413">
        <v>0</v>
      </c>
      <c r="U338" s="2413">
        <v>0</v>
      </c>
      <c r="V338" s="2413">
        <v>0</v>
      </c>
      <c r="W338" s="2460">
        <f>'Income Eligble Deemed Table'!J666</f>
        <v>2</v>
      </c>
      <c r="X338" s="2460"/>
      <c r="Y338" s="94">
        <f t="shared" si="246"/>
        <v>2</v>
      </c>
      <c r="Z338" s="767">
        <f>'Income Eligble Deemed Table'!BB666</f>
        <v>0.57774351249716316</v>
      </c>
      <c r="AA338" s="2419">
        <f>'Income Eligble Deemed Table'!K666</f>
        <v>31</v>
      </c>
      <c r="AB338" s="2416">
        <f t="shared" si="228"/>
        <v>16.904246236349273</v>
      </c>
      <c r="AC338" s="2416">
        <f t="shared" si="229"/>
        <v>0</v>
      </c>
      <c r="AD338" s="2446">
        <f>'Income Eligble Deemed Table'!BD666</f>
        <v>14.997034755279158</v>
      </c>
      <c r="AE338" s="2443">
        <f>'Income Eligble Deemed Table'!BD667</f>
        <v>1.9072114810701162</v>
      </c>
      <c r="AF338" s="2440"/>
      <c r="AG338" s="2440"/>
      <c r="AL338" s="2380">
        <f t="shared" si="226"/>
        <v>9.4741810000000004E-4</v>
      </c>
      <c r="AM338" s="145">
        <f t="shared" si="243"/>
        <v>8.3031722284000006E-2</v>
      </c>
      <c r="AN338" s="2368">
        <f t="shared" si="227"/>
        <v>-2.7771599998838159E-7</v>
      </c>
    </row>
    <row r="339" spans="1:40" x14ac:dyDescent="0.25">
      <c r="A339" s="2598" t="str">
        <f>'Income Eligble Deemed Table'!C709</f>
        <v>403350_2019_12_</v>
      </c>
      <c r="B339" s="245" t="str">
        <f>'Income Eligble Deemed Table'!G709</f>
        <v>Water heating RES</v>
      </c>
      <c r="C339" s="245"/>
      <c r="D339" s="245"/>
      <c r="E339" s="245"/>
      <c r="F339" s="245" t="str">
        <f>'Income Eligble Deemed Table'!E709</f>
        <v>Low Flow Bathroom Faucet Aerator MFLI</v>
      </c>
      <c r="G339" s="745" t="str">
        <f>'Income Eligble Deemed Table'!D709</f>
        <v>MFLI</v>
      </c>
      <c r="H339" s="2410">
        <f>'Income Eligble Deemed Table'!F709</f>
        <v>36.979999999999997</v>
      </c>
      <c r="I339" s="2410"/>
      <c r="J339" s="2452"/>
      <c r="K339" s="2452"/>
      <c r="L339" s="2452"/>
      <c r="M339" s="2452"/>
      <c r="N339" s="2411">
        <f>'Income Eligble Deemed Table'!J709</f>
        <v>3.2810000000000001E-3</v>
      </c>
      <c r="O339" s="2411"/>
      <c r="P339" s="2412"/>
      <c r="Q339" s="2412"/>
      <c r="R339" s="2412"/>
      <c r="S339" s="2412"/>
      <c r="T339" s="2413">
        <v>0</v>
      </c>
      <c r="U339" s="2413">
        <f t="shared" ref="U339:U341" si="247">N339</f>
        <v>3.2810000000000001E-3</v>
      </c>
      <c r="V339" s="2413">
        <v>0</v>
      </c>
      <c r="W339" s="2460">
        <f>'Income Eligble Deemed Table'!K709</f>
        <v>11</v>
      </c>
      <c r="X339" s="2460"/>
      <c r="Y339" s="94">
        <f t="shared" si="246"/>
        <v>11</v>
      </c>
      <c r="Z339" s="767">
        <f>'Income Eligble Deemed Table'!BB709</f>
        <v>4.8358380373400687</v>
      </c>
      <c r="AA339" s="2419">
        <f>'Income Eligble Deemed Table'!L709</f>
        <v>3</v>
      </c>
      <c r="AB339" s="2416">
        <f t="shared" si="228"/>
        <v>13.692792932534408</v>
      </c>
      <c r="AC339" s="2416">
        <f t="shared" si="229"/>
        <v>0</v>
      </c>
      <c r="AD339" s="2446">
        <f>'Income Eligble Deemed Table'!BD709</f>
        <v>13.692792932534408</v>
      </c>
      <c r="AE339" s="2440"/>
      <c r="AF339" s="2440"/>
      <c r="AG339" s="2440"/>
      <c r="AL339" s="2380">
        <f t="shared" si="226"/>
        <v>8.8731800000000003E-5</v>
      </c>
      <c r="AM339">
        <f t="shared" ref="AM339:AM349" si="248">AL339*H339</f>
        <v>3.281301964E-3</v>
      </c>
      <c r="AN339" s="2368">
        <f t="shared" si="227"/>
        <v>3.0196399999991158E-7</v>
      </c>
    </row>
    <row r="340" spans="1:40" x14ac:dyDescent="0.25">
      <c r="A340" s="2598" t="str">
        <f>'Income Eligble Deemed Table'!C710</f>
        <v>403400_2019_12_</v>
      </c>
      <c r="B340" s="245" t="str">
        <f>'Income Eligble Deemed Table'!G710</f>
        <v>Water heating RES</v>
      </c>
      <c r="C340" s="245"/>
      <c r="D340" s="245"/>
      <c r="E340" s="245"/>
      <c r="F340" s="245" t="str">
        <f>'Income Eligble Deemed Table'!E710</f>
        <v>Low Flow Bathroom Faucet Aerator MFLI DI</v>
      </c>
      <c r="G340" s="745" t="str">
        <f>'Income Eligble Deemed Table'!D710</f>
        <v>MFLI DI</v>
      </c>
      <c r="H340" s="2410">
        <f>'Income Eligble Deemed Table'!F710</f>
        <v>35.130000000000003</v>
      </c>
      <c r="I340" s="2410"/>
      <c r="J340" s="2452"/>
      <c r="K340" s="2452"/>
      <c r="L340" s="2452"/>
      <c r="M340" s="2452"/>
      <c r="N340" s="2411">
        <f>'Income Eligble Deemed Table'!J710</f>
        <v>3.117E-3</v>
      </c>
      <c r="O340" s="2411"/>
      <c r="P340" s="2412"/>
      <c r="Q340" s="2412"/>
      <c r="R340" s="2412"/>
      <c r="S340" s="2412"/>
      <c r="T340" s="2413">
        <v>0</v>
      </c>
      <c r="U340" s="2413">
        <f t="shared" si="247"/>
        <v>3.117E-3</v>
      </c>
      <c r="V340" s="2413">
        <v>0</v>
      </c>
      <c r="W340" s="2460">
        <f>'Income Eligble Deemed Table'!K710</f>
        <v>11</v>
      </c>
      <c r="X340" s="2460"/>
      <c r="Y340" s="94">
        <f t="shared" ref="Y340:Y350" si="249">X340+W340</f>
        <v>11</v>
      </c>
      <c r="Z340" s="767">
        <f>'Income Eligble Deemed Table'!BB710</f>
        <v>1.2163941835291563</v>
      </c>
      <c r="AA340" s="2419">
        <f>'Income Eligble Deemed Table'!L710</f>
        <v>11.33</v>
      </c>
      <c r="AB340" s="2416">
        <f t="shared" si="228"/>
        <v>13.007783010274034</v>
      </c>
      <c r="AC340" s="2416">
        <f t="shared" si="229"/>
        <v>0</v>
      </c>
      <c r="AD340" s="2446">
        <f>'Income Eligble Deemed Table'!BD710</f>
        <v>13.007783010274034</v>
      </c>
      <c r="AE340" s="2440"/>
      <c r="AF340" s="2440"/>
      <c r="AG340" s="2440"/>
      <c r="AL340" s="2380">
        <f t="shared" si="226"/>
        <v>8.8731800000000003E-5</v>
      </c>
      <c r="AM340">
        <f t="shared" si="248"/>
        <v>3.1171481340000005E-3</v>
      </c>
      <c r="AN340" s="2368">
        <f t="shared" si="227"/>
        <v>1.4813400000049382E-7</v>
      </c>
    </row>
    <row r="341" spans="1:40" x14ac:dyDescent="0.25">
      <c r="A341" s="2598" t="str">
        <f>'Income Eligble Deemed Table'!C711</f>
        <v>403450_2019_12_</v>
      </c>
      <c r="B341" s="245" t="str">
        <f>'Income Eligble Deemed Table'!G711</f>
        <v>Water heating RES</v>
      </c>
      <c r="C341" s="245"/>
      <c r="D341" s="245"/>
      <c r="E341" s="245"/>
      <c r="F341" s="245" t="str">
        <f>'Income Eligble Deemed Table'!E711</f>
        <v>Low Flow Bathroom Faucet Aerator SFLI DI</v>
      </c>
      <c r="G341" s="745" t="str">
        <f>'Income Eligble Deemed Table'!D711</f>
        <v>SFLI DI</v>
      </c>
      <c r="H341" s="2410">
        <f>'Income Eligble Deemed Table'!F711</f>
        <v>35.130000000000003</v>
      </c>
      <c r="I341" s="2410"/>
      <c r="J341" s="2452"/>
      <c r="K341" s="2452"/>
      <c r="L341" s="2452"/>
      <c r="M341" s="2452"/>
      <c r="N341" s="2411">
        <f>'Income Eligble Deemed Table'!J711</f>
        <v>3.117E-3</v>
      </c>
      <c r="O341" s="2411"/>
      <c r="P341" s="2412"/>
      <c r="Q341" s="2412"/>
      <c r="R341" s="2412"/>
      <c r="S341" s="2412"/>
      <c r="T341" s="2413">
        <v>0</v>
      </c>
      <c r="U341" s="2413">
        <f t="shared" si="247"/>
        <v>3.117E-3</v>
      </c>
      <c r="V341" s="2413">
        <v>0</v>
      </c>
      <c r="W341" s="2460">
        <f>'Income Eligble Deemed Table'!K711</f>
        <v>11</v>
      </c>
      <c r="X341" s="2460"/>
      <c r="Y341" s="94">
        <f t="shared" si="249"/>
        <v>11</v>
      </c>
      <c r="Z341" s="767">
        <f>'Income Eligble Deemed Table'!BB711</f>
        <v>1.2163941835291563</v>
      </c>
      <c r="AA341" s="2419">
        <f>'Income Eligble Deemed Table'!L711</f>
        <v>11.33</v>
      </c>
      <c r="AB341" s="2416">
        <f t="shared" si="228"/>
        <v>13.007783010274034</v>
      </c>
      <c r="AC341" s="2416">
        <f t="shared" si="229"/>
        <v>0</v>
      </c>
      <c r="AD341" s="2446">
        <f>'Income Eligble Deemed Table'!BD711</f>
        <v>13.007783010274034</v>
      </c>
      <c r="AE341" s="2440"/>
      <c r="AF341" s="2440"/>
      <c r="AG341" s="2440"/>
      <c r="AL341" s="2380">
        <f t="shared" si="226"/>
        <v>8.8731800000000003E-5</v>
      </c>
      <c r="AM341">
        <f t="shared" si="248"/>
        <v>3.1171481340000005E-3</v>
      </c>
      <c r="AN341" s="2368">
        <f t="shared" si="227"/>
        <v>1.4813400000049382E-7</v>
      </c>
    </row>
    <row r="342" spans="1:40" x14ac:dyDescent="0.25">
      <c r="A342" s="2598" t="str">
        <f>'Income Eligble Deemed Table'!C747</f>
        <v>403500_2019_12_</v>
      </c>
      <c r="B342" s="245" t="str">
        <f>'Income Eligble Deemed Table'!G747</f>
        <v>Water heating RES</v>
      </c>
      <c r="C342" s="245"/>
      <c r="D342" s="245"/>
      <c r="E342" s="245"/>
      <c r="F342" s="245" t="str">
        <f>'Income Eligble Deemed Table'!E747</f>
        <v>Low Flow Showerhead MFLI</v>
      </c>
      <c r="G342" s="745" t="str">
        <f>'Income Eligble Deemed Table'!D747</f>
        <v>MFLI</v>
      </c>
      <c r="H342" s="2410">
        <f>'Income Eligble Deemed Table'!F747</f>
        <v>220.17</v>
      </c>
      <c r="I342" s="2410"/>
      <c r="J342" s="2452"/>
      <c r="K342" s="2452"/>
      <c r="L342" s="2452"/>
      <c r="M342" s="2452"/>
      <c r="N342" s="2411">
        <f>'Income Eligble Deemed Table'!J747</f>
        <v>1.9536000000000001E-2</v>
      </c>
      <c r="O342" s="2411"/>
      <c r="P342" s="2412"/>
      <c r="Q342" s="2412"/>
      <c r="R342" s="2412"/>
      <c r="S342" s="2412"/>
      <c r="T342" s="2413">
        <v>0</v>
      </c>
      <c r="U342" s="2413">
        <f t="shared" ref="U342:U346" si="250">N342</f>
        <v>1.9536000000000001E-2</v>
      </c>
      <c r="V342" s="2413">
        <v>0</v>
      </c>
      <c r="W342" s="2460">
        <f>'Income Eligble Deemed Table'!K747</f>
        <v>10</v>
      </c>
      <c r="X342" s="2460"/>
      <c r="Y342" s="94">
        <f t="shared" si="249"/>
        <v>10</v>
      </c>
      <c r="Z342" s="767">
        <f>'Income Eligble Deemed Table'!BB747</f>
        <v>11.23966827099502</v>
      </c>
      <c r="AA342" s="2419">
        <f>'Income Eligble Deemed Table'!L747</f>
        <v>7</v>
      </c>
      <c r="AB342" s="2416">
        <f t="shared" si="228"/>
        <v>74.259252380335198</v>
      </c>
      <c r="AC342" s="2416">
        <f t="shared" si="229"/>
        <v>0</v>
      </c>
      <c r="AD342" s="2446">
        <f>'Income Eligble Deemed Table'!BD747</f>
        <v>74.259252380335198</v>
      </c>
      <c r="AE342" s="2440"/>
      <c r="AF342" s="2440"/>
      <c r="AG342" s="2440"/>
      <c r="AL342" s="2380">
        <f t="shared" si="226"/>
        <v>8.8731800000000003E-5</v>
      </c>
      <c r="AM342">
        <f t="shared" si="248"/>
        <v>1.9536080405999998E-2</v>
      </c>
      <c r="AN342" s="2368">
        <f t="shared" si="227"/>
        <v>8.0405999997035238E-8</v>
      </c>
    </row>
    <row r="343" spans="1:40" x14ac:dyDescent="0.25">
      <c r="A343" s="2598" t="str">
        <f>'Income Eligble Deemed Table'!C748</f>
        <v>403550_2019_12_</v>
      </c>
      <c r="B343" s="245" t="str">
        <f>'Income Eligble Deemed Table'!G748</f>
        <v>Water heating RES</v>
      </c>
      <c r="C343" s="245"/>
      <c r="D343" s="245"/>
      <c r="E343" s="245"/>
      <c r="F343" s="245" t="str">
        <f>'Income Eligble Deemed Table'!E748</f>
        <v>Low Flow Showerhead MFLI DI</v>
      </c>
      <c r="G343" s="745" t="str">
        <f>'Income Eligble Deemed Table'!D748</f>
        <v>MFLI DI</v>
      </c>
      <c r="H343" s="2410">
        <f>'Income Eligble Deemed Table'!F748</f>
        <v>232.42</v>
      </c>
      <c r="I343" s="2410"/>
      <c r="J343" s="2452"/>
      <c r="K343" s="2452"/>
      <c r="L343" s="2452"/>
      <c r="M343" s="2452"/>
      <c r="N343" s="2411">
        <f>'Income Eligble Deemed Table'!J748</f>
        <v>2.0622999999999999E-2</v>
      </c>
      <c r="O343" s="2411"/>
      <c r="P343" s="2412"/>
      <c r="Q343" s="2412"/>
      <c r="R343" s="2412"/>
      <c r="S343" s="2412"/>
      <c r="T343" s="2413">
        <v>0</v>
      </c>
      <c r="U343" s="2413">
        <f t="shared" si="250"/>
        <v>2.0622999999999999E-2</v>
      </c>
      <c r="V343" s="2413">
        <v>0</v>
      </c>
      <c r="W343" s="2460">
        <f>'Income Eligble Deemed Table'!K748</f>
        <v>10</v>
      </c>
      <c r="X343" s="2460"/>
      <c r="Y343" s="94">
        <f t="shared" si="249"/>
        <v>10</v>
      </c>
      <c r="Z343" s="767">
        <f>'Income Eligble Deemed Table'!BB748</f>
        <v>6.3987065803587404</v>
      </c>
      <c r="AA343" s="2419">
        <f>'Income Eligble Deemed Table'!L748</f>
        <v>12.98</v>
      </c>
      <c r="AB343" s="2416">
        <f t="shared" si="228"/>
        <v>78.390949894343038</v>
      </c>
      <c r="AC343" s="2416">
        <f t="shared" si="229"/>
        <v>0</v>
      </c>
      <c r="AD343" s="2446">
        <f>'Income Eligble Deemed Table'!BD748</f>
        <v>78.390949894343038</v>
      </c>
      <c r="AE343" s="2440"/>
      <c r="AF343" s="2440"/>
      <c r="AG343" s="2440"/>
      <c r="AL343" s="2380">
        <f t="shared" si="226"/>
        <v>8.8731800000000003E-5</v>
      </c>
      <c r="AM343">
        <f t="shared" si="248"/>
        <v>2.0623044955999998E-2</v>
      </c>
      <c r="AN343" s="2368">
        <f t="shared" si="227"/>
        <v>4.4955999999041207E-8</v>
      </c>
    </row>
    <row r="344" spans="1:40" x14ac:dyDescent="0.25">
      <c r="A344" s="2598" t="str">
        <f>'Income Eligble Deemed Table'!C749</f>
        <v>403551_2019_12_</v>
      </c>
      <c r="B344" s="245" t="str">
        <f>'Income Eligble Deemed Table'!G749</f>
        <v>Water heating RES</v>
      </c>
      <c r="C344" s="245"/>
      <c r="D344" s="245"/>
      <c r="E344" s="245"/>
      <c r="F344" s="245" t="str">
        <f>'Income Eligble Deemed Table'!E749</f>
        <v>Low Flow Handheld Showerhead MFLI DI</v>
      </c>
      <c r="G344" s="745" t="str">
        <f>'Income Eligble Deemed Table'!D749</f>
        <v>MFLI DI</v>
      </c>
      <c r="H344" s="2410">
        <f>'Income Eligble Deemed Table'!F749</f>
        <v>232.42</v>
      </c>
      <c r="I344" s="2410"/>
      <c r="J344" s="2452"/>
      <c r="K344" s="2452"/>
      <c r="L344" s="2452"/>
      <c r="M344" s="2452"/>
      <c r="N344" s="2411">
        <f>'Income Eligble Deemed Table'!J749</f>
        <v>2.0622999999999999E-2</v>
      </c>
      <c r="O344" s="2411"/>
      <c r="P344" s="2412"/>
      <c r="Q344" s="2412"/>
      <c r="R344" s="2412"/>
      <c r="S344" s="2412"/>
      <c r="T344" s="2413">
        <v>0</v>
      </c>
      <c r="U344" s="2413">
        <f t="shared" si="250"/>
        <v>2.0622999999999999E-2</v>
      </c>
      <c r="V344" s="2413">
        <v>0</v>
      </c>
      <c r="W344" s="2460">
        <f>'Income Eligble Deemed Table'!K749</f>
        <v>10</v>
      </c>
      <c r="X344" s="2460"/>
      <c r="Y344" s="94">
        <f t="shared" si="249"/>
        <v>10</v>
      </c>
      <c r="Z344" s="767">
        <f>'Income Eligble Deemed Table'!BB749</f>
        <v>6.6604018775506377</v>
      </c>
      <c r="AA344" s="2419">
        <f>'Income Eligble Deemed Table'!L749</f>
        <v>12.47</v>
      </c>
      <c r="AB344" s="2416">
        <f t="shared" si="228"/>
        <v>78.390949894343038</v>
      </c>
      <c r="AC344" s="2416">
        <f t="shared" si="229"/>
        <v>0</v>
      </c>
      <c r="AD344" s="2446">
        <f>'Income Eligble Deemed Table'!BD749</f>
        <v>78.390949894343038</v>
      </c>
      <c r="AE344" s="2440"/>
      <c r="AF344" s="2440"/>
      <c r="AG344" s="2440"/>
      <c r="AL344" s="2380">
        <f t="shared" si="226"/>
        <v>8.8731800000000003E-5</v>
      </c>
      <c r="AM344">
        <f t="shared" si="248"/>
        <v>2.0623044955999998E-2</v>
      </c>
      <c r="AN344" s="2368">
        <f t="shared" si="227"/>
        <v>4.4955999999041207E-8</v>
      </c>
    </row>
    <row r="345" spans="1:40" x14ac:dyDescent="0.25">
      <c r="A345" s="2598" t="str">
        <f>'Income Eligble Deemed Table'!C750</f>
        <v>403600_2019_12_</v>
      </c>
      <c r="B345" s="245" t="str">
        <f>'Income Eligble Deemed Table'!G750</f>
        <v>Water heating RES</v>
      </c>
      <c r="C345" s="245"/>
      <c r="D345" s="245"/>
      <c r="E345" s="245"/>
      <c r="F345" s="245" t="str">
        <f>'Income Eligble Deemed Table'!E750</f>
        <v>Low Flow Showerhead SFLI DI</v>
      </c>
      <c r="G345" s="745" t="str">
        <f>'Income Eligble Deemed Table'!D750</f>
        <v>SFLI DI</v>
      </c>
      <c r="H345" s="2410">
        <f>'Income Eligble Deemed Table'!F750</f>
        <v>199.61</v>
      </c>
      <c r="I345" s="2410"/>
      <c r="J345" s="2452"/>
      <c r="K345" s="2452"/>
      <c r="L345" s="2452"/>
      <c r="M345" s="2452"/>
      <c r="N345" s="2411">
        <f>'Income Eligble Deemed Table'!J750</f>
        <v>1.7711999999999999E-2</v>
      </c>
      <c r="O345" s="2411"/>
      <c r="P345" s="2412"/>
      <c r="Q345" s="2412"/>
      <c r="R345" s="2412"/>
      <c r="S345" s="2412"/>
      <c r="T345" s="2413">
        <v>0</v>
      </c>
      <c r="U345" s="2413">
        <f t="shared" si="250"/>
        <v>1.7711999999999999E-2</v>
      </c>
      <c r="V345" s="2413">
        <v>0</v>
      </c>
      <c r="W345" s="2460">
        <f>'Income Eligble Deemed Table'!K750</f>
        <v>10</v>
      </c>
      <c r="X345" s="2460"/>
      <c r="Y345" s="94">
        <f t="shared" si="249"/>
        <v>10</v>
      </c>
      <c r="Z345" s="767">
        <f>'Income Eligble Deemed Table'!BB750</f>
        <v>5.4954213084304637</v>
      </c>
      <c r="AA345" s="2419">
        <f>'Income Eligble Deemed Table'!L750</f>
        <v>12.98</v>
      </c>
      <c r="AB345" s="2416">
        <f t="shared" si="228"/>
        <v>67.324746185396336</v>
      </c>
      <c r="AC345" s="2416">
        <f t="shared" si="229"/>
        <v>0</v>
      </c>
      <c r="AD345" s="2446">
        <f>'Income Eligble Deemed Table'!BD750</f>
        <v>67.324746185396336</v>
      </c>
      <c r="AE345" s="2440"/>
      <c r="AF345" s="2440"/>
      <c r="AG345" s="2440"/>
      <c r="AL345" s="2380">
        <f t="shared" si="226"/>
        <v>8.8731800000000003E-5</v>
      </c>
      <c r="AM345">
        <f t="shared" si="248"/>
        <v>1.7711754598000003E-2</v>
      </c>
      <c r="AN345" s="2368">
        <f t="shared" si="227"/>
        <v>-2.4540199999520396E-7</v>
      </c>
    </row>
    <row r="346" spans="1:40" x14ac:dyDescent="0.25">
      <c r="A346" s="2598" t="str">
        <f>'Income Eligble Deemed Table'!C751</f>
        <v>403601_2019_12_</v>
      </c>
      <c r="B346" s="245" t="str">
        <f>'Income Eligble Deemed Table'!G751</f>
        <v>Water heating RES</v>
      </c>
      <c r="C346" s="245"/>
      <c r="D346" s="245"/>
      <c r="E346" s="245"/>
      <c r="F346" s="245" t="str">
        <f>'Income Eligble Deemed Table'!E751</f>
        <v>Low Flow Handheld Showerhead SFLI DI</v>
      </c>
      <c r="G346" s="745" t="str">
        <f>'Income Eligble Deemed Table'!D751</f>
        <v>SFLI DI</v>
      </c>
      <c r="H346" s="2410">
        <f>'Income Eligble Deemed Table'!F751</f>
        <v>199.61</v>
      </c>
      <c r="I346" s="2410"/>
      <c r="J346" s="2452"/>
      <c r="K346" s="2452"/>
      <c r="L346" s="2452"/>
      <c r="M346" s="2452"/>
      <c r="N346" s="2411">
        <f>'Income Eligble Deemed Table'!J751</f>
        <v>1.7711999999999999E-2</v>
      </c>
      <c r="O346" s="2411"/>
      <c r="P346" s="2412"/>
      <c r="Q346" s="2412"/>
      <c r="R346" s="2412"/>
      <c r="S346" s="2412"/>
      <c r="T346" s="2413">
        <v>0</v>
      </c>
      <c r="U346" s="2413">
        <f t="shared" si="250"/>
        <v>1.7711999999999999E-2</v>
      </c>
      <c r="V346" s="2413">
        <v>0</v>
      </c>
      <c r="W346" s="2460">
        <f>'Income Eligble Deemed Table'!K751</f>
        <v>10</v>
      </c>
      <c r="X346" s="2460"/>
      <c r="Y346" s="94">
        <f t="shared" si="249"/>
        <v>10</v>
      </c>
      <c r="Z346" s="767">
        <f>'Income Eligble Deemed Table'!BB751</f>
        <v>3.8661554787765544</v>
      </c>
      <c r="AA346" s="2419">
        <f>'Income Eligble Deemed Table'!L751</f>
        <v>18.45</v>
      </c>
      <c r="AB346" s="2416">
        <f t="shared" si="228"/>
        <v>67.324746185396336</v>
      </c>
      <c r="AC346" s="2416">
        <f t="shared" si="229"/>
        <v>0</v>
      </c>
      <c r="AD346" s="2446">
        <f>'Income Eligble Deemed Table'!BD751</f>
        <v>67.324746185396336</v>
      </c>
      <c r="AE346" s="2440"/>
      <c r="AF346" s="2440"/>
      <c r="AG346" s="2440"/>
      <c r="AL346" s="2380">
        <f t="shared" si="226"/>
        <v>8.8731800000000003E-5</v>
      </c>
      <c r="AM346">
        <f t="shared" si="248"/>
        <v>1.7711754598000003E-2</v>
      </c>
      <c r="AN346" s="2368">
        <f t="shared" si="227"/>
        <v>-2.4540199999520396E-7</v>
      </c>
    </row>
    <row r="347" spans="1:40" x14ac:dyDescent="0.25">
      <c r="A347" s="2598" t="str">
        <f>'Income Eligble Deemed Table'!C791</f>
        <v>403650_2019_12_</v>
      </c>
      <c r="B347" s="245" t="str">
        <f>'Income Eligble Deemed Table'!G791</f>
        <v>Water heating RES</v>
      </c>
      <c r="C347" s="245"/>
      <c r="D347" s="245"/>
      <c r="E347" s="245"/>
      <c r="F347" s="245" t="str">
        <f>'Income Eligble Deemed Table'!E791</f>
        <v>Pipe Insulation MFLI</v>
      </c>
      <c r="G347" s="745" t="str">
        <f>'Income Eligble Deemed Table'!D791</f>
        <v>MFLI</v>
      </c>
      <c r="H347" s="2410">
        <f>'Income Eligble Deemed Table'!F791</f>
        <v>4.6399999999999997</v>
      </c>
      <c r="I347" s="2410"/>
      <c r="J347" s="2452"/>
      <c r="K347" s="2452"/>
      <c r="L347" s="2452"/>
      <c r="M347" s="2452"/>
      <c r="N347" s="2411">
        <f>'Income Eligble Deemed Table'!I791</f>
        <v>4.1199999999999999E-4</v>
      </c>
      <c r="O347" s="2411"/>
      <c r="P347" s="2412"/>
      <c r="Q347" s="2412"/>
      <c r="R347" s="2412"/>
      <c r="S347" s="2412"/>
      <c r="T347" s="2413">
        <v>0</v>
      </c>
      <c r="U347" s="2413">
        <f t="shared" ref="U347:U349" si="251">N347</f>
        <v>4.1199999999999999E-4</v>
      </c>
      <c r="V347" s="2413">
        <v>0</v>
      </c>
      <c r="W347" s="2460">
        <f>'Income Eligble Deemed Table'!J791</f>
        <v>12</v>
      </c>
      <c r="X347" s="2460"/>
      <c r="Y347" s="94">
        <f t="shared" si="249"/>
        <v>12</v>
      </c>
      <c r="Z347" s="767">
        <f>'Income Eligble Deemed Table'!BB791</f>
        <v>0.27928929013723736</v>
      </c>
      <c r="AA347" s="2419">
        <f>'Income Eligble Deemed Table'!K791</f>
        <v>7.1</v>
      </c>
      <c r="AB347" s="2416">
        <f t="shared" si="228"/>
        <v>1.8715941104052713</v>
      </c>
      <c r="AC347" s="2416">
        <f t="shared" si="229"/>
        <v>0</v>
      </c>
      <c r="AD347" s="2446">
        <f>'Income Eligble Deemed Table'!BD791</f>
        <v>1.8715941104052713</v>
      </c>
      <c r="AE347" s="2440"/>
      <c r="AF347" s="2440"/>
      <c r="AG347" s="2440"/>
      <c r="AL347" s="2380">
        <f t="shared" si="226"/>
        <v>8.8731800000000003E-5</v>
      </c>
      <c r="AM347">
        <f t="shared" si="248"/>
        <v>4.1171555199999996E-4</v>
      </c>
      <c r="AN347" s="2368">
        <f t="shared" si="227"/>
        <v>-2.8444800000002523E-7</v>
      </c>
    </row>
    <row r="348" spans="1:40" x14ac:dyDescent="0.25">
      <c r="A348" s="2598" t="str">
        <f>'Income Eligble Deemed Table'!C792</f>
        <v>403700_2019_12_</v>
      </c>
      <c r="B348" s="245" t="str">
        <f>'Income Eligble Deemed Table'!G792</f>
        <v>Water heating RES</v>
      </c>
      <c r="C348" s="245"/>
      <c r="D348" s="245"/>
      <c r="E348" s="245"/>
      <c r="F348" s="245" t="str">
        <f>'Income Eligble Deemed Table'!E792</f>
        <v>Pipe Insulation MFLI DI</v>
      </c>
      <c r="G348" s="745" t="str">
        <f>'Income Eligble Deemed Table'!D792</f>
        <v>MFLI DI</v>
      </c>
      <c r="H348" s="2410">
        <f>'Income Eligble Deemed Table'!F792</f>
        <v>4.6399999999999997</v>
      </c>
      <c r="I348" s="2410"/>
      <c r="J348" s="2452"/>
      <c r="K348" s="2452"/>
      <c r="L348" s="2452"/>
      <c r="M348" s="2452"/>
      <c r="N348" s="2411">
        <f>'Income Eligble Deemed Table'!I792</f>
        <v>4.1199999999999999E-4</v>
      </c>
      <c r="O348" s="2411"/>
      <c r="P348" s="2412"/>
      <c r="Q348" s="2412"/>
      <c r="R348" s="2412"/>
      <c r="S348" s="2412"/>
      <c r="T348" s="2413">
        <v>0</v>
      </c>
      <c r="U348" s="2413">
        <f t="shared" si="251"/>
        <v>4.1199999999999999E-4</v>
      </c>
      <c r="V348" s="2413">
        <v>0</v>
      </c>
      <c r="W348" s="2460">
        <f>'Income Eligble Deemed Table'!J792</f>
        <v>12</v>
      </c>
      <c r="X348" s="2460"/>
      <c r="Y348" s="94">
        <f t="shared" si="249"/>
        <v>12</v>
      </c>
      <c r="Z348" s="767">
        <f>'Income Eligble Deemed Table'!BB792</f>
        <v>0.27928929013723736</v>
      </c>
      <c r="AA348" s="2419">
        <f>'Income Eligble Deemed Table'!K792</f>
        <v>7.1</v>
      </c>
      <c r="AB348" s="2416">
        <f t="shared" si="228"/>
        <v>1.8715941104052713</v>
      </c>
      <c r="AC348" s="2416">
        <f t="shared" si="229"/>
        <v>0</v>
      </c>
      <c r="AD348" s="2446">
        <f>'Income Eligble Deemed Table'!BD792</f>
        <v>1.8715941104052713</v>
      </c>
      <c r="AE348" s="2440"/>
      <c r="AF348" s="2440"/>
      <c r="AG348" s="2440"/>
      <c r="AL348" s="2380">
        <f t="shared" si="226"/>
        <v>8.8731800000000003E-5</v>
      </c>
      <c r="AM348">
        <f t="shared" si="248"/>
        <v>4.1171555199999996E-4</v>
      </c>
      <c r="AN348" s="2368">
        <f t="shared" si="227"/>
        <v>-2.8444800000002523E-7</v>
      </c>
    </row>
    <row r="349" spans="1:40" x14ac:dyDescent="0.25">
      <c r="A349" s="2598" t="str">
        <f>'Income Eligble Deemed Table'!C793</f>
        <v>403750_2019_12_</v>
      </c>
      <c r="B349" s="245" t="str">
        <f>'Income Eligble Deemed Table'!G793</f>
        <v>Water heating RES</v>
      </c>
      <c r="C349" s="245"/>
      <c r="D349" s="245"/>
      <c r="E349" s="245"/>
      <c r="F349" s="245" t="str">
        <f>'Income Eligble Deemed Table'!E793</f>
        <v>Pipe Insulation SFLI DI</v>
      </c>
      <c r="G349" s="745" t="str">
        <f>'Income Eligble Deemed Table'!D793</f>
        <v>SFLI DI</v>
      </c>
      <c r="H349" s="2410">
        <f>'Income Eligble Deemed Table'!F793</f>
        <v>4.6399999999999997</v>
      </c>
      <c r="I349" s="2410"/>
      <c r="J349" s="2452"/>
      <c r="K349" s="2452"/>
      <c r="L349" s="2452"/>
      <c r="M349" s="2452"/>
      <c r="N349" s="2411">
        <f>'Income Eligble Deemed Table'!I793</f>
        <v>4.1199999999999999E-4</v>
      </c>
      <c r="O349" s="2411"/>
      <c r="P349" s="2412"/>
      <c r="Q349" s="2412"/>
      <c r="R349" s="2412"/>
      <c r="S349" s="2412"/>
      <c r="T349" s="2413">
        <v>0</v>
      </c>
      <c r="U349" s="2413">
        <f t="shared" si="251"/>
        <v>4.1199999999999999E-4</v>
      </c>
      <c r="V349" s="2413">
        <v>0</v>
      </c>
      <c r="W349" s="2460">
        <f>'Income Eligble Deemed Table'!J793</f>
        <v>12</v>
      </c>
      <c r="X349" s="2460"/>
      <c r="Y349" s="94">
        <f t="shared" si="249"/>
        <v>12</v>
      </c>
      <c r="Z349" s="767">
        <f>'Income Eligble Deemed Table'!BB793</f>
        <v>0.27928929013723736</v>
      </c>
      <c r="AA349" s="2419">
        <f>'Income Eligble Deemed Table'!K793</f>
        <v>7.1</v>
      </c>
      <c r="AB349" s="2416">
        <f t="shared" si="228"/>
        <v>1.8715941104052713</v>
      </c>
      <c r="AC349" s="2416">
        <f t="shared" si="229"/>
        <v>0</v>
      </c>
      <c r="AD349" s="2446">
        <f>'Income Eligble Deemed Table'!BD793</f>
        <v>1.8715941104052713</v>
      </c>
      <c r="AE349" s="2440"/>
      <c r="AF349" s="2440"/>
      <c r="AG349" s="2440"/>
      <c r="AL349" s="2380">
        <f t="shared" si="226"/>
        <v>8.8731800000000003E-5</v>
      </c>
      <c r="AM349">
        <f t="shared" si="248"/>
        <v>4.1171555199999996E-4</v>
      </c>
      <c r="AN349" s="2368">
        <f t="shared" si="227"/>
        <v>-2.8444800000002523E-7</v>
      </c>
    </row>
    <row r="350" spans="1:40" x14ac:dyDescent="0.25">
      <c r="A350" s="2598" t="str">
        <f>'Income Eligble Deemed Table'!C821</f>
        <v>403800_2019_12_</v>
      </c>
      <c r="B350" s="245" t="str">
        <f>'Income Eligble Deemed Table'!G821</f>
        <v>Cooling RES</v>
      </c>
      <c r="C350" s="245" t="str">
        <f>'Income Eligble Deemed Table'!G822</f>
        <v>Heating RES</v>
      </c>
      <c r="D350" s="245"/>
      <c r="E350" s="245"/>
      <c r="F350" s="245" t="str">
        <f>'Income Eligble Deemed Table'!E821</f>
        <v>Setback thermostat - full setback - ASHP heating/cooling MF</v>
      </c>
      <c r="G350" s="745" t="str">
        <f>'Income Eligble Deemed Table'!D821</f>
        <v>MFLI</v>
      </c>
      <c r="H350" s="2420">
        <f t="shared" ref="H350:H361" si="252">J350+K350</f>
        <v>231.76</v>
      </c>
      <c r="I350" s="2420">
        <f t="shared" ref="I350:I361" si="253">L350+M350</f>
        <v>0</v>
      </c>
      <c r="J350" s="2452">
        <f>'Income Eligble Deemed Table'!F821</f>
        <v>201.39</v>
      </c>
      <c r="K350" s="2452">
        <f>'Income Eligble Deemed Table'!F822</f>
        <v>30.37</v>
      </c>
      <c r="L350" s="2452"/>
      <c r="M350" s="2452"/>
      <c r="N350" s="2421">
        <f t="shared" ref="N350:N361" si="254">P350+Q350</f>
        <v>0.190801</v>
      </c>
      <c r="O350" s="2421">
        <f t="shared" ref="O350:O361" si="255">R350+S350</f>
        <v>0</v>
      </c>
      <c r="P350" s="2412">
        <f>'Income Eligble Deemed Table'!I821</f>
        <v>0.190801</v>
      </c>
      <c r="Q350" s="2412">
        <f>'Income Eligble Deemed Table'!I822</f>
        <v>0</v>
      </c>
      <c r="R350" s="2412"/>
      <c r="S350" s="2412"/>
      <c r="T350" s="2413">
        <v>0</v>
      </c>
      <c r="U350" s="2413">
        <f t="shared" ref="U350:U361" si="256">N350</f>
        <v>0.190801</v>
      </c>
      <c r="V350" s="2413">
        <v>0</v>
      </c>
      <c r="W350" s="2460">
        <f>'Income Eligble Deemed Table'!J821</f>
        <v>10</v>
      </c>
      <c r="X350" s="2460"/>
      <c r="Y350" s="94">
        <f t="shared" si="249"/>
        <v>10</v>
      </c>
      <c r="Z350" s="767">
        <f>'Income Eligble Deemed Table'!BB821</f>
        <v>3.247889197228881</v>
      </c>
      <c r="AA350" s="2419">
        <f>'Income Eligble Deemed Table'!K821</f>
        <v>70</v>
      </c>
      <c r="AB350" s="2416">
        <f t="shared" si="228"/>
        <v>214.58446796226679</v>
      </c>
      <c r="AC350" s="2416">
        <f t="shared" si="229"/>
        <v>0</v>
      </c>
      <c r="AD350" s="2446">
        <f>'Income Eligble Deemed Table'!BD821</f>
        <v>206.33184106998681</v>
      </c>
      <c r="AE350" s="2443">
        <f>'Income Eligble Deemed Table'!BD822</f>
        <v>8.2526268922799719</v>
      </c>
      <c r="AF350" s="2440"/>
      <c r="AG350" s="2440"/>
      <c r="AL350" s="2380">
        <f t="shared" si="226"/>
        <v>9.4741810000000004E-4</v>
      </c>
      <c r="AM350" s="145">
        <f t="shared" ref="AM350:AM355" si="257">AL350*J350</f>
        <v>0.190800531159</v>
      </c>
      <c r="AN350" s="2368">
        <f t="shared" si="227"/>
        <v>-4.6884099999533468E-7</v>
      </c>
    </row>
    <row r="351" spans="1:40" x14ac:dyDescent="0.25">
      <c r="A351" s="2598" t="str">
        <f>'Income Eligble Deemed Table'!C823</f>
        <v>403801_2019_12_</v>
      </c>
      <c r="B351" s="245" t="str">
        <f>'Income Eligble Deemed Table'!G823</f>
        <v>Cooling RES</v>
      </c>
      <c r="C351" s="245" t="str">
        <f>'Income Eligble Deemed Table'!G824</f>
        <v>Heating RES</v>
      </c>
      <c r="D351" s="245"/>
      <c r="E351" s="245"/>
      <c r="F351" s="245" t="str">
        <f>'Income Eligble Deemed Table'!E823</f>
        <v>Setback thermostat - full setback - ASHP heating/cooling MF_CompE</v>
      </c>
      <c r="G351" s="745" t="str">
        <f>'Income Eligble Deemed Table'!D823</f>
        <v>MFLIc</v>
      </c>
      <c r="H351" s="2420">
        <f t="shared" si="252"/>
        <v>156.81</v>
      </c>
      <c r="I351" s="2420">
        <f t="shared" si="253"/>
        <v>0</v>
      </c>
      <c r="J351" s="2452">
        <f>'Income Eligble Deemed Table'!F823</f>
        <v>146.46</v>
      </c>
      <c r="K351" s="2452">
        <f>'Income Eligble Deemed Table'!F824</f>
        <v>10.35</v>
      </c>
      <c r="L351" s="2452"/>
      <c r="M351" s="2452"/>
      <c r="N351" s="2421">
        <f t="shared" si="254"/>
        <v>0.13875899999999999</v>
      </c>
      <c r="O351" s="2421">
        <f t="shared" si="255"/>
        <v>0</v>
      </c>
      <c r="P351" s="2412">
        <f>'Income Eligble Deemed Table'!I823</f>
        <v>0.13875899999999999</v>
      </c>
      <c r="Q351" s="2412">
        <f>'Income Eligble Deemed Table'!I824</f>
        <v>0</v>
      </c>
      <c r="R351" s="2412"/>
      <c r="S351" s="2412"/>
      <c r="T351" s="2413">
        <v>0</v>
      </c>
      <c r="U351" s="2413">
        <f t="shared" si="256"/>
        <v>0.13875899999999999</v>
      </c>
      <c r="V351" s="2413">
        <v>0</v>
      </c>
      <c r="W351" s="2460">
        <f>'Income Eligble Deemed Table'!J823</f>
        <v>10</v>
      </c>
      <c r="X351" s="2460"/>
      <c r="Y351" s="94">
        <f t="shared" ref="Y351:Y362" si="258">X351+W351</f>
        <v>10</v>
      </c>
      <c r="Z351" s="767">
        <f>'Income Eligble Deemed Table'!BB823</f>
        <v>2.3137421776505787</v>
      </c>
      <c r="AA351" s="2419">
        <f>'Income Eligble Deemed Table'!K823</f>
        <v>70</v>
      </c>
      <c r="AB351" s="2416">
        <f t="shared" si="228"/>
        <v>152.86640154369087</v>
      </c>
      <c r="AC351" s="2416">
        <f t="shared" si="229"/>
        <v>0</v>
      </c>
      <c r="AD351" s="2446">
        <f>'Income Eligble Deemed Table'!BD823</f>
        <v>150.05393238547231</v>
      </c>
      <c r="AE351" s="2443">
        <f>'Income Eligble Deemed Table'!BD824</f>
        <v>2.812469158218561</v>
      </c>
      <c r="AF351" s="2440"/>
      <c r="AG351" s="2440"/>
      <c r="AL351" s="2380">
        <f t="shared" si="226"/>
        <v>9.4741810000000004E-4</v>
      </c>
      <c r="AM351" s="145">
        <f t="shared" si="257"/>
        <v>0.13875885492600001</v>
      </c>
      <c r="AN351" s="2368">
        <f t="shared" si="227"/>
        <v>-1.4507399997976123E-7</v>
      </c>
    </row>
    <row r="352" spans="1:40" x14ac:dyDescent="0.25">
      <c r="A352" s="2598" t="str">
        <f>'Income Eligble Deemed Table'!C825</f>
        <v>403850_2019_12_</v>
      </c>
      <c r="B352" s="245" t="str">
        <f>'Income Eligble Deemed Table'!G825</f>
        <v>Cooling RES</v>
      </c>
      <c r="C352" s="245" t="str">
        <f>'Income Eligble Deemed Table'!G826</f>
        <v>Heating RES</v>
      </c>
      <c r="D352" s="245"/>
      <c r="E352" s="245"/>
      <c r="F352" s="245" t="str">
        <f>'Income Eligble Deemed Table'!E825</f>
        <v>Setback thermostat - full setback - ASHP heating/cooling SF</v>
      </c>
      <c r="G352" s="745" t="str">
        <f>'Income Eligble Deemed Table'!D825</f>
        <v>SFLI</v>
      </c>
      <c r="H352" s="2420">
        <f t="shared" si="252"/>
        <v>445.58</v>
      </c>
      <c r="I352" s="2420">
        <f t="shared" si="253"/>
        <v>0</v>
      </c>
      <c r="J352" s="2452">
        <f>'Income Eligble Deemed Table'!F825</f>
        <v>358.2</v>
      </c>
      <c r="K352" s="2452">
        <f>'Income Eligble Deemed Table'!F826</f>
        <v>87.38</v>
      </c>
      <c r="L352" s="2452"/>
      <c r="M352" s="2452"/>
      <c r="N352" s="2421">
        <f t="shared" si="254"/>
        <v>0.33936500000000003</v>
      </c>
      <c r="O352" s="2421">
        <f t="shared" si="255"/>
        <v>0</v>
      </c>
      <c r="P352" s="2412">
        <f>'Income Eligble Deemed Table'!I825</f>
        <v>0.33936500000000003</v>
      </c>
      <c r="Q352" s="2412">
        <f>'Income Eligble Deemed Table'!I826</f>
        <v>0</v>
      </c>
      <c r="R352" s="2412"/>
      <c r="S352" s="2412"/>
      <c r="T352" s="2413">
        <v>0</v>
      </c>
      <c r="U352" s="2413">
        <f t="shared" si="256"/>
        <v>0.33936500000000003</v>
      </c>
      <c r="V352" s="2413">
        <v>0</v>
      </c>
      <c r="W352" s="2460">
        <f>'Income Eligble Deemed Table'!J825</f>
        <v>10</v>
      </c>
      <c r="X352" s="2460"/>
      <c r="Y352" s="94">
        <f t="shared" si="258"/>
        <v>10</v>
      </c>
      <c r="Z352" s="767">
        <f>'Income Eligble Deemed Table'!BB825</f>
        <v>5.9140389945491592</v>
      </c>
      <c r="AA352" s="2419">
        <f>'Income Eligble Deemed Table'!K825</f>
        <v>70</v>
      </c>
      <c r="AB352" s="2416">
        <f t="shared" si="228"/>
        <v>390.7340534388307</v>
      </c>
      <c r="AC352" s="2416">
        <f t="shared" si="229"/>
        <v>0</v>
      </c>
      <c r="AD352" s="2446">
        <f>'Income Eligble Deemed Table'!BD825</f>
        <v>366.98974860355167</v>
      </c>
      <c r="AE352" s="2443">
        <f>'Income Eligble Deemed Table'!BD826</f>
        <v>23.744304835279021</v>
      </c>
      <c r="AF352" s="2440"/>
      <c r="AG352" s="2440"/>
      <c r="AL352" s="2380">
        <f t="shared" si="226"/>
        <v>9.4741810000000004E-4</v>
      </c>
      <c r="AM352" s="145">
        <f t="shared" si="257"/>
        <v>0.33936516342</v>
      </c>
      <c r="AN352" s="2368">
        <f t="shared" si="227"/>
        <v>1.6341999997671053E-7</v>
      </c>
    </row>
    <row r="353" spans="1:40" x14ac:dyDescent="0.25">
      <c r="A353" s="2598" t="str">
        <f>'Income Eligble Deemed Table'!C827</f>
        <v>403900_2019_12_</v>
      </c>
      <c r="B353" s="245" t="str">
        <f>'Income Eligble Deemed Table'!G827</f>
        <v>Cooling RES</v>
      </c>
      <c r="C353" s="245" t="str">
        <f>'Income Eligble Deemed Table'!G828</f>
        <v>Heating RES</v>
      </c>
      <c r="D353" s="245"/>
      <c r="E353" s="245"/>
      <c r="F353" s="245" t="str">
        <f>'Income Eligble Deemed Table'!E827</f>
        <v>Setback thermostat - full setback - elec furnace heating / central AC MF</v>
      </c>
      <c r="G353" s="745" t="str">
        <f>'Income Eligble Deemed Table'!D827</f>
        <v>MFLI</v>
      </c>
      <c r="H353" s="2420">
        <f t="shared" si="252"/>
        <v>263.71999999999997</v>
      </c>
      <c r="I353" s="2420">
        <f t="shared" si="253"/>
        <v>0</v>
      </c>
      <c r="J353" s="2452">
        <f>'Income Eligble Deemed Table'!F827</f>
        <v>201.39</v>
      </c>
      <c r="K353" s="2452">
        <f>'Income Eligble Deemed Table'!F828</f>
        <v>62.33</v>
      </c>
      <c r="L353" s="2452"/>
      <c r="M353" s="2452"/>
      <c r="N353" s="2421">
        <f t="shared" si="254"/>
        <v>0.190801</v>
      </c>
      <c r="O353" s="2421">
        <f t="shared" si="255"/>
        <v>0</v>
      </c>
      <c r="P353" s="2412">
        <f>'Income Eligble Deemed Table'!I827</f>
        <v>0.190801</v>
      </c>
      <c r="Q353" s="2412">
        <f>'Income Eligble Deemed Table'!I828</f>
        <v>0</v>
      </c>
      <c r="R353" s="2412"/>
      <c r="S353" s="2412"/>
      <c r="T353" s="2413">
        <v>0</v>
      </c>
      <c r="U353" s="2413">
        <f t="shared" si="256"/>
        <v>0.190801</v>
      </c>
      <c r="V353" s="2413">
        <v>0</v>
      </c>
      <c r="W353" s="2460">
        <f>'Income Eligble Deemed Table'!J827</f>
        <v>10</v>
      </c>
      <c r="X353" s="2460"/>
      <c r="Y353" s="94">
        <f t="shared" si="258"/>
        <v>10</v>
      </c>
      <c r="Z353" s="767">
        <f>'Income Eligble Deemed Table'!BB827</f>
        <v>3.3793381439470549</v>
      </c>
      <c r="AA353" s="2419">
        <f>'Income Eligble Deemed Table'!K827</f>
        <v>70</v>
      </c>
      <c r="AB353" s="2416">
        <f t="shared" si="228"/>
        <v>223.26915533392526</v>
      </c>
      <c r="AC353" s="2416">
        <f t="shared" si="229"/>
        <v>0</v>
      </c>
      <c r="AD353" s="2446">
        <f>'Income Eligble Deemed Table'!BD827</f>
        <v>206.33184106998681</v>
      </c>
      <c r="AE353" s="2443">
        <f>'Income Eligble Deemed Table'!BD828</f>
        <v>16.937314263938447</v>
      </c>
      <c r="AF353" s="2440"/>
      <c r="AG353" s="2440"/>
      <c r="AL353" s="2380">
        <f t="shared" si="226"/>
        <v>9.4741810000000004E-4</v>
      </c>
      <c r="AM353" s="145">
        <f t="shared" si="257"/>
        <v>0.190800531159</v>
      </c>
      <c r="AN353" s="2368">
        <f t="shared" si="227"/>
        <v>-4.6884099999533468E-7</v>
      </c>
    </row>
    <row r="354" spans="1:40" x14ac:dyDescent="0.25">
      <c r="A354" s="2598" t="str">
        <f>'Income Eligble Deemed Table'!C829</f>
        <v>403901_2019_12_</v>
      </c>
      <c r="B354" s="245" t="str">
        <f>'Income Eligble Deemed Table'!G829</f>
        <v>Cooling RES</v>
      </c>
      <c r="C354" s="245" t="str">
        <f>'Income Eligble Deemed Table'!G830</f>
        <v>Heating RES</v>
      </c>
      <c r="D354" s="245"/>
      <c r="E354" s="245"/>
      <c r="F354" s="245" t="str">
        <f>'Income Eligble Deemed Table'!E829</f>
        <v>Setback thermostat - full setback - elec furnace heating / central AC MF_CompE</v>
      </c>
      <c r="G354" s="745" t="str">
        <f>'Income Eligble Deemed Table'!D829</f>
        <v>MFLIc</v>
      </c>
      <c r="H354" s="2420">
        <f t="shared" si="252"/>
        <v>167.71</v>
      </c>
      <c r="I354" s="2420">
        <f t="shared" si="253"/>
        <v>0</v>
      </c>
      <c r="J354" s="2452">
        <f>'Income Eligble Deemed Table'!F829</f>
        <v>146.46</v>
      </c>
      <c r="K354" s="2452">
        <f>'Income Eligble Deemed Table'!F830</f>
        <v>21.25</v>
      </c>
      <c r="L354" s="2452"/>
      <c r="M354" s="2452"/>
      <c r="N354" s="2421">
        <f t="shared" si="254"/>
        <v>0.13875899999999999</v>
      </c>
      <c r="O354" s="2421">
        <f t="shared" si="255"/>
        <v>0</v>
      </c>
      <c r="P354" s="2412">
        <f>'Income Eligble Deemed Table'!I829</f>
        <v>0.13875899999999999</v>
      </c>
      <c r="Q354" s="2412">
        <f>'Income Eligble Deemed Table'!I830</f>
        <v>0</v>
      </c>
      <c r="R354" s="2412"/>
      <c r="S354" s="2412"/>
      <c r="T354" s="2413">
        <v>0</v>
      </c>
      <c r="U354" s="2413">
        <f t="shared" si="256"/>
        <v>0.13875899999999999</v>
      </c>
      <c r="V354" s="2413">
        <v>0</v>
      </c>
      <c r="W354" s="2460">
        <f>'Income Eligble Deemed Table'!J829</f>
        <v>10</v>
      </c>
      <c r="X354" s="2460"/>
      <c r="Y354" s="94">
        <f t="shared" si="258"/>
        <v>10</v>
      </c>
      <c r="Z354" s="767">
        <f>'Income Eligble Deemed Table'!BB829</f>
        <v>2.3585730136714829</v>
      </c>
      <c r="AA354" s="2419">
        <f>'Income Eligble Deemed Table'!K829</f>
        <v>70</v>
      </c>
      <c r="AB354" s="2416">
        <f t="shared" si="228"/>
        <v>155.82832558471333</v>
      </c>
      <c r="AC354" s="2416">
        <f t="shared" si="229"/>
        <v>0</v>
      </c>
      <c r="AD354" s="2446">
        <f>'Income Eligble Deemed Table'!BD829</f>
        <v>150.05393238547231</v>
      </c>
      <c r="AE354" s="2443">
        <f>'Income Eligble Deemed Table'!BD830</f>
        <v>5.7743931992410076</v>
      </c>
      <c r="AF354" s="2440"/>
      <c r="AG354" s="2440"/>
      <c r="AL354" s="2380">
        <f t="shared" si="226"/>
        <v>9.4741810000000004E-4</v>
      </c>
      <c r="AM354" s="145">
        <f t="shared" si="257"/>
        <v>0.13875885492600001</v>
      </c>
      <c r="AN354" s="2368">
        <f t="shared" si="227"/>
        <v>-1.4507399997976123E-7</v>
      </c>
    </row>
    <row r="355" spans="1:40" x14ac:dyDescent="0.25">
      <c r="A355" s="2598" t="str">
        <f>'Income Eligble Deemed Table'!C831</f>
        <v>403950_2019_12_</v>
      </c>
      <c r="B355" s="245" t="str">
        <f>'Income Eligble Deemed Table'!G831</f>
        <v>Cooling RES</v>
      </c>
      <c r="C355" s="245" t="str">
        <f>'Income Eligble Deemed Table'!G832</f>
        <v>Heating RES</v>
      </c>
      <c r="D355" s="245"/>
      <c r="E355" s="245"/>
      <c r="F355" s="245" t="str">
        <f>'Income Eligble Deemed Table'!E831</f>
        <v>Setback thermostat - full setback - elec furnace heating / central AC SF</v>
      </c>
      <c r="G355" s="745" t="str">
        <f>'Income Eligble Deemed Table'!D831</f>
        <v>SFLI</v>
      </c>
      <c r="H355" s="2420">
        <f t="shared" si="252"/>
        <v>506.83</v>
      </c>
      <c r="I355" s="2420">
        <f t="shared" si="253"/>
        <v>0</v>
      </c>
      <c r="J355" s="2452">
        <f>'Income Eligble Deemed Table'!F831</f>
        <v>358.2</v>
      </c>
      <c r="K355" s="2452">
        <f>'Income Eligble Deemed Table'!F832</f>
        <v>148.63</v>
      </c>
      <c r="L355" s="2452"/>
      <c r="M355" s="2452"/>
      <c r="N355" s="2421">
        <f t="shared" si="254"/>
        <v>0.33936500000000003</v>
      </c>
      <c r="O355" s="2421">
        <f t="shared" si="255"/>
        <v>0</v>
      </c>
      <c r="P355" s="2412">
        <f>'Income Eligble Deemed Table'!I831</f>
        <v>0.33936500000000003</v>
      </c>
      <c r="Q355" s="2412">
        <f>'Income Eligble Deemed Table'!I832</f>
        <v>0</v>
      </c>
      <c r="R355" s="2412"/>
      <c r="S355" s="2412"/>
      <c r="T355" s="2413">
        <v>0</v>
      </c>
      <c r="U355" s="2413">
        <f t="shared" si="256"/>
        <v>0.33936500000000003</v>
      </c>
      <c r="V355" s="2413">
        <v>0</v>
      </c>
      <c r="W355" s="2460">
        <f>'Income Eligble Deemed Table'!J831</f>
        <v>10</v>
      </c>
      <c r="X355" s="2460"/>
      <c r="Y355" s="94">
        <f t="shared" si="258"/>
        <v>10</v>
      </c>
      <c r="Z355" s="767">
        <f>'Income Eligble Deemed Table'!BB831</f>
        <v>6.1659553896207528</v>
      </c>
      <c r="AA355" s="2419">
        <f>'Income Eligble Deemed Table'!K831</f>
        <v>70</v>
      </c>
      <c r="AB355" s="2416">
        <f t="shared" si="228"/>
        <v>407.37789266017239</v>
      </c>
      <c r="AC355" s="2416">
        <f t="shared" si="229"/>
        <v>0</v>
      </c>
      <c r="AD355" s="2446">
        <f>'Income Eligble Deemed Table'!BD831</f>
        <v>366.98974860355167</v>
      </c>
      <c r="AE355" s="2443">
        <f>'Income Eligble Deemed Table'!BD832</f>
        <v>40.388144056620746</v>
      </c>
      <c r="AF355" s="2440"/>
      <c r="AG355" s="2440"/>
      <c r="AL355" s="2380">
        <f t="shared" si="226"/>
        <v>9.4741810000000004E-4</v>
      </c>
      <c r="AM355" s="145">
        <f t="shared" si="257"/>
        <v>0.33936516342</v>
      </c>
      <c r="AN355" s="2368">
        <f t="shared" si="227"/>
        <v>1.6341999997671053E-7</v>
      </c>
    </row>
    <row r="356" spans="1:40" x14ac:dyDescent="0.25">
      <c r="A356" s="2598" t="str">
        <f>'Income Eligble Deemed Table'!C833</f>
        <v>404000_2019_12_</v>
      </c>
      <c r="B356" s="245" t="str">
        <f>'Income Eligble Deemed Table'!G833</f>
        <v>Cooling RES</v>
      </c>
      <c r="C356" s="245" t="str">
        <f>'Income Eligble Deemed Table'!G834</f>
        <v>Heating RES</v>
      </c>
      <c r="D356" s="245"/>
      <c r="E356" s="245"/>
      <c r="F356" s="245" t="str">
        <f>'Income Eligble Deemed Table'!E833</f>
        <v>Setback thermostat - full setback - gas heating / central AC MF</v>
      </c>
      <c r="G356" s="745" t="str">
        <f>'Income Eligble Deemed Table'!D833</f>
        <v>MFLI</v>
      </c>
      <c r="H356" s="2420">
        <f t="shared" si="252"/>
        <v>201.38901200000001</v>
      </c>
      <c r="I356" s="2420">
        <f t="shared" si="253"/>
        <v>0</v>
      </c>
      <c r="J356" s="2452">
        <f>'Income Eligble Deemed Table'!F833</f>
        <v>201.38901200000001</v>
      </c>
      <c r="K356" s="2452">
        <f>'Income Eligble Deemed Table'!F834</f>
        <v>0</v>
      </c>
      <c r="L356" s="2452"/>
      <c r="M356" s="2452"/>
      <c r="N356" s="2421">
        <f t="shared" si="254"/>
        <v>0.1908</v>
      </c>
      <c r="O356" s="2421">
        <f t="shared" si="255"/>
        <v>0</v>
      </c>
      <c r="P356" s="2412">
        <f>'Income Eligble Deemed Table'!I833</f>
        <v>0.1908</v>
      </c>
      <c r="Q356" s="2412">
        <f>'Income Eligble Deemed Table'!I834</f>
        <v>0</v>
      </c>
      <c r="R356" s="2412"/>
      <c r="S356" s="2412"/>
      <c r="T356" s="2413">
        <v>0</v>
      </c>
      <c r="U356" s="2413">
        <f t="shared" si="256"/>
        <v>0.1908</v>
      </c>
      <c r="V356" s="2413">
        <v>0</v>
      </c>
      <c r="W356" s="2460">
        <f>'Income Eligble Deemed Table'!J833</f>
        <v>10</v>
      </c>
      <c r="X356" s="2460"/>
      <c r="Y356" s="94">
        <f t="shared" si="258"/>
        <v>10</v>
      </c>
      <c r="Z356" s="767">
        <f>'Income Eligble Deemed Table'!BB833</f>
        <v>3.1229644734417659</v>
      </c>
      <c r="AA356" s="2419">
        <f>'Income Eligble Deemed Table'!K833</f>
        <v>70</v>
      </c>
      <c r="AB356" s="2416">
        <f t="shared" si="228"/>
        <v>206.33082882578913</v>
      </c>
      <c r="AC356" s="2416">
        <f t="shared" si="229"/>
        <v>0</v>
      </c>
      <c r="AD356" s="2446">
        <f>'Income Eligble Deemed Table'!BD833</f>
        <v>206.33082882578913</v>
      </c>
      <c r="AE356" s="2443">
        <f>'Income Eligble Deemed Table'!BD834</f>
        <v>0</v>
      </c>
      <c r="AF356" s="2440"/>
      <c r="AG356" s="2440"/>
      <c r="AL356" s="2380">
        <f t="shared" ref="AL356:AL419" si="259">VLOOKUP(B356,$AR$10:$AS$30,2,FALSE)</f>
        <v>9.4741810000000004E-4</v>
      </c>
      <c r="AM356">
        <f>AL356*H356</f>
        <v>0.1907995951099172</v>
      </c>
      <c r="AN356" s="2368">
        <f t="shared" ref="AN356:AN419" si="260">AM356-N356</f>
        <v>-4.0489008279465111E-7</v>
      </c>
    </row>
    <row r="357" spans="1:40" x14ac:dyDescent="0.25">
      <c r="A357" s="2598" t="str">
        <f>'Income Eligble Deemed Table'!C835</f>
        <v>404001_2019_12_</v>
      </c>
      <c r="B357" s="245" t="str">
        <f>'Income Eligble Deemed Table'!G835</f>
        <v>Cooling RES</v>
      </c>
      <c r="C357" s="245" t="str">
        <f>'Income Eligble Deemed Table'!G836</f>
        <v>Heating RES</v>
      </c>
      <c r="D357" s="245"/>
      <c r="E357" s="245"/>
      <c r="F357" s="245" t="str">
        <f>'Income Eligble Deemed Table'!E835</f>
        <v>Setback thermostat - full setback - gas heating / central AC MF_CompE</v>
      </c>
      <c r="G357" s="745" t="str">
        <f>'Income Eligble Deemed Table'!D835</f>
        <v>MFLIc</v>
      </c>
      <c r="H357" s="2420">
        <f t="shared" si="252"/>
        <v>146.46473600000002</v>
      </c>
      <c r="I357" s="2420">
        <f t="shared" si="253"/>
        <v>0</v>
      </c>
      <c r="J357" s="2452">
        <f>'Income Eligble Deemed Table'!F835</f>
        <v>146.46473600000002</v>
      </c>
      <c r="K357" s="2452">
        <f>'Income Eligble Deemed Table'!F836</f>
        <v>0</v>
      </c>
      <c r="L357" s="2452"/>
      <c r="M357" s="2452"/>
      <c r="N357" s="2421">
        <f t="shared" si="254"/>
        <v>0.138763</v>
      </c>
      <c r="O357" s="2421">
        <f t="shared" si="255"/>
        <v>0</v>
      </c>
      <c r="P357" s="2412">
        <f>'Income Eligble Deemed Table'!I835</f>
        <v>0.138763</v>
      </c>
      <c r="Q357" s="2412">
        <f>'Income Eligble Deemed Table'!I836</f>
        <v>0</v>
      </c>
      <c r="R357" s="2412"/>
      <c r="S357" s="2412"/>
      <c r="T357" s="2413">
        <v>0</v>
      </c>
      <c r="U357" s="2413">
        <f t="shared" si="256"/>
        <v>0.138763</v>
      </c>
      <c r="V357" s="2413">
        <v>0</v>
      </c>
      <c r="W357" s="2460">
        <f>'Income Eligble Deemed Table'!J835</f>
        <v>10</v>
      </c>
      <c r="X357" s="2460"/>
      <c r="Y357" s="94">
        <f t="shared" si="258"/>
        <v>10</v>
      </c>
      <c r="Z357" s="767">
        <f>'Income Eligble Deemed Table'!BB835</f>
        <v>2.2712468897758296</v>
      </c>
      <c r="AA357" s="2419">
        <f>'Income Eligble Deemed Table'!K835</f>
        <v>70</v>
      </c>
      <c r="AB357" s="2416">
        <f t="shared" si="228"/>
        <v>150.05878460057392</v>
      </c>
      <c r="AC357" s="2416">
        <f t="shared" si="229"/>
        <v>0</v>
      </c>
      <c r="AD357" s="2446">
        <f>'Income Eligble Deemed Table'!BD835</f>
        <v>150.05878460057392</v>
      </c>
      <c r="AE357" s="2443">
        <f>'Income Eligble Deemed Table'!BD836</f>
        <v>0</v>
      </c>
      <c r="AF357" s="2440"/>
      <c r="AG357" s="2440"/>
      <c r="AL357" s="2380">
        <f t="shared" si="259"/>
        <v>9.4741810000000004E-4</v>
      </c>
      <c r="AM357">
        <f>AL357*H357</f>
        <v>0.13876334189812162</v>
      </c>
      <c r="AN357" s="2368">
        <f t="shared" si="260"/>
        <v>3.4189812161966593E-7</v>
      </c>
    </row>
    <row r="358" spans="1:40" x14ac:dyDescent="0.25">
      <c r="A358" s="2598" t="str">
        <f>'Income Eligble Deemed Table'!C837</f>
        <v>404050_2019_12_</v>
      </c>
      <c r="B358" s="245" t="str">
        <f>'Income Eligble Deemed Table'!G837</f>
        <v>Cooling RES</v>
      </c>
      <c r="C358" s="245" t="str">
        <f>'Income Eligble Deemed Table'!G838</f>
        <v>Heating RES</v>
      </c>
      <c r="D358" s="245"/>
      <c r="E358" s="245"/>
      <c r="F358" s="245" t="str">
        <f>'Income Eligble Deemed Table'!E837</f>
        <v>Setback thermostat for SF - full setback - gas heating / central AC </v>
      </c>
      <c r="G358" s="745" t="str">
        <f>'Income Eligble Deemed Table'!D837</f>
        <v>SFLI</v>
      </c>
      <c r="H358" s="2420">
        <f t="shared" si="252"/>
        <v>358.2</v>
      </c>
      <c r="I358" s="2420">
        <f t="shared" si="253"/>
        <v>0</v>
      </c>
      <c r="J358" s="2452">
        <f>'Income Eligble Deemed Table'!F837</f>
        <v>358.2</v>
      </c>
      <c r="K358" s="2452">
        <f>'Income Eligble Deemed Table'!F838</f>
        <v>0</v>
      </c>
      <c r="L358" s="2452"/>
      <c r="M358" s="2452"/>
      <c r="N358" s="2421">
        <f t="shared" si="254"/>
        <v>0.33936500000000003</v>
      </c>
      <c r="O358" s="2421">
        <f t="shared" si="255"/>
        <v>0</v>
      </c>
      <c r="P358" s="2412">
        <f>'Income Eligble Deemed Table'!I837</f>
        <v>0.33936500000000003</v>
      </c>
      <c r="Q358" s="2412">
        <f>'Income Eligble Deemed Table'!I838</f>
        <v>0</v>
      </c>
      <c r="R358" s="2412"/>
      <c r="S358" s="2412"/>
      <c r="T358" s="2413">
        <v>0</v>
      </c>
      <c r="U358" s="2413">
        <f t="shared" si="256"/>
        <v>0.33936500000000003</v>
      </c>
      <c r="V358" s="2413">
        <v>0</v>
      </c>
      <c r="W358" s="2460">
        <f>'Income Eligble Deemed Table'!J837</f>
        <v>10</v>
      </c>
      <c r="X358" s="2460"/>
      <c r="Y358" s="94">
        <f t="shared" si="258"/>
        <v>10</v>
      </c>
      <c r="Z358" s="767">
        <f>'Income Eligble Deemed Table'!BB837</f>
        <v>5.5546519806494716</v>
      </c>
      <c r="AA358" s="2419">
        <f>'Income Eligble Deemed Table'!K837</f>
        <v>70</v>
      </c>
      <c r="AB358" s="2416">
        <f t="shared" si="228"/>
        <v>366.98974860355167</v>
      </c>
      <c r="AC358" s="2416">
        <f t="shared" si="229"/>
        <v>0</v>
      </c>
      <c r="AD358" s="2446">
        <f>'Income Eligble Deemed Table'!BD837</f>
        <v>366.98974860355167</v>
      </c>
      <c r="AE358" s="2443">
        <f>'Income Eligble Deemed Table'!BD838</f>
        <v>0</v>
      </c>
      <c r="AF358" s="2440"/>
      <c r="AG358" s="2440"/>
      <c r="AL358" s="2380">
        <f t="shared" si="259"/>
        <v>9.4741810000000004E-4</v>
      </c>
      <c r="AM358">
        <f>AL358*H358</f>
        <v>0.33936516342</v>
      </c>
      <c r="AN358" s="2368">
        <f t="shared" si="260"/>
        <v>1.6341999997671053E-7</v>
      </c>
    </row>
    <row r="359" spans="1:40" x14ac:dyDescent="0.25">
      <c r="A359" s="2598" t="str">
        <f>'Income Eligble Deemed Table'!C839</f>
        <v>404100_2019_12_</v>
      </c>
      <c r="B359" s="245" t="str">
        <f>'Income Eligble Deemed Table'!G839</f>
        <v>Cooling RES</v>
      </c>
      <c r="C359" s="245" t="str">
        <f>'Income Eligble Deemed Table'!G840</f>
        <v>Heating RES</v>
      </c>
      <c r="D359" s="245"/>
      <c r="E359" s="245"/>
      <c r="F359" s="245" t="str">
        <f>'Income Eligble Deemed Table'!E839</f>
        <v>Setback thermostat - full setback - Unknown MF</v>
      </c>
      <c r="G359" s="745" t="str">
        <f>'Income Eligble Deemed Table'!D839</f>
        <v>MFLI</v>
      </c>
      <c r="H359" s="2420">
        <f t="shared" si="252"/>
        <v>216.88</v>
      </c>
      <c r="I359" s="2420">
        <f t="shared" si="253"/>
        <v>0</v>
      </c>
      <c r="J359" s="2452">
        <f>'Income Eligble Deemed Table'!F839</f>
        <v>201.39</v>
      </c>
      <c r="K359" s="2452">
        <f>'Income Eligble Deemed Table'!F840</f>
        <v>15.49</v>
      </c>
      <c r="L359" s="2452"/>
      <c r="M359" s="2452"/>
      <c r="N359" s="2421">
        <f t="shared" si="254"/>
        <v>0.190801</v>
      </c>
      <c r="O359" s="2421">
        <f t="shared" si="255"/>
        <v>0</v>
      </c>
      <c r="P359" s="2412">
        <f>'Income Eligble Deemed Table'!I839</f>
        <v>0.190801</v>
      </c>
      <c r="Q359" s="2412">
        <f>'Income Eligble Deemed Table'!I840</f>
        <v>0</v>
      </c>
      <c r="R359" s="2412"/>
      <c r="S359" s="2412"/>
      <c r="T359" s="2413">
        <v>0</v>
      </c>
      <c r="U359" s="2413">
        <f t="shared" si="256"/>
        <v>0.190801</v>
      </c>
      <c r="V359" s="2413">
        <v>0</v>
      </c>
      <c r="W359" s="2460">
        <f>'Income Eligble Deemed Table'!J839</f>
        <v>10</v>
      </c>
      <c r="X359" s="2460"/>
      <c r="Y359" s="94">
        <f t="shared" si="258"/>
        <v>10</v>
      </c>
      <c r="Z359" s="767">
        <f>'Income Eligble Deemed Table'!BB839</f>
        <v>3.1866889366792432</v>
      </c>
      <c r="AA359" s="2419">
        <f>'Income Eligble Deemed Table'!K839</f>
        <v>70</v>
      </c>
      <c r="AB359" s="2416">
        <f t="shared" si="228"/>
        <v>210.54103404204531</v>
      </c>
      <c r="AC359" s="2416">
        <f t="shared" si="229"/>
        <v>0</v>
      </c>
      <c r="AD359" s="2446">
        <f>'Income Eligble Deemed Table'!BD839</f>
        <v>206.33184106998681</v>
      </c>
      <c r="AE359" s="2443">
        <f>'Income Eligble Deemed Table'!BD840</f>
        <v>4.2091929720585037</v>
      </c>
      <c r="AF359" s="2440"/>
      <c r="AG359" s="2440"/>
      <c r="AL359" s="2380">
        <f t="shared" si="259"/>
        <v>9.4741810000000004E-4</v>
      </c>
      <c r="AM359" s="145">
        <f>AL359*J359</f>
        <v>0.190800531159</v>
      </c>
      <c r="AN359" s="2368">
        <f t="shared" si="260"/>
        <v>-4.6884099999533468E-7</v>
      </c>
    </row>
    <row r="360" spans="1:40" x14ac:dyDescent="0.25">
      <c r="A360" s="2598" t="str">
        <f>'Income Eligble Deemed Table'!C841</f>
        <v>404101_2019_12_</v>
      </c>
      <c r="B360" s="245" t="str">
        <f>'Income Eligble Deemed Table'!G841</f>
        <v>Cooling RES</v>
      </c>
      <c r="C360" s="245" t="str">
        <f>'Income Eligble Deemed Table'!G842</f>
        <v>Heating RES</v>
      </c>
      <c r="D360" s="245"/>
      <c r="E360" s="245"/>
      <c r="F360" s="245" t="str">
        <f>'Income Eligble Deemed Table'!E841</f>
        <v>Setback thermostat - full setback - Unknown MF_CompE</v>
      </c>
      <c r="G360" s="745" t="str">
        <f>'Income Eligble Deemed Table'!D841</f>
        <v>MFLI</v>
      </c>
      <c r="H360" s="2420">
        <f t="shared" si="252"/>
        <v>151.74</v>
      </c>
      <c r="I360" s="2420">
        <f t="shared" si="253"/>
        <v>0</v>
      </c>
      <c r="J360" s="2452">
        <f>'Income Eligble Deemed Table'!F841</f>
        <v>146.46</v>
      </c>
      <c r="K360" s="2452">
        <f>'Income Eligble Deemed Table'!F842</f>
        <v>5.28</v>
      </c>
      <c r="L360" s="2452"/>
      <c r="M360" s="2452"/>
      <c r="N360" s="2421">
        <f t="shared" si="254"/>
        <v>0.13875899999999999</v>
      </c>
      <c r="O360" s="2421">
        <f t="shared" si="255"/>
        <v>0</v>
      </c>
      <c r="P360" s="2412">
        <f>'Income Eligble Deemed Table'!I841</f>
        <v>0.13875899999999999</v>
      </c>
      <c r="Q360" s="2412">
        <f>'Income Eligble Deemed Table'!I842</f>
        <v>0</v>
      </c>
      <c r="R360" s="2412"/>
      <c r="S360" s="2412"/>
      <c r="T360" s="2413">
        <v>0</v>
      </c>
      <c r="U360" s="2413">
        <f t="shared" si="256"/>
        <v>0.13875899999999999</v>
      </c>
      <c r="V360" s="2413">
        <v>0</v>
      </c>
      <c r="W360" s="2460">
        <f>'Income Eligble Deemed Table'!J841</f>
        <v>10</v>
      </c>
      <c r="X360" s="2460"/>
      <c r="Y360" s="94">
        <f t="shared" si="258"/>
        <v>10</v>
      </c>
      <c r="Z360" s="767">
        <f>'Income Eligble Deemed Table'!BB841</f>
        <v>2.2928896695197545</v>
      </c>
      <c r="AA360" s="2419">
        <f>'Income Eligble Deemed Table'!K841</f>
        <v>70</v>
      </c>
      <c r="AB360" s="2416">
        <f t="shared" si="228"/>
        <v>151.48869926038961</v>
      </c>
      <c r="AC360" s="2416">
        <f t="shared" si="229"/>
        <v>0</v>
      </c>
      <c r="AD360" s="2446">
        <f>'Income Eligble Deemed Table'!BD841</f>
        <v>150.05393238547231</v>
      </c>
      <c r="AE360" s="2443">
        <f>'Income Eligble Deemed Table'!BD842</f>
        <v>1.434766874917295</v>
      </c>
      <c r="AF360" s="2440"/>
      <c r="AG360" s="2440"/>
      <c r="AL360" s="2380">
        <f t="shared" si="259"/>
        <v>9.4741810000000004E-4</v>
      </c>
      <c r="AM360" s="145">
        <f>AL360*J360</f>
        <v>0.13875885492600001</v>
      </c>
      <c r="AN360" s="2368">
        <f t="shared" si="260"/>
        <v>-1.4507399997976123E-7</v>
      </c>
    </row>
    <row r="361" spans="1:40" x14ac:dyDescent="0.25">
      <c r="A361" s="2598" t="str">
        <f>'Income Eligble Deemed Table'!C843</f>
        <v>404150_2019_12_</v>
      </c>
      <c r="B361" s="245" t="str">
        <f>'Income Eligble Deemed Table'!G843</f>
        <v>Cooling RES</v>
      </c>
      <c r="C361" s="245" t="str">
        <f>'Income Eligble Deemed Table'!G844</f>
        <v>Heating RES</v>
      </c>
      <c r="D361" s="245"/>
      <c r="E361" s="245"/>
      <c r="F361" s="245" t="str">
        <f>'Income Eligble Deemed Table'!E843</f>
        <v>Setback thermostat for SF - full setback - Unknown</v>
      </c>
      <c r="G361" s="745" t="str">
        <f>'Income Eligble Deemed Table'!D843</f>
        <v>SFLI</v>
      </c>
      <c r="H361" s="2420">
        <f t="shared" si="252"/>
        <v>390.53</v>
      </c>
      <c r="I361" s="2420">
        <f t="shared" si="253"/>
        <v>0</v>
      </c>
      <c r="J361" s="2452">
        <f>'Income Eligble Deemed Table'!F843</f>
        <v>358.2</v>
      </c>
      <c r="K361" s="2452">
        <f>'Income Eligble Deemed Table'!F844</f>
        <v>32.33</v>
      </c>
      <c r="L361" s="2452"/>
      <c r="M361" s="2452"/>
      <c r="N361" s="2421">
        <f t="shared" si="254"/>
        <v>0.33936500000000003</v>
      </c>
      <c r="O361" s="2421">
        <f t="shared" si="255"/>
        <v>0</v>
      </c>
      <c r="P361" s="2412">
        <f>'Income Eligble Deemed Table'!I843</f>
        <v>0.33936500000000003</v>
      </c>
      <c r="Q361" s="2412">
        <f>'Income Eligble Deemed Table'!I844</f>
        <v>0</v>
      </c>
      <c r="R361" s="2412"/>
      <c r="S361" s="2412"/>
      <c r="T361" s="2413">
        <v>0</v>
      </c>
      <c r="U361" s="2413">
        <f t="shared" si="256"/>
        <v>0.33936500000000003</v>
      </c>
      <c r="V361" s="2413">
        <v>0</v>
      </c>
      <c r="W361" s="2460">
        <f>'Income Eligble Deemed Table'!J843</f>
        <v>10</v>
      </c>
      <c r="X361" s="2460"/>
      <c r="Y361" s="94">
        <f t="shared" si="258"/>
        <v>10</v>
      </c>
      <c r="Z361" s="767">
        <f>'Income Eligble Deemed Table'!BB843</f>
        <v>5.6876227080399149</v>
      </c>
      <c r="AA361" s="2419">
        <f>'Income Eligble Deemed Table'!K843</f>
        <v>70</v>
      </c>
      <c r="AB361" s="2416">
        <f t="shared" si="228"/>
        <v>375.77497835091458</v>
      </c>
      <c r="AC361" s="2416">
        <f t="shared" si="229"/>
        <v>0</v>
      </c>
      <c r="AD361" s="2446">
        <f>'Income Eligble Deemed Table'!BD843</f>
        <v>366.98974860355167</v>
      </c>
      <c r="AE361" s="2443">
        <f>'Income Eligble Deemed Table'!BD844</f>
        <v>8.7852297473629068</v>
      </c>
      <c r="AF361" s="2440"/>
      <c r="AG361" s="2440"/>
      <c r="AL361" s="2380">
        <f t="shared" si="259"/>
        <v>9.4741810000000004E-4</v>
      </c>
      <c r="AM361" s="145">
        <f>AL361*J361</f>
        <v>0.33936516342</v>
      </c>
      <c r="AN361" s="2368">
        <f t="shared" si="260"/>
        <v>1.6341999997671053E-7</v>
      </c>
    </row>
    <row r="362" spans="1:40" x14ac:dyDescent="0.25">
      <c r="A362" s="2598" t="str">
        <f>'Income Eligble Deemed Table'!C906</f>
        <v>404200_2019_12_</v>
      </c>
      <c r="B362" s="245" t="str">
        <f>'Income Eligble Deemed Table'!G906</f>
        <v>Water heating RES</v>
      </c>
      <c r="C362" s="245"/>
      <c r="D362" s="245"/>
      <c r="E362" s="245"/>
      <c r="F362" s="245" t="str">
        <f>'Income Eligble Deemed Table'!E906</f>
        <v>Shower Start 1.5 gpm electric water heater SFLI DI</v>
      </c>
      <c r="G362" s="745" t="str">
        <f>'Income Eligble Deemed Table'!D906</f>
        <v>SFLI DI</v>
      </c>
      <c r="H362" s="2410">
        <f>'Income Eligble Deemed Table'!F906</f>
        <v>41.68</v>
      </c>
      <c r="I362" s="2410"/>
      <c r="J362" s="2452"/>
      <c r="K362" s="2452"/>
      <c r="L362" s="2452"/>
      <c r="M362" s="2452"/>
      <c r="N362" s="2411">
        <f>'Income Eligble Deemed Table'!J906</f>
        <v>3.6979999999999999E-3</v>
      </c>
      <c r="O362" s="2411"/>
      <c r="P362" s="2412"/>
      <c r="Q362" s="2412"/>
      <c r="R362" s="2412"/>
      <c r="S362" s="2412"/>
      <c r="T362" s="2413">
        <v>0</v>
      </c>
      <c r="U362" s="2413">
        <f t="shared" ref="U362:U363" si="261">N362</f>
        <v>3.6979999999999999E-3</v>
      </c>
      <c r="V362" s="2413">
        <v>0</v>
      </c>
      <c r="W362" s="2460">
        <f>'Income Eligble Deemed Table'!K906</f>
        <v>10</v>
      </c>
      <c r="X362" s="2460"/>
      <c r="Y362" s="94">
        <f t="shared" si="258"/>
        <v>10</v>
      </c>
      <c r="Z362" s="767">
        <f>'Income Eligble Deemed Table'!BB906</f>
        <v>0.29788668889907871</v>
      </c>
      <c r="AA362" s="2419">
        <f>'Income Eligble Deemed Table'!L906</f>
        <v>50</v>
      </c>
      <c r="AB362" s="2416">
        <f t="shared" si="228"/>
        <v>14.057889990518106</v>
      </c>
      <c r="AC362" s="2416">
        <f t="shared" si="229"/>
        <v>0</v>
      </c>
      <c r="AD362" s="2446">
        <f>'Income Eligble Deemed Table'!BD906</f>
        <v>14.057889990518106</v>
      </c>
      <c r="AE362" s="2440"/>
      <c r="AF362" s="2440"/>
      <c r="AG362" s="2440"/>
      <c r="AL362" s="2380">
        <f t="shared" si="259"/>
        <v>8.8731800000000003E-5</v>
      </c>
      <c r="AM362">
        <f t="shared" ref="AM362:AM393" si="262">AL362*H362</f>
        <v>3.698341424E-3</v>
      </c>
      <c r="AN362" s="2368">
        <f t="shared" si="260"/>
        <v>3.4142400000009704E-7</v>
      </c>
    </row>
    <row r="363" spans="1:40" x14ac:dyDescent="0.25">
      <c r="A363" s="2598" t="str">
        <f>'Income Eligble Deemed Table'!C907</f>
        <v>404250_2019_12_</v>
      </c>
      <c r="B363" s="245" t="str">
        <f>'Income Eligble Deemed Table'!G907</f>
        <v>Water heating RES</v>
      </c>
      <c r="C363" s="245"/>
      <c r="D363" s="245"/>
      <c r="E363" s="245"/>
      <c r="F363" s="245" t="str">
        <f>'Income Eligble Deemed Table'!E907</f>
        <v>Shower Start 1.5 gpm electric water heater MFLI DI</v>
      </c>
      <c r="G363" s="745" t="str">
        <f>'Income Eligble Deemed Table'!D907</f>
        <v>MFLI DI</v>
      </c>
      <c r="H363" s="2410">
        <f>'Income Eligble Deemed Table'!F907</f>
        <v>47.32</v>
      </c>
      <c r="I363" s="2410"/>
      <c r="J363" s="2452"/>
      <c r="K363" s="2452"/>
      <c r="L363" s="2452"/>
      <c r="M363" s="2452"/>
      <c r="N363" s="2411">
        <f>'Income Eligble Deemed Table'!J907</f>
        <v>4.1989999999999996E-3</v>
      </c>
      <c r="O363" s="2411"/>
      <c r="P363" s="2412"/>
      <c r="Q363" s="2412"/>
      <c r="R363" s="2412"/>
      <c r="S363" s="2412"/>
      <c r="T363" s="2413">
        <v>0</v>
      </c>
      <c r="U363" s="2413">
        <f t="shared" si="261"/>
        <v>4.1989999999999996E-3</v>
      </c>
      <c r="V363" s="2413">
        <v>0</v>
      </c>
      <c r="W363" s="2460">
        <f>'Income Eligble Deemed Table'!K907</f>
        <v>10</v>
      </c>
      <c r="X363" s="2460"/>
      <c r="Y363" s="94">
        <f t="shared" ref="Y363:Y387" si="263">X363+W363</f>
        <v>10</v>
      </c>
      <c r="Z363" s="767">
        <f>'Income Eligble Deemed Table'!BB907</f>
        <v>0.33819573221459703</v>
      </c>
      <c r="AA363" s="2419">
        <f>'Income Eligble Deemed Table'!L907</f>
        <v>50</v>
      </c>
      <c r="AB363" s="2416">
        <f t="shared" si="228"/>
        <v>15.960157254110287</v>
      </c>
      <c r="AC363" s="2416">
        <f t="shared" si="229"/>
        <v>0</v>
      </c>
      <c r="AD363" s="2446">
        <f>'Income Eligble Deemed Table'!BD907</f>
        <v>15.960157254110287</v>
      </c>
      <c r="AE363" s="2440"/>
      <c r="AF363" s="2440"/>
      <c r="AG363" s="2440"/>
      <c r="AL363" s="2380">
        <f t="shared" si="259"/>
        <v>8.8731800000000003E-5</v>
      </c>
      <c r="AM363">
        <f t="shared" si="262"/>
        <v>4.1987887760000005E-3</v>
      </c>
      <c r="AN363" s="2368">
        <f t="shared" si="260"/>
        <v>-2.1122399999906616E-7</v>
      </c>
    </row>
    <row r="364" spans="1:40" x14ac:dyDescent="0.25">
      <c r="A364" s="2598" t="str">
        <f>'Income Eligble Deemed Table'!C941</f>
        <v>404300_2019_12_</v>
      </c>
      <c r="B364" s="245" t="str">
        <f>'Income Eligble Deemed Table'!G941</f>
        <v>Water heating RES</v>
      </c>
      <c r="C364" s="245"/>
      <c r="D364" s="245"/>
      <c r="E364" s="245"/>
      <c r="F364" s="245" t="str">
        <f>'Income Eligble Deemed Table'!E941</f>
        <v>Water Heater Wrap SFLI</v>
      </c>
      <c r="G364" s="745" t="str">
        <f>'Income Eligble Deemed Table'!D941</f>
        <v>SFLI</v>
      </c>
      <c r="H364" s="2410">
        <f>'Income Eligble Deemed Table'!F941</f>
        <v>100.55</v>
      </c>
      <c r="I364" s="2410"/>
      <c r="J364" s="2452"/>
      <c r="K364" s="2452"/>
      <c r="L364" s="2452"/>
      <c r="M364" s="2452"/>
      <c r="N364" s="2411">
        <f>'Income Eligble Deemed Table'!I941</f>
        <v>8.9219999999999994E-3</v>
      </c>
      <c r="O364" s="2411"/>
      <c r="P364" s="2412"/>
      <c r="Q364" s="2412"/>
      <c r="R364" s="2412"/>
      <c r="S364" s="2412"/>
      <c r="T364" s="2413">
        <v>0</v>
      </c>
      <c r="U364" s="2413">
        <f t="shared" ref="U364" si="264">N364</f>
        <v>8.9219999999999994E-3</v>
      </c>
      <c r="V364" s="2413">
        <v>0</v>
      </c>
      <c r="W364" s="2460">
        <f>'Income Eligble Deemed Table'!J941</f>
        <v>12</v>
      </c>
      <c r="X364" s="2460"/>
      <c r="Y364" s="94">
        <f t="shared" si="263"/>
        <v>12</v>
      </c>
      <c r="Z364" s="767">
        <f>'Income Eligble Deemed Table'!BB941</f>
        <v>0.74088146802699328</v>
      </c>
      <c r="AA364" s="2419">
        <f>'Income Eligble Deemed Table'!K941</f>
        <v>58</v>
      </c>
      <c r="AB364" s="2416">
        <f t="shared" si="228"/>
        <v>40.557928405441821</v>
      </c>
      <c r="AC364" s="2416">
        <f t="shared" si="229"/>
        <v>0</v>
      </c>
      <c r="AD364" s="2446">
        <f>'Income Eligble Deemed Table'!BD941</f>
        <v>40.557928405441821</v>
      </c>
      <c r="AE364" s="2440"/>
      <c r="AF364" s="2440"/>
      <c r="AG364" s="2440"/>
      <c r="AL364" s="2380">
        <f t="shared" si="259"/>
        <v>8.8731800000000003E-5</v>
      </c>
      <c r="AM364">
        <f t="shared" si="262"/>
        <v>8.9219824900000008E-3</v>
      </c>
      <c r="AN364" s="2368">
        <f t="shared" si="260"/>
        <v>-1.750999999855507E-8</v>
      </c>
    </row>
    <row r="365" spans="1:40" x14ac:dyDescent="0.25">
      <c r="A365" s="2598" t="str">
        <f>'Income Eligble Deemed Table'!C967</f>
        <v>404350_2019_12_</v>
      </c>
      <c r="B365" s="245" t="str">
        <f>'Income Eligble Deemed Table'!G967</f>
        <v>Water heating RES</v>
      </c>
      <c r="C365" s="245"/>
      <c r="D365" s="245"/>
      <c r="E365" s="245"/>
      <c r="F365" s="245" t="str">
        <f>'Income Eligble Deemed Table'!E967</f>
        <v>Common Area Low Flow Bathroom Faucet Aerator</v>
      </c>
      <c r="G365" s="745" t="str">
        <f>'Income Eligble Deemed Table'!D967</f>
        <v>MFLI</v>
      </c>
      <c r="H365" s="2410">
        <f>'Income Eligble Deemed Table'!F967</f>
        <v>28.4</v>
      </c>
      <c r="I365" s="2410"/>
      <c r="J365" s="2452"/>
      <c r="K365" s="2452"/>
      <c r="L365" s="2452"/>
      <c r="M365" s="2452"/>
      <c r="N365" s="2411">
        <f>'Income Eligble Deemed Table'!J967</f>
        <v>2.5200000000000001E-3</v>
      </c>
      <c r="O365" s="2411"/>
      <c r="P365" s="2412"/>
      <c r="Q365" s="2412"/>
      <c r="R365" s="2412"/>
      <c r="S365" s="2412"/>
      <c r="T365" s="2413">
        <v>0</v>
      </c>
      <c r="U365" s="2413">
        <f t="shared" ref="U365" si="265">N365</f>
        <v>2.5200000000000001E-3</v>
      </c>
      <c r="V365" s="2413">
        <v>0</v>
      </c>
      <c r="W365" s="2460">
        <f>'Income Eligble Deemed Table'!K967</f>
        <v>10</v>
      </c>
      <c r="X365" s="2460"/>
      <c r="Y365" s="94">
        <f t="shared" si="263"/>
        <v>10</v>
      </c>
      <c r="Z365" s="767">
        <f>'Income Eligble Deemed Table'!BB967</f>
        <v>0.89573969671987408</v>
      </c>
      <c r="AA365" s="2419">
        <f>'Income Eligble Deemed Table'!L967</f>
        <v>11.33</v>
      </c>
      <c r="AB365" s="2416">
        <f t="shared" si="228"/>
        <v>9.5787926039038904</v>
      </c>
      <c r="AC365" s="2416">
        <f t="shared" si="229"/>
        <v>0</v>
      </c>
      <c r="AD365" s="2446">
        <f>'Income Eligble Deemed Table'!BD967</f>
        <v>9.5787926039038904</v>
      </c>
      <c r="AE365" s="2440"/>
      <c r="AF365" s="2440"/>
      <c r="AG365" s="2440"/>
      <c r="AL365" s="2380">
        <f t="shared" si="259"/>
        <v>8.8731800000000003E-5</v>
      </c>
      <c r="AM365">
        <f t="shared" si="262"/>
        <v>2.5199831199999999E-3</v>
      </c>
      <c r="AN365" s="2368">
        <f t="shared" si="260"/>
        <v>-1.6880000000205064E-8</v>
      </c>
    </row>
    <row r="366" spans="1:40" x14ac:dyDescent="0.25">
      <c r="A366" s="2598" t="str">
        <f>'Income Eligble Deemed Table'!C998</f>
        <v>404400_2019_12_</v>
      </c>
      <c r="B366" s="245" t="str">
        <f>'Income Eligble Deemed Table'!G998</f>
        <v>Water heating RES</v>
      </c>
      <c r="C366" s="245"/>
      <c r="D366" s="245"/>
      <c r="E366" s="245"/>
      <c r="F366" s="245" t="str">
        <f>'Income Eligble Deemed Table'!E998</f>
        <v>Common Area Low Flow Showerhead</v>
      </c>
      <c r="G366" s="745" t="str">
        <f>'Income Eligble Deemed Table'!D998</f>
        <v>MFLI DI</v>
      </c>
      <c r="H366" s="2410">
        <f>'Income Eligble Deemed Table'!F998</f>
        <v>213.29</v>
      </c>
      <c r="I366" s="2410"/>
      <c r="J366" s="2452"/>
      <c r="K366" s="2452"/>
      <c r="L366" s="2452"/>
      <c r="M366" s="2452"/>
      <c r="N366" s="2411">
        <f>'Income Eligble Deemed Table'!J998</f>
        <v>1.8925999999999998E-2</v>
      </c>
      <c r="O366" s="2411"/>
      <c r="P366" s="2412"/>
      <c r="Q366" s="2412"/>
      <c r="R366" s="2412"/>
      <c r="S366" s="2412"/>
      <c r="T366" s="2413">
        <v>0</v>
      </c>
      <c r="U366" s="2413">
        <f t="shared" ref="U366" si="266">N366</f>
        <v>1.8925999999999998E-2</v>
      </c>
      <c r="V366" s="2413">
        <v>0</v>
      </c>
      <c r="W366" s="2460">
        <f>'Income Eligble Deemed Table'!K998</f>
        <v>10</v>
      </c>
      <c r="X366" s="2460"/>
      <c r="Y366" s="94">
        <f t="shared" si="263"/>
        <v>10</v>
      </c>
      <c r="Z366" s="767">
        <f>'Income Eligble Deemed Table'!BB998</f>
        <v>10.888444590636908</v>
      </c>
      <c r="AA366" s="2419">
        <f>'Income Eligble Deemed Table'!L998</f>
        <v>7</v>
      </c>
      <c r="AB366" s="2416">
        <f t="shared" si="228"/>
        <v>71.938756143896512</v>
      </c>
      <c r="AC366" s="2416">
        <f t="shared" si="229"/>
        <v>0</v>
      </c>
      <c r="AD366" s="2446">
        <f>'Income Eligble Deemed Table'!BD998</f>
        <v>71.938756143896512</v>
      </c>
      <c r="AE366" s="2440"/>
      <c r="AF366" s="2440"/>
      <c r="AG366" s="2440"/>
      <c r="AL366" s="2380">
        <f t="shared" si="259"/>
        <v>8.8731800000000003E-5</v>
      </c>
      <c r="AM366">
        <f t="shared" si="262"/>
        <v>1.8925605621999998E-2</v>
      </c>
      <c r="AN366" s="2368">
        <f t="shared" si="260"/>
        <v>-3.9437800000013956E-7</v>
      </c>
    </row>
    <row r="367" spans="1:40" x14ac:dyDescent="0.25">
      <c r="A367" s="2598" t="str">
        <f>'Income Eligble Deemed Table'!C1032</f>
        <v>404450_2019_12_</v>
      </c>
      <c r="B367" s="245" t="str">
        <f>'Income Eligble Deemed Table'!G1032</f>
        <v>Lighting RES</v>
      </c>
      <c r="C367" s="245"/>
      <c r="D367" s="245"/>
      <c r="E367" s="245"/>
      <c r="F367" s="245" t="str">
        <f>'Income Eligble Deemed Table'!E1032</f>
        <v>LED - 10.5W Downlight E26 (EISA baseline) LI DI</v>
      </c>
      <c r="G367" s="745" t="str">
        <f>'Income Eligble Deemed Table'!D1032</f>
        <v>SFLI / MFLI</v>
      </c>
      <c r="H367" s="2410">
        <f>'Income Eligble Deemed Table'!F1032</f>
        <v>23.59</v>
      </c>
      <c r="I367" s="2410"/>
      <c r="J367" s="2452"/>
      <c r="K367" s="2452"/>
      <c r="L367" s="2452"/>
      <c r="M367" s="2452"/>
      <c r="N367" s="2411">
        <f>'Income Eligble Deemed Table'!M1032</f>
        <v>3.5209999999999998E-3</v>
      </c>
      <c r="O367" s="2411"/>
      <c r="P367" s="2412"/>
      <c r="Q367" s="2412"/>
      <c r="R367" s="2412"/>
      <c r="S367" s="2412"/>
      <c r="T367" s="2413"/>
      <c r="U367" s="2413"/>
      <c r="V367" s="2413">
        <f t="shared" ref="V367" si="267">N367</f>
        <v>3.5209999999999998E-3</v>
      </c>
      <c r="W367" s="2460">
        <f>'Income Eligble Deemed Table'!N1032</f>
        <v>19</v>
      </c>
      <c r="X367" s="2460"/>
      <c r="Y367" s="94">
        <f t="shared" si="263"/>
        <v>19</v>
      </c>
      <c r="Z367" s="767">
        <f>'Income Eligble Deemed Table'!BB1032</f>
        <v>2.440174293837051</v>
      </c>
      <c r="AA367" s="2419">
        <f>'Income Eligble Deemed Table'!P1032</f>
        <v>6</v>
      </c>
      <c r="AB367" s="2416">
        <f t="shared" si="228"/>
        <v>13.818825637585942</v>
      </c>
      <c r="AC367" s="2416">
        <f t="shared" si="229"/>
        <v>0</v>
      </c>
      <c r="AD367" s="2446">
        <f>'Income Eligble Deemed Table'!BD1032</f>
        <v>13.818825637585942</v>
      </c>
      <c r="AE367" s="2440"/>
      <c r="AF367" s="2440"/>
      <c r="AG367" s="2440"/>
      <c r="AL367" s="2380">
        <f t="shared" si="259"/>
        <v>1.4925290000000001E-4</v>
      </c>
      <c r="AM367">
        <f t="shared" si="262"/>
        <v>3.5208759110000004E-3</v>
      </c>
      <c r="AN367" s="2368">
        <f t="shared" si="260"/>
        <v>-1.2408899999942838E-7</v>
      </c>
    </row>
    <row r="368" spans="1:40" x14ac:dyDescent="0.25">
      <c r="A368" s="2598" t="str">
        <f>'Income Eligble Deemed Table'!C1033</f>
        <v>404500_2019_12_</v>
      </c>
      <c r="B368" s="245" t="str">
        <f>'Income Eligble Deemed Table'!G1033</f>
        <v>Lighting RES</v>
      </c>
      <c r="C368" s="245"/>
      <c r="D368" s="245"/>
      <c r="E368" s="245"/>
      <c r="F368" s="245" t="str">
        <f>'Income Eligble Deemed Table'!E1033</f>
        <v>LED - 10W (Halogen baseline) LIDI</v>
      </c>
      <c r="G368" s="745" t="str">
        <f>'Income Eligble Deemed Table'!D1033</f>
        <v>SFLI / MFLI</v>
      </c>
      <c r="H368" s="2410">
        <f>'Income Eligble Deemed Table'!F1033</f>
        <v>21.12</v>
      </c>
      <c r="I368" s="2410"/>
      <c r="J368" s="2452"/>
      <c r="K368" s="2452"/>
      <c r="L368" s="2452"/>
      <c r="M368" s="2452"/>
      <c r="N368" s="2411">
        <f>'Income Eligble Deemed Table'!M1033</f>
        <v>3.1519999999999999E-3</v>
      </c>
      <c r="O368" s="2411"/>
      <c r="P368" s="2412"/>
      <c r="Q368" s="2412"/>
      <c r="R368" s="2412"/>
      <c r="S368" s="2412"/>
      <c r="T368" s="2413"/>
      <c r="U368" s="2413"/>
      <c r="V368" s="2413">
        <f t="shared" ref="V368:V386" si="268">N368</f>
        <v>3.1519999999999999E-3</v>
      </c>
      <c r="W368" s="2460">
        <f>'Income Eligble Deemed Table'!N1033</f>
        <v>19</v>
      </c>
      <c r="X368" s="2460"/>
      <c r="Y368" s="94">
        <f t="shared" si="263"/>
        <v>19</v>
      </c>
      <c r="Z368" s="767">
        <f>'Income Eligble Deemed Table'!BB1033</f>
        <v>2.1846749082593688</v>
      </c>
      <c r="AA368" s="2419">
        <f>'Income Eligble Deemed Table'!P1033</f>
        <v>6</v>
      </c>
      <c r="AB368" s="2416">
        <f t="shared" ref="AB368:AB431" si="269">AD368+AE368</f>
        <v>12.371920197787837</v>
      </c>
      <c r="AC368" s="2416">
        <f t="shared" ref="AC368:AC431" si="270">AF368+AG368</f>
        <v>0</v>
      </c>
      <c r="AD368" s="2446">
        <f>'Income Eligble Deemed Table'!BD1033</f>
        <v>12.371920197787837</v>
      </c>
      <c r="AE368" s="2440"/>
      <c r="AF368" s="2440"/>
      <c r="AG368" s="2440"/>
      <c r="AL368" s="2380">
        <f t="shared" si="259"/>
        <v>1.4925290000000001E-4</v>
      </c>
      <c r="AM368">
        <f t="shared" si="262"/>
        <v>3.1522212480000005E-3</v>
      </c>
      <c r="AN368" s="2368">
        <f t="shared" si="260"/>
        <v>2.2124800000064559E-7</v>
      </c>
    </row>
    <row r="369" spans="1:40" x14ac:dyDescent="0.25">
      <c r="A369" s="2598" t="str">
        <f>'Income Eligble Deemed Table'!C1034</f>
        <v>404550_2019_12_</v>
      </c>
      <c r="B369" s="245" t="str">
        <f>'Income Eligble Deemed Table'!G1034</f>
        <v>Lighting RES</v>
      </c>
      <c r="C369" s="245"/>
      <c r="D369" s="245"/>
      <c r="E369" s="245"/>
      <c r="F369" s="245" t="str">
        <f>'Income Eligble Deemed Table'!E1034</f>
        <v>LED - 12W (Halogen baseline) LI DI</v>
      </c>
      <c r="G369" s="745" t="str">
        <f>'Income Eligble Deemed Table'!D1034</f>
        <v>SFLI / MFLI</v>
      </c>
      <c r="H369" s="2410">
        <f>'Income Eligble Deemed Table'!F1034</f>
        <v>22.95</v>
      </c>
      <c r="I369" s="2410"/>
      <c r="J369" s="2452"/>
      <c r="K369" s="2452"/>
      <c r="L369" s="2452"/>
      <c r="M369" s="2452"/>
      <c r="N369" s="2411">
        <f>'Income Eligble Deemed Table'!M1034</f>
        <v>3.4250000000000001E-3</v>
      </c>
      <c r="O369" s="2411"/>
      <c r="P369" s="2412"/>
      <c r="Q369" s="2412"/>
      <c r="R369" s="2412"/>
      <c r="S369" s="2412"/>
      <c r="T369" s="2413"/>
      <c r="U369" s="2413"/>
      <c r="V369" s="2413">
        <f t="shared" si="268"/>
        <v>3.4250000000000001E-3</v>
      </c>
      <c r="W369" s="2460">
        <f>'Income Eligble Deemed Table'!N1034</f>
        <v>19</v>
      </c>
      <c r="X369" s="2460"/>
      <c r="Y369" s="94">
        <f t="shared" si="263"/>
        <v>19</v>
      </c>
      <c r="Z369" s="767">
        <f>'Income Eligble Deemed Table'!BB1034</f>
        <v>2.3739720238897974</v>
      </c>
      <c r="AA369" s="2419">
        <f>'Income Eligble Deemed Table'!P1034</f>
        <v>6</v>
      </c>
      <c r="AB369" s="2416">
        <f t="shared" si="269"/>
        <v>13.443918964925704</v>
      </c>
      <c r="AC369" s="2416">
        <f t="shared" si="270"/>
        <v>0</v>
      </c>
      <c r="AD369" s="2446">
        <f>'Income Eligble Deemed Table'!BD1034</f>
        <v>13.443918964925704</v>
      </c>
      <c r="AE369" s="2440"/>
      <c r="AF369" s="2440"/>
      <c r="AG369" s="2440"/>
      <c r="AL369" s="2380">
        <f t="shared" si="259"/>
        <v>1.4925290000000001E-4</v>
      </c>
      <c r="AM369">
        <f t="shared" si="262"/>
        <v>3.425354055E-3</v>
      </c>
      <c r="AN369" s="2368">
        <f t="shared" si="260"/>
        <v>3.5405499999993303E-7</v>
      </c>
    </row>
    <row r="370" spans="1:40" x14ac:dyDescent="0.25">
      <c r="A370" s="2598" t="str">
        <f>'Income Eligble Deemed Table'!C1035</f>
        <v>404600_2019_12_</v>
      </c>
      <c r="B370" s="245" t="str">
        <f>'Income Eligble Deemed Table'!G1035</f>
        <v>Lighting RES</v>
      </c>
      <c r="C370" s="245"/>
      <c r="D370" s="245"/>
      <c r="E370" s="245"/>
      <c r="F370" s="245" t="str">
        <f>'Income Eligble Deemed Table'!E1035</f>
        <v>LED - 12W Dimmable Light Bulb (Replacing Specialty Incandescent) LI DI</v>
      </c>
      <c r="G370" s="745" t="str">
        <f>'Income Eligble Deemed Table'!D1035</f>
        <v>SFLI / MFLI</v>
      </c>
      <c r="H370" s="2410">
        <f>'Income Eligble Deemed Table'!F1035</f>
        <v>27.52</v>
      </c>
      <c r="I370" s="2410"/>
      <c r="J370" s="2452"/>
      <c r="K370" s="2452"/>
      <c r="L370" s="2452"/>
      <c r="M370" s="2452"/>
      <c r="N370" s="2411">
        <f>'Income Eligble Deemed Table'!M1035</f>
        <v>4.1079999999999997E-3</v>
      </c>
      <c r="O370" s="2411"/>
      <c r="P370" s="2412"/>
      <c r="Q370" s="2412"/>
      <c r="R370" s="2412"/>
      <c r="S370" s="2412"/>
      <c r="T370" s="2413"/>
      <c r="U370" s="2413"/>
      <c r="V370" s="2413">
        <f t="shared" si="268"/>
        <v>4.1079999999999997E-3</v>
      </c>
      <c r="W370" s="2460">
        <f>'Income Eligble Deemed Table'!N1035</f>
        <v>19</v>
      </c>
      <c r="X370" s="2460"/>
      <c r="Y370" s="94">
        <f t="shared" si="263"/>
        <v>19</v>
      </c>
      <c r="Z370" s="767">
        <f>'Income Eligble Deemed Table'!BB1035</f>
        <v>2.8466976077319051</v>
      </c>
      <c r="AA370" s="2419">
        <f>'Income Eligble Deemed Table'!P1035</f>
        <v>6</v>
      </c>
      <c r="AB370" s="2416">
        <f t="shared" si="269"/>
        <v>16.120986924390213</v>
      </c>
      <c r="AC370" s="2416">
        <f t="shared" si="270"/>
        <v>0</v>
      </c>
      <c r="AD370" s="2446">
        <f>'Income Eligble Deemed Table'!BD1035</f>
        <v>16.120986924390213</v>
      </c>
      <c r="AE370" s="2440"/>
      <c r="AF370" s="2440"/>
      <c r="AG370" s="2440"/>
      <c r="AL370" s="2380">
        <f t="shared" si="259"/>
        <v>1.4925290000000001E-4</v>
      </c>
      <c r="AM370">
        <f t="shared" si="262"/>
        <v>4.1074398080000003E-3</v>
      </c>
      <c r="AN370" s="2368">
        <f t="shared" si="260"/>
        <v>-5.6019199999937652E-7</v>
      </c>
    </row>
    <row r="371" spans="1:40" x14ac:dyDescent="0.25">
      <c r="A371" s="2598" t="str">
        <f>'Income Eligble Deemed Table'!C1036</f>
        <v>404650_2019_12_</v>
      </c>
      <c r="B371" s="245" t="str">
        <f>'Income Eligble Deemed Table'!G1036</f>
        <v>Lighting RES</v>
      </c>
      <c r="C371" s="245"/>
      <c r="D371" s="245"/>
      <c r="E371" s="245"/>
      <c r="F371" s="245" t="str">
        <f>'Income Eligble Deemed Table'!E1036</f>
        <v>LED - 15W (Halogen baseline) LIDI</v>
      </c>
      <c r="G371" s="745" t="str">
        <f>'Income Eligble Deemed Table'!D1036</f>
        <v>SFLI / MFLI</v>
      </c>
      <c r="H371" s="2410">
        <f>'Income Eligble Deemed Table'!F1036</f>
        <v>27.79</v>
      </c>
      <c r="I371" s="2410"/>
      <c r="J371" s="2452"/>
      <c r="K371" s="2452"/>
      <c r="L371" s="2452"/>
      <c r="M371" s="2452"/>
      <c r="N371" s="2411">
        <f>'Income Eligble Deemed Table'!M1036</f>
        <v>4.1469999999999996E-3</v>
      </c>
      <c r="O371" s="2411"/>
      <c r="P371" s="2412"/>
      <c r="Q371" s="2412"/>
      <c r="R371" s="2412"/>
      <c r="S371" s="2412"/>
      <c r="T371" s="2413"/>
      <c r="U371" s="2413"/>
      <c r="V371" s="2413">
        <f t="shared" si="268"/>
        <v>4.1469999999999996E-3</v>
      </c>
      <c r="W371" s="2460">
        <f>'Income Eligble Deemed Table'!N1036</f>
        <v>19</v>
      </c>
      <c r="X371" s="2460"/>
      <c r="Y371" s="94">
        <f t="shared" si="263"/>
        <v>19</v>
      </c>
      <c r="Z371" s="767">
        <f>'Income Eligble Deemed Table'!BB1036</f>
        <v>2.1559700177744272</v>
      </c>
      <c r="AA371" s="2419">
        <f>'Income Eligble Deemed Table'!P1036</f>
        <v>8</v>
      </c>
      <c r="AB371" s="2416">
        <f t="shared" si="269"/>
        <v>16.27915067691875</v>
      </c>
      <c r="AC371" s="2416">
        <f t="shared" si="270"/>
        <v>0</v>
      </c>
      <c r="AD371" s="2446">
        <f>'Income Eligble Deemed Table'!BD1036</f>
        <v>16.27915067691875</v>
      </c>
      <c r="AE371" s="2440"/>
      <c r="AF371" s="2440"/>
      <c r="AG371" s="2440"/>
      <c r="AL371" s="2380">
        <f t="shared" si="259"/>
        <v>1.4925290000000001E-4</v>
      </c>
      <c r="AM371">
        <f t="shared" si="262"/>
        <v>4.1477380909999998E-3</v>
      </c>
      <c r="AN371" s="2368">
        <f t="shared" si="260"/>
        <v>7.3809100000019751E-7</v>
      </c>
    </row>
    <row r="372" spans="1:40" x14ac:dyDescent="0.25">
      <c r="A372" s="2598" t="str">
        <f>'Income Eligble Deemed Table'!C1037</f>
        <v>404700_2019_12_</v>
      </c>
      <c r="B372" s="245" t="str">
        <f>'Income Eligble Deemed Table'!G1037</f>
        <v>Lighting RES</v>
      </c>
      <c r="C372" s="245"/>
      <c r="D372" s="245"/>
      <c r="E372" s="245"/>
      <c r="F372" s="245" t="str">
        <f>'Income Eligble Deemed Table'!E1037</f>
        <v>LED - 15W Flood Light PAR30 Bulb (Halogen baseline) LI DI</v>
      </c>
      <c r="G372" s="745" t="str">
        <f>'Income Eligble Deemed Table'!D1037</f>
        <v>SFLI / MFLI</v>
      </c>
      <c r="H372" s="2410">
        <f>'Income Eligble Deemed Table'!F1037</f>
        <v>26.87</v>
      </c>
      <c r="I372" s="2410"/>
      <c r="J372" s="2452"/>
      <c r="K372" s="2452"/>
      <c r="L372" s="2452"/>
      <c r="M372" s="2452"/>
      <c r="N372" s="2411">
        <f>'Income Eligble Deemed Table'!M1037</f>
        <v>4.0099999999999997E-3</v>
      </c>
      <c r="O372" s="2411"/>
      <c r="P372" s="2412"/>
      <c r="Q372" s="2412"/>
      <c r="R372" s="2412"/>
      <c r="S372" s="2412"/>
      <c r="T372" s="2413"/>
      <c r="U372" s="2413"/>
      <c r="V372" s="2413">
        <f t="shared" si="268"/>
        <v>4.0099999999999997E-3</v>
      </c>
      <c r="W372" s="2460">
        <f>'Income Eligble Deemed Table'!N1037</f>
        <v>19</v>
      </c>
      <c r="X372" s="2460"/>
      <c r="Y372" s="94">
        <f t="shared" si="263"/>
        <v>19</v>
      </c>
      <c r="Z372" s="767">
        <f>'Income Eligble Deemed Table'!BB1037</f>
        <v>1.6676765563900355</v>
      </c>
      <c r="AA372" s="2419">
        <f>'Income Eligble Deemed Table'!P1037</f>
        <v>10</v>
      </c>
      <c r="AB372" s="2416">
        <f t="shared" si="269"/>
        <v>15.740222334969658</v>
      </c>
      <c r="AC372" s="2416">
        <f t="shared" si="270"/>
        <v>0</v>
      </c>
      <c r="AD372" s="2446">
        <f>'Income Eligble Deemed Table'!BD1037</f>
        <v>15.740222334969658</v>
      </c>
      <c r="AE372" s="2440"/>
      <c r="AF372" s="2440"/>
      <c r="AG372" s="2440"/>
      <c r="AL372" s="2380">
        <f t="shared" si="259"/>
        <v>1.4925290000000001E-4</v>
      </c>
      <c r="AM372">
        <f t="shared" si="262"/>
        <v>4.0104254230000002E-3</v>
      </c>
      <c r="AN372" s="2368">
        <f t="shared" si="260"/>
        <v>4.2542300000055627E-7</v>
      </c>
    </row>
    <row r="373" spans="1:40" x14ac:dyDescent="0.25">
      <c r="A373" s="2598" t="str">
        <f>'Income Eligble Deemed Table'!C1038</f>
        <v>404750_2019_12_</v>
      </c>
      <c r="B373" s="245" t="str">
        <f>'Income Eligble Deemed Table'!G1038</f>
        <v>Lighting RES</v>
      </c>
      <c r="C373" s="245"/>
      <c r="D373" s="245"/>
      <c r="E373" s="245"/>
      <c r="F373" s="245" t="str">
        <f>'Income Eligble Deemed Table'!E1038</f>
        <v>LED - 18W Flood Light PAR38 Bulb (Halogen baseline) LI DI</v>
      </c>
      <c r="G373" s="745" t="str">
        <f>'Income Eligble Deemed Table'!D1038</f>
        <v>SFLI / MFLI</v>
      </c>
      <c r="H373" s="2410">
        <f>'Income Eligble Deemed Table'!F1038</f>
        <v>34.729999999999997</v>
      </c>
      <c r="I373" s="2410"/>
      <c r="J373" s="2452"/>
      <c r="K373" s="2452"/>
      <c r="L373" s="2452"/>
      <c r="M373" s="2452"/>
      <c r="N373" s="2411">
        <f>'Income Eligble Deemed Table'!M1038</f>
        <v>5.1840000000000002E-3</v>
      </c>
      <c r="O373" s="2411"/>
      <c r="P373" s="2412"/>
      <c r="Q373" s="2412"/>
      <c r="R373" s="2412"/>
      <c r="S373" s="2412"/>
      <c r="T373" s="2413"/>
      <c r="U373" s="2413"/>
      <c r="V373" s="2413">
        <f t="shared" si="268"/>
        <v>5.1840000000000002E-3</v>
      </c>
      <c r="W373" s="2460">
        <f>'Income Eligble Deemed Table'!N1038</f>
        <v>19</v>
      </c>
      <c r="X373" s="2460"/>
      <c r="Y373" s="94">
        <f t="shared" si="263"/>
        <v>19</v>
      </c>
      <c r="Z373" s="767">
        <f>'Income Eligble Deemed Table'!BB1038</f>
        <v>1.4370030220425734</v>
      </c>
      <c r="AA373" s="2419">
        <f>'Income Eligble Deemed Table'!P1038</f>
        <v>15</v>
      </c>
      <c r="AB373" s="2416">
        <f t="shared" si="269"/>
        <v>20.344544908578197</v>
      </c>
      <c r="AC373" s="2416">
        <f t="shared" si="270"/>
        <v>0</v>
      </c>
      <c r="AD373" s="2446">
        <f>'Income Eligble Deemed Table'!BD1038</f>
        <v>20.344544908578197</v>
      </c>
      <c r="AE373" s="2440"/>
      <c r="AF373" s="2440"/>
      <c r="AG373" s="2440"/>
      <c r="AL373" s="2380">
        <f t="shared" si="259"/>
        <v>1.4925290000000001E-4</v>
      </c>
      <c r="AM373">
        <f t="shared" si="262"/>
        <v>5.183553217E-3</v>
      </c>
      <c r="AN373" s="2368">
        <f t="shared" si="260"/>
        <v>-4.4678300000020738E-7</v>
      </c>
    </row>
    <row r="374" spans="1:40" x14ac:dyDescent="0.25">
      <c r="A374" s="2598" t="str">
        <f>'Income Eligble Deemed Table'!C1039</f>
        <v>404800_2019_12_</v>
      </c>
      <c r="B374" s="245" t="str">
        <f>'Income Eligble Deemed Table'!G1039</f>
        <v>Lighting RES</v>
      </c>
      <c r="C374" s="245"/>
      <c r="D374" s="245"/>
      <c r="E374" s="245"/>
      <c r="F374" s="245" t="str">
        <f>'Income Eligble Deemed Table'!E1039</f>
        <v>LED - 20W (Halogen baseline) LIDI</v>
      </c>
      <c r="G374" s="745" t="str">
        <f>'Income Eligble Deemed Table'!D1039</f>
        <v>SFLI / MFLI</v>
      </c>
      <c r="H374" s="2410">
        <f>'Income Eligble Deemed Table'!F1039</f>
        <v>37.35</v>
      </c>
      <c r="I374" s="2410"/>
      <c r="J374" s="2452"/>
      <c r="K374" s="2452"/>
      <c r="L374" s="2452"/>
      <c r="M374" s="2452"/>
      <c r="N374" s="2411">
        <f>'Income Eligble Deemed Table'!M1039</f>
        <v>5.5750000000000001E-3</v>
      </c>
      <c r="O374" s="2411"/>
      <c r="P374" s="2412"/>
      <c r="Q374" s="2412"/>
      <c r="R374" s="2412"/>
      <c r="S374" s="2412"/>
      <c r="T374" s="2413"/>
      <c r="U374" s="2413"/>
      <c r="V374" s="2413">
        <f t="shared" si="268"/>
        <v>5.5750000000000001E-3</v>
      </c>
      <c r="W374" s="2460">
        <f>'Income Eligble Deemed Table'!N1039</f>
        <v>19</v>
      </c>
      <c r="X374" s="2460"/>
      <c r="Y374" s="94">
        <f t="shared" si="263"/>
        <v>19</v>
      </c>
      <c r="Z374" s="767">
        <f>'Income Eligble Deemed Table'!BB1039</f>
        <v>2.8976423232772532</v>
      </c>
      <c r="AA374" s="2419">
        <f>'Income Eligble Deemed Table'!P1039</f>
        <v>8</v>
      </c>
      <c r="AB374" s="2416">
        <f t="shared" si="269"/>
        <v>21.87931909978105</v>
      </c>
      <c r="AC374" s="2416">
        <f t="shared" si="270"/>
        <v>0</v>
      </c>
      <c r="AD374" s="2446">
        <f>'Income Eligble Deemed Table'!BD1039</f>
        <v>21.87931909978105</v>
      </c>
      <c r="AE374" s="2440"/>
      <c r="AF374" s="2440"/>
      <c r="AG374" s="2440"/>
      <c r="AL374" s="2380">
        <f t="shared" si="259"/>
        <v>1.4925290000000001E-4</v>
      </c>
      <c r="AM374">
        <f t="shared" si="262"/>
        <v>5.5745958150000005E-3</v>
      </c>
      <c r="AN374" s="2368">
        <f t="shared" si="260"/>
        <v>-4.0418499999955032E-7</v>
      </c>
    </row>
    <row r="375" spans="1:40" x14ac:dyDescent="0.25">
      <c r="A375" s="2598" t="str">
        <f>'Income Eligble Deemed Table'!C1040</f>
        <v>404850_2019_12_</v>
      </c>
      <c r="B375" s="245" t="str">
        <f>'Income Eligble Deemed Table'!G1040</f>
        <v>Lighting RES</v>
      </c>
      <c r="C375" s="245"/>
      <c r="D375" s="245"/>
      <c r="E375" s="245"/>
      <c r="F375" s="245" t="str">
        <f>'Income Eligble Deemed Table'!E1040</f>
        <v>LED - 4W Candelabra (Replacing Specialty Incandescent) LI DI</v>
      </c>
      <c r="G375" s="745" t="str">
        <f>'Income Eligble Deemed Table'!D1040</f>
        <v>SFLI / MFLI</v>
      </c>
      <c r="H375" s="2410">
        <f>'Income Eligble Deemed Table'!F1040</f>
        <v>23.53</v>
      </c>
      <c r="I375" s="2410"/>
      <c r="J375" s="2452"/>
      <c r="K375" s="2452"/>
      <c r="L375" s="2452"/>
      <c r="M375" s="2452"/>
      <c r="N375" s="2411">
        <f>'Income Eligble Deemed Table'!M1040</f>
        <v>3.5119999999999999E-3</v>
      </c>
      <c r="O375" s="2411"/>
      <c r="P375" s="2412"/>
      <c r="Q375" s="2412"/>
      <c r="R375" s="2412"/>
      <c r="S375" s="2412"/>
      <c r="T375" s="2413"/>
      <c r="U375" s="2413"/>
      <c r="V375" s="2413">
        <f t="shared" si="268"/>
        <v>3.5119999999999999E-3</v>
      </c>
      <c r="W375" s="2460">
        <f>'Income Eligble Deemed Table'!N1040</f>
        <v>19</v>
      </c>
      <c r="X375" s="2460"/>
      <c r="Y375" s="94">
        <f t="shared" si="263"/>
        <v>19</v>
      </c>
      <c r="Z375" s="767">
        <f>'Income Eligble Deemed Table'!BB1040</f>
        <v>2.0862581408824248</v>
      </c>
      <c r="AA375" s="2419">
        <f>'Income Eligble Deemed Table'!P1040</f>
        <v>7</v>
      </c>
      <c r="AB375" s="2416">
        <f t="shared" si="269"/>
        <v>13.783678137024044</v>
      </c>
      <c r="AC375" s="2416">
        <f t="shared" si="270"/>
        <v>0</v>
      </c>
      <c r="AD375" s="2446">
        <f>'Income Eligble Deemed Table'!BD1040</f>
        <v>13.783678137024044</v>
      </c>
      <c r="AE375" s="2440"/>
      <c r="AF375" s="2440"/>
      <c r="AG375" s="2440"/>
      <c r="AL375" s="2380">
        <f t="shared" si="259"/>
        <v>1.4925290000000001E-4</v>
      </c>
      <c r="AM375">
        <f t="shared" si="262"/>
        <v>3.5119207370000005E-3</v>
      </c>
      <c r="AN375" s="2368">
        <f t="shared" si="260"/>
        <v>-7.9262999999434036E-8</v>
      </c>
    </row>
    <row r="376" spans="1:40" x14ac:dyDescent="0.25">
      <c r="A376" s="2598" t="str">
        <f>'Income Eligble Deemed Table'!C1041</f>
        <v>404900_2019_12_</v>
      </c>
      <c r="B376" s="245" t="str">
        <f>'Income Eligble Deemed Table'!G1041</f>
        <v>Lighting RES</v>
      </c>
      <c r="C376" s="245"/>
      <c r="D376" s="245"/>
      <c r="E376" s="245"/>
      <c r="F376" s="245" t="str">
        <f>'Income Eligble Deemed Table'!E1041</f>
        <v>LED - 4W Candelabra (CFL baseline) LIDI</v>
      </c>
      <c r="G376" s="745" t="str">
        <f>'Income Eligble Deemed Table'!D1041</f>
        <v>SFLI / MFLI</v>
      </c>
      <c r="H376" s="2410">
        <f>'Income Eligble Deemed Table'!F1041</f>
        <v>2.95</v>
      </c>
      <c r="I376" s="2410"/>
      <c r="J376" s="2452"/>
      <c r="K376" s="2452"/>
      <c r="L376" s="2452"/>
      <c r="M376" s="2452"/>
      <c r="N376" s="2411">
        <f>'Income Eligble Deemed Table'!M1041</f>
        <v>4.4000000000000002E-4</v>
      </c>
      <c r="O376" s="2411"/>
      <c r="P376" s="2412"/>
      <c r="Q376" s="2412"/>
      <c r="R376" s="2412"/>
      <c r="S376" s="2412"/>
      <c r="T376" s="2413"/>
      <c r="U376" s="2413"/>
      <c r="V376" s="2413">
        <f t="shared" si="268"/>
        <v>4.4000000000000002E-4</v>
      </c>
      <c r="W376" s="2460">
        <f>'Income Eligble Deemed Table'!N1041</f>
        <v>19</v>
      </c>
      <c r="X376" s="2460"/>
      <c r="Y376" s="94">
        <f t="shared" si="263"/>
        <v>19</v>
      </c>
      <c r="Z376" s="767">
        <f>'Income Eligble Deemed Table'!BB1041</f>
        <v>0.26155807546124754</v>
      </c>
      <c r="AA376" s="2419">
        <f>'Income Eligble Deemed Table'!P1041</f>
        <v>7</v>
      </c>
      <c r="AB376" s="2416">
        <f t="shared" si="269"/>
        <v>1.7280854442932823</v>
      </c>
      <c r="AC376" s="2416">
        <f t="shared" si="270"/>
        <v>0</v>
      </c>
      <c r="AD376" s="2446">
        <f>'Income Eligble Deemed Table'!BD1041</f>
        <v>1.7280854442932823</v>
      </c>
      <c r="AE376" s="2440"/>
      <c r="AF376" s="2440"/>
      <c r="AG376" s="2440"/>
      <c r="AL376" s="2380">
        <f t="shared" si="259"/>
        <v>1.4925290000000001E-4</v>
      </c>
      <c r="AM376">
        <f t="shared" si="262"/>
        <v>4.4029605500000007E-4</v>
      </c>
      <c r="AN376" s="2368">
        <f t="shared" si="260"/>
        <v>2.960550000000498E-7</v>
      </c>
    </row>
    <row r="377" spans="1:40" x14ac:dyDescent="0.25">
      <c r="A377" s="2598" t="str">
        <f>'Income Eligble Deemed Table'!C1042</f>
        <v>404950_2019_12_</v>
      </c>
      <c r="B377" s="245" t="str">
        <f>'Income Eligble Deemed Table'!G1042</f>
        <v>Lighting RES</v>
      </c>
      <c r="C377" s="245"/>
      <c r="D377" s="245"/>
      <c r="E377" s="245"/>
      <c r="F377" s="245" t="str">
        <f>'Income Eligble Deemed Table'!E1042</f>
        <v>LED - 8W Globe Light G25 Bulb (Replacing Specialty Incandescent) LI DI</v>
      </c>
      <c r="G377" s="745" t="str">
        <f>'Income Eligble Deemed Table'!D1042</f>
        <v>SFLI / MFLI</v>
      </c>
      <c r="H377" s="2410">
        <f>'Income Eligble Deemed Table'!F1042</f>
        <v>14.42</v>
      </c>
      <c r="I377" s="2410"/>
      <c r="J377" s="2452"/>
      <c r="K377" s="2452"/>
      <c r="L377" s="2452"/>
      <c r="M377" s="2452"/>
      <c r="N377" s="2411">
        <f>'Income Eligble Deemed Table'!M1042</f>
        <v>2.1519999999999998E-3</v>
      </c>
      <c r="O377" s="2411"/>
      <c r="P377" s="2412"/>
      <c r="Q377" s="2412"/>
      <c r="R377" s="2412"/>
      <c r="S377" s="2412"/>
      <c r="T377" s="2413"/>
      <c r="U377" s="2413"/>
      <c r="V377" s="2413">
        <f t="shared" si="268"/>
        <v>2.1519999999999998E-3</v>
      </c>
      <c r="W377" s="2460">
        <f>'Income Eligble Deemed Table'!N1042</f>
        <v>19</v>
      </c>
      <c r="X377" s="2460"/>
      <c r="Y377" s="94">
        <f t="shared" si="263"/>
        <v>19</v>
      </c>
      <c r="Z377" s="767">
        <f>'Income Eligble Deemed Table'!BB1042</f>
        <v>1.2785313383563353</v>
      </c>
      <c r="AA377" s="2419">
        <f>'Income Eligble Deemed Table'!P1042</f>
        <v>7</v>
      </c>
      <c r="AB377" s="2416">
        <f t="shared" si="269"/>
        <v>8.4471159683759751</v>
      </c>
      <c r="AC377" s="2416">
        <f t="shared" si="270"/>
        <v>0</v>
      </c>
      <c r="AD377" s="2446">
        <f>'Income Eligble Deemed Table'!BD1042</f>
        <v>8.4471159683759751</v>
      </c>
      <c r="AE377" s="2440"/>
      <c r="AF377" s="2440"/>
      <c r="AG377" s="2440"/>
      <c r="AL377" s="2380">
        <f t="shared" si="259"/>
        <v>1.4925290000000001E-4</v>
      </c>
      <c r="AM377">
        <f t="shared" si="262"/>
        <v>2.1522268179999999E-3</v>
      </c>
      <c r="AN377" s="2368">
        <f t="shared" si="260"/>
        <v>2.2681800000007302E-7</v>
      </c>
    </row>
    <row r="378" spans="1:40" x14ac:dyDescent="0.25">
      <c r="A378" s="2598" t="str">
        <f>'Income Eligble Deemed Table'!C1043</f>
        <v>405000_2019_12_</v>
      </c>
      <c r="B378" s="245" t="str">
        <f>'Income Eligble Deemed Table'!G1043</f>
        <v>Lighting RES</v>
      </c>
      <c r="C378" s="245"/>
      <c r="D378" s="245"/>
      <c r="E378" s="245"/>
      <c r="F378" s="245" t="str">
        <f>'Income Eligble Deemed Table'!E1043</f>
        <v>LED - 8W Globe Light G25 Bulb (Replacing CFL) LIDI</v>
      </c>
      <c r="G378" s="745" t="str">
        <f>'Income Eligble Deemed Table'!D1043</f>
        <v>SFLI / MFLI</v>
      </c>
      <c r="H378" s="2410">
        <f>'Income Eligble Deemed Table'!F1043</f>
        <v>2.62</v>
      </c>
      <c r="I378" s="2410"/>
      <c r="J378" s="2452"/>
      <c r="K378" s="2452"/>
      <c r="L378" s="2452"/>
      <c r="M378" s="2452"/>
      <c r="N378" s="2411">
        <f>'Income Eligble Deemed Table'!M1043</f>
        <v>3.9100000000000002E-4</v>
      </c>
      <c r="O378" s="2411"/>
      <c r="P378" s="2412"/>
      <c r="Q378" s="2412"/>
      <c r="R378" s="2412"/>
      <c r="S378" s="2412"/>
      <c r="T378" s="2413"/>
      <c r="U378" s="2413"/>
      <c r="V378" s="2413">
        <f t="shared" si="268"/>
        <v>3.9100000000000002E-4</v>
      </c>
      <c r="W378" s="2460">
        <f>'Income Eligble Deemed Table'!N1043</f>
        <v>19</v>
      </c>
      <c r="X378" s="2460"/>
      <c r="Y378" s="94">
        <f t="shared" si="263"/>
        <v>19</v>
      </c>
      <c r="Z378" s="767">
        <f>'Income Eligble Deemed Table'!BB1043</f>
        <v>0.23229903651134523</v>
      </c>
      <c r="AA378" s="2419">
        <f>'Income Eligble Deemed Table'!P1043</f>
        <v>7</v>
      </c>
      <c r="AB378" s="2416">
        <f t="shared" si="269"/>
        <v>1.5347741912028472</v>
      </c>
      <c r="AC378" s="2416">
        <f t="shared" si="270"/>
        <v>0</v>
      </c>
      <c r="AD378" s="2446">
        <f>'Income Eligble Deemed Table'!BD1043</f>
        <v>1.5347741912028472</v>
      </c>
      <c r="AE378" s="2440"/>
      <c r="AF378" s="2440"/>
      <c r="AG378" s="2440"/>
      <c r="AL378" s="2380">
        <f t="shared" si="259"/>
        <v>1.4925290000000001E-4</v>
      </c>
      <c r="AM378">
        <f t="shared" si="262"/>
        <v>3.9104259800000002E-4</v>
      </c>
      <c r="AN378" s="2368">
        <f t="shared" si="260"/>
        <v>4.2598000000006533E-8</v>
      </c>
    </row>
    <row r="379" spans="1:40" x14ac:dyDescent="0.25">
      <c r="A379" s="2598" t="str">
        <f>'Income Eligble Deemed Table'!C1044</f>
        <v>405050_2019_12_</v>
      </c>
      <c r="B379" s="245" t="str">
        <f>'Income Eligble Deemed Table'!G1044</f>
        <v>Lighting RES</v>
      </c>
      <c r="C379" s="245"/>
      <c r="D379" s="245"/>
      <c r="E379" s="245"/>
      <c r="F379" s="245" t="str">
        <f>'Income Eligble Deemed Table'!E1044</f>
        <v>LED - 10W (CFL baseline) LIDI</v>
      </c>
      <c r="G379" s="745" t="str">
        <f>'Income Eligble Deemed Table'!D1044</f>
        <v>SFLI / MFLI</v>
      </c>
      <c r="H379" s="2410">
        <f>'Income Eligble Deemed Table'!F1044</f>
        <v>2.82</v>
      </c>
      <c r="I379" s="2410"/>
      <c r="J379" s="2452"/>
      <c r="K379" s="2452"/>
      <c r="L379" s="2452"/>
      <c r="M379" s="2452"/>
      <c r="N379" s="2411">
        <f>'Income Eligble Deemed Table'!M1044</f>
        <v>4.2099999999999999E-4</v>
      </c>
      <c r="O379" s="2411"/>
      <c r="P379" s="2412"/>
      <c r="Q379" s="2412"/>
      <c r="R379" s="2412"/>
      <c r="S379" s="2412"/>
      <c r="T379" s="2413"/>
      <c r="U379" s="2413"/>
      <c r="V379" s="2413">
        <f t="shared" si="268"/>
        <v>4.2099999999999999E-4</v>
      </c>
      <c r="W379" s="2460">
        <f>'Income Eligble Deemed Table'!N1044</f>
        <v>19</v>
      </c>
      <c r="X379" s="2460"/>
      <c r="Y379" s="94">
        <f t="shared" si="263"/>
        <v>19</v>
      </c>
      <c r="Z379" s="767">
        <f>'Income Eligble Deemed Table'!BB1044</f>
        <v>0.29170375195508619</v>
      </c>
      <c r="AA379" s="2419">
        <f>'Income Eligble Deemed Table'!P1044</f>
        <v>6</v>
      </c>
      <c r="AB379" s="2416">
        <f t="shared" si="269"/>
        <v>1.6519325264091713</v>
      </c>
      <c r="AC379" s="2416">
        <f t="shared" si="270"/>
        <v>0</v>
      </c>
      <c r="AD379" s="2446">
        <f>'Income Eligble Deemed Table'!BD1044</f>
        <v>1.6519325264091713</v>
      </c>
      <c r="AE379" s="2440"/>
      <c r="AF379" s="2440"/>
      <c r="AG379" s="2440"/>
      <c r="AL379" s="2380">
        <f t="shared" si="259"/>
        <v>1.4925290000000001E-4</v>
      </c>
      <c r="AM379">
        <f t="shared" si="262"/>
        <v>4.2089317799999998E-4</v>
      </c>
      <c r="AN379" s="2368">
        <f t="shared" si="260"/>
        <v>-1.0682200000001075E-7</v>
      </c>
    </row>
    <row r="380" spans="1:40" x14ac:dyDescent="0.25">
      <c r="A380" s="2598" t="str">
        <f>'Income Eligble Deemed Table'!C1045</f>
        <v>405100_2019_12_</v>
      </c>
      <c r="B380" s="245" t="str">
        <f>'Income Eligble Deemed Table'!G1045</f>
        <v>Lighting RES</v>
      </c>
      <c r="C380" s="245"/>
      <c r="D380" s="245"/>
      <c r="E380" s="245"/>
      <c r="F380" s="245" t="str">
        <f>'Income Eligble Deemed Table'!E1045</f>
        <v>LED - 10.5W Downlight E26 (CFL baseline) LIDI</v>
      </c>
      <c r="G380" s="745" t="str">
        <f>'Income Eligble Deemed Table'!D1045</f>
        <v>SFLI / MFLI</v>
      </c>
      <c r="H380" s="2410">
        <f>'Income Eligble Deemed Table'!F1045</f>
        <v>8.52</v>
      </c>
      <c r="I380" s="2410"/>
      <c r="J380" s="2452"/>
      <c r="K380" s="2452"/>
      <c r="L380" s="2452"/>
      <c r="M380" s="2452"/>
      <c r="N380" s="2411">
        <f>'Income Eligble Deemed Table'!M1045</f>
        <v>1.2719999999999999E-3</v>
      </c>
      <c r="O380" s="2411"/>
      <c r="P380" s="2412"/>
      <c r="Q380" s="2412"/>
      <c r="R380" s="2412"/>
      <c r="S380" s="2412"/>
      <c r="T380" s="2413"/>
      <c r="U380" s="2413"/>
      <c r="V380" s="2413">
        <f t="shared" si="268"/>
        <v>1.2719999999999999E-3</v>
      </c>
      <c r="W380" s="2460">
        <f>'Income Eligble Deemed Table'!N1045</f>
        <v>19</v>
      </c>
      <c r="X380" s="2460"/>
      <c r="Y380" s="94">
        <f t="shared" si="263"/>
        <v>19</v>
      </c>
      <c r="Z380" s="767">
        <f>'Income Eligble Deemed Table'!BB1045</f>
        <v>0.88131771867281361</v>
      </c>
      <c r="AA380" s="2419">
        <f>'Income Eligble Deemed Table'!P1045</f>
        <v>6</v>
      </c>
      <c r="AB380" s="2416">
        <f t="shared" si="269"/>
        <v>4.9909450797894115</v>
      </c>
      <c r="AC380" s="2416">
        <f t="shared" si="270"/>
        <v>0</v>
      </c>
      <c r="AD380" s="2446">
        <f>'Income Eligble Deemed Table'!BD1045</f>
        <v>4.9909450797894115</v>
      </c>
      <c r="AE380" s="2440"/>
      <c r="AF380" s="2440"/>
      <c r="AG380" s="2440"/>
      <c r="AL380" s="2380">
        <f t="shared" si="259"/>
        <v>1.4925290000000001E-4</v>
      </c>
      <c r="AM380">
        <f t="shared" si="262"/>
        <v>1.271634708E-3</v>
      </c>
      <c r="AN380" s="2368">
        <f t="shared" si="260"/>
        <v>-3.6529199999991817E-7</v>
      </c>
    </row>
    <row r="381" spans="1:40" x14ac:dyDescent="0.25">
      <c r="A381" s="2598" t="str">
        <f>'Income Eligble Deemed Table'!C1046</f>
        <v>405150_2019_12_</v>
      </c>
      <c r="B381" s="245" t="str">
        <f>'Income Eligble Deemed Table'!G1046</f>
        <v>Lighting RES</v>
      </c>
      <c r="C381" s="245"/>
      <c r="D381" s="245"/>
      <c r="E381" s="245"/>
      <c r="F381" s="245" t="str">
        <f>'Income Eligble Deemed Table'!E1046</f>
        <v>LED - 12W Dimmable Light Bulb (Replacing CFL) LIDI</v>
      </c>
      <c r="G381" s="745" t="str">
        <f>'Income Eligble Deemed Table'!D1046</f>
        <v>SFLI / MFLI</v>
      </c>
      <c r="H381" s="2410">
        <f>'Income Eligble Deemed Table'!F1046</f>
        <v>5.57</v>
      </c>
      <c r="I381" s="2410"/>
      <c r="J381" s="2452"/>
      <c r="K381" s="2452"/>
      <c r="L381" s="2452"/>
      <c r="M381" s="2452"/>
      <c r="N381" s="2411">
        <f>'Income Eligble Deemed Table'!M1046</f>
        <v>8.3100000000000003E-4</v>
      </c>
      <c r="O381" s="2411"/>
      <c r="P381" s="2412"/>
      <c r="Q381" s="2412"/>
      <c r="R381" s="2412"/>
      <c r="S381" s="2412"/>
      <c r="T381" s="2413"/>
      <c r="U381" s="2413"/>
      <c r="V381" s="2413">
        <f t="shared" si="268"/>
        <v>8.3100000000000003E-4</v>
      </c>
      <c r="W381" s="2460">
        <f>'Income Eligble Deemed Table'!N1046</f>
        <v>19</v>
      </c>
      <c r="X381" s="2460"/>
      <c r="Y381" s="94">
        <f t="shared" si="263"/>
        <v>19</v>
      </c>
      <c r="Z381" s="767">
        <f>'Income Eligble Deemed Table'!BB1046</f>
        <v>0.57616663063469165</v>
      </c>
      <c r="AA381" s="2419">
        <f>'Income Eligble Deemed Table'!P1046</f>
        <v>6</v>
      </c>
      <c r="AB381" s="2416">
        <f t="shared" si="269"/>
        <v>3.2628596354961297</v>
      </c>
      <c r="AC381" s="2416">
        <f t="shared" si="270"/>
        <v>0</v>
      </c>
      <c r="AD381" s="2446">
        <f>'Income Eligble Deemed Table'!BD1046</f>
        <v>3.2628596354961297</v>
      </c>
      <c r="AE381" s="2440"/>
      <c r="AF381" s="2440"/>
      <c r="AG381" s="2440"/>
      <c r="AL381" s="2380">
        <f t="shared" si="259"/>
        <v>1.4925290000000001E-4</v>
      </c>
      <c r="AM381">
        <f t="shared" si="262"/>
        <v>8.3133865300000014E-4</v>
      </c>
      <c r="AN381" s="2368">
        <f t="shared" si="260"/>
        <v>3.3865300000011055E-7</v>
      </c>
    </row>
    <row r="382" spans="1:40" x14ac:dyDescent="0.25">
      <c r="A382" s="2598" t="str">
        <f>'Income Eligble Deemed Table'!C1047</f>
        <v>405200_2019_12_</v>
      </c>
      <c r="B382" s="245" t="str">
        <f>'Income Eligble Deemed Table'!G1047</f>
        <v>Lighting RES</v>
      </c>
      <c r="C382" s="245"/>
      <c r="D382" s="245"/>
      <c r="E382" s="245"/>
      <c r="F382" s="245" t="str">
        <f>'Income Eligble Deemed Table'!E1047</f>
        <v>LED - 12W (Replacing CFL) LIDI</v>
      </c>
      <c r="G382" s="745" t="str">
        <f>'Income Eligble Deemed Table'!D1047</f>
        <v>SFLI / MFLI</v>
      </c>
      <c r="H382" s="2410">
        <f>'Income Eligble Deemed Table'!F1047</f>
        <v>5.57</v>
      </c>
      <c r="I382" s="2410"/>
      <c r="J382" s="2452"/>
      <c r="K382" s="2452"/>
      <c r="L382" s="2452"/>
      <c r="M382" s="2452"/>
      <c r="N382" s="2411">
        <f>'Income Eligble Deemed Table'!M1047</f>
        <v>8.3100000000000003E-4</v>
      </c>
      <c r="O382" s="2411"/>
      <c r="P382" s="2412"/>
      <c r="Q382" s="2412"/>
      <c r="R382" s="2412"/>
      <c r="S382" s="2412"/>
      <c r="T382" s="2413"/>
      <c r="U382" s="2413"/>
      <c r="V382" s="2413">
        <f t="shared" si="268"/>
        <v>8.3100000000000003E-4</v>
      </c>
      <c r="W382" s="2460">
        <f>'Income Eligble Deemed Table'!N1047</f>
        <v>19</v>
      </c>
      <c r="X382" s="2460"/>
      <c r="Y382" s="94">
        <f t="shared" si="263"/>
        <v>19</v>
      </c>
      <c r="Z382" s="767">
        <f>'Income Eligble Deemed Table'!BB1047</f>
        <v>0.57616663063469165</v>
      </c>
      <c r="AA382" s="2419">
        <f>'Income Eligble Deemed Table'!P1047</f>
        <v>6</v>
      </c>
      <c r="AB382" s="2416">
        <f t="shared" si="269"/>
        <v>3.2628596354961297</v>
      </c>
      <c r="AC382" s="2416">
        <f t="shared" si="270"/>
        <v>0</v>
      </c>
      <c r="AD382" s="2446">
        <f>'Income Eligble Deemed Table'!BD1047</f>
        <v>3.2628596354961297</v>
      </c>
      <c r="AE382" s="2440"/>
      <c r="AF382" s="2440"/>
      <c r="AG382" s="2440"/>
      <c r="AL382" s="2380">
        <f t="shared" si="259"/>
        <v>1.4925290000000001E-4</v>
      </c>
      <c r="AM382">
        <f t="shared" si="262"/>
        <v>8.3133865300000014E-4</v>
      </c>
      <c r="AN382" s="2368">
        <f t="shared" si="260"/>
        <v>3.3865300000011055E-7</v>
      </c>
    </row>
    <row r="383" spans="1:40" x14ac:dyDescent="0.25">
      <c r="A383" s="2598" t="str">
        <f>'Income Eligble Deemed Table'!C1048</f>
        <v>405250_2019_12_</v>
      </c>
      <c r="B383" s="245" t="str">
        <f>'Income Eligble Deemed Table'!G1048</f>
        <v>Lighting RES</v>
      </c>
      <c r="C383" s="245"/>
      <c r="D383" s="245"/>
      <c r="E383" s="245"/>
      <c r="F383" s="245" t="str">
        <f>'Income Eligble Deemed Table'!E1048</f>
        <v>LED - 15W (CFL baseline) LIDI</v>
      </c>
      <c r="G383" s="745" t="str">
        <f>'Income Eligble Deemed Table'!D1048</f>
        <v>SFLI / MFLI</v>
      </c>
      <c r="H383" s="2410">
        <f>'Income Eligble Deemed Table'!F1048</f>
        <v>5.44</v>
      </c>
      <c r="I383" s="2410"/>
      <c r="J383" s="2452"/>
      <c r="K383" s="2452"/>
      <c r="L383" s="2452"/>
      <c r="M383" s="2452"/>
      <c r="N383" s="2411">
        <f>'Income Eligble Deemed Table'!M1048</f>
        <v>8.12E-4</v>
      </c>
      <c r="O383" s="2411"/>
      <c r="P383" s="2412"/>
      <c r="Q383" s="2412"/>
      <c r="R383" s="2412"/>
      <c r="S383" s="2412"/>
      <c r="T383" s="2413"/>
      <c r="U383" s="2413"/>
      <c r="V383" s="2413">
        <f t="shared" si="268"/>
        <v>8.12E-4</v>
      </c>
      <c r="W383" s="2460">
        <f>'Income Eligble Deemed Table'!N1048</f>
        <v>19</v>
      </c>
      <c r="X383" s="2460"/>
      <c r="Y383" s="94">
        <f t="shared" si="263"/>
        <v>19</v>
      </c>
      <c r="Z383" s="767">
        <f>'Income Eligble Deemed Table'!BB1048</f>
        <v>0.42203947091374178</v>
      </c>
      <c r="AA383" s="2419">
        <f>'Income Eligble Deemed Table'!P1048</f>
        <v>8</v>
      </c>
      <c r="AB383" s="2416">
        <f t="shared" si="269"/>
        <v>3.1867067176120187</v>
      </c>
      <c r="AC383" s="2416">
        <f t="shared" si="270"/>
        <v>0</v>
      </c>
      <c r="AD383" s="2446">
        <f>'Income Eligble Deemed Table'!BD1048</f>
        <v>3.1867067176120187</v>
      </c>
      <c r="AE383" s="2440"/>
      <c r="AF383" s="2440"/>
      <c r="AG383" s="2440"/>
      <c r="AL383" s="2380">
        <f t="shared" si="259"/>
        <v>1.4925290000000001E-4</v>
      </c>
      <c r="AM383">
        <f t="shared" si="262"/>
        <v>8.1193577600000011E-4</v>
      </c>
      <c r="AN383" s="2368">
        <f t="shared" si="260"/>
        <v>-6.4223999999895795E-8</v>
      </c>
    </row>
    <row r="384" spans="1:40" x14ac:dyDescent="0.25">
      <c r="A384" s="2598" t="str">
        <f>'Income Eligble Deemed Table'!C1049</f>
        <v>405300_2019_12_</v>
      </c>
      <c r="B384" s="245" t="str">
        <f>'Income Eligble Deemed Table'!G1049</f>
        <v>Lighting RES</v>
      </c>
      <c r="C384" s="245"/>
      <c r="D384" s="245"/>
      <c r="E384" s="245"/>
      <c r="F384" s="245" t="str">
        <f>'Income Eligble Deemed Table'!E1049</f>
        <v>LED - 15W Flood Light PAR30 Bulb (CFL baseline) LIDI</v>
      </c>
      <c r="G384" s="745" t="str">
        <f>'Income Eligble Deemed Table'!D1049</f>
        <v>SFLI / MFLI</v>
      </c>
      <c r="H384" s="2410">
        <f>'Income Eligble Deemed Table'!F1049</f>
        <v>3.15</v>
      </c>
      <c r="I384" s="2410"/>
      <c r="J384" s="2452"/>
      <c r="K384" s="2452"/>
      <c r="L384" s="2452"/>
      <c r="M384" s="2452"/>
      <c r="N384" s="2411">
        <f>'Income Eligble Deemed Table'!M1049</f>
        <v>4.6900000000000002E-4</v>
      </c>
      <c r="O384" s="2411"/>
      <c r="P384" s="2412"/>
      <c r="Q384" s="2412"/>
      <c r="R384" s="2412"/>
      <c r="S384" s="2412"/>
      <c r="T384" s="2413"/>
      <c r="U384" s="2413"/>
      <c r="V384" s="2413">
        <f t="shared" si="268"/>
        <v>4.6900000000000002E-4</v>
      </c>
      <c r="W384" s="2460">
        <f>'Income Eligble Deemed Table'!N1049</f>
        <v>19</v>
      </c>
      <c r="X384" s="2460"/>
      <c r="Y384" s="94">
        <f t="shared" si="263"/>
        <v>19</v>
      </c>
      <c r="Z384" s="767">
        <f>'Income Eligble Deemed Table'!BB1049</f>
        <v>0.19550357843798333</v>
      </c>
      <c r="AA384" s="2419">
        <f>'Income Eligble Deemed Table'!P1049</f>
        <v>10</v>
      </c>
      <c r="AB384" s="2416">
        <f t="shared" si="269"/>
        <v>1.8452437794996064</v>
      </c>
      <c r="AC384" s="2416">
        <f t="shared" si="270"/>
        <v>0</v>
      </c>
      <c r="AD384" s="2446">
        <f>'Income Eligble Deemed Table'!BD1049</f>
        <v>1.8452437794996064</v>
      </c>
      <c r="AE384" s="2440"/>
      <c r="AF384" s="2440"/>
      <c r="AG384" s="2440"/>
      <c r="AL384" s="2380">
        <f t="shared" si="259"/>
        <v>1.4925290000000001E-4</v>
      </c>
      <c r="AM384">
        <f t="shared" si="262"/>
        <v>4.7014663500000002E-4</v>
      </c>
      <c r="AN384" s="2368">
        <f t="shared" si="260"/>
        <v>1.1466350000000026E-6</v>
      </c>
    </row>
    <row r="385" spans="1:40" x14ac:dyDescent="0.25">
      <c r="A385" s="2598" t="str">
        <f>'Income Eligble Deemed Table'!C1050</f>
        <v>405350_2019_12_</v>
      </c>
      <c r="B385" s="245" t="str">
        <f>'Income Eligble Deemed Table'!G1050</f>
        <v>Lighting RES</v>
      </c>
      <c r="C385" s="245"/>
      <c r="D385" s="245"/>
      <c r="E385" s="245"/>
      <c r="F385" s="245" t="str">
        <f>'Income Eligble Deemed Table'!E1050</f>
        <v>LED - 18W Flood Light PAR30 Bulb (CFL baseline) LIDI</v>
      </c>
      <c r="G385" s="745" t="str">
        <f>'Income Eligble Deemed Table'!D1050</f>
        <v>SFLI / MFLI</v>
      </c>
      <c r="H385" s="2410">
        <f>'Income Eligble Deemed Table'!F1050</f>
        <v>3.28</v>
      </c>
      <c r="I385" s="2410"/>
      <c r="J385" s="2452"/>
      <c r="K385" s="2452"/>
      <c r="L385" s="2452"/>
      <c r="M385" s="2452"/>
      <c r="N385" s="2411">
        <f>'Income Eligble Deemed Table'!M1050</f>
        <v>4.8899999999999996E-4</v>
      </c>
      <c r="O385" s="2411"/>
      <c r="P385" s="2412"/>
      <c r="Q385" s="2412"/>
      <c r="R385" s="2412"/>
      <c r="S385" s="2412"/>
      <c r="T385" s="2413"/>
      <c r="U385" s="2413"/>
      <c r="V385" s="2413">
        <f t="shared" si="268"/>
        <v>4.8899999999999996E-4</v>
      </c>
      <c r="W385" s="2460">
        <f>'Income Eligble Deemed Table'!N1050</f>
        <v>19</v>
      </c>
      <c r="X385" s="2460"/>
      <c r="Y385" s="94">
        <f t="shared" si="263"/>
        <v>19</v>
      </c>
      <c r="Z385" s="767">
        <f>'Income Eligble Deemed Table'!BB1050</f>
        <v>0.13571465339186989</v>
      </c>
      <c r="AA385" s="2419">
        <f>'Income Eligble Deemed Table'!P1050</f>
        <v>15</v>
      </c>
      <c r="AB385" s="2416">
        <f t="shared" si="269"/>
        <v>1.9213966973837171</v>
      </c>
      <c r="AC385" s="2416">
        <f t="shared" si="270"/>
        <v>0</v>
      </c>
      <c r="AD385" s="2446">
        <f>'Income Eligble Deemed Table'!BD1050</f>
        <v>1.9213966973837171</v>
      </c>
      <c r="AE385" s="2440"/>
      <c r="AF385" s="2440"/>
      <c r="AG385" s="2440"/>
      <c r="AL385" s="2380">
        <f t="shared" si="259"/>
        <v>1.4925290000000001E-4</v>
      </c>
      <c r="AM385">
        <f t="shared" si="262"/>
        <v>4.8954951200000005E-4</v>
      </c>
      <c r="AN385" s="2368">
        <f t="shared" si="260"/>
        <v>5.4951200000009307E-7</v>
      </c>
    </row>
    <row r="386" spans="1:40" x14ac:dyDescent="0.25">
      <c r="A386" s="2598" t="str">
        <f>'Income Eligble Deemed Table'!C1051</f>
        <v>405400_2019_12_</v>
      </c>
      <c r="B386" s="245" t="str">
        <f>'Income Eligble Deemed Table'!G1051</f>
        <v>Lighting RES</v>
      </c>
      <c r="C386" s="245"/>
      <c r="D386" s="245"/>
      <c r="E386" s="245"/>
      <c r="F386" s="245" t="str">
        <f>'Income Eligble Deemed Table'!E1051</f>
        <v>LED - 20W (CFL baseline) LIDI</v>
      </c>
      <c r="G386" s="745" t="str">
        <f>'Income Eligble Deemed Table'!D1051</f>
        <v>SFLI / MFLI</v>
      </c>
      <c r="H386" s="2410">
        <f>'Income Eligble Deemed Table'!F1051</f>
        <v>6.42</v>
      </c>
      <c r="I386" s="2410"/>
      <c r="J386" s="2452"/>
      <c r="K386" s="2452"/>
      <c r="L386" s="2452"/>
      <c r="M386" s="2452"/>
      <c r="N386" s="2411">
        <f>'Income Eligble Deemed Table'!M1051</f>
        <v>9.59E-4</v>
      </c>
      <c r="O386" s="2411"/>
      <c r="P386" s="2412"/>
      <c r="Q386" s="2412"/>
      <c r="R386" s="2412"/>
      <c r="S386" s="2412"/>
      <c r="T386" s="2413"/>
      <c r="U386" s="2413"/>
      <c r="V386" s="2413">
        <f t="shared" si="268"/>
        <v>9.59E-4</v>
      </c>
      <c r="W386" s="2460">
        <f>'Income Eligble Deemed Table'!N1051</f>
        <v>19</v>
      </c>
      <c r="X386" s="2460"/>
      <c r="Y386" s="94">
        <f t="shared" si="263"/>
        <v>19</v>
      </c>
      <c r="Z386" s="767">
        <f>'Income Eligble Deemed Table'!BB1051</f>
        <v>0.49806864030629089</v>
      </c>
      <c r="AA386" s="2419">
        <f>'Income Eligble Deemed Table'!P1051</f>
        <v>8</v>
      </c>
      <c r="AB386" s="2416">
        <f t="shared" si="269"/>
        <v>3.7607825601230074</v>
      </c>
      <c r="AC386" s="2416">
        <f t="shared" si="270"/>
        <v>0</v>
      </c>
      <c r="AD386" s="2446">
        <f>'Income Eligble Deemed Table'!BD1051</f>
        <v>3.7607825601230074</v>
      </c>
      <c r="AE386" s="2440"/>
      <c r="AF386" s="2440"/>
      <c r="AG386" s="2440"/>
      <c r="AL386" s="2380">
        <f t="shared" si="259"/>
        <v>1.4925290000000001E-4</v>
      </c>
      <c r="AM386">
        <f t="shared" si="262"/>
        <v>9.5820361800000005E-4</v>
      </c>
      <c r="AN386" s="2368">
        <f t="shared" si="260"/>
        <v>-7.9638199999994795E-7</v>
      </c>
    </row>
    <row r="387" spans="1:40" x14ac:dyDescent="0.25">
      <c r="A387" s="2598" t="str">
        <f>'Income Eligble Deemed Table'!C1144</f>
        <v>405450_2019_12_</v>
      </c>
      <c r="B387" s="245" t="str">
        <f>'Income Eligble Deemed Table'!G1144</f>
        <v>Miscellaneous RES</v>
      </c>
      <c r="C387" s="245"/>
      <c r="D387" s="245"/>
      <c r="E387" s="245"/>
      <c r="F387" s="245" t="str">
        <f>'Income Eligble Deemed Table'!E1144</f>
        <v>Advanced Tier 1 Power Strips / TOS/NC/DI - Home Office</v>
      </c>
      <c r="G387" s="745" t="str">
        <f>'Income Eligble Deemed Table'!D1144</f>
        <v>SFLI / MFLI</v>
      </c>
      <c r="H387" s="2410">
        <f>'Income Eligble Deemed Table'!F1144</f>
        <v>31</v>
      </c>
      <c r="I387" s="2410"/>
      <c r="J387" s="2452"/>
      <c r="K387" s="2452"/>
      <c r="L387" s="2452"/>
      <c r="M387" s="2452"/>
      <c r="N387" s="2411">
        <f>'Income Eligble Deemed Table'!I1144</f>
        <v>3.5599999999999998E-3</v>
      </c>
      <c r="O387" s="2411"/>
      <c r="P387" s="2412"/>
      <c r="Q387" s="2412"/>
      <c r="R387" s="2412"/>
      <c r="S387" s="2412"/>
      <c r="T387" s="2413">
        <v>0</v>
      </c>
      <c r="U387" s="2413">
        <f t="shared" ref="U387:U393" si="271">N387</f>
        <v>3.5599999999999998E-3</v>
      </c>
      <c r="V387" s="2413">
        <v>0</v>
      </c>
      <c r="W387" s="2460">
        <f>'Income Eligble Deemed Table'!J1144</f>
        <v>10</v>
      </c>
      <c r="X387" s="2460"/>
      <c r="Y387" s="94">
        <f t="shared" si="263"/>
        <v>10</v>
      </c>
      <c r="Z387" s="767">
        <f>'Income Eligble Deemed Table'!BB1144</f>
        <v>0.56629728930217338</v>
      </c>
      <c r="AA387" s="2419">
        <f>'Income Eligble Deemed Table'!K1144</f>
        <v>20</v>
      </c>
      <c r="AB387" s="2416">
        <f t="shared" si="269"/>
        <v>10.689896919342583</v>
      </c>
      <c r="AC387" s="2416">
        <f t="shared" si="270"/>
        <v>0</v>
      </c>
      <c r="AD387" s="2446">
        <f>'Income Eligble Deemed Table'!BD1144</f>
        <v>10.689896919342583</v>
      </c>
      <c r="AE387" s="2440"/>
      <c r="AF387" s="2440"/>
      <c r="AG387" s="2440"/>
      <c r="AL387" s="2380">
        <f t="shared" si="259"/>
        <v>1.148238E-4</v>
      </c>
      <c r="AM387">
        <f t="shared" si="262"/>
        <v>3.5595378E-3</v>
      </c>
      <c r="AN387" s="2368">
        <f t="shared" si="260"/>
        <v>-4.6219999999975309E-7</v>
      </c>
    </row>
    <row r="388" spans="1:40" x14ac:dyDescent="0.25">
      <c r="A388" s="2598" t="str">
        <f>'Income Eligble Deemed Table'!C1145</f>
        <v>405500_2019_12_</v>
      </c>
      <c r="B388" s="245" t="str">
        <f>'Income Eligble Deemed Table'!G1145</f>
        <v>Miscellaneous RES</v>
      </c>
      <c r="C388" s="245"/>
      <c r="D388" s="245"/>
      <c r="E388" s="245"/>
      <c r="F388" s="245" t="str">
        <f>'Income Eligble Deemed Table'!E1145</f>
        <v>Advanced Tier 1 Power Strips / Kits - Home Office</v>
      </c>
      <c r="G388" s="745" t="str">
        <f>'Income Eligble Deemed Table'!D1145</f>
        <v>SFLI / MFLI</v>
      </c>
      <c r="H388" s="2410">
        <f>'Income Eligble Deemed Table'!F1145</f>
        <v>24.18</v>
      </c>
      <c r="I388" s="2410"/>
      <c r="J388" s="2452"/>
      <c r="K388" s="2452"/>
      <c r="L388" s="2452"/>
      <c r="M388" s="2452"/>
      <c r="N388" s="2411">
        <f>'Income Eligble Deemed Table'!I1145</f>
        <v>2.7759999999999998E-3</v>
      </c>
      <c r="O388" s="2411"/>
      <c r="P388" s="2412"/>
      <c r="Q388" s="2412"/>
      <c r="R388" s="2412"/>
      <c r="S388" s="2412"/>
      <c r="T388" s="2413">
        <v>0</v>
      </c>
      <c r="U388" s="2413">
        <f t="shared" si="271"/>
        <v>2.7759999999999998E-3</v>
      </c>
      <c r="V388" s="2413">
        <v>0</v>
      </c>
      <c r="W388" s="2460">
        <f>'Income Eligble Deemed Table'!J1145</f>
        <v>10</v>
      </c>
      <c r="X388" s="2460"/>
      <c r="Y388" s="94">
        <f t="shared" ref="Y388:Y396" si="272">X388+W388</f>
        <v>10</v>
      </c>
      <c r="Z388" s="767">
        <f>'Income Eligble Deemed Table'!BB1145</f>
        <v>0.4417118856556953</v>
      </c>
      <c r="AA388" s="2419">
        <f>'Income Eligble Deemed Table'!K1145</f>
        <v>20</v>
      </c>
      <c r="AB388" s="2416">
        <f t="shared" si="269"/>
        <v>8.338119597087216</v>
      </c>
      <c r="AC388" s="2416">
        <f t="shared" si="270"/>
        <v>0</v>
      </c>
      <c r="AD388" s="2446">
        <f>'Income Eligble Deemed Table'!BD1145</f>
        <v>8.338119597087216</v>
      </c>
      <c r="AE388" s="2440"/>
      <c r="AF388" s="2440"/>
      <c r="AG388" s="2440"/>
      <c r="AL388" s="2380">
        <f t="shared" si="259"/>
        <v>1.148238E-4</v>
      </c>
      <c r="AM388">
        <f t="shared" si="262"/>
        <v>2.7764394839999997E-3</v>
      </c>
      <c r="AN388" s="2368">
        <f t="shared" si="260"/>
        <v>4.3948399999988244E-7</v>
      </c>
    </row>
    <row r="389" spans="1:40" x14ac:dyDescent="0.25">
      <c r="A389" s="2598" t="str">
        <f>'Income Eligble Deemed Table'!C1146</f>
        <v>405550_2019_12_</v>
      </c>
      <c r="B389" s="245" t="str">
        <f>'Income Eligble Deemed Table'!G1146</f>
        <v>Miscellaneous RES</v>
      </c>
      <c r="C389" s="245"/>
      <c r="D389" s="245"/>
      <c r="E389" s="245"/>
      <c r="F389" s="245" t="str">
        <f>'Income Eligble Deemed Table'!E1146</f>
        <v>Advanced Tier 1 Power Strips / TOS/NC/DI - Home Entertainment</v>
      </c>
      <c r="G389" s="745" t="str">
        <f>'Income Eligble Deemed Table'!D1146</f>
        <v>SFLI / MFLI</v>
      </c>
      <c r="H389" s="2410">
        <f>'Income Eligble Deemed Table'!F1146</f>
        <v>75.099999999999994</v>
      </c>
      <c r="I389" s="2410"/>
      <c r="J389" s="2452"/>
      <c r="K389" s="2452"/>
      <c r="L389" s="2452"/>
      <c r="M389" s="2452"/>
      <c r="N389" s="2411">
        <f>'Income Eligble Deemed Table'!I1146</f>
        <v>8.6230000000000005E-3</v>
      </c>
      <c r="O389" s="2411"/>
      <c r="P389" s="2412"/>
      <c r="Q389" s="2412"/>
      <c r="R389" s="2412"/>
      <c r="S389" s="2412"/>
      <c r="T389" s="2413">
        <v>0</v>
      </c>
      <c r="U389" s="2413">
        <f t="shared" si="271"/>
        <v>8.6230000000000005E-3</v>
      </c>
      <c r="V389" s="2413">
        <v>0</v>
      </c>
      <c r="W389" s="2460">
        <f>'Income Eligble Deemed Table'!J1146</f>
        <v>10</v>
      </c>
      <c r="X389" s="2460"/>
      <c r="Y389" s="94">
        <f t="shared" si="272"/>
        <v>10</v>
      </c>
      <c r="Z389" s="767">
        <f>'Income Eligble Deemed Table'!BB1146</f>
        <v>1.3719008524707492</v>
      </c>
      <c r="AA389" s="2419">
        <f>'Income Eligble Deemed Table'!K1146</f>
        <v>20</v>
      </c>
      <c r="AB389" s="2416">
        <f t="shared" si="269"/>
        <v>25.897137375568647</v>
      </c>
      <c r="AC389" s="2416">
        <f t="shared" si="270"/>
        <v>0</v>
      </c>
      <c r="AD389" s="2446">
        <f>'Income Eligble Deemed Table'!BD1146</f>
        <v>25.897137375568647</v>
      </c>
      <c r="AE389" s="2440"/>
      <c r="AF389" s="2440"/>
      <c r="AG389" s="2440"/>
      <c r="AL389" s="2380">
        <f t="shared" si="259"/>
        <v>1.148238E-4</v>
      </c>
      <c r="AM389">
        <f t="shared" si="262"/>
        <v>8.6232673799999989E-3</v>
      </c>
      <c r="AN389" s="2368">
        <f t="shared" si="260"/>
        <v>2.6737999999845719E-7</v>
      </c>
    </row>
    <row r="390" spans="1:40" x14ac:dyDescent="0.25">
      <c r="A390" s="2598" t="str">
        <f>'Income Eligble Deemed Table'!C1147</f>
        <v>405600_2019_12_</v>
      </c>
      <c r="B390" s="245" t="str">
        <f>'Income Eligble Deemed Table'!G1147</f>
        <v>Miscellaneous RES</v>
      </c>
      <c r="C390" s="245"/>
      <c r="D390" s="245"/>
      <c r="E390" s="245"/>
      <c r="F390" s="245" t="str">
        <f>'Income Eligble Deemed Table'!E1147</f>
        <v>Advanced Tier 1 Power Strips / Kits - Home Entertainment</v>
      </c>
      <c r="G390" s="745" t="str">
        <f>'Income Eligble Deemed Table'!D1147</f>
        <v>SFLI / MFLI</v>
      </c>
      <c r="H390" s="2410">
        <f>'Income Eligble Deemed Table'!F1147</f>
        <v>58.58</v>
      </c>
      <c r="I390" s="2410"/>
      <c r="J390" s="2452"/>
      <c r="K390" s="2452"/>
      <c r="L390" s="2452"/>
      <c r="M390" s="2452"/>
      <c r="N390" s="2411">
        <f>'Income Eligble Deemed Table'!I1147</f>
        <v>6.7260000000000002E-3</v>
      </c>
      <c r="O390" s="2411"/>
      <c r="P390" s="2412"/>
      <c r="Q390" s="2412"/>
      <c r="R390" s="2412"/>
      <c r="S390" s="2412"/>
      <c r="T390" s="2413">
        <v>0</v>
      </c>
      <c r="U390" s="2413">
        <f t="shared" si="271"/>
        <v>6.7260000000000002E-3</v>
      </c>
      <c r="V390" s="2413">
        <v>0</v>
      </c>
      <c r="W390" s="2460">
        <f>'Income Eligble Deemed Table'!J1147</f>
        <v>10</v>
      </c>
      <c r="X390" s="2460"/>
      <c r="Y390" s="94">
        <f t="shared" si="272"/>
        <v>10</v>
      </c>
      <c r="Z390" s="767">
        <f>'Income Eligble Deemed Table'!BB1147</f>
        <v>1.0701192002361717</v>
      </c>
      <c r="AA390" s="2419">
        <f>'Income Eligble Deemed Table'!K1147</f>
        <v>20</v>
      </c>
      <c r="AB390" s="2416">
        <f t="shared" si="269"/>
        <v>20.200456823712535</v>
      </c>
      <c r="AC390" s="2416">
        <f t="shared" si="270"/>
        <v>0</v>
      </c>
      <c r="AD390" s="2446">
        <f>'Income Eligble Deemed Table'!BD1147</f>
        <v>20.200456823712535</v>
      </c>
      <c r="AE390" s="2440"/>
      <c r="AF390" s="2440"/>
      <c r="AG390" s="2440"/>
      <c r="AL390" s="2380">
        <f t="shared" si="259"/>
        <v>1.148238E-4</v>
      </c>
      <c r="AM390">
        <f t="shared" si="262"/>
        <v>6.7263782039999999E-3</v>
      </c>
      <c r="AN390" s="2368">
        <f t="shared" si="260"/>
        <v>3.7820399999971555E-7</v>
      </c>
    </row>
    <row r="391" spans="1:40" x14ac:dyDescent="0.25">
      <c r="A391" s="2598" t="str">
        <f>'Income Eligble Deemed Table'!C1148</f>
        <v>405650_2019_12_</v>
      </c>
      <c r="B391" s="245" t="str">
        <f>'Income Eligble Deemed Table'!G1148</f>
        <v>Miscellaneous RES</v>
      </c>
      <c r="C391" s="245"/>
      <c r="D391" s="245"/>
      <c r="E391" s="245"/>
      <c r="F391" s="245" t="str">
        <f>'Income Eligble Deemed Table'!E1148</f>
        <v>Advanced Tier 1 Power Strips / TOS/NC/DI - Unknown Location</v>
      </c>
      <c r="G391" s="745" t="str">
        <f>'Income Eligble Deemed Table'!D1148</f>
        <v>SFLI / MFLI</v>
      </c>
      <c r="H391" s="2410">
        <f>'Income Eligble Deemed Table'!F1148</f>
        <v>59.22</v>
      </c>
      <c r="I391" s="2410"/>
      <c r="J391" s="2452"/>
      <c r="K391" s="2452"/>
      <c r="L391" s="2452"/>
      <c r="M391" s="2452"/>
      <c r="N391" s="2411">
        <f>'Income Eligble Deemed Table'!I1148</f>
        <v>6.7999999999999996E-3</v>
      </c>
      <c r="O391" s="2411"/>
      <c r="P391" s="2412"/>
      <c r="Q391" s="2412"/>
      <c r="R391" s="2412"/>
      <c r="S391" s="2412"/>
      <c r="T391" s="2413">
        <v>0</v>
      </c>
      <c r="U391" s="2413">
        <f t="shared" si="271"/>
        <v>6.7999999999999996E-3</v>
      </c>
      <c r="V391" s="2413">
        <v>0</v>
      </c>
      <c r="W391" s="2460">
        <f>'Income Eligble Deemed Table'!J1148</f>
        <v>10</v>
      </c>
      <c r="X391" s="2460"/>
      <c r="Y391" s="94">
        <f t="shared" si="272"/>
        <v>10</v>
      </c>
      <c r="Z391" s="767">
        <f>'Income Eligble Deemed Table'!BB1148</f>
        <v>1.0818104991120874</v>
      </c>
      <c r="AA391" s="2419">
        <f>'Income Eligble Deemed Table'!K1148</f>
        <v>20</v>
      </c>
      <c r="AB391" s="2416">
        <f t="shared" si="269"/>
        <v>20.421151469789283</v>
      </c>
      <c r="AC391" s="2416">
        <f t="shared" si="270"/>
        <v>0</v>
      </c>
      <c r="AD391" s="2446">
        <f>'Income Eligble Deemed Table'!BD1148</f>
        <v>20.421151469789283</v>
      </c>
      <c r="AE391" s="2440"/>
      <c r="AF391" s="2440"/>
      <c r="AG391" s="2440"/>
      <c r="AL391" s="2380">
        <f t="shared" si="259"/>
        <v>1.148238E-4</v>
      </c>
      <c r="AM391">
        <f t="shared" si="262"/>
        <v>6.7998654359999995E-3</v>
      </c>
      <c r="AN391" s="2368">
        <f t="shared" si="260"/>
        <v>-1.3456400000007307E-7</v>
      </c>
    </row>
    <row r="392" spans="1:40" x14ac:dyDescent="0.25">
      <c r="A392" s="2598" t="str">
        <f>'Income Eligble Deemed Table'!C1149</f>
        <v>405700_2019_12_</v>
      </c>
      <c r="B392" s="245" t="str">
        <f>'Income Eligble Deemed Table'!G1149</f>
        <v>Miscellaneous RES</v>
      </c>
      <c r="C392" s="245"/>
      <c r="D392" s="245"/>
      <c r="E392" s="245"/>
      <c r="F392" s="245" t="str">
        <f>'Income Eligble Deemed Table'!E1149</f>
        <v>Advanced Tier 1 Power  / Kits - Unknown Location</v>
      </c>
      <c r="G392" s="745" t="str">
        <f>'Income Eligble Deemed Table'!D1149</f>
        <v>SFLI / MFLI</v>
      </c>
      <c r="H392" s="2410">
        <f>'Income Eligble Deemed Table'!F1149</f>
        <v>42.07</v>
      </c>
      <c r="I392" s="2410"/>
      <c r="J392" s="2452"/>
      <c r="K392" s="2452"/>
      <c r="L392" s="2452"/>
      <c r="M392" s="2452"/>
      <c r="N392" s="2411">
        <f>'Income Eligble Deemed Table'!I1149</f>
        <v>4.8310000000000002E-3</v>
      </c>
      <c r="O392" s="2411"/>
      <c r="P392" s="2412"/>
      <c r="Q392" s="2412"/>
      <c r="R392" s="2412"/>
      <c r="S392" s="2412"/>
      <c r="T392" s="2413">
        <v>0</v>
      </c>
      <c r="U392" s="2413">
        <f t="shared" si="271"/>
        <v>4.8310000000000002E-3</v>
      </c>
      <c r="V392" s="2413">
        <v>0</v>
      </c>
      <c r="W392" s="2460">
        <f>'Income Eligble Deemed Table'!J1149</f>
        <v>10</v>
      </c>
      <c r="X392" s="2460"/>
      <c r="Y392" s="94">
        <f t="shared" si="272"/>
        <v>10</v>
      </c>
      <c r="Z392" s="767">
        <f>'Income Eligble Deemed Table'!BB1149</f>
        <v>0.76852022454653024</v>
      </c>
      <c r="AA392" s="2419">
        <f>'Income Eligble Deemed Table'!K1149</f>
        <v>20</v>
      </c>
      <c r="AB392" s="2416">
        <f t="shared" si="269"/>
        <v>14.507224625701372</v>
      </c>
      <c r="AC392" s="2416">
        <f t="shared" si="270"/>
        <v>0</v>
      </c>
      <c r="AD392" s="2446">
        <f>'Income Eligble Deemed Table'!BD1149</f>
        <v>14.507224625701372</v>
      </c>
      <c r="AE392" s="2440"/>
      <c r="AF392" s="2440"/>
      <c r="AG392" s="2440"/>
      <c r="AL392" s="2380">
        <f t="shared" si="259"/>
        <v>1.148238E-4</v>
      </c>
      <c r="AM392">
        <f t="shared" si="262"/>
        <v>4.8306372660000003E-3</v>
      </c>
      <c r="AN392" s="2368">
        <f t="shared" si="260"/>
        <v>-3.6273399999994793E-7</v>
      </c>
    </row>
    <row r="393" spans="1:40" x14ac:dyDescent="0.25">
      <c r="A393" s="2598" t="str">
        <f>'Income Eligble Deemed Table'!C1150</f>
        <v>405750_2019_12_</v>
      </c>
      <c r="B393" s="245" t="str">
        <f>'Income Eligble Deemed Table'!G1150</f>
        <v>Miscellaneous RES</v>
      </c>
      <c r="C393" s="245"/>
      <c r="D393" s="245"/>
      <c r="E393" s="245"/>
      <c r="F393" s="245" t="str">
        <f>'Income Eligble Deemed Table'!E1150</f>
        <v>Advanced Tier 1 Power Strips / Average</v>
      </c>
      <c r="G393" s="745" t="str">
        <f>'Income Eligble Deemed Table'!D1150</f>
        <v>SFLI / MFLI</v>
      </c>
      <c r="H393" s="2410">
        <f>'Income Eligble Deemed Table'!F1150</f>
        <v>162</v>
      </c>
      <c r="I393" s="2410"/>
      <c r="J393" s="2452"/>
      <c r="K393" s="2452"/>
      <c r="L393" s="2452"/>
      <c r="M393" s="2452"/>
      <c r="N393" s="2411">
        <f>'Income Eligble Deemed Table'!I1150</f>
        <v>1.8600999999999999E-2</v>
      </c>
      <c r="O393" s="2411"/>
      <c r="P393" s="2412"/>
      <c r="Q393" s="2412"/>
      <c r="R393" s="2412"/>
      <c r="S393" s="2412"/>
      <c r="T393" s="2413">
        <v>0</v>
      </c>
      <c r="U393" s="2413">
        <f t="shared" si="271"/>
        <v>1.8600999999999999E-2</v>
      </c>
      <c r="V393" s="2413">
        <v>0</v>
      </c>
      <c r="W393" s="2460">
        <f>'Income Eligble Deemed Table'!J1150</f>
        <v>10</v>
      </c>
      <c r="X393" s="2460"/>
      <c r="Y393" s="94">
        <f t="shared" si="272"/>
        <v>10</v>
      </c>
      <c r="Z393" s="767">
        <f>'Income Eligble Deemed Table'!BB1150</f>
        <v>1.9729066853107977</v>
      </c>
      <c r="AA393" s="2419">
        <f>'Income Eligble Deemed Table'!K1150</f>
        <v>30</v>
      </c>
      <c r="AB393" s="2416">
        <f t="shared" si="269"/>
        <v>55.863332288177375</v>
      </c>
      <c r="AC393" s="2416">
        <f t="shared" si="270"/>
        <v>0</v>
      </c>
      <c r="AD393" s="2446">
        <f>'Income Eligble Deemed Table'!BD1150</f>
        <v>55.863332288177375</v>
      </c>
      <c r="AE393" s="2440"/>
      <c r="AF393" s="2440"/>
      <c r="AG393" s="2440"/>
      <c r="AL393" s="2380">
        <f t="shared" si="259"/>
        <v>1.148238E-4</v>
      </c>
      <c r="AM393">
        <f t="shared" si="262"/>
        <v>1.86014556E-2</v>
      </c>
      <c r="AN393" s="2368">
        <f t="shared" si="260"/>
        <v>4.5560000000097189E-7</v>
      </c>
    </row>
    <row r="394" spans="1:40" x14ac:dyDescent="0.25">
      <c r="A394" s="2598" t="str">
        <f>'Income Eligble Deemed Table'!C1172</f>
        <v>405800_2019_12_</v>
      </c>
      <c r="B394" s="245" t="str">
        <f>'Income Eligble Deemed Table'!G1172</f>
        <v>Refrigeration RES</v>
      </c>
      <c r="C394" s="245" t="str">
        <f>'Income Eligble Deemed Table'!G1173</f>
        <v>Refrigeration RES ER2</v>
      </c>
      <c r="D394" s="245"/>
      <c r="E394" s="245"/>
      <c r="F394" s="245" t="str">
        <f>'Income Eligble Deemed Table'!E1172</f>
        <v>Refrigerator - early replacement ER1</v>
      </c>
      <c r="G394" s="745" t="str">
        <f>'Income Eligble Deemed Table'!D1172</f>
        <v>SFLI / MFLI</v>
      </c>
      <c r="H394" s="2410">
        <f>'Income Eligble Deemed Table'!F1172</f>
        <v>564.66</v>
      </c>
      <c r="I394" s="2410">
        <f>'Income Eligble Deemed Table'!F1173</f>
        <v>46.72</v>
      </c>
      <c r="J394" s="2452"/>
      <c r="K394" s="2452"/>
      <c r="L394" s="2452"/>
      <c r="M394" s="2452"/>
      <c r="N394" s="2411">
        <f>'Income Eligble Deemed Table'!I1172</f>
        <v>7.2621000000000005E-2</v>
      </c>
      <c r="O394" s="2411">
        <f>'Income Eligble Deemed Table'!I1173</f>
        <v>6.0089999999999996E-3</v>
      </c>
      <c r="P394" s="2412"/>
      <c r="Q394" s="2412"/>
      <c r="R394" s="2412"/>
      <c r="S394" s="2412"/>
      <c r="T394" s="2413">
        <v>0</v>
      </c>
      <c r="U394" s="2424">
        <f>O394</f>
        <v>6.0089999999999996E-3</v>
      </c>
      <c r="V394" s="2413">
        <v>0</v>
      </c>
      <c r="W394" s="2460">
        <f>'Income Eligble Deemed Table'!J1172</f>
        <v>6</v>
      </c>
      <c r="X394" s="2460">
        <f>'Income Eligble Deemed Table'!J1173</f>
        <v>11</v>
      </c>
      <c r="Y394" s="94">
        <f t="shared" si="272"/>
        <v>17</v>
      </c>
      <c r="Z394" s="767">
        <f>'Income Eligble Deemed Table'!BB1172</f>
        <v>0.18847747808723556</v>
      </c>
      <c r="AA394" s="2419">
        <f>'Income Eligble Deemed Table'!K1172</f>
        <v>753</v>
      </c>
      <c r="AB394" s="2416">
        <f t="shared" si="269"/>
        <v>117.12499089042501</v>
      </c>
      <c r="AC394" s="2416">
        <f t="shared" si="270"/>
        <v>16.828327655765037</v>
      </c>
      <c r="AD394" s="2446">
        <f>'Income Eligble Deemed Table'!BD1172</f>
        <v>117.12499089042501</v>
      </c>
      <c r="AE394" s="2440"/>
      <c r="AF394" s="2447">
        <f>'Income Eligble Deemed Table'!BD1173</f>
        <v>16.828327655765037</v>
      </c>
      <c r="AG394" s="2440"/>
      <c r="AL394" s="2380">
        <f t="shared" si="259"/>
        <v>1.286107E-4</v>
      </c>
      <c r="AM394">
        <f t="shared" ref="AM394:AM425" si="273">AL394*H394</f>
        <v>7.262131786199999E-2</v>
      </c>
      <c r="AN394" s="2368">
        <f t="shared" si="260"/>
        <v>3.1786199998495857E-7</v>
      </c>
    </row>
    <row r="395" spans="1:40" x14ac:dyDescent="0.25">
      <c r="A395" s="2598" t="str">
        <f>'Income Eligble Deemed Table'!C1174</f>
        <v>405825_2019_12_</v>
      </c>
      <c r="B395" s="245" t="str">
        <f>'Income Eligble Deemed Table'!G1174</f>
        <v>Refrigeration RES</v>
      </c>
      <c r="C395" s="245" t="str">
        <f>'Income Eligble Deemed Table'!G1175</f>
        <v>Refrigeration RES ER2</v>
      </c>
      <c r="D395" s="245"/>
      <c r="E395" s="245"/>
      <c r="F395" s="245" t="str">
        <f>'Income Eligble Deemed Table'!E1174</f>
        <v>Refrigerator - Pre 1993 - ER1</v>
      </c>
      <c r="G395" s="745" t="str">
        <f>'Income Eligble Deemed Table'!D1174</f>
        <v>SFLI / MFLI</v>
      </c>
      <c r="H395" s="2410">
        <f>'Income Eligble Deemed Table'!F1174</f>
        <v>1269.9100000000001</v>
      </c>
      <c r="I395" s="2410">
        <f>'Income Eligble Deemed Table'!F1175</f>
        <v>46.72</v>
      </c>
      <c r="J395" s="2452"/>
      <c r="K395" s="2452"/>
      <c r="L395" s="2452"/>
      <c r="M395" s="2452"/>
      <c r="N395" s="2411">
        <f>'Income Eligble Deemed Table'!I1174</f>
        <v>0.163324</v>
      </c>
      <c r="O395" s="2411">
        <f>'Income Eligble Deemed Table'!I1175</f>
        <v>6.0089999999999996E-3</v>
      </c>
      <c r="P395" s="2412"/>
      <c r="Q395" s="2412"/>
      <c r="R395" s="2412"/>
      <c r="S395" s="2412"/>
      <c r="T395" s="2413">
        <v>0</v>
      </c>
      <c r="U395" s="2424">
        <f>O395</f>
        <v>6.0089999999999996E-3</v>
      </c>
      <c r="V395" s="2413">
        <v>0</v>
      </c>
      <c r="W395" s="2460">
        <f>'Income Eligble Deemed Table'!J1174</f>
        <v>6</v>
      </c>
      <c r="X395" s="2460">
        <f>'Income Eligble Deemed Table'!J1175</f>
        <v>11</v>
      </c>
      <c r="Y395" s="94">
        <f t="shared" si="272"/>
        <v>17</v>
      </c>
      <c r="Z395" s="767">
        <f>'Income Eligble Deemed Table'!BB1174</f>
        <v>0.39430887713969415</v>
      </c>
      <c r="AA395" s="2419">
        <f>'Income Eligble Deemed Table'!K1174</f>
        <v>753</v>
      </c>
      <c r="AB395" s="2416">
        <f t="shared" si="269"/>
        <v>263.41195973091709</v>
      </c>
      <c r="AC395" s="2416">
        <f t="shared" si="270"/>
        <v>16.828327655765037</v>
      </c>
      <c r="AD395" s="2446">
        <f>'Income Eligble Deemed Table'!BD1174</f>
        <v>263.41195973091709</v>
      </c>
      <c r="AE395" s="2440"/>
      <c r="AF395" s="2447">
        <f>'Income Eligble Deemed Table'!BD1175</f>
        <v>16.828327655765037</v>
      </c>
      <c r="AG395" s="2440"/>
      <c r="AL395" s="2380">
        <f t="shared" si="259"/>
        <v>1.286107E-4</v>
      </c>
      <c r="AM395">
        <f t="shared" si="273"/>
        <v>0.163324014037</v>
      </c>
      <c r="AN395" s="2368">
        <f t="shared" si="260"/>
        <v>1.4037000006794642E-8</v>
      </c>
    </row>
    <row r="396" spans="1:40" x14ac:dyDescent="0.25">
      <c r="A396" s="2598" t="str">
        <f>'Income Eligble Deemed Table'!C1208</f>
        <v>405850_2019_12_</v>
      </c>
      <c r="B396" s="245" t="str">
        <f>'Income Eligble Deemed Table'!G1208</f>
        <v>Cooling RES</v>
      </c>
      <c r="C396" s="245"/>
      <c r="D396" s="245"/>
      <c r="E396" s="245"/>
      <c r="F396" s="245" t="str">
        <f>'Income Eligble Deemed Table'!E1208</f>
        <v>AC - Energy Star Room _unknown size_Thru-Wall_MF</v>
      </c>
      <c r="G396" s="745" t="str">
        <f>'Income Eligble Deemed Table'!D1208</f>
        <v>MFLI</v>
      </c>
      <c r="H396" s="2420">
        <f t="shared" ref="H396:H419" si="274">J396+K396</f>
        <v>195.22</v>
      </c>
      <c r="I396" s="2420">
        <f t="shared" ref="I396:I419" si="275">L396+M396</f>
        <v>0</v>
      </c>
      <c r="J396" s="2452">
        <f>'Income Eligble Deemed Table'!F1208</f>
        <v>195.22</v>
      </c>
      <c r="K396" s="2452"/>
      <c r="L396" s="2452"/>
      <c r="M396" s="2452"/>
      <c r="N396" s="2421">
        <f t="shared" ref="N396:N419" si="276">P396+Q396</f>
        <v>0.18495500000000001</v>
      </c>
      <c r="O396" s="2421">
        <f t="shared" ref="O396:O419" si="277">R396+S396</f>
        <v>0</v>
      </c>
      <c r="P396" s="2412">
        <f>'Income Eligble Deemed Table'!I1208</f>
        <v>0.18495500000000001</v>
      </c>
      <c r="Q396" s="2412"/>
      <c r="R396" s="2412"/>
      <c r="S396" s="2412"/>
      <c r="T396" s="2413">
        <f>N396</f>
        <v>0.18495500000000001</v>
      </c>
      <c r="U396" s="2413"/>
      <c r="V396" s="2413"/>
      <c r="W396" s="2460">
        <f>'Income Eligble Deemed Table'!J1208</f>
        <v>9</v>
      </c>
      <c r="X396" s="2460"/>
      <c r="Y396" s="94">
        <f t="shared" si="272"/>
        <v>9</v>
      </c>
      <c r="Z396" s="767">
        <f>'Income Eligble Deemed Table'!BB1208</f>
        <v>9.4699752003868074</v>
      </c>
      <c r="AA396" s="2419">
        <f>'Income Eligble Deemed Table'!K1208</f>
        <v>20</v>
      </c>
      <c r="AB396" s="2416">
        <f t="shared" si="269"/>
        <v>178.76309958257303</v>
      </c>
      <c r="AC396" s="2416">
        <f t="shared" si="270"/>
        <v>0</v>
      </c>
      <c r="AD396" s="2446">
        <f>'Income Eligble Deemed Table'!BD1208</f>
        <v>178.76309958257303</v>
      </c>
      <c r="AE396" s="2440"/>
      <c r="AF396" s="2440"/>
      <c r="AG396" s="2440"/>
      <c r="AL396" s="2380">
        <f t="shared" si="259"/>
        <v>9.4741810000000004E-4</v>
      </c>
      <c r="AM396">
        <f t="shared" si="273"/>
        <v>0.184954961482</v>
      </c>
      <c r="AN396" s="2368">
        <f t="shared" si="260"/>
        <v>-3.851800001175576E-8</v>
      </c>
    </row>
    <row r="397" spans="1:40" x14ac:dyDescent="0.25">
      <c r="A397" s="2598" t="str">
        <f>'Income Eligble Deemed Table'!C1209</f>
        <v>405900_2019_12_</v>
      </c>
      <c r="B397" s="245" t="str">
        <f>'Income Eligble Deemed Table'!G1209</f>
        <v>Cooling RES</v>
      </c>
      <c r="C397" s="245"/>
      <c r="D397" s="245"/>
      <c r="E397" s="245"/>
      <c r="F397" s="245" t="str">
        <f>'Income Eligble Deemed Table'!E1209</f>
        <v>AC - Energy Star Room  _unknown size_Thru-Wall_SF</v>
      </c>
      <c r="G397" s="745" t="str">
        <f>'Income Eligble Deemed Table'!D1209</f>
        <v>SFLI</v>
      </c>
      <c r="H397" s="2420">
        <f t="shared" si="274"/>
        <v>76.92</v>
      </c>
      <c r="I397" s="2420">
        <f t="shared" si="275"/>
        <v>0</v>
      </c>
      <c r="J397" s="2452">
        <f>'Income Eligble Deemed Table'!F1209</f>
        <v>76.92</v>
      </c>
      <c r="K397" s="2452"/>
      <c r="L397" s="2452"/>
      <c r="M397" s="2452"/>
      <c r="N397" s="2421">
        <f t="shared" si="276"/>
        <v>7.2874999999999995E-2</v>
      </c>
      <c r="O397" s="2421">
        <f t="shared" si="277"/>
        <v>0</v>
      </c>
      <c r="P397" s="2412">
        <f>'Income Eligble Deemed Table'!I1209</f>
        <v>7.2874999999999995E-2</v>
      </c>
      <c r="Q397" s="2412"/>
      <c r="R397" s="2412"/>
      <c r="S397" s="2412"/>
      <c r="T397" s="2413">
        <f t="shared" ref="T397:T428" si="278">N397</f>
        <v>7.2874999999999995E-2</v>
      </c>
      <c r="U397" s="2413"/>
      <c r="V397" s="2413"/>
      <c r="W397" s="2460">
        <f>'Income Eligble Deemed Table'!J1209</f>
        <v>9</v>
      </c>
      <c r="X397" s="2460"/>
      <c r="Y397" s="94">
        <f t="shared" ref="Y397:Y461" si="279">X397+W397</f>
        <v>9</v>
      </c>
      <c r="Z397" s="767">
        <f>'Income Eligble Deemed Table'!BB1209</f>
        <v>3.7313312796524603</v>
      </c>
      <c r="AA397" s="2419">
        <f>'Income Eligble Deemed Table'!K1209</f>
        <v>20</v>
      </c>
      <c r="AB397" s="2416">
        <f t="shared" si="269"/>
        <v>70.435701362009624</v>
      </c>
      <c r="AC397" s="2416">
        <f t="shared" si="270"/>
        <v>0</v>
      </c>
      <c r="AD397" s="2446">
        <f>'Income Eligble Deemed Table'!BD1209</f>
        <v>70.435701362009624</v>
      </c>
      <c r="AE397" s="2440"/>
      <c r="AF397" s="2440"/>
      <c r="AG397" s="2440"/>
      <c r="AL397" s="2380">
        <f t="shared" si="259"/>
        <v>9.4741810000000004E-4</v>
      </c>
      <c r="AM397">
        <f t="shared" si="273"/>
        <v>7.2875400252000011E-2</v>
      </c>
      <c r="AN397" s="2368">
        <f t="shared" si="260"/>
        <v>4.0025200001569949E-7</v>
      </c>
    </row>
    <row r="398" spans="1:40" x14ac:dyDescent="0.25">
      <c r="A398" s="2598" t="str">
        <f>'Income Eligble Deemed Table'!C1210</f>
        <v>405950_2019_12_</v>
      </c>
      <c r="B398" s="245" t="str">
        <f>'Income Eligble Deemed Table'!G1210</f>
        <v>Cooling RES</v>
      </c>
      <c r="C398" s="245"/>
      <c r="D398" s="245"/>
      <c r="E398" s="245"/>
      <c r="F398" s="245" t="str">
        <f>'Income Eligble Deemed Table'!E1210</f>
        <v>AC - Energy Star Room _unknown size_MF</v>
      </c>
      <c r="G398" s="745" t="str">
        <f>'Income Eligble Deemed Table'!D1210</f>
        <v>MFLI</v>
      </c>
      <c r="H398" s="2420">
        <f t="shared" si="274"/>
        <v>195.22</v>
      </c>
      <c r="I398" s="2420">
        <f t="shared" si="275"/>
        <v>0</v>
      </c>
      <c r="J398" s="2452">
        <f>'Income Eligble Deemed Table'!F1210</f>
        <v>195.22</v>
      </c>
      <c r="K398" s="2452"/>
      <c r="L398" s="2452"/>
      <c r="M398" s="2452"/>
      <c r="N398" s="2421">
        <f t="shared" si="276"/>
        <v>0.18495500000000001</v>
      </c>
      <c r="O398" s="2421">
        <f t="shared" si="277"/>
        <v>0</v>
      </c>
      <c r="P398" s="2412">
        <f>'Income Eligble Deemed Table'!I1210</f>
        <v>0.18495500000000001</v>
      </c>
      <c r="Q398" s="2412"/>
      <c r="R398" s="2412"/>
      <c r="S398" s="2412"/>
      <c r="T398" s="2413">
        <f t="shared" si="278"/>
        <v>0.18495500000000001</v>
      </c>
      <c r="U398" s="2413"/>
      <c r="V398" s="2413"/>
      <c r="W398" s="2460">
        <f>'Income Eligble Deemed Table'!J1210</f>
        <v>9</v>
      </c>
      <c r="X398" s="2460"/>
      <c r="Y398" s="94">
        <f t="shared" si="279"/>
        <v>9</v>
      </c>
      <c r="Z398" s="767">
        <f>'Income Eligble Deemed Table'!BB1210</f>
        <v>9.4699752003868074</v>
      </c>
      <c r="AA398" s="2419">
        <f>'Income Eligble Deemed Table'!K1210</f>
        <v>20</v>
      </c>
      <c r="AB398" s="2416">
        <f t="shared" si="269"/>
        <v>178.76309958257303</v>
      </c>
      <c r="AC398" s="2416">
        <f t="shared" si="270"/>
        <v>0</v>
      </c>
      <c r="AD398" s="2446">
        <f>'Income Eligble Deemed Table'!BD1210</f>
        <v>178.76309958257303</v>
      </c>
      <c r="AE398" s="2440"/>
      <c r="AF398" s="2440"/>
      <c r="AG398" s="2440"/>
      <c r="AL398" s="2380">
        <f t="shared" si="259"/>
        <v>9.4741810000000004E-4</v>
      </c>
      <c r="AM398">
        <f t="shared" si="273"/>
        <v>0.184954961482</v>
      </c>
      <c r="AN398" s="2368">
        <f t="shared" si="260"/>
        <v>-3.851800001175576E-8</v>
      </c>
    </row>
    <row r="399" spans="1:40" x14ac:dyDescent="0.25">
      <c r="A399" s="2598" t="str">
        <f>'Income Eligble Deemed Table'!C1211</f>
        <v>406000_2019_12_</v>
      </c>
      <c r="B399" s="245" t="str">
        <f>'Income Eligble Deemed Table'!G1211</f>
        <v>Cooling RES</v>
      </c>
      <c r="C399" s="245"/>
      <c r="D399" s="245"/>
      <c r="E399" s="245"/>
      <c r="F399" s="245" t="str">
        <f>'Income Eligble Deemed Table'!E1211</f>
        <v>AC - Energy Star Room _unknown size_SF</v>
      </c>
      <c r="G399" s="745" t="str">
        <f>'Income Eligble Deemed Table'!D1211</f>
        <v>SFLI</v>
      </c>
      <c r="H399" s="2420">
        <f t="shared" si="274"/>
        <v>76.92</v>
      </c>
      <c r="I399" s="2420">
        <f t="shared" si="275"/>
        <v>0</v>
      </c>
      <c r="J399" s="2452">
        <f>'Income Eligble Deemed Table'!F1211</f>
        <v>76.92</v>
      </c>
      <c r="K399" s="2452"/>
      <c r="L399" s="2452"/>
      <c r="M399" s="2452"/>
      <c r="N399" s="2421">
        <f t="shared" si="276"/>
        <v>7.2874999999999995E-2</v>
      </c>
      <c r="O399" s="2421">
        <f t="shared" si="277"/>
        <v>0</v>
      </c>
      <c r="P399" s="2412">
        <f>'Income Eligble Deemed Table'!I1211</f>
        <v>7.2874999999999995E-2</v>
      </c>
      <c r="Q399" s="2412"/>
      <c r="R399" s="2412"/>
      <c r="S399" s="2412"/>
      <c r="T399" s="2413">
        <f t="shared" si="278"/>
        <v>7.2874999999999995E-2</v>
      </c>
      <c r="U399" s="2413"/>
      <c r="V399" s="2413"/>
      <c r="W399" s="2460">
        <f>'Income Eligble Deemed Table'!J1211</f>
        <v>9</v>
      </c>
      <c r="X399" s="2460"/>
      <c r="Y399" s="94">
        <f t="shared" si="279"/>
        <v>9</v>
      </c>
      <c r="Z399" s="767">
        <f>'Income Eligble Deemed Table'!BB1211</f>
        <v>3.7313312796524603</v>
      </c>
      <c r="AA399" s="2419">
        <f>'Income Eligble Deemed Table'!K1211</f>
        <v>20</v>
      </c>
      <c r="AB399" s="2416">
        <f t="shared" si="269"/>
        <v>70.435701362009624</v>
      </c>
      <c r="AC399" s="2416">
        <f t="shared" si="270"/>
        <v>0</v>
      </c>
      <c r="AD399" s="2446">
        <f>'Income Eligble Deemed Table'!BD1211</f>
        <v>70.435701362009624</v>
      </c>
      <c r="AE399" s="2440"/>
      <c r="AF399" s="2440"/>
      <c r="AG399" s="2440"/>
      <c r="AL399" s="2380">
        <f t="shared" si="259"/>
        <v>9.4741810000000004E-4</v>
      </c>
      <c r="AM399">
        <f t="shared" si="273"/>
        <v>7.2875400252000011E-2</v>
      </c>
      <c r="AN399" s="2368">
        <f t="shared" si="260"/>
        <v>4.0025200001569949E-7</v>
      </c>
    </row>
    <row r="400" spans="1:40" x14ac:dyDescent="0.25">
      <c r="A400" s="2598" t="str">
        <f>'Income Eligble Deemed Table'!C1212</f>
        <v>405851_2019_12_</v>
      </c>
      <c r="B400" s="245" t="str">
        <f>'Income Eligble Deemed Table'!G1212</f>
        <v>Cooling RES</v>
      </c>
      <c r="C400" s="245"/>
      <c r="D400" s="245"/>
      <c r="E400" s="245"/>
      <c r="F400" s="245" t="str">
        <f>'Income Eligble Deemed Table'!E1212</f>
        <v>AC - Energy Star Room _5kBtu_Thru-Wall_MF</v>
      </c>
      <c r="G400" s="745" t="str">
        <f>'Income Eligble Deemed Table'!D1212</f>
        <v>MFLI</v>
      </c>
      <c r="H400" s="2420">
        <f t="shared" si="274"/>
        <v>83.11</v>
      </c>
      <c r="I400" s="2420">
        <f t="shared" si="275"/>
        <v>0</v>
      </c>
      <c r="J400" s="2452">
        <f>'Income Eligble Deemed Table'!F1212</f>
        <v>83.11</v>
      </c>
      <c r="K400" s="2452"/>
      <c r="L400" s="2452"/>
      <c r="M400" s="2452"/>
      <c r="N400" s="2421">
        <f t="shared" si="276"/>
        <v>7.8740000000000004E-2</v>
      </c>
      <c r="O400" s="2421">
        <f t="shared" si="277"/>
        <v>0</v>
      </c>
      <c r="P400" s="2412">
        <f>'Income Eligble Deemed Table'!I1212</f>
        <v>7.8740000000000004E-2</v>
      </c>
      <c r="Q400" s="2412"/>
      <c r="R400" s="2412"/>
      <c r="S400" s="2412"/>
      <c r="T400" s="2413">
        <f t="shared" si="278"/>
        <v>7.8740000000000004E-2</v>
      </c>
      <c r="U400" s="2413"/>
      <c r="V400" s="2413"/>
      <c r="W400" s="2460">
        <f>'Income Eligble Deemed Table'!J1212</f>
        <v>9</v>
      </c>
      <c r="X400" s="2460"/>
      <c r="Y400" s="94">
        <f t="shared" si="279"/>
        <v>9</v>
      </c>
      <c r="Z400" s="767">
        <f>'Income Eligble Deemed Table'!BB1212</f>
        <v>4.0316035186156522</v>
      </c>
      <c r="AA400" s="2419">
        <f>'Income Eligble Deemed Table'!K1212</f>
        <v>20</v>
      </c>
      <c r="AB400" s="2416">
        <f t="shared" si="269"/>
        <v>76.103888978115179</v>
      </c>
      <c r="AC400" s="2416">
        <f t="shared" si="270"/>
        <v>0</v>
      </c>
      <c r="AD400" s="2446">
        <f>'Income Eligble Deemed Table'!BD1212</f>
        <v>76.103888978115179</v>
      </c>
      <c r="AE400" s="2440"/>
      <c r="AF400" s="2440"/>
      <c r="AG400" s="2440"/>
      <c r="AL400" s="2380">
        <f t="shared" si="259"/>
        <v>9.4741810000000004E-4</v>
      </c>
      <c r="AM400">
        <f t="shared" si="273"/>
        <v>7.8739918291000008E-2</v>
      </c>
      <c r="AN400" s="2368">
        <f t="shared" si="260"/>
        <v>-8.1708999996599196E-8</v>
      </c>
    </row>
    <row r="401" spans="1:40" x14ac:dyDescent="0.25">
      <c r="A401" s="2598" t="str">
        <f>'Income Eligble Deemed Table'!C1213</f>
        <v>405901_2019_12_</v>
      </c>
      <c r="B401" s="245" t="str">
        <f>'Income Eligble Deemed Table'!G1213</f>
        <v>Cooling RES</v>
      </c>
      <c r="C401" s="245"/>
      <c r="D401" s="245"/>
      <c r="E401" s="245"/>
      <c r="F401" s="245" t="str">
        <f>'Income Eligble Deemed Table'!E1213</f>
        <v>AC - Energy Star Room _5kBtu _Thru-Wall_SF</v>
      </c>
      <c r="G401" s="745" t="str">
        <f>'Income Eligble Deemed Table'!D1213</f>
        <v>SFLI</v>
      </c>
      <c r="H401" s="2420">
        <f t="shared" si="274"/>
        <v>37.26</v>
      </c>
      <c r="I401" s="2420">
        <f t="shared" si="275"/>
        <v>0</v>
      </c>
      <c r="J401" s="2452">
        <f>'Income Eligble Deemed Table'!F1213</f>
        <v>37.26</v>
      </c>
      <c r="K401" s="2452"/>
      <c r="L401" s="2452"/>
      <c r="M401" s="2452"/>
      <c r="N401" s="2421">
        <f t="shared" si="276"/>
        <v>3.5300999999999999E-2</v>
      </c>
      <c r="O401" s="2421">
        <f t="shared" si="277"/>
        <v>0</v>
      </c>
      <c r="P401" s="2412">
        <f>'Income Eligble Deemed Table'!I1213</f>
        <v>3.5300999999999999E-2</v>
      </c>
      <c r="Q401" s="2412"/>
      <c r="R401" s="2412"/>
      <c r="S401" s="2412"/>
      <c r="T401" s="2413">
        <f t="shared" si="278"/>
        <v>3.5300999999999999E-2</v>
      </c>
      <c r="U401" s="2413"/>
      <c r="V401" s="2413"/>
      <c r="W401" s="2460">
        <f>'Income Eligble Deemed Table'!J1213</f>
        <v>9</v>
      </c>
      <c r="X401" s="2460"/>
      <c r="Y401" s="94">
        <f t="shared" si="279"/>
        <v>9</v>
      </c>
      <c r="Z401" s="767">
        <f>'Income Eligble Deemed Table'!BB1213</f>
        <v>1.8074545434197955</v>
      </c>
      <c r="AA401" s="2419">
        <f>'Income Eligble Deemed Table'!K1213</f>
        <v>20</v>
      </c>
      <c r="AB401" s="2416">
        <f t="shared" si="269"/>
        <v>34.119009786121666</v>
      </c>
      <c r="AC401" s="2416">
        <f t="shared" si="270"/>
        <v>0</v>
      </c>
      <c r="AD401" s="2446">
        <f>'Income Eligble Deemed Table'!BD1213</f>
        <v>34.119009786121666</v>
      </c>
      <c r="AE401" s="2440"/>
      <c r="AF401" s="2440"/>
      <c r="AG401" s="2440"/>
      <c r="AL401" s="2380">
        <f t="shared" si="259"/>
        <v>9.4741810000000004E-4</v>
      </c>
      <c r="AM401">
        <f t="shared" si="273"/>
        <v>3.5300798405999999E-2</v>
      </c>
      <c r="AN401" s="2368">
        <f t="shared" si="260"/>
        <v>-2.0159400000024918E-7</v>
      </c>
    </row>
    <row r="402" spans="1:40" x14ac:dyDescent="0.25">
      <c r="A402" s="2598" t="str">
        <f>'Income Eligble Deemed Table'!C1214</f>
        <v>405951_2019_12_</v>
      </c>
      <c r="B402" s="245" t="str">
        <f>'Income Eligble Deemed Table'!G1214</f>
        <v>Cooling RES</v>
      </c>
      <c r="C402" s="245"/>
      <c r="D402" s="245"/>
      <c r="E402" s="245"/>
      <c r="F402" s="245" t="str">
        <f>'Income Eligble Deemed Table'!E1214</f>
        <v>AC - Energy Star Room_5kBtu_MF</v>
      </c>
      <c r="G402" s="745" t="str">
        <f>'Income Eligble Deemed Table'!D1214</f>
        <v>MFLI</v>
      </c>
      <c r="H402" s="2420">
        <f t="shared" si="274"/>
        <v>83.11</v>
      </c>
      <c r="I402" s="2420">
        <f t="shared" si="275"/>
        <v>0</v>
      </c>
      <c r="J402" s="2452">
        <f>'Income Eligble Deemed Table'!F1214</f>
        <v>83.11</v>
      </c>
      <c r="K402" s="2452"/>
      <c r="L402" s="2452"/>
      <c r="M402" s="2452"/>
      <c r="N402" s="2421">
        <f t="shared" si="276"/>
        <v>7.8740000000000004E-2</v>
      </c>
      <c r="O402" s="2421">
        <f t="shared" si="277"/>
        <v>0</v>
      </c>
      <c r="P402" s="2412">
        <f>'Income Eligble Deemed Table'!I1214</f>
        <v>7.8740000000000004E-2</v>
      </c>
      <c r="Q402" s="2412"/>
      <c r="R402" s="2412"/>
      <c r="S402" s="2412"/>
      <c r="T402" s="2413">
        <f t="shared" si="278"/>
        <v>7.8740000000000004E-2</v>
      </c>
      <c r="U402" s="2413"/>
      <c r="V402" s="2413"/>
      <c r="W402" s="2460">
        <f>'Income Eligble Deemed Table'!J1214</f>
        <v>9</v>
      </c>
      <c r="X402" s="2460"/>
      <c r="Y402" s="94">
        <f t="shared" si="279"/>
        <v>9</v>
      </c>
      <c r="Z402" s="767">
        <f>'Income Eligble Deemed Table'!BB1214</f>
        <v>4.0316035186156522</v>
      </c>
      <c r="AA402" s="2419">
        <f>'Income Eligble Deemed Table'!K1214</f>
        <v>20</v>
      </c>
      <c r="AB402" s="2416">
        <f t="shared" si="269"/>
        <v>76.103888978115179</v>
      </c>
      <c r="AC402" s="2416">
        <f t="shared" si="270"/>
        <v>0</v>
      </c>
      <c r="AD402" s="2446">
        <f>'Income Eligble Deemed Table'!BD1214</f>
        <v>76.103888978115179</v>
      </c>
      <c r="AE402" s="2440"/>
      <c r="AF402" s="2440"/>
      <c r="AG402" s="2440"/>
      <c r="AL402" s="2380">
        <f t="shared" si="259"/>
        <v>9.4741810000000004E-4</v>
      </c>
      <c r="AM402">
        <f t="shared" si="273"/>
        <v>7.8739918291000008E-2</v>
      </c>
      <c r="AN402" s="2368">
        <f t="shared" si="260"/>
        <v>-8.1708999996599196E-8</v>
      </c>
    </row>
    <row r="403" spans="1:40" x14ac:dyDescent="0.25">
      <c r="A403" s="2598" t="str">
        <f>'Income Eligble Deemed Table'!C1215</f>
        <v>406001_2019_12_</v>
      </c>
      <c r="B403" s="245" t="str">
        <f>'Income Eligble Deemed Table'!G1215</f>
        <v>Cooling RES</v>
      </c>
      <c r="C403" s="245"/>
      <c r="D403" s="245"/>
      <c r="E403" s="245"/>
      <c r="F403" s="245" t="str">
        <f>'Income Eligble Deemed Table'!E1215</f>
        <v>AC - Energy Star Room_5kBtu_SF</v>
      </c>
      <c r="G403" s="745" t="str">
        <f>'Income Eligble Deemed Table'!D1215</f>
        <v>SFLI</v>
      </c>
      <c r="H403" s="2420">
        <f t="shared" si="274"/>
        <v>37.26</v>
      </c>
      <c r="I403" s="2420">
        <f t="shared" si="275"/>
        <v>0</v>
      </c>
      <c r="J403" s="2452">
        <f>'Income Eligble Deemed Table'!F1215</f>
        <v>37.26</v>
      </c>
      <c r="K403" s="2452"/>
      <c r="L403" s="2452"/>
      <c r="M403" s="2452"/>
      <c r="N403" s="2421">
        <f t="shared" si="276"/>
        <v>3.5300999999999999E-2</v>
      </c>
      <c r="O403" s="2421">
        <f t="shared" si="277"/>
        <v>0</v>
      </c>
      <c r="P403" s="2412">
        <f>'Income Eligble Deemed Table'!I1215</f>
        <v>3.5300999999999999E-2</v>
      </c>
      <c r="Q403" s="2412"/>
      <c r="R403" s="2412"/>
      <c r="S403" s="2412"/>
      <c r="T403" s="2413">
        <f t="shared" si="278"/>
        <v>3.5300999999999999E-2</v>
      </c>
      <c r="U403" s="2413"/>
      <c r="V403" s="2413"/>
      <c r="W403" s="2460">
        <f>'Income Eligble Deemed Table'!J1215</f>
        <v>9</v>
      </c>
      <c r="X403" s="2460"/>
      <c r="Y403" s="94">
        <f t="shared" si="279"/>
        <v>9</v>
      </c>
      <c r="Z403" s="767">
        <f>'Income Eligble Deemed Table'!BB1215</f>
        <v>1.8074545434197955</v>
      </c>
      <c r="AA403" s="2419">
        <f>'Income Eligble Deemed Table'!K1215</f>
        <v>20</v>
      </c>
      <c r="AB403" s="2416">
        <f t="shared" si="269"/>
        <v>34.119009786121666</v>
      </c>
      <c r="AC403" s="2416">
        <f t="shared" si="270"/>
        <v>0</v>
      </c>
      <c r="AD403" s="2446">
        <f>'Income Eligble Deemed Table'!BD1215</f>
        <v>34.119009786121666</v>
      </c>
      <c r="AE403" s="2440"/>
      <c r="AF403" s="2440"/>
      <c r="AG403" s="2440"/>
      <c r="AL403" s="2380">
        <f t="shared" si="259"/>
        <v>9.4741810000000004E-4</v>
      </c>
      <c r="AM403">
        <f t="shared" si="273"/>
        <v>3.5300798405999999E-2</v>
      </c>
      <c r="AN403" s="2368">
        <f t="shared" si="260"/>
        <v>-2.0159400000024918E-7</v>
      </c>
    </row>
    <row r="404" spans="1:40" x14ac:dyDescent="0.25">
      <c r="A404" s="2598" t="str">
        <f>'Income Eligble Deemed Table'!C1216</f>
        <v>405852_2019_12_</v>
      </c>
      <c r="B404" s="245" t="str">
        <f>'Income Eligble Deemed Table'!G1216</f>
        <v>Cooling RES</v>
      </c>
      <c r="C404" s="245"/>
      <c r="D404" s="245"/>
      <c r="E404" s="245"/>
      <c r="F404" s="245" t="str">
        <f>'Income Eligble Deemed Table'!E1216</f>
        <v>AC - Energy Star Room _8kBtu_Thru-Wall_MF</v>
      </c>
      <c r="G404" s="745" t="str">
        <f>'Income Eligble Deemed Table'!D1216</f>
        <v>MFLI</v>
      </c>
      <c r="H404" s="2420">
        <f t="shared" si="274"/>
        <v>132.97</v>
      </c>
      <c r="I404" s="2420">
        <f t="shared" si="275"/>
        <v>0</v>
      </c>
      <c r="J404" s="2452">
        <f>'Income Eligble Deemed Table'!F1216</f>
        <v>132.97</v>
      </c>
      <c r="K404" s="2452"/>
      <c r="L404" s="2452"/>
      <c r="M404" s="2452"/>
      <c r="N404" s="2421">
        <f t="shared" si="276"/>
        <v>0.12597800000000001</v>
      </c>
      <c r="O404" s="2421">
        <f t="shared" si="277"/>
        <v>0</v>
      </c>
      <c r="P404" s="2412">
        <f>'Income Eligble Deemed Table'!I1216</f>
        <v>0.12597800000000001</v>
      </c>
      <c r="Q404" s="2412"/>
      <c r="R404" s="2412"/>
      <c r="S404" s="2412"/>
      <c r="T404" s="2413">
        <f t="shared" si="278"/>
        <v>0.12597800000000001</v>
      </c>
      <c r="U404" s="2413"/>
      <c r="V404" s="2413"/>
      <c r="W404" s="2460">
        <f>'Income Eligble Deemed Table'!J1216</f>
        <v>9</v>
      </c>
      <c r="X404" s="2460"/>
      <c r="Y404" s="94">
        <f t="shared" si="279"/>
        <v>9</v>
      </c>
      <c r="Z404" s="767">
        <f>'Income Eligble Deemed Table'!BB1216</f>
        <v>6.4502745743030108</v>
      </c>
      <c r="AA404" s="2419">
        <f>'Income Eligble Deemed Table'!K1216</f>
        <v>20</v>
      </c>
      <c r="AB404" s="2416">
        <f t="shared" si="269"/>
        <v>121.76072816050987</v>
      </c>
      <c r="AC404" s="2416">
        <f t="shared" si="270"/>
        <v>0</v>
      </c>
      <c r="AD404" s="2446">
        <f>'Income Eligble Deemed Table'!BD1216</f>
        <v>121.76072816050987</v>
      </c>
      <c r="AE404" s="2440"/>
      <c r="AF404" s="2440"/>
      <c r="AG404" s="2440"/>
      <c r="AL404" s="2380">
        <f t="shared" si="259"/>
        <v>9.4741810000000004E-4</v>
      </c>
      <c r="AM404">
        <f t="shared" si="273"/>
        <v>0.12597818475700001</v>
      </c>
      <c r="AN404" s="2368">
        <f t="shared" si="260"/>
        <v>1.8475700000464279E-7</v>
      </c>
    </row>
    <row r="405" spans="1:40" x14ac:dyDescent="0.25">
      <c r="A405" s="2598" t="str">
        <f>'Income Eligble Deemed Table'!C1217</f>
        <v>405902_2019_12_</v>
      </c>
      <c r="B405" s="245" t="str">
        <f>'Income Eligble Deemed Table'!G1217</f>
        <v>Cooling RES</v>
      </c>
      <c r="C405" s="245"/>
      <c r="D405" s="245"/>
      <c r="E405" s="245"/>
      <c r="F405" s="245" t="str">
        <f>'Income Eligble Deemed Table'!E1217</f>
        <v>AC - Energy Star Room _8kBtu_Thru-Wall_SF</v>
      </c>
      <c r="G405" s="745" t="str">
        <f>'Income Eligble Deemed Table'!D1217</f>
        <v>SFLI</v>
      </c>
      <c r="H405" s="2420">
        <f t="shared" si="274"/>
        <v>59.61</v>
      </c>
      <c r="I405" s="2420">
        <f t="shared" si="275"/>
        <v>0</v>
      </c>
      <c r="J405" s="2452">
        <f>'Income Eligble Deemed Table'!F1217</f>
        <v>59.61</v>
      </c>
      <c r="K405" s="2452"/>
      <c r="L405" s="2452"/>
      <c r="M405" s="2452"/>
      <c r="N405" s="2421">
        <f t="shared" si="276"/>
        <v>5.6475999999999998E-2</v>
      </c>
      <c r="O405" s="2421">
        <f t="shared" si="277"/>
        <v>0</v>
      </c>
      <c r="P405" s="2412">
        <f>'Income Eligble Deemed Table'!I1217</f>
        <v>5.6475999999999998E-2</v>
      </c>
      <c r="Q405" s="2412"/>
      <c r="R405" s="2412"/>
      <c r="S405" s="2412"/>
      <c r="T405" s="2413">
        <f t="shared" si="278"/>
        <v>5.6475999999999998E-2</v>
      </c>
      <c r="U405" s="2413"/>
      <c r="V405" s="2413"/>
      <c r="W405" s="2460">
        <f>'Income Eligble Deemed Table'!J1217</f>
        <v>9</v>
      </c>
      <c r="X405" s="2460"/>
      <c r="Y405" s="94">
        <f t="shared" si="279"/>
        <v>9</v>
      </c>
      <c r="Z405" s="767">
        <f>'Income Eligble Deemed Table'!BB1217</f>
        <v>2.8916362139896403</v>
      </c>
      <c r="AA405" s="2419">
        <f>'Income Eligble Deemed Table'!K1217</f>
        <v>20</v>
      </c>
      <c r="AB405" s="2416">
        <f t="shared" si="269"/>
        <v>54.584921453320248</v>
      </c>
      <c r="AC405" s="2416">
        <f t="shared" si="270"/>
        <v>0</v>
      </c>
      <c r="AD405" s="2446">
        <f>'Income Eligble Deemed Table'!BD1217</f>
        <v>54.584921453320248</v>
      </c>
      <c r="AE405" s="2440"/>
      <c r="AF405" s="2440"/>
      <c r="AG405" s="2440"/>
      <c r="AL405" s="2380">
        <f t="shared" si="259"/>
        <v>9.4741810000000004E-4</v>
      </c>
      <c r="AM405">
        <f t="shared" si="273"/>
        <v>5.6475592940999998E-2</v>
      </c>
      <c r="AN405" s="2368">
        <f t="shared" si="260"/>
        <v>-4.0705900000020945E-7</v>
      </c>
    </row>
    <row r="406" spans="1:40" x14ac:dyDescent="0.25">
      <c r="A406" s="2598" t="str">
        <f>'Income Eligble Deemed Table'!C1218</f>
        <v>405952_2019_12_</v>
      </c>
      <c r="B406" s="245" t="str">
        <f>'Income Eligble Deemed Table'!G1218</f>
        <v>Cooling RES</v>
      </c>
      <c r="C406" s="245"/>
      <c r="D406" s="245"/>
      <c r="E406" s="245"/>
      <c r="F406" s="245" t="str">
        <f>'Income Eligble Deemed Table'!E1218</f>
        <v>AC - Energy Star Room_8kBtu_MF</v>
      </c>
      <c r="G406" s="745" t="str">
        <f>'Income Eligble Deemed Table'!D1218</f>
        <v>MFLI</v>
      </c>
      <c r="H406" s="2420">
        <f t="shared" si="274"/>
        <v>132.97</v>
      </c>
      <c r="I406" s="2420">
        <f t="shared" si="275"/>
        <v>0</v>
      </c>
      <c r="J406" s="2452">
        <f>'Income Eligble Deemed Table'!F1218</f>
        <v>132.97</v>
      </c>
      <c r="K406" s="2452"/>
      <c r="L406" s="2452"/>
      <c r="M406" s="2452"/>
      <c r="N406" s="2421">
        <f t="shared" si="276"/>
        <v>0.12597800000000001</v>
      </c>
      <c r="O406" s="2421">
        <f t="shared" si="277"/>
        <v>0</v>
      </c>
      <c r="P406" s="2412">
        <f>'Income Eligble Deemed Table'!I1218</f>
        <v>0.12597800000000001</v>
      </c>
      <c r="Q406" s="2412"/>
      <c r="R406" s="2412"/>
      <c r="S406" s="2412"/>
      <c r="T406" s="2413">
        <f t="shared" si="278"/>
        <v>0.12597800000000001</v>
      </c>
      <c r="U406" s="2413"/>
      <c r="V406" s="2413"/>
      <c r="W406" s="2460">
        <f>'Income Eligble Deemed Table'!J1218</f>
        <v>9</v>
      </c>
      <c r="X406" s="2460"/>
      <c r="Y406" s="94">
        <f t="shared" si="279"/>
        <v>9</v>
      </c>
      <c r="Z406" s="767">
        <f>'Income Eligble Deemed Table'!BB1218</f>
        <v>6.4502745743030108</v>
      </c>
      <c r="AA406" s="2419">
        <f>'Income Eligble Deemed Table'!K1218</f>
        <v>20</v>
      </c>
      <c r="AB406" s="2416">
        <f t="shared" si="269"/>
        <v>121.76072816050987</v>
      </c>
      <c r="AC406" s="2416">
        <f t="shared" si="270"/>
        <v>0</v>
      </c>
      <c r="AD406" s="2446">
        <f>'Income Eligble Deemed Table'!BD1218</f>
        <v>121.76072816050987</v>
      </c>
      <c r="AE406" s="2440"/>
      <c r="AF406" s="2440"/>
      <c r="AG406" s="2440"/>
      <c r="AL406" s="2380">
        <f t="shared" si="259"/>
        <v>9.4741810000000004E-4</v>
      </c>
      <c r="AM406">
        <f t="shared" si="273"/>
        <v>0.12597818475700001</v>
      </c>
      <c r="AN406" s="2368">
        <f t="shared" si="260"/>
        <v>1.8475700000464279E-7</v>
      </c>
    </row>
    <row r="407" spans="1:40" x14ac:dyDescent="0.25">
      <c r="A407" s="2598" t="str">
        <f>'Income Eligble Deemed Table'!C1219</f>
        <v>406002_2019_12_</v>
      </c>
      <c r="B407" s="245" t="str">
        <f>'Income Eligble Deemed Table'!G1219</f>
        <v>Cooling RES</v>
      </c>
      <c r="C407" s="245"/>
      <c r="D407" s="245"/>
      <c r="E407" s="245"/>
      <c r="F407" s="245" t="str">
        <f>'Income Eligble Deemed Table'!E1219</f>
        <v>AC - Energy Star Room_8kBtu_SF</v>
      </c>
      <c r="G407" s="745" t="str">
        <f>'Income Eligble Deemed Table'!D1219</f>
        <v>SFLI</v>
      </c>
      <c r="H407" s="2420">
        <f t="shared" si="274"/>
        <v>59.61</v>
      </c>
      <c r="I407" s="2420">
        <f t="shared" si="275"/>
        <v>0</v>
      </c>
      <c r="J407" s="2452">
        <f>'Income Eligble Deemed Table'!F1219</f>
        <v>59.61</v>
      </c>
      <c r="K407" s="2452"/>
      <c r="L407" s="2452"/>
      <c r="M407" s="2452"/>
      <c r="N407" s="2421">
        <f t="shared" si="276"/>
        <v>5.6475999999999998E-2</v>
      </c>
      <c r="O407" s="2421">
        <f t="shared" si="277"/>
        <v>0</v>
      </c>
      <c r="P407" s="2412">
        <f>'Income Eligble Deemed Table'!I1219</f>
        <v>5.6475999999999998E-2</v>
      </c>
      <c r="Q407" s="2412"/>
      <c r="R407" s="2412"/>
      <c r="S407" s="2412"/>
      <c r="T407" s="2413">
        <f t="shared" si="278"/>
        <v>5.6475999999999998E-2</v>
      </c>
      <c r="U407" s="2413"/>
      <c r="V407" s="2413"/>
      <c r="W407" s="2460">
        <f>'Income Eligble Deemed Table'!J1219</f>
        <v>9</v>
      </c>
      <c r="X407" s="2460"/>
      <c r="Y407" s="94">
        <f t="shared" si="279"/>
        <v>9</v>
      </c>
      <c r="Z407" s="767">
        <f>'Income Eligble Deemed Table'!BB1219</f>
        <v>2.8916362139896403</v>
      </c>
      <c r="AA407" s="2419">
        <f>'Income Eligble Deemed Table'!K1219</f>
        <v>20</v>
      </c>
      <c r="AB407" s="2416">
        <f t="shared" si="269"/>
        <v>54.584921453320248</v>
      </c>
      <c r="AC407" s="2416">
        <f t="shared" si="270"/>
        <v>0</v>
      </c>
      <c r="AD407" s="2446">
        <f>'Income Eligble Deemed Table'!BD1219</f>
        <v>54.584921453320248</v>
      </c>
      <c r="AE407" s="2440"/>
      <c r="AF407" s="2440"/>
      <c r="AG407" s="2440"/>
      <c r="AL407" s="2380">
        <f t="shared" si="259"/>
        <v>9.4741810000000004E-4</v>
      </c>
      <c r="AM407">
        <f t="shared" si="273"/>
        <v>5.6475592940999998E-2</v>
      </c>
      <c r="AN407" s="2368">
        <f t="shared" si="260"/>
        <v>-4.0705900000020945E-7</v>
      </c>
    </row>
    <row r="408" spans="1:40" x14ac:dyDescent="0.25">
      <c r="A408" s="2598" t="str">
        <f>'Income Eligble Deemed Table'!C1220</f>
        <v>405853_2019_12_</v>
      </c>
      <c r="B408" s="245" t="str">
        <f>'Income Eligble Deemed Table'!G1220</f>
        <v>Cooling RES</v>
      </c>
      <c r="C408" s="245"/>
      <c r="D408" s="245"/>
      <c r="E408" s="245"/>
      <c r="F408" s="245" t="str">
        <f>'Income Eligble Deemed Table'!E1220</f>
        <v>AC - Energy Star Room _10kBtu_Thru-Wall_MF</v>
      </c>
      <c r="G408" s="745" t="str">
        <f>'Income Eligble Deemed Table'!D1220</f>
        <v>MFLI</v>
      </c>
      <c r="H408" s="2420">
        <f t="shared" si="274"/>
        <v>166.22</v>
      </c>
      <c r="I408" s="2420">
        <f t="shared" si="275"/>
        <v>0</v>
      </c>
      <c r="J408" s="2452">
        <f>'Income Eligble Deemed Table'!F1220</f>
        <v>166.22</v>
      </c>
      <c r="K408" s="2452"/>
      <c r="L408" s="2452"/>
      <c r="M408" s="2452"/>
      <c r="N408" s="2421">
        <f t="shared" si="276"/>
        <v>0.15748000000000001</v>
      </c>
      <c r="O408" s="2421">
        <f t="shared" si="277"/>
        <v>0</v>
      </c>
      <c r="P408" s="2412">
        <f>'Income Eligble Deemed Table'!I1220</f>
        <v>0.15748000000000001</v>
      </c>
      <c r="Q408" s="2412"/>
      <c r="R408" s="2412"/>
      <c r="S408" s="2412"/>
      <c r="T408" s="2413">
        <f t="shared" si="278"/>
        <v>0.15748000000000001</v>
      </c>
      <c r="U408" s="2413"/>
      <c r="V408" s="2413"/>
      <c r="W408" s="2460">
        <f>'Income Eligble Deemed Table'!J1220</f>
        <v>9</v>
      </c>
      <c r="X408" s="2460"/>
      <c r="Y408" s="94">
        <f t="shared" si="279"/>
        <v>9</v>
      </c>
      <c r="Z408" s="767">
        <f>'Income Eligble Deemed Table'!BB1220</f>
        <v>8.0632070372313045</v>
      </c>
      <c r="AA408" s="2419">
        <f>'Income Eligble Deemed Table'!K1220</f>
        <v>20</v>
      </c>
      <c r="AB408" s="2416">
        <f t="shared" si="269"/>
        <v>152.20777795623036</v>
      </c>
      <c r="AC408" s="2416">
        <f t="shared" si="270"/>
        <v>0</v>
      </c>
      <c r="AD408" s="2446">
        <f>'Income Eligble Deemed Table'!BD1220</f>
        <v>152.20777795623036</v>
      </c>
      <c r="AE408" s="2440"/>
      <c r="AF408" s="2440"/>
      <c r="AG408" s="2440"/>
      <c r="AL408" s="2380">
        <f t="shared" si="259"/>
        <v>9.4741810000000004E-4</v>
      </c>
      <c r="AM408">
        <f t="shared" si="273"/>
        <v>0.15747983658200002</v>
      </c>
      <c r="AN408" s="2368">
        <f t="shared" si="260"/>
        <v>-1.6341799999319839E-7</v>
      </c>
    </row>
    <row r="409" spans="1:40" x14ac:dyDescent="0.25">
      <c r="A409" s="2598" t="str">
        <f>'Income Eligble Deemed Table'!C1221</f>
        <v>405903_2019_12_</v>
      </c>
      <c r="B409" s="245" t="str">
        <f>'Income Eligble Deemed Table'!G1221</f>
        <v>Cooling RES</v>
      </c>
      <c r="C409" s="245"/>
      <c r="D409" s="245"/>
      <c r="E409" s="245"/>
      <c r="F409" s="245" t="str">
        <f>'Income Eligble Deemed Table'!E1221</f>
        <v>AC - Energy Star Room _10kBtu_Thru-Wall_SF</v>
      </c>
      <c r="G409" s="745" t="str">
        <f>'Income Eligble Deemed Table'!D1221</f>
        <v>SFLI</v>
      </c>
      <c r="H409" s="2420">
        <f t="shared" si="274"/>
        <v>74.52</v>
      </c>
      <c r="I409" s="2420">
        <f t="shared" si="275"/>
        <v>0</v>
      </c>
      <c r="J409" s="2452">
        <f>'Income Eligble Deemed Table'!F1221</f>
        <v>74.52</v>
      </c>
      <c r="K409" s="2452"/>
      <c r="L409" s="2452"/>
      <c r="M409" s="2452"/>
      <c r="N409" s="2421">
        <f t="shared" si="276"/>
        <v>7.0601999999999998E-2</v>
      </c>
      <c r="O409" s="2421">
        <f t="shared" si="277"/>
        <v>0</v>
      </c>
      <c r="P409" s="2412">
        <f>'Income Eligble Deemed Table'!I1221</f>
        <v>7.0601999999999998E-2</v>
      </c>
      <c r="Q409" s="2412"/>
      <c r="R409" s="2412"/>
      <c r="S409" s="2412"/>
      <c r="T409" s="2413">
        <f t="shared" si="278"/>
        <v>7.0601999999999998E-2</v>
      </c>
      <c r="U409" s="2413"/>
      <c r="V409" s="2413"/>
      <c r="W409" s="2460">
        <f>'Income Eligble Deemed Table'!J1221</f>
        <v>9</v>
      </c>
      <c r="X409" s="2460"/>
      <c r="Y409" s="94">
        <f t="shared" si="279"/>
        <v>9</v>
      </c>
      <c r="Z409" s="767">
        <f>'Income Eligble Deemed Table'!BB1221</f>
        <v>3.614909086839591</v>
      </c>
      <c r="AA409" s="2419">
        <f>'Income Eligble Deemed Table'!K1221</f>
        <v>20</v>
      </c>
      <c r="AB409" s="2416">
        <f t="shared" si="269"/>
        <v>68.238019572243331</v>
      </c>
      <c r="AC409" s="2416">
        <f t="shared" si="270"/>
        <v>0</v>
      </c>
      <c r="AD409" s="2446">
        <f>'Income Eligble Deemed Table'!BD1221</f>
        <v>68.238019572243331</v>
      </c>
      <c r="AE409" s="2440"/>
      <c r="AF409" s="2440"/>
      <c r="AG409" s="2440"/>
      <c r="AL409" s="2380">
        <f t="shared" si="259"/>
        <v>9.4741810000000004E-4</v>
      </c>
      <c r="AM409">
        <f t="shared" si="273"/>
        <v>7.0601596811999998E-2</v>
      </c>
      <c r="AN409" s="2368">
        <f t="shared" si="260"/>
        <v>-4.0318800000049837E-7</v>
      </c>
    </row>
    <row r="410" spans="1:40" x14ac:dyDescent="0.25">
      <c r="A410" s="2598" t="str">
        <f>'Income Eligble Deemed Table'!C1222</f>
        <v>405953_2019_12_</v>
      </c>
      <c r="B410" s="245" t="str">
        <f>'Income Eligble Deemed Table'!G1222</f>
        <v>Cooling RES</v>
      </c>
      <c r="C410" s="245"/>
      <c r="D410" s="245"/>
      <c r="E410" s="245"/>
      <c r="F410" s="245" t="str">
        <f>'Income Eligble Deemed Table'!E1222</f>
        <v>AC - Energy Star Room_10kBtu_MF</v>
      </c>
      <c r="G410" s="745" t="str">
        <f>'Income Eligble Deemed Table'!D1222</f>
        <v>MFLI</v>
      </c>
      <c r="H410" s="2420">
        <f t="shared" si="274"/>
        <v>166.22</v>
      </c>
      <c r="I410" s="2420">
        <f t="shared" si="275"/>
        <v>0</v>
      </c>
      <c r="J410" s="2452">
        <f>'Income Eligble Deemed Table'!F1222</f>
        <v>166.22</v>
      </c>
      <c r="K410" s="2452"/>
      <c r="L410" s="2452"/>
      <c r="M410" s="2452"/>
      <c r="N410" s="2421">
        <f t="shared" si="276"/>
        <v>0.15748000000000001</v>
      </c>
      <c r="O410" s="2421">
        <f t="shared" si="277"/>
        <v>0</v>
      </c>
      <c r="P410" s="2412">
        <f>'Income Eligble Deemed Table'!I1222</f>
        <v>0.15748000000000001</v>
      </c>
      <c r="Q410" s="2412"/>
      <c r="R410" s="2412"/>
      <c r="S410" s="2412"/>
      <c r="T410" s="2413">
        <f t="shared" si="278"/>
        <v>0.15748000000000001</v>
      </c>
      <c r="U410" s="2413"/>
      <c r="V410" s="2413"/>
      <c r="W410" s="2460">
        <f>'Income Eligble Deemed Table'!J1222</f>
        <v>9</v>
      </c>
      <c r="X410" s="2460"/>
      <c r="Y410" s="94">
        <f t="shared" si="279"/>
        <v>9</v>
      </c>
      <c r="Z410" s="767">
        <f>'Income Eligble Deemed Table'!BB1222</f>
        <v>8.0632070372313045</v>
      </c>
      <c r="AA410" s="2419">
        <f>'Income Eligble Deemed Table'!K1222</f>
        <v>20</v>
      </c>
      <c r="AB410" s="2416">
        <f t="shared" si="269"/>
        <v>152.20777795623036</v>
      </c>
      <c r="AC410" s="2416">
        <f t="shared" si="270"/>
        <v>0</v>
      </c>
      <c r="AD410" s="2446">
        <f>'Income Eligble Deemed Table'!BD1222</f>
        <v>152.20777795623036</v>
      </c>
      <c r="AE410" s="2440"/>
      <c r="AF410" s="2440"/>
      <c r="AG410" s="2440"/>
      <c r="AL410" s="2380">
        <f t="shared" si="259"/>
        <v>9.4741810000000004E-4</v>
      </c>
      <c r="AM410">
        <f t="shared" si="273"/>
        <v>0.15747983658200002</v>
      </c>
      <c r="AN410" s="2368">
        <f t="shared" si="260"/>
        <v>-1.6341799999319839E-7</v>
      </c>
    </row>
    <row r="411" spans="1:40" x14ac:dyDescent="0.25">
      <c r="A411" s="2598" t="str">
        <f>'Income Eligble Deemed Table'!C1223</f>
        <v>406003_2019_12_</v>
      </c>
      <c r="B411" s="245" t="str">
        <f>'Income Eligble Deemed Table'!G1223</f>
        <v>Cooling RES</v>
      </c>
      <c r="C411" s="245"/>
      <c r="D411" s="245"/>
      <c r="E411" s="245"/>
      <c r="F411" s="245" t="str">
        <f>'Income Eligble Deemed Table'!E1223</f>
        <v>AC - Energy Star Room_10kBtu_SF</v>
      </c>
      <c r="G411" s="745" t="str">
        <f>'Income Eligble Deemed Table'!D1223</f>
        <v>SFLI</v>
      </c>
      <c r="H411" s="2420">
        <f t="shared" si="274"/>
        <v>74.52</v>
      </c>
      <c r="I411" s="2420">
        <f t="shared" si="275"/>
        <v>0</v>
      </c>
      <c r="J411" s="2452">
        <f>'Income Eligble Deemed Table'!F1223</f>
        <v>74.52</v>
      </c>
      <c r="K411" s="2452"/>
      <c r="L411" s="2452"/>
      <c r="M411" s="2452"/>
      <c r="N411" s="2421">
        <f t="shared" si="276"/>
        <v>7.0601999999999998E-2</v>
      </c>
      <c r="O411" s="2421">
        <f t="shared" si="277"/>
        <v>0</v>
      </c>
      <c r="P411" s="2412">
        <f>'Income Eligble Deemed Table'!I1223</f>
        <v>7.0601999999999998E-2</v>
      </c>
      <c r="Q411" s="2412"/>
      <c r="R411" s="2412"/>
      <c r="S411" s="2412"/>
      <c r="T411" s="2413">
        <f t="shared" si="278"/>
        <v>7.0601999999999998E-2</v>
      </c>
      <c r="U411" s="2413"/>
      <c r="V411" s="2413"/>
      <c r="W411" s="2460">
        <f>'Income Eligble Deemed Table'!J1223</f>
        <v>9</v>
      </c>
      <c r="X411" s="2460"/>
      <c r="Y411" s="94">
        <f t="shared" si="279"/>
        <v>9</v>
      </c>
      <c r="Z411" s="767">
        <f>'Income Eligble Deemed Table'!BB1223</f>
        <v>3.614909086839591</v>
      </c>
      <c r="AA411" s="2419">
        <f>'Income Eligble Deemed Table'!K1223</f>
        <v>20</v>
      </c>
      <c r="AB411" s="2416">
        <f t="shared" si="269"/>
        <v>68.238019572243331</v>
      </c>
      <c r="AC411" s="2416">
        <f t="shared" si="270"/>
        <v>0</v>
      </c>
      <c r="AD411" s="2446">
        <f>'Income Eligble Deemed Table'!BD1223</f>
        <v>68.238019572243331</v>
      </c>
      <c r="AE411" s="2440"/>
      <c r="AF411" s="2440"/>
      <c r="AG411" s="2440"/>
      <c r="AL411" s="2380">
        <f t="shared" si="259"/>
        <v>9.4741810000000004E-4</v>
      </c>
      <c r="AM411">
        <f t="shared" si="273"/>
        <v>7.0601596811999998E-2</v>
      </c>
      <c r="AN411" s="2368">
        <f t="shared" si="260"/>
        <v>-4.0318800000049837E-7</v>
      </c>
    </row>
    <row r="412" spans="1:40" x14ac:dyDescent="0.25">
      <c r="A412" s="2598" t="str">
        <f>'Income Eligble Deemed Table'!C1224</f>
        <v>405854_2019_12_</v>
      </c>
      <c r="B412" s="245" t="str">
        <f>'Income Eligble Deemed Table'!G1224</f>
        <v>Cooling RES</v>
      </c>
      <c r="C412" s="245"/>
      <c r="D412" s="245"/>
      <c r="E412" s="245"/>
      <c r="F412" s="245" t="str">
        <f>'Income Eligble Deemed Table'!E1224</f>
        <v>AC - Energy Star Room _12kBtu_Thru-Wall_MF</v>
      </c>
      <c r="G412" s="745" t="str">
        <f>'Income Eligble Deemed Table'!D1224</f>
        <v>MFLI</v>
      </c>
      <c r="H412" s="2420">
        <f t="shared" si="274"/>
        <v>199.46</v>
      </c>
      <c r="I412" s="2420">
        <f t="shared" si="275"/>
        <v>0</v>
      </c>
      <c r="J412" s="2452">
        <f>'Income Eligble Deemed Table'!F1224</f>
        <v>199.46</v>
      </c>
      <c r="K412" s="2452"/>
      <c r="L412" s="2452"/>
      <c r="M412" s="2452"/>
      <c r="N412" s="2421">
        <f t="shared" si="276"/>
        <v>0.188972</v>
      </c>
      <c r="O412" s="2421">
        <f t="shared" si="277"/>
        <v>0</v>
      </c>
      <c r="P412" s="2412">
        <f>'Income Eligble Deemed Table'!I1224</f>
        <v>0.188972</v>
      </c>
      <c r="Q412" s="2412"/>
      <c r="R412" s="2412"/>
      <c r="S412" s="2412"/>
      <c r="T412" s="2413">
        <f t="shared" si="278"/>
        <v>0.188972</v>
      </c>
      <c r="U412" s="2413"/>
      <c r="V412" s="2413"/>
      <c r="W412" s="2460">
        <f>'Income Eligble Deemed Table'!J1224</f>
        <v>9</v>
      </c>
      <c r="X412" s="2460"/>
      <c r="Y412" s="94">
        <f t="shared" si="279"/>
        <v>9</v>
      </c>
      <c r="Z412" s="767">
        <f>'Income Eligble Deemed Table'!BB1224</f>
        <v>9.6756544076895441</v>
      </c>
      <c r="AA412" s="2419">
        <f>'Income Eligble Deemed Table'!K1224</f>
        <v>20</v>
      </c>
      <c r="AB412" s="2416">
        <f t="shared" si="269"/>
        <v>182.64567074449349</v>
      </c>
      <c r="AC412" s="2416">
        <f t="shared" si="270"/>
        <v>0</v>
      </c>
      <c r="AD412" s="2446">
        <f>'Income Eligble Deemed Table'!BD1224</f>
        <v>182.64567074449349</v>
      </c>
      <c r="AE412" s="2440"/>
      <c r="AF412" s="2440"/>
      <c r="AG412" s="2440"/>
      <c r="AL412" s="2380">
        <f t="shared" si="259"/>
        <v>9.4741810000000004E-4</v>
      </c>
      <c r="AM412">
        <f t="shared" si="273"/>
        <v>0.18897201422600002</v>
      </c>
      <c r="AN412" s="2368">
        <f t="shared" si="260"/>
        <v>1.4226000016881457E-8</v>
      </c>
    </row>
    <row r="413" spans="1:40" x14ac:dyDescent="0.25">
      <c r="A413" s="2598" t="str">
        <f>'Income Eligble Deemed Table'!C1225</f>
        <v>405904_2019_12_</v>
      </c>
      <c r="B413" s="245" t="str">
        <f>'Income Eligble Deemed Table'!G1225</f>
        <v>Cooling RES</v>
      </c>
      <c r="C413" s="245"/>
      <c r="D413" s="245"/>
      <c r="E413" s="245"/>
      <c r="F413" s="245" t="str">
        <f>'Income Eligble Deemed Table'!E1225</f>
        <v>AC - Energy Star Room _12kBtu_Thru-Wall_SF</v>
      </c>
      <c r="G413" s="745" t="str">
        <f>'Income Eligble Deemed Table'!D1225</f>
        <v>SFLI</v>
      </c>
      <c r="H413" s="2420">
        <f t="shared" si="274"/>
        <v>89.42</v>
      </c>
      <c r="I413" s="2420">
        <f t="shared" si="275"/>
        <v>0</v>
      </c>
      <c r="J413" s="2452">
        <f>'Income Eligble Deemed Table'!F1225</f>
        <v>89.42</v>
      </c>
      <c r="K413" s="2452"/>
      <c r="L413" s="2452"/>
      <c r="M413" s="2452"/>
      <c r="N413" s="2421">
        <f t="shared" si="276"/>
        <v>8.4718000000000002E-2</v>
      </c>
      <c r="O413" s="2421">
        <f t="shared" si="277"/>
        <v>0</v>
      </c>
      <c r="P413" s="2412">
        <f>'Income Eligble Deemed Table'!I1225</f>
        <v>8.4718000000000002E-2</v>
      </c>
      <c r="Q413" s="2412"/>
      <c r="R413" s="2412"/>
      <c r="S413" s="2412"/>
      <c r="T413" s="2413">
        <f t="shared" si="278"/>
        <v>8.4718000000000002E-2</v>
      </c>
      <c r="U413" s="2413"/>
      <c r="V413" s="2413"/>
      <c r="W413" s="2460">
        <f>'Income Eligble Deemed Table'!J1225</f>
        <v>9</v>
      </c>
      <c r="X413" s="2460"/>
      <c r="Y413" s="94">
        <f t="shared" si="279"/>
        <v>9</v>
      </c>
      <c r="Z413" s="767">
        <f>'Income Eligble Deemed Table'!BB1225</f>
        <v>4.3376968672194876</v>
      </c>
      <c r="AA413" s="2419">
        <f>'Income Eligble Deemed Table'!K1225</f>
        <v>20</v>
      </c>
      <c r="AB413" s="2416">
        <f t="shared" si="269"/>
        <v>81.881960683709053</v>
      </c>
      <c r="AC413" s="2416">
        <f t="shared" si="270"/>
        <v>0</v>
      </c>
      <c r="AD413" s="2446">
        <f>'Income Eligble Deemed Table'!BD1225</f>
        <v>81.881960683709053</v>
      </c>
      <c r="AE413" s="2440"/>
      <c r="AF413" s="2440"/>
      <c r="AG413" s="2440"/>
      <c r="AL413" s="2380">
        <f t="shared" si="259"/>
        <v>9.4741810000000004E-4</v>
      </c>
      <c r="AM413">
        <f t="shared" si="273"/>
        <v>8.4718126502000002E-2</v>
      </c>
      <c r="AN413" s="2368">
        <f t="shared" si="260"/>
        <v>1.2650200000019485E-7</v>
      </c>
    </row>
    <row r="414" spans="1:40" x14ac:dyDescent="0.25">
      <c r="A414" s="2598" t="str">
        <f>'Income Eligble Deemed Table'!C1226</f>
        <v>405954_2019_12_</v>
      </c>
      <c r="B414" s="245" t="str">
        <f>'Income Eligble Deemed Table'!G1226</f>
        <v>Cooling RES</v>
      </c>
      <c r="C414" s="245"/>
      <c r="D414" s="245"/>
      <c r="E414" s="245"/>
      <c r="F414" s="245" t="str">
        <f>'Income Eligble Deemed Table'!E1226</f>
        <v>AC - Energy Star Room_12kBtu_MF</v>
      </c>
      <c r="G414" s="745" t="str">
        <f>'Income Eligble Deemed Table'!D1226</f>
        <v>MFLI</v>
      </c>
      <c r="H414" s="2420">
        <f t="shared" si="274"/>
        <v>199.46</v>
      </c>
      <c r="I414" s="2420">
        <f t="shared" si="275"/>
        <v>0</v>
      </c>
      <c r="J414" s="2452">
        <f>'Income Eligble Deemed Table'!F1226</f>
        <v>199.46</v>
      </c>
      <c r="K414" s="2452"/>
      <c r="L414" s="2452"/>
      <c r="M414" s="2452"/>
      <c r="N414" s="2421">
        <f t="shared" si="276"/>
        <v>0.188972</v>
      </c>
      <c r="O414" s="2421">
        <f t="shared" si="277"/>
        <v>0</v>
      </c>
      <c r="P414" s="2412">
        <f>'Income Eligble Deemed Table'!I1226</f>
        <v>0.188972</v>
      </c>
      <c r="Q414" s="2412"/>
      <c r="R414" s="2412"/>
      <c r="S414" s="2412"/>
      <c r="T414" s="2413">
        <f t="shared" si="278"/>
        <v>0.188972</v>
      </c>
      <c r="U414" s="2413"/>
      <c r="V414" s="2413"/>
      <c r="W414" s="2460">
        <f>'Income Eligble Deemed Table'!J1226</f>
        <v>9</v>
      </c>
      <c r="X414" s="2460"/>
      <c r="Y414" s="94">
        <f t="shared" si="279"/>
        <v>9</v>
      </c>
      <c r="Z414" s="767">
        <f>'Income Eligble Deemed Table'!BB1226</f>
        <v>9.6756544076895441</v>
      </c>
      <c r="AA414" s="2419">
        <f>'Income Eligble Deemed Table'!K1226</f>
        <v>20</v>
      </c>
      <c r="AB414" s="2416">
        <f t="shared" si="269"/>
        <v>182.64567074449349</v>
      </c>
      <c r="AC414" s="2416">
        <f t="shared" si="270"/>
        <v>0</v>
      </c>
      <c r="AD414" s="2446">
        <f>'Income Eligble Deemed Table'!BD1226</f>
        <v>182.64567074449349</v>
      </c>
      <c r="AE414" s="2440"/>
      <c r="AF414" s="2440"/>
      <c r="AG414" s="2440"/>
      <c r="AL414" s="2380">
        <f t="shared" si="259"/>
        <v>9.4741810000000004E-4</v>
      </c>
      <c r="AM414">
        <f t="shared" si="273"/>
        <v>0.18897201422600002</v>
      </c>
      <c r="AN414" s="2368">
        <f t="shared" si="260"/>
        <v>1.4226000016881457E-8</v>
      </c>
    </row>
    <row r="415" spans="1:40" x14ac:dyDescent="0.25">
      <c r="A415" s="2598" t="str">
        <f>'Income Eligble Deemed Table'!C1227</f>
        <v>406004_2019_12_</v>
      </c>
      <c r="B415" s="245" t="str">
        <f>'Income Eligble Deemed Table'!G1227</f>
        <v>Cooling RES</v>
      </c>
      <c r="C415" s="245"/>
      <c r="D415" s="245"/>
      <c r="E415" s="245"/>
      <c r="F415" s="245" t="str">
        <f>'Income Eligble Deemed Table'!E1227</f>
        <v>AC - Energy Star Room_12kBtu_SF</v>
      </c>
      <c r="G415" s="745" t="str">
        <f>'Income Eligble Deemed Table'!D1227</f>
        <v>SFLI</v>
      </c>
      <c r="H415" s="2420">
        <f t="shared" si="274"/>
        <v>89.42</v>
      </c>
      <c r="I415" s="2420">
        <f t="shared" si="275"/>
        <v>0</v>
      </c>
      <c r="J415" s="2452">
        <f>'Income Eligble Deemed Table'!F1227</f>
        <v>89.42</v>
      </c>
      <c r="K415" s="2452"/>
      <c r="L415" s="2452"/>
      <c r="M415" s="2452"/>
      <c r="N415" s="2421">
        <f t="shared" si="276"/>
        <v>8.4718000000000002E-2</v>
      </c>
      <c r="O415" s="2421">
        <f t="shared" si="277"/>
        <v>0</v>
      </c>
      <c r="P415" s="2412">
        <f>'Income Eligble Deemed Table'!I1227</f>
        <v>8.4718000000000002E-2</v>
      </c>
      <c r="Q415" s="2412"/>
      <c r="R415" s="2412"/>
      <c r="S415" s="2412"/>
      <c r="T415" s="2413">
        <f t="shared" si="278"/>
        <v>8.4718000000000002E-2</v>
      </c>
      <c r="U415" s="2413"/>
      <c r="V415" s="2413"/>
      <c r="W415" s="2460">
        <f>'Income Eligble Deemed Table'!J1227</f>
        <v>9</v>
      </c>
      <c r="X415" s="2460"/>
      <c r="Y415" s="94">
        <f t="shared" si="279"/>
        <v>9</v>
      </c>
      <c r="Z415" s="767">
        <f>'Income Eligble Deemed Table'!BB1227</f>
        <v>4.3376968672194876</v>
      </c>
      <c r="AA415" s="2419">
        <f>'Income Eligble Deemed Table'!K1227</f>
        <v>20</v>
      </c>
      <c r="AB415" s="2416">
        <f t="shared" si="269"/>
        <v>81.881960683709053</v>
      </c>
      <c r="AC415" s="2416">
        <f t="shared" si="270"/>
        <v>0</v>
      </c>
      <c r="AD415" s="2446">
        <f>'Income Eligble Deemed Table'!BD1227</f>
        <v>81.881960683709053</v>
      </c>
      <c r="AE415" s="2440"/>
      <c r="AF415" s="2440"/>
      <c r="AG415" s="2440"/>
      <c r="AL415" s="2380">
        <f t="shared" si="259"/>
        <v>9.4741810000000004E-4</v>
      </c>
      <c r="AM415">
        <f t="shared" si="273"/>
        <v>8.4718126502000002E-2</v>
      </c>
      <c r="AN415" s="2368">
        <f t="shared" si="260"/>
        <v>1.2650200000019485E-7</v>
      </c>
    </row>
    <row r="416" spans="1:40" x14ac:dyDescent="0.25">
      <c r="A416" s="2598" t="str">
        <f>'Income Eligble Deemed Table'!C1228</f>
        <v>405855_2019_12_</v>
      </c>
      <c r="B416" s="245" t="str">
        <f>'Income Eligble Deemed Table'!G1228</f>
        <v>Cooling RES</v>
      </c>
      <c r="C416" s="245"/>
      <c r="D416" s="245"/>
      <c r="E416" s="245"/>
      <c r="F416" s="245" t="str">
        <f>'Income Eligble Deemed Table'!E1228</f>
        <v>AC - Energy Star Room _15kBtu_Thru-Wall_MF</v>
      </c>
      <c r="G416" s="745" t="str">
        <f>'Income Eligble Deemed Table'!D1228</f>
        <v>MFLI</v>
      </c>
      <c r="H416" s="2420">
        <f t="shared" si="274"/>
        <v>249.32</v>
      </c>
      <c r="I416" s="2420">
        <f t="shared" si="275"/>
        <v>0</v>
      </c>
      <c r="J416" s="2452">
        <f>'Income Eligble Deemed Table'!F1228</f>
        <v>249.32</v>
      </c>
      <c r="K416" s="2452"/>
      <c r="L416" s="2452"/>
      <c r="M416" s="2452"/>
      <c r="N416" s="2421">
        <f t="shared" si="276"/>
        <v>0.23621</v>
      </c>
      <c r="O416" s="2421">
        <f t="shared" si="277"/>
        <v>0</v>
      </c>
      <c r="P416" s="2412">
        <f>'Income Eligble Deemed Table'!I1228</f>
        <v>0.23621</v>
      </c>
      <c r="Q416" s="2412"/>
      <c r="R416" s="2412"/>
      <c r="S416" s="2412"/>
      <c r="T416" s="2413">
        <f t="shared" si="278"/>
        <v>0.23621</v>
      </c>
      <c r="U416" s="2413"/>
      <c r="V416" s="2413"/>
      <c r="W416" s="2460">
        <f>'Income Eligble Deemed Table'!J1228</f>
        <v>9</v>
      </c>
      <c r="X416" s="2460"/>
      <c r="Y416" s="94">
        <f t="shared" si="279"/>
        <v>9</v>
      </c>
      <c r="Z416" s="767">
        <f>'Income Eligble Deemed Table'!BB1228</f>
        <v>12.094325463376903</v>
      </c>
      <c r="AA416" s="2419">
        <f>'Income Eligble Deemed Table'!K1228</f>
        <v>20</v>
      </c>
      <c r="AB416" s="2416">
        <f t="shared" si="269"/>
        <v>228.30250992688818</v>
      </c>
      <c r="AC416" s="2416">
        <f t="shared" si="270"/>
        <v>0</v>
      </c>
      <c r="AD416" s="2446">
        <f>'Income Eligble Deemed Table'!BD1228</f>
        <v>228.30250992688818</v>
      </c>
      <c r="AE416" s="2440"/>
      <c r="AF416" s="2440"/>
      <c r="AG416" s="2440"/>
      <c r="AL416" s="2380">
        <f t="shared" si="259"/>
        <v>9.4741810000000004E-4</v>
      </c>
      <c r="AM416">
        <f t="shared" si="273"/>
        <v>0.23621028069200001</v>
      </c>
      <c r="AN416" s="2368">
        <f t="shared" si="260"/>
        <v>2.8069200000424566E-7</v>
      </c>
    </row>
    <row r="417" spans="1:40" x14ac:dyDescent="0.25">
      <c r="A417" s="2598" t="str">
        <f>'Income Eligble Deemed Table'!C1229</f>
        <v>405905_2019_12_</v>
      </c>
      <c r="B417" s="245" t="str">
        <f>'Income Eligble Deemed Table'!G1229</f>
        <v>Cooling RES</v>
      </c>
      <c r="C417" s="245"/>
      <c r="D417" s="245"/>
      <c r="E417" s="245"/>
      <c r="F417" s="245" t="str">
        <f>'Income Eligble Deemed Table'!E1229</f>
        <v>AC - Energy Star Room _15kBtu_Thru-Wall_SF</v>
      </c>
      <c r="G417" s="745" t="str">
        <f>'Income Eligble Deemed Table'!D1229</f>
        <v>SFLI</v>
      </c>
      <c r="H417" s="2420">
        <f t="shared" si="274"/>
        <v>111.77</v>
      </c>
      <c r="I417" s="2420">
        <f t="shared" si="275"/>
        <v>0</v>
      </c>
      <c r="J417" s="2452">
        <f>'Income Eligble Deemed Table'!F1229</f>
        <v>111.77</v>
      </c>
      <c r="K417" s="2452"/>
      <c r="L417" s="2452"/>
      <c r="M417" s="2452"/>
      <c r="N417" s="2421">
        <f t="shared" si="276"/>
        <v>0.105893</v>
      </c>
      <c r="O417" s="2421">
        <f t="shared" si="277"/>
        <v>0</v>
      </c>
      <c r="P417" s="2412">
        <f>'Income Eligble Deemed Table'!I1229</f>
        <v>0.105893</v>
      </c>
      <c r="Q417" s="2412"/>
      <c r="R417" s="2412"/>
      <c r="S417" s="2412"/>
      <c r="T417" s="2413">
        <f t="shared" si="278"/>
        <v>0.105893</v>
      </c>
      <c r="U417" s="2413"/>
      <c r="V417" s="2413"/>
      <c r="W417" s="2460">
        <f>'Income Eligble Deemed Table'!J1229</f>
        <v>9</v>
      </c>
      <c r="X417" s="2460"/>
      <c r="Y417" s="94">
        <f t="shared" si="279"/>
        <v>9</v>
      </c>
      <c r="Z417" s="767">
        <f>'Income Eligble Deemed Table'!BB1229</f>
        <v>5.4218785377893326</v>
      </c>
      <c r="AA417" s="2419">
        <f>'Income Eligble Deemed Table'!K1229</f>
        <v>20</v>
      </c>
      <c r="AB417" s="2416">
        <f t="shared" si="269"/>
        <v>102.34787235090764</v>
      </c>
      <c r="AC417" s="2416">
        <f t="shared" si="270"/>
        <v>0</v>
      </c>
      <c r="AD417" s="2446">
        <f>'Income Eligble Deemed Table'!BD1229</f>
        <v>102.34787235090764</v>
      </c>
      <c r="AE417" s="2440"/>
      <c r="AF417" s="2440"/>
      <c r="AG417" s="2440"/>
      <c r="AL417" s="2380">
        <f t="shared" si="259"/>
        <v>9.4741810000000004E-4</v>
      </c>
      <c r="AM417">
        <f t="shared" si="273"/>
        <v>0.105892921037</v>
      </c>
      <c r="AN417" s="2368">
        <f t="shared" si="260"/>
        <v>-7.8962999999765415E-8</v>
      </c>
    </row>
    <row r="418" spans="1:40" x14ac:dyDescent="0.25">
      <c r="A418" s="2598" t="str">
        <f>'Income Eligble Deemed Table'!C1230</f>
        <v>405955_2019_12_</v>
      </c>
      <c r="B418" s="245" t="str">
        <f>'Income Eligble Deemed Table'!G1230</f>
        <v>Cooling RES</v>
      </c>
      <c r="C418" s="245"/>
      <c r="D418" s="245"/>
      <c r="E418" s="245"/>
      <c r="F418" s="245" t="str">
        <f>'Income Eligble Deemed Table'!E1230</f>
        <v>AC - Energy Star Room_15kBtu_MF</v>
      </c>
      <c r="G418" s="745" t="str">
        <f>'Income Eligble Deemed Table'!D1230</f>
        <v>MFLI</v>
      </c>
      <c r="H418" s="2420">
        <f t="shared" si="274"/>
        <v>249.32</v>
      </c>
      <c r="I418" s="2420">
        <f t="shared" si="275"/>
        <v>0</v>
      </c>
      <c r="J418" s="2452">
        <f>'Income Eligble Deemed Table'!F1230</f>
        <v>249.32</v>
      </c>
      <c r="K418" s="2452"/>
      <c r="L418" s="2452"/>
      <c r="M418" s="2452"/>
      <c r="N418" s="2421">
        <f t="shared" si="276"/>
        <v>0.23621</v>
      </c>
      <c r="O418" s="2421">
        <f t="shared" si="277"/>
        <v>0</v>
      </c>
      <c r="P418" s="2412">
        <f>'Income Eligble Deemed Table'!I1230</f>
        <v>0.23621</v>
      </c>
      <c r="Q418" s="2412"/>
      <c r="R418" s="2412"/>
      <c r="S418" s="2412"/>
      <c r="T418" s="2413">
        <f t="shared" si="278"/>
        <v>0.23621</v>
      </c>
      <c r="U418" s="2413"/>
      <c r="V418" s="2413"/>
      <c r="W418" s="2460">
        <f>'Income Eligble Deemed Table'!J1230</f>
        <v>9</v>
      </c>
      <c r="X418" s="2460"/>
      <c r="Y418" s="94">
        <f t="shared" si="279"/>
        <v>9</v>
      </c>
      <c r="Z418" s="767">
        <f>'Income Eligble Deemed Table'!BB1230</f>
        <v>12.094325463376903</v>
      </c>
      <c r="AA418" s="2419">
        <f>'Income Eligble Deemed Table'!K1230</f>
        <v>20</v>
      </c>
      <c r="AB418" s="2416">
        <f t="shared" si="269"/>
        <v>228.30250992688818</v>
      </c>
      <c r="AC418" s="2416">
        <f t="shared" si="270"/>
        <v>0</v>
      </c>
      <c r="AD418" s="2446">
        <f>'Income Eligble Deemed Table'!BD1230</f>
        <v>228.30250992688818</v>
      </c>
      <c r="AE418" s="2440"/>
      <c r="AF418" s="2440"/>
      <c r="AG418" s="2440"/>
      <c r="AL418" s="2380">
        <f t="shared" si="259"/>
        <v>9.4741810000000004E-4</v>
      </c>
      <c r="AM418">
        <f t="shared" si="273"/>
        <v>0.23621028069200001</v>
      </c>
      <c r="AN418" s="2368">
        <f t="shared" si="260"/>
        <v>2.8069200000424566E-7</v>
      </c>
    </row>
    <row r="419" spans="1:40" x14ac:dyDescent="0.25">
      <c r="A419" s="2598" t="str">
        <f>'Income Eligble Deemed Table'!C1231</f>
        <v>406005_2019_12_</v>
      </c>
      <c r="B419" s="245" t="str">
        <f>'Income Eligble Deemed Table'!G1231</f>
        <v>Cooling RES</v>
      </c>
      <c r="C419" s="245"/>
      <c r="D419" s="245"/>
      <c r="E419" s="245"/>
      <c r="F419" s="245" t="str">
        <f>'Income Eligble Deemed Table'!E1231</f>
        <v>AC - Energy Star Room_15kBtu_SF</v>
      </c>
      <c r="G419" s="745" t="str">
        <f>'Income Eligble Deemed Table'!D1231</f>
        <v>SFLI</v>
      </c>
      <c r="H419" s="2420">
        <f t="shared" si="274"/>
        <v>111.77</v>
      </c>
      <c r="I419" s="2420">
        <f t="shared" si="275"/>
        <v>0</v>
      </c>
      <c r="J419" s="2452">
        <f>'Income Eligble Deemed Table'!F1231</f>
        <v>111.77</v>
      </c>
      <c r="K419" s="2452"/>
      <c r="L419" s="2452"/>
      <c r="M419" s="2452"/>
      <c r="N419" s="2421">
        <f t="shared" si="276"/>
        <v>0.105893</v>
      </c>
      <c r="O419" s="2421">
        <f t="shared" si="277"/>
        <v>0</v>
      </c>
      <c r="P419" s="2412">
        <f>'Income Eligble Deemed Table'!I1231</f>
        <v>0.105893</v>
      </c>
      <c r="Q419" s="2412"/>
      <c r="R419" s="2412"/>
      <c r="S419" s="2412"/>
      <c r="T419" s="2413">
        <f t="shared" si="278"/>
        <v>0.105893</v>
      </c>
      <c r="U419" s="2413"/>
      <c r="V419" s="2413"/>
      <c r="W419" s="2460">
        <f>'Income Eligble Deemed Table'!J1231</f>
        <v>9</v>
      </c>
      <c r="X419" s="2460"/>
      <c r="Y419" s="94">
        <f t="shared" si="279"/>
        <v>9</v>
      </c>
      <c r="Z419" s="767">
        <f>'Income Eligble Deemed Table'!BB1231</f>
        <v>5.4218785377893326</v>
      </c>
      <c r="AA419" s="2419">
        <f>'Income Eligble Deemed Table'!K1231</f>
        <v>20</v>
      </c>
      <c r="AB419" s="2416">
        <f t="shared" si="269"/>
        <v>102.34787235090764</v>
      </c>
      <c r="AC419" s="2416">
        <f t="shared" si="270"/>
        <v>0</v>
      </c>
      <c r="AD419" s="2446">
        <f>'Income Eligble Deemed Table'!BD1231</f>
        <v>102.34787235090764</v>
      </c>
      <c r="AE419" s="2440"/>
      <c r="AF419" s="2440"/>
      <c r="AG419" s="2440"/>
      <c r="AL419" s="2380">
        <f t="shared" si="259"/>
        <v>9.4741810000000004E-4</v>
      </c>
      <c r="AM419">
        <f t="shared" si="273"/>
        <v>0.105892921037</v>
      </c>
      <c r="AN419" s="2368">
        <f t="shared" si="260"/>
        <v>-7.8962999999765415E-8</v>
      </c>
    </row>
    <row r="420" spans="1:40" x14ac:dyDescent="0.25">
      <c r="A420" s="2598" t="str">
        <f>'Home Energy Report Deemed Table'!C7</f>
        <v>450050_2019_12_</v>
      </c>
      <c r="B420" s="245" t="str">
        <f>'Home Energy Report Deemed Table'!G7</f>
        <v>Building Shell RES</v>
      </c>
      <c r="C420" s="245"/>
      <c r="D420" s="245"/>
      <c r="E420" s="245"/>
      <c r="F420" s="245" t="str">
        <f>'Home Energy Report Deemed Table'!E7</f>
        <v xml:space="preserve">Home Energy Report </v>
      </c>
      <c r="G420" s="745" t="str">
        <f>'Home Energy Report Deemed Table'!D7</f>
        <v>SF</v>
      </c>
      <c r="H420" s="2410">
        <f>'Home Energy Report Deemed Table'!F7</f>
        <v>82.4</v>
      </c>
      <c r="I420" s="2410"/>
      <c r="J420" s="2452"/>
      <c r="K420" s="2452"/>
      <c r="L420" s="2452"/>
      <c r="M420" s="2452"/>
      <c r="N420" s="2411">
        <f>'Home Energy Report Deemed Table'!I7</f>
        <v>3.8405000000000002E-2</v>
      </c>
      <c r="O420" s="2411"/>
      <c r="P420" s="2412"/>
      <c r="Q420" s="2412"/>
      <c r="R420" s="2412"/>
      <c r="S420" s="2412"/>
      <c r="T420" s="2413">
        <f t="shared" si="278"/>
        <v>3.8405000000000002E-2</v>
      </c>
      <c r="U420" s="2413">
        <v>0</v>
      </c>
      <c r="V420" s="2413">
        <v>0</v>
      </c>
      <c r="W420" s="2460">
        <f>'Home Energy Report Deemed Table'!J7</f>
        <v>1</v>
      </c>
      <c r="X420" s="2460"/>
      <c r="Y420" s="94">
        <f t="shared" si="279"/>
        <v>1</v>
      </c>
      <c r="Z420" s="767" t="str">
        <f>'Home Energy Report Deemed Table'!BB7</f>
        <v/>
      </c>
      <c r="AA420" s="2419">
        <f>'Home Energy Report Deemed Table'!K7</f>
        <v>0</v>
      </c>
      <c r="AB420" s="2427">
        <f t="shared" si="269"/>
        <v>4.5859282270948665</v>
      </c>
      <c r="AC420" s="2427">
        <f t="shared" si="270"/>
        <v>0</v>
      </c>
      <c r="AD420" s="2446">
        <f>'Home Energy Report Deemed Table'!BD7</f>
        <v>4.5859282270948665</v>
      </c>
      <c r="AE420" s="2440"/>
      <c r="AF420" s="2440"/>
      <c r="AG420" s="2440"/>
      <c r="AL420" s="2380">
        <f t="shared" ref="AL420:AL480" si="280">VLOOKUP(B420,$AR$10:$AS$30,2,FALSE)</f>
        <v>4.6608050000000002E-4</v>
      </c>
      <c r="AM420">
        <f t="shared" si="273"/>
        <v>3.8405033200000001E-2</v>
      </c>
      <c r="AN420" s="2368">
        <f t="shared" ref="AN420:AN480" si="281">AM420-N420</f>
        <v>3.3199999999178331E-8</v>
      </c>
    </row>
    <row r="421" spans="1:40" x14ac:dyDescent="0.25">
      <c r="A421" s="2598" t="str">
        <f>'MFMR Deemed Table '!C7</f>
        <v>500050_2019_12_</v>
      </c>
      <c r="B421" s="245" t="str">
        <f>'MFMR Deemed Table '!G7</f>
        <v>Cooling RES</v>
      </c>
      <c r="C421" s="245"/>
      <c r="D421" s="245"/>
      <c r="E421" s="245"/>
      <c r="F421" s="245" t="str">
        <f>'MFMR Deemed Table '!E7</f>
        <v>General Tune-Up (no charge or coil clean) / MFMR</v>
      </c>
      <c r="G421" s="745" t="str">
        <f>'MFMR Deemed Table '!D7</f>
        <v>MFMR</v>
      </c>
      <c r="H421" s="2420">
        <f t="shared" ref="H421" si="282">J421+K421</f>
        <v>80.33</v>
      </c>
      <c r="I421" s="2420">
        <f t="shared" ref="I421" si="283">L421+M421</f>
        <v>0</v>
      </c>
      <c r="J421" s="2452">
        <f>'MFMR Deemed Table '!F7</f>
        <v>80.33</v>
      </c>
      <c r="K421" s="2452"/>
      <c r="L421" s="2452"/>
      <c r="M421" s="2452"/>
      <c r="N421" s="2421">
        <f t="shared" ref="N421:N428" si="284">P421+Q421</f>
        <v>7.6105999999999993E-2</v>
      </c>
      <c r="O421" s="2421">
        <f t="shared" ref="O421:O428" si="285">R421+S421</f>
        <v>0</v>
      </c>
      <c r="P421" s="2412">
        <f>'MFMR Deemed Table '!I7</f>
        <v>7.6105999999999993E-2</v>
      </c>
      <c r="Q421" s="2412"/>
      <c r="R421" s="2412"/>
      <c r="S421" s="2412"/>
      <c r="T421" s="2413">
        <f t="shared" si="278"/>
        <v>7.6105999999999993E-2</v>
      </c>
      <c r="U421" s="2413">
        <v>0</v>
      </c>
      <c r="V421" s="2413">
        <v>0</v>
      </c>
      <c r="W421" s="2460">
        <f>'MFMR Deemed Table '!J7</f>
        <v>2</v>
      </c>
      <c r="X421" s="2460"/>
      <c r="Y421" s="94">
        <f t="shared" si="279"/>
        <v>2</v>
      </c>
      <c r="Z421" s="767">
        <f>'MFMR Deemed Table '!BB7</f>
        <v>0.20805766351048499</v>
      </c>
      <c r="AA421" s="2419">
        <f>'MFMR Deemed Table '!K7</f>
        <v>70</v>
      </c>
      <c r="AB421" s="2416">
        <f t="shared" si="269"/>
        <v>13.746141053075931</v>
      </c>
      <c r="AC421" s="2416">
        <f t="shared" si="270"/>
        <v>0</v>
      </c>
      <c r="AD421" s="2446">
        <f>'MFMR Deemed Table '!BD7</f>
        <v>13.746141053075931</v>
      </c>
      <c r="AE421" s="2440"/>
      <c r="AF421" s="2440"/>
      <c r="AG421" s="2440"/>
      <c r="AL421" s="2380">
        <f t="shared" si="280"/>
        <v>9.4741810000000004E-4</v>
      </c>
      <c r="AM421">
        <f t="shared" si="273"/>
        <v>7.6106095972999999E-2</v>
      </c>
      <c r="AN421" s="2368">
        <f t="shared" si="281"/>
        <v>9.5973000005522557E-8</v>
      </c>
    </row>
    <row r="422" spans="1:40" x14ac:dyDescent="0.25">
      <c r="A422" s="2598" t="str">
        <f>'MFMR Deemed Table '!C8</f>
        <v>500051_2019_12_</v>
      </c>
      <c r="B422" s="245" t="str">
        <f>'MFMR Deemed Table '!G8</f>
        <v>Cooling RES</v>
      </c>
      <c r="C422" s="245"/>
      <c r="D422" s="245"/>
      <c r="E422" s="245"/>
      <c r="F422" s="245" t="str">
        <f>'MFMR Deemed Table '!E8</f>
        <v>General Tune-Up (no charge or coil clean) / MFMR_CompE</v>
      </c>
      <c r="G422" s="745" t="str">
        <f>'MFMR Deemed Table '!D8</f>
        <v>MFMRc</v>
      </c>
      <c r="H422" s="2420">
        <f t="shared" ref="H422:H428" si="286">J422+K422</f>
        <v>58.42</v>
      </c>
      <c r="I422" s="2420">
        <f t="shared" ref="I422:I428" si="287">L422+M422</f>
        <v>0</v>
      </c>
      <c r="J422" s="2452">
        <f>'MFMR Deemed Table '!F8</f>
        <v>58.42</v>
      </c>
      <c r="K422" s="2452"/>
      <c r="L422" s="2452"/>
      <c r="M422" s="2452"/>
      <c r="N422" s="2421">
        <f t="shared" si="284"/>
        <v>5.5348000000000001E-2</v>
      </c>
      <c r="O422" s="2421">
        <f t="shared" si="285"/>
        <v>0</v>
      </c>
      <c r="P422" s="2412">
        <f>'MFMR Deemed Table '!I8</f>
        <v>5.5348000000000001E-2</v>
      </c>
      <c r="Q422" s="2412"/>
      <c r="R422" s="2412"/>
      <c r="S422" s="2412"/>
      <c r="T422" s="2413">
        <f t="shared" si="278"/>
        <v>5.5348000000000001E-2</v>
      </c>
      <c r="U422" s="2413">
        <v>0</v>
      </c>
      <c r="V422" s="2413">
        <v>0</v>
      </c>
      <c r="W422" s="2460">
        <f>'MFMR Deemed Table '!J8</f>
        <v>2</v>
      </c>
      <c r="X422" s="2460"/>
      <c r="Y422" s="94">
        <f t="shared" si="279"/>
        <v>2</v>
      </c>
      <c r="Z422" s="767">
        <f>'MFMR Deemed Table '!BB8</f>
        <v>0.15130995521327692</v>
      </c>
      <c r="AA422" s="2419">
        <f>'MFMR Deemed Table '!K8</f>
        <v>70</v>
      </c>
      <c r="AB422" s="2416">
        <f t="shared" si="269"/>
        <v>9.9968823642561428</v>
      </c>
      <c r="AC422" s="2416">
        <f t="shared" si="270"/>
        <v>0</v>
      </c>
      <c r="AD422" s="2446">
        <f>'MFMR Deemed Table '!BD8</f>
        <v>9.9968823642561428</v>
      </c>
      <c r="AE422" s="2440"/>
      <c r="AF422" s="2440"/>
      <c r="AG422" s="2440"/>
      <c r="AL422" s="2380">
        <f t="shared" si="280"/>
        <v>9.4741810000000004E-4</v>
      </c>
      <c r="AM422">
        <f t="shared" si="273"/>
        <v>5.5348165402000001E-2</v>
      </c>
      <c r="AN422" s="2368">
        <f t="shared" si="281"/>
        <v>1.6540199999914851E-7</v>
      </c>
    </row>
    <row r="423" spans="1:40" x14ac:dyDescent="0.25">
      <c r="A423" s="2598" t="str">
        <f>'MFMR Deemed Table '!C9</f>
        <v>500100_2019_12_</v>
      </c>
      <c r="B423" s="245" t="str">
        <f>'MFMR Deemed Table '!G9</f>
        <v>Cooling RES</v>
      </c>
      <c r="C423" s="245"/>
      <c r="D423" s="245"/>
      <c r="E423" s="245"/>
      <c r="F423" s="245" t="str">
        <f>'MFMR Deemed Table '!E9</f>
        <v>AC Tune-up / refrigerant charge / MFMR</v>
      </c>
      <c r="G423" s="745" t="str">
        <f>'MFMR Deemed Table '!D9</f>
        <v>MFMR</v>
      </c>
      <c r="H423" s="2420">
        <f t="shared" si="286"/>
        <v>335.03</v>
      </c>
      <c r="I423" s="2420">
        <f t="shared" si="287"/>
        <v>0</v>
      </c>
      <c r="J423" s="2452">
        <f>'MFMR Deemed Table '!F9</f>
        <v>335.03</v>
      </c>
      <c r="K423" s="2452"/>
      <c r="L423" s="2452"/>
      <c r="M423" s="2452"/>
      <c r="N423" s="2421">
        <f t="shared" si="284"/>
        <v>0.317413</v>
      </c>
      <c r="O423" s="2421">
        <f t="shared" si="285"/>
        <v>0</v>
      </c>
      <c r="P423" s="2412">
        <f>'MFMR Deemed Table '!I9</f>
        <v>0.317413</v>
      </c>
      <c r="Q423" s="2412"/>
      <c r="R423" s="2412"/>
      <c r="S423" s="2412"/>
      <c r="T423" s="2413">
        <f t="shared" si="278"/>
        <v>0.317413</v>
      </c>
      <c r="U423" s="2413">
        <v>0</v>
      </c>
      <c r="V423" s="2413">
        <v>0</v>
      </c>
      <c r="W423" s="2460">
        <f>'MFMR Deemed Table '!J9</f>
        <v>2</v>
      </c>
      <c r="X423" s="2460"/>
      <c r="Y423" s="94">
        <f t="shared" si="279"/>
        <v>2</v>
      </c>
      <c r="Z423" s="767">
        <f>'MFMR Deemed Table '!BB9</f>
        <v>0.74989881713460449</v>
      </c>
      <c r="AA423" s="2419">
        <f>'MFMR Deemed Table '!K9</f>
        <v>81</v>
      </c>
      <c r="AB423" s="2416">
        <f t="shared" si="269"/>
        <v>57.330631607270377</v>
      </c>
      <c r="AC423" s="2416">
        <f t="shared" si="270"/>
        <v>0</v>
      </c>
      <c r="AD423" s="2446">
        <f>'MFMR Deemed Table '!BD9</f>
        <v>57.330631607270377</v>
      </c>
      <c r="AE423" s="2440"/>
      <c r="AF423" s="2440"/>
      <c r="AG423" s="2440"/>
      <c r="AL423" s="2380">
        <f t="shared" si="280"/>
        <v>9.4741810000000004E-4</v>
      </c>
      <c r="AM423">
        <f t="shared" si="273"/>
        <v>0.31741348604299996</v>
      </c>
      <c r="AN423" s="2368">
        <f t="shared" si="281"/>
        <v>4.8604299995869127E-7</v>
      </c>
    </row>
    <row r="424" spans="1:40" x14ac:dyDescent="0.25">
      <c r="A424" s="2598" t="str">
        <f>'MFMR Deemed Table '!C10</f>
        <v>500101_2019_12_</v>
      </c>
      <c r="B424" s="245" t="str">
        <f>'MFMR Deemed Table '!G10</f>
        <v>Cooling RES</v>
      </c>
      <c r="C424" s="245"/>
      <c r="D424" s="245"/>
      <c r="E424" s="245"/>
      <c r="F424" s="245" t="str">
        <f>'MFMR Deemed Table '!E10</f>
        <v>AC Tune-up / refrigerant charge / MFMR_CompE</v>
      </c>
      <c r="G424" s="745" t="str">
        <f>'MFMR Deemed Table '!D10</f>
        <v>MFMRc</v>
      </c>
      <c r="H424" s="2420">
        <f t="shared" si="286"/>
        <v>243.66</v>
      </c>
      <c r="I424" s="2420">
        <f t="shared" si="287"/>
        <v>0</v>
      </c>
      <c r="J424" s="2452">
        <f>'MFMR Deemed Table '!F10</f>
        <v>243.66</v>
      </c>
      <c r="K424" s="2452"/>
      <c r="L424" s="2452"/>
      <c r="M424" s="2452"/>
      <c r="N424" s="2421">
        <f t="shared" si="284"/>
        <v>0.230848</v>
      </c>
      <c r="O424" s="2421">
        <f t="shared" si="285"/>
        <v>0</v>
      </c>
      <c r="P424" s="2412">
        <f>'MFMR Deemed Table '!I10</f>
        <v>0.230848</v>
      </c>
      <c r="Q424" s="2412"/>
      <c r="R424" s="2412"/>
      <c r="S424" s="2412"/>
      <c r="T424" s="2413">
        <f t="shared" si="278"/>
        <v>0.230848</v>
      </c>
      <c r="U424" s="2413">
        <v>0</v>
      </c>
      <c r="V424" s="2413">
        <v>0</v>
      </c>
      <c r="W424" s="2460">
        <f>'MFMR Deemed Table '!J10</f>
        <v>2</v>
      </c>
      <c r="X424" s="2460"/>
      <c r="Y424" s="94">
        <f t="shared" si="279"/>
        <v>2</v>
      </c>
      <c r="Z424" s="767">
        <f>'MFMR Deemed Table '!BB10</f>
        <v>0.54538502755877905</v>
      </c>
      <c r="AA424" s="2419">
        <f>'MFMR Deemed Table '!K10</f>
        <v>81</v>
      </c>
      <c r="AB424" s="2416">
        <f t="shared" si="269"/>
        <v>41.695315934177536</v>
      </c>
      <c r="AC424" s="2416">
        <f t="shared" si="270"/>
        <v>0</v>
      </c>
      <c r="AD424" s="2446">
        <f>'MFMR Deemed Table '!BD10</f>
        <v>41.695315934177536</v>
      </c>
      <c r="AE424" s="2440"/>
      <c r="AF424" s="2440"/>
      <c r="AG424" s="2440"/>
      <c r="AL424" s="2380">
        <f t="shared" si="280"/>
        <v>9.4741810000000004E-4</v>
      </c>
      <c r="AM424">
        <f t="shared" si="273"/>
        <v>0.230847894246</v>
      </c>
      <c r="AN424" s="2368">
        <f t="shared" si="281"/>
        <v>-1.0575400000156776E-7</v>
      </c>
    </row>
    <row r="425" spans="1:40" x14ac:dyDescent="0.25">
      <c r="A425" s="2598" t="str">
        <f>'MFMR Deemed Table '!C11</f>
        <v>500150_2019_12_</v>
      </c>
      <c r="B425" s="245" t="str">
        <f>'MFMR Deemed Table '!G11</f>
        <v>Cooling RES</v>
      </c>
      <c r="C425" s="245"/>
      <c r="D425" s="245"/>
      <c r="E425" s="245"/>
      <c r="F425" s="245" t="str">
        <f>'MFMR Deemed Table '!E11</f>
        <v>Indoor Coil (Evaporator) Cleaning / MFMR</v>
      </c>
      <c r="G425" s="745" t="str">
        <f>'MFMR Deemed Table '!D11</f>
        <v>MFMR</v>
      </c>
      <c r="H425" s="2420">
        <f t="shared" si="286"/>
        <v>55.45</v>
      </c>
      <c r="I425" s="2420">
        <f t="shared" si="287"/>
        <v>0</v>
      </c>
      <c r="J425" s="2452">
        <f>'MFMR Deemed Table '!F11</f>
        <v>55.45</v>
      </c>
      <c r="K425" s="2452"/>
      <c r="L425" s="2452"/>
      <c r="M425" s="2452"/>
      <c r="N425" s="2421">
        <f t="shared" si="284"/>
        <v>5.2533999999999997E-2</v>
      </c>
      <c r="O425" s="2421">
        <f t="shared" si="285"/>
        <v>0</v>
      </c>
      <c r="P425" s="2412">
        <f>'MFMR Deemed Table '!I11</f>
        <v>5.2533999999999997E-2</v>
      </c>
      <c r="Q425" s="2412"/>
      <c r="R425" s="2412"/>
      <c r="S425" s="2412"/>
      <c r="T425" s="2413">
        <f t="shared" si="278"/>
        <v>5.2533999999999997E-2</v>
      </c>
      <c r="U425" s="2413">
        <v>0</v>
      </c>
      <c r="V425" s="2413">
        <v>0</v>
      </c>
      <c r="W425" s="2460">
        <f>'MFMR Deemed Table '!J11</f>
        <v>2</v>
      </c>
      <c r="X425" s="2460"/>
      <c r="Y425" s="94">
        <f t="shared" si="279"/>
        <v>2</v>
      </c>
      <c r="Z425" s="767">
        <f>'MFMR Deemed Table '!BB11</f>
        <v>0.15957505071657738</v>
      </c>
      <c r="AA425" s="2419">
        <f>'MFMR Deemed Table '!K11</f>
        <v>63</v>
      </c>
      <c r="AB425" s="2416">
        <f t="shared" si="269"/>
        <v>9.4886533224581164</v>
      </c>
      <c r="AC425" s="2416">
        <f t="shared" si="270"/>
        <v>0</v>
      </c>
      <c r="AD425" s="2446">
        <f>'MFMR Deemed Table '!BD11</f>
        <v>9.4886533224581164</v>
      </c>
      <c r="AE425" s="2440"/>
      <c r="AF425" s="2440"/>
      <c r="AG425" s="2440"/>
      <c r="AL425" s="2380">
        <f t="shared" si="280"/>
        <v>9.4741810000000004E-4</v>
      </c>
      <c r="AM425">
        <f t="shared" si="273"/>
        <v>5.2534333645000007E-2</v>
      </c>
      <c r="AN425" s="2368">
        <f t="shared" si="281"/>
        <v>3.3364500000993003E-7</v>
      </c>
    </row>
    <row r="426" spans="1:40" x14ac:dyDescent="0.25">
      <c r="A426" s="2598" t="str">
        <f>'MFMR Deemed Table '!C12</f>
        <v>500151_2019_12_</v>
      </c>
      <c r="B426" s="245" t="str">
        <f>'MFMR Deemed Table '!G12</f>
        <v>Cooling RES</v>
      </c>
      <c r="C426" s="245"/>
      <c r="D426" s="245"/>
      <c r="E426" s="245"/>
      <c r="F426" s="245" t="str">
        <f>'MFMR Deemed Table '!E12</f>
        <v>Indoor Coil (Evaporator) Cleaning / MFMR_CompE</v>
      </c>
      <c r="G426" s="745" t="str">
        <f>'MFMR Deemed Table '!D12</f>
        <v>MFMRc</v>
      </c>
      <c r="H426" s="2420">
        <f t="shared" si="286"/>
        <v>40.33</v>
      </c>
      <c r="I426" s="2420">
        <f t="shared" si="287"/>
        <v>0</v>
      </c>
      <c r="J426" s="2452">
        <f>'MFMR Deemed Table '!F12</f>
        <v>40.33</v>
      </c>
      <c r="K426" s="2452"/>
      <c r="L426" s="2452"/>
      <c r="M426" s="2452"/>
      <c r="N426" s="2421">
        <f t="shared" si="284"/>
        <v>3.8209E-2</v>
      </c>
      <c r="O426" s="2421">
        <f t="shared" si="285"/>
        <v>0</v>
      </c>
      <c r="P426" s="2412">
        <f>'MFMR Deemed Table '!I12</f>
        <v>3.8209E-2</v>
      </c>
      <c r="Q426" s="2412"/>
      <c r="R426" s="2412"/>
      <c r="S426" s="2412"/>
      <c r="T426" s="2413">
        <f t="shared" si="278"/>
        <v>3.8209E-2</v>
      </c>
      <c r="U426" s="2413">
        <v>0</v>
      </c>
      <c r="V426" s="2413">
        <v>0</v>
      </c>
      <c r="W426" s="2460">
        <f>'MFMR Deemed Table '!J12</f>
        <v>2</v>
      </c>
      <c r="X426" s="2460"/>
      <c r="Y426" s="94">
        <f t="shared" si="279"/>
        <v>2</v>
      </c>
      <c r="Z426" s="767">
        <f>'MFMR Deemed Table '!BB12</f>
        <v>0.1160624309359705</v>
      </c>
      <c r="AA426" s="2419">
        <f>'MFMR Deemed Table '!K12</f>
        <v>63</v>
      </c>
      <c r="AB426" s="2416">
        <f t="shared" si="269"/>
        <v>6.9013054733045225</v>
      </c>
      <c r="AC426" s="2416">
        <f t="shared" si="270"/>
        <v>0</v>
      </c>
      <c r="AD426" s="2446">
        <f>'MFMR Deemed Table '!BD12</f>
        <v>6.9013054733045225</v>
      </c>
      <c r="AE426" s="2440"/>
      <c r="AF426" s="2440"/>
      <c r="AG426" s="2440"/>
      <c r="AL426" s="2380">
        <f t="shared" si="280"/>
        <v>9.4741810000000004E-4</v>
      </c>
      <c r="AM426">
        <f t="shared" ref="AM426:AM457" si="288">AL426*H426</f>
        <v>3.8209371972999999E-2</v>
      </c>
      <c r="AN426" s="2368">
        <f t="shared" si="281"/>
        <v>3.7197299999902622E-7</v>
      </c>
    </row>
    <row r="427" spans="1:40" x14ac:dyDescent="0.25">
      <c r="A427" s="2598" t="str">
        <f>'MFMR Deemed Table '!C13</f>
        <v>500200_2019_12_</v>
      </c>
      <c r="B427" s="245" t="str">
        <f>'MFMR Deemed Table '!G13</f>
        <v>Cooling RES</v>
      </c>
      <c r="C427" s="245"/>
      <c r="D427" s="245"/>
      <c r="E427" s="245"/>
      <c r="F427" s="245" t="str">
        <f>'MFMR Deemed Table '!E13</f>
        <v>Outdoor Coil (Condenser) Cleaning / MFMR</v>
      </c>
      <c r="G427" s="745" t="str">
        <f>'MFMR Deemed Table '!D13</f>
        <v>MFMR</v>
      </c>
      <c r="H427" s="2420">
        <f t="shared" si="286"/>
        <v>110.9</v>
      </c>
      <c r="I427" s="2420">
        <f t="shared" si="287"/>
        <v>0</v>
      </c>
      <c r="J427" s="2452">
        <f>'MFMR Deemed Table '!F13</f>
        <v>110.9</v>
      </c>
      <c r="K427" s="2452"/>
      <c r="L427" s="2452"/>
      <c r="M427" s="2452"/>
      <c r="N427" s="2421">
        <f t="shared" si="284"/>
        <v>0.105069</v>
      </c>
      <c r="O427" s="2421">
        <f t="shared" si="285"/>
        <v>0</v>
      </c>
      <c r="P427" s="2412">
        <f>'MFMR Deemed Table '!I13</f>
        <v>0.105069</v>
      </c>
      <c r="Q427" s="2412"/>
      <c r="R427" s="2412"/>
      <c r="S427" s="2412"/>
      <c r="T427" s="2413">
        <f t="shared" si="278"/>
        <v>0.105069</v>
      </c>
      <c r="U427" s="2413">
        <v>0</v>
      </c>
      <c r="V427" s="2413">
        <v>0</v>
      </c>
      <c r="W427" s="2460">
        <f>'MFMR Deemed Table '!J13</f>
        <v>2</v>
      </c>
      <c r="X427" s="2460"/>
      <c r="Y427" s="94">
        <f t="shared" si="279"/>
        <v>2</v>
      </c>
      <c r="Z427" s="767">
        <f>'MFMR Deemed Table '!BB13</f>
        <v>0.64859536742866941</v>
      </c>
      <c r="AA427" s="2419">
        <f>'MFMR Deemed Table '!K13</f>
        <v>31</v>
      </c>
      <c r="AB427" s="2416">
        <f t="shared" si="269"/>
        <v>18.977306644916233</v>
      </c>
      <c r="AC427" s="2416">
        <f t="shared" si="270"/>
        <v>0</v>
      </c>
      <c r="AD427" s="2446">
        <f>'MFMR Deemed Table '!BD13</f>
        <v>18.977306644916233</v>
      </c>
      <c r="AE427" s="2440"/>
      <c r="AF427" s="2440"/>
      <c r="AG427" s="2440"/>
      <c r="AL427" s="2380">
        <f t="shared" si="280"/>
        <v>9.4741810000000004E-4</v>
      </c>
      <c r="AM427">
        <f t="shared" si="288"/>
        <v>0.10506866729000001</v>
      </c>
      <c r="AN427" s="2368">
        <f t="shared" si="281"/>
        <v>-3.3270999998114004E-7</v>
      </c>
    </row>
    <row r="428" spans="1:40" x14ac:dyDescent="0.25">
      <c r="A428" s="2598" t="str">
        <f>'MFMR Deemed Table '!C14</f>
        <v>500201_2019_12_</v>
      </c>
      <c r="B428" s="245" t="str">
        <f>'MFMR Deemed Table '!G14</f>
        <v>Cooling RES</v>
      </c>
      <c r="C428" s="245"/>
      <c r="D428" s="245"/>
      <c r="E428" s="245"/>
      <c r="F428" s="245" t="str">
        <f>'MFMR Deemed Table '!E14</f>
        <v>Outdoor Coil (Condenser) Cleaning / MFMR_CompE</v>
      </c>
      <c r="G428" s="745" t="str">
        <f>'MFMR Deemed Table '!D14</f>
        <v>MFMRc</v>
      </c>
      <c r="H428" s="2420">
        <f t="shared" si="286"/>
        <v>80.66</v>
      </c>
      <c r="I428" s="2420">
        <f t="shared" si="287"/>
        <v>0</v>
      </c>
      <c r="J428" s="2452">
        <f>'MFMR Deemed Table '!F14</f>
        <v>80.66</v>
      </c>
      <c r="K428" s="2452"/>
      <c r="L428" s="2452"/>
      <c r="M428" s="2452"/>
      <c r="N428" s="2421">
        <f t="shared" si="284"/>
        <v>7.6419000000000001E-2</v>
      </c>
      <c r="O428" s="2421">
        <f t="shared" si="285"/>
        <v>0</v>
      </c>
      <c r="P428" s="2412">
        <f>'MFMR Deemed Table '!I14</f>
        <v>7.6419000000000001E-2</v>
      </c>
      <c r="Q428" s="2412"/>
      <c r="R428" s="2412"/>
      <c r="S428" s="2412"/>
      <c r="T428" s="2413">
        <f t="shared" si="278"/>
        <v>7.6419000000000001E-2</v>
      </c>
      <c r="U428" s="2413">
        <v>0</v>
      </c>
      <c r="V428" s="2413">
        <v>0</v>
      </c>
      <c r="W428" s="2460">
        <f>'MFMR Deemed Table '!J14</f>
        <v>2</v>
      </c>
      <c r="X428" s="2460"/>
      <c r="Y428" s="94">
        <f t="shared" si="279"/>
        <v>2</v>
      </c>
      <c r="Z428" s="767">
        <f>'MFMR Deemed Table '!BB14</f>
        <v>0.47173762251394469</v>
      </c>
      <c r="AA428" s="2419">
        <f>'MFMR Deemed Table '!K14</f>
        <v>31</v>
      </c>
      <c r="AB428" s="2416">
        <f t="shared" si="269"/>
        <v>13.802610946609045</v>
      </c>
      <c r="AC428" s="2416">
        <f t="shared" si="270"/>
        <v>0</v>
      </c>
      <c r="AD428" s="2446">
        <f>'MFMR Deemed Table '!BD14</f>
        <v>13.802610946609045</v>
      </c>
      <c r="AE428" s="2440"/>
      <c r="AF428" s="2440"/>
      <c r="AG428" s="2440"/>
      <c r="AL428" s="2380">
        <f t="shared" si="280"/>
        <v>9.4741810000000004E-4</v>
      </c>
      <c r="AM428">
        <f t="shared" si="288"/>
        <v>7.6418743945999998E-2</v>
      </c>
      <c r="AN428" s="2368">
        <f t="shared" si="281"/>
        <v>-2.5605400000294765E-7</v>
      </c>
    </row>
    <row r="429" spans="1:40" x14ac:dyDescent="0.25">
      <c r="A429" s="2598" t="str">
        <f>'MFMR Deemed Table '!C40</f>
        <v>500250_2019_12_</v>
      </c>
      <c r="B429" s="245" t="str">
        <f>'MFMR Deemed Table '!G40</f>
        <v>Building Shell RES</v>
      </c>
      <c r="C429" s="245"/>
      <c r="D429" s="245"/>
      <c r="E429" s="245"/>
      <c r="F429" s="245" t="str">
        <f>'MFMR Deemed Table '!E40</f>
        <v>Ceiling Insulation R11-R49 MFMR electric furnace base</v>
      </c>
      <c r="G429" s="745" t="str">
        <f>'MFMR Deemed Table '!D40</f>
        <v>MFMR</v>
      </c>
      <c r="H429" s="2410">
        <f>'MFMR Deemed Table '!F40</f>
        <v>1.06</v>
      </c>
      <c r="I429" s="2410"/>
      <c r="J429" s="2452"/>
      <c r="K429" s="2452"/>
      <c r="L429" s="2452"/>
      <c r="M429" s="2452"/>
      <c r="N429" s="2411">
        <f>'MFMR Deemed Table '!K40</f>
        <v>4.9399999999999997E-4</v>
      </c>
      <c r="O429" s="2411"/>
      <c r="P429" s="2412"/>
      <c r="Q429" s="2412"/>
      <c r="R429" s="2412"/>
      <c r="S429" s="2412"/>
      <c r="T429" s="2413"/>
      <c r="U429" s="2413"/>
      <c r="V429" s="2413">
        <f t="shared" ref="V429:V438" si="289">N429</f>
        <v>4.9399999999999997E-4</v>
      </c>
      <c r="W429" s="2460">
        <f>'MFMR Deemed Table '!L40</f>
        <v>25</v>
      </c>
      <c r="X429" s="2460"/>
      <c r="Y429" s="94">
        <f t="shared" si="279"/>
        <v>25</v>
      </c>
      <c r="Z429" s="767">
        <f>'MFMR Deemed Table '!BB40</f>
        <v>0.73564454661671597</v>
      </c>
      <c r="AA429" s="2419">
        <f>'MFMR Deemed Table '!M40</f>
        <v>2.1249043458397581</v>
      </c>
      <c r="AB429" s="2416">
        <f t="shared" si="269"/>
        <v>1.4753886683333441</v>
      </c>
      <c r="AC429" s="2416">
        <f t="shared" si="270"/>
        <v>0</v>
      </c>
      <c r="AD429" s="2446">
        <f>'MFMR Deemed Table '!BD40</f>
        <v>1.4753886683333441</v>
      </c>
      <c r="AE429" s="2440"/>
      <c r="AF429" s="2440"/>
      <c r="AG429" s="2440"/>
      <c r="AL429" s="2380">
        <f t="shared" si="280"/>
        <v>4.6608050000000002E-4</v>
      </c>
      <c r="AM429">
        <f t="shared" si="288"/>
        <v>4.9404533000000001E-4</v>
      </c>
      <c r="AN429" s="2368">
        <f t="shared" si="281"/>
        <v>4.5330000000040442E-8</v>
      </c>
    </row>
    <row r="430" spans="1:40" x14ac:dyDescent="0.25">
      <c r="A430" s="2598" t="str">
        <f>'MFMR Deemed Table '!C41</f>
        <v>500300_2019_12_</v>
      </c>
      <c r="B430" s="245" t="str">
        <f>'MFMR Deemed Table '!G41</f>
        <v>Building Shell RES</v>
      </c>
      <c r="C430" s="245"/>
      <c r="D430" s="245"/>
      <c r="E430" s="245"/>
      <c r="F430" s="245" t="str">
        <f>'MFMR Deemed Table '!E41</f>
        <v>Ceiling Insulation R11-R49 MFMR gas heat and electric cool base</v>
      </c>
      <c r="G430" s="745" t="str">
        <f>'MFMR Deemed Table '!D41</f>
        <v>MFMR</v>
      </c>
      <c r="H430" s="2410">
        <f>'MFMR Deemed Table '!F41</f>
        <v>0.53</v>
      </c>
      <c r="I430" s="2410"/>
      <c r="J430" s="2452"/>
      <c r="K430" s="2452"/>
      <c r="L430" s="2452"/>
      <c r="M430" s="2452"/>
      <c r="N430" s="2411">
        <f>'MFMR Deemed Table '!K41</f>
        <v>2.4699999999999999E-4</v>
      </c>
      <c r="O430" s="2411"/>
      <c r="P430" s="2412"/>
      <c r="Q430" s="2412"/>
      <c r="R430" s="2412"/>
      <c r="S430" s="2412"/>
      <c r="T430" s="2413"/>
      <c r="U430" s="2413"/>
      <c r="V430" s="2413">
        <f t="shared" si="289"/>
        <v>2.4699999999999999E-4</v>
      </c>
      <c r="W430" s="2460">
        <f>'MFMR Deemed Table '!L41</f>
        <v>25</v>
      </c>
      <c r="X430" s="2460"/>
      <c r="Y430" s="94">
        <f t="shared" si="279"/>
        <v>25</v>
      </c>
      <c r="Z430" s="767">
        <f>'MFMR Deemed Table '!BB41</f>
        <v>0.36782227330835798</v>
      </c>
      <c r="AA430" s="2419">
        <f>'MFMR Deemed Table '!M41</f>
        <v>2.1249043458397581</v>
      </c>
      <c r="AB430" s="2416">
        <f t="shared" si="269"/>
        <v>0.73769433416667207</v>
      </c>
      <c r="AC430" s="2416">
        <f t="shared" si="270"/>
        <v>0</v>
      </c>
      <c r="AD430" s="2446">
        <f>'MFMR Deemed Table '!BD41</f>
        <v>0.73769433416667207</v>
      </c>
      <c r="AE430" s="2440"/>
      <c r="AF430" s="2440"/>
      <c r="AG430" s="2440"/>
      <c r="AL430" s="2380">
        <f t="shared" si="280"/>
        <v>4.6608050000000002E-4</v>
      </c>
      <c r="AM430">
        <f t="shared" si="288"/>
        <v>2.4702266500000001E-4</v>
      </c>
      <c r="AN430" s="2368">
        <f t="shared" si="281"/>
        <v>2.2665000000020221E-8</v>
      </c>
    </row>
    <row r="431" spans="1:40" x14ac:dyDescent="0.25">
      <c r="A431" s="2598" t="str">
        <f>'MFMR Deemed Table '!C42</f>
        <v>500350_2019_12_</v>
      </c>
      <c r="B431" s="245" t="str">
        <f>'MFMR Deemed Table '!G42</f>
        <v>Building Shell RES</v>
      </c>
      <c r="C431" s="245"/>
      <c r="D431" s="245"/>
      <c r="E431" s="245"/>
      <c r="F431" s="245" t="str">
        <f>'MFMR Deemed Table '!E42</f>
        <v>Ceiling Insulation R5-R30 MFMR electric furnace base</v>
      </c>
      <c r="G431" s="745" t="str">
        <f>'MFMR Deemed Table '!D42</f>
        <v>MFMR</v>
      </c>
      <c r="H431" s="2410">
        <f>'MFMR Deemed Table '!F42</f>
        <v>1.71</v>
      </c>
      <c r="I431" s="2410"/>
      <c r="J431" s="2452"/>
      <c r="K431" s="2452"/>
      <c r="L431" s="2452"/>
      <c r="M431" s="2452"/>
      <c r="N431" s="2411">
        <f>'MFMR Deemed Table '!K42</f>
        <v>7.9699999999999997E-4</v>
      </c>
      <c r="O431" s="2411"/>
      <c r="P431" s="2412"/>
      <c r="Q431" s="2412"/>
      <c r="R431" s="2412"/>
      <c r="S431" s="2412"/>
      <c r="T431" s="2413"/>
      <c r="U431" s="2413"/>
      <c r="V431" s="2413">
        <f t="shared" si="289"/>
        <v>7.9699999999999997E-4</v>
      </c>
      <c r="W431" s="2460">
        <f>'MFMR Deemed Table '!L42</f>
        <v>25</v>
      </c>
      <c r="X431" s="2460"/>
      <c r="Y431" s="94">
        <f t="shared" si="279"/>
        <v>25</v>
      </c>
      <c r="Z431" s="767">
        <f>'MFMR Deemed Table '!BB42</f>
        <v>2.1680871992176587</v>
      </c>
      <c r="AA431" s="2419">
        <f>'MFMR Deemed Table '!M42</f>
        <v>1.1631103074141049</v>
      </c>
      <c r="AB431" s="2416">
        <f t="shared" si="269"/>
        <v>2.3801081347641682</v>
      </c>
      <c r="AC431" s="2416">
        <f t="shared" si="270"/>
        <v>0</v>
      </c>
      <c r="AD431" s="2446">
        <f>'MFMR Deemed Table '!BD42</f>
        <v>2.3801081347641682</v>
      </c>
      <c r="AE431" s="2440"/>
      <c r="AF431" s="2440"/>
      <c r="AG431" s="2440"/>
      <c r="AL431" s="2380">
        <f t="shared" si="280"/>
        <v>4.6608050000000002E-4</v>
      </c>
      <c r="AM431">
        <f t="shared" si="288"/>
        <v>7.9699765500000001E-4</v>
      </c>
      <c r="AN431" s="2368">
        <f t="shared" si="281"/>
        <v>-2.3449999999539811E-9</v>
      </c>
    </row>
    <row r="432" spans="1:40" x14ac:dyDescent="0.25">
      <c r="A432" s="2598" t="str">
        <f>'MFMR Deemed Table '!C43</f>
        <v>500400_2019_12_</v>
      </c>
      <c r="B432" s="245" t="str">
        <f>'MFMR Deemed Table '!G43</f>
        <v>Building Shell RES</v>
      </c>
      <c r="C432" s="245"/>
      <c r="D432" s="245"/>
      <c r="E432" s="245"/>
      <c r="F432" s="245" t="str">
        <f>'MFMR Deemed Table '!E43</f>
        <v>Ceiling Insulation R5-R30 MFMR gas heat and electric cool base</v>
      </c>
      <c r="G432" s="745" t="str">
        <f>'MFMR Deemed Table '!D43</f>
        <v>MFMR</v>
      </c>
      <c r="H432" s="2410">
        <f>'MFMR Deemed Table '!F43</f>
        <v>0.86</v>
      </c>
      <c r="I432" s="2410"/>
      <c r="J432" s="2452"/>
      <c r="K432" s="2452"/>
      <c r="L432" s="2452"/>
      <c r="M432" s="2452"/>
      <c r="N432" s="2411">
        <f>'MFMR Deemed Table '!K43</f>
        <v>4.0099999999999999E-4</v>
      </c>
      <c r="O432" s="2411"/>
      <c r="P432" s="2412"/>
      <c r="Q432" s="2412"/>
      <c r="R432" s="2412"/>
      <c r="S432" s="2412"/>
      <c r="T432" s="2413"/>
      <c r="U432" s="2413"/>
      <c r="V432" s="2413">
        <f t="shared" si="289"/>
        <v>4.0099999999999999E-4</v>
      </c>
      <c r="W432" s="2460">
        <f>'MFMR Deemed Table '!L43</f>
        <v>25</v>
      </c>
      <c r="X432" s="2460"/>
      <c r="Y432" s="94">
        <f t="shared" si="279"/>
        <v>25</v>
      </c>
      <c r="Z432" s="767">
        <f>'MFMR Deemed Table '!BB43</f>
        <v>1.0903830358638518</v>
      </c>
      <c r="AA432" s="2419">
        <f>'MFMR Deemed Table '!M43</f>
        <v>1.1631103074141049</v>
      </c>
      <c r="AB432" s="2416">
        <f t="shared" ref="AB432:AB496" si="290">AD432+AE432</f>
        <v>1.1970134478930905</v>
      </c>
      <c r="AC432" s="2416">
        <f t="shared" ref="AC432:AC496" si="291">AF432+AG432</f>
        <v>0</v>
      </c>
      <c r="AD432" s="2446">
        <f>'MFMR Deemed Table '!BD43</f>
        <v>1.1970134478930905</v>
      </c>
      <c r="AE432" s="2440"/>
      <c r="AF432" s="2440"/>
      <c r="AG432" s="2440"/>
      <c r="AL432" s="2380">
        <f t="shared" si="280"/>
        <v>4.6608050000000002E-4</v>
      </c>
      <c r="AM432">
        <f t="shared" si="288"/>
        <v>4.0082923000000001E-4</v>
      </c>
      <c r="AN432" s="2368">
        <f t="shared" si="281"/>
        <v>-1.7076999999997939E-7</v>
      </c>
    </row>
    <row r="433" spans="1:40" x14ac:dyDescent="0.25">
      <c r="A433" s="2598" t="str">
        <f>'MFMR Deemed Table '!C44</f>
        <v>500450_2019_12_</v>
      </c>
      <c r="B433" s="245" t="str">
        <f>'MFMR Deemed Table '!G44</f>
        <v>Building Shell RES</v>
      </c>
      <c r="C433" s="245"/>
      <c r="D433" s="245"/>
      <c r="E433" s="245"/>
      <c r="F433" s="245" t="str">
        <f>'MFMR Deemed Table '!E44</f>
        <v>Ceiling Insulation R5-R38 MFMR electric furnace base</v>
      </c>
      <c r="G433" s="745" t="str">
        <f>'MFMR Deemed Table '!D44</f>
        <v>MFMR</v>
      </c>
      <c r="H433" s="2410">
        <f>'MFMR Deemed Table '!F44</f>
        <v>1.84</v>
      </c>
      <c r="I433" s="2410"/>
      <c r="J433" s="2452"/>
      <c r="K433" s="2452"/>
      <c r="L433" s="2452"/>
      <c r="M433" s="2452"/>
      <c r="N433" s="2411">
        <f>'MFMR Deemed Table '!K44</f>
        <v>8.5800000000000004E-4</v>
      </c>
      <c r="O433" s="2411"/>
      <c r="P433" s="2412"/>
      <c r="Q433" s="2412"/>
      <c r="R433" s="2412"/>
      <c r="S433" s="2412"/>
      <c r="T433" s="2413"/>
      <c r="U433" s="2413"/>
      <c r="V433" s="2413">
        <f t="shared" si="289"/>
        <v>8.5800000000000004E-4</v>
      </c>
      <c r="W433" s="2460">
        <f>'MFMR Deemed Table '!L44</f>
        <v>25</v>
      </c>
      <c r="X433" s="2460"/>
      <c r="Y433" s="94">
        <f t="shared" si="279"/>
        <v>25</v>
      </c>
      <c r="Z433" s="767">
        <f>'MFMR Deemed Table '!BB44</f>
        <v>1.6141399677218247</v>
      </c>
      <c r="AA433" s="2419">
        <f>'MFMR Deemed Table '!M44</f>
        <v>1.6810404785088331</v>
      </c>
      <c r="AB433" s="2416">
        <f t="shared" si="290"/>
        <v>2.5610520280503333</v>
      </c>
      <c r="AC433" s="2416">
        <f t="shared" si="291"/>
        <v>0</v>
      </c>
      <c r="AD433" s="2446">
        <f>'MFMR Deemed Table '!BD44</f>
        <v>2.5610520280503333</v>
      </c>
      <c r="AE433" s="2440"/>
      <c r="AF433" s="2440"/>
      <c r="AG433" s="2440"/>
      <c r="AL433" s="2380">
        <f t="shared" si="280"/>
        <v>4.6608050000000002E-4</v>
      </c>
      <c r="AM433">
        <f t="shared" si="288"/>
        <v>8.5758812000000012E-4</v>
      </c>
      <c r="AN433" s="2368">
        <f t="shared" si="281"/>
        <v>-4.1187999999991922E-7</v>
      </c>
    </row>
    <row r="434" spans="1:40" x14ac:dyDescent="0.25">
      <c r="A434" s="2598" t="str">
        <f>'MFMR Deemed Table '!C45</f>
        <v>500500_2019_12_</v>
      </c>
      <c r="B434" s="245" t="str">
        <f>'MFMR Deemed Table '!G45</f>
        <v>Building Shell RES</v>
      </c>
      <c r="C434" s="245"/>
      <c r="D434" s="245"/>
      <c r="E434" s="245"/>
      <c r="F434" s="245" t="str">
        <f>'MFMR Deemed Table '!E45</f>
        <v>Ceiling Insulation R5-R38 MFMR gas heat and electric cool base</v>
      </c>
      <c r="G434" s="745" t="str">
        <f>'MFMR Deemed Table '!D45</f>
        <v>MFMR</v>
      </c>
      <c r="H434" s="2410">
        <f>'MFMR Deemed Table '!F45</f>
        <v>0.93</v>
      </c>
      <c r="I434" s="2410"/>
      <c r="J434" s="2452"/>
      <c r="K434" s="2452"/>
      <c r="L434" s="2452"/>
      <c r="M434" s="2452"/>
      <c r="N434" s="2411">
        <f>'MFMR Deemed Table '!K45</f>
        <v>4.3300000000000001E-4</v>
      </c>
      <c r="O434" s="2411"/>
      <c r="P434" s="2412"/>
      <c r="Q434" s="2412"/>
      <c r="R434" s="2412"/>
      <c r="S434" s="2412"/>
      <c r="T434" s="2413"/>
      <c r="U434" s="2413"/>
      <c r="V434" s="2413">
        <f t="shared" si="289"/>
        <v>4.3300000000000001E-4</v>
      </c>
      <c r="W434" s="2460">
        <f>'MFMR Deemed Table '!L45</f>
        <v>25</v>
      </c>
      <c r="X434" s="2460"/>
      <c r="Y434" s="94">
        <f t="shared" si="279"/>
        <v>25</v>
      </c>
      <c r="Z434" s="767">
        <f>'MFMR Deemed Table '!BB45</f>
        <v>0.8158424836854874</v>
      </c>
      <c r="AA434" s="2419">
        <f>'MFMR Deemed Table '!M45</f>
        <v>1.6810404785088331</v>
      </c>
      <c r="AB434" s="2416">
        <f t="shared" si="290"/>
        <v>1.2944447750471793</v>
      </c>
      <c r="AC434" s="2416">
        <f t="shared" si="291"/>
        <v>0</v>
      </c>
      <c r="AD434" s="2446">
        <f>'MFMR Deemed Table '!BD45</f>
        <v>1.2944447750471793</v>
      </c>
      <c r="AE434" s="2440"/>
      <c r="AF434" s="2440"/>
      <c r="AG434" s="2440"/>
      <c r="AL434" s="2380">
        <f t="shared" si="280"/>
        <v>4.6608050000000002E-4</v>
      </c>
      <c r="AM434">
        <f t="shared" si="288"/>
        <v>4.3345486500000001E-4</v>
      </c>
      <c r="AN434" s="2368">
        <f t="shared" si="281"/>
        <v>4.5486500000000568E-7</v>
      </c>
    </row>
    <row r="435" spans="1:40" x14ac:dyDescent="0.25">
      <c r="A435" s="2598" t="str">
        <f>'MFMR Deemed Table '!C46</f>
        <v>500550_2019_12_</v>
      </c>
      <c r="B435" s="245" t="str">
        <f>'MFMR Deemed Table '!G46</f>
        <v>Building Shell RES</v>
      </c>
      <c r="C435" s="245"/>
      <c r="D435" s="245"/>
      <c r="E435" s="245"/>
      <c r="F435" s="245" t="str">
        <f>'MFMR Deemed Table '!E46</f>
        <v>Ceiling Insulation R5-R49 MFMR electric furnace base</v>
      </c>
      <c r="G435" s="745" t="str">
        <f>'MFMR Deemed Table '!D46</f>
        <v>MFMR</v>
      </c>
      <c r="H435" s="2410">
        <f>'MFMR Deemed Table '!F46</f>
        <v>1.96</v>
      </c>
      <c r="I435" s="2410"/>
      <c r="J435" s="2452"/>
      <c r="K435" s="2452"/>
      <c r="L435" s="2452"/>
      <c r="M435" s="2452"/>
      <c r="N435" s="2411">
        <f>'MFMR Deemed Table '!K46</f>
        <v>9.1399999999999999E-4</v>
      </c>
      <c r="O435" s="2411"/>
      <c r="P435" s="2412"/>
      <c r="Q435" s="2412"/>
      <c r="R435" s="2412"/>
      <c r="S435" s="2412"/>
      <c r="T435" s="2413"/>
      <c r="U435" s="2413"/>
      <c r="V435" s="2413">
        <f t="shared" si="289"/>
        <v>9.1399999999999999E-4</v>
      </c>
      <c r="W435" s="2460">
        <f>'MFMR Deemed Table '!L46</f>
        <v>25</v>
      </c>
      <c r="X435" s="2460"/>
      <c r="Y435" s="94">
        <f t="shared" si="279"/>
        <v>25</v>
      </c>
      <c r="Z435" s="767">
        <f>'MFMR Deemed Table '!BB46</f>
        <v>1.1252122422118687</v>
      </c>
      <c r="AA435" s="2419">
        <f>'MFMR Deemed Table '!M46</f>
        <v>2.568757824454027</v>
      </c>
      <c r="AB435" s="2416">
        <f t="shared" si="290"/>
        <v>2.7280771603144851</v>
      </c>
      <c r="AC435" s="2416">
        <f t="shared" si="291"/>
        <v>0</v>
      </c>
      <c r="AD435" s="2446">
        <f>'MFMR Deemed Table '!BD46</f>
        <v>2.7280771603144851</v>
      </c>
      <c r="AE435" s="2440"/>
      <c r="AF435" s="2440"/>
      <c r="AG435" s="2440"/>
      <c r="AL435" s="2380">
        <f t="shared" si="280"/>
        <v>4.6608050000000002E-4</v>
      </c>
      <c r="AM435">
        <f t="shared" si="288"/>
        <v>9.1351778E-4</v>
      </c>
      <c r="AN435" s="2368">
        <f t="shared" si="281"/>
        <v>-4.8221999999998807E-7</v>
      </c>
    </row>
    <row r="436" spans="1:40" x14ac:dyDescent="0.25">
      <c r="A436" s="2598" t="str">
        <f>'MFMR Deemed Table '!C47</f>
        <v>500600_2019_12_</v>
      </c>
      <c r="B436" s="245" t="str">
        <f>'MFMR Deemed Table '!G47</f>
        <v>Building Shell RES</v>
      </c>
      <c r="C436" s="245"/>
      <c r="D436" s="245"/>
      <c r="E436" s="245"/>
      <c r="F436" s="245" t="str">
        <f>'MFMR Deemed Table '!E47</f>
        <v>Ceiling Insulation R5-R49 MFMR gas heat and electric cool base</v>
      </c>
      <c r="G436" s="745" t="str">
        <f>'MFMR Deemed Table '!D47</f>
        <v>MFMR</v>
      </c>
      <c r="H436" s="2410">
        <f>'MFMR Deemed Table '!F47</f>
        <v>0.99</v>
      </c>
      <c r="I436" s="2410"/>
      <c r="J436" s="2452"/>
      <c r="K436" s="2452"/>
      <c r="L436" s="2452"/>
      <c r="M436" s="2452"/>
      <c r="N436" s="2411">
        <f>'MFMR Deemed Table '!K47</f>
        <v>4.6099999999999998E-4</v>
      </c>
      <c r="O436" s="2411"/>
      <c r="P436" s="2412"/>
      <c r="Q436" s="2412"/>
      <c r="R436" s="2412"/>
      <c r="S436" s="2412"/>
      <c r="T436" s="2413"/>
      <c r="U436" s="2413"/>
      <c r="V436" s="2413">
        <f t="shared" si="289"/>
        <v>4.6099999999999998E-4</v>
      </c>
      <c r="W436" s="2460">
        <f>'MFMR Deemed Table '!L47</f>
        <v>25</v>
      </c>
      <c r="X436" s="2460"/>
      <c r="Y436" s="94">
        <f t="shared" si="279"/>
        <v>25</v>
      </c>
      <c r="Z436" s="767">
        <f>'MFMR Deemed Table '!BB47</f>
        <v>0.56834699989272963</v>
      </c>
      <c r="AA436" s="2419">
        <f>'MFMR Deemed Table '!M47</f>
        <v>2.568757824454027</v>
      </c>
      <c r="AB436" s="2416">
        <f t="shared" si="290"/>
        <v>1.3779573411792554</v>
      </c>
      <c r="AC436" s="2416">
        <f t="shared" si="291"/>
        <v>0</v>
      </c>
      <c r="AD436" s="2446">
        <f>'MFMR Deemed Table '!BD47</f>
        <v>1.3779573411792554</v>
      </c>
      <c r="AE436" s="2440"/>
      <c r="AF436" s="2440"/>
      <c r="AG436" s="2440"/>
      <c r="AL436" s="2380">
        <f t="shared" si="280"/>
        <v>4.6608050000000002E-4</v>
      </c>
      <c r="AM436">
        <f t="shared" si="288"/>
        <v>4.6141969500000001E-4</v>
      </c>
      <c r="AN436" s="2368">
        <f t="shared" si="281"/>
        <v>4.1969500000002546E-7</v>
      </c>
    </row>
    <row r="437" spans="1:40" x14ac:dyDescent="0.25">
      <c r="A437" s="2598" t="str">
        <f>'MFMR Deemed Table '!C48</f>
        <v>500650_2019_12_</v>
      </c>
      <c r="B437" s="245" t="str">
        <f>'MFMR Deemed Table '!G48</f>
        <v>Building Shell RES</v>
      </c>
      <c r="C437" s="245"/>
      <c r="D437" s="245"/>
      <c r="E437" s="245"/>
      <c r="F437" s="245" t="str">
        <f>'MFMR Deemed Table '!E48</f>
        <v>Ceiling Insulation R5-R60 MFMR electric furnace base</v>
      </c>
      <c r="G437" s="745" t="str">
        <f>'MFMR Deemed Table '!D48</f>
        <v>MFMR</v>
      </c>
      <c r="H437" s="2410">
        <f>'MFMR Deemed Table '!F48</f>
        <v>2.0299999999999998</v>
      </c>
      <c r="I437" s="2410"/>
      <c r="J437" s="2452"/>
      <c r="K437" s="2452"/>
      <c r="L437" s="2452"/>
      <c r="M437" s="2452"/>
      <c r="N437" s="2411">
        <f>'MFMR Deemed Table '!K48</f>
        <v>9.4600000000000001E-4</v>
      </c>
      <c r="O437" s="2411"/>
      <c r="P437" s="2412"/>
      <c r="Q437" s="2412"/>
      <c r="R437" s="2412"/>
      <c r="S437" s="2412"/>
      <c r="T437" s="2413"/>
      <c r="U437" s="2413"/>
      <c r="V437" s="2413">
        <f t="shared" si="289"/>
        <v>9.4600000000000001E-4</v>
      </c>
      <c r="W437" s="2460">
        <f>'MFMR Deemed Table '!L48</f>
        <v>25</v>
      </c>
      <c r="X437" s="2460"/>
      <c r="Y437" s="94">
        <f t="shared" si="279"/>
        <v>25</v>
      </c>
      <c r="Z437" s="767">
        <f>'MFMR Deemed Table '!BB48</f>
        <v>0.87422987318422674</v>
      </c>
      <c r="AA437" s="2419">
        <f>'MFMR Deemed Table '!M48</f>
        <v>3.424301015440256</v>
      </c>
      <c r="AB437" s="2416">
        <f t="shared" si="290"/>
        <v>2.8255084874685736</v>
      </c>
      <c r="AC437" s="2416">
        <f t="shared" si="291"/>
        <v>0</v>
      </c>
      <c r="AD437" s="2446">
        <f>'MFMR Deemed Table '!BD48</f>
        <v>2.8255084874685736</v>
      </c>
      <c r="AE437" s="2440"/>
      <c r="AF437" s="2440"/>
      <c r="AG437" s="2440"/>
      <c r="AL437" s="2380">
        <f t="shared" si="280"/>
        <v>4.6608050000000002E-4</v>
      </c>
      <c r="AM437">
        <f t="shared" si="288"/>
        <v>9.4614341499999995E-4</v>
      </c>
      <c r="AN437" s="2368">
        <f t="shared" si="281"/>
        <v>1.4341499999994279E-7</v>
      </c>
    </row>
    <row r="438" spans="1:40" x14ac:dyDescent="0.25">
      <c r="A438" s="2598" t="str">
        <f>'MFMR Deemed Table '!C49</f>
        <v>500700_2019_12_</v>
      </c>
      <c r="B438" s="245" t="str">
        <f>'MFMR Deemed Table '!G49</f>
        <v>Building Shell RES</v>
      </c>
      <c r="C438" s="245"/>
      <c r="D438" s="245"/>
      <c r="E438" s="245"/>
      <c r="F438" s="245" t="str">
        <f>'MFMR Deemed Table '!E49</f>
        <v>Ceiling Insulation R5-R60 MFMR gas heat and electric cool base</v>
      </c>
      <c r="G438" s="745" t="str">
        <f>'MFMR Deemed Table '!D49</f>
        <v>MFMR</v>
      </c>
      <c r="H438" s="2410">
        <f>'MFMR Deemed Table '!F49</f>
        <v>1.02</v>
      </c>
      <c r="I438" s="2410"/>
      <c r="J438" s="2452"/>
      <c r="K438" s="2452"/>
      <c r="L438" s="2452"/>
      <c r="M438" s="2452"/>
      <c r="N438" s="2411">
        <f>'MFMR Deemed Table '!K49</f>
        <v>4.75E-4</v>
      </c>
      <c r="O438" s="2411"/>
      <c r="P438" s="2412"/>
      <c r="Q438" s="2412"/>
      <c r="R438" s="2412"/>
      <c r="S438" s="2412"/>
      <c r="T438" s="2413"/>
      <c r="U438" s="2413"/>
      <c r="V438" s="2413">
        <f t="shared" si="289"/>
        <v>4.75E-4</v>
      </c>
      <c r="W438" s="2460">
        <f>'MFMR Deemed Table '!L49</f>
        <v>25</v>
      </c>
      <c r="X438" s="2460"/>
      <c r="Y438" s="94">
        <f t="shared" si="279"/>
        <v>25</v>
      </c>
      <c r="Z438" s="767">
        <f>'MFMR Deemed Table '!BB49</f>
        <v>0.43926821214182832</v>
      </c>
      <c r="AA438" s="2419">
        <f>'MFMR Deemed Table '!M49</f>
        <v>3.424301015440256</v>
      </c>
      <c r="AB438" s="2416">
        <f t="shared" si="290"/>
        <v>1.4197136242452935</v>
      </c>
      <c r="AC438" s="2416">
        <f t="shared" si="291"/>
        <v>0</v>
      </c>
      <c r="AD438" s="2446">
        <f>'MFMR Deemed Table '!BD49</f>
        <v>1.4197136242452935</v>
      </c>
      <c r="AE438" s="2440"/>
      <c r="AF438" s="2440"/>
      <c r="AG438" s="2440"/>
      <c r="AL438" s="2380">
        <f t="shared" si="280"/>
        <v>4.6608050000000002E-4</v>
      </c>
      <c r="AM438">
        <f t="shared" si="288"/>
        <v>4.7540211000000003E-4</v>
      </c>
      <c r="AN438" s="2368">
        <f t="shared" si="281"/>
        <v>4.0211000000003536E-7</v>
      </c>
    </row>
    <row r="439" spans="1:40" x14ac:dyDescent="0.25">
      <c r="A439" s="2598" t="str">
        <f>'MFMR Deemed Table '!C160</f>
        <v>500750_2019_12_</v>
      </c>
      <c r="B439" s="245" t="str">
        <f>'MFMR Deemed Table '!G160</f>
        <v>HVAC RES</v>
      </c>
      <c r="C439" s="245"/>
      <c r="D439" s="245"/>
      <c r="E439" s="245"/>
      <c r="F439" s="245" t="str">
        <f>'MFMR Deemed Table '!E160</f>
        <v>Dirty Filter Alarm_MFMR</v>
      </c>
      <c r="G439" s="745" t="str">
        <f>'MFMR Deemed Table '!D160</f>
        <v>MFMR</v>
      </c>
      <c r="H439" s="2410">
        <f>'MFMR Deemed Table '!F160</f>
        <v>79.2</v>
      </c>
      <c r="I439" s="2410"/>
      <c r="J439" s="2452"/>
      <c r="K439" s="2452"/>
      <c r="L439" s="2452"/>
      <c r="M439" s="2452"/>
      <c r="N439" s="2411">
        <f>'MFMR Deemed Table '!K160</f>
        <v>3.6914000000000002E-2</v>
      </c>
      <c r="O439" s="2411"/>
      <c r="P439" s="2412"/>
      <c r="Q439" s="2412"/>
      <c r="R439" s="2412"/>
      <c r="S439" s="2412"/>
      <c r="T439" s="2413"/>
      <c r="U439" s="2413">
        <f>N439</f>
        <v>3.6914000000000002E-2</v>
      </c>
      <c r="V439" s="2413"/>
      <c r="W439" s="2460">
        <f>'MFMR Deemed Table '!L160</f>
        <v>14</v>
      </c>
      <c r="X439" s="2460"/>
      <c r="Y439" s="94">
        <f t="shared" si="279"/>
        <v>14</v>
      </c>
      <c r="Z439" s="767">
        <f>'MFMR Deemed Table '!BB160</f>
        <v>14.901460188305345</v>
      </c>
      <c r="AA439" s="2419">
        <f>'MFMR Deemed Table '!M160</f>
        <v>5</v>
      </c>
      <c r="AB439" s="2416">
        <f t="shared" si="290"/>
        <v>70.323077811728851</v>
      </c>
      <c r="AC439" s="2416">
        <f t="shared" si="291"/>
        <v>0</v>
      </c>
      <c r="AD439" s="2446">
        <f>'MFMR Deemed Table '!BD160</f>
        <v>70.323077811728851</v>
      </c>
      <c r="AE439" s="2440"/>
      <c r="AF439" s="2440"/>
      <c r="AG439" s="2440"/>
      <c r="AL439" s="2380">
        <f t="shared" si="280"/>
        <v>4.6608050000000002E-4</v>
      </c>
      <c r="AM439">
        <f t="shared" si="288"/>
        <v>3.6913575600000005E-2</v>
      </c>
      <c r="AN439" s="2368">
        <f t="shared" si="281"/>
        <v>-4.243999999972714E-7</v>
      </c>
    </row>
    <row r="440" spans="1:40" x14ac:dyDescent="0.25">
      <c r="A440" s="2598" t="str">
        <f>'MFMR Deemed Table '!C161</f>
        <v>500751_2019_12_</v>
      </c>
      <c r="B440" s="245" t="str">
        <f>'MFMR Deemed Table '!G161</f>
        <v>HVAC RES</v>
      </c>
      <c r="C440" s="245"/>
      <c r="D440" s="245"/>
      <c r="E440" s="245"/>
      <c r="F440" s="245" t="str">
        <f>'MFMR Deemed Table '!E161</f>
        <v>Dirty Filter Alarm_MFMR_CompE</v>
      </c>
      <c r="G440" s="745" t="str">
        <f>'MFMR Deemed Table '!D161</f>
        <v>MFMRc</v>
      </c>
      <c r="H440" s="2410">
        <f>'MFMR Deemed Table '!F161</f>
        <v>38.24</v>
      </c>
      <c r="I440" s="2410"/>
      <c r="J440" s="2452"/>
      <c r="K440" s="2452"/>
      <c r="L440" s="2452"/>
      <c r="M440" s="2452"/>
      <c r="N440" s="2411">
        <f>'MFMR Deemed Table '!K161</f>
        <v>1.7822999999999999E-2</v>
      </c>
      <c r="O440" s="2411"/>
      <c r="P440" s="2412"/>
      <c r="Q440" s="2412"/>
      <c r="R440" s="2412"/>
      <c r="S440" s="2412"/>
      <c r="T440" s="2413"/>
      <c r="U440" s="2413">
        <f>N440</f>
        <v>1.7822999999999999E-2</v>
      </c>
      <c r="V440" s="2413"/>
      <c r="W440" s="2460">
        <f>'MFMR Deemed Table '!L161</f>
        <v>14</v>
      </c>
      <c r="X440" s="2460"/>
      <c r="Y440" s="94">
        <f t="shared" si="279"/>
        <v>14</v>
      </c>
      <c r="Z440" s="767">
        <f>'MFMR Deemed Table '!BB161</f>
        <v>7.1948464343534893</v>
      </c>
      <c r="AA440" s="2419">
        <f>'MFMR Deemed Table '!M161</f>
        <v>5</v>
      </c>
      <c r="AB440" s="2416">
        <f t="shared" si="290"/>
        <v>33.953970903036755</v>
      </c>
      <c r="AC440" s="2416">
        <f t="shared" si="291"/>
        <v>0</v>
      </c>
      <c r="AD440" s="2446">
        <f>'MFMR Deemed Table '!BD161</f>
        <v>33.953970903036755</v>
      </c>
      <c r="AE440" s="2440"/>
      <c r="AF440" s="2440"/>
      <c r="AG440" s="2440"/>
      <c r="AL440" s="2380">
        <f t="shared" si="280"/>
        <v>4.6608050000000002E-4</v>
      </c>
      <c r="AM440">
        <f t="shared" si="288"/>
        <v>1.7822918320000002E-2</v>
      </c>
      <c r="AN440" s="2368">
        <f t="shared" si="281"/>
        <v>-8.1679999996281394E-8</v>
      </c>
    </row>
    <row r="441" spans="1:40" x14ac:dyDescent="0.25">
      <c r="A441" s="2598" t="str">
        <f>'MFMR Deemed Table '!C188</f>
        <v>500800_2019_12_</v>
      </c>
      <c r="B441" s="245" t="str">
        <f>'MFMR Deemed Table '!G188</f>
        <v>HVAC RES</v>
      </c>
      <c r="C441" s="245" t="str">
        <f>'MFMR Deemed Table '!G189</f>
        <v>HVAC RES ER2</v>
      </c>
      <c r="D441" s="245"/>
      <c r="E441" s="245"/>
      <c r="F441" s="245" t="str">
        <f>'MFMR Deemed Table '!E188</f>
        <v>ECM Auto Fan Early Replacement ER1 (Full Cost) - MFMR</v>
      </c>
      <c r="G441" s="745" t="str">
        <f>'MFMR Deemed Table '!D188</f>
        <v>MFMR</v>
      </c>
      <c r="H441" s="2410">
        <f>'MFMR Deemed Table '!F188</f>
        <v>582</v>
      </c>
      <c r="I441" s="2410">
        <f>'MFMR Deemed Table '!F189</f>
        <v>582</v>
      </c>
      <c r="J441" s="2452"/>
      <c r="K441" s="2452"/>
      <c r="L441" s="2452"/>
      <c r="M441" s="2452"/>
      <c r="N441" s="2411">
        <f>'MFMR Deemed Table '!M188</f>
        <v>0.27125899999999997</v>
      </c>
      <c r="O441" s="2411">
        <f>'MFMR Deemed Table '!M189</f>
        <v>0.27125899999999997</v>
      </c>
      <c r="P441" s="2412"/>
      <c r="Q441" s="2412"/>
      <c r="R441" s="2412"/>
      <c r="S441" s="2412"/>
      <c r="T441" s="2413"/>
      <c r="U441" s="2413"/>
      <c r="V441" s="2424">
        <f t="shared" ref="V441" si="292">O441</f>
        <v>0.27125899999999997</v>
      </c>
      <c r="W441" s="2460">
        <f>'MFMR Deemed Table '!N188</f>
        <v>6</v>
      </c>
      <c r="X441" s="2460">
        <f>'MFMR Deemed Table '!N189</f>
        <v>12</v>
      </c>
      <c r="Y441" s="94">
        <f t="shared" si="279"/>
        <v>18</v>
      </c>
      <c r="Z441" s="2428">
        <f>'MFMR Deemed Table '!BB188</f>
        <v>9.106187302806509</v>
      </c>
      <c r="AA441" s="2419">
        <f>'MFMR Deemed Table '!O188</f>
        <v>74.327224020150311</v>
      </c>
      <c r="AB441" s="2416">
        <f t="shared" si="290"/>
        <v>214.66614365077814</v>
      </c>
      <c r="AC441" s="2416">
        <f t="shared" si="291"/>
        <v>424.16125004921963</v>
      </c>
      <c r="AD441" s="2448">
        <f>'MFMR Deemed Table '!BD188</f>
        <v>214.66614365077814</v>
      </c>
      <c r="AE441" s="2440"/>
      <c r="AF441" s="2447">
        <f>'MFMR Deemed Table '!BD189</f>
        <v>424.16125004921963</v>
      </c>
      <c r="AG441" s="2440"/>
      <c r="AL441" s="2380">
        <f t="shared" si="280"/>
        <v>4.6608050000000002E-4</v>
      </c>
      <c r="AM441">
        <f t="shared" si="288"/>
        <v>0.27125885100000002</v>
      </c>
      <c r="AN441" s="2368">
        <f t="shared" si="281"/>
        <v>-1.4899999994932855E-7</v>
      </c>
    </row>
    <row r="442" spans="1:40" x14ac:dyDescent="0.25">
      <c r="A442" s="2598" t="str">
        <f>'MFMR Deemed Table '!C224</f>
        <v>500850_2019_12_</v>
      </c>
      <c r="B442" s="245" t="str">
        <f>'MFMR Deemed Table '!G224</f>
        <v>Lighting RES</v>
      </c>
      <c r="C442" s="245"/>
      <c r="D442" s="245"/>
      <c r="E442" s="245"/>
      <c r="F442" s="245" t="str">
        <f>'MFMR Deemed Table '!E224</f>
        <v>LED - 10W (CFL baseline)</v>
      </c>
      <c r="G442" s="745" t="str">
        <f>'MFMR Deemed Table '!D224</f>
        <v>MFMR</v>
      </c>
      <c r="H442" s="2410">
        <f>'MFMR Deemed Table '!F224</f>
        <v>4.1100000000000003</v>
      </c>
      <c r="I442" s="2410"/>
      <c r="J442" s="2452"/>
      <c r="K442" s="2452"/>
      <c r="L442" s="2452"/>
      <c r="M442" s="2452"/>
      <c r="N442" s="2411">
        <f>'MFMR Deemed Table '!M224</f>
        <v>6.1300000000000005E-4</v>
      </c>
      <c r="O442" s="2411"/>
      <c r="P442" s="2412"/>
      <c r="Q442" s="2412"/>
      <c r="R442" s="2412"/>
      <c r="S442" s="2412"/>
      <c r="T442" s="2413"/>
      <c r="U442" s="2413"/>
      <c r="V442" s="2413">
        <f t="shared" ref="V442" si="293">N442</f>
        <v>6.1300000000000005E-4</v>
      </c>
      <c r="W442" s="2460">
        <f>'MFMR Deemed Table '!N224</f>
        <v>19</v>
      </c>
      <c r="X442" s="2460"/>
      <c r="Y442" s="94">
        <f t="shared" si="279"/>
        <v>19</v>
      </c>
      <c r="Z442" s="767">
        <f>'MFMR Deemed Table '!BB224</f>
        <v>1.256579415716806</v>
      </c>
      <c r="AA442" s="2419">
        <f>'MFMR Deemed Table '!P224</f>
        <v>2.0299999999999998</v>
      </c>
      <c r="AB442" s="2416">
        <f t="shared" si="290"/>
        <v>2.407603788489963</v>
      </c>
      <c r="AC442" s="2416">
        <f t="shared" si="291"/>
        <v>0</v>
      </c>
      <c r="AD442" s="2446">
        <f>'MFMR Deemed Table '!BD224</f>
        <v>2.407603788489963</v>
      </c>
      <c r="AE442" s="2440"/>
      <c r="AF442" s="2440"/>
      <c r="AG442" s="2440"/>
      <c r="AL442" s="2380">
        <f t="shared" si="280"/>
        <v>1.4925290000000001E-4</v>
      </c>
      <c r="AM442">
        <f t="shared" si="288"/>
        <v>6.1342941900000003E-4</v>
      </c>
      <c r="AN442" s="2368">
        <f t="shared" si="281"/>
        <v>4.2941899999998472E-7</v>
      </c>
    </row>
    <row r="443" spans="1:40" x14ac:dyDescent="0.25">
      <c r="A443" s="2598" t="str">
        <f>'MFMR Deemed Table '!C225</f>
        <v>500900_2019_12_</v>
      </c>
      <c r="B443" s="245" t="str">
        <f>'MFMR Deemed Table '!G225</f>
        <v>Lighting RES</v>
      </c>
      <c r="C443" s="245"/>
      <c r="D443" s="245"/>
      <c r="E443" s="245"/>
      <c r="F443" s="245" t="str">
        <f>'MFMR Deemed Table '!E225</f>
        <v>LED - 10W (Halogen baseline)</v>
      </c>
      <c r="G443" s="745" t="str">
        <f>'MFMR Deemed Table '!D225</f>
        <v>MFMR</v>
      </c>
      <c r="H443" s="2410">
        <f>'MFMR Deemed Table '!F225</f>
        <v>22.04</v>
      </c>
      <c r="I443" s="2410"/>
      <c r="J443" s="2452"/>
      <c r="K443" s="2452"/>
      <c r="L443" s="2452"/>
      <c r="M443" s="2452"/>
      <c r="N443" s="2411">
        <f>'MFMR Deemed Table '!M225</f>
        <v>3.29E-3</v>
      </c>
      <c r="O443" s="2411"/>
      <c r="P443" s="2412"/>
      <c r="Q443" s="2412"/>
      <c r="R443" s="2412"/>
      <c r="S443" s="2412"/>
      <c r="T443" s="2413"/>
      <c r="U443" s="2413"/>
      <c r="V443" s="2413">
        <f t="shared" ref="V443:V454" si="294">N443</f>
        <v>3.29E-3</v>
      </c>
      <c r="W443" s="2460">
        <f>'MFMR Deemed Table '!N225</f>
        <v>19</v>
      </c>
      <c r="X443" s="2460"/>
      <c r="Y443" s="94">
        <f t="shared" si="279"/>
        <v>19</v>
      </c>
      <c r="Z443" s="767">
        <f>'MFMR Deemed Table '!BB225</f>
        <v>6.7384453339168857</v>
      </c>
      <c r="AA443" s="2419">
        <f>'MFMR Deemed Table '!P225</f>
        <v>2.0299999999999998</v>
      </c>
      <c r="AB443" s="2416">
        <f t="shared" si="290"/>
        <v>12.910848539736929</v>
      </c>
      <c r="AC443" s="2416">
        <f t="shared" si="291"/>
        <v>0</v>
      </c>
      <c r="AD443" s="2446">
        <f>'MFMR Deemed Table '!BD225</f>
        <v>12.910848539736929</v>
      </c>
      <c r="AE443" s="2440"/>
      <c r="AF443" s="2440"/>
      <c r="AG443" s="2440"/>
      <c r="AL443" s="2380">
        <f t="shared" si="280"/>
        <v>1.4925290000000001E-4</v>
      </c>
      <c r="AM443">
        <f t="shared" si="288"/>
        <v>3.2895339160000001E-3</v>
      </c>
      <c r="AN443" s="2368">
        <f t="shared" si="281"/>
        <v>-4.660839999998459E-7</v>
      </c>
    </row>
    <row r="444" spans="1:40" x14ac:dyDescent="0.25">
      <c r="A444" s="2598" t="str">
        <f>'MFMR Deemed Table '!C226</f>
        <v>500950_2019_12_</v>
      </c>
      <c r="B444" s="245" t="str">
        <f>'MFMR Deemed Table '!G226</f>
        <v>Lighting RES</v>
      </c>
      <c r="C444" s="245"/>
      <c r="D444" s="245"/>
      <c r="E444" s="245"/>
      <c r="F444" s="245" t="str">
        <f>'MFMR Deemed Table '!E226</f>
        <v>LED - 12W Dimmable Light Bulb (Replacing CFL)</v>
      </c>
      <c r="G444" s="745" t="str">
        <f>'MFMR Deemed Table '!D226</f>
        <v>MFMR</v>
      </c>
      <c r="H444" s="2410">
        <f>'MFMR Deemed Table '!F226</f>
        <v>5.46</v>
      </c>
      <c r="I444" s="2410"/>
      <c r="J444" s="2452"/>
      <c r="K444" s="2452"/>
      <c r="L444" s="2452"/>
      <c r="M444" s="2452"/>
      <c r="N444" s="2411">
        <f>'MFMR Deemed Table '!M226</f>
        <v>8.1499999999999997E-4</v>
      </c>
      <c r="O444" s="2411"/>
      <c r="P444" s="2412"/>
      <c r="Q444" s="2412"/>
      <c r="R444" s="2412"/>
      <c r="S444" s="2412"/>
      <c r="T444" s="2413"/>
      <c r="U444" s="2413"/>
      <c r="V444" s="2413">
        <f t="shared" si="294"/>
        <v>8.1499999999999997E-4</v>
      </c>
      <c r="W444" s="2460">
        <f>'MFMR Deemed Table '!N226</f>
        <v>19</v>
      </c>
      <c r="X444" s="2460"/>
      <c r="Y444" s="94">
        <f t="shared" si="279"/>
        <v>19</v>
      </c>
      <c r="Z444" s="767">
        <f>'MFMR Deemed Table '!BB226</f>
        <v>0.81853350070653241</v>
      </c>
      <c r="AA444" s="2419">
        <f>'MFMR Deemed Table '!P226</f>
        <v>4.1399999999999997</v>
      </c>
      <c r="AB444" s="2416">
        <f t="shared" si="290"/>
        <v>3.1984225511326509</v>
      </c>
      <c r="AC444" s="2416">
        <f t="shared" si="291"/>
        <v>0</v>
      </c>
      <c r="AD444" s="2446">
        <f>'MFMR Deemed Table '!BD226</f>
        <v>3.1984225511326509</v>
      </c>
      <c r="AE444" s="2440"/>
      <c r="AF444" s="2440"/>
      <c r="AG444" s="2440"/>
      <c r="AL444" s="2380">
        <f t="shared" si="280"/>
        <v>1.4925290000000001E-4</v>
      </c>
      <c r="AM444">
        <f t="shared" si="288"/>
        <v>8.1492083400000004E-4</v>
      </c>
      <c r="AN444" s="2368">
        <f t="shared" si="281"/>
        <v>-7.9165999999930049E-8</v>
      </c>
    </row>
    <row r="445" spans="1:40" x14ac:dyDescent="0.25">
      <c r="A445" s="2598" t="str">
        <f>'MFMR Deemed Table '!C227</f>
        <v>501000_2019_12_</v>
      </c>
      <c r="B445" s="245" t="str">
        <f>'MFMR Deemed Table '!G227</f>
        <v>Lighting RES</v>
      </c>
      <c r="C445" s="245"/>
      <c r="D445" s="245"/>
      <c r="E445" s="245"/>
      <c r="F445" s="245" t="str">
        <f>'MFMR Deemed Table '!E227</f>
        <v>LED - 12W Dimmable Light Bulb (Replacing Specialty Incandescent)</v>
      </c>
      <c r="G445" s="745" t="str">
        <f>'MFMR Deemed Table '!D227</f>
        <v>MFMR</v>
      </c>
      <c r="H445" s="2410">
        <f>'MFMR Deemed Table '!F227</f>
        <v>42.87</v>
      </c>
      <c r="I445" s="2410"/>
      <c r="J445" s="2452"/>
      <c r="K445" s="2452"/>
      <c r="L445" s="2452"/>
      <c r="M445" s="2452"/>
      <c r="N445" s="2411">
        <f>'MFMR Deemed Table '!M227</f>
        <v>6.3990000000000002E-3</v>
      </c>
      <c r="O445" s="2411"/>
      <c r="P445" s="2412"/>
      <c r="Q445" s="2412"/>
      <c r="R445" s="2412"/>
      <c r="S445" s="2412"/>
      <c r="T445" s="2413"/>
      <c r="U445" s="2413"/>
      <c r="V445" s="2413">
        <f t="shared" si="294"/>
        <v>6.3990000000000002E-3</v>
      </c>
      <c r="W445" s="2460">
        <f>'MFMR Deemed Table '!N227</f>
        <v>19</v>
      </c>
      <c r="X445" s="2460"/>
      <c r="Y445" s="94">
        <f t="shared" si="279"/>
        <v>19</v>
      </c>
      <c r="Z445" s="767">
        <f>'MFMR Deemed Table '!BB227</f>
        <v>6.4268372115914003</v>
      </c>
      <c r="AA445" s="2419">
        <f>'MFMR Deemed Table '!P227</f>
        <v>4.1399999999999997</v>
      </c>
      <c r="AB445" s="2416">
        <f t="shared" si="290"/>
        <v>25.112889151475596</v>
      </c>
      <c r="AC445" s="2416">
        <f t="shared" si="291"/>
        <v>0</v>
      </c>
      <c r="AD445" s="2446">
        <f>'MFMR Deemed Table '!BD227</f>
        <v>25.112889151475596</v>
      </c>
      <c r="AE445" s="2440"/>
      <c r="AF445" s="2440"/>
      <c r="AG445" s="2440"/>
      <c r="AL445" s="2380">
        <f t="shared" si="280"/>
        <v>1.4925290000000001E-4</v>
      </c>
      <c r="AM445">
        <f t="shared" si="288"/>
        <v>6.3984718229999999E-3</v>
      </c>
      <c r="AN445" s="2368">
        <f t="shared" si="281"/>
        <v>-5.2817700000023365E-7</v>
      </c>
    </row>
    <row r="446" spans="1:40" x14ac:dyDescent="0.25">
      <c r="A446" s="2598" t="str">
        <f>'MFMR Deemed Table '!C228</f>
        <v>501050_2019_12_</v>
      </c>
      <c r="B446" s="245" t="str">
        <f>'MFMR Deemed Table '!G228</f>
        <v>Lighting RES</v>
      </c>
      <c r="C446" s="245"/>
      <c r="D446" s="245"/>
      <c r="E446" s="245"/>
      <c r="F446" s="245" t="str">
        <f>'MFMR Deemed Table '!E228</f>
        <v>LED - 12W (Halogen baseline)</v>
      </c>
      <c r="G446" s="745" t="str">
        <f>'MFMR Deemed Table '!D228</f>
        <v>MFMR</v>
      </c>
      <c r="H446" s="2410">
        <f>'MFMR Deemed Table '!F228</f>
        <v>22.49</v>
      </c>
      <c r="I446" s="2410"/>
      <c r="J446" s="2452"/>
      <c r="K446" s="2452"/>
      <c r="L446" s="2452"/>
      <c r="M446" s="2452"/>
      <c r="N446" s="2411">
        <f>'MFMR Deemed Table '!M228</f>
        <v>3.3570000000000002E-3</v>
      </c>
      <c r="O446" s="2411"/>
      <c r="P446" s="2412"/>
      <c r="Q446" s="2412"/>
      <c r="R446" s="2412"/>
      <c r="S446" s="2412"/>
      <c r="T446" s="2413"/>
      <c r="U446" s="2413"/>
      <c r="V446" s="2413">
        <f t="shared" si="294"/>
        <v>3.3570000000000002E-3</v>
      </c>
      <c r="W446" s="2460">
        <f>'MFMR Deemed Table '!N228</f>
        <v>19</v>
      </c>
      <c r="X446" s="2460"/>
      <c r="Y446" s="94">
        <f t="shared" si="279"/>
        <v>19</v>
      </c>
      <c r="Z446" s="767">
        <f>'MFMR Deemed Table '!BB228</f>
        <v>2.9572743335150959</v>
      </c>
      <c r="AA446" s="2419">
        <f>'MFMR Deemed Table '!P228</f>
        <v>4.72</v>
      </c>
      <c r="AB446" s="2416">
        <f t="shared" si="290"/>
        <v>13.174454793951156</v>
      </c>
      <c r="AC446" s="2416">
        <f t="shared" si="291"/>
        <v>0</v>
      </c>
      <c r="AD446" s="2446">
        <f>'MFMR Deemed Table '!BD228</f>
        <v>13.174454793951156</v>
      </c>
      <c r="AE446" s="2440"/>
      <c r="AF446" s="2440"/>
      <c r="AG446" s="2440"/>
      <c r="AL446" s="2380">
        <f t="shared" si="280"/>
        <v>1.4925290000000001E-4</v>
      </c>
      <c r="AM446">
        <f t="shared" si="288"/>
        <v>3.3566977209999998E-3</v>
      </c>
      <c r="AN446" s="2368">
        <f t="shared" si="281"/>
        <v>-3.0227900000038763E-7</v>
      </c>
    </row>
    <row r="447" spans="1:40" x14ac:dyDescent="0.25">
      <c r="A447" s="2598" t="str">
        <f>'MFMR Deemed Table '!C229</f>
        <v>501100_2019_12_</v>
      </c>
      <c r="B447" s="245" t="str">
        <f>'MFMR Deemed Table '!G229</f>
        <v>Lighting RES</v>
      </c>
      <c r="C447" s="245"/>
      <c r="D447" s="245"/>
      <c r="E447" s="245"/>
      <c r="F447" s="245" t="str">
        <f>'MFMR Deemed Table '!E229</f>
        <v>LED - 12W (Replacing CFL)</v>
      </c>
      <c r="G447" s="745" t="str">
        <f>'MFMR Deemed Table '!D229</f>
        <v>MFMR</v>
      </c>
      <c r="H447" s="2410">
        <f>'MFMR Deemed Table '!F229</f>
        <v>5.46</v>
      </c>
      <c r="I447" s="2410"/>
      <c r="J447" s="2452"/>
      <c r="K447" s="2452"/>
      <c r="L447" s="2452"/>
      <c r="M447" s="2452"/>
      <c r="N447" s="2411">
        <f>'MFMR Deemed Table '!M229</f>
        <v>8.1499999999999997E-4</v>
      </c>
      <c r="O447" s="2411"/>
      <c r="P447" s="2412"/>
      <c r="Q447" s="2412"/>
      <c r="R447" s="2412"/>
      <c r="S447" s="2412"/>
      <c r="T447" s="2413"/>
      <c r="U447" s="2413"/>
      <c r="V447" s="2413">
        <f t="shared" si="294"/>
        <v>8.1499999999999997E-4</v>
      </c>
      <c r="W447" s="2460">
        <f>'MFMR Deemed Table '!N229</f>
        <v>19</v>
      </c>
      <c r="X447" s="2460"/>
      <c r="Y447" s="94">
        <f t="shared" si="279"/>
        <v>19</v>
      </c>
      <c r="Z447" s="767">
        <f>'MFMR Deemed Table '!BB229</f>
        <v>0.71795099426378062</v>
      </c>
      <c r="AA447" s="2419">
        <f>'MFMR Deemed Table '!P229</f>
        <v>4.72</v>
      </c>
      <c r="AB447" s="2416">
        <f t="shared" si="290"/>
        <v>3.1984225511326509</v>
      </c>
      <c r="AC447" s="2416">
        <f t="shared" si="291"/>
        <v>0</v>
      </c>
      <c r="AD447" s="2446">
        <f>'MFMR Deemed Table '!BD229</f>
        <v>3.1984225511326509</v>
      </c>
      <c r="AE447" s="2440"/>
      <c r="AF447" s="2440"/>
      <c r="AG447" s="2440"/>
      <c r="AL447" s="2380">
        <f t="shared" si="280"/>
        <v>1.4925290000000001E-4</v>
      </c>
      <c r="AM447">
        <f t="shared" si="288"/>
        <v>8.1492083400000004E-4</v>
      </c>
      <c r="AN447" s="2368">
        <f t="shared" si="281"/>
        <v>-7.9165999999930049E-8</v>
      </c>
    </row>
    <row r="448" spans="1:40" x14ac:dyDescent="0.25">
      <c r="A448" s="2598" t="str">
        <f>'MFMR Deemed Table '!C230</f>
        <v>501150_2019_12_</v>
      </c>
      <c r="B448" s="245" t="str">
        <f>'MFMR Deemed Table '!G230</f>
        <v>Lighting RES</v>
      </c>
      <c r="C448" s="245"/>
      <c r="D448" s="245"/>
      <c r="E448" s="245"/>
      <c r="F448" s="245" t="str">
        <f>'MFMR Deemed Table '!E230</f>
        <v>LED - 15W (Halogen baseline)</v>
      </c>
      <c r="G448" s="745" t="str">
        <f>'MFMR Deemed Table '!D230</f>
        <v>MFMR</v>
      </c>
      <c r="H448" s="2410">
        <f>'MFMR Deemed Table '!F230</f>
        <v>27.23</v>
      </c>
      <c r="I448" s="2410"/>
      <c r="J448" s="2452"/>
      <c r="K448" s="2452"/>
      <c r="L448" s="2452"/>
      <c r="M448" s="2452"/>
      <c r="N448" s="2411">
        <f>'MFMR Deemed Table '!M230</f>
        <v>4.0639999999999999E-3</v>
      </c>
      <c r="O448" s="2411"/>
      <c r="P448" s="2412"/>
      <c r="Q448" s="2412"/>
      <c r="R448" s="2412"/>
      <c r="S448" s="2412"/>
      <c r="T448" s="2413"/>
      <c r="U448" s="2413"/>
      <c r="V448" s="2413">
        <f t="shared" si="294"/>
        <v>4.0639999999999999E-3</v>
      </c>
      <c r="W448" s="2460">
        <f>'MFMR Deemed Table '!N230</f>
        <v>19</v>
      </c>
      <c r="X448" s="2460"/>
      <c r="Y448" s="94">
        <f t="shared" si="279"/>
        <v>19</v>
      </c>
      <c r="Z448" s="767">
        <f>'MFMR Deemed Table '!BB230</f>
        <v>2.6954064154660826</v>
      </c>
      <c r="AA448" s="2419">
        <f>'MFMR Deemed Table '!P230</f>
        <v>6.27</v>
      </c>
      <c r="AB448" s="2416">
        <f t="shared" si="290"/>
        <v>15.951107338341043</v>
      </c>
      <c r="AC448" s="2416">
        <f t="shared" si="291"/>
        <v>0</v>
      </c>
      <c r="AD448" s="2446">
        <f>'MFMR Deemed Table '!BD230</f>
        <v>15.951107338341043</v>
      </c>
      <c r="AE448" s="2440"/>
      <c r="AF448" s="2440"/>
      <c r="AG448" s="2440"/>
      <c r="AL448" s="2380">
        <f t="shared" si="280"/>
        <v>1.4925290000000001E-4</v>
      </c>
      <c r="AM448">
        <f t="shared" si="288"/>
        <v>4.0641564670000005E-3</v>
      </c>
      <c r="AN448" s="2368">
        <f t="shared" si="281"/>
        <v>1.5646700000059022E-7</v>
      </c>
    </row>
    <row r="449" spans="1:40" x14ac:dyDescent="0.25">
      <c r="A449" s="2598" t="str">
        <f>'MFMR Deemed Table '!C231</f>
        <v>501200_2019_12_</v>
      </c>
      <c r="B449" s="245" t="str">
        <f>'MFMR Deemed Table '!G231</f>
        <v>Lighting RES</v>
      </c>
      <c r="C449" s="245"/>
      <c r="D449" s="245"/>
      <c r="E449" s="245"/>
      <c r="F449" s="245" t="str">
        <f>'MFMR Deemed Table '!E231</f>
        <v>LED - 15W (CFL baseline)</v>
      </c>
      <c r="G449" s="745" t="str">
        <f>'MFMR Deemed Table '!D231</f>
        <v>MFMR</v>
      </c>
      <c r="H449" s="2410">
        <f>'MFMR Deemed Table '!F231</f>
        <v>5.33</v>
      </c>
      <c r="I449" s="2410"/>
      <c r="J449" s="2452"/>
      <c r="K449" s="2452"/>
      <c r="L449" s="2452"/>
      <c r="M449" s="2452"/>
      <c r="N449" s="2411">
        <f>'MFMR Deemed Table '!M231</f>
        <v>7.9600000000000005E-4</v>
      </c>
      <c r="O449" s="2411"/>
      <c r="P449" s="2412"/>
      <c r="Q449" s="2412"/>
      <c r="R449" s="2412"/>
      <c r="S449" s="2412"/>
      <c r="T449" s="2413"/>
      <c r="U449" s="2413"/>
      <c r="V449" s="2413">
        <f t="shared" si="294"/>
        <v>7.9600000000000005E-4</v>
      </c>
      <c r="W449" s="2460">
        <f>'MFMR Deemed Table '!N231</f>
        <v>19</v>
      </c>
      <c r="X449" s="2460"/>
      <c r="Y449" s="94">
        <f t="shared" si="279"/>
        <v>19</v>
      </c>
      <c r="Z449" s="767">
        <f>'MFMR Deemed Table '!BB231</f>
        <v>0.52759883196600144</v>
      </c>
      <c r="AA449" s="2419">
        <f>'MFMR Deemed Table '!P231</f>
        <v>6.27</v>
      </c>
      <c r="AB449" s="2416">
        <f t="shared" si="290"/>
        <v>3.1222696332485405</v>
      </c>
      <c r="AC449" s="2416">
        <f t="shared" si="291"/>
        <v>0</v>
      </c>
      <c r="AD449" s="2446">
        <f>'MFMR Deemed Table '!BD231</f>
        <v>3.1222696332485405</v>
      </c>
      <c r="AE449" s="2440"/>
      <c r="AF449" s="2440"/>
      <c r="AG449" s="2440"/>
      <c r="AL449" s="2380">
        <f t="shared" si="280"/>
        <v>1.4925290000000001E-4</v>
      </c>
      <c r="AM449">
        <f t="shared" si="288"/>
        <v>7.95517957E-4</v>
      </c>
      <c r="AN449" s="2368">
        <f t="shared" si="281"/>
        <v>-4.8204300000004481E-7</v>
      </c>
    </row>
    <row r="450" spans="1:40" x14ac:dyDescent="0.25">
      <c r="A450" s="2598" t="str">
        <f>'MFMR Deemed Table '!C232</f>
        <v>501250_2019_12_</v>
      </c>
      <c r="B450" s="245" t="str">
        <f>'MFMR Deemed Table '!G232</f>
        <v>Lighting RES</v>
      </c>
      <c r="C450" s="245"/>
      <c r="D450" s="245"/>
      <c r="E450" s="245"/>
      <c r="F450" s="245" t="str">
        <f>'MFMR Deemed Table '!E232</f>
        <v>LED - 20W (Halogen baseline)</v>
      </c>
      <c r="G450" s="745" t="str">
        <f>'MFMR Deemed Table '!D232</f>
        <v>MFMR</v>
      </c>
      <c r="H450" s="2410">
        <f>'MFMR Deemed Table '!F232</f>
        <v>36.61</v>
      </c>
      <c r="I450" s="2410"/>
      <c r="J450" s="2452"/>
      <c r="K450" s="2452"/>
      <c r="L450" s="2452"/>
      <c r="M450" s="2452"/>
      <c r="N450" s="2411">
        <f>'MFMR Deemed Table '!M232</f>
        <v>5.4640000000000001E-3</v>
      </c>
      <c r="O450" s="2411"/>
      <c r="P450" s="2412"/>
      <c r="Q450" s="2412"/>
      <c r="R450" s="2412"/>
      <c r="S450" s="2412"/>
      <c r="T450" s="2413"/>
      <c r="U450" s="2413"/>
      <c r="V450" s="2413">
        <f t="shared" si="294"/>
        <v>5.4640000000000001E-3</v>
      </c>
      <c r="W450" s="2460">
        <f>'MFMR Deemed Table '!N232</f>
        <v>19</v>
      </c>
      <c r="X450" s="2460"/>
      <c r="Y450" s="94">
        <f t="shared" si="279"/>
        <v>19</v>
      </c>
      <c r="Z450" s="767">
        <f>'MFMR Deemed Table '!BB232</f>
        <v>2.9018978720892656</v>
      </c>
      <c r="AA450" s="2419">
        <f>'MFMR Deemed Table '!P232</f>
        <v>7.83</v>
      </c>
      <c r="AB450" s="2416">
        <f t="shared" si="290"/>
        <v>21.445833259517649</v>
      </c>
      <c r="AC450" s="2416">
        <f t="shared" si="291"/>
        <v>0</v>
      </c>
      <c r="AD450" s="2446">
        <f>'MFMR Deemed Table '!BD232</f>
        <v>21.445833259517649</v>
      </c>
      <c r="AE450" s="2440"/>
      <c r="AF450" s="2440"/>
      <c r="AG450" s="2440"/>
      <c r="AL450" s="2380">
        <f t="shared" si="280"/>
        <v>1.4925290000000001E-4</v>
      </c>
      <c r="AM450">
        <f t="shared" si="288"/>
        <v>5.4641486690000006E-3</v>
      </c>
      <c r="AN450" s="2368">
        <f t="shared" si="281"/>
        <v>1.4866900000052446E-7</v>
      </c>
    </row>
    <row r="451" spans="1:40" x14ac:dyDescent="0.25">
      <c r="A451" s="2598" t="str">
        <f>'MFMR Deemed Table '!C233</f>
        <v>501300_2019_12_</v>
      </c>
      <c r="B451" s="245" t="str">
        <f>'MFMR Deemed Table '!G233</f>
        <v>Lighting RES</v>
      </c>
      <c r="C451" s="245"/>
      <c r="D451" s="245"/>
      <c r="E451" s="245"/>
      <c r="F451" s="245" t="str">
        <f>'MFMR Deemed Table '!E233</f>
        <v>LED - 20W (CFL baseline)</v>
      </c>
      <c r="G451" s="745" t="str">
        <f>'MFMR Deemed Table '!D233</f>
        <v>MFMR</v>
      </c>
      <c r="H451" s="2410">
        <f>'MFMR Deemed Table '!F233</f>
        <v>6.29</v>
      </c>
      <c r="I451" s="2410"/>
      <c r="J451" s="2452"/>
      <c r="K451" s="2452"/>
      <c r="L451" s="2452"/>
      <c r="M451" s="2452"/>
      <c r="N451" s="2411">
        <f>'MFMR Deemed Table '!M233</f>
        <v>9.3899999999999995E-4</v>
      </c>
      <c r="O451" s="2411"/>
      <c r="P451" s="2412"/>
      <c r="Q451" s="2412"/>
      <c r="R451" s="2412"/>
      <c r="S451" s="2412"/>
      <c r="T451" s="2413"/>
      <c r="U451" s="2413"/>
      <c r="V451" s="2413">
        <f t="shared" si="294"/>
        <v>9.3899999999999995E-4</v>
      </c>
      <c r="W451" s="2460">
        <f>'MFMR Deemed Table '!N233</f>
        <v>19</v>
      </c>
      <c r="X451" s="2460"/>
      <c r="Y451" s="94">
        <f t="shared" si="279"/>
        <v>19</v>
      </c>
      <c r="Z451" s="767">
        <f>'MFMR Deemed Table '!BB233</f>
        <v>0.49857791902325815</v>
      </c>
      <c r="AA451" s="2419">
        <f>'MFMR Deemed Table '!P233</f>
        <v>7.83</v>
      </c>
      <c r="AB451" s="2416">
        <f t="shared" si="290"/>
        <v>3.6846296422388964</v>
      </c>
      <c r="AC451" s="2416">
        <f t="shared" si="291"/>
        <v>0</v>
      </c>
      <c r="AD451" s="2446">
        <f>'MFMR Deemed Table '!BD233</f>
        <v>3.6846296422388964</v>
      </c>
      <c r="AE451" s="2440"/>
      <c r="AF451" s="2440"/>
      <c r="AG451" s="2440"/>
      <c r="AL451" s="2380">
        <f t="shared" si="280"/>
        <v>1.4925290000000001E-4</v>
      </c>
      <c r="AM451">
        <f t="shared" si="288"/>
        <v>9.3880074100000002E-4</v>
      </c>
      <c r="AN451" s="2368">
        <f t="shared" si="281"/>
        <v>-1.9925899999992999E-7</v>
      </c>
    </row>
    <row r="452" spans="1:40" x14ac:dyDescent="0.25">
      <c r="A452" s="2598" t="str">
        <f>'MFMR Deemed Table '!C234</f>
        <v>501350_2019_12_</v>
      </c>
      <c r="B452" s="245" t="str">
        <f>'MFMR Deemed Table '!G234</f>
        <v>Lighting RES</v>
      </c>
      <c r="C452" s="245"/>
      <c r="D452" s="245"/>
      <c r="E452" s="245"/>
      <c r="F452" s="245" t="str">
        <f>'MFMR Deemed Table '!E234</f>
        <v>LED - 15W Flood Light PAR30 Bulb (Halogen baseline)</v>
      </c>
      <c r="G452" s="745" t="str">
        <f>'MFMR Deemed Table '!D234</f>
        <v>MFMR</v>
      </c>
      <c r="H452" s="2410">
        <f>'MFMR Deemed Table '!F234</f>
        <v>32.31</v>
      </c>
      <c r="I452" s="2410"/>
      <c r="J452" s="2452"/>
      <c r="K452" s="2452"/>
      <c r="L452" s="2452"/>
      <c r="M452" s="2452"/>
      <c r="N452" s="2411">
        <f>'MFMR Deemed Table '!M234</f>
        <v>4.8219999999999999E-3</v>
      </c>
      <c r="O452" s="2411"/>
      <c r="P452" s="2412"/>
      <c r="Q452" s="2412"/>
      <c r="R452" s="2412"/>
      <c r="S452" s="2412"/>
      <c r="T452" s="2413"/>
      <c r="U452" s="2413"/>
      <c r="V452" s="2413">
        <f t="shared" si="294"/>
        <v>4.8219999999999999E-3</v>
      </c>
      <c r="W452" s="2460">
        <f>'MFMR Deemed Table '!N234</f>
        <v>19</v>
      </c>
      <c r="X452" s="2460"/>
      <c r="Y452" s="94">
        <f t="shared" si="279"/>
        <v>19</v>
      </c>
      <c r="Z452" s="767">
        <f>'MFMR Deemed Table '!BB234</f>
        <v>6.5747807643312424</v>
      </c>
      <c r="AA452" s="2419">
        <f>'MFMR Deemed Table '!P234</f>
        <v>3.05</v>
      </c>
      <c r="AB452" s="2416">
        <f t="shared" si="290"/>
        <v>18.926929052581677</v>
      </c>
      <c r="AC452" s="2416">
        <f t="shared" si="291"/>
        <v>0</v>
      </c>
      <c r="AD452" s="2446">
        <f>'MFMR Deemed Table '!BD234</f>
        <v>18.926929052581677</v>
      </c>
      <c r="AE452" s="2440"/>
      <c r="AF452" s="2440"/>
      <c r="AG452" s="2440"/>
      <c r="AL452" s="2380">
        <f t="shared" si="280"/>
        <v>1.4925290000000001E-4</v>
      </c>
      <c r="AM452">
        <f t="shared" si="288"/>
        <v>4.8223611990000003E-3</v>
      </c>
      <c r="AN452" s="2368">
        <f t="shared" si="281"/>
        <v>3.6119900000044364E-7</v>
      </c>
    </row>
    <row r="453" spans="1:40" x14ac:dyDescent="0.25">
      <c r="A453" s="2598" t="str">
        <f>'MFMR Deemed Table '!C235</f>
        <v>501400_2019_12_</v>
      </c>
      <c r="B453" s="245" t="str">
        <f>'MFMR Deemed Table '!G235</f>
        <v>Lighting RES</v>
      </c>
      <c r="C453" s="245"/>
      <c r="D453" s="245"/>
      <c r="E453" s="245"/>
      <c r="F453" s="245" t="str">
        <f>'MFMR Deemed Table '!E235</f>
        <v>LED - 15W Flood Light PAR30 Bulb (CFL baseline)</v>
      </c>
      <c r="G453" s="745" t="str">
        <f>'MFMR Deemed Table '!D235</f>
        <v>MFMR</v>
      </c>
      <c r="H453" s="2410">
        <f>'MFMR Deemed Table '!F235</f>
        <v>3.08</v>
      </c>
      <c r="I453" s="2410"/>
      <c r="J453" s="2452"/>
      <c r="K453" s="2452"/>
      <c r="L453" s="2452"/>
      <c r="M453" s="2452"/>
      <c r="N453" s="2411">
        <f>'MFMR Deemed Table '!M235</f>
        <v>4.6000000000000001E-4</v>
      </c>
      <c r="O453" s="2411"/>
      <c r="P453" s="2412"/>
      <c r="Q453" s="2412"/>
      <c r="R453" s="2412"/>
      <c r="S453" s="2412"/>
      <c r="T453" s="2413"/>
      <c r="U453" s="2413"/>
      <c r="V453" s="2413">
        <f t="shared" si="294"/>
        <v>4.6000000000000001E-4</v>
      </c>
      <c r="W453" s="2460">
        <f>'MFMR Deemed Table '!N235</f>
        <v>19</v>
      </c>
      <c r="X453" s="2460"/>
      <c r="Y453" s="94">
        <f t="shared" si="279"/>
        <v>19</v>
      </c>
      <c r="Z453" s="767">
        <f>'MFMR Deemed Table '!BB235</f>
        <v>0.62675099827113057</v>
      </c>
      <c r="AA453" s="2419">
        <f>'MFMR Deemed Table '!P235</f>
        <v>3.05</v>
      </c>
      <c r="AB453" s="2416">
        <f t="shared" si="290"/>
        <v>1.804238362177393</v>
      </c>
      <c r="AC453" s="2416">
        <f t="shared" si="291"/>
        <v>0</v>
      </c>
      <c r="AD453" s="2446">
        <f>'MFMR Deemed Table '!BD235</f>
        <v>1.804238362177393</v>
      </c>
      <c r="AE453" s="2440"/>
      <c r="AF453" s="2440"/>
      <c r="AG453" s="2440"/>
      <c r="AL453" s="2380">
        <f t="shared" si="280"/>
        <v>1.4925290000000001E-4</v>
      </c>
      <c r="AM453">
        <f t="shared" si="288"/>
        <v>4.5969893200000005E-4</v>
      </c>
      <c r="AN453" s="2368">
        <f t="shared" si="281"/>
        <v>-3.0106799999996816E-7</v>
      </c>
    </row>
    <row r="454" spans="1:40" x14ac:dyDescent="0.25">
      <c r="A454" s="2598" t="str">
        <f>'MFMR Deemed Table '!C236</f>
        <v>501450_2019_12_</v>
      </c>
      <c r="B454" s="245" t="str">
        <f>'MFMR Deemed Table '!G236</f>
        <v>Lighting RES</v>
      </c>
      <c r="C454" s="245"/>
      <c r="D454" s="245"/>
      <c r="E454" s="245"/>
      <c r="F454" s="245" t="str">
        <f>'MFMR Deemed Table '!E236</f>
        <v>LED Nightlights</v>
      </c>
      <c r="G454" s="745" t="str">
        <f>'MFMR Deemed Table '!D236</f>
        <v>MFMR</v>
      </c>
      <c r="H454" s="2410">
        <f>'MFMR Deemed Table '!F236</f>
        <v>22</v>
      </c>
      <c r="I454" s="2410"/>
      <c r="J454" s="2452"/>
      <c r="K454" s="2452"/>
      <c r="L454" s="2452"/>
      <c r="M454" s="2452"/>
      <c r="N454" s="2411">
        <f>'MFMR Deemed Table '!M236</f>
        <v>3.284E-3</v>
      </c>
      <c r="O454" s="2411"/>
      <c r="P454" s="2412"/>
      <c r="Q454" s="2412"/>
      <c r="R454" s="2412"/>
      <c r="S454" s="2412"/>
      <c r="T454" s="2413"/>
      <c r="U454" s="2413"/>
      <c r="V454" s="2413">
        <f t="shared" si="294"/>
        <v>3.284E-3</v>
      </c>
      <c r="W454" s="2460">
        <f>'MFMR Deemed Table '!N236</f>
        <v>19</v>
      </c>
      <c r="X454" s="2460"/>
      <c r="Y454" s="94">
        <f t="shared" si="279"/>
        <v>19</v>
      </c>
      <c r="Z454" s="767">
        <f>'MFMR Deemed Table '!BB236</f>
        <v>39.012051933203018</v>
      </c>
      <c r="AA454" s="2419">
        <f>'MFMR Deemed Table '!P236</f>
        <v>0.35</v>
      </c>
      <c r="AB454" s="2416">
        <f t="shared" si="290"/>
        <v>12.887416872695663</v>
      </c>
      <c r="AC454" s="2416">
        <f t="shared" si="291"/>
        <v>0</v>
      </c>
      <c r="AD454" s="2446">
        <f>'MFMR Deemed Table '!BD236</f>
        <v>12.887416872695663</v>
      </c>
      <c r="AE454" s="2440"/>
      <c r="AF454" s="2440"/>
      <c r="AG454" s="2440"/>
      <c r="AL454" s="2380">
        <f t="shared" si="280"/>
        <v>1.4925290000000001E-4</v>
      </c>
      <c r="AM454">
        <f t="shared" si="288"/>
        <v>3.2835638E-3</v>
      </c>
      <c r="AN454" s="2368">
        <f t="shared" si="281"/>
        <v>-4.3619999999999423E-7</v>
      </c>
    </row>
    <row r="455" spans="1:40" x14ac:dyDescent="0.25">
      <c r="A455" s="2598" t="str">
        <f>'MFMR Deemed Table '!C301</f>
        <v>501500_2019_12_</v>
      </c>
      <c r="B455" s="245" t="str">
        <f>'MFMR Deemed Table '!G301</f>
        <v>Water Heating RES</v>
      </c>
      <c r="C455" s="245"/>
      <c r="D455" s="245"/>
      <c r="E455" s="245"/>
      <c r="F455" s="245" t="str">
        <f>'MFMR Deemed Table '!E301</f>
        <v>Faucet Aerators (Kitchen) MFMR</v>
      </c>
      <c r="G455" s="745" t="str">
        <f>'MFMR Deemed Table '!D301</f>
        <v>MFMR</v>
      </c>
      <c r="H455" s="2410">
        <f>'MFMR Deemed Table '!F301</f>
        <v>115.9</v>
      </c>
      <c r="I455" s="2410"/>
      <c r="J455" s="2452"/>
      <c r="K455" s="2452"/>
      <c r="L455" s="2452"/>
      <c r="M455" s="2452"/>
      <c r="N455" s="2411">
        <f>'MFMR Deemed Table '!J301</f>
        <v>1.0284E-2</v>
      </c>
      <c r="O455" s="2411"/>
      <c r="P455" s="2412"/>
      <c r="Q455" s="2412"/>
      <c r="R455" s="2412"/>
      <c r="S455" s="2412"/>
      <c r="T455" s="2413"/>
      <c r="U455" s="2413">
        <f t="shared" ref="U455:U463" si="295">N455</f>
        <v>1.0284E-2</v>
      </c>
      <c r="V455" s="2413"/>
      <c r="W455" s="2460">
        <f>'MFMR Deemed Table '!K301</f>
        <v>10</v>
      </c>
      <c r="X455" s="2460"/>
      <c r="Y455" s="94">
        <f t="shared" si="279"/>
        <v>10</v>
      </c>
      <c r="Z455" s="767">
        <f>'MFMR Deemed Table '!BB301</f>
        <v>5.1771034134181892</v>
      </c>
      <c r="AA455" s="2419">
        <f>'MFMR Deemed Table '!P301</f>
        <v>0</v>
      </c>
      <c r="AB455" s="2416">
        <f t="shared" si="290"/>
        <v>39.090917703959896</v>
      </c>
      <c r="AC455" s="2416">
        <f t="shared" si="291"/>
        <v>0</v>
      </c>
      <c r="AD455" s="2446">
        <f>'MFMR Deemed Table '!BD301</f>
        <v>39.090917703959896</v>
      </c>
      <c r="AE455" s="2440"/>
      <c r="AF455" s="2440"/>
      <c r="AG455" s="2440"/>
      <c r="AL455" s="2380">
        <f t="shared" si="280"/>
        <v>8.8731800000000003E-5</v>
      </c>
      <c r="AM455">
        <f t="shared" si="288"/>
        <v>1.0284015620000002E-2</v>
      </c>
      <c r="AN455" s="2368">
        <f t="shared" si="281"/>
        <v>1.5620000001770329E-8</v>
      </c>
    </row>
    <row r="456" spans="1:40" x14ac:dyDescent="0.25">
      <c r="A456" s="2598" t="str">
        <f>'MFMR Deemed Table '!C336</f>
        <v>501550_2019_12_</v>
      </c>
      <c r="B456" s="245" t="str">
        <f>'MFMR Deemed Table '!G336</f>
        <v>Water Heating RES</v>
      </c>
      <c r="C456" s="245"/>
      <c r="D456" s="245"/>
      <c r="E456" s="245"/>
      <c r="F456" s="245" t="str">
        <f>'MFMR Deemed Table '!E336</f>
        <v>Faucet Aerators (Bathroom) MFMR</v>
      </c>
      <c r="G456" s="745" t="str">
        <f>'MFMR Deemed Table '!D336</f>
        <v>MFMR</v>
      </c>
      <c r="H456" s="2410">
        <f>'MFMR Deemed Table '!F336</f>
        <v>33.47</v>
      </c>
      <c r="I456" s="2410"/>
      <c r="J456" s="2452"/>
      <c r="K456" s="2452"/>
      <c r="L456" s="2452"/>
      <c r="M456" s="2452"/>
      <c r="N456" s="2411">
        <f>'MFMR Deemed Table '!J336</f>
        <v>2.97E-3</v>
      </c>
      <c r="O456" s="2411"/>
      <c r="P456" s="2412"/>
      <c r="Q456" s="2412"/>
      <c r="R456" s="2412"/>
      <c r="S456" s="2412"/>
      <c r="T456" s="2413"/>
      <c r="U456" s="2413">
        <f t="shared" si="295"/>
        <v>2.97E-3</v>
      </c>
      <c r="V456" s="2413"/>
      <c r="W456" s="2460">
        <f>'MFMR Deemed Table '!K336</f>
        <v>10</v>
      </c>
      <c r="X456" s="2460"/>
      <c r="Y456" s="94">
        <f t="shared" si="279"/>
        <v>10</v>
      </c>
      <c r="Z456" s="767">
        <f>'MFMR Deemed Table '!BB336</f>
        <v>1.4950617018732253</v>
      </c>
      <c r="AA456" s="2419">
        <f>'MFMR Deemed Table '!L336</f>
        <v>8</v>
      </c>
      <c r="AB456" s="2416">
        <f t="shared" si="290"/>
        <v>11.288809452558565</v>
      </c>
      <c r="AC456" s="2416">
        <f t="shared" si="291"/>
        <v>0</v>
      </c>
      <c r="AD456" s="2446">
        <f>'MFMR Deemed Table '!BD336</f>
        <v>11.288809452558565</v>
      </c>
      <c r="AE456" s="2440"/>
      <c r="AF456" s="2440"/>
      <c r="AG456" s="2440"/>
      <c r="AL456" s="2380">
        <f t="shared" si="280"/>
        <v>8.8731800000000003E-5</v>
      </c>
      <c r="AM456">
        <f t="shared" si="288"/>
        <v>2.9698533460000001E-3</v>
      </c>
      <c r="AN456" s="2368">
        <f t="shared" si="281"/>
        <v>-1.4665399999990239E-7</v>
      </c>
    </row>
    <row r="457" spans="1:40" x14ac:dyDescent="0.25">
      <c r="A457" s="2598" t="str">
        <f>'MFMR Deemed Table '!C370</f>
        <v>501600_2019_12_</v>
      </c>
      <c r="B457" s="245" t="str">
        <f>'MFMR Deemed Table '!G370</f>
        <v>Water Heating RES</v>
      </c>
      <c r="C457" s="245"/>
      <c r="D457" s="245"/>
      <c r="E457" s="245"/>
      <c r="F457" s="245" t="str">
        <f>'MFMR Deemed Table '!E370</f>
        <v>Low Flow Showerhead MFMR</v>
      </c>
      <c r="G457" s="745" t="str">
        <f>'MFMR Deemed Table '!D370</f>
        <v>MFMR</v>
      </c>
      <c r="H457" s="2410">
        <f>'MFMR Deemed Table '!F370</f>
        <v>204.74</v>
      </c>
      <c r="I457" s="2410"/>
      <c r="J457" s="2452"/>
      <c r="K457" s="2452"/>
      <c r="L457" s="2452"/>
      <c r="M457" s="2452"/>
      <c r="N457" s="2411">
        <f>'MFMR Deemed Table '!J370</f>
        <v>1.8166999999999999E-2</v>
      </c>
      <c r="O457" s="2411"/>
      <c r="P457" s="2412"/>
      <c r="Q457" s="2412"/>
      <c r="R457" s="2412"/>
      <c r="S457" s="2412"/>
      <c r="T457" s="2413"/>
      <c r="U457" s="2413">
        <f t="shared" si="295"/>
        <v>1.8166999999999999E-2</v>
      </c>
      <c r="V457" s="2413"/>
      <c r="W457" s="2460">
        <f>'MFMR Deemed Table '!K370</f>
        <v>10</v>
      </c>
      <c r="X457" s="2460"/>
      <c r="Y457" s="94">
        <f t="shared" si="279"/>
        <v>10</v>
      </c>
      <c r="Z457" s="767">
        <f>'MFMR Deemed Table '!BB370</f>
        <v>10.451967487866289</v>
      </c>
      <c r="AA457" s="2419">
        <f>'MFMR Deemed Table '!L370</f>
        <v>7</v>
      </c>
      <c r="AB457" s="2416">
        <f t="shared" si="290"/>
        <v>69.054999919833904</v>
      </c>
      <c r="AC457" s="2416">
        <f t="shared" si="291"/>
        <v>0</v>
      </c>
      <c r="AD457" s="2446">
        <f>'MFMR Deemed Table '!BD370</f>
        <v>69.054999919833904</v>
      </c>
      <c r="AE457" s="2440"/>
      <c r="AF457" s="2440"/>
      <c r="AG457" s="2440"/>
      <c r="AL457" s="2380">
        <f t="shared" si="280"/>
        <v>8.8731800000000003E-5</v>
      </c>
      <c r="AM457">
        <f t="shared" si="288"/>
        <v>1.8166948732000001E-2</v>
      </c>
      <c r="AN457" s="2368">
        <f t="shared" si="281"/>
        <v>-5.1267999998105829E-8</v>
      </c>
    </row>
    <row r="458" spans="1:40" x14ac:dyDescent="0.25">
      <c r="A458" s="2598" t="str">
        <f>'MFMR Deemed Table '!C405</f>
        <v>501650_2019_12_</v>
      </c>
      <c r="B458" s="245" t="str">
        <f>'MFMR Deemed Table '!G405</f>
        <v>Miscellaneous RES</v>
      </c>
      <c r="C458" s="245"/>
      <c r="D458" s="245"/>
      <c r="E458" s="245"/>
      <c r="F458" s="245" t="str">
        <f>'MFMR Deemed Table '!E405</f>
        <v>Advanced Tier 1 Power Strips / TOS/NC/DI - Home Office</v>
      </c>
      <c r="G458" s="745" t="str">
        <f>'MFMR Deemed Table '!D405</f>
        <v>MFMR</v>
      </c>
      <c r="H458" s="2410">
        <f>'MFMR Deemed Table '!F405</f>
        <v>31</v>
      </c>
      <c r="I458" s="2410"/>
      <c r="J458" s="2452"/>
      <c r="K458" s="2452"/>
      <c r="L458" s="2452"/>
      <c r="M458" s="2452"/>
      <c r="N458" s="2411">
        <f>'MFMR Deemed Table '!I405</f>
        <v>3.5599999999999998E-3</v>
      </c>
      <c r="O458" s="2411"/>
      <c r="P458" s="2412"/>
      <c r="Q458" s="2412"/>
      <c r="R458" s="2412"/>
      <c r="S458" s="2412"/>
      <c r="T458" s="2413"/>
      <c r="U458" s="2413">
        <f t="shared" si="295"/>
        <v>3.5599999999999998E-3</v>
      </c>
      <c r="V458" s="2413"/>
      <c r="W458" s="2460">
        <f>'MFMR Deemed Table '!J405</f>
        <v>10</v>
      </c>
      <c r="X458" s="2460"/>
      <c r="Y458" s="94">
        <f t="shared" si="279"/>
        <v>10</v>
      </c>
      <c r="Z458" s="767">
        <f>'MFMR Deemed Table '!BB405</f>
        <v>0.56629728930217338</v>
      </c>
      <c r="AA458" s="2419">
        <f>'MFMR Deemed Table '!K405</f>
        <v>20</v>
      </c>
      <c r="AB458" s="2416">
        <f t="shared" si="290"/>
        <v>10.689896919342583</v>
      </c>
      <c r="AC458" s="2416">
        <f t="shared" si="291"/>
        <v>0</v>
      </c>
      <c r="AD458" s="2446">
        <f>'MFMR Deemed Table '!BD405</f>
        <v>10.689896919342583</v>
      </c>
      <c r="AE458" s="2440"/>
      <c r="AF458" s="2440"/>
      <c r="AG458" s="2440"/>
      <c r="AL458" s="2380">
        <f t="shared" si="280"/>
        <v>1.148238E-4</v>
      </c>
      <c r="AM458">
        <f t="shared" ref="AM458:AM480" si="296">AL458*H458</f>
        <v>3.5595378E-3</v>
      </c>
      <c r="AN458" s="2368">
        <f t="shared" si="281"/>
        <v>-4.6219999999975309E-7</v>
      </c>
    </row>
    <row r="459" spans="1:40" x14ac:dyDescent="0.25">
      <c r="A459" s="2598" t="str">
        <f>'MFMR Deemed Table '!C406</f>
        <v>501700_2019_12_</v>
      </c>
      <c r="B459" s="245" t="str">
        <f>'MFMR Deemed Table '!G406</f>
        <v>Miscellaneous RES</v>
      </c>
      <c r="C459" s="245"/>
      <c r="D459" s="245"/>
      <c r="E459" s="245"/>
      <c r="F459" s="245" t="str">
        <f>'MFMR Deemed Table '!E406</f>
        <v>Advanced Tier 1 Power Strips / Kits - Home Office</v>
      </c>
      <c r="G459" s="745" t="str">
        <f>'MFMR Deemed Table '!D406</f>
        <v>MFMR</v>
      </c>
      <c r="H459" s="2410">
        <f>'MFMR Deemed Table '!F406</f>
        <v>24.18</v>
      </c>
      <c r="I459" s="2410"/>
      <c r="J459" s="2452"/>
      <c r="K459" s="2452"/>
      <c r="L459" s="2452"/>
      <c r="M459" s="2452"/>
      <c r="N459" s="2411">
        <f>'MFMR Deemed Table '!I406</f>
        <v>2.7759999999999998E-3</v>
      </c>
      <c r="O459" s="2411"/>
      <c r="P459" s="2412"/>
      <c r="Q459" s="2412"/>
      <c r="R459" s="2412"/>
      <c r="S459" s="2412"/>
      <c r="T459" s="2413"/>
      <c r="U459" s="2413">
        <f t="shared" si="295"/>
        <v>2.7759999999999998E-3</v>
      </c>
      <c r="V459" s="2413"/>
      <c r="W459" s="2460">
        <f>'MFMR Deemed Table '!J406</f>
        <v>10</v>
      </c>
      <c r="X459" s="2460"/>
      <c r="Y459" s="94">
        <f t="shared" si="279"/>
        <v>10</v>
      </c>
      <c r="Z459" s="767">
        <f>'MFMR Deemed Table '!BB406</f>
        <v>0.4417118856556953</v>
      </c>
      <c r="AA459" s="2419">
        <f>'MFMR Deemed Table '!K406</f>
        <v>20</v>
      </c>
      <c r="AB459" s="2416">
        <f t="shared" si="290"/>
        <v>8.338119597087216</v>
      </c>
      <c r="AC459" s="2416">
        <f t="shared" si="291"/>
        <v>0</v>
      </c>
      <c r="AD459" s="2446">
        <f>'MFMR Deemed Table '!BD406</f>
        <v>8.338119597087216</v>
      </c>
      <c r="AE459" s="2440"/>
      <c r="AF459" s="2440"/>
      <c r="AG459" s="2440"/>
      <c r="AL459" s="2380">
        <f t="shared" si="280"/>
        <v>1.148238E-4</v>
      </c>
      <c r="AM459">
        <f t="shared" si="296"/>
        <v>2.7764394839999997E-3</v>
      </c>
      <c r="AN459" s="2368">
        <f t="shared" si="281"/>
        <v>4.3948399999988244E-7</v>
      </c>
    </row>
    <row r="460" spans="1:40" x14ac:dyDescent="0.25">
      <c r="A460" s="2598" t="str">
        <f>'MFMR Deemed Table '!C407</f>
        <v>501750_2019_12_</v>
      </c>
      <c r="B460" s="245" t="str">
        <f>'MFMR Deemed Table '!G407</f>
        <v>Miscellaneous RES</v>
      </c>
      <c r="C460" s="245"/>
      <c r="D460" s="245"/>
      <c r="E460" s="245"/>
      <c r="F460" s="245" t="str">
        <f>'MFMR Deemed Table '!E407</f>
        <v>Advanced Tier 1 Power Strips / TOS/NC/DI - Home Entertainment</v>
      </c>
      <c r="G460" s="745" t="str">
        <f>'MFMR Deemed Table '!D407</f>
        <v>MFMR</v>
      </c>
      <c r="H460" s="2410">
        <f>'MFMR Deemed Table '!F407</f>
        <v>75.099999999999994</v>
      </c>
      <c r="I460" s="2410"/>
      <c r="J460" s="2452"/>
      <c r="K460" s="2452"/>
      <c r="L460" s="2452"/>
      <c r="M460" s="2452"/>
      <c r="N460" s="2411">
        <f>'MFMR Deemed Table '!I407</f>
        <v>8.6230000000000005E-3</v>
      </c>
      <c r="O460" s="2411"/>
      <c r="P460" s="2412"/>
      <c r="Q460" s="2412"/>
      <c r="R460" s="2412"/>
      <c r="S460" s="2412"/>
      <c r="T460" s="2413"/>
      <c r="U460" s="2413">
        <f t="shared" si="295"/>
        <v>8.6230000000000005E-3</v>
      </c>
      <c r="V460" s="2413"/>
      <c r="W460" s="2460">
        <f>'MFMR Deemed Table '!J407</f>
        <v>10</v>
      </c>
      <c r="X460" s="2460"/>
      <c r="Y460" s="94">
        <f t="shared" si="279"/>
        <v>10</v>
      </c>
      <c r="Z460" s="767">
        <f>'MFMR Deemed Table '!BB407</f>
        <v>1.3719008524707492</v>
      </c>
      <c r="AA460" s="2419">
        <f>'MFMR Deemed Table '!K407</f>
        <v>20</v>
      </c>
      <c r="AB460" s="2416">
        <f t="shared" si="290"/>
        <v>25.897137375568647</v>
      </c>
      <c r="AC460" s="2416">
        <f t="shared" si="291"/>
        <v>0</v>
      </c>
      <c r="AD460" s="2446">
        <f>'MFMR Deemed Table '!BD407</f>
        <v>25.897137375568647</v>
      </c>
      <c r="AE460" s="2440"/>
      <c r="AF460" s="2440"/>
      <c r="AG460" s="2440"/>
      <c r="AL460" s="2380">
        <f t="shared" si="280"/>
        <v>1.148238E-4</v>
      </c>
      <c r="AM460">
        <f t="shared" si="296"/>
        <v>8.6232673799999989E-3</v>
      </c>
      <c r="AN460" s="2368">
        <f t="shared" si="281"/>
        <v>2.6737999999845719E-7</v>
      </c>
    </row>
    <row r="461" spans="1:40" x14ac:dyDescent="0.25">
      <c r="A461" s="2598" t="str">
        <f>'MFMR Deemed Table '!C408</f>
        <v>501800_2019_12_</v>
      </c>
      <c r="B461" s="245" t="str">
        <f>'MFMR Deemed Table '!G408</f>
        <v>Miscellaneous RES</v>
      </c>
      <c r="C461" s="245"/>
      <c r="D461" s="245"/>
      <c r="E461" s="245"/>
      <c r="F461" s="245" t="str">
        <f>'MFMR Deemed Table '!E408</f>
        <v>Advanced Tier 1 Power Strips / Kits - Home Entertainment</v>
      </c>
      <c r="G461" s="745" t="str">
        <f>'MFMR Deemed Table '!D408</f>
        <v>MFMR</v>
      </c>
      <c r="H461" s="2410">
        <f>'MFMR Deemed Table '!F408</f>
        <v>58.58</v>
      </c>
      <c r="I461" s="2410"/>
      <c r="J461" s="2452"/>
      <c r="K461" s="2452"/>
      <c r="L461" s="2452"/>
      <c r="M461" s="2452"/>
      <c r="N461" s="2411">
        <f>'MFMR Deemed Table '!I408</f>
        <v>6.7260000000000002E-3</v>
      </c>
      <c r="O461" s="2411"/>
      <c r="P461" s="2412"/>
      <c r="Q461" s="2412"/>
      <c r="R461" s="2412"/>
      <c r="S461" s="2412"/>
      <c r="T461" s="2413"/>
      <c r="U461" s="2413">
        <f t="shared" si="295"/>
        <v>6.7260000000000002E-3</v>
      </c>
      <c r="V461" s="2413"/>
      <c r="W461" s="2460">
        <f>'MFMR Deemed Table '!J408</f>
        <v>10</v>
      </c>
      <c r="X461" s="2460"/>
      <c r="Y461" s="94">
        <f t="shared" si="279"/>
        <v>10</v>
      </c>
      <c r="Z461" s="767">
        <f>'MFMR Deemed Table '!BB408</f>
        <v>1.0701192002361717</v>
      </c>
      <c r="AA461" s="2419">
        <f>'MFMR Deemed Table '!K408</f>
        <v>20</v>
      </c>
      <c r="AB461" s="2416">
        <f t="shared" si="290"/>
        <v>20.200456823712535</v>
      </c>
      <c r="AC461" s="2416">
        <f t="shared" si="291"/>
        <v>0</v>
      </c>
      <c r="AD461" s="2446">
        <f>'MFMR Deemed Table '!BD408</f>
        <v>20.200456823712535</v>
      </c>
      <c r="AE461" s="2440"/>
      <c r="AF461" s="2440"/>
      <c r="AG461" s="2440"/>
      <c r="AL461" s="2380">
        <f t="shared" si="280"/>
        <v>1.148238E-4</v>
      </c>
      <c r="AM461">
        <f t="shared" si="296"/>
        <v>6.7263782039999999E-3</v>
      </c>
      <c r="AN461" s="2368">
        <f t="shared" si="281"/>
        <v>3.7820399999971555E-7</v>
      </c>
    </row>
    <row r="462" spans="1:40" x14ac:dyDescent="0.25">
      <c r="A462" s="2598" t="str">
        <f>'MFMR Deemed Table '!C409</f>
        <v>501850_2019_12_</v>
      </c>
      <c r="B462" s="245" t="str">
        <f>'MFMR Deemed Table '!G409</f>
        <v>Miscellaneous RES</v>
      </c>
      <c r="C462" s="245"/>
      <c r="D462" s="245"/>
      <c r="E462" s="245"/>
      <c r="F462" s="245" t="str">
        <f>'MFMR Deemed Table '!E409</f>
        <v>Advanced Tier 1 Power Strips / TOS/NC/DI - Unknown Location</v>
      </c>
      <c r="G462" s="745" t="str">
        <f>'MFMR Deemed Table '!D409</f>
        <v>MFMR</v>
      </c>
      <c r="H462" s="2410">
        <f>'MFMR Deemed Table '!F409</f>
        <v>59.22</v>
      </c>
      <c r="I462" s="2410"/>
      <c r="J462" s="2452"/>
      <c r="K462" s="2452"/>
      <c r="L462" s="2452"/>
      <c r="M462" s="2452"/>
      <c r="N462" s="2411">
        <f>'MFMR Deemed Table '!I409</f>
        <v>6.7999999999999996E-3</v>
      </c>
      <c r="O462" s="2411"/>
      <c r="P462" s="2412"/>
      <c r="Q462" s="2412"/>
      <c r="R462" s="2412"/>
      <c r="S462" s="2412"/>
      <c r="T462" s="2413"/>
      <c r="U462" s="2413">
        <f t="shared" si="295"/>
        <v>6.7999999999999996E-3</v>
      </c>
      <c r="V462" s="2413"/>
      <c r="W462" s="2460">
        <f>'MFMR Deemed Table '!J409</f>
        <v>10</v>
      </c>
      <c r="X462" s="2460"/>
      <c r="Y462" s="94">
        <f t="shared" ref="Y462:Y464" si="297">X462+W462</f>
        <v>10</v>
      </c>
      <c r="Z462" s="767">
        <f>'MFMR Deemed Table '!BB409</f>
        <v>1.0818104991120874</v>
      </c>
      <c r="AA462" s="2419">
        <f>'MFMR Deemed Table '!K409</f>
        <v>20</v>
      </c>
      <c r="AB462" s="2416">
        <f t="shared" si="290"/>
        <v>20.421151469789283</v>
      </c>
      <c r="AC462" s="2416">
        <f t="shared" si="291"/>
        <v>0</v>
      </c>
      <c r="AD462" s="2446">
        <f>'MFMR Deemed Table '!BD409</f>
        <v>20.421151469789283</v>
      </c>
      <c r="AE462" s="2440"/>
      <c r="AF462" s="2440"/>
      <c r="AG462" s="2440"/>
      <c r="AL462" s="2380">
        <f t="shared" si="280"/>
        <v>1.148238E-4</v>
      </c>
      <c r="AM462">
        <f t="shared" si="296"/>
        <v>6.7998654359999995E-3</v>
      </c>
      <c r="AN462" s="2368">
        <f t="shared" si="281"/>
        <v>-1.3456400000007307E-7</v>
      </c>
    </row>
    <row r="463" spans="1:40" x14ac:dyDescent="0.25">
      <c r="A463" s="2598" t="str">
        <f>'MFMR Deemed Table '!C410</f>
        <v>501900_2019_12_</v>
      </c>
      <c r="B463" s="245" t="str">
        <f>'MFMR Deemed Table '!G410</f>
        <v>Miscellaneous RES</v>
      </c>
      <c r="C463" s="245"/>
      <c r="D463" s="245"/>
      <c r="E463" s="245"/>
      <c r="F463" s="245" t="str">
        <f>'MFMR Deemed Table '!E410</f>
        <v>Advanced Tier 1 Power  / Kits - Unknown Location</v>
      </c>
      <c r="G463" s="745" t="str">
        <f>'MFMR Deemed Table '!D410</f>
        <v>MFMR</v>
      </c>
      <c r="H463" s="2410">
        <f>'MFMR Deemed Table '!F410</f>
        <v>42.07</v>
      </c>
      <c r="I463" s="2410"/>
      <c r="J463" s="2452"/>
      <c r="K463" s="2452"/>
      <c r="L463" s="2452"/>
      <c r="M463" s="2452"/>
      <c r="N463" s="2411">
        <f>'MFMR Deemed Table '!I410</f>
        <v>4.8310000000000002E-3</v>
      </c>
      <c r="O463" s="2411"/>
      <c r="P463" s="2412"/>
      <c r="Q463" s="2412"/>
      <c r="R463" s="2412"/>
      <c r="S463" s="2412"/>
      <c r="T463" s="2413"/>
      <c r="U463" s="2413">
        <f t="shared" si="295"/>
        <v>4.8310000000000002E-3</v>
      </c>
      <c r="V463" s="2413"/>
      <c r="W463" s="2460">
        <f>'MFMR Deemed Table '!J410</f>
        <v>10</v>
      </c>
      <c r="X463" s="2460"/>
      <c r="Y463" s="94">
        <f t="shared" si="297"/>
        <v>10</v>
      </c>
      <c r="Z463" s="767">
        <f>'MFMR Deemed Table '!BB410</f>
        <v>0.76852022454653024</v>
      </c>
      <c r="AA463" s="2419">
        <f>'MFMR Deemed Table '!K410</f>
        <v>20</v>
      </c>
      <c r="AB463" s="2416">
        <f t="shared" si="290"/>
        <v>14.507224625701372</v>
      </c>
      <c r="AC463" s="2416">
        <f t="shared" si="291"/>
        <v>0</v>
      </c>
      <c r="AD463" s="2446">
        <f>'MFMR Deemed Table '!BD410</f>
        <v>14.507224625701372</v>
      </c>
      <c r="AE463" s="2440"/>
      <c r="AF463" s="2440"/>
      <c r="AG463" s="2440"/>
      <c r="AL463" s="2380">
        <f t="shared" si="280"/>
        <v>1.148238E-4</v>
      </c>
      <c r="AM463">
        <f t="shared" si="296"/>
        <v>4.8306372660000003E-3</v>
      </c>
      <c r="AN463" s="2368">
        <f t="shared" si="281"/>
        <v>-3.6273399999994793E-7</v>
      </c>
    </row>
    <row r="464" spans="1:40" x14ac:dyDescent="0.25">
      <c r="A464" s="2598" t="str">
        <f>'MFMR Deemed Table '!C431</f>
        <v>501950_2019_12_</v>
      </c>
      <c r="B464" s="245" t="str">
        <f>'MFMR Deemed Table '!G431</f>
        <v>Miscellaneous RES</v>
      </c>
      <c r="C464" s="245"/>
      <c r="D464" s="245"/>
      <c r="E464" s="245"/>
      <c r="F464" s="245" t="str">
        <f>'MFMR Deemed Table '!E431</f>
        <v>Advanced Tier 2 Power Strips  -  A</v>
      </c>
      <c r="G464" s="745" t="str">
        <f>'MFMR Deemed Table '!D431</f>
        <v>MFMR</v>
      </c>
      <c r="H464" s="2410">
        <f>'MFMR Deemed Table '!F431</f>
        <v>237.6</v>
      </c>
      <c r="I464" s="2410"/>
      <c r="J464" s="2452"/>
      <c r="K464" s="2452"/>
      <c r="L464" s="2452"/>
      <c r="M464" s="2452"/>
      <c r="N464" s="2411">
        <f>'MFMR Deemed Table '!I431</f>
        <v>2.7282000000000001E-2</v>
      </c>
      <c r="O464" s="2411"/>
      <c r="P464" s="2412"/>
      <c r="Q464" s="2412"/>
      <c r="R464" s="2412"/>
      <c r="S464" s="2412"/>
      <c r="T464" s="2413"/>
      <c r="U464" s="2413">
        <f t="shared" ref="U464:U472" si="298">N464</f>
        <v>2.7282000000000001E-2</v>
      </c>
      <c r="V464" s="2413"/>
      <c r="W464" s="2460">
        <f>'MFMR Deemed Table '!J431</f>
        <v>10</v>
      </c>
      <c r="X464" s="2460"/>
      <c r="Y464" s="94">
        <f t="shared" si="297"/>
        <v>10</v>
      </c>
      <c r="Z464" s="767">
        <f>'MFMR Deemed Table '!BB431</f>
        <v>2.8935964717891705</v>
      </c>
      <c r="AA464" s="2419">
        <f>'MFMR Deemed Table '!K431</f>
        <v>30</v>
      </c>
      <c r="AB464" s="2416">
        <f t="shared" si="290"/>
        <v>81.932887355993486</v>
      </c>
      <c r="AC464" s="2416">
        <f t="shared" si="291"/>
        <v>0</v>
      </c>
      <c r="AD464" s="2446">
        <f>'MFMR Deemed Table '!BD431</f>
        <v>81.932887355993486</v>
      </c>
      <c r="AE464" s="2440"/>
      <c r="AF464" s="2440"/>
      <c r="AG464" s="2440"/>
      <c r="AL464" s="2380">
        <f t="shared" si="280"/>
        <v>1.148238E-4</v>
      </c>
      <c r="AM464">
        <f t="shared" si="296"/>
        <v>2.728213488E-2</v>
      </c>
      <c r="AN464" s="2368">
        <f t="shared" si="281"/>
        <v>1.348799999988104E-7</v>
      </c>
    </row>
    <row r="465" spans="1:40" x14ac:dyDescent="0.25">
      <c r="A465" s="2598" t="str">
        <f>'MFMR Deemed Table '!C432</f>
        <v>502000_2019_12_</v>
      </c>
      <c r="B465" s="245" t="str">
        <f>'MFMR Deemed Table '!G432</f>
        <v>Miscellaneous RES</v>
      </c>
      <c r="C465" s="245"/>
      <c r="D465" s="245"/>
      <c r="E465" s="245"/>
      <c r="F465" s="245" t="str">
        <f>'MFMR Deemed Table '!E432</f>
        <v>Advanced Tier 2 Power Strips -  B</v>
      </c>
      <c r="G465" s="745" t="str">
        <f>'MFMR Deemed Table '!D432</f>
        <v>MFMR</v>
      </c>
      <c r="H465" s="2410">
        <f>'MFMR Deemed Table '!F432</f>
        <v>216</v>
      </c>
      <c r="I465" s="2410"/>
      <c r="J465" s="2452"/>
      <c r="K465" s="2452"/>
      <c r="L465" s="2452"/>
      <c r="M465" s="2452"/>
      <c r="N465" s="2411">
        <f>'MFMR Deemed Table '!I432</f>
        <v>2.4802000000000001E-2</v>
      </c>
      <c r="O465" s="2411"/>
      <c r="P465" s="2412"/>
      <c r="Q465" s="2412"/>
      <c r="R465" s="2412"/>
      <c r="S465" s="2412"/>
      <c r="T465" s="2413"/>
      <c r="U465" s="2413">
        <f t="shared" si="298"/>
        <v>2.4802000000000001E-2</v>
      </c>
      <c r="V465" s="2413"/>
      <c r="W465" s="2460">
        <f>'MFMR Deemed Table '!J432</f>
        <v>10</v>
      </c>
      <c r="X465" s="2460"/>
      <c r="Y465" s="94">
        <f t="shared" ref="Y465:Y482" si="299">X465+W465</f>
        <v>10</v>
      </c>
      <c r="Z465" s="767">
        <f>'MFMR Deemed Table '!BB432</f>
        <v>2.6305422470810638</v>
      </c>
      <c r="AA465" s="2419">
        <f>'MFMR Deemed Table '!K432</f>
        <v>30</v>
      </c>
      <c r="AB465" s="2416">
        <f t="shared" si="290"/>
        <v>74.484443050903167</v>
      </c>
      <c r="AC465" s="2416">
        <f t="shared" si="291"/>
        <v>0</v>
      </c>
      <c r="AD465" s="2446">
        <f>'MFMR Deemed Table '!BD432</f>
        <v>74.484443050903167</v>
      </c>
      <c r="AE465" s="2440"/>
      <c r="AF465" s="2440"/>
      <c r="AG465" s="2440"/>
      <c r="AL465" s="2380">
        <f t="shared" si="280"/>
        <v>1.148238E-4</v>
      </c>
      <c r="AM465">
        <f t="shared" si="296"/>
        <v>2.4801940799999998E-2</v>
      </c>
      <c r="AN465" s="2368">
        <f t="shared" si="281"/>
        <v>-5.9200000002840314E-8</v>
      </c>
    </row>
    <row r="466" spans="1:40" x14ac:dyDescent="0.25">
      <c r="A466" s="2598" t="str">
        <f>'MFMR Deemed Table '!C433</f>
        <v>502050_2019_12_</v>
      </c>
      <c r="B466" s="245" t="str">
        <f>'MFMR Deemed Table '!G433</f>
        <v>Miscellaneous RES</v>
      </c>
      <c r="C466" s="245"/>
      <c r="D466" s="245"/>
      <c r="E466" s="245"/>
      <c r="F466" s="245" t="str">
        <f>'MFMR Deemed Table '!E433</f>
        <v>Advanced Tier 2 Power Strips -  C</v>
      </c>
      <c r="G466" s="745" t="str">
        <f>'MFMR Deemed Table '!D433</f>
        <v>MFMR</v>
      </c>
      <c r="H466" s="2410">
        <f>'MFMR Deemed Table '!F433</f>
        <v>194.4</v>
      </c>
      <c r="I466" s="2410"/>
      <c r="J466" s="2452"/>
      <c r="K466" s="2452"/>
      <c r="L466" s="2452"/>
      <c r="M466" s="2452"/>
      <c r="N466" s="2411">
        <f>'MFMR Deemed Table '!I433</f>
        <v>2.2322000000000002E-2</v>
      </c>
      <c r="O466" s="2411"/>
      <c r="P466" s="2412"/>
      <c r="Q466" s="2412"/>
      <c r="R466" s="2412"/>
      <c r="S466" s="2412"/>
      <c r="T466" s="2413"/>
      <c r="U466" s="2413">
        <f t="shared" si="298"/>
        <v>2.2322000000000002E-2</v>
      </c>
      <c r="V466" s="2413"/>
      <c r="W466" s="2460">
        <f>'MFMR Deemed Table '!J433</f>
        <v>10</v>
      </c>
      <c r="X466" s="2460"/>
      <c r="Y466" s="94">
        <f t="shared" si="299"/>
        <v>10</v>
      </c>
      <c r="Z466" s="767">
        <f>'MFMR Deemed Table '!BB433</f>
        <v>2.3674880223729571</v>
      </c>
      <c r="AA466" s="2419">
        <f>'MFMR Deemed Table '!K433</f>
        <v>30</v>
      </c>
      <c r="AB466" s="2416">
        <f t="shared" si="290"/>
        <v>67.035998745812847</v>
      </c>
      <c r="AC466" s="2416">
        <f t="shared" si="291"/>
        <v>0</v>
      </c>
      <c r="AD466" s="2446">
        <f>'MFMR Deemed Table '!BD433</f>
        <v>67.035998745812847</v>
      </c>
      <c r="AE466" s="2440"/>
      <c r="AF466" s="2440"/>
      <c r="AG466" s="2440"/>
      <c r="AL466" s="2380">
        <f t="shared" si="280"/>
        <v>1.148238E-4</v>
      </c>
      <c r="AM466">
        <f t="shared" si="296"/>
        <v>2.2321746720000001E-2</v>
      </c>
      <c r="AN466" s="2368">
        <f t="shared" si="281"/>
        <v>-2.5328000000102158E-7</v>
      </c>
    </row>
    <row r="467" spans="1:40" x14ac:dyDescent="0.25">
      <c r="A467" s="2598" t="str">
        <f>'MFMR Deemed Table '!C434</f>
        <v>502100_2019_12_</v>
      </c>
      <c r="B467" s="245" t="str">
        <f>'MFMR Deemed Table '!G434</f>
        <v>Miscellaneous RES</v>
      </c>
      <c r="C467" s="245"/>
      <c r="D467" s="245"/>
      <c r="E467" s="245"/>
      <c r="F467" s="245" t="str">
        <f>'MFMR Deemed Table '!E434</f>
        <v>Advanced Tier 2 Power Strips -  D</v>
      </c>
      <c r="G467" s="745" t="str">
        <f>'MFMR Deemed Table '!D434</f>
        <v>MFMR</v>
      </c>
      <c r="H467" s="2410">
        <f>'MFMR Deemed Table '!F434</f>
        <v>172.8</v>
      </c>
      <c r="I467" s="2410"/>
      <c r="J467" s="2452"/>
      <c r="K467" s="2452"/>
      <c r="L467" s="2452"/>
      <c r="M467" s="2452"/>
      <c r="N467" s="2411">
        <f>'MFMR Deemed Table '!I434</f>
        <v>1.9841999999999999E-2</v>
      </c>
      <c r="O467" s="2411"/>
      <c r="P467" s="2412"/>
      <c r="Q467" s="2412"/>
      <c r="R467" s="2412"/>
      <c r="S467" s="2412"/>
      <c r="T467" s="2413"/>
      <c r="U467" s="2413">
        <f t="shared" si="298"/>
        <v>1.9841999999999999E-2</v>
      </c>
      <c r="V467" s="2413"/>
      <c r="W467" s="2460">
        <f>'MFMR Deemed Table '!J434</f>
        <v>10</v>
      </c>
      <c r="X467" s="2460"/>
      <c r="Y467" s="94">
        <f t="shared" si="299"/>
        <v>10</v>
      </c>
      <c r="Z467" s="767">
        <f>'MFMR Deemed Table '!BB434</f>
        <v>2.1044337976648513</v>
      </c>
      <c r="AA467" s="2419">
        <f>'MFMR Deemed Table '!K434</f>
        <v>30</v>
      </c>
      <c r="AB467" s="2416">
        <f t="shared" si="290"/>
        <v>59.587554440722535</v>
      </c>
      <c r="AC467" s="2416">
        <f t="shared" si="291"/>
        <v>0</v>
      </c>
      <c r="AD467" s="2446">
        <f>'MFMR Deemed Table '!BD434</f>
        <v>59.587554440722535</v>
      </c>
      <c r="AE467" s="2440"/>
      <c r="AF467" s="2440"/>
      <c r="AG467" s="2440"/>
      <c r="AL467" s="2380">
        <f t="shared" si="280"/>
        <v>1.148238E-4</v>
      </c>
      <c r="AM467">
        <f t="shared" si="296"/>
        <v>1.9841552639999999E-2</v>
      </c>
      <c r="AN467" s="2368">
        <f t="shared" si="281"/>
        <v>-4.4735999999920284E-7</v>
      </c>
    </row>
    <row r="468" spans="1:40" x14ac:dyDescent="0.25">
      <c r="A468" s="2598" t="str">
        <f>'MFMR Deemed Table '!C435</f>
        <v>502150_2019_12_</v>
      </c>
      <c r="B468" s="245" t="str">
        <f>'MFMR Deemed Table '!G435</f>
        <v>Miscellaneous RES</v>
      </c>
      <c r="C468" s="245"/>
      <c r="D468" s="245"/>
      <c r="E468" s="245"/>
      <c r="F468" s="245" t="str">
        <f>'MFMR Deemed Table '!E435</f>
        <v>Advanced Tier 2 Power Strips -  E</v>
      </c>
      <c r="G468" s="745" t="str">
        <f>'MFMR Deemed Table '!D435</f>
        <v>MFMR</v>
      </c>
      <c r="H468" s="2410">
        <f>'MFMR Deemed Table '!F435</f>
        <v>151.19999999999999</v>
      </c>
      <c r="I468" s="2410"/>
      <c r="J468" s="2452"/>
      <c r="K468" s="2452"/>
      <c r="L468" s="2452"/>
      <c r="M468" s="2452"/>
      <c r="N468" s="2411">
        <f>'MFMR Deemed Table '!I435</f>
        <v>1.7361000000000001E-2</v>
      </c>
      <c r="O468" s="2411"/>
      <c r="P468" s="2412"/>
      <c r="Q468" s="2412"/>
      <c r="R468" s="2412"/>
      <c r="S468" s="2412"/>
      <c r="T468" s="2413"/>
      <c r="U468" s="2413">
        <f t="shared" si="298"/>
        <v>1.7361000000000001E-2</v>
      </c>
      <c r="V468" s="2413"/>
      <c r="W468" s="2460">
        <f>'MFMR Deemed Table '!J435</f>
        <v>10</v>
      </c>
      <c r="X468" s="2460"/>
      <c r="Y468" s="94">
        <f t="shared" si="299"/>
        <v>10</v>
      </c>
      <c r="Z468" s="767">
        <f>'MFMR Deemed Table '!BB435</f>
        <v>1.8413795729567446</v>
      </c>
      <c r="AA468" s="2419">
        <f>'MFMR Deemed Table '!K435</f>
        <v>30</v>
      </c>
      <c r="AB468" s="2416">
        <f t="shared" si="290"/>
        <v>52.139110135632215</v>
      </c>
      <c r="AC468" s="2416">
        <f t="shared" si="291"/>
        <v>0</v>
      </c>
      <c r="AD468" s="2446">
        <f>'MFMR Deemed Table '!BD435</f>
        <v>52.139110135632215</v>
      </c>
      <c r="AE468" s="2440"/>
      <c r="AF468" s="2440"/>
      <c r="AG468" s="2440"/>
      <c r="AL468" s="2380">
        <f t="shared" si="280"/>
        <v>1.148238E-4</v>
      </c>
      <c r="AM468">
        <f t="shared" si="296"/>
        <v>1.7361358559999998E-2</v>
      </c>
      <c r="AN468" s="2368">
        <f t="shared" si="281"/>
        <v>3.5855999999667709E-7</v>
      </c>
    </row>
    <row r="469" spans="1:40" x14ac:dyDescent="0.25">
      <c r="A469" s="2598" t="str">
        <f>'MFMR Deemed Table '!C436</f>
        <v>502200_2019_12_</v>
      </c>
      <c r="B469" s="245" t="str">
        <f>'MFMR Deemed Table '!G436</f>
        <v>Miscellaneous RES</v>
      </c>
      <c r="C469" s="245"/>
      <c r="D469" s="245"/>
      <c r="E469" s="245"/>
      <c r="F469" s="245" t="str">
        <f>'MFMR Deemed Table '!E436</f>
        <v>Advanced Tier 2 Power Strips -  F</v>
      </c>
      <c r="G469" s="745" t="str">
        <f>'MFMR Deemed Table '!D436</f>
        <v>MFMR</v>
      </c>
      <c r="H469" s="2410">
        <f>'MFMR Deemed Table '!F436</f>
        <v>129.6</v>
      </c>
      <c r="I469" s="2410"/>
      <c r="J469" s="2452"/>
      <c r="K469" s="2452"/>
      <c r="L469" s="2452"/>
      <c r="M469" s="2452"/>
      <c r="N469" s="2411">
        <f>'MFMR Deemed Table '!I436</f>
        <v>1.4881E-2</v>
      </c>
      <c r="O469" s="2411"/>
      <c r="P469" s="2412"/>
      <c r="Q469" s="2412"/>
      <c r="R469" s="2412"/>
      <c r="S469" s="2412"/>
      <c r="T469" s="2413"/>
      <c r="U469" s="2413">
        <f t="shared" si="298"/>
        <v>1.4881E-2</v>
      </c>
      <c r="V469" s="2413"/>
      <c r="W469" s="2460">
        <f>'MFMR Deemed Table '!J436</f>
        <v>10</v>
      </c>
      <c r="X469" s="2460"/>
      <c r="Y469" s="94">
        <f t="shared" si="299"/>
        <v>10</v>
      </c>
      <c r="Z469" s="767">
        <f>'MFMR Deemed Table '!BB436</f>
        <v>1.5783253482486381</v>
      </c>
      <c r="AA469" s="2419">
        <f>'MFMR Deemed Table '!K436</f>
        <v>30</v>
      </c>
      <c r="AB469" s="2416">
        <f t="shared" si="290"/>
        <v>44.690665830541896</v>
      </c>
      <c r="AC469" s="2416">
        <f t="shared" si="291"/>
        <v>0</v>
      </c>
      <c r="AD469" s="2446">
        <f>'MFMR Deemed Table '!BD436</f>
        <v>44.690665830541896</v>
      </c>
      <c r="AE469" s="2440"/>
      <c r="AF469" s="2440"/>
      <c r="AG469" s="2440"/>
      <c r="AL469" s="2380">
        <f t="shared" si="280"/>
        <v>1.148238E-4</v>
      </c>
      <c r="AM469">
        <f t="shared" si="296"/>
        <v>1.4881164479999999E-2</v>
      </c>
      <c r="AN469" s="2368">
        <f t="shared" si="281"/>
        <v>1.6447999999849583E-7</v>
      </c>
    </row>
    <row r="470" spans="1:40" x14ac:dyDescent="0.25">
      <c r="A470" s="2598" t="str">
        <f>'MFMR Deemed Table '!C437</f>
        <v>502250_2019_12_</v>
      </c>
      <c r="B470" s="245" t="str">
        <f>'MFMR Deemed Table '!G437</f>
        <v>Miscellaneous RES</v>
      </c>
      <c r="C470" s="245"/>
      <c r="D470" s="245"/>
      <c r="E470" s="245"/>
      <c r="F470" s="245" t="str">
        <f>'MFMR Deemed Table '!E437</f>
        <v>Advanced Tier 2 Power Strips -  G</v>
      </c>
      <c r="G470" s="745" t="str">
        <f>'MFMR Deemed Table '!D437</f>
        <v>MFMR</v>
      </c>
      <c r="H470" s="2410">
        <f>'MFMR Deemed Table '!F437</f>
        <v>108</v>
      </c>
      <c r="I470" s="2410"/>
      <c r="J470" s="2452"/>
      <c r="K470" s="2452"/>
      <c r="L470" s="2452"/>
      <c r="M470" s="2452"/>
      <c r="N470" s="2411">
        <f>'MFMR Deemed Table '!I437</f>
        <v>1.2401000000000001E-2</v>
      </c>
      <c r="O470" s="2411"/>
      <c r="P470" s="2412"/>
      <c r="Q470" s="2412"/>
      <c r="R470" s="2412"/>
      <c r="S470" s="2412"/>
      <c r="T470" s="2413"/>
      <c r="U470" s="2413">
        <f t="shared" si="298"/>
        <v>1.2401000000000001E-2</v>
      </c>
      <c r="V470" s="2413"/>
      <c r="W470" s="2460">
        <f>'MFMR Deemed Table '!J437</f>
        <v>10</v>
      </c>
      <c r="X470" s="2460"/>
      <c r="Y470" s="94">
        <f t="shared" si="299"/>
        <v>10</v>
      </c>
      <c r="Z470" s="767">
        <f>'MFMR Deemed Table '!BB437</f>
        <v>1.3152711235405319</v>
      </c>
      <c r="AA470" s="2419">
        <f>'MFMR Deemed Table '!K437</f>
        <v>30</v>
      </c>
      <c r="AB470" s="2416">
        <f t="shared" si="290"/>
        <v>37.242221525451583</v>
      </c>
      <c r="AC470" s="2416">
        <f t="shared" si="291"/>
        <v>0</v>
      </c>
      <c r="AD470" s="2446">
        <f>'MFMR Deemed Table '!BD437</f>
        <v>37.242221525451583</v>
      </c>
      <c r="AE470" s="2440"/>
      <c r="AF470" s="2440"/>
      <c r="AG470" s="2440"/>
      <c r="AL470" s="2380">
        <f t="shared" si="280"/>
        <v>1.148238E-4</v>
      </c>
      <c r="AM470">
        <f t="shared" si="296"/>
        <v>1.2400970399999999E-2</v>
      </c>
      <c r="AN470" s="2368">
        <f t="shared" si="281"/>
        <v>-2.9600000001420157E-8</v>
      </c>
    </row>
    <row r="471" spans="1:40" x14ac:dyDescent="0.25">
      <c r="A471" s="2598" t="str">
        <f>'MFMR Deemed Table '!C438</f>
        <v>502300_2019_12_</v>
      </c>
      <c r="B471" s="245" t="str">
        <f>'MFMR Deemed Table '!G438</f>
        <v>Miscellaneous RES</v>
      </c>
      <c r="C471" s="245"/>
      <c r="D471" s="245"/>
      <c r="E471" s="245"/>
      <c r="F471" s="245" t="str">
        <f>'MFMR Deemed Table '!E438</f>
        <v>Advanced Tier 2 Power Strips -  H</v>
      </c>
      <c r="G471" s="745" t="str">
        <f>'MFMR Deemed Table '!D438</f>
        <v>MFMR</v>
      </c>
      <c r="H471" s="2410">
        <f>'MFMR Deemed Table '!F438</f>
        <v>86.4</v>
      </c>
      <c r="I471" s="2410"/>
      <c r="J471" s="2452"/>
      <c r="K471" s="2452"/>
      <c r="L471" s="2452"/>
      <c r="M471" s="2452"/>
      <c r="N471" s="2411">
        <f>'MFMR Deemed Table '!I438</f>
        <v>9.9209999999999993E-3</v>
      </c>
      <c r="O471" s="2411"/>
      <c r="P471" s="2412"/>
      <c r="Q471" s="2412"/>
      <c r="R471" s="2412"/>
      <c r="S471" s="2412"/>
      <c r="T471" s="2413"/>
      <c r="U471" s="2413">
        <f t="shared" si="298"/>
        <v>9.9209999999999993E-3</v>
      </c>
      <c r="V471" s="2413"/>
      <c r="W471" s="2460">
        <f>'MFMR Deemed Table '!J438</f>
        <v>10</v>
      </c>
      <c r="X471" s="2460"/>
      <c r="Y471" s="94">
        <f t="shared" si="299"/>
        <v>10</v>
      </c>
      <c r="Z471" s="767">
        <f>'MFMR Deemed Table '!BB438</f>
        <v>1.0522168988324256</v>
      </c>
      <c r="AA471" s="2419">
        <f>'MFMR Deemed Table '!K438</f>
        <v>30</v>
      </c>
      <c r="AB471" s="2416">
        <f t="shared" si="290"/>
        <v>29.793777220361267</v>
      </c>
      <c r="AC471" s="2416">
        <f t="shared" si="291"/>
        <v>0</v>
      </c>
      <c r="AD471" s="2446">
        <f>'MFMR Deemed Table '!BD438</f>
        <v>29.793777220361267</v>
      </c>
      <c r="AE471" s="2440"/>
      <c r="AF471" s="2440"/>
      <c r="AG471" s="2440"/>
      <c r="AL471" s="2380">
        <f t="shared" si="280"/>
        <v>1.148238E-4</v>
      </c>
      <c r="AM471">
        <f t="shared" si="296"/>
        <v>9.9207763199999997E-3</v>
      </c>
      <c r="AN471" s="2368">
        <f t="shared" si="281"/>
        <v>-2.2367999999960142E-7</v>
      </c>
    </row>
    <row r="472" spans="1:40" x14ac:dyDescent="0.25">
      <c r="A472" s="2598" t="str">
        <f>'MFMR Deemed Table '!C439</f>
        <v>502350_2019_12_</v>
      </c>
      <c r="B472" s="245" t="str">
        <f>'MFMR Deemed Table '!G439</f>
        <v>Miscellaneous RES</v>
      </c>
      <c r="C472" s="245"/>
      <c r="D472" s="245"/>
      <c r="E472" s="245"/>
      <c r="F472" s="245" t="str">
        <f>'MFMR Deemed Table '!E439</f>
        <v>Advanced Tier 2 Power Strips -  Average</v>
      </c>
      <c r="G472" s="745" t="str">
        <f>'MFMR Deemed Table '!D439</f>
        <v>MFMR</v>
      </c>
      <c r="H472" s="2410">
        <f>'MFMR Deemed Table '!F439</f>
        <v>162</v>
      </c>
      <c r="I472" s="2410"/>
      <c r="J472" s="2452"/>
      <c r="K472" s="2452"/>
      <c r="L472" s="2452"/>
      <c r="M472" s="2452"/>
      <c r="N472" s="2411">
        <f>'MFMR Deemed Table '!I439</f>
        <v>1.8600999999999999E-2</v>
      </c>
      <c r="O472" s="2411"/>
      <c r="P472" s="2412"/>
      <c r="Q472" s="2412"/>
      <c r="R472" s="2412"/>
      <c r="S472" s="2412"/>
      <c r="T472" s="2413"/>
      <c r="U472" s="2413">
        <f t="shared" si="298"/>
        <v>1.8600999999999999E-2</v>
      </c>
      <c r="V472" s="2413"/>
      <c r="W472" s="2460">
        <f>'MFMR Deemed Table '!J439</f>
        <v>10</v>
      </c>
      <c r="X472" s="2460"/>
      <c r="Y472" s="94">
        <f t="shared" si="299"/>
        <v>10</v>
      </c>
      <c r="Z472" s="767">
        <f>'MFMR Deemed Table '!BB439</f>
        <v>1.9729066853107977</v>
      </c>
      <c r="AA472" s="2419">
        <f>'MFMR Deemed Table '!K439</f>
        <v>30</v>
      </c>
      <c r="AB472" s="2416">
        <f t="shared" si="290"/>
        <v>55.863332288177375</v>
      </c>
      <c r="AC472" s="2416">
        <f t="shared" si="291"/>
        <v>0</v>
      </c>
      <c r="AD472" s="2446">
        <f>'MFMR Deemed Table '!BD439</f>
        <v>55.863332288177375</v>
      </c>
      <c r="AE472" s="2440"/>
      <c r="AF472" s="2440"/>
      <c r="AG472" s="2440"/>
      <c r="AL472" s="2380">
        <f t="shared" si="280"/>
        <v>1.148238E-4</v>
      </c>
      <c r="AM472">
        <f t="shared" si="296"/>
        <v>1.86014556E-2</v>
      </c>
      <c r="AN472" s="2368">
        <f t="shared" si="281"/>
        <v>4.5560000000097189E-7</v>
      </c>
    </row>
    <row r="473" spans="1:40" x14ac:dyDescent="0.25">
      <c r="A473" s="2598" t="str">
        <f>'MFMR Deemed Table '!C463</f>
        <v>502400_2019_12_</v>
      </c>
      <c r="B473" s="245" t="str">
        <f>'MFMR Deemed Table '!G463</f>
        <v>Pool Spa RES</v>
      </c>
      <c r="C473" s="245"/>
      <c r="D473" s="245"/>
      <c r="E473" s="245"/>
      <c r="F473" s="245" t="str">
        <f>'MFMR Deemed Table '!E463</f>
        <v>Variable Speed Pool Pump</v>
      </c>
      <c r="G473" s="745" t="str">
        <f>'MFMR Deemed Table '!D463</f>
        <v>MFMR</v>
      </c>
      <c r="H473" s="2410">
        <f>'MFMR Deemed Table '!F463</f>
        <v>2052.85</v>
      </c>
      <c r="I473" s="2410"/>
      <c r="J473" s="2452"/>
      <c r="K473" s="2452"/>
      <c r="L473" s="2452"/>
      <c r="M473" s="2452"/>
      <c r="N473" s="2411">
        <f>'MFMR Deemed Table '!L463</f>
        <v>0.48333500000000001</v>
      </c>
      <c r="O473" s="2411"/>
      <c r="P473" s="2412"/>
      <c r="Q473" s="2412"/>
      <c r="R473" s="2412"/>
      <c r="S473" s="2412"/>
      <c r="T473" s="2413"/>
      <c r="U473" s="2413">
        <f t="shared" ref="U473" si="300">N473</f>
        <v>0.48333500000000001</v>
      </c>
      <c r="V473" s="2413"/>
      <c r="W473" s="2460">
        <f>'MFMR Deemed Table '!M463</f>
        <v>10</v>
      </c>
      <c r="X473" s="2460"/>
      <c r="Y473" s="94">
        <f t="shared" si="299"/>
        <v>10</v>
      </c>
      <c r="Z473" s="767">
        <f>'MFMR Deemed Table '!BB463</f>
        <v>1.6535777334024884</v>
      </c>
      <c r="AA473" s="2419">
        <f>'MFMR Deemed Table '!N463</f>
        <v>549</v>
      </c>
      <c r="AB473" s="2416">
        <f t="shared" si="290"/>
        <v>856.8326339197414</v>
      </c>
      <c r="AC473" s="2416">
        <f t="shared" si="291"/>
        <v>0</v>
      </c>
      <c r="AD473" s="2446">
        <f>'MFMR Deemed Table '!BD463</f>
        <v>856.8326339197414</v>
      </c>
      <c r="AE473" s="2440"/>
      <c r="AF473" s="2440"/>
      <c r="AG473" s="2440"/>
      <c r="AL473" s="2380">
        <f t="shared" si="280"/>
        <v>2.3544589999999999E-4</v>
      </c>
      <c r="AM473">
        <f t="shared" si="296"/>
        <v>0.48333511581499994</v>
      </c>
      <c r="AN473" s="2368">
        <f t="shared" si="281"/>
        <v>1.1581499992363575E-7</v>
      </c>
    </row>
    <row r="474" spans="1:40" x14ac:dyDescent="0.25">
      <c r="A474" s="2598" t="str">
        <f>'MFMR Deemed Table '!C499</f>
        <v>502450_2019_12_</v>
      </c>
      <c r="B474" s="245" t="str">
        <f>'MFMR Deemed Table '!G499</f>
        <v>Refrigeration RES</v>
      </c>
      <c r="C474" s="245" t="str">
        <f>'MFMR Deemed Table '!G500</f>
        <v>Refrigeration RES ER2</v>
      </c>
      <c r="D474" s="245"/>
      <c r="E474" s="245"/>
      <c r="F474" s="245" t="str">
        <f>'MFMR Deemed Table '!E499</f>
        <v>Refrigerator - early replacement ER1 (full cost)   -  MFMR</v>
      </c>
      <c r="G474" s="745" t="str">
        <f>'MFMR Deemed Table '!D499</f>
        <v>MFMR</v>
      </c>
      <c r="H474" s="2410">
        <f>'MFMR Deemed Table '!F499</f>
        <v>564.66</v>
      </c>
      <c r="I474" s="2410">
        <f>'MFMR Deemed Table '!F500</f>
        <v>46.72</v>
      </c>
      <c r="J474" s="2452"/>
      <c r="K474" s="2452"/>
      <c r="L474" s="2452"/>
      <c r="M474" s="2452"/>
      <c r="N474" s="2411">
        <f>'MFMR Deemed Table '!I499</f>
        <v>7.2621000000000005E-2</v>
      </c>
      <c r="O474" s="2411">
        <f>'MFMR Deemed Table '!I500</f>
        <v>6.0089999999999996E-3</v>
      </c>
      <c r="P474" s="2412"/>
      <c r="Q474" s="2412"/>
      <c r="R474" s="2412"/>
      <c r="S474" s="2412"/>
      <c r="T474" s="2413"/>
      <c r="U474" s="2413"/>
      <c r="V474" s="2424">
        <f t="shared" ref="V474" si="301">O474</f>
        <v>6.0089999999999996E-3</v>
      </c>
      <c r="W474" s="2460">
        <f>'MFMR Deemed Table '!J499</f>
        <v>6</v>
      </c>
      <c r="X474" s="2460">
        <f>'MFMR Deemed Table '!J500</f>
        <v>11</v>
      </c>
      <c r="Y474" s="94">
        <f t="shared" si="299"/>
        <v>17</v>
      </c>
      <c r="Z474" s="767">
        <f>'MFMR Deemed Table '!BB499</f>
        <v>0.18847747808723556</v>
      </c>
      <c r="AA474" s="2419">
        <f>'MFMR Deemed Table '!K499</f>
        <v>753</v>
      </c>
      <c r="AB474" s="2416">
        <f t="shared" si="290"/>
        <v>117.12499089042501</v>
      </c>
      <c r="AC474" s="2416">
        <f t="shared" si="291"/>
        <v>16.828327655765037</v>
      </c>
      <c r="AD474" s="2446">
        <f>'MFMR Deemed Table '!BD499</f>
        <v>117.12499089042501</v>
      </c>
      <c r="AE474" s="2440"/>
      <c r="AF474" s="2447">
        <f>'MFMR Deemed Table '!BD500</f>
        <v>16.828327655765037</v>
      </c>
      <c r="AG474" s="2440"/>
      <c r="AL474" s="2380">
        <f t="shared" si="280"/>
        <v>1.286107E-4</v>
      </c>
      <c r="AM474">
        <f t="shared" si="296"/>
        <v>7.262131786199999E-2</v>
      </c>
      <c r="AN474" s="2368">
        <f t="shared" si="281"/>
        <v>3.1786199998495857E-7</v>
      </c>
    </row>
    <row r="475" spans="1:40" x14ac:dyDescent="0.25">
      <c r="A475" s="2598" t="str">
        <f>'Appliance Recycle Deemed Table'!C7</f>
        <v>550050_2019_12_</v>
      </c>
      <c r="B475" s="245" t="str">
        <f>'Appliance Recycle Deemed Table'!G7</f>
        <v>Refrigeration RES</v>
      </c>
      <c r="C475" s="245"/>
      <c r="D475" s="245"/>
      <c r="E475" s="245"/>
      <c r="F475" s="245" t="str">
        <f>'Appliance Recycle Deemed Table'!E7</f>
        <v>Refrigerator recycling (pre-1990)</v>
      </c>
      <c r="G475" s="745" t="str">
        <f>'Appliance Recycle Deemed Table'!D7</f>
        <v>Appliance Recycling</v>
      </c>
      <c r="H475" s="2410">
        <f>'Appliance Recycle Deemed Table'!F7</f>
        <v>1027.47</v>
      </c>
      <c r="I475" s="2410"/>
      <c r="J475" s="2452"/>
      <c r="K475" s="2452"/>
      <c r="L475" s="2452"/>
      <c r="M475" s="2452"/>
      <c r="N475" s="2411">
        <f>'Appliance Recycle Deemed Table'!I7</f>
        <v>0.13214400000000001</v>
      </c>
      <c r="O475" s="2411"/>
      <c r="P475" s="2412"/>
      <c r="Q475" s="2412"/>
      <c r="R475" s="2412"/>
      <c r="S475" s="2412"/>
      <c r="T475" s="2413">
        <f t="shared" ref="T475:T480" si="302">N475</f>
        <v>0.13214400000000001</v>
      </c>
      <c r="U475" s="2413">
        <v>0</v>
      </c>
      <c r="V475" s="2413">
        <v>0</v>
      </c>
      <c r="W475" s="2460">
        <f>'Appliance Recycle Deemed Table'!J7</f>
        <v>8</v>
      </c>
      <c r="X475" s="2460"/>
      <c r="Y475" s="94">
        <f t="shared" si="299"/>
        <v>8</v>
      </c>
      <c r="Z475" s="767">
        <f>'Appliance Recycle Deemed Table'!BB7</f>
        <v>2.1658459436051349</v>
      </c>
      <c r="AA475" s="2419">
        <f>'Appliance Recycle Deemed Table'!K7</f>
        <v>140</v>
      </c>
      <c r="AB475" s="2416">
        <f t="shared" si="290"/>
        <v>286.19011996670019</v>
      </c>
      <c r="AC475" s="2416">
        <f t="shared" si="291"/>
        <v>0</v>
      </c>
      <c r="AD475" s="2446">
        <f>'Appliance Recycle Deemed Table'!BD7</f>
        <v>286.19011996670019</v>
      </c>
      <c r="AE475" s="2440"/>
      <c r="AF475" s="2440"/>
      <c r="AG475" s="2440"/>
      <c r="AL475" s="2380">
        <f t="shared" si="280"/>
        <v>1.286107E-4</v>
      </c>
      <c r="AM475">
        <f t="shared" si="296"/>
        <v>0.132143635929</v>
      </c>
      <c r="AN475" s="2368">
        <f t="shared" si="281"/>
        <v>-3.6407100001412118E-7</v>
      </c>
    </row>
    <row r="476" spans="1:40" x14ac:dyDescent="0.25">
      <c r="A476" s="2598" t="str">
        <f>'Appliance Recycle Deemed Table'!C8</f>
        <v>550100_2019_12_</v>
      </c>
      <c r="B476" s="245" t="str">
        <f>'Appliance Recycle Deemed Table'!G8</f>
        <v>Refrigeration RES</v>
      </c>
      <c r="C476" s="245"/>
      <c r="D476" s="245"/>
      <c r="E476" s="245"/>
      <c r="F476" s="245" t="str">
        <f>'Appliance Recycle Deemed Table'!E8</f>
        <v>Refrigerator recycling (post-1990</v>
      </c>
      <c r="G476" s="745" t="str">
        <f>'Appliance Recycle Deemed Table'!D8</f>
        <v>Appliance Recycling</v>
      </c>
      <c r="H476" s="2410">
        <f>'Appliance Recycle Deemed Table'!F8</f>
        <v>520</v>
      </c>
      <c r="I476" s="2410"/>
      <c r="J476" s="2452"/>
      <c r="K476" s="2452"/>
      <c r="L476" s="2452"/>
      <c r="M476" s="2452"/>
      <c r="N476" s="2411">
        <f>'Appliance Recycle Deemed Table'!I8</f>
        <v>6.6878000000000007E-2</v>
      </c>
      <c r="O476" s="2411"/>
      <c r="P476" s="2412"/>
      <c r="Q476" s="2412"/>
      <c r="R476" s="2412"/>
      <c r="S476" s="2412"/>
      <c r="T476" s="2413">
        <f t="shared" si="302"/>
        <v>6.6878000000000007E-2</v>
      </c>
      <c r="U476" s="2413">
        <v>0</v>
      </c>
      <c r="V476" s="2413">
        <v>0</v>
      </c>
      <c r="W476" s="2460">
        <f>'Appliance Recycle Deemed Table'!J8</f>
        <v>8</v>
      </c>
      <c r="X476" s="2460"/>
      <c r="Y476" s="94">
        <f t="shared" si="299"/>
        <v>8</v>
      </c>
      <c r="Z476" s="767">
        <f>'Appliance Recycle Deemed Table'!BB8</f>
        <v>1.0961292209745006</v>
      </c>
      <c r="AA476" s="2419">
        <f>'Appliance Recycle Deemed Table'!K8</f>
        <v>140</v>
      </c>
      <c r="AB476" s="2416">
        <f t="shared" si="290"/>
        <v>144.8401047063993</v>
      </c>
      <c r="AC476" s="2416">
        <f t="shared" si="291"/>
        <v>0</v>
      </c>
      <c r="AD476" s="2446">
        <f>'Appliance Recycle Deemed Table'!BD8</f>
        <v>144.8401047063993</v>
      </c>
      <c r="AE476" s="2440"/>
      <c r="AF476" s="2440"/>
      <c r="AG476" s="2440"/>
      <c r="AL476" s="2380">
        <f t="shared" si="280"/>
        <v>1.286107E-4</v>
      </c>
      <c r="AM476">
        <f t="shared" si="296"/>
        <v>6.6877564E-2</v>
      </c>
      <c r="AN476" s="2368">
        <f t="shared" si="281"/>
        <v>-4.3600000000643124E-7</v>
      </c>
    </row>
    <row r="477" spans="1:40" x14ac:dyDescent="0.25">
      <c r="A477" s="2598" t="str">
        <f>'Appliance Recycle Deemed Table'!C24</f>
        <v>550150_2019_12_</v>
      </c>
      <c r="B477" s="245" t="str">
        <f>'Appliance Recycle Deemed Table'!G24</f>
        <v>Freezer RES</v>
      </c>
      <c r="C477" s="245"/>
      <c r="D477" s="245"/>
      <c r="E477" s="245"/>
      <c r="F477" s="245" t="str">
        <f>'Appliance Recycle Deemed Table'!E24</f>
        <v>Freezer recycling</v>
      </c>
      <c r="G477" s="745" t="str">
        <f>'Appliance Recycle Deemed Table'!D24</f>
        <v>Appliance Recycling</v>
      </c>
      <c r="H477" s="2410">
        <f>'Appliance Recycle Deemed Table'!F24</f>
        <v>891.24</v>
      </c>
      <c r="I477" s="2410"/>
      <c r="J477" s="2452"/>
      <c r="K477" s="2452"/>
      <c r="L477" s="2452"/>
      <c r="M477" s="2452"/>
      <c r="N477" s="2411">
        <f>'Appliance Recycle Deemed Table'!I24</f>
        <v>0.15023800000000001</v>
      </c>
      <c r="O477" s="2411"/>
      <c r="P477" s="2412"/>
      <c r="Q477" s="2412"/>
      <c r="R477" s="2412"/>
      <c r="S477" s="2412"/>
      <c r="T477" s="2413">
        <f t="shared" si="302"/>
        <v>0.15023800000000001</v>
      </c>
      <c r="U477" s="2413">
        <v>0</v>
      </c>
      <c r="V477" s="2413">
        <v>0</v>
      </c>
      <c r="W477" s="2460">
        <f>'Appliance Recycle Deemed Table'!J24</f>
        <v>8</v>
      </c>
      <c r="X477" s="2460"/>
      <c r="Y477" s="94">
        <f t="shared" si="299"/>
        <v>8</v>
      </c>
      <c r="Z477" s="767">
        <f>'Appliance Recycle Deemed Table'!BB24</f>
        <v>2.0465185638382786</v>
      </c>
      <c r="AA477" s="2419">
        <f>'Appliance Recycle Deemed Table'!K24</f>
        <v>140</v>
      </c>
      <c r="AB477" s="2416">
        <f t="shared" si="290"/>
        <v>270.42246242317975</v>
      </c>
      <c r="AC477" s="2416">
        <f t="shared" si="291"/>
        <v>0</v>
      </c>
      <c r="AD477" s="2446">
        <f>'Appliance Recycle Deemed Table'!BD24</f>
        <v>270.42246242317975</v>
      </c>
      <c r="AE477" s="2440"/>
      <c r="AF477" s="2440"/>
      <c r="AG477" s="2440"/>
      <c r="AL477" s="2380">
        <f t="shared" si="280"/>
        <v>1.6857220000000001E-4</v>
      </c>
      <c r="AM477">
        <f t="shared" si="296"/>
        <v>0.150238287528</v>
      </c>
      <c r="AN477" s="2368">
        <f t="shared" si="281"/>
        <v>2.8752799999254286E-7</v>
      </c>
    </row>
    <row r="478" spans="1:40" x14ac:dyDescent="0.25">
      <c r="A478" s="2598" t="str">
        <f>'Appliance Recycle Deemed Table'!C39</f>
        <v>550200_2019_12_</v>
      </c>
      <c r="B478" s="245" t="str">
        <f>'Appliance Recycle Deemed Table'!G39</f>
        <v>Cooling RES</v>
      </c>
      <c r="C478" s="245"/>
      <c r="D478" s="245"/>
      <c r="E478" s="245"/>
      <c r="F478" s="245" t="str">
        <f>'Appliance Recycle Deemed Table'!E39</f>
        <v>Room AC recycling - Primary</v>
      </c>
      <c r="G478" s="745" t="str">
        <f>'Appliance Recycle Deemed Table'!D39</f>
        <v>Appliance Recycling</v>
      </c>
      <c r="H478" s="2410">
        <f>'Appliance Recycle Deemed Table'!F39</f>
        <v>302.52999999999997</v>
      </c>
      <c r="I478" s="2410"/>
      <c r="J478" s="2452"/>
      <c r="K478" s="2452"/>
      <c r="L478" s="2452"/>
      <c r="M478" s="2452"/>
      <c r="N478" s="2411">
        <f>'Appliance Recycle Deemed Table'!I39</f>
        <v>0.28662199999999999</v>
      </c>
      <c r="O478" s="2411"/>
      <c r="P478" s="2412"/>
      <c r="Q478" s="2412"/>
      <c r="R478" s="2412"/>
      <c r="S478" s="2412"/>
      <c r="T478" s="2413">
        <f t="shared" si="302"/>
        <v>0.28662199999999999</v>
      </c>
      <c r="U478" s="2413">
        <v>0</v>
      </c>
      <c r="V478" s="2413">
        <v>0</v>
      </c>
      <c r="W478" s="2460">
        <f>'Appliance Recycle Deemed Table'!J39</f>
        <v>4</v>
      </c>
      <c r="X478" s="2460"/>
      <c r="Y478" s="94">
        <f t="shared" si="299"/>
        <v>4</v>
      </c>
      <c r="Z478" s="767">
        <f>'Appliance Recycle Deemed Table'!BB39</f>
        <v>1.8106496480376837</v>
      </c>
      <c r="AA478" s="2419">
        <f>'Appliance Recycle Deemed Table'!K39</f>
        <v>64.887118193891098</v>
      </c>
      <c r="AB478" s="2416">
        <f t="shared" si="290"/>
        <v>110.88988930622793</v>
      </c>
      <c r="AC478" s="2416">
        <f t="shared" si="291"/>
        <v>0</v>
      </c>
      <c r="AD478" s="2446">
        <f>'Appliance Recycle Deemed Table'!BD39</f>
        <v>110.88988930622793</v>
      </c>
      <c r="AE478" s="2440"/>
      <c r="AF478" s="2440"/>
      <c r="AG478" s="2440"/>
      <c r="AL478" s="2380">
        <f t="shared" si="280"/>
        <v>9.4741810000000004E-4</v>
      </c>
      <c r="AM478">
        <f t="shared" si="296"/>
        <v>0.28662239779299997</v>
      </c>
      <c r="AN478" s="2368">
        <f t="shared" si="281"/>
        <v>3.9779299998432549E-7</v>
      </c>
    </row>
    <row r="479" spans="1:40" x14ac:dyDescent="0.25">
      <c r="A479" s="2598" t="str">
        <f>'Appliance Recycle Deemed Table'!C40</f>
        <v>550250_2019_12_</v>
      </c>
      <c r="B479" s="245" t="str">
        <f>'Appliance Recycle Deemed Table'!G40</f>
        <v>Cooling RES</v>
      </c>
      <c r="C479" s="245"/>
      <c r="D479" s="245"/>
      <c r="E479" s="245"/>
      <c r="F479" s="245" t="str">
        <f>'Appliance Recycle Deemed Table'!E40</f>
        <v>Room AC recycling - Secondary</v>
      </c>
      <c r="G479" s="745" t="str">
        <f>'Appliance Recycle Deemed Table'!D40</f>
        <v>Appliance Recycling</v>
      </c>
      <c r="H479" s="2410">
        <f>'Appliance Recycle Deemed Table'!F40</f>
        <v>195.59</v>
      </c>
      <c r="I479" s="2410"/>
      <c r="J479" s="2452"/>
      <c r="K479" s="2452"/>
      <c r="L479" s="2452"/>
      <c r="M479" s="2452"/>
      <c r="N479" s="2411">
        <f>'Appliance Recycle Deemed Table'!I40</f>
        <v>0.185306</v>
      </c>
      <c r="O479" s="2411"/>
      <c r="P479" s="2412"/>
      <c r="Q479" s="2412"/>
      <c r="R479" s="2412"/>
      <c r="S479" s="2412"/>
      <c r="T479" s="2413">
        <f t="shared" si="302"/>
        <v>0.185306</v>
      </c>
      <c r="U479" s="2413">
        <v>0</v>
      </c>
      <c r="V479" s="2413">
        <v>0</v>
      </c>
      <c r="W479" s="2460">
        <f>'Appliance Recycle Deemed Table'!J40</f>
        <v>4</v>
      </c>
      <c r="X479" s="2460"/>
      <c r="Y479" s="94">
        <f t="shared" si="299"/>
        <v>4</v>
      </c>
      <c r="Z479" s="767">
        <f>'Appliance Recycle Deemed Table'!BB40</f>
        <v>1.1706110622407384</v>
      </c>
      <c r="AA479" s="2419">
        <f>'Appliance Recycle Deemed Table'!K40</f>
        <v>64.887118193891098</v>
      </c>
      <c r="AB479" s="2416">
        <f t="shared" si="290"/>
        <v>71.69190972599452</v>
      </c>
      <c r="AC479" s="2416">
        <f t="shared" si="291"/>
        <v>0</v>
      </c>
      <c r="AD479" s="2446">
        <f>'Appliance Recycle Deemed Table'!BD40</f>
        <v>71.69190972599452</v>
      </c>
      <c r="AE479" s="2440"/>
      <c r="AF479" s="2440"/>
      <c r="AG479" s="2440"/>
      <c r="AL479" s="2380">
        <f t="shared" si="280"/>
        <v>9.4741810000000004E-4</v>
      </c>
      <c r="AM479">
        <f t="shared" si="296"/>
        <v>0.18530550617900002</v>
      </c>
      <c r="AN479" s="2368">
        <f t="shared" si="281"/>
        <v>-4.9382099998052098E-7</v>
      </c>
    </row>
    <row r="480" spans="1:40" x14ac:dyDescent="0.25">
      <c r="A480" s="2598" t="str">
        <f>'Appliance Recycle Deemed Table'!C63</f>
        <v>550300_2019_12_</v>
      </c>
      <c r="B480" s="245" t="str">
        <f>'Appliance Recycle Deemed Table'!G63</f>
        <v>HVAC RES</v>
      </c>
      <c r="C480" s="245"/>
      <c r="D480" s="245"/>
      <c r="E480" s="245"/>
      <c r="F480" s="245" t="str">
        <f>'Appliance Recycle Deemed Table'!E63</f>
        <v>Dehumidifier Recycling</v>
      </c>
      <c r="G480" s="745" t="str">
        <f>'Appliance Recycle Deemed Table'!D63</f>
        <v>Appliance Recycling</v>
      </c>
      <c r="H480" s="2410">
        <f>'Appliance Recycle Deemed Table'!F63</f>
        <v>139</v>
      </c>
      <c r="I480" s="2410"/>
      <c r="J480" s="2452"/>
      <c r="K480" s="2452"/>
      <c r="L480" s="2452"/>
      <c r="M480" s="2452"/>
      <c r="N480" s="2411">
        <f>'Appliance Recycle Deemed Table'!I63</f>
        <v>6.4784999999999995E-2</v>
      </c>
      <c r="O480" s="2411"/>
      <c r="P480" s="2412"/>
      <c r="Q480" s="2412"/>
      <c r="R480" s="2412"/>
      <c r="S480" s="2412"/>
      <c r="T480" s="2413">
        <f t="shared" si="302"/>
        <v>6.4784999999999995E-2</v>
      </c>
      <c r="U480" s="2413">
        <v>0</v>
      </c>
      <c r="V480" s="2413">
        <v>0</v>
      </c>
      <c r="W480" s="2460">
        <f>'Appliance Recycle Deemed Table'!J63</f>
        <v>5</v>
      </c>
      <c r="X480" s="2460"/>
      <c r="Y480" s="94">
        <f t="shared" si="299"/>
        <v>5</v>
      </c>
      <c r="Z480" s="767">
        <f>'Appliance Recycle Deemed Table'!BB63</f>
        <v>1.0378649458641431</v>
      </c>
      <c r="AA480" s="2419">
        <f>'Appliance Recycle Deemed Table'!K63</f>
        <v>42.762284196547142</v>
      </c>
      <c r="AB480" s="2416">
        <f t="shared" si="290"/>
        <v>41.889075764678154</v>
      </c>
      <c r="AC480" s="2416">
        <f t="shared" si="291"/>
        <v>0</v>
      </c>
      <c r="AD480" s="2446">
        <f>'Appliance Recycle Deemed Table'!BD63</f>
        <v>41.889075764678154</v>
      </c>
      <c r="AE480" s="2440"/>
      <c r="AF480" s="2440"/>
      <c r="AG480" s="2440"/>
      <c r="AL480" s="2380">
        <f t="shared" si="280"/>
        <v>4.6608050000000002E-4</v>
      </c>
      <c r="AM480">
        <f t="shared" si="296"/>
        <v>6.4785189500000007E-2</v>
      </c>
      <c r="AN480" s="2368">
        <f t="shared" si="281"/>
        <v>1.8950000001127787E-7</v>
      </c>
    </row>
    <row r="481" spans="1:40" x14ac:dyDescent="0.25">
      <c r="A481" s="2598" t="str">
        <f>'Demand Response Deemed Table'!C7</f>
        <v>600050_2019_12_</v>
      </c>
      <c r="B481" s="245" t="str">
        <f>'Demand Response Deemed Table'!G7</f>
        <v>HVAC RES</v>
      </c>
      <c r="C481" s="245"/>
      <c r="D481" s="245"/>
      <c r="E481" s="245"/>
      <c r="F481" s="245" t="str">
        <f>'Demand Response Deemed Table'!E7</f>
        <v>Demand Response Advanced Thermostat</v>
      </c>
      <c r="G481" s="745" t="str">
        <f>'Demand Response Deemed Table'!D7</f>
        <v>DR</v>
      </c>
      <c r="H481" s="2410">
        <f>'Demand Response Deemed Table'!F7</f>
        <v>177</v>
      </c>
      <c r="I481" s="2410"/>
      <c r="J481" s="2452"/>
      <c r="K481" s="2452"/>
      <c r="L481" s="2452"/>
      <c r="M481" s="2452"/>
      <c r="N481" s="2411" t="str">
        <f>'Demand Response Deemed Table'!I7</f>
        <v>-</v>
      </c>
      <c r="O481" s="2411"/>
      <c r="P481" s="2412"/>
      <c r="Q481" s="2412"/>
      <c r="R481" s="2412"/>
      <c r="S481" s="2412"/>
      <c r="T481" s="2413">
        <v>0</v>
      </c>
      <c r="U481" s="2413">
        <v>0</v>
      </c>
      <c r="V481" s="2413">
        <v>0</v>
      </c>
      <c r="W481" s="2460">
        <f>'Demand Response Deemed Table'!J7</f>
        <v>11</v>
      </c>
      <c r="X481" s="2460"/>
      <c r="Y481" s="94">
        <f t="shared" si="299"/>
        <v>11</v>
      </c>
      <c r="Z481" s="2429" t="str">
        <f>'Demand Response Deemed Table'!BB7</f>
        <v/>
      </c>
      <c r="AA481" s="745">
        <f>'Demand Response Deemed Table'!K7</f>
        <v>0</v>
      </c>
      <c r="AB481" s="2418">
        <f t="shared" si="290"/>
        <v>0</v>
      </c>
      <c r="AC481" s="2418">
        <f t="shared" si="291"/>
        <v>0</v>
      </c>
      <c r="AD481" s="2449">
        <f>'Demand Response Deemed Table'!BD7</f>
        <v>0</v>
      </c>
      <c r="AE481" s="2440"/>
      <c r="AF481" s="2440"/>
      <c r="AG481" s="2440"/>
      <c r="AL481" s="2380"/>
      <c r="AN481" s="2368"/>
    </row>
    <row r="482" spans="1:40" x14ac:dyDescent="0.25">
      <c r="A482" s="2598" t="str">
        <f>'BUS Deemed Savings Table '!C9</f>
        <v>800050_2019_12_</v>
      </c>
      <c r="B482" s="245" t="str">
        <f>'BUS Deemed Savings Table '!G9</f>
        <v>Lighting BUS</v>
      </c>
      <c r="C482" s="245"/>
      <c r="D482" s="245"/>
      <c r="E482" s="245"/>
      <c r="F482" s="245" t="str">
        <f>'BUS Deemed Savings Table '!E9</f>
        <v>LED &lt;=11 Watt Lamp Replacing Interior Halogen A 28-52 Watt Lamp</v>
      </c>
      <c r="G482" s="745" t="str">
        <f>'BUS Deemed Savings Table '!D9</f>
        <v>C&amp;I</v>
      </c>
      <c r="H482" s="2410">
        <f>'BUS Deemed Savings Table '!F9</f>
        <v>88.56</v>
      </c>
      <c r="I482" s="2410"/>
      <c r="J482" s="2452"/>
      <c r="K482" s="2452"/>
      <c r="L482" s="2452"/>
      <c r="M482" s="2452"/>
      <c r="N482" s="2411">
        <f>'BUS Deemed Savings Table '!I9</f>
        <v>1.6823000000000001E-2</v>
      </c>
      <c r="O482" s="2411"/>
      <c r="P482" s="2412"/>
      <c r="Q482" s="2412"/>
      <c r="R482" s="2412"/>
      <c r="S482" s="2412"/>
      <c r="T482" s="2430">
        <f>IF(U482+V482&gt;0,0,IF(Y482&gt;0,N482,0))</f>
        <v>0</v>
      </c>
      <c r="U482" s="2430">
        <f>IF(V482&gt;0,0,IF(Y482&gt;9,N482,0))</f>
        <v>0</v>
      </c>
      <c r="V482" s="2430">
        <f>IF(Y482&gt;14,N482,0)</f>
        <v>1.6823000000000001E-2</v>
      </c>
      <c r="W482" s="2460">
        <f>'BUS Deemed Savings Table '!J9</f>
        <v>21</v>
      </c>
      <c r="X482" s="2460"/>
      <c r="Y482" s="94">
        <f t="shared" si="299"/>
        <v>21</v>
      </c>
      <c r="Z482" s="767">
        <f>'BUS Deemed Savings Table '!DB9</f>
        <v>4.5601069955079137</v>
      </c>
      <c r="AA482" s="745">
        <f>'BUS Deemed Savings Table '!K9</f>
        <v>15.64</v>
      </c>
      <c r="AB482" s="2431">
        <f t="shared" si="290"/>
        <v>67.314840405609971</v>
      </c>
      <c r="AC482" s="2431">
        <f t="shared" si="291"/>
        <v>0</v>
      </c>
      <c r="AD482" s="2446">
        <f>'BUS Deemed Savings Table '!DD9</f>
        <v>67.314840405609971</v>
      </c>
      <c r="AE482" s="2440"/>
      <c r="AF482" s="2440"/>
      <c r="AG482" s="2440"/>
      <c r="AL482" s="2380">
        <f t="shared" ref="AL482:AL513" si="303">VLOOKUP(B482,$AR$10:$AS$45,2,FALSE)</f>
        <v>1.899635E-4</v>
      </c>
      <c r="AM482">
        <f t="shared" ref="AM482:AM513" si="304">AL482*H482</f>
        <v>1.6823167560000001E-2</v>
      </c>
      <c r="AN482" s="2368">
        <f t="shared" ref="AN482:AN513" si="305">AM482-N482</f>
        <v>1.6756000000006654E-7</v>
      </c>
    </row>
    <row r="483" spans="1:40" x14ac:dyDescent="0.25">
      <c r="A483" s="2598" t="str">
        <f>'BUS Deemed Savings Table '!C10</f>
        <v>800100_2019_12_</v>
      </c>
      <c r="B483" s="245" t="str">
        <f>'BUS Deemed Savings Table '!G10</f>
        <v>Lighting BUS</v>
      </c>
      <c r="C483" s="245"/>
      <c r="D483" s="245"/>
      <c r="E483" s="245"/>
      <c r="F483" s="245" t="str">
        <f>'BUS Deemed Savings Table '!E10</f>
        <v>LED 7-20 Watt Lamp Replacing Interior Halogen 53-70 Watt Lamp</v>
      </c>
      <c r="G483" s="745" t="str">
        <f>'BUS Deemed Savings Table '!D10</f>
        <v>C&amp;I</v>
      </c>
      <c r="H483" s="2410">
        <f>'BUS Deemed Savings Table '!F10</f>
        <v>153.1</v>
      </c>
      <c r="I483" s="2410"/>
      <c r="J483" s="2452"/>
      <c r="K483" s="2452"/>
      <c r="L483" s="2452"/>
      <c r="M483" s="2452"/>
      <c r="N483" s="2411">
        <f>'BUS Deemed Savings Table '!I10</f>
        <v>2.9083000000000001E-2</v>
      </c>
      <c r="O483" s="2411"/>
      <c r="P483" s="2412"/>
      <c r="Q483" s="2412"/>
      <c r="R483" s="2412"/>
      <c r="S483" s="2412"/>
      <c r="T483" s="2430">
        <f t="shared" ref="T483:T497" si="306">IF(U483+V483&gt;0,0,IF(Y483&gt;0,N483,0))</f>
        <v>0</v>
      </c>
      <c r="U483" s="2430">
        <f t="shared" ref="U483:U497" si="307">IF(V483&gt;0,0,IF(Y483&gt;9,N483,0))</f>
        <v>0</v>
      </c>
      <c r="V483" s="2430">
        <f t="shared" ref="V483:V497" si="308">IF(Y483&gt;14,N483,0)</f>
        <v>2.9083000000000001E-2</v>
      </c>
      <c r="W483" s="2460">
        <f>'BUS Deemed Savings Table '!J10</f>
        <v>17</v>
      </c>
      <c r="X483" s="2460"/>
      <c r="Y483" s="94">
        <f t="shared" ref="Y483:Y501" si="309">X483+W483</f>
        <v>17</v>
      </c>
      <c r="Z483" s="767">
        <f>'BUS Deemed Savings Table '!DB10</f>
        <v>5.3190657841647591</v>
      </c>
      <c r="AA483" s="745">
        <f>'BUS Deemed Savings Table '!K10</f>
        <v>19.64</v>
      </c>
      <c r="AB483" s="2431">
        <f t="shared" si="290"/>
        <v>98.599765928264148</v>
      </c>
      <c r="AC483" s="2431">
        <f t="shared" si="291"/>
        <v>0</v>
      </c>
      <c r="AD483" s="2446">
        <f>'BUS Deemed Savings Table '!DD10</f>
        <v>98.599765928264148</v>
      </c>
      <c r="AE483" s="2440"/>
      <c r="AF483" s="2440"/>
      <c r="AG483" s="2440"/>
      <c r="AL483" s="2380">
        <f t="shared" si="303"/>
        <v>1.899635E-4</v>
      </c>
      <c r="AM483">
        <f t="shared" si="304"/>
        <v>2.9083411850000001E-2</v>
      </c>
      <c r="AN483" s="2368">
        <f t="shared" si="305"/>
        <v>4.1184999999971383E-7</v>
      </c>
    </row>
    <row r="484" spans="1:40" x14ac:dyDescent="0.25">
      <c r="A484" s="2598" t="str">
        <f>'BUS Deemed Savings Table '!C11</f>
        <v>800150_2019_12_</v>
      </c>
      <c r="B484" s="245" t="str">
        <f>'BUS Deemed Savings Table '!G11</f>
        <v>Lighting BUS</v>
      </c>
      <c r="C484" s="245"/>
      <c r="D484" s="245"/>
      <c r="E484" s="245"/>
      <c r="F484" s="245" t="str">
        <f>'BUS Deemed Savings Table '!E11</f>
        <v>LED &lt;=14 Watt Lamp Replacing Interior Halogen BR/R 45-65 Watt Lamp</v>
      </c>
      <c r="G484" s="745" t="str">
        <f>'BUS Deemed Savings Table '!D11</f>
        <v>C&amp;I</v>
      </c>
      <c r="H484" s="2410">
        <f>'BUS Deemed Savings Table '!F11</f>
        <v>203.76</v>
      </c>
      <c r="I484" s="2410"/>
      <c r="J484" s="2452"/>
      <c r="K484" s="2452"/>
      <c r="L484" s="2452"/>
      <c r="M484" s="2452"/>
      <c r="N484" s="2411">
        <f>'BUS Deemed Savings Table '!I11</f>
        <v>3.8706999999999998E-2</v>
      </c>
      <c r="O484" s="2411"/>
      <c r="P484" s="2412"/>
      <c r="Q484" s="2412"/>
      <c r="R484" s="2412"/>
      <c r="S484" s="2412"/>
      <c r="T484" s="2430">
        <f t="shared" si="306"/>
        <v>0</v>
      </c>
      <c r="U484" s="2430">
        <f t="shared" si="307"/>
        <v>3.8706999999999998E-2</v>
      </c>
      <c r="V484" s="2430">
        <f t="shared" si="308"/>
        <v>0</v>
      </c>
      <c r="W484" s="2460">
        <f>'BUS Deemed Savings Table '!J11</f>
        <v>14</v>
      </c>
      <c r="X484" s="2460"/>
      <c r="Y484" s="94">
        <f t="shared" si="309"/>
        <v>14</v>
      </c>
      <c r="Z484" s="767">
        <f>'BUS Deemed Savings Table '!DB11</f>
        <v>2.4384456205347109</v>
      </c>
      <c r="AA484" s="745">
        <f>'BUS Deemed Savings Table '!K11</f>
        <v>48.27</v>
      </c>
      <c r="AB484" s="2431">
        <f t="shared" si="290"/>
        <v>111.09369523663096</v>
      </c>
      <c r="AC484" s="2431">
        <f t="shared" si="291"/>
        <v>0</v>
      </c>
      <c r="AD484" s="2446">
        <f>'BUS Deemed Savings Table '!DD11</f>
        <v>111.09369523663096</v>
      </c>
      <c r="AE484" s="2440"/>
      <c r="AF484" s="2440"/>
      <c r="AG484" s="2440"/>
      <c r="AL484" s="2380">
        <f t="shared" si="303"/>
        <v>1.899635E-4</v>
      </c>
      <c r="AM484">
        <f t="shared" si="304"/>
        <v>3.8706962759999998E-2</v>
      </c>
      <c r="AN484" s="2368">
        <f t="shared" si="305"/>
        <v>-3.7240000000382523E-8</v>
      </c>
    </row>
    <row r="485" spans="1:40" x14ac:dyDescent="0.25">
      <c r="A485" s="2598" t="str">
        <f>'BUS Deemed Savings Table '!C12</f>
        <v>800200_2019_12_</v>
      </c>
      <c r="B485" s="245" t="str">
        <f>'BUS Deemed Savings Table '!G12</f>
        <v>Lighting BUS</v>
      </c>
      <c r="C485" s="245"/>
      <c r="D485" s="245"/>
      <c r="E485" s="245"/>
      <c r="F485" s="245" t="str">
        <f>'BUS Deemed Savings Table '!E12</f>
        <v>LED &lt;=13 Watt Lamp Replacing Interior Halogen MR-16 35-50 Watt Lamp</v>
      </c>
      <c r="G485" s="745" t="str">
        <f>'BUS Deemed Savings Table '!D12</f>
        <v>C&amp;I</v>
      </c>
      <c r="H485" s="2410">
        <f>'BUS Deemed Savings Table '!F12</f>
        <v>164.59</v>
      </c>
      <c r="I485" s="2410"/>
      <c r="J485" s="2452"/>
      <c r="K485" s="2452"/>
      <c r="L485" s="2452"/>
      <c r="M485" s="2452"/>
      <c r="N485" s="2411">
        <f>'BUS Deemed Savings Table '!I12</f>
        <v>3.1266000000000002E-2</v>
      </c>
      <c r="O485" s="2411"/>
      <c r="P485" s="2412"/>
      <c r="Q485" s="2412"/>
      <c r="R485" s="2412"/>
      <c r="S485" s="2412"/>
      <c r="T485" s="2430">
        <f t="shared" si="306"/>
        <v>0</v>
      </c>
      <c r="U485" s="2430">
        <f t="shared" si="307"/>
        <v>3.1266000000000002E-2</v>
      </c>
      <c r="V485" s="2430">
        <f t="shared" si="308"/>
        <v>0</v>
      </c>
      <c r="W485" s="2460">
        <f>'BUS Deemed Savings Table '!J12</f>
        <v>12</v>
      </c>
      <c r="X485" s="2460"/>
      <c r="Y485" s="94">
        <f t="shared" si="309"/>
        <v>12</v>
      </c>
      <c r="Z485" s="767">
        <f>'BUS Deemed Savings Table '!DB12</f>
        <v>2.2490277369824176</v>
      </c>
      <c r="AA485" s="745">
        <f>'BUS Deemed Savings Table '!K12</f>
        <v>36.64</v>
      </c>
      <c r="AB485" s="2431">
        <f t="shared" si="290"/>
        <v>77.776664731510891</v>
      </c>
      <c r="AC485" s="2431">
        <f t="shared" si="291"/>
        <v>0</v>
      </c>
      <c r="AD485" s="2446">
        <f>'BUS Deemed Savings Table '!DD12</f>
        <v>77.776664731510891</v>
      </c>
      <c r="AE485" s="2440"/>
      <c r="AF485" s="2440"/>
      <c r="AG485" s="2440"/>
      <c r="AL485" s="2380">
        <f t="shared" si="303"/>
        <v>1.899635E-4</v>
      </c>
      <c r="AM485">
        <f t="shared" si="304"/>
        <v>3.1266092464999999E-2</v>
      </c>
      <c r="AN485" s="2368">
        <f t="shared" si="305"/>
        <v>9.2464999996988428E-8</v>
      </c>
    </row>
    <row r="486" spans="1:40" x14ac:dyDescent="0.25">
      <c r="A486" s="2598" t="str">
        <f>'BUS Deemed Savings Table '!C13</f>
        <v>800250_2019_12_</v>
      </c>
      <c r="B486" s="245" t="str">
        <f>'BUS Deemed Savings Table '!G13</f>
        <v>Lighting BUS</v>
      </c>
      <c r="C486" s="245"/>
      <c r="D486" s="245"/>
      <c r="E486" s="245"/>
      <c r="F486" s="245" t="str">
        <f>'BUS Deemed Savings Table '!E13</f>
        <v>LED &lt;=20 Watt Lamp Replacing Interior Halogen PAR 48-90 Watt Lamp</v>
      </c>
      <c r="G486" s="745" t="str">
        <f>'BUS Deemed Savings Table '!D13</f>
        <v>C&amp;I</v>
      </c>
      <c r="H486" s="2410">
        <f>'BUS Deemed Savings Table '!F13</f>
        <v>255.72</v>
      </c>
      <c r="I486" s="2410"/>
      <c r="J486" s="2452"/>
      <c r="K486" s="2452"/>
      <c r="L486" s="2452"/>
      <c r="M486" s="2452"/>
      <c r="N486" s="2411">
        <f>'BUS Deemed Savings Table '!I13</f>
        <v>4.8577000000000002E-2</v>
      </c>
      <c r="O486" s="2411"/>
      <c r="P486" s="2412"/>
      <c r="Q486" s="2412"/>
      <c r="R486" s="2412"/>
      <c r="S486" s="2412"/>
      <c r="T486" s="2430">
        <f t="shared" si="306"/>
        <v>0</v>
      </c>
      <c r="U486" s="2430">
        <f t="shared" si="307"/>
        <v>4.8577000000000002E-2</v>
      </c>
      <c r="V486" s="2430">
        <f t="shared" si="308"/>
        <v>0</v>
      </c>
      <c r="W486" s="2460">
        <f>'BUS Deemed Savings Table '!J13</f>
        <v>12</v>
      </c>
      <c r="X486" s="2460"/>
      <c r="Y486" s="94">
        <f t="shared" si="309"/>
        <v>12</v>
      </c>
      <c r="Z486" s="767">
        <f>'BUS Deemed Savings Table '!DB13</f>
        <v>1.715299244592275</v>
      </c>
      <c r="AA486" s="745">
        <f>'BUS Deemed Savings Table '!K13</f>
        <v>74.64</v>
      </c>
      <c r="AB486" s="2431">
        <f t="shared" si="290"/>
        <v>120.83995810888854</v>
      </c>
      <c r="AC486" s="2431">
        <f t="shared" si="291"/>
        <v>0</v>
      </c>
      <c r="AD486" s="2446">
        <f>'BUS Deemed Savings Table '!DD13</f>
        <v>120.83995810888854</v>
      </c>
      <c r="AE486" s="2440"/>
      <c r="AF486" s="2440"/>
      <c r="AG486" s="2440"/>
      <c r="AL486" s="2380">
        <f t="shared" si="303"/>
        <v>1.899635E-4</v>
      </c>
      <c r="AM486">
        <f t="shared" si="304"/>
        <v>4.8577466220000004E-2</v>
      </c>
      <c r="AN486" s="2368">
        <f t="shared" si="305"/>
        <v>4.6622000000190456E-7</v>
      </c>
    </row>
    <row r="487" spans="1:40" x14ac:dyDescent="0.25">
      <c r="A487" s="2598" t="str">
        <f>'BUS Deemed Savings Table '!C14</f>
        <v>800300_2019_12_</v>
      </c>
      <c r="B487" s="245" t="str">
        <f>'BUS Deemed Savings Table '!G14</f>
        <v>Lighting BUS</v>
      </c>
      <c r="C487" s="245"/>
      <c r="D487" s="245"/>
      <c r="E487" s="245"/>
      <c r="F487" s="245" t="str">
        <f>'BUS Deemed Savings Table '!E14</f>
        <v>LED &lt;=80 Watt Lamp or Fixture Replacing Interior HID 100-175 Watt Lamp or Fixture</v>
      </c>
      <c r="G487" s="745" t="str">
        <f>'BUS Deemed Savings Table '!D14</f>
        <v>C&amp;I</v>
      </c>
      <c r="H487" s="2410">
        <f>'BUS Deemed Savings Table '!F14</f>
        <v>369.52</v>
      </c>
      <c r="I487" s="2410"/>
      <c r="J487" s="2452"/>
      <c r="K487" s="2452"/>
      <c r="L487" s="2452"/>
      <c r="M487" s="2452"/>
      <c r="N487" s="2411">
        <f>'BUS Deemed Savings Table '!I14</f>
        <v>7.0194999999999994E-2</v>
      </c>
      <c r="O487" s="2411"/>
      <c r="P487" s="2412"/>
      <c r="Q487" s="2412"/>
      <c r="R487" s="2412"/>
      <c r="S487" s="2412"/>
      <c r="T487" s="2430">
        <f t="shared" si="306"/>
        <v>0</v>
      </c>
      <c r="U487" s="2430">
        <f t="shared" si="307"/>
        <v>7.0194999999999994E-2</v>
      </c>
      <c r="V487" s="2430">
        <f t="shared" si="308"/>
        <v>0</v>
      </c>
      <c r="W487" s="2460">
        <f>'BUS Deemed Savings Table '!J14</f>
        <v>11</v>
      </c>
      <c r="X487" s="2460"/>
      <c r="Y487" s="94">
        <f t="shared" si="309"/>
        <v>11</v>
      </c>
      <c r="Z487" s="767">
        <f>'BUS Deemed Savings Table '!DB14</f>
        <v>0.88701218654042824</v>
      </c>
      <c r="AA487" s="745">
        <f>'BUS Deemed Savings Table '!K14</f>
        <v>191.39</v>
      </c>
      <c r="AB487" s="2431">
        <f t="shared" si="290"/>
        <v>160.23148879846391</v>
      </c>
      <c r="AC487" s="2431">
        <f t="shared" si="291"/>
        <v>0</v>
      </c>
      <c r="AD487" s="2446">
        <f>'BUS Deemed Savings Table '!DD14</f>
        <v>160.23148879846391</v>
      </c>
      <c r="AE487" s="2440"/>
      <c r="AF487" s="2440"/>
      <c r="AG487" s="2440"/>
      <c r="AL487" s="2380">
        <f t="shared" si="303"/>
        <v>1.899635E-4</v>
      </c>
      <c r="AM487">
        <f t="shared" si="304"/>
        <v>7.0195312519999997E-2</v>
      </c>
      <c r="AN487" s="2368">
        <f t="shared" si="305"/>
        <v>3.1252000000370206E-7</v>
      </c>
    </row>
    <row r="488" spans="1:40" x14ac:dyDescent="0.25">
      <c r="A488" s="2598" t="str">
        <f>'BUS Deemed Savings Table '!C15</f>
        <v>800350_2019_12_</v>
      </c>
      <c r="B488" s="245" t="str">
        <f>'BUS Deemed Savings Table '!G15</f>
        <v>Lighting BUS</v>
      </c>
      <c r="C488" s="245"/>
      <c r="D488" s="245"/>
      <c r="E488" s="245"/>
      <c r="F488" s="245" t="str">
        <f>'BUS Deemed Savings Table '!E15</f>
        <v>LED 62 - 130 Watt Lamp or Fixture Replacing Interior HID 176-300 Watt Lamp or Fixture</v>
      </c>
      <c r="G488" s="745" t="str">
        <f>'BUS Deemed Savings Table '!D15</f>
        <v>C&amp;I</v>
      </c>
      <c r="H488" s="2410">
        <f>'BUS Deemed Savings Table '!F15</f>
        <v>884.37</v>
      </c>
      <c r="I488" s="2410"/>
      <c r="J488" s="2452"/>
      <c r="K488" s="2452"/>
      <c r="L488" s="2452"/>
      <c r="M488" s="2452"/>
      <c r="N488" s="2411">
        <f>'BUS Deemed Savings Table '!I15</f>
        <v>0.16799800000000001</v>
      </c>
      <c r="O488" s="2411"/>
      <c r="P488" s="2412"/>
      <c r="Q488" s="2412"/>
      <c r="R488" s="2412"/>
      <c r="S488" s="2412"/>
      <c r="T488" s="2430">
        <f t="shared" si="306"/>
        <v>0</v>
      </c>
      <c r="U488" s="2430">
        <f t="shared" si="307"/>
        <v>0.16799800000000001</v>
      </c>
      <c r="V488" s="2430">
        <f t="shared" si="308"/>
        <v>0</v>
      </c>
      <c r="W488" s="2460">
        <f>'BUS Deemed Savings Table '!J15</f>
        <v>10</v>
      </c>
      <c r="X488" s="2460"/>
      <c r="Y488" s="94">
        <f t="shared" si="309"/>
        <v>10</v>
      </c>
      <c r="Z488" s="767">
        <f>'BUS Deemed Savings Table '!DB15</f>
        <v>1.5825144042371624</v>
      </c>
      <c r="AA488" s="745">
        <f>'BUS Deemed Savings Table '!K15</f>
        <v>233.64</v>
      </c>
      <c r="AB488" s="2431">
        <f t="shared" si="290"/>
        <v>348.9746723982733</v>
      </c>
      <c r="AC488" s="2431">
        <f t="shared" si="291"/>
        <v>0</v>
      </c>
      <c r="AD488" s="2446">
        <f>'BUS Deemed Savings Table '!DD15</f>
        <v>348.9746723982733</v>
      </c>
      <c r="AE488" s="2440"/>
      <c r="AF488" s="2440"/>
      <c r="AG488" s="2440"/>
      <c r="AL488" s="2380">
        <f t="shared" si="303"/>
        <v>1.899635E-4</v>
      </c>
      <c r="AM488">
        <f t="shared" si="304"/>
        <v>0.16799802049500001</v>
      </c>
      <c r="AN488" s="2368">
        <f t="shared" si="305"/>
        <v>2.0495000002673791E-8</v>
      </c>
    </row>
    <row r="489" spans="1:40" x14ac:dyDescent="0.25">
      <c r="A489" s="2598" t="str">
        <f>'BUS Deemed Savings Table '!C16</f>
        <v>800400_2019_12_</v>
      </c>
      <c r="B489" s="245" t="str">
        <f>'BUS Deemed Savings Table '!G16</f>
        <v>Lighting BUS</v>
      </c>
      <c r="C489" s="245"/>
      <c r="D489" s="245"/>
      <c r="E489" s="245"/>
      <c r="F489" s="245" t="str">
        <f>'BUS Deemed Savings Table '!E16</f>
        <v>LED 85 - 225 Watt Lamp or Fixture Replacing Interior HID 301-500 Watt Lamp or Fixture</v>
      </c>
      <c r="G489" s="745" t="str">
        <f>'BUS Deemed Savings Table '!D16</f>
        <v>C&amp;I</v>
      </c>
      <c r="H489" s="2410">
        <f>'BUS Deemed Savings Table '!F16</f>
        <v>1471.98</v>
      </c>
      <c r="I489" s="2410"/>
      <c r="J489" s="2452"/>
      <c r="K489" s="2452"/>
      <c r="L489" s="2452"/>
      <c r="M489" s="2452"/>
      <c r="N489" s="2411">
        <f>'BUS Deemed Savings Table '!I16</f>
        <v>0.27962199999999998</v>
      </c>
      <c r="O489" s="2411"/>
      <c r="P489" s="2412"/>
      <c r="Q489" s="2412"/>
      <c r="R489" s="2412"/>
      <c r="S489" s="2412"/>
      <c r="T489" s="2430">
        <f t="shared" si="306"/>
        <v>0</v>
      </c>
      <c r="U489" s="2430">
        <f t="shared" si="307"/>
        <v>0.27962199999999998</v>
      </c>
      <c r="V489" s="2430">
        <f t="shared" si="308"/>
        <v>0</v>
      </c>
      <c r="W489" s="2460">
        <f>'BUS Deemed Savings Table '!J16</f>
        <v>11</v>
      </c>
      <c r="X489" s="2460"/>
      <c r="Y489" s="94">
        <f t="shared" si="309"/>
        <v>11</v>
      </c>
      <c r="Z489" s="767">
        <f>'BUS Deemed Savings Table '!DB16</f>
        <v>1.8699772735016957</v>
      </c>
      <c r="AA489" s="745">
        <f>'BUS Deemed Savings Table '!K16</f>
        <v>361.64</v>
      </c>
      <c r="AB489" s="2431">
        <f t="shared" si="290"/>
        <v>638.28086945649193</v>
      </c>
      <c r="AC489" s="2431">
        <f t="shared" si="291"/>
        <v>0</v>
      </c>
      <c r="AD489" s="2446">
        <f>'BUS Deemed Savings Table '!DD16</f>
        <v>638.28086945649193</v>
      </c>
      <c r="AE489" s="2440"/>
      <c r="AF489" s="2440"/>
      <c r="AG489" s="2440"/>
      <c r="AL489" s="2380">
        <f t="shared" si="303"/>
        <v>1.899635E-4</v>
      </c>
      <c r="AM489">
        <f t="shared" si="304"/>
        <v>0.27962247273000002</v>
      </c>
      <c r="AN489" s="2368">
        <f t="shared" si="305"/>
        <v>4.7273000003400512E-7</v>
      </c>
    </row>
    <row r="490" spans="1:40" x14ac:dyDescent="0.25">
      <c r="A490" s="2598" t="str">
        <f>'BUS Deemed Savings Table '!C17</f>
        <v>800450_2019_12_</v>
      </c>
      <c r="B490" s="245" t="str">
        <f>'BUS Deemed Savings Table '!G17</f>
        <v>Ext Lighting BUS</v>
      </c>
      <c r="C490" s="245"/>
      <c r="D490" s="245"/>
      <c r="E490" s="245"/>
      <c r="F490" s="245" t="str">
        <f>'BUS Deemed Savings Table '!E17</f>
        <v>LED &lt;=80 Watt Lamp or Fixture Replacing Garage or Exterior &lt;24/7 HID 100-175 Watt Lamp or Fixture</v>
      </c>
      <c r="G490" s="745" t="str">
        <f>'BUS Deemed Savings Table '!D17</f>
        <v>C&amp;I</v>
      </c>
      <c r="H490" s="2410">
        <f>'BUS Deemed Savings Table '!F17</f>
        <v>446.2</v>
      </c>
      <c r="I490" s="2410"/>
      <c r="J490" s="2452"/>
      <c r="K490" s="2452"/>
      <c r="L490" s="2452"/>
      <c r="M490" s="2452"/>
      <c r="N490" s="2411">
        <f>'BUS Deemed Savings Table '!I17</f>
        <v>2.506E-3</v>
      </c>
      <c r="O490" s="2411"/>
      <c r="P490" s="2412"/>
      <c r="Q490" s="2412"/>
      <c r="R490" s="2412"/>
      <c r="S490" s="2412"/>
      <c r="T490" s="2430">
        <f t="shared" si="306"/>
        <v>0</v>
      </c>
      <c r="U490" s="2430">
        <f t="shared" si="307"/>
        <v>2.506E-3</v>
      </c>
      <c r="V490" s="2430">
        <f t="shared" si="308"/>
        <v>0</v>
      </c>
      <c r="W490" s="2460">
        <f>'BUS Deemed Savings Table '!J17</f>
        <v>11</v>
      </c>
      <c r="X490" s="2460"/>
      <c r="Y490" s="94">
        <f t="shared" si="309"/>
        <v>11</v>
      </c>
      <c r="Z490" s="767">
        <f>'BUS Deemed Savings Table '!DB17</f>
        <v>0.6144868552357251</v>
      </c>
      <c r="AA490" s="745">
        <f>'BUS Deemed Savings Table '!K17</f>
        <v>191.39</v>
      </c>
      <c r="AB490" s="2431">
        <f t="shared" si="290"/>
        <v>111.00201908783899</v>
      </c>
      <c r="AC490" s="2431">
        <f t="shared" si="291"/>
        <v>0</v>
      </c>
      <c r="AD490" s="2446">
        <f>'BUS Deemed Savings Table '!DD17</f>
        <v>111.00201908783899</v>
      </c>
      <c r="AE490" s="2440"/>
      <c r="AF490" s="2440"/>
      <c r="AG490" s="2440"/>
      <c r="AL490" s="2380">
        <f t="shared" si="303"/>
        <v>5.6160000000000001E-6</v>
      </c>
      <c r="AM490">
        <f t="shared" si="304"/>
        <v>2.5058592000000001E-3</v>
      </c>
      <c r="AN490" s="2368">
        <f t="shared" si="305"/>
        <v>-1.4079999999987505E-7</v>
      </c>
    </row>
    <row r="491" spans="1:40" x14ac:dyDescent="0.25">
      <c r="A491" s="2598" t="str">
        <f>'BUS Deemed Savings Table '!C18</f>
        <v>800500_2019_12_</v>
      </c>
      <c r="B491" s="245" t="str">
        <f>'BUS Deemed Savings Table '!G18</f>
        <v>Ext Lighting BUS</v>
      </c>
      <c r="C491" s="245"/>
      <c r="D491" s="245"/>
      <c r="E491" s="245"/>
      <c r="F491" s="245" t="str">
        <f>'BUS Deemed Savings Table '!E18</f>
        <v>LED 62 - 130 Watt Lamp or Fixture Replacing Garage or Exterior &lt;24/7 HID 176-300 Watt Lamp or Fixture</v>
      </c>
      <c r="G491" s="745" t="str">
        <f>'BUS Deemed Savings Table '!D18</f>
        <v>C&amp;I</v>
      </c>
      <c r="H491" s="2410">
        <f>'BUS Deemed Savings Table '!F18</f>
        <v>713.51</v>
      </c>
      <c r="I491" s="2410"/>
      <c r="J491" s="2452"/>
      <c r="K491" s="2452"/>
      <c r="L491" s="2452"/>
      <c r="M491" s="2452"/>
      <c r="N491" s="2411">
        <f>'BUS Deemed Savings Table '!I18</f>
        <v>4.0070000000000001E-3</v>
      </c>
      <c r="O491" s="2411"/>
      <c r="P491" s="2412"/>
      <c r="Q491" s="2412"/>
      <c r="R491" s="2412"/>
      <c r="S491" s="2412"/>
      <c r="T491" s="2430">
        <f t="shared" si="306"/>
        <v>0</v>
      </c>
      <c r="U491" s="2430">
        <f t="shared" si="307"/>
        <v>4.0070000000000001E-3</v>
      </c>
      <c r="V491" s="2430">
        <f t="shared" si="308"/>
        <v>0</v>
      </c>
      <c r="W491" s="2460">
        <f>'BUS Deemed Savings Table '!J18</f>
        <v>12</v>
      </c>
      <c r="X491" s="2460"/>
      <c r="Y491" s="94">
        <f t="shared" si="309"/>
        <v>12</v>
      </c>
      <c r="Z491" s="767">
        <f>'BUS Deemed Savings Table '!DB18</f>
        <v>0.87600359206430567</v>
      </c>
      <c r="AA491" s="745">
        <f>'BUS Deemed Savings Table '!K18</f>
        <v>233.64</v>
      </c>
      <c r="AB491" s="2431">
        <f t="shared" si="290"/>
        <v>193.1755349220428</v>
      </c>
      <c r="AC491" s="2431">
        <f t="shared" si="291"/>
        <v>0</v>
      </c>
      <c r="AD491" s="2446">
        <f>'BUS Deemed Savings Table '!DD18</f>
        <v>193.1755349220428</v>
      </c>
      <c r="AE491" s="2440"/>
      <c r="AF491" s="2440"/>
      <c r="AG491" s="2440"/>
      <c r="AL491" s="2380">
        <f t="shared" si="303"/>
        <v>5.6160000000000001E-6</v>
      </c>
      <c r="AM491">
        <f t="shared" si="304"/>
        <v>4.0070721599999998E-3</v>
      </c>
      <c r="AN491" s="2368">
        <f t="shared" si="305"/>
        <v>7.2159999999626967E-8</v>
      </c>
    </row>
    <row r="492" spans="1:40" x14ac:dyDescent="0.25">
      <c r="A492" s="2598" t="str">
        <f>'BUS Deemed Savings Table '!C19</f>
        <v>800550_2019_12_</v>
      </c>
      <c r="B492" s="245" t="str">
        <f>'BUS Deemed Savings Table '!G19</f>
        <v>Ext Lighting BUS</v>
      </c>
      <c r="C492" s="245"/>
      <c r="D492" s="245"/>
      <c r="E492" s="245"/>
      <c r="F492" s="245" t="str">
        <f>'BUS Deemed Savings Table '!E19</f>
        <v>LED 85 - 225 Watt Lamp or Fixture Replacing Garage or Exterior &lt;24/7 HID 301-500 Watt Lamp or Fixture</v>
      </c>
      <c r="G492" s="745" t="str">
        <f>'BUS Deemed Savings Table '!D19</f>
        <v>C&amp;I</v>
      </c>
      <c r="H492" s="2410">
        <f>'BUS Deemed Savings Table '!F19</f>
        <v>1003.93</v>
      </c>
      <c r="I492" s="2410"/>
      <c r="J492" s="2452"/>
      <c r="K492" s="2452"/>
      <c r="L492" s="2452"/>
      <c r="M492" s="2452"/>
      <c r="N492" s="2411">
        <f>'BUS Deemed Savings Table '!I19</f>
        <v>5.6379999999999998E-3</v>
      </c>
      <c r="O492" s="2411"/>
      <c r="P492" s="2412"/>
      <c r="Q492" s="2412"/>
      <c r="R492" s="2412"/>
      <c r="S492" s="2412"/>
      <c r="T492" s="2430">
        <f t="shared" si="306"/>
        <v>0</v>
      </c>
      <c r="U492" s="2430">
        <f t="shared" si="307"/>
        <v>5.6379999999999998E-3</v>
      </c>
      <c r="V492" s="2430">
        <f t="shared" si="308"/>
        <v>0</v>
      </c>
      <c r="W492" s="2460">
        <f>'BUS Deemed Savings Table '!J19</f>
        <v>12</v>
      </c>
      <c r="X492" s="2460"/>
      <c r="Y492" s="94">
        <f t="shared" si="309"/>
        <v>12</v>
      </c>
      <c r="Z492" s="767">
        <f>'BUS Deemed Savings Table '!DB19</f>
        <v>0.79630600728392331</v>
      </c>
      <c r="AA492" s="745">
        <f>'BUS Deemed Savings Table '!K19</f>
        <v>361.64</v>
      </c>
      <c r="AB492" s="2431">
        <f t="shared" si="290"/>
        <v>271.80377958863426</v>
      </c>
      <c r="AC492" s="2431">
        <f t="shared" si="291"/>
        <v>0</v>
      </c>
      <c r="AD492" s="2446">
        <f>'BUS Deemed Savings Table '!DD19</f>
        <v>271.80377958863426</v>
      </c>
      <c r="AE492" s="2440"/>
      <c r="AF492" s="2440"/>
      <c r="AG492" s="2440"/>
      <c r="AL492" s="2380">
        <f t="shared" si="303"/>
        <v>5.6160000000000001E-6</v>
      </c>
      <c r="AM492">
        <f t="shared" si="304"/>
        <v>5.6380708800000002E-3</v>
      </c>
      <c r="AN492" s="2368">
        <f t="shared" si="305"/>
        <v>7.0880000000404786E-8</v>
      </c>
    </row>
    <row r="493" spans="1:40" x14ac:dyDescent="0.25">
      <c r="A493" s="2598" t="str">
        <f>'BUS Deemed Savings Table '!C20</f>
        <v>800600_2019_12_</v>
      </c>
      <c r="B493" s="245" t="str">
        <f>'BUS Deemed Savings Table '!G20</f>
        <v>Miscellaneous BUS</v>
      </c>
      <c r="C493" s="245"/>
      <c r="D493" s="245"/>
      <c r="E493" s="245"/>
      <c r="F493" s="245" t="str">
        <f>'BUS Deemed Savings Table '!E20</f>
        <v>LED &lt;=80 Watt Lamp or Fixture Replacing Garage or Exterior 24/7 HID 100-175 Watt Lamp or Fixture Misc.</v>
      </c>
      <c r="G493" s="745" t="str">
        <f>'BUS Deemed Savings Table '!D20</f>
        <v>C&amp;I</v>
      </c>
      <c r="H493" s="2410">
        <f>'BUS Deemed Savings Table '!F20</f>
        <v>700.72</v>
      </c>
      <c r="I493" s="2410"/>
      <c r="J493" s="2452"/>
      <c r="K493" s="2452"/>
      <c r="L493" s="2452"/>
      <c r="M493" s="2452"/>
      <c r="N493" s="2411">
        <f>'BUS Deemed Savings Table '!I20</f>
        <v>9.6659999999999996E-2</v>
      </c>
      <c r="O493" s="2411"/>
      <c r="P493" s="2412"/>
      <c r="Q493" s="2412"/>
      <c r="R493" s="2412"/>
      <c r="S493" s="2412"/>
      <c r="T493" s="2430">
        <f t="shared" si="306"/>
        <v>9.6659999999999996E-2</v>
      </c>
      <c r="U493" s="2430">
        <f t="shared" si="307"/>
        <v>0</v>
      </c>
      <c r="V493" s="2430">
        <f t="shared" si="308"/>
        <v>0</v>
      </c>
      <c r="W493" s="2460">
        <f>'BUS Deemed Savings Table '!J20</f>
        <v>6</v>
      </c>
      <c r="X493" s="2460"/>
      <c r="Y493" s="94">
        <f t="shared" si="309"/>
        <v>6</v>
      </c>
      <c r="Z493" s="767">
        <f>'BUS Deemed Savings Table '!DB20</f>
        <v>0.84227737200682895</v>
      </c>
      <c r="AA493" s="745">
        <f>'BUS Deemed Savings Table '!K20</f>
        <v>191.39</v>
      </c>
      <c r="AB493" s="2431">
        <f t="shared" si="290"/>
        <v>152.15051083377722</v>
      </c>
      <c r="AC493" s="2431">
        <f t="shared" si="291"/>
        <v>0</v>
      </c>
      <c r="AD493" s="2446">
        <f>'BUS Deemed Savings Table '!DD20</f>
        <v>152.15051083377722</v>
      </c>
      <c r="AE493" s="2440"/>
      <c r="AF493" s="2440"/>
      <c r="AG493" s="2440"/>
      <c r="AL493" s="2380">
        <f t="shared" si="303"/>
        <v>1.379439E-4</v>
      </c>
      <c r="AM493">
        <f t="shared" si="304"/>
        <v>9.6660049608000009E-2</v>
      </c>
      <c r="AN493" s="2368">
        <f t="shared" si="305"/>
        <v>4.9608000013412479E-8</v>
      </c>
    </row>
    <row r="494" spans="1:40" x14ac:dyDescent="0.25">
      <c r="A494" s="2598" t="str">
        <f>'BUS Deemed Savings Table '!C21</f>
        <v>800650_2019_12_</v>
      </c>
      <c r="B494" s="245" t="str">
        <f>'BUS Deemed Savings Table '!G21</f>
        <v>Miscellaneous BUS</v>
      </c>
      <c r="C494" s="245"/>
      <c r="D494" s="245"/>
      <c r="E494" s="245"/>
      <c r="F494" s="245" t="str">
        <f>'BUS Deemed Savings Table '!E21</f>
        <v>LED 62 - 130 Watt Lamp or Fixture Replacing Garage or Exterior 24/7 HID 176-300 Watt Lamp or Fixture Misc.</v>
      </c>
      <c r="G494" s="745" t="str">
        <f>'BUS Deemed Savings Table '!D21</f>
        <v>C&amp;I</v>
      </c>
      <c r="H494" s="2410">
        <f>'BUS Deemed Savings Table '!F21</f>
        <v>1482.27</v>
      </c>
      <c r="I494" s="2410"/>
      <c r="J494" s="2452"/>
      <c r="K494" s="2452"/>
      <c r="L494" s="2452"/>
      <c r="M494" s="2452"/>
      <c r="N494" s="2411">
        <f>'BUS Deemed Savings Table '!I21</f>
        <v>0.20447000000000001</v>
      </c>
      <c r="O494" s="2411"/>
      <c r="P494" s="2412"/>
      <c r="Q494" s="2412"/>
      <c r="R494" s="2412"/>
      <c r="S494" s="2412"/>
      <c r="T494" s="2430">
        <f t="shared" si="306"/>
        <v>0.20447000000000001</v>
      </c>
      <c r="U494" s="2430">
        <f t="shared" si="307"/>
        <v>0</v>
      </c>
      <c r="V494" s="2430">
        <f t="shared" si="308"/>
        <v>0</v>
      </c>
      <c r="W494" s="2460">
        <f>'BUS Deemed Savings Table '!J21</f>
        <v>6</v>
      </c>
      <c r="X494" s="2460"/>
      <c r="Y494" s="94">
        <f t="shared" si="309"/>
        <v>6</v>
      </c>
      <c r="Z494" s="767">
        <f>'BUS Deemed Savings Table '!DB21</f>
        <v>1.4595197758580998</v>
      </c>
      <c r="AA494" s="745">
        <f>'BUS Deemed Savings Table '!K21</f>
        <v>233.64</v>
      </c>
      <c r="AB494" s="2431">
        <f t="shared" si="290"/>
        <v>321.85200607030333</v>
      </c>
      <c r="AC494" s="2431">
        <f t="shared" si="291"/>
        <v>0</v>
      </c>
      <c r="AD494" s="2446">
        <f>'BUS Deemed Savings Table '!DD21</f>
        <v>321.85200607030333</v>
      </c>
      <c r="AE494" s="2440"/>
      <c r="AF494" s="2440"/>
      <c r="AG494" s="2440"/>
      <c r="AL494" s="2380">
        <f t="shared" si="303"/>
        <v>1.379439E-4</v>
      </c>
      <c r="AM494">
        <f t="shared" si="304"/>
        <v>0.204470104653</v>
      </c>
      <c r="AN494" s="2368">
        <f t="shared" si="305"/>
        <v>1.0465299998818622E-7</v>
      </c>
    </row>
    <row r="495" spans="1:40" x14ac:dyDescent="0.25">
      <c r="A495" s="2598" t="str">
        <f>'BUS Deemed Savings Table '!C22</f>
        <v>800700_2019_12_</v>
      </c>
      <c r="B495" s="245" t="str">
        <f>'BUS Deemed Savings Table '!G22</f>
        <v>Miscellaneous BUS</v>
      </c>
      <c r="C495" s="245"/>
      <c r="D495" s="245"/>
      <c r="E495" s="245"/>
      <c r="F495" s="245" t="str">
        <f>'BUS Deemed Savings Table '!E22</f>
        <v xml:space="preserve">LED 85 - 225 Watt Lamp or Fixture Replacing Garage or Exterior 24/7 HID 301-500 Watt Lamp or Fixture Misc. </v>
      </c>
      <c r="G495" s="745" t="str">
        <f>'BUS Deemed Savings Table '!D22</f>
        <v>C&amp;I</v>
      </c>
      <c r="H495" s="2410">
        <f>'BUS Deemed Savings Table '!F22</f>
        <v>2657.55</v>
      </c>
      <c r="I495" s="2410"/>
      <c r="J495" s="2452"/>
      <c r="K495" s="2452"/>
      <c r="L495" s="2452"/>
      <c r="M495" s="2452"/>
      <c r="N495" s="2411">
        <f>'BUS Deemed Savings Table '!I22</f>
        <v>0.366593</v>
      </c>
      <c r="O495" s="2411"/>
      <c r="P495" s="2412"/>
      <c r="Q495" s="2412"/>
      <c r="R495" s="2412"/>
      <c r="S495" s="2412"/>
      <c r="T495" s="2430">
        <f t="shared" si="306"/>
        <v>0.366593</v>
      </c>
      <c r="U495" s="2430">
        <f t="shared" si="307"/>
        <v>0</v>
      </c>
      <c r="V495" s="2430">
        <f t="shared" si="308"/>
        <v>0</v>
      </c>
      <c r="W495" s="2460">
        <f>'BUS Deemed Savings Table '!J22</f>
        <v>6</v>
      </c>
      <c r="X495" s="2460"/>
      <c r="Y495" s="94">
        <f t="shared" si="309"/>
        <v>6</v>
      </c>
      <c r="Z495" s="767">
        <f>'BUS Deemed Savings Table '!DB22</f>
        <v>1.6905765717881491</v>
      </c>
      <c r="AA495" s="745">
        <f>'BUS Deemed Savings Table '!K22</f>
        <v>361.64</v>
      </c>
      <c r="AB495" s="2431">
        <f t="shared" si="290"/>
        <v>577.04588147377649</v>
      </c>
      <c r="AC495" s="2431">
        <f t="shared" si="291"/>
        <v>0</v>
      </c>
      <c r="AD495" s="2446">
        <f>'BUS Deemed Savings Table '!DD22</f>
        <v>577.04588147377649</v>
      </c>
      <c r="AE495" s="2440"/>
      <c r="AF495" s="2440"/>
      <c r="AG495" s="2440"/>
      <c r="AL495" s="2380">
        <f t="shared" si="303"/>
        <v>1.379439E-4</v>
      </c>
      <c r="AM495">
        <f t="shared" si="304"/>
        <v>0.366592811445</v>
      </c>
      <c r="AN495" s="2368">
        <f t="shared" si="305"/>
        <v>-1.8855500000247716E-7</v>
      </c>
    </row>
    <row r="496" spans="1:40" x14ac:dyDescent="0.25">
      <c r="A496" s="2598" t="str">
        <f>'BUS Deemed Savings Table '!C23</f>
        <v>800750_2019_12_</v>
      </c>
      <c r="B496" s="245" t="str">
        <f>'BUS Deemed Savings Table '!G23</f>
        <v>Lighting BUS</v>
      </c>
      <c r="C496" s="245"/>
      <c r="D496" s="245"/>
      <c r="E496" s="245"/>
      <c r="F496" s="245" t="str">
        <f>'BUS Deemed Savings Table '!E23</f>
        <v>LED or Electroluminescent Replacing Interior Incandescent/CFL Exit Sign</v>
      </c>
      <c r="G496" s="745" t="str">
        <f>'BUS Deemed Savings Table '!D23</f>
        <v>C&amp;I</v>
      </c>
      <c r="H496" s="2410">
        <f>'BUS Deemed Savings Table '!F23</f>
        <v>253.08</v>
      </c>
      <c r="I496" s="2410"/>
      <c r="J496" s="2452"/>
      <c r="K496" s="2452"/>
      <c r="L496" s="2452"/>
      <c r="M496" s="2452"/>
      <c r="N496" s="2411">
        <f>'BUS Deemed Savings Table '!I23</f>
        <v>4.8076000000000001E-2</v>
      </c>
      <c r="O496" s="2411"/>
      <c r="P496" s="2412"/>
      <c r="Q496" s="2412"/>
      <c r="R496" s="2412"/>
      <c r="S496" s="2412"/>
      <c r="T496" s="2430">
        <f t="shared" si="306"/>
        <v>0</v>
      </c>
      <c r="U496" s="2430">
        <f t="shared" si="307"/>
        <v>0</v>
      </c>
      <c r="V496" s="2430">
        <f t="shared" si="308"/>
        <v>4.8076000000000001E-2</v>
      </c>
      <c r="W496" s="2460">
        <f>'BUS Deemed Savings Table '!J23</f>
        <v>16</v>
      </c>
      <c r="X496" s="2460"/>
      <c r="Y496" s="94">
        <f t="shared" si="309"/>
        <v>16</v>
      </c>
      <c r="Z496" s="767">
        <f>'BUS Deemed Savings Table '!DB23</f>
        <v>3.6285665232316582</v>
      </c>
      <c r="AA496" s="745">
        <f>'BUS Deemed Savings Table '!K23</f>
        <v>45.25</v>
      </c>
      <c r="AB496" s="2431">
        <f t="shared" si="290"/>
        <v>154.97181234189006</v>
      </c>
      <c r="AC496" s="2431">
        <f t="shared" si="291"/>
        <v>0</v>
      </c>
      <c r="AD496" s="2446">
        <f>'BUS Deemed Savings Table '!DD23</f>
        <v>154.97181234189006</v>
      </c>
      <c r="AE496" s="2440"/>
      <c r="AF496" s="2440"/>
      <c r="AG496" s="2440"/>
      <c r="AL496" s="2380">
        <f t="shared" si="303"/>
        <v>1.899635E-4</v>
      </c>
      <c r="AM496">
        <f t="shared" si="304"/>
        <v>4.8075962580000006E-2</v>
      </c>
      <c r="AN496" s="2368">
        <f t="shared" si="305"/>
        <v>-3.7419999994459108E-8</v>
      </c>
    </row>
    <row r="497" spans="1:40" x14ac:dyDescent="0.25">
      <c r="A497" s="2598" t="str">
        <f>'BUS Deemed Savings Table '!C24</f>
        <v>800800_2019_12_</v>
      </c>
      <c r="B497" s="245" t="str">
        <f>'BUS Deemed Savings Table '!G24</f>
        <v>Lighting BUS</v>
      </c>
      <c r="C497" s="245"/>
      <c r="D497" s="245"/>
      <c r="E497" s="245"/>
      <c r="F497" s="245" t="str">
        <f>'BUS Deemed Savings Table '!E24</f>
        <v>LED Replacing Interior T5 Fluorescent</v>
      </c>
      <c r="G497" s="745" t="str">
        <f>'BUS Deemed Savings Table '!D24</f>
        <v>C&amp;I</v>
      </c>
      <c r="H497" s="2410">
        <f>'BUS Deemed Savings Table '!F24</f>
        <v>222.56</v>
      </c>
      <c r="I497" s="2410"/>
      <c r="J497" s="2452"/>
      <c r="K497" s="2452"/>
      <c r="L497" s="2452"/>
      <c r="M497" s="2452"/>
      <c r="N497" s="2411">
        <f>'BUS Deemed Savings Table '!I24</f>
        <v>4.2278000000000003E-2</v>
      </c>
      <c r="O497" s="2411"/>
      <c r="P497" s="2412"/>
      <c r="Q497" s="2412"/>
      <c r="R497" s="2412"/>
      <c r="S497" s="2412"/>
      <c r="T497" s="2430">
        <f t="shared" si="306"/>
        <v>4.2278000000000003E-2</v>
      </c>
      <c r="U497" s="2430">
        <f t="shared" si="307"/>
        <v>0</v>
      </c>
      <c r="V497" s="2430">
        <f t="shared" si="308"/>
        <v>0</v>
      </c>
      <c r="W497" s="2460">
        <f>'BUS Deemed Savings Table '!J24</f>
        <v>8</v>
      </c>
      <c r="X497" s="2460"/>
      <c r="Y497" s="94">
        <f t="shared" si="309"/>
        <v>8</v>
      </c>
      <c r="Z497" s="767">
        <f>'BUS Deemed Savings Table '!DB24</f>
        <v>2.5065114361859493</v>
      </c>
      <c r="AA497" s="745">
        <f>'BUS Deemed Savings Table '!K24</f>
        <v>29.64</v>
      </c>
      <c r="AB497" s="2431">
        <f t="shared" ref="AB497:AB560" si="310">AD497+AE497</f>
        <v>70.120810730109994</v>
      </c>
      <c r="AC497" s="2431">
        <f t="shared" ref="AC497:AC560" si="311">AF497+AG497</f>
        <v>0</v>
      </c>
      <c r="AD497" s="2446">
        <f>'BUS Deemed Savings Table '!DD24</f>
        <v>70.120810730109994</v>
      </c>
      <c r="AE497" s="2440"/>
      <c r="AF497" s="2440"/>
      <c r="AG497" s="2440"/>
      <c r="AL497" s="2380">
        <f t="shared" si="303"/>
        <v>1.899635E-4</v>
      </c>
      <c r="AM497">
        <f t="shared" si="304"/>
        <v>4.2278276560000001E-2</v>
      </c>
      <c r="AN497" s="2368">
        <f t="shared" si="305"/>
        <v>2.7655999999820491E-7</v>
      </c>
    </row>
    <row r="498" spans="1:40" x14ac:dyDescent="0.25">
      <c r="A498" s="2598" t="str">
        <f>'BUS Deemed Savings Table '!C25</f>
        <v>800850_2019_12_</v>
      </c>
      <c r="B498" s="245" t="str">
        <f>'BUS Deemed Savings Table '!G25</f>
        <v>Lighting BUS</v>
      </c>
      <c r="C498" s="245"/>
      <c r="D498" s="245"/>
      <c r="E498" s="245"/>
      <c r="F498" s="245" t="str">
        <f>'BUS Deemed Savings Table '!E25</f>
        <v>LED Replacting Interior T8 Fluorescent</v>
      </c>
      <c r="G498" s="745" t="str">
        <f>'BUS Deemed Savings Table '!D25</f>
        <v>C&amp;I</v>
      </c>
      <c r="H498" s="2410">
        <f>'BUS Deemed Savings Table '!F25</f>
        <v>84.82</v>
      </c>
      <c r="I498" s="2410"/>
      <c r="J498" s="2452"/>
      <c r="K498" s="2452"/>
      <c r="L498" s="2452"/>
      <c r="M498" s="2452"/>
      <c r="N498" s="2411">
        <f>'BUS Deemed Savings Table '!I25</f>
        <v>1.6112999999999999E-2</v>
      </c>
      <c r="O498" s="2411"/>
      <c r="P498" s="2412"/>
      <c r="Q498" s="2412"/>
      <c r="R498" s="2412"/>
      <c r="S498" s="2412"/>
      <c r="T498" s="2430">
        <f t="shared" ref="T498:T517" si="312">IF(U498+V498&gt;0,0,IF(Y498&gt;0,N498,0))</f>
        <v>1.6112999999999999E-2</v>
      </c>
      <c r="U498" s="2430">
        <f t="shared" ref="U498:U517" si="313">IF(V498&gt;0,0,IF(Y498&gt;9,N498,0))</f>
        <v>0</v>
      </c>
      <c r="V498" s="2430">
        <f t="shared" ref="V498:V517" si="314">IF(Y498&gt;14,N498,0)</f>
        <v>0</v>
      </c>
      <c r="W498" s="2460">
        <f>'BUS Deemed Savings Table '!J25</f>
        <v>9</v>
      </c>
      <c r="X498" s="2460"/>
      <c r="Y498" s="94">
        <f t="shared" si="309"/>
        <v>9</v>
      </c>
      <c r="Z498" s="767">
        <f>'BUS Deemed Savings Table '!DB25</f>
        <v>1.0768222868757276</v>
      </c>
      <c r="AA498" s="745">
        <f>'BUS Deemed Savings Table '!K25</f>
        <v>29.64</v>
      </c>
      <c r="AB498" s="2431">
        <f t="shared" si="310"/>
        <v>30.124598945725875</v>
      </c>
      <c r="AC498" s="2431">
        <f t="shared" si="311"/>
        <v>0</v>
      </c>
      <c r="AD498" s="2446">
        <f>'BUS Deemed Savings Table '!DD25</f>
        <v>30.124598945725875</v>
      </c>
      <c r="AE498" s="2440"/>
      <c r="AF498" s="2440"/>
      <c r="AG498" s="2440"/>
      <c r="AL498" s="2380">
        <f t="shared" si="303"/>
        <v>1.899635E-4</v>
      </c>
      <c r="AM498">
        <f t="shared" si="304"/>
        <v>1.6112704070000001E-2</v>
      </c>
      <c r="AN498" s="2368">
        <f t="shared" si="305"/>
        <v>-2.959299999980014E-7</v>
      </c>
    </row>
    <row r="499" spans="1:40" x14ac:dyDescent="0.25">
      <c r="A499" s="2598" t="str">
        <f>'BUS Deemed Savings Table '!C26</f>
        <v>800900_2019_12_</v>
      </c>
      <c r="B499" s="245" t="str">
        <f>'BUS Deemed Savings Table '!G26</f>
        <v>Lighting BUS</v>
      </c>
      <c r="C499" s="245"/>
      <c r="D499" s="245"/>
      <c r="E499" s="245"/>
      <c r="F499" s="245" t="str">
        <f>'BUS Deemed Savings Table '!E26</f>
        <v>LED Replacing Interior T12 Fluorescent</v>
      </c>
      <c r="G499" s="745" t="str">
        <f>'BUS Deemed Savings Table '!D26</f>
        <v>C&amp;I</v>
      </c>
      <c r="H499" s="2410">
        <f>'BUS Deemed Savings Table '!F26</f>
        <v>92.56</v>
      </c>
      <c r="I499" s="2410"/>
      <c r="J499" s="2452"/>
      <c r="K499" s="2452"/>
      <c r="L499" s="2452"/>
      <c r="M499" s="2452"/>
      <c r="N499" s="2411">
        <f>'BUS Deemed Savings Table '!I26</f>
        <v>1.7583000000000001E-2</v>
      </c>
      <c r="O499" s="2411"/>
      <c r="P499" s="2412"/>
      <c r="Q499" s="2412"/>
      <c r="R499" s="2412"/>
      <c r="S499" s="2412"/>
      <c r="T499" s="2430">
        <f t="shared" si="312"/>
        <v>0</v>
      </c>
      <c r="U499" s="2430">
        <f t="shared" si="313"/>
        <v>1.7583000000000001E-2</v>
      </c>
      <c r="V499" s="2430">
        <f t="shared" si="314"/>
        <v>0</v>
      </c>
      <c r="W499" s="2460">
        <f>'BUS Deemed Savings Table '!J26</f>
        <v>14</v>
      </c>
      <c r="X499" s="2460"/>
      <c r="Y499" s="94">
        <f t="shared" si="309"/>
        <v>14</v>
      </c>
      <c r="Z499" s="767">
        <f>'BUS Deemed Savings Table '!DB26</f>
        <v>1.8039171538558842</v>
      </c>
      <c r="AA499" s="745">
        <f>'BUS Deemed Savings Table '!K26</f>
        <v>29.64</v>
      </c>
      <c r="AB499" s="2431">
        <f t="shared" si="310"/>
        <v>50.465412402348662</v>
      </c>
      <c r="AC499" s="2431">
        <f t="shared" si="311"/>
        <v>0</v>
      </c>
      <c r="AD499" s="2446">
        <f>'BUS Deemed Savings Table '!DD26</f>
        <v>50.465412402348662</v>
      </c>
      <c r="AE499" s="2440"/>
      <c r="AF499" s="2440"/>
      <c r="AG499" s="2440"/>
      <c r="AL499" s="2380">
        <f t="shared" si="303"/>
        <v>1.899635E-4</v>
      </c>
      <c r="AM499">
        <f t="shared" si="304"/>
        <v>1.7583021560000002E-2</v>
      </c>
      <c r="AN499" s="2368">
        <f t="shared" si="305"/>
        <v>2.1560000000586665E-8</v>
      </c>
    </row>
    <row r="500" spans="1:40" x14ac:dyDescent="0.25">
      <c r="A500" s="2598" t="str">
        <f>'BUS Deemed Savings Table '!C27</f>
        <v>800950_2019_12_</v>
      </c>
      <c r="B500" s="245" t="str">
        <f>'BUS Deemed Savings Table '!G27</f>
        <v>Lighting BUS</v>
      </c>
      <c r="C500" s="245"/>
      <c r="D500" s="245"/>
      <c r="E500" s="245"/>
      <c r="F500" s="245" t="str">
        <f>'BUS Deemed Savings Table '!E27</f>
        <v>LED Specialty Lamp</v>
      </c>
      <c r="G500" s="745" t="str">
        <f>'BUS Deemed Savings Table '!D27</f>
        <v>C&amp;I</v>
      </c>
      <c r="H500" s="2410">
        <f>'BUS Deemed Savings Table '!F27</f>
        <v>102.17</v>
      </c>
      <c r="I500" s="2410"/>
      <c r="J500" s="2452"/>
      <c r="K500" s="2452"/>
      <c r="L500" s="2452"/>
      <c r="M500" s="2452"/>
      <c r="N500" s="2411">
        <f>'BUS Deemed Savings Table '!I27</f>
        <v>1.9408999999999999E-2</v>
      </c>
      <c r="O500" s="2411"/>
      <c r="P500" s="2412"/>
      <c r="Q500" s="2412"/>
      <c r="R500" s="2412"/>
      <c r="S500" s="2412"/>
      <c r="T500" s="2430">
        <f t="shared" si="312"/>
        <v>0</v>
      </c>
      <c r="U500" s="2430">
        <f t="shared" si="313"/>
        <v>1.9408999999999999E-2</v>
      </c>
      <c r="V500" s="2430">
        <f t="shared" si="314"/>
        <v>0</v>
      </c>
      <c r="W500" s="2460">
        <f>'BUS Deemed Savings Table '!J27</f>
        <v>11</v>
      </c>
      <c r="X500" s="2460"/>
      <c r="Y500" s="94">
        <f t="shared" si="309"/>
        <v>11</v>
      </c>
      <c r="Z500" s="767">
        <f>'BUS Deemed Savings Table '!DB27</f>
        <v>3.9312435149619915</v>
      </c>
      <c r="AA500" s="745">
        <f>'BUS Deemed Savings Table '!K27</f>
        <v>11.94</v>
      </c>
      <c r="AB500" s="2431">
        <f t="shared" si="310"/>
        <v>44.303017997778355</v>
      </c>
      <c r="AC500" s="2431">
        <f t="shared" si="311"/>
        <v>0</v>
      </c>
      <c r="AD500" s="2446">
        <f>'BUS Deemed Savings Table '!DD27</f>
        <v>44.303017997778355</v>
      </c>
      <c r="AE500" s="2440"/>
      <c r="AF500" s="2440"/>
      <c r="AG500" s="2440"/>
      <c r="AL500" s="2380">
        <f t="shared" si="303"/>
        <v>1.899635E-4</v>
      </c>
      <c r="AM500">
        <f t="shared" si="304"/>
        <v>1.9408570795E-2</v>
      </c>
      <c r="AN500" s="2368">
        <f t="shared" si="305"/>
        <v>-4.2920499999932193E-7</v>
      </c>
    </row>
    <row r="501" spans="1:40" x14ac:dyDescent="0.25">
      <c r="A501" s="2598" t="str">
        <f>'BUS Deemed Savings Table '!C61</f>
        <v>801000_2019_12_</v>
      </c>
      <c r="B501" s="245" t="str">
        <f>'BUS Deemed Savings Table '!G61</f>
        <v>Lighting BUS</v>
      </c>
      <c r="C501" s="245"/>
      <c r="D501" s="245"/>
      <c r="E501" s="245"/>
      <c r="F501" s="245" t="str">
        <f>'BUS Deemed Savings Table '!E61</f>
        <v>Fixture Mounted Occupancy Sensor Controlling &gt;50 and &lt;=200 Watts</v>
      </c>
      <c r="G501" s="745" t="str">
        <f>'BUS Deemed Savings Table '!D61</f>
        <v>C&amp;I</v>
      </c>
      <c r="H501" s="2410">
        <f>'BUS Deemed Savings Table '!F61</f>
        <v>107.57</v>
      </c>
      <c r="I501" s="2410"/>
      <c r="J501" s="2452"/>
      <c r="K501" s="2452"/>
      <c r="L501" s="2452"/>
      <c r="M501" s="2452"/>
      <c r="N501" s="2411">
        <f>'BUS Deemed Savings Table '!I61</f>
        <v>2.0434000000000001E-2</v>
      </c>
      <c r="O501" s="2411"/>
      <c r="P501" s="2412"/>
      <c r="Q501" s="2412"/>
      <c r="R501" s="2412"/>
      <c r="S501" s="2412"/>
      <c r="T501" s="2430">
        <f t="shared" si="312"/>
        <v>0</v>
      </c>
      <c r="U501" s="2430">
        <f t="shared" si="313"/>
        <v>2.0434000000000001E-2</v>
      </c>
      <c r="V501" s="2430">
        <f t="shared" si="314"/>
        <v>0</v>
      </c>
      <c r="W501" s="2460">
        <f>'BUS Deemed Savings Table '!J61</f>
        <v>10</v>
      </c>
      <c r="X501" s="2460"/>
      <c r="Y501" s="94">
        <f t="shared" si="309"/>
        <v>10</v>
      </c>
      <c r="Z501" s="767">
        <f>'BUS Deemed Savings Table '!DB61</f>
        <v>0.38659862760654518</v>
      </c>
      <c r="AA501" s="745">
        <f>'BUS Deemed Savings Table '!K61</f>
        <v>116.33</v>
      </c>
      <c r="AB501" s="2431">
        <f t="shared" si="310"/>
        <v>42.447398159008394</v>
      </c>
      <c r="AC501" s="2431">
        <f t="shared" si="311"/>
        <v>0</v>
      </c>
      <c r="AD501" s="2446">
        <f>'BUS Deemed Savings Table '!DD61</f>
        <v>42.447398159008394</v>
      </c>
      <c r="AE501" s="2440"/>
      <c r="AF501" s="2440"/>
      <c r="AG501" s="2440"/>
      <c r="AL501" s="2380">
        <f t="shared" si="303"/>
        <v>1.899635E-4</v>
      </c>
      <c r="AM501">
        <f t="shared" si="304"/>
        <v>2.0434373695000001E-2</v>
      </c>
      <c r="AN501" s="2368">
        <f t="shared" si="305"/>
        <v>3.736949999999517E-7</v>
      </c>
    </row>
    <row r="502" spans="1:40" x14ac:dyDescent="0.25">
      <c r="A502" s="2598" t="str">
        <f>'BUS Deemed Savings Table '!C62</f>
        <v>801050_2019_12_</v>
      </c>
      <c r="B502" s="245" t="str">
        <f>'BUS Deemed Savings Table '!G62</f>
        <v>Lighting BUS</v>
      </c>
      <c r="C502" s="245"/>
      <c r="D502" s="245"/>
      <c r="E502" s="245"/>
      <c r="F502" s="245" t="str">
        <f>'BUS Deemed Savings Table '!E62</f>
        <v>Fixture Mounted Occupancy Sensor Controlling &gt;=201 and &lt;=500 Watts</v>
      </c>
      <c r="G502" s="745" t="str">
        <f>'BUS Deemed Savings Table '!D62</f>
        <v>C&amp;I</v>
      </c>
      <c r="H502" s="2410">
        <f>'BUS Deemed Savings Table '!F62</f>
        <v>309.79000000000002</v>
      </c>
      <c r="I502" s="2410"/>
      <c r="J502" s="2452"/>
      <c r="K502" s="2452"/>
      <c r="L502" s="2452"/>
      <c r="M502" s="2452"/>
      <c r="N502" s="2411">
        <f>'BUS Deemed Savings Table '!I62</f>
        <v>5.8848999999999999E-2</v>
      </c>
      <c r="O502" s="2411"/>
      <c r="P502" s="2412"/>
      <c r="Q502" s="2412"/>
      <c r="R502" s="2412"/>
      <c r="S502" s="2412"/>
      <c r="T502" s="2430">
        <f t="shared" si="312"/>
        <v>0</v>
      </c>
      <c r="U502" s="2430">
        <f t="shared" si="313"/>
        <v>5.8848999999999999E-2</v>
      </c>
      <c r="V502" s="2430">
        <f t="shared" si="314"/>
        <v>0</v>
      </c>
      <c r="W502" s="2460">
        <f>'BUS Deemed Savings Table '!J62</f>
        <v>10</v>
      </c>
      <c r="X502" s="2460"/>
      <c r="Y502" s="94">
        <f t="shared" ref="Y502:Y505" si="315">X502+W502</f>
        <v>10</v>
      </c>
      <c r="Z502" s="767">
        <f>'BUS Deemed Savings Table '!DB62</f>
        <v>1.1133623579644107</v>
      </c>
      <c r="AA502" s="745">
        <f>'BUS Deemed Savings Table '!K62</f>
        <v>116.33</v>
      </c>
      <c r="AB502" s="2431">
        <f t="shared" si="310"/>
        <v>122.24392930816411</v>
      </c>
      <c r="AC502" s="2431">
        <f t="shared" si="311"/>
        <v>0</v>
      </c>
      <c r="AD502" s="2446">
        <f>'BUS Deemed Savings Table '!DD62</f>
        <v>122.24392930816411</v>
      </c>
      <c r="AE502" s="2440"/>
      <c r="AF502" s="2440"/>
      <c r="AG502" s="2440"/>
      <c r="AL502" s="2380">
        <f t="shared" si="303"/>
        <v>1.899635E-4</v>
      </c>
      <c r="AM502">
        <f t="shared" si="304"/>
        <v>5.8848792665000003E-2</v>
      </c>
      <c r="AN502" s="2368">
        <f t="shared" si="305"/>
        <v>-2.073349999950902E-7</v>
      </c>
    </row>
    <row r="503" spans="1:40" x14ac:dyDescent="0.25">
      <c r="A503" s="2598" t="str">
        <f>'BUS Deemed Savings Table '!C63</f>
        <v>801100_2019_12_</v>
      </c>
      <c r="B503" s="245" t="str">
        <f>'BUS Deemed Savings Table '!G63</f>
        <v>Lighting BUS</v>
      </c>
      <c r="C503" s="245"/>
      <c r="D503" s="245"/>
      <c r="E503" s="245"/>
      <c r="F503" s="245" t="str">
        <f>'BUS Deemed Savings Table '!E63</f>
        <v>Single Technology Occupancy Sensor Controlling Lighting Circuit &gt;50 and &lt;=120 Watts</v>
      </c>
      <c r="G503" s="745" t="str">
        <f>'BUS Deemed Savings Table '!D63</f>
        <v>C&amp;I</v>
      </c>
      <c r="H503" s="2410">
        <f>'BUS Deemed Savings Table '!F63</f>
        <v>86.05</v>
      </c>
      <c r="I503" s="2410"/>
      <c r="J503" s="2452"/>
      <c r="K503" s="2452"/>
      <c r="L503" s="2452"/>
      <c r="M503" s="2452"/>
      <c r="N503" s="2411">
        <f>'BUS Deemed Savings Table '!I63</f>
        <v>1.6345999999999999E-2</v>
      </c>
      <c r="O503" s="2411"/>
      <c r="P503" s="2412"/>
      <c r="Q503" s="2412"/>
      <c r="R503" s="2412"/>
      <c r="S503" s="2412"/>
      <c r="T503" s="2430">
        <f t="shared" si="312"/>
        <v>0</v>
      </c>
      <c r="U503" s="2430">
        <f t="shared" si="313"/>
        <v>1.6345999999999999E-2</v>
      </c>
      <c r="V503" s="2430">
        <f t="shared" si="314"/>
        <v>0</v>
      </c>
      <c r="W503" s="2460">
        <f>'BUS Deemed Savings Table '!J63</f>
        <v>11</v>
      </c>
      <c r="X503" s="2460"/>
      <c r="Y503" s="94">
        <f t="shared" si="315"/>
        <v>11</v>
      </c>
      <c r="Z503" s="767">
        <f>'BUS Deemed Savings Table '!DB63</f>
        <v>0.93348714091510621</v>
      </c>
      <c r="AA503" s="745">
        <f>'BUS Deemed Savings Table '!K63</f>
        <v>42.35</v>
      </c>
      <c r="AB503" s="2431">
        <f t="shared" si="310"/>
        <v>37.313053721335294</v>
      </c>
      <c r="AC503" s="2431">
        <f t="shared" si="311"/>
        <v>0</v>
      </c>
      <c r="AD503" s="2446">
        <f>'BUS Deemed Savings Table '!DD63</f>
        <v>37.313053721335294</v>
      </c>
      <c r="AE503" s="2440"/>
      <c r="AF503" s="2440"/>
      <c r="AG503" s="2440"/>
      <c r="AL503" s="2380">
        <f t="shared" si="303"/>
        <v>1.899635E-4</v>
      </c>
      <c r="AM503">
        <f t="shared" si="304"/>
        <v>1.6346359174999998E-2</v>
      </c>
      <c r="AN503" s="2368">
        <f t="shared" si="305"/>
        <v>3.5917499999899016E-7</v>
      </c>
    </row>
    <row r="504" spans="1:40" x14ac:dyDescent="0.25">
      <c r="A504" s="2598" t="str">
        <f>'BUS Deemed Savings Table '!C64</f>
        <v>801150_2019_12_</v>
      </c>
      <c r="B504" s="245" t="str">
        <f>'BUS Deemed Savings Table '!G64</f>
        <v>Lighting BUS</v>
      </c>
      <c r="C504" s="245"/>
      <c r="D504" s="245"/>
      <c r="E504" s="245"/>
      <c r="F504" s="245" t="str">
        <f>'BUS Deemed Savings Table '!E64</f>
        <v>Single Technology Occupancy Sensor Controlling Lighting Circuit &gt;120 Watts</v>
      </c>
      <c r="G504" s="745" t="str">
        <f>'BUS Deemed Savings Table '!D64</f>
        <v>C&amp;I</v>
      </c>
      <c r="H504" s="2410">
        <f>'BUS Deemed Savings Table '!F64</f>
        <v>444.9</v>
      </c>
      <c r="I504" s="2410"/>
      <c r="J504" s="2452"/>
      <c r="K504" s="2452"/>
      <c r="L504" s="2452"/>
      <c r="M504" s="2452"/>
      <c r="N504" s="2411">
        <f>'BUS Deemed Savings Table '!I64</f>
        <v>8.4515000000000007E-2</v>
      </c>
      <c r="O504" s="2411"/>
      <c r="P504" s="2412"/>
      <c r="Q504" s="2412"/>
      <c r="R504" s="2412"/>
      <c r="S504" s="2412"/>
      <c r="T504" s="2430">
        <f t="shared" si="312"/>
        <v>0</v>
      </c>
      <c r="U504" s="2430">
        <f t="shared" si="313"/>
        <v>8.4515000000000007E-2</v>
      </c>
      <c r="V504" s="2430">
        <f t="shared" si="314"/>
        <v>0</v>
      </c>
      <c r="W504" s="2460">
        <f>'BUS Deemed Savings Table '!J64</f>
        <v>11</v>
      </c>
      <c r="X504" s="2460"/>
      <c r="Y504" s="94">
        <f t="shared" si="315"/>
        <v>11</v>
      </c>
      <c r="Z504" s="767">
        <f>'BUS Deemed Savings Table '!DB64</f>
        <v>1.7095719330221939</v>
      </c>
      <c r="AA504" s="745">
        <f>'BUS Deemed Savings Table '!K64</f>
        <v>119.56</v>
      </c>
      <c r="AB504" s="2431">
        <f t="shared" si="310"/>
        <v>192.91781058247616</v>
      </c>
      <c r="AC504" s="2431">
        <f t="shared" si="311"/>
        <v>0</v>
      </c>
      <c r="AD504" s="2446">
        <f>'BUS Deemed Savings Table '!DD64</f>
        <v>192.91781058247616</v>
      </c>
      <c r="AE504" s="2440"/>
      <c r="AF504" s="2440"/>
      <c r="AG504" s="2440"/>
      <c r="AL504" s="2380">
        <f t="shared" si="303"/>
        <v>1.899635E-4</v>
      </c>
      <c r="AM504">
        <f t="shared" si="304"/>
        <v>8.4514761149999992E-2</v>
      </c>
      <c r="AN504" s="2368">
        <f t="shared" si="305"/>
        <v>-2.3885000001444556E-7</v>
      </c>
    </row>
    <row r="505" spans="1:40" x14ac:dyDescent="0.25">
      <c r="A505" s="2598" t="str">
        <f>'BUS Deemed Savings Table '!C65</f>
        <v>801200_2019_12_</v>
      </c>
      <c r="B505" s="245" t="str">
        <f>'BUS Deemed Savings Table '!G65</f>
        <v>Lighting BUS</v>
      </c>
      <c r="C505" s="245"/>
      <c r="D505" s="245"/>
      <c r="E505" s="245"/>
      <c r="F505" s="245" t="str">
        <f>'BUS Deemed Savings Table '!E65</f>
        <v>Dual Technology Occupancy Sensor Controlling Lighting Circuit &gt;150 Watts</v>
      </c>
      <c r="G505" s="745" t="str">
        <f>'BUS Deemed Savings Table '!D65</f>
        <v>C&amp;I</v>
      </c>
      <c r="H505" s="2410">
        <f>'BUS Deemed Savings Table '!F65</f>
        <v>444.9</v>
      </c>
      <c r="I505" s="2410"/>
      <c r="J505" s="2452"/>
      <c r="K505" s="2452"/>
      <c r="L505" s="2452"/>
      <c r="M505" s="2452"/>
      <c r="N505" s="2411">
        <f>'BUS Deemed Savings Table '!I65</f>
        <v>8.4515000000000007E-2</v>
      </c>
      <c r="O505" s="2411"/>
      <c r="P505" s="2412"/>
      <c r="Q505" s="2412"/>
      <c r="R505" s="2412"/>
      <c r="S505" s="2412"/>
      <c r="T505" s="2430">
        <f t="shared" si="312"/>
        <v>8.4515000000000007E-2</v>
      </c>
      <c r="U505" s="2430">
        <f t="shared" si="313"/>
        <v>0</v>
      </c>
      <c r="V505" s="2430">
        <f t="shared" si="314"/>
        <v>0</v>
      </c>
      <c r="W505" s="2460">
        <f>'BUS Deemed Savings Table '!J65</f>
        <v>8</v>
      </c>
      <c r="X505" s="2460"/>
      <c r="Y505" s="94">
        <f t="shared" si="315"/>
        <v>8</v>
      </c>
      <c r="Z505" s="767">
        <f>'BUS Deemed Savings Table '!DB65</f>
        <v>1.1602543710512259</v>
      </c>
      <c r="AA505" s="745">
        <f>'BUS Deemed Savings Table '!K65</f>
        <v>128</v>
      </c>
      <c r="AB505" s="2431">
        <f t="shared" si="310"/>
        <v>140.17230721524953</v>
      </c>
      <c r="AC505" s="2431">
        <f t="shared" si="311"/>
        <v>0</v>
      </c>
      <c r="AD505" s="2446">
        <f>'BUS Deemed Savings Table '!DD65</f>
        <v>140.17230721524953</v>
      </c>
      <c r="AE505" s="2440"/>
      <c r="AF505" s="2440"/>
      <c r="AG505" s="2440"/>
      <c r="AL505" s="2380">
        <f t="shared" si="303"/>
        <v>1.899635E-4</v>
      </c>
      <c r="AM505">
        <f t="shared" si="304"/>
        <v>8.4514761149999992E-2</v>
      </c>
      <c r="AN505" s="2368">
        <f t="shared" si="305"/>
        <v>-2.3885000001444556E-7</v>
      </c>
    </row>
    <row r="506" spans="1:40" x14ac:dyDescent="0.25">
      <c r="A506" s="2598" t="str">
        <f>'BUS Deemed Savings Table '!C87</f>
        <v>801250_2019_12_</v>
      </c>
      <c r="B506" s="245" t="str">
        <f>'BUS Deemed Savings Table '!G87</f>
        <v>Refrigeration BUS</v>
      </c>
      <c r="C506" s="245"/>
      <c r="D506" s="245"/>
      <c r="E506" s="245"/>
      <c r="F506" s="245" t="str">
        <f>'BUS Deemed Savings Table '!E87</f>
        <v>0 &lt; V &lt; 15 - Vertical Closed - Solid Door Refrigerator</v>
      </c>
      <c r="G506" s="745" t="str">
        <f>'BUS Deemed Savings Table '!D87</f>
        <v>C&amp;I</v>
      </c>
      <c r="H506" s="2410">
        <f>'BUS Deemed Savings Table '!F87</f>
        <v>379.86</v>
      </c>
      <c r="I506" s="2410"/>
      <c r="J506" s="2452"/>
      <c r="K506" s="2452"/>
      <c r="L506" s="2452"/>
      <c r="M506" s="2452"/>
      <c r="N506" s="2411">
        <f>'BUS Deemed Savings Table '!I87</f>
        <v>5.1561999999999997E-2</v>
      </c>
      <c r="O506" s="2411"/>
      <c r="P506" s="2412"/>
      <c r="Q506" s="2412"/>
      <c r="R506" s="2412"/>
      <c r="S506" s="2412"/>
      <c r="T506" s="2430">
        <f t="shared" si="312"/>
        <v>0</v>
      </c>
      <c r="U506" s="2430">
        <f t="shared" si="313"/>
        <v>5.1561999999999997E-2</v>
      </c>
      <c r="V506" s="2430">
        <f t="shared" si="314"/>
        <v>0</v>
      </c>
      <c r="W506" s="2460">
        <f>'BUS Deemed Savings Table '!J87</f>
        <v>12</v>
      </c>
      <c r="X506" s="2460"/>
      <c r="Y506" s="94">
        <f t="shared" ref="Y506" si="316">X506+W506</f>
        <v>12</v>
      </c>
      <c r="Z506" s="767">
        <f>'BUS Deemed Savings Table '!DB87</f>
        <v>1.1662829576096756</v>
      </c>
      <c r="AA506" s="745">
        <f>'BUS Deemed Savings Table '!K87</f>
        <v>150</v>
      </c>
      <c r="AB506" s="2431">
        <f t="shared" si="310"/>
        <v>165.11792698579643</v>
      </c>
      <c r="AC506" s="2431">
        <f t="shared" si="311"/>
        <v>0</v>
      </c>
      <c r="AD506" s="2446">
        <f>'BUS Deemed Savings Table '!DD87</f>
        <v>165.11792698579643</v>
      </c>
      <c r="AE506" s="2440"/>
      <c r="AF506" s="2440"/>
      <c r="AG506" s="2440"/>
      <c r="AL506" s="2380">
        <f t="shared" si="303"/>
        <v>1.3573829999999999E-4</v>
      </c>
      <c r="AM506">
        <f t="shared" si="304"/>
        <v>5.1561550637999998E-2</v>
      </c>
      <c r="AN506" s="2368">
        <f t="shared" si="305"/>
        <v>-4.493619999990095E-7</v>
      </c>
    </row>
    <row r="507" spans="1:40" x14ac:dyDescent="0.25">
      <c r="A507" s="2598" t="str">
        <f>'BUS Deemed Savings Table '!C88</f>
        <v>801300_2019_12_</v>
      </c>
      <c r="B507" s="245" t="str">
        <f>'BUS Deemed Savings Table '!G88</f>
        <v>Refrigeration BUS</v>
      </c>
      <c r="C507" s="245"/>
      <c r="D507" s="245"/>
      <c r="E507" s="245"/>
      <c r="F507" s="245" t="str">
        <f>'BUS Deemed Savings Table '!E88</f>
        <v>15 ≤ V &lt; 30 - Vertical Closed - Solid Door Refrigerator</v>
      </c>
      <c r="G507" s="745" t="str">
        <f>'BUS Deemed Savings Table '!D88</f>
        <v>C&amp;I</v>
      </c>
      <c r="H507" s="2410">
        <f>'BUS Deemed Savings Table '!F88</f>
        <v>626.4</v>
      </c>
      <c r="I507" s="2410"/>
      <c r="J507" s="2452"/>
      <c r="K507" s="2452"/>
      <c r="L507" s="2452"/>
      <c r="M507" s="2452"/>
      <c r="N507" s="2411">
        <f>'BUS Deemed Savings Table '!I88</f>
        <v>8.5026000000000004E-2</v>
      </c>
      <c r="O507" s="2411"/>
      <c r="P507" s="2412"/>
      <c r="Q507" s="2412"/>
      <c r="R507" s="2412"/>
      <c r="S507" s="2412"/>
      <c r="T507" s="2430">
        <f t="shared" si="312"/>
        <v>0</v>
      </c>
      <c r="U507" s="2430">
        <f t="shared" si="313"/>
        <v>8.5026000000000004E-2</v>
      </c>
      <c r="V507" s="2430">
        <f t="shared" si="314"/>
        <v>0</v>
      </c>
      <c r="W507" s="2460">
        <f>'BUS Deemed Savings Table '!J88</f>
        <v>12</v>
      </c>
      <c r="X507" s="2460"/>
      <c r="Y507" s="94">
        <f t="shared" ref="Y507:Y521" si="317">X507+W507</f>
        <v>12</v>
      </c>
      <c r="Z507" s="767">
        <f>'BUS Deemed Savings Table '!DB88</f>
        <v>0.72121272769576361</v>
      </c>
      <c r="AA507" s="745">
        <f>'BUS Deemed Savings Table '!K88</f>
        <v>400</v>
      </c>
      <c r="AB507" s="2431">
        <f t="shared" si="310"/>
        <v>272.2841822353048</v>
      </c>
      <c r="AC507" s="2431">
        <f t="shared" si="311"/>
        <v>0</v>
      </c>
      <c r="AD507" s="2446">
        <f>'BUS Deemed Savings Table '!DD88</f>
        <v>272.2841822353048</v>
      </c>
      <c r="AE507" s="2440"/>
      <c r="AF507" s="2440"/>
      <c r="AG507" s="2440"/>
      <c r="AL507" s="2380">
        <f t="shared" si="303"/>
        <v>1.3573829999999999E-4</v>
      </c>
      <c r="AM507">
        <f t="shared" si="304"/>
        <v>8.5026471119999988E-2</v>
      </c>
      <c r="AN507" s="2368">
        <f t="shared" si="305"/>
        <v>4.7111999998405985E-7</v>
      </c>
    </row>
    <row r="508" spans="1:40" x14ac:dyDescent="0.25">
      <c r="A508" s="2598" t="str">
        <f>'BUS Deemed Savings Table '!C89</f>
        <v>801350_2019_12_</v>
      </c>
      <c r="B508" s="245" t="str">
        <f>'BUS Deemed Savings Table '!G89</f>
        <v>Refrigeration BUS</v>
      </c>
      <c r="C508" s="245"/>
      <c r="D508" s="245"/>
      <c r="E508" s="245"/>
      <c r="F508" s="245" t="str">
        <f>'BUS Deemed Savings Table '!E89</f>
        <v>30 ≤ V &lt; 50 - Vertical Closed - Solid Door Refrigerator</v>
      </c>
      <c r="G508" s="745" t="str">
        <f>'BUS Deemed Savings Table '!D89</f>
        <v>C&amp;I</v>
      </c>
      <c r="H508" s="2410">
        <f>'BUS Deemed Savings Table '!F89</f>
        <v>982.52</v>
      </c>
      <c r="I508" s="2410"/>
      <c r="J508" s="2452"/>
      <c r="K508" s="2452"/>
      <c r="L508" s="2452"/>
      <c r="M508" s="2452"/>
      <c r="N508" s="2411">
        <f>'BUS Deemed Savings Table '!I89</f>
        <v>0.13336600000000001</v>
      </c>
      <c r="O508" s="2411"/>
      <c r="P508" s="2412"/>
      <c r="Q508" s="2412"/>
      <c r="R508" s="2412"/>
      <c r="S508" s="2412"/>
      <c r="T508" s="2430">
        <f t="shared" si="312"/>
        <v>0</v>
      </c>
      <c r="U508" s="2430">
        <f t="shared" si="313"/>
        <v>0.13336600000000001</v>
      </c>
      <c r="V508" s="2430">
        <f t="shared" si="314"/>
        <v>0</v>
      </c>
      <c r="W508" s="2460">
        <f>'BUS Deemed Savings Table '!J89</f>
        <v>12</v>
      </c>
      <c r="X508" s="2460"/>
      <c r="Y508" s="94">
        <f t="shared" si="317"/>
        <v>12</v>
      </c>
      <c r="Z508" s="767">
        <f>'BUS Deemed Savings Table '!DB89</f>
        <v>0.82271674122331551</v>
      </c>
      <c r="AA508" s="745">
        <f>'BUS Deemed Savings Table '!K89</f>
        <v>550</v>
      </c>
      <c r="AB508" s="2431">
        <f t="shared" si="310"/>
        <v>427.08278213574658</v>
      </c>
      <c r="AC508" s="2431">
        <f t="shared" si="311"/>
        <v>0</v>
      </c>
      <c r="AD508" s="2446">
        <f>'BUS Deemed Savings Table '!DD89</f>
        <v>427.08278213574658</v>
      </c>
      <c r="AE508" s="2440"/>
      <c r="AF508" s="2440"/>
      <c r="AG508" s="2440"/>
      <c r="AL508" s="2380">
        <f t="shared" si="303"/>
        <v>1.3573829999999999E-4</v>
      </c>
      <c r="AM508">
        <f t="shared" si="304"/>
        <v>0.133365594516</v>
      </c>
      <c r="AN508" s="2368">
        <f t="shared" si="305"/>
        <v>-4.0548400001561014E-7</v>
      </c>
    </row>
    <row r="509" spans="1:40" x14ac:dyDescent="0.25">
      <c r="A509" s="2598" t="str">
        <f>'BUS Deemed Savings Table '!C90</f>
        <v>801400_2019_12_</v>
      </c>
      <c r="B509" s="245" t="str">
        <f>'BUS Deemed Savings Table '!G90</f>
        <v>Refrigeration BUS</v>
      </c>
      <c r="C509" s="245"/>
      <c r="D509" s="245"/>
      <c r="E509" s="245"/>
      <c r="F509" s="245" t="str">
        <f>'BUS Deemed Savings Table '!E90</f>
        <v>V ≥ 50 - Vertical Closed - Solid Door Refrigerator</v>
      </c>
      <c r="G509" s="745" t="str">
        <f>'BUS Deemed Savings Table '!D90</f>
        <v>C&amp;I</v>
      </c>
      <c r="H509" s="2410">
        <f>'BUS Deemed Savings Table '!F90</f>
        <v>1311.25</v>
      </c>
      <c r="I509" s="2410"/>
      <c r="J509" s="2452"/>
      <c r="K509" s="2452"/>
      <c r="L509" s="2452"/>
      <c r="M509" s="2452"/>
      <c r="N509" s="2411">
        <f>'BUS Deemed Savings Table '!I90</f>
        <v>0.17798700000000001</v>
      </c>
      <c r="O509" s="2411"/>
      <c r="P509" s="2412"/>
      <c r="Q509" s="2412"/>
      <c r="R509" s="2412"/>
      <c r="S509" s="2412"/>
      <c r="T509" s="2430">
        <f t="shared" si="312"/>
        <v>0</v>
      </c>
      <c r="U509" s="2430">
        <f t="shared" si="313"/>
        <v>0.17798700000000001</v>
      </c>
      <c r="V509" s="2430">
        <f t="shared" si="314"/>
        <v>0</v>
      </c>
      <c r="W509" s="2460">
        <f>'BUS Deemed Savings Table '!J90</f>
        <v>12</v>
      </c>
      <c r="X509" s="2460"/>
      <c r="Y509" s="94">
        <f t="shared" si="317"/>
        <v>12</v>
      </c>
      <c r="Z509" s="767">
        <f>'BUS Deemed Savings Table '!DB90</f>
        <v>0.86269858528650811</v>
      </c>
      <c r="AA509" s="745">
        <f>'BUS Deemed Savings Table '!K90</f>
        <v>700</v>
      </c>
      <c r="AB509" s="2431">
        <f t="shared" si="310"/>
        <v>569.97546927848566</v>
      </c>
      <c r="AC509" s="2431">
        <f t="shared" si="311"/>
        <v>0</v>
      </c>
      <c r="AD509" s="2446">
        <f>'BUS Deemed Savings Table '!DD90</f>
        <v>569.97546927848566</v>
      </c>
      <c r="AE509" s="2440"/>
      <c r="AF509" s="2440"/>
      <c r="AG509" s="2440"/>
      <c r="AL509" s="2380">
        <f t="shared" si="303"/>
        <v>1.3573829999999999E-4</v>
      </c>
      <c r="AM509">
        <f t="shared" si="304"/>
        <v>0.17798684587499999</v>
      </c>
      <c r="AN509" s="2368">
        <f t="shared" si="305"/>
        <v>-1.5412500001255047E-7</v>
      </c>
    </row>
    <row r="510" spans="1:40" x14ac:dyDescent="0.25">
      <c r="A510" s="2598" t="str">
        <f>'BUS Deemed Savings Table '!C92</f>
        <v>801450_2019_12_</v>
      </c>
      <c r="B510" s="245" t="str">
        <f>'BUS Deemed Savings Table '!G92</f>
        <v>Refrigeration BUS</v>
      </c>
      <c r="C510" s="245"/>
      <c r="D510" s="245"/>
      <c r="E510" s="245"/>
      <c r="F510" s="245" t="str">
        <f>'BUS Deemed Savings Table '!E92</f>
        <v>0 &lt; V &lt; 15 - Vertical Closed - Glass Door Refrigerator</v>
      </c>
      <c r="G510" s="745" t="str">
        <f>'BUS Deemed Savings Table '!D92</f>
        <v>C&amp;I</v>
      </c>
      <c r="H510" s="2410">
        <f>'BUS Deemed Savings Table '!F92</f>
        <v>354.29</v>
      </c>
      <c r="I510" s="2410"/>
      <c r="J510" s="2452"/>
      <c r="K510" s="2452"/>
      <c r="L510" s="2452"/>
      <c r="M510" s="2452"/>
      <c r="N510" s="2411">
        <f>'BUS Deemed Savings Table '!I92</f>
        <v>4.8091000000000002E-2</v>
      </c>
      <c r="O510" s="2411"/>
      <c r="P510" s="2412"/>
      <c r="Q510" s="2412"/>
      <c r="R510" s="2412"/>
      <c r="S510" s="2412"/>
      <c r="T510" s="2430">
        <f t="shared" si="312"/>
        <v>0</v>
      </c>
      <c r="U510" s="2430">
        <f t="shared" si="313"/>
        <v>4.8091000000000002E-2</v>
      </c>
      <c r="V510" s="2430">
        <f t="shared" si="314"/>
        <v>0</v>
      </c>
      <c r="W510" s="2460">
        <f>'BUS Deemed Savings Table '!J92</f>
        <v>12</v>
      </c>
      <c r="X510" s="2460"/>
      <c r="Y510" s="94">
        <f t="shared" si="317"/>
        <v>12</v>
      </c>
      <c r="Z510" s="767">
        <f>'BUS Deemed Savings Table '!DB92</f>
        <v>0.652665280447847</v>
      </c>
      <c r="AA510" s="745">
        <f>'BUS Deemed Savings Table '!K92</f>
        <v>250</v>
      </c>
      <c r="AB510" s="2431">
        <f t="shared" si="310"/>
        <v>154.00313365923714</v>
      </c>
      <c r="AC510" s="2431">
        <f t="shared" si="311"/>
        <v>0</v>
      </c>
      <c r="AD510" s="2446">
        <f>'BUS Deemed Savings Table '!DD92</f>
        <v>154.00313365923714</v>
      </c>
      <c r="AE510" s="2440"/>
      <c r="AF510" s="2440"/>
      <c r="AG510" s="2440"/>
      <c r="AL510" s="2380">
        <f t="shared" si="303"/>
        <v>1.3573829999999999E-4</v>
      </c>
      <c r="AM510">
        <f t="shared" si="304"/>
        <v>4.8090722306999997E-2</v>
      </c>
      <c r="AN510" s="2368">
        <f t="shared" si="305"/>
        <v>-2.7769300000451969E-7</v>
      </c>
    </row>
    <row r="511" spans="1:40" x14ac:dyDescent="0.25">
      <c r="A511" s="2598" t="str">
        <f>'BUS Deemed Savings Table '!C93</f>
        <v>801500_2019_12_</v>
      </c>
      <c r="B511" s="245" t="str">
        <f>'BUS Deemed Savings Table '!G93</f>
        <v>Refrigeration BUS</v>
      </c>
      <c r="C511" s="245"/>
      <c r="D511" s="245"/>
      <c r="E511" s="245"/>
      <c r="F511" s="245" t="str">
        <f>'BUS Deemed Savings Table '!E93</f>
        <v>15 ≤ V &lt; 30 - Vertical Closed - Glass Door Refrigerator</v>
      </c>
      <c r="G511" s="745" t="str">
        <f>'BUS Deemed Savings Table '!D93</f>
        <v>C&amp;I</v>
      </c>
      <c r="H511" s="2410">
        <f>'BUS Deemed Savings Table '!F93</f>
        <v>217.32</v>
      </c>
      <c r="I511" s="2410"/>
      <c r="J511" s="2452"/>
      <c r="K511" s="2452"/>
      <c r="L511" s="2452"/>
      <c r="M511" s="2452"/>
      <c r="N511" s="2411">
        <f>'BUS Deemed Savings Table '!I93</f>
        <v>2.9499000000000001E-2</v>
      </c>
      <c r="O511" s="2411"/>
      <c r="P511" s="2412"/>
      <c r="Q511" s="2412"/>
      <c r="R511" s="2412"/>
      <c r="S511" s="2412"/>
      <c r="T511" s="2430">
        <f t="shared" si="312"/>
        <v>0</v>
      </c>
      <c r="U511" s="2430">
        <f t="shared" si="313"/>
        <v>2.9499000000000001E-2</v>
      </c>
      <c r="V511" s="2430">
        <f t="shared" si="314"/>
        <v>0</v>
      </c>
      <c r="W511" s="2460">
        <f>'BUS Deemed Savings Table '!J93</f>
        <v>12</v>
      </c>
      <c r="X511" s="2460"/>
      <c r="Y511" s="94">
        <f t="shared" si="317"/>
        <v>12</v>
      </c>
      <c r="Z511" s="767">
        <f>'BUS Deemed Savings Table '!DB93</f>
        <v>0.20017107277502344</v>
      </c>
      <c r="AA511" s="745">
        <f>'BUS Deemed Savings Table '!K93</f>
        <v>500</v>
      </c>
      <c r="AB511" s="2431">
        <f t="shared" si="310"/>
        <v>94.464876250600952</v>
      </c>
      <c r="AC511" s="2431">
        <f t="shared" si="311"/>
        <v>0</v>
      </c>
      <c r="AD511" s="2446">
        <f>'BUS Deemed Savings Table '!DD93</f>
        <v>94.464876250600952</v>
      </c>
      <c r="AE511" s="2440"/>
      <c r="AF511" s="2440"/>
      <c r="AG511" s="2440"/>
      <c r="AL511" s="2380">
        <f t="shared" si="303"/>
        <v>1.3573829999999999E-4</v>
      </c>
      <c r="AM511">
        <f t="shared" si="304"/>
        <v>2.9498647355999996E-2</v>
      </c>
      <c r="AN511" s="2368">
        <f t="shared" si="305"/>
        <v>-3.5264400000470375E-7</v>
      </c>
    </row>
    <row r="512" spans="1:40" x14ac:dyDescent="0.25">
      <c r="A512" s="2598" t="str">
        <f>'BUS Deemed Savings Table '!C94</f>
        <v>801550_2019_12_</v>
      </c>
      <c r="B512" s="245" t="str">
        <f>'BUS Deemed Savings Table '!G94</f>
        <v>Refrigeration BUS</v>
      </c>
      <c r="C512" s="245"/>
      <c r="D512" s="245"/>
      <c r="E512" s="245"/>
      <c r="F512" s="245" t="str">
        <f>'BUS Deemed Savings Table '!E94</f>
        <v>30 ≤ V &lt; 50 - Vertical Closed - Glass Door Refrigerator</v>
      </c>
      <c r="G512" s="745" t="str">
        <f>'BUS Deemed Savings Table '!D94</f>
        <v>C&amp;I</v>
      </c>
      <c r="H512" s="2410">
        <f>'BUS Deemed Savings Table '!F94</f>
        <v>226.46</v>
      </c>
      <c r="I512" s="2410"/>
      <c r="J512" s="2452"/>
      <c r="K512" s="2452"/>
      <c r="L512" s="2452"/>
      <c r="M512" s="2452"/>
      <c r="N512" s="2411">
        <f>'BUS Deemed Savings Table '!I94</f>
        <v>3.0738999999999999E-2</v>
      </c>
      <c r="O512" s="2411"/>
      <c r="P512" s="2412"/>
      <c r="Q512" s="2412"/>
      <c r="R512" s="2412"/>
      <c r="S512" s="2412"/>
      <c r="T512" s="2430">
        <f t="shared" si="312"/>
        <v>0</v>
      </c>
      <c r="U512" s="2430">
        <f t="shared" si="313"/>
        <v>3.0738999999999999E-2</v>
      </c>
      <c r="V512" s="2430">
        <f t="shared" si="314"/>
        <v>0</v>
      </c>
      <c r="W512" s="2460">
        <f>'BUS Deemed Savings Table '!J94</f>
        <v>12</v>
      </c>
      <c r="X512" s="2460"/>
      <c r="Y512" s="94">
        <f t="shared" si="317"/>
        <v>12</v>
      </c>
      <c r="Z512" s="767">
        <f>'BUS Deemed Savings Table '!DB94</f>
        <v>7.9797179307600316E-2</v>
      </c>
      <c r="AA512" s="745">
        <f>'BUS Deemed Savings Table '!K94</f>
        <v>1307</v>
      </c>
      <c r="AB512" s="2431">
        <f t="shared" si="310"/>
        <v>98.437860646563095</v>
      </c>
      <c r="AC512" s="2431">
        <f t="shared" si="311"/>
        <v>0</v>
      </c>
      <c r="AD512" s="2446">
        <f>'BUS Deemed Savings Table '!DD94</f>
        <v>98.437860646563095</v>
      </c>
      <c r="AE512" s="2440"/>
      <c r="AF512" s="2440"/>
      <c r="AG512" s="2440"/>
      <c r="AL512" s="2380">
        <f t="shared" si="303"/>
        <v>1.3573829999999999E-4</v>
      </c>
      <c r="AM512">
        <f t="shared" si="304"/>
        <v>3.0739295417999999E-2</v>
      </c>
      <c r="AN512" s="2368">
        <f t="shared" si="305"/>
        <v>2.9541800000004725E-7</v>
      </c>
    </row>
    <row r="513" spans="1:40" x14ac:dyDescent="0.25">
      <c r="A513" s="2598" t="str">
        <f>'BUS Deemed Savings Table '!C95</f>
        <v>801600_2019_12_</v>
      </c>
      <c r="B513" s="245" t="str">
        <f>'BUS Deemed Savings Table '!G95</f>
        <v>Refrigeration BUS</v>
      </c>
      <c r="C513" s="245"/>
      <c r="D513" s="245"/>
      <c r="E513" s="245"/>
      <c r="F513" s="245" t="str">
        <f>'BUS Deemed Savings Table '!E95</f>
        <v>V ≥ 50 - Vertical Closed - Glass Door Refrigerator</v>
      </c>
      <c r="G513" s="745" t="str">
        <f>'BUS Deemed Savings Table '!D95</f>
        <v>C&amp;I</v>
      </c>
      <c r="H513" s="2410">
        <f>'BUS Deemed Savings Table '!F95</f>
        <v>372.56</v>
      </c>
      <c r="I513" s="2410"/>
      <c r="J513" s="2452"/>
      <c r="K513" s="2452"/>
      <c r="L513" s="2452"/>
      <c r="M513" s="2452"/>
      <c r="N513" s="2411">
        <f>'BUS Deemed Savings Table '!I95</f>
        <v>5.0570999999999998E-2</v>
      </c>
      <c r="O513" s="2411"/>
      <c r="P513" s="2412"/>
      <c r="Q513" s="2412"/>
      <c r="R513" s="2412"/>
      <c r="S513" s="2412"/>
      <c r="T513" s="2430">
        <f t="shared" si="312"/>
        <v>0</v>
      </c>
      <c r="U513" s="2430">
        <f t="shared" si="313"/>
        <v>5.0570999999999998E-2</v>
      </c>
      <c r="V513" s="2430">
        <f t="shared" si="314"/>
        <v>0</v>
      </c>
      <c r="W513" s="2460">
        <f>'BUS Deemed Savings Table '!J95</f>
        <v>12</v>
      </c>
      <c r="X513" s="2460"/>
      <c r="Y513" s="94">
        <f t="shared" si="317"/>
        <v>12</v>
      </c>
      <c r="Z513" s="767">
        <f>'BUS Deemed Savings Table '!DB95</f>
        <v>7.4600203739889417E-2</v>
      </c>
      <c r="AA513" s="745">
        <f>'BUS Deemed Savings Table '!K95</f>
        <v>2300</v>
      </c>
      <c r="AB513" s="2431">
        <f t="shared" si="310"/>
        <v>161.94475564110019</v>
      </c>
      <c r="AC513" s="2431">
        <f t="shared" si="311"/>
        <v>0</v>
      </c>
      <c r="AD513" s="2446">
        <f>'BUS Deemed Savings Table '!DD95</f>
        <v>161.94475564110019</v>
      </c>
      <c r="AE513" s="2440"/>
      <c r="AF513" s="2440"/>
      <c r="AG513" s="2440"/>
      <c r="AL513" s="2380">
        <f t="shared" si="303"/>
        <v>1.3573829999999999E-4</v>
      </c>
      <c r="AM513">
        <f t="shared" si="304"/>
        <v>5.0570661047999996E-2</v>
      </c>
      <c r="AN513" s="2368">
        <f t="shared" si="305"/>
        <v>-3.3895200000216841E-7</v>
      </c>
    </row>
    <row r="514" spans="1:40" x14ac:dyDescent="0.25">
      <c r="A514" s="2598" t="str">
        <f>'BUS Deemed Savings Table '!C97</f>
        <v>801650_2019_12_</v>
      </c>
      <c r="B514" s="245" t="str">
        <f>'BUS Deemed Savings Table '!G97</f>
        <v>Refrigeration BUS</v>
      </c>
      <c r="C514" s="245"/>
      <c r="D514" s="245"/>
      <c r="E514" s="245"/>
      <c r="F514" s="245" t="str">
        <f>'BUS Deemed Savings Table '!E97</f>
        <v>Horizontal Closed - Solid or Glass Door Refrigerator  - All Volumes</v>
      </c>
      <c r="G514" s="745" t="str">
        <f>'BUS Deemed Savings Table '!D97</f>
        <v>C&amp;I</v>
      </c>
      <c r="H514" s="2410">
        <f>'BUS Deemed Savings Table '!F97</f>
        <v>1219.94</v>
      </c>
      <c r="I514" s="2410"/>
      <c r="J514" s="2452"/>
      <c r="K514" s="2452"/>
      <c r="L514" s="2452"/>
      <c r="M514" s="2452"/>
      <c r="N514" s="2411">
        <f>'BUS Deemed Savings Table '!I97</f>
        <v>0.16559299999999999</v>
      </c>
      <c r="O514" s="2411"/>
      <c r="P514" s="2412"/>
      <c r="Q514" s="2412"/>
      <c r="R514" s="2412"/>
      <c r="S514" s="2412"/>
      <c r="T514" s="2430">
        <f t="shared" si="312"/>
        <v>0</v>
      </c>
      <c r="U514" s="2430">
        <f t="shared" si="313"/>
        <v>0.16559299999999999</v>
      </c>
      <c r="V514" s="2430">
        <f t="shared" si="314"/>
        <v>0</v>
      </c>
      <c r="W514" s="2460">
        <f>'BUS Deemed Savings Table '!J97</f>
        <v>12</v>
      </c>
      <c r="X514" s="2460"/>
      <c r="Y514" s="94">
        <f t="shared" si="317"/>
        <v>12</v>
      </c>
      <c r="Z514" s="767">
        <f>'BUS Deemed Savings Table '!DB97</f>
        <v>1.070165121967001</v>
      </c>
      <c r="AA514" s="745">
        <f>'BUS Deemed Savings Table '!K97</f>
        <v>525</v>
      </c>
      <c r="AB514" s="2431">
        <f t="shared" si="310"/>
        <v>530.28474660941527</v>
      </c>
      <c r="AC514" s="2431">
        <f t="shared" si="311"/>
        <v>0</v>
      </c>
      <c r="AD514" s="2446">
        <f>'BUS Deemed Savings Table '!DD97</f>
        <v>530.28474660941527</v>
      </c>
      <c r="AE514" s="2440"/>
      <c r="AF514" s="2440"/>
      <c r="AG514" s="2440"/>
      <c r="AL514" s="2380">
        <f t="shared" ref="AL514:AL545" si="318">VLOOKUP(B514,$AR$10:$AS$45,2,FALSE)</f>
        <v>1.3573829999999999E-4</v>
      </c>
      <c r="AM514">
        <f t="shared" ref="AM514:AM541" si="319">AL514*H514</f>
        <v>0.165592581702</v>
      </c>
      <c r="AN514" s="2368">
        <f t="shared" ref="AN514:AN545" si="320">AM514-N514</f>
        <v>-4.1829799998782669E-7</v>
      </c>
    </row>
    <row r="515" spans="1:40" x14ac:dyDescent="0.25">
      <c r="A515" s="2598" t="str">
        <f>'BUS Deemed Savings Table '!C100</f>
        <v>801700_2019_12_</v>
      </c>
      <c r="B515" s="245" t="str">
        <f>'BUS Deemed Savings Table '!G100</f>
        <v>Refrigeration BUS</v>
      </c>
      <c r="C515" s="245"/>
      <c r="D515" s="245"/>
      <c r="E515" s="245"/>
      <c r="F515" s="245" t="str">
        <f>'BUS Deemed Savings Table '!E100</f>
        <v>0 &lt; V &lt; 15 - Vertical Closed - Solid Door Freezer</v>
      </c>
      <c r="G515" s="745" t="str">
        <f>'BUS Deemed Savings Table '!D100</f>
        <v>C&amp;I</v>
      </c>
      <c r="H515" s="2410">
        <f>'BUS Deemed Savings Table '!F100</f>
        <v>348.81</v>
      </c>
      <c r="I515" s="2410"/>
      <c r="J515" s="2452"/>
      <c r="K515" s="2452"/>
      <c r="L515" s="2452"/>
      <c r="M515" s="2452"/>
      <c r="N515" s="2411">
        <f>'BUS Deemed Savings Table '!I100</f>
        <v>4.7347E-2</v>
      </c>
      <c r="O515" s="2411"/>
      <c r="P515" s="2412"/>
      <c r="Q515" s="2412"/>
      <c r="R515" s="2412"/>
      <c r="S515" s="2412"/>
      <c r="T515" s="2430">
        <f t="shared" si="312"/>
        <v>0</v>
      </c>
      <c r="U515" s="2430">
        <f t="shared" si="313"/>
        <v>4.7347E-2</v>
      </c>
      <c r="V515" s="2430">
        <f t="shared" si="314"/>
        <v>0</v>
      </c>
      <c r="W515" s="2460">
        <f>'BUS Deemed Savings Table '!J100</f>
        <v>12</v>
      </c>
      <c r="X515" s="2460"/>
      <c r="Y515" s="94">
        <f t="shared" si="317"/>
        <v>12</v>
      </c>
      <c r="Z515" s="767">
        <f>'BUS Deemed Savings Table '!DB100</f>
        <v>1.0709502407303504</v>
      </c>
      <c r="AA515" s="745">
        <f>'BUS Deemed Savings Table '!K100</f>
        <v>150</v>
      </c>
      <c r="AB515" s="2431">
        <f t="shared" si="310"/>
        <v>151.62108174568434</v>
      </c>
      <c r="AC515" s="2431">
        <f t="shared" si="311"/>
        <v>0</v>
      </c>
      <c r="AD515" s="2446">
        <f>'BUS Deemed Savings Table '!DD100</f>
        <v>151.62108174568434</v>
      </c>
      <c r="AE515" s="2440"/>
      <c r="AF515" s="2440"/>
      <c r="AG515" s="2440"/>
      <c r="AL515" s="2380">
        <f t="shared" si="318"/>
        <v>1.3573829999999999E-4</v>
      </c>
      <c r="AM515">
        <f t="shared" si="319"/>
        <v>4.7346876422999999E-2</v>
      </c>
      <c r="AN515" s="2368">
        <f t="shared" si="320"/>
        <v>-1.2357700000104055E-7</v>
      </c>
    </row>
    <row r="516" spans="1:40" x14ac:dyDescent="0.25">
      <c r="A516" s="2598" t="str">
        <f>'BUS Deemed Savings Table '!C101</f>
        <v>801750_2019_12_</v>
      </c>
      <c r="B516" s="245" t="str">
        <f>'BUS Deemed Savings Table '!G101</f>
        <v>Refrigeration BUS</v>
      </c>
      <c r="C516" s="245"/>
      <c r="D516" s="245"/>
      <c r="E516" s="245"/>
      <c r="F516" s="245" t="str">
        <f>'BUS Deemed Savings Table '!E101</f>
        <v>15 ≤ V &lt; 30 - Vertical Closed - Solid Door Freezer</v>
      </c>
      <c r="G516" s="745" t="str">
        <f>'BUS Deemed Savings Table '!D101</f>
        <v>C&amp;I</v>
      </c>
      <c r="H516" s="2410">
        <f>'BUS Deemed Savings Table '!F101</f>
        <v>1307.5999999999999</v>
      </c>
      <c r="I516" s="2410"/>
      <c r="J516" s="2452"/>
      <c r="K516" s="2452"/>
      <c r="L516" s="2452"/>
      <c r="M516" s="2452"/>
      <c r="N516" s="2411">
        <f>'BUS Deemed Savings Table '!I101</f>
        <v>0.17749100000000001</v>
      </c>
      <c r="O516" s="2411"/>
      <c r="P516" s="2412"/>
      <c r="Q516" s="2412"/>
      <c r="R516" s="2412"/>
      <c r="S516" s="2412"/>
      <c r="T516" s="2430">
        <f t="shared" si="312"/>
        <v>0</v>
      </c>
      <c r="U516" s="2430">
        <f t="shared" si="313"/>
        <v>0.17749100000000001</v>
      </c>
      <c r="V516" s="2430">
        <f t="shared" si="314"/>
        <v>0</v>
      </c>
      <c r="W516" s="2460">
        <f>'BUS Deemed Savings Table '!J101</f>
        <v>12</v>
      </c>
      <c r="X516" s="2460"/>
      <c r="Y516" s="94">
        <f t="shared" si="317"/>
        <v>12</v>
      </c>
      <c r="Z516" s="767">
        <f>'BUS Deemed Savings Table '!DB101</f>
        <v>1.5055200554517567</v>
      </c>
      <c r="AA516" s="745">
        <f>'BUS Deemed Savings Table '!K101</f>
        <v>400</v>
      </c>
      <c r="AB516" s="2431">
        <f t="shared" si="310"/>
        <v>568.38888360613748</v>
      </c>
      <c r="AC516" s="2431">
        <f t="shared" si="311"/>
        <v>0</v>
      </c>
      <c r="AD516" s="2446">
        <f>'BUS Deemed Savings Table '!DD101</f>
        <v>568.38888360613748</v>
      </c>
      <c r="AE516" s="2440"/>
      <c r="AF516" s="2440"/>
      <c r="AG516" s="2440"/>
      <c r="AL516" s="2380">
        <f t="shared" si="318"/>
        <v>1.3573829999999999E-4</v>
      </c>
      <c r="AM516">
        <f t="shared" si="319"/>
        <v>0.17749140107999997</v>
      </c>
      <c r="AN516" s="2368">
        <f t="shared" si="320"/>
        <v>4.0107999996208399E-7</v>
      </c>
    </row>
    <row r="517" spans="1:40" x14ac:dyDescent="0.25">
      <c r="A517" s="2598" t="str">
        <f>'BUS Deemed Savings Table '!C102</f>
        <v>801800_2019_12_</v>
      </c>
      <c r="B517" s="245" t="str">
        <f>'BUS Deemed Savings Table '!G102</f>
        <v>Refrigeration BUS</v>
      </c>
      <c r="C517" s="245"/>
      <c r="D517" s="245"/>
      <c r="E517" s="245"/>
      <c r="F517" s="245" t="str">
        <f>'BUS Deemed Savings Table '!E102</f>
        <v>30 ≤ V &lt; 50 - Vertical Closed - Solid Door Freezer</v>
      </c>
      <c r="G517" s="745" t="str">
        <f>'BUS Deemed Savings Table '!D102</f>
        <v>C&amp;I</v>
      </c>
      <c r="H517" s="2410">
        <f>'BUS Deemed Savings Table '!F102</f>
        <v>2403.35</v>
      </c>
      <c r="I517" s="2410"/>
      <c r="J517" s="2452"/>
      <c r="K517" s="2452"/>
      <c r="L517" s="2452"/>
      <c r="M517" s="2452"/>
      <c r="N517" s="2411">
        <f>'BUS Deemed Savings Table '!I102</f>
        <v>0.32622699999999999</v>
      </c>
      <c r="O517" s="2411"/>
      <c r="P517" s="2412"/>
      <c r="Q517" s="2412"/>
      <c r="R517" s="2412"/>
      <c r="S517" s="2412"/>
      <c r="T517" s="2430">
        <f t="shared" si="312"/>
        <v>0</v>
      </c>
      <c r="U517" s="2430">
        <f t="shared" si="313"/>
        <v>0.32622699999999999</v>
      </c>
      <c r="V517" s="2430">
        <f t="shared" si="314"/>
        <v>0</v>
      </c>
      <c r="W517" s="2460">
        <f>'BUS Deemed Savings Table '!J102</f>
        <v>12</v>
      </c>
      <c r="X517" s="2460"/>
      <c r="Y517" s="94">
        <f t="shared" si="317"/>
        <v>12</v>
      </c>
      <c r="Z517" s="767">
        <f>'BUS Deemed Savings Table '!DB102</f>
        <v>2.0124539755109874</v>
      </c>
      <c r="AA517" s="745">
        <f>'BUS Deemed Savings Table '!K102</f>
        <v>550</v>
      </c>
      <c r="AB517" s="2431">
        <f t="shared" si="310"/>
        <v>1044.6905960651657</v>
      </c>
      <c r="AC517" s="2431">
        <f t="shared" si="311"/>
        <v>0</v>
      </c>
      <c r="AD517" s="2446">
        <f>'BUS Deemed Savings Table '!DD102</f>
        <v>1044.6905960651657</v>
      </c>
      <c r="AE517" s="2440"/>
      <c r="AF517" s="2440"/>
      <c r="AG517" s="2440"/>
      <c r="AL517" s="2380">
        <f t="shared" si="318"/>
        <v>1.3573829999999999E-4</v>
      </c>
      <c r="AM517">
        <f t="shared" si="319"/>
        <v>0.32622664330499995</v>
      </c>
      <c r="AN517" s="2368">
        <f t="shared" si="320"/>
        <v>-3.5669500003665533E-7</v>
      </c>
    </row>
    <row r="518" spans="1:40" x14ac:dyDescent="0.25">
      <c r="A518" s="2598" t="str">
        <f>'BUS Deemed Savings Table '!C103</f>
        <v>801850_2019_12_</v>
      </c>
      <c r="B518" s="245" t="str">
        <f>'BUS Deemed Savings Table '!G103</f>
        <v>Refrigeration BUS</v>
      </c>
      <c r="C518" s="245"/>
      <c r="D518" s="245"/>
      <c r="E518" s="245"/>
      <c r="F518" s="245" t="str">
        <f>'BUS Deemed Savings Table '!E103</f>
        <v>V ≥ 50 - Vertical Closed - Solid Door Freezer</v>
      </c>
      <c r="G518" s="745" t="str">
        <f>'BUS Deemed Savings Table '!D103</f>
        <v>C&amp;I</v>
      </c>
      <c r="H518" s="2410">
        <f>'BUS Deemed Savings Table '!F103</f>
        <v>2951.22</v>
      </c>
      <c r="I518" s="2410"/>
      <c r="J518" s="2452"/>
      <c r="K518" s="2452"/>
      <c r="L518" s="2452"/>
      <c r="M518" s="2452"/>
      <c r="N518" s="2411">
        <f>'BUS Deemed Savings Table '!I103</f>
        <v>0.40059400000000001</v>
      </c>
      <c r="O518" s="2411"/>
      <c r="P518" s="2412"/>
      <c r="Q518" s="2412"/>
      <c r="R518" s="2412"/>
      <c r="S518" s="2412"/>
      <c r="T518" s="2430">
        <f>IF(U518+V518&gt;0,0,IF(Y518&gt;0,N518,0))</f>
        <v>0</v>
      </c>
      <c r="U518" s="2430">
        <f>IF(V518&gt;0,0,IF(Y518&gt;9,N518,0))</f>
        <v>0.40059400000000001</v>
      </c>
      <c r="V518" s="2430">
        <f>IF(Y518&gt;14,N518,0)</f>
        <v>0</v>
      </c>
      <c r="W518" s="2460">
        <f>'BUS Deemed Savings Table '!J103</f>
        <v>12</v>
      </c>
      <c r="X518" s="2460"/>
      <c r="Y518" s="94">
        <f t="shared" si="317"/>
        <v>12</v>
      </c>
      <c r="Z518" s="767">
        <f>'BUS Deemed Savings Table '!DB103</f>
        <v>1.9416688799765476</v>
      </c>
      <c r="AA518" s="745">
        <f>'BUS Deemed Savings Table '!K103</f>
        <v>700</v>
      </c>
      <c r="AB518" s="2431">
        <f t="shared" si="310"/>
        <v>1282.839278889649</v>
      </c>
      <c r="AC518" s="2431">
        <f t="shared" si="311"/>
        <v>0</v>
      </c>
      <c r="AD518" s="2446">
        <f>'BUS Deemed Savings Table '!DD103</f>
        <v>1282.839278889649</v>
      </c>
      <c r="AE518" s="2440"/>
      <c r="AF518" s="2440"/>
      <c r="AG518" s="2440"/>
      <c r="AL518" s="2380">
        <f t="shared" si="318"/>
        <v>1.3573829999999999E-4</v>
      </c>
      <c r="AM518">
        <f t="shared" si="319"/>
        <v>0.40059358572599996</v>
      </c>
      <c r="AN518" s="2368">
        <f t="shared" si="320"/>
        <v>-4.1427400004900861E-7</v>
      </c>
    </row>
    <row r="519" spans="1:40" x14ac:dyDescent="0.25">
      <c r="A519" s="2598" t="str">
        <f>'BUS Deemed Savings Table '!C105</f>
        <v>801900_2019_12_</v>
      </c>
      <c r="B519" s="245" t="str">
        <f>'BUS Deemed Savings Table '!G105</f>
        <v>Refrigeration BUS</v>
      </c>
      <c r="C519" s="245"/>
      <c r="D519" s="245"/>
      <c r="E519" s="245"/>
      <c r="F519" s="245" t="str">
        <f>'BUS Deemed Savings Table '!E105</f>
        <v>0 &lt; V &lt; 15 - Vertical Closed - Glass Door Freezer</v>
      </c>
      <c r="G519" s="745" t="str">
        <f>'BUS Deemed Savings Table '!D105</f>
        <v>C&amp;I</v>
      </c>
      <c r="H519" s="2410">
        <f>'BUS Deemed Savings Table '!F105</f>
        <v>1429.95</v>
      </c>
      <c r="I519" s="2410"/>
      <c r="J519" s="2452"/>
      <c r="K519" s="2452"/>
      <c r="L519" s="2452"/>
      <c r="M519" s="2452"/>
      <c r="N519" s="2411">
        <f>'BUS Deemed Savings Table '!I105</f>
        <v>0.19409899999999999</v>
      </c>
      <c r="O519" s="2411"/>
      <c r="P519" s="2412"/>
      <c r="Q519" s="2412"/>
      <c r="R519" s="2412"/>
      <c r="S519" s="2412"/>
      <c r="T519" s="2430">
        <f t="shared" ref="T519:T542" si="321">IF(U519+V519&gt;0,0,IF(Y519&gt;0,N519,0))</f>
        <v>0</v>
      </c>
      <c r="U519" s="2430">
        <f t="shared" ref="U519:U542" si="322">IF(V519&gt;0,0,IF(Y519&gt;9,N519,0))</f>
        <v>0.19409899999999999</v>
      </c>
      <c r="V519" s="2430">
        <f t="shared" ref="V519:V542" si="323">IF(Y519&gt;14,N519,0)</f>
        <v>0</v>
      </c>
      <c r="W519" s="2460">
        <f>'BUS Deemed Savings Table '!J105</f>
        <v>12</v>
      </c>
      <c r="X519" s="2460"/>
      <c r="Y519" s="94">
        <f t="shared" si="317"/>
        <v>12</v>
      </c>
      <c r="Z519" s="767">
        <f>'BUS Deemed Savings Table '!DB105</f>
        <v>2.9934347497055533</v>
      </c>
      <c r="AA519" s="745">
        <f>'BUS Deemed Savings Table '!K105</f>
        <v>220</v>
      </c>
      <c r="AB519" s="2431">
        <f t="shared" si="310"/>
        <v>621.57210470525877</v>
      </c>
      <c r="AC519" s="2431">
        <f t="shared" si="311"/>
        <v>0</v>
      </c>
      <c r="AD519" s="2446">
        <f>'BUS Deemed Savings Table '!DD105</f>
        <v>621.57210470525877</v>
      </c>
      <c r="AE519" s="2440"/>
      <c r="AF519" s="2440"/>
      <c r="AG519" s="2440"/>
      <c r="AL519" s="2380">
        <f t="shared" si="318"/>
        <v>1.3573829999999999E-4</v>
      </c>
      <c r="AM519">
        <f t="shared" si="319"/>
        <v>0.19409898208499998</v>
      </c>
      <c r="AN519" s="2368">
        <f t="shared" si="320"/>
        <v>-1.7915000011248239E-8</v>
      </c>
    </row>
    <row r="520" spans="1:40" x14ac:dyDescent="0.25">
      <c r="A520" s="2598" t="str">
        <f>'BUS Deemed Savings Table '!C106</f>
        <v>801950_2019_12_</v>
      </c>
      <c r="B520" s="245" t="str">
        <f>'BUS Deemed Savings Table '!G106</f>
        <v>Refrigeration BUS</v>
      </c>
      <c r="C520" s="245"/>
      <c r="D520" s="245"/>
      <c r="E520" s="245"/>
      <c r="F520" s="245" t="str">
        <f>'BUS Deemed Savings Table '!E106</f>
        <v>15 ≤ V &lt; 30 - Vertical Closed - Glass Door Freezer</v>
      </c>
      <c r="G520" s="745" t="str">
        <f>'BUS Deemed Savings Table '!D106</f>
        <v>C&amp;I</v>
      </c>
      <c r="H520" s="2410">
        <f>'BUS Deemed Savings Table '!F106</f>
        <v>3186.81</v>
      </c>
      <c r="I520" s="2410"/>
      <c r="J520" s="2452"/>
      <c r="K520" s="2452"/>
      <c r="L520" s="2452"/>
      <c r="M520" s="2452"/>
      <c r="N520" s="2411">
        <f>'BUS Deemed Savings Table '!I106</f>
        <v>0.43257200000000001</v>
      </c>
      <c r="O520" s="2411"/>
      <c r="P520" s="2412"/>
      <c r="Q520" s="2412"/>
      <c r="R520" s="2412"/>
      <c r="S520" s="2412"/>
      <c r="T520" s="2430">
        <f t="shared" si="321"/>
        <v>0</v>
      </c>
      <c r="U520" s="2430">
        <f t="shared" si="322"/>
        <v>0.43257200000000001</v>
      </c>
      <c r="V520" s="2430">
        <f t="shared" si="323"/>
        <v>0</v>
      </c>
      <c r="W520" s="2460">
        <f>'BUS Deemed Savings Table '!J106</f>
        <v>12</v>
      </c>
      <c r="X520" s="2460"/>
      <c r="Y520" s="94">
        <f t="shared" si="317"/>
        <v>12</v>
      </c>
      <c r="Z520" s="767">
        <f>'BUS Deemed Savings Table '!DB106</f>
        <v>1.5449135798535569</v>
      </c>
      <c r="AA520" s="745">
        <f>'BUS Deemed Savings Table '!K106</f>
        <v>950</v>
      </c>
      <c r="AB520" s="2431">
        <f t="shared" si="310"/>
        <v>1385.2457771221132</v>
      </c>
      <c r="AC520" s="2431">
        <f t="shared" si="311"/>
        <v>0</v>
      </c>
      <c r="AD520" s="2446">
        <f>'BUS Deemed Savings Table '!DD106</f>
        <v>1385.2457771221132</v>
      </c>
      <c r="AE520" s="2440"/>
      <c r="AF520" s="2440"/>
      <c r="AG520" s="2440"/>
      <c r="AL520" s="2380">
        <f t="shared" si="318"/>
        <v>1.3573829999999999E-4</v>
      </c>
      <c r="AM520">
        <f t="shared" si="319"/>
        <v>0.43257217182299995</v>
      </c>
      <c r="AN520" s="2368">
        <f t="shared" si="320"/>
        <v>1.7182299993923067E-7</v>
      </c>
    </row>
    <row r="521" spans="1:40" x14ac:dyDescent="0.25">
      <c r="A521" s="2598" t="str">
        <f>'BUS Deemed Savings Table '!C107</f>
        <v>802000_2019_12_</v>
      </c>
      <c r="B521" s="245" t="str">
        <f>'BUS Deemed Savings Table '!G107</f>
        <v>Refrigeration BUS</v>
      </c>
      <c r="C521" s="245"/>
      <c r="D521" s="245"/>
      <c r="E521" s="245"/>
      <c r="F521" s="245" t="str">
        <f>'BUS Deemed Savings Table '!E107</f>
        <v>30 ≤ V &lt; 50 - Vertical Closed - Glass Door Freezer</v>
      </c>
      <c r="G521" s="745" t="str">
        <f>'BUS Deemed Savings Table '!D107</f>
        <v>C&amp;I</v>
      </c>
      <c r="H521" s="2410">
        <f>'BUS Deemed Savings Table '!F107</f>
        <v>5150.03</v>
      </c>
      <c r="I521" s="2410"/>
      <c r="J521" s="2452"/>
      <c r="K521" s="2452"/>
      <c r="L521" s="2452"/>
      <c r="M521" s="2452"/>
      <c r="N521" s="2411">
        <f>'BUS Deemed Savings Table '!I107</f>
        <v>0.69905600000000001</v>
      </c>
      <c r="O521" s="2411"/>
      <c r="P521" s="2412"/>
      <c r="Q521" s="2412"/>
      <c r="R521" s="2412"/>
      <c r="S521" s="2412"/>
      <c r="T521" s="2430">
        <f t="shared" si="321"/>
        <v>0</v>
      </c>
      <c r="U521" s="2430">
        <f t="shared" si="322"/>
        <v>0.69905600000000001</v>
      </c>
      <c r="V521" s="2430">
        <f t="shared" si="323"/>
        <v>0</v>
      </c>
      <c r="W521" s="2460">
        <f>'BUS Deemed Savings Table '!J107</f>
        <v>12</v>
      </c>
      <c r="X521" s="2460"/>
      <c r="Y521" s="94">
        <f t="shared" si="317"/>
        <v>12</v>
      </c>
      <c r="Z521" s="767">
        <f>'BUS Deemed Savings Table '!DB107</f>
        <v>1.8147039978341466</v>
      </c>
      <c r="AA521" s="745">
        <f>'BUS Deemed Savings Table '!K107</f>
        <v>1307</v>
      </c>
      <c r="AB521" s="2431">
        <f t="shared" si="310"/>
        <v>2238.6202219624629</v>
      </c>
      <c r="AC521" s="2431">
        <f t="shared" si="311"/>
        <v>0</v>
      </c>
      <c r="AD521" s="2446">
        <f>'BUS Deemed Savings Table '!DD107</f>
        <v>2238.6202219624629</v>
      </c>
      <c r="AE521" s="2440"/>
      <c r="AF521" s="2440"/>
      <c r="AG521" s="2440"/>
      <c r="AL521" s="2380">
        <f t="shared" si="318"/>
        <v>1.3573829999999999E-4</v>
      </c>
      <c r="AM521">
        <f t="shared" si="319"/>
        <v>0.69905631714899985</v>
      </c>
      <c r="AN521" s="2368">
        <f t="shared" si="320"/>
        <v>3.171489998399224E-7</v>
      </c>
    </row>
    <row r="522" spans="1:40" x14ac:dyDescent="0.25">
      <c r="A522" s="2598" t="str">
        <f>'BUS Deemed Savings Table '!C108</f>
        <v>802050_2019_12_</v>
      </c>
      <c r="B522" s="245" t="str">
        <f>'BUS Deemed Savings Table '!G108</f>
        <v>Refrigeration BUS</v>
      </c>
      <c r="C522" s="245"/>
      <c r="D522" s="245"/>
      <c r="E522" s="245"/>
      <c r="F522" s="245" t="str">
        <f>'BUS Deemed Savings Table '!E108</f>
        <v>V ≥ 50 - Vertical Closed - Glass Door Freezer</v>
      </c>
      <c r="G522" s="745" t="str">
        <f>'BUS Deemed Savings Table '!D108</f>
        <v>C&amp;I</v>
      </c>
      <c r="H522" s="2410">
        <f>'BUS Deemed Savings Table '!F108</f>
        <v>5884.18</v>
      </c>
      <c r="I522" s="2410"/>
      <c r="J522" s="2452"/>
      <c r="K522" s="2452"/>
      <c r="L522" s="2452"/>
      <c r="M522" s="2452"/>
      <c r="N522" s="2411">
        <f>'BUS Deemed Savings Table '!I108</f>
        <v>0.798709</v>
      </c>
      <c r="O522" s="2411"/>
      <c r="P522" s="2412"/>
      <c r="Q522" s="2412"/>
      <c r="R522" s="2412"/>
      <c r="S522" s="2412"/>
      <c r="T522" s="2430">
        <f t="shared" si="321"/>
        <v>0</v>
      </c>
      <c r="U522" s="2430">
        <f t="shared" si="322"/>
        <v>0.798709</v>
      </c>
      <c r="V522" s="2430">
        <f t="shared" si="323"/>
        <v>0</v>
      </c>
      <c r="W522" s="2460">
        <f>'BUS Deemed Savings Table '!J108</f>
        <v>12</v>
      </c>
      <c r="X522" s="2460"/>
      <c r="Y522" s="94">
        <f t="shared" ref="Y522:Y523" si="324">X522+W522</f>
        <v>12</v>
      </c>
      <c r="Z522" s="767">
        <f>'BUS Deemed Savings Table '!DB108</f>
        <v>1.1782290821402794</v>
      </c>
      <c r="AA522" s="745">
        <f>'BUS Deemed Savings Table '!K108</f>
        <v>2300</v>
      </c>
      <c r="AB522" s="2431">
        <f t="shared" si="310"/>
        <v>2557.7412826074965</v>
      </c>
      <c r="AC522" s="2431">
        <f t="shared" si="311"/>
        <v>0</v>
      </c>
      <c r="AD522" s="2446">
        <f>'BUS Deemed Savings Table '!DD108</f>
        <v>2557.7412826074965</v>
      </c>
      <c r="AE522" s="2440"/>
      <c r="AF522" s="2440"/>
      <c r="AG522" s="2440"/>
      <c r="AL522" s="2380">
        <f t="shared" si="318"/>
        <v>1.3573829999999999E-4</v>
      </c>
      <c r="AM522">
        <f t="shared" si="319"/>
        <v>0.79870859009399997</v>
      </c>
      <c r="AN522" s="2368">
        <f t="shared" si="320"/>
        <v>-4.099060000317678E-7</v>
      </c>
    </row>
    <row r="523" spans="1:40" x14ac:dyDescent="0.25">
      <c r="A523" s="2598" t="str">
        <f>'BUS Deemed Savings Table '!C110</f>
        <v>802100_2019_12_</v>
      </c>
      <c r="B523" s="245" t="str">
        <f>'BUS Deemed Savings Table '!G110</f>
        <v>Refrigeration BUS</v>
      </c>
      <c r="C523" s="245"/>
      <c r="D523" s="245"/>
      <c r="E523" s="245"/>
      <c r="F523" s="245" t="str">
        <f>'BUS Deemed Savings Table '!E110</f>
        <v>Horizontal Closed - Solid or Glass Door Freezer  - All Volumes</v>
      </c>
      <c r="G523" s="745" t="str">
        <f>'BUS Deemed Savings Table '!D110</f>
        <v>C&amp;I</v>
      </c>
      <c r="H523" s="2410">
        <f>'BUS Deemed Savings Table '!F110</f>
        <v>5265.08</v>
      </c>
      <c r="I523" s="2410"/>
      <c r="J523" s="2452"/>
      <c r="K523" s="2452"/>
      <c r="L523" s="2452"/>
      <c r="M523" s="2452"/>
      <c r="N523" s="2411">
        <f>'BUS Deemed Savings Table '!I110</f>
        <v>0.714673</v>
      </c>
      <c r="O523" s="2411"/>
      <c r="P523" s="2412"/>
      <c r="Q523" s="2412"/>
      <c r="R523" s="2412"/>
      <c r="S523" s="2412"/>
      <c r="T523" s="2430">
        <f t="shared" si="321"/>
        <v>0</v>
      </c>
      <c r="U523" s="2430">
        <f t="shared" si="322"/>
        <v>0.714673</v>
      </c>
      <c r="V523" s="2430">
        <f t="shared" si="323"/>
        <v>0</v>
      </c>
      <c r="W523" s="2460">
        <f>'BUS Deemed Savings Table '!J110</f>
        <v>12</v>
      </c>
      <c r="X523" s="2460"/>
      <c r="Y523" s="94">
        <f t="shared" si="324"/>
        <v>12</v>
      </c>
      <c r="Z523" s="767">
        <f>'BUS Deemed Savings Table '!DB110</f>
        <v>4.0753004586286439</v>
      </c>
      <c r="AA523" s="745">
        <f>'BUS Deemed Savings Table '!K110</f>
        <v>595</v>
      </c>
      <c r="AB523" s="2431">
        <f t="shared" si="310"/>
        <v>2288.6302717168878</v>
      </c>
      <c r="AC523" s="2431">
        <f t="shared" si="311"/>
        <v>0</v>
      </c>
      <c r="AD523" s="2446">
        <f>'BUS Deemed Savings Table '!DD110</f>
        <v>2288.6302717168878</v>
      </c>
      <c r="AE523" s="2440"/>
      <c r="AF523" s="2440"/>
      <c r="AG523" s="2440"/>
      <c r="AL523" s="2380">
        <f t="shared" si="318"/>
        <v>1.3573829999999999E-4</v>
      </c>
      <c r="AM523">
        <f t="shared" si="319"/>
        <v>0.71467300856399996</v>
      </c>
      <c r="AN523" s="2368">
        <f t="shared" si="320"/>
        <v>8.5639999536368805E-9</v>
      </c>
    </row>
    <row r="524" spans="1:40" x14ac:dyDescent="0.25">
      <c r="A524" s="2598" t="str">
        <f>'BUS Deemed Savings Table '!C139</f>
        <v>802150_2019_12_</v>
      </c>
      <c r="B524" s="245" t="str">
        <f>'BUS Deemed Savings Table '!G139</f>
        <v>Refrigeration BUS</v>
      </c>
      <c r="C524" s="245"/>
      <c r="D524" s="245"/>
      <c r="E524" s="245"/>
      <c r="F524" s="245" t="str">
        <f>'BUS Deemed Savings Table '!E139</f>
        <v>Anti-Sweat Heater Controls Refrigerator</v>
      </c>
      <c r="G524" s="745" t="str">
        <f>'BUS Deemed Savings Table '!D139</f>
        <v>C&amp;I</v>
      </c>
      <c r="H524" s="2410">
        <f>'BUS Deemed Savings Table '!F139</f>
        <v>668.14</v>
      </c>
      <c r="I524" s="2410"/>
      <c r="J524" s="2452"/>
      <c r="K524" s="2452"/>
      <c r="L524" s="2452"/>
      <c r="M524" s="2452"/>
      <c r="N524" s="2411">
        <f>'BUS Deemed Savings Table '!I139</f>
        <v>9.0691999999999995E-2</v>
      </c>
      <c r="O524" s="2411"/>
      <c r="P524" s="2412"/>
      <c r="Q524" s="2412"/>
      <c r="R524" s="2412"/>
      <c r="S524" s="2412"/>
      <c r="T524" s="2430">
        <f t="shared" si="321"/>
        <v>0</v>
      </c>
      <c r="U524" s="2430">
        <f t="shared" si="322"/>
        <v>9.0691999999999995E-2</v>
      </c>
      <c r="V524" s="2430">
        <f t="shared" si="323"/>
        <v>0</v>
      </c>
      <c r="W524" s="2460">
        <f>'BUS Deemed Savings Table '!J139</f>
        <v>12</v>
      </c>
      <c r="X524" s="2460"/>
      <c r="Y524" s="94">
        <f t="shared" ref="Y524" si="325">X524+W524</f>
        <v>12</v>
      </c>
      <c r="Z524" s="767">
        <f>'BUS Deemed Savings Table '!DB139</f>
        <v>2.0378027787616295</v>
      </c>
      <c r="AA524" s="2419">
        <f>'BUS Deemed Savings Table '!K139</f>
        <v>151</v>
      </c>
      <c r="AB524" s="2431">
        <f t="shared" si="310"/>
        <v>290.42776743086932</v>
      </c>
      <c r="AC524" s="2431">
        <f t="shared" si="311"/>
        <v>0</v>
      </c>
      <c r="AD524" s="2446">
        <f>'BUS Deemed Savings Table '!DD139</f>
        <v>290.42776743086932</v>
      </c>
      <c r="AE524" s="2440"/>
      <c r="AF524" s="2440"/>
      <c r="AG524" s="2440"/>
      <c r="AL524" s="2380">
        <f t="shared" si="318"/>
        <v>1.3573829999999999E-4</v>
      </c>
      <c r="AM524">
        <f t="shared" si="319"/>
        <v>9.0692187761999984E-2</v>
      </c>
      <c r="AN524" s="2368">
        <f t="shared" si="320"/>
        <v>1.8776199998959964E-7</v>
      </c>
    </row>
    <row r="525" spans="1:40" x14ac:dyDescent="0.25">
      <c r="A525" s="2598" t="str">
        <f>'BUS Deemed Savings Table '!C140</f>
        <v>802200_2019_12_</v>
      </c>
      <c r="B525" s="245" t="str">
        <f>'BUS Deemed Savings Table '!G140</f>
        <v>Refrigeration BUS</v>
      </c>
      <c r="C525" s="245"/>
      <c r="D525" s="245"/>
      <c r="E525" s="245"/>
      <c r="F525" s="245" t="str">
        <f>'BUS Deemed Savings Table '!E140</f>
        <v>Anti-Sweat Heater Controls Freezer</v>
      </c>
      <c r="G525" s="745" t="str">
        <f>'BUS Deemed Savings Table '!D140</f>
        <v>C&amp;I</v>
      </c>
      <c r="H525" s="2410">
        <f>'BUS Deemed Savings Table '!F140</f>
        <v>770.93</v>
      </c>
      <c r="I525" s="2410"/>
      <c r="J525" s="2452"/>
      <c r="K525" s="2452"/>
      <c r="L525" s="2452"/>
      <c r="M525" s="2452"/>
      <c r="N525" s="2411">
        <f>'BUS Deemed Savings Table '!I140</f>
        <v>0.104645</v>
      </c>
      <c r="O525" s="2411"/>
      <c r="P525" s="2412"/>
      <c r="Q525" s="2412"/>
      <c r="R525" s="2412"/>
      <c r="S525" s="2412"/>
      <c r="T525" s="2430">
        <f t="shared" si="321"/>
        <v>0</v>
      </c>
      <c r="U525" s="2430">
        <f t="shared" si="322"/>
        <v>0.104645</v>
      </c>
      <c r="V525" s="2430">
        <f t="shared" si="323"/>
        <v>0</v>
      </c>
      <c r="W525" s="2460">
        <f>'BUS Deemed Savings Table '!J140</f>
        <v>12</v>
      </c>
      <c r="X525" s="2460"/>
      <c r="Y525" s="94">
        <f t="shared" ref="Y525:Y526" si="326">X525+W525</f>
        <v>12</v>
      </c>
      <c r="Z525" s="767">
        <f>'BUS Deemed Savings Table '!DB140</f>
        <v>2.3513085524451509</v>
      </c>
      <c r="AA525" s="2419">
        <f>'BUS Deemed Savings Table '!K140</f>
        <v>151</v>
      </c>
      <c r="AB525" s="2431">
        <f t="shared" si="310"/>
        <v>335.10862805022913</v>
      </c>
      <c r="AC525" s="2431">
        <f t="shared" si="311"/>
        <v>0</v>
      </c>
      <c r="AD525" s="2446">
        <f>'BUS Deemed Savings Table '!DD140</f>
        <v>335.10862805022913</v>
      </c>
      <c r="AE525" s="2440"/>
      <c r="AF525" s="2440"/>
      <c r="AG525" s="2440"/>
      <c r="AL525" s="2380">
        <f t="shared" si="318"/>
        <v>1.3573829999999999E-4</v>
      </c>
      <c r="AM525">
        <f t="shared" si="319"/>
        <v>0.10464472761899998</v>
      </c>
      <c r="AN525" s="2368">
        <f t="shared" si="320"/>
        <v>-2.723810000188065E-7</v>
      </c>
    </row>
    <row r="526" spans="1:40" x14ac:dyDescent="0.25">
      <c r="A526" s="2598" t="str">
        <f>'BUS Deemed Savings Table '!C159</f>
        <v>802250_2019_12_</v>
      </c>
      <c r="B526" s="245" t="str">
        <f>'BUS Deemed Savings Table '!G159</f>
        <v>Water Heating BUS</v>
      </c>
      <c r="C526" s="245"/>
      <c r="D526" s="245"/>
      <c r="E526" s="245"/>
      <c r="F526" s="245" t="str">
        <f>'BUS Deemed Savings Table '!E159</f>
        <v>Heat Pump Water Heater w/ 98% Efficiency 2.9-14.6 kW (10 to 50 MBH)</v>
      </c>
      <c r="G526" s="745" t="str">
        <f>'BUS Deemed Savings Table '!D159</f>
        <v>C&amp;I</v>
      </c>
      <c r="H526" s="2410">
        <f>'BUS Deemed Savings Table '!F159</f>
        <v>21156</v>
      </c>
      <c r="I526" s="2410"/>
      <c r="J526" s="2452"/>
      <c r="K526" s="2452"/>
      <c r="L526" s="2452"/>
      <c r="M526" s="2452"/>
      <c r="N526" s="2411">
        <f>'BUS Deemed Savings Table '!I159</f>
        <v>3.8325049999999998</v>
      </c>
      <c r="O526" s="2411"/>
      <c r="P526" s="2412"/>
      <c r="Q526" s="2412"/>
      <c r="R526" s="2412"/>
      <c r="S526" s="2412"/>
      <c r="T526" s="2430">
        <f t="shared" si="321"/>
        <v>0</v>
      </c>
      <c r="U526" s="2430">
        <f t="shared" si="322"/>
        <v>0</v>
      </c>
      <c r="V526" s="2430">
        <f t="shared" si="323"/>
        <v>3.8325049999999998</v>
      </c>
      <c r="W526" s="2460">
        <f>'BUS Deemed Savings Table '!J159</f>
        <v>15</v>
      </c>
      <c r="X526" s="2460"/>
      <c r="Y526" s="94">
        <f t="shared" si="326"/>
        <v>15</v>
      </c>
      <c r="Z526" s="767">
        <f>'BUS Deemed Savings Table '!DB159</f>
        <v>3.5430180315223572</v>
      </c>
      <c r="AA526" s="2419">
        <f>'BUS Deemed Savings Table '!K159</f>
        <v>4000</v>
      </c>
      <c r="AB526" s="2431">
        <f t="shared" si="310"/>
        <v>13376.188887295353</v>
      </c>
      <c r="AC526" s="2431">
        <f t="shared" si="311"/>
        <v>0</v>
      </c>
      <c r="AD526" s="2446">
        <f>'BUS Deemed Savings Table '!DD159</f>
        <v>13376.188887295353</v>
      </c>
      <c r="AE526" s="2440"/>
      <c r="AF526" s="2440"/>
      <c r="AG526" s="2440"/>
      <c r="AL526" s="2380">
        <f t="shared" si="318"/>
        <v>1.811545E-4</v>
      </c>
      <c r="AM526">
        <f t="shared" si="319"/>
        <v>3.8325046020000002</v>
      </c>
      <c r="AN526" s="2368">
        <f t="shared" si="320"/>
        <v>-3.9799999962397692E-7</v>
      </c>
    </row>
    <row r="527" spans="1:40" x14ac:dyDescent="0.25">
      <c r="A527" s="2598" t="str">
        <f>'BUS Deemed Savings Table '!C160</f>
        <v>802300_2019_12_</v>
      </c>
      <c r="B527" s="245" t="str">
        <f>'BUS Deemed Savings Table '!G160</f>
        <v>Water Heating BUS</v>
      </c>
      <c r="C527" s="245"/>
      <c r="D527" s="245"/>
      <c r="E527" s="245"/>
      <c r="F527" s="245" t="str">
        <f>'BUS Deemed Savings Table '!E160</f>
        <v>Heat Pump Water Heater w/ 98% Efficiency 14.7-29.3 kW (50 to 100 MBH)</v>
      </c>
      <c r="G527" s="745" t="str">
        <f>'BUS Deemed Savings Table '!D160</f>
        <v>C&amp;I</v>
      </c>
      <c r="H527" s="2410">
        <f>'BUS Deemed Savings Table '!F160</f>
        <v>52890</v>
      </c>
      <c r="I527" s="2410"/>
      <c r="J527" s="2452"/>
      <c r="K527" s="2452"/>
      <c r="L527" s="2452"/>
      <c r="M527" s="2452"/>
      <c r="N527" s="2411">
        <f>'BUS Deemed Savings Table '!I160</f>
        <v>9.5812620000000006</v>
      </c>
      <c r="O527" s="2411"/>
      <c r="P527" s="2412"/>
      <c r="Q527" s="2412"/>
      <c r="R527" s="2412"/>
      <c r="S527" s="2412"/>
      <c r="T527" s="2430">
        <f t="shared" si="321"/>
        <v>0</v>
      </c>
      <c r="U527" s="2430">
        <f t="shared" si="322"/>
        <v>0</v>
      </c>
      <c r="V527" s="2430">
        <f t="shared" si="323"/>
        <v>9.5812620000000006</v>
      </c>
      <c r="W527" s="2460">
        <f>'BUS Deemed Savings Table '!J160</f>
        <v>15</v>
      </c>
      <c r="X527" s="2460"/>
      <c r="Y527" s="94">
        <f t="shared" ref="Y527:Y531" si="327">X527+W527</f>
        <v>15</v>
      </c>
      <c r="Z527" s="767">
        <f>'BUS Deemed Savings Table '!DB160</f>
        <v>5.0614543307462245</v>
      </c>
      <c r="AA527" s="2419">
        <f>'BUS Deemed Savings Table '!K160</f>
        <v>7000</v>
      </c>
      <c r="AB527" s="2431">
        <f t="shared" si="310"/>
        <v>33440.472218238385</v>
      </c>
      <c r="AC527" s="2431">
        <f t="shared" si="311"/>
        <v>0</v>
      </c>
      <c r="AD527" s="2446">
        <f>'BUS Deemed Savings Table '!DD160</f>
        <v>33440.472218238385</v>
      </c>
      <c r="AE527" s="2440"/>
      <c r="AF527" s="2440"/>
      <c r="AG527" s="2440"/>
      <c r="AL527" s="2380">
        <f t="shared" si="318"/>
        <v>1.811545E-4</v>
      </c>
      <c r="AM527">
        <f t="shared" si="319"/>
        <v>9.5812615050000005</v>
      </c>
      <c r="AN527" s="2368">
        <f t="shared" si="320"/>
        <v>-4.9500000010027634E-7</v>
      </c>
    </row>
    <row r="528" spans="1:40" x14ac:dyDescent="0.25">
      <c r="A528" s="2598" t="str">
        <f>'BUS Deemed Savings Table '!C161</f>
        <v>802350_2019_12_</v>
      </c>
      <c r="B528" s="245" t="str">
        <f>'BUS Deemed Savings Table '!G161</f>
        <v>Water Heating BUS</v>
      </c>
      <c r="C528" s="245"/>
      <c r="D528" s="245"/>
      <c r="E528" s="245"/>
      <c r="F528" s="245" t="str">
        <f>'BUS Deemed Savings Table '!E161</f>
        <v>Heat Pump Water Heater w/ 98% Efficiency 29.4-87.9 kW (100 to 300 MBH)</v>
      </c>
      <c r="G528" s="745" t="str">
        <f>'BUS Deemed Savings Table '!D161</f>
        <v>C&amp;I</v>
      </c>
      <c r="H528" s="2410">
        <f>'BUS Deemed Savings Table '!F161</f>
        <v>141041</v>
      </c>
      <c r="I528" s="2410"/>
      <c r="J528" s="2452"/>
      <c r="K528" s="2452"/>
      <c r="L528" s="2452"/>
      <c r="M528" s="2452"/>
      <c r="N528" s="2411">
        <f>'BUS Deemed Savings Table '!I161</f>
        <v>25.550211999999998</v>
      </c>
      <c r="O528" s="2411"/>
      <c r="P528" s="2412"/>
      <c r="Q528" s="2412"/>
      <c r="R528" s="2412"/>
      <c r="S528" s="2412"/>
      <c r="T528" s="2430">
        <f t="shared" si="321"/>
        <v>0</v>
      </c>
      <c r="U528" s="2430">
        <f t="shared" si="322"/>
        <v>0</v>
      </c>
      <c r="V528" s="2430">
        <f t="shared" si="323"/>
        <v>25.550211999999998</v>
      </c>
      <c r="W528" s="2460">
        <f>'BUS Deemed Savings Table '!J161</f>
        <v>15</v>
      </c>
      <c r="X528" s="2460"/>
      <c r="Y528" s="94">
        <f t="shared" si="327"/>
        <v>15</v>
      </c>
      <c r="Z528" s="767">
        <f>'BUS Deemed Savings Table '!DB161</f>
        <v>9.4481150724890295</v>
      </c>
      <c r="AA528" s="2419">
        <f>'BUS Deemed Savings Table '!K161</f>
        <v>10000</v>
      </c>
      <c r="AB528" s="2431">
        <f t="shared" si="310"/>
        <v>89175.224846522207</v>
      </c>
      <c r="AC528" s="2431">
        <f t="shared" si="311"/>
        <v>0</v>
      </c>
      <c r="AD528" s="2446">
        <f>'BUS Deemed Savings Table '!DD161</f>
        <v>89175.224846522207</v>
      </c>
      <c r="AE528" s="2440"/>
      <c r="AF528" s="2440"/>
      <c r="AG528" s="2440"/>
      <c r="AL528" s="2380">
        <f t="shared" si="318"/>
        <v>1.811545E-4</v>
      </c>
      <c r="AM528">
        <f t="shared" si="319"/>
        <v>25.550211834500001</v>
      </c>
      <c r="AN528" s="2368">
        <f t="shared" si="320"/>
        <v>-1.6549999770631985E-7</v>
      </c>
    </row>
    <row r="529" spans="1:40" x14ac:dyDescent="0.25">
      <c r="A529" s="2598" t="str">
        <f>'BUS Deemed Savings Table '!C162</f>
        <v>802400_2019_12_</v>
      </c>
      <c r="B529" s="245" t="str">
        <f>'BUS Deemed Savings Table '!G162</f>
        <v>Water Heating BUS</v>
      </c>
      <c r="C529" s="245"/>
      <c r="D529" s="245"/>
      <c r="E529" s="245"/>
      <c r="F529" s="245" t="str">
        <f>'BUS Deemed Savings Table '!E162</f>
        <v>Heat Pump Water Heater w/ 98% Efficiency 88-146.5 kW (300 to 500 MBH)</v>
      </c>
      <c r="G529" s="745" t="str">
        <f>'BUS Deemed Savings Table '!D162</f>
        <v>C&amp;I</v>
      </c>
      <c r="H529" s="2410">
        <f>'BUS Deemed Savings Table '!F162</f>
        <v>282081</v>
      </c>
      <c r="I529" s="2410"/>
      <c r="J529" s="2452"/>
      <c r="K529" s="2452"/>
      <c r="L529" s="2452"/>
      <c r="M529" s="2452"/>
      <c r="N529" s="2411">
        <f>'BUS Deemed Savings Table '!I162</f>
        <v>51.100242999999999</v>
      </c>
      <c r="O529" s="2411"/>
      <c r="P529" s="2412"/>
      <c r="Q529" s="2412"/>
      <c r="R529" s="2412"/>
      <c r="S529" s="2412"/>
      <c r="T529" s="2430">
        <f t="shared" si="321"/>
        <v>0</v>
      </c>
      <c r="U529" s="2430">
        <f t="shared" si="322"/>
        <v>0</v>
      </c>
      <c r="V529" s="2430">
        <f t="shared" si="323"/>
        <v>51.100242999999999</v>
      </c>
      <c r="W529" s="2460">
        <f>'BUS Deemed Savings Table '!J162</f>
        <v>15</v>
      </c>
      <c r="X529" s="2460"/>
      <c r="Y529" s="94">
        <f t="shared" si="327"/>
        <v>15</v>
      </c>
      <c r="Z529" s="767">
        <f>'BUS Deemed Savings Table '!DB162</f>
        <v>13.497259397534748</v>
      </c>
      <c r="AA529" s="2419">
        <f>'BUS Deemed Savings Table '!K162</f>
        <v>14000</v>
      </c>
      <c r="AB529" s="2431">
        <f t="shared" si="310"/>
        <v>178349.81742849122</v>
      </c>
      <c r="AC529" s="2431">
        <f t="shared" si="311"/>
        <v>0</v>
      </c>
      <c r="AD529" s="2446">
        <f>'BUS Deemed Savings Table '!DD162</f>
        <v>178349.81742849122</v>
      </c>
      <c r="AE529" s="2440"/>
      <c r="AF529" s="2440"/>
      <c r="AG529" s="2440"/>
      <c r="AL529" s="2380">
        <f t="shared" si="318"/>
        <v>1.811545E-4</v>
      </c>
      <c r="AM529">
        <f t="shared" si="319"/>
        <v>51.100242514500003</v>
      </c>
      <c r="AN529" s="2368">
        <f t="shared" si="320"/>
        <v>-4.8549999576152914E-7</v>
      </c>
    </row>
    <row r="530" spans="1:40" x14ac:dyDescent="0.25">
      <c r="A530" s="2598" t="str">
        <f>'BUS Deemed Savings Table '!C163</f>
        <v>802450_2019_12_</v>
      </c>
      <c r="B530" s="245" t="str">
        <f>'BUS Deemed Savings Table '!G163</f>
        <v>Water Heating BUS</v>
      </c>
      <c r="C530" s="245"/>
      <c r="D530" s="245"/>
      <c r="E530" s="245"/>
      <c r="F530" s="245" t="str">
        <f>'BUS Deemed Savings Table '!E163</f>
        <v>Heat Pump Water Heater w/ 98% Efficiency &gt;146.6 kW (above 500 MBH)</v>
      </c>
      <c r="G530" s="745" t="str">
        <f>'BUS Deemed Savings Table '!D163</f>
        <v>C&amp;I</v>
      </c>
      <c r="H530" s="2410">
        <f>'BUS Deemed Savings Table '!F163</f>
        <v>423122</v>
      </c>
      <c r="I530" s="2410"/>
      <c r="J530" s="2452"/>
      <c r="K530" s="2452"/>
      <c r="L530" s="2452"/>
      <c r="M530" s="2452"/>
      <c r="N530" s="2411">
        <f>'BUS Deemed Savings Table '!I163</f>
        <v>76.650453999999996</v>
      </c>
      <c r="O530" s="2411"/>
      <c r="P530" s="2412"/>
      <c r="Q530" s="2412"/>
      <c r="R530" s="2412"/>
      <c r="S530" s="2412"/>
      <c r="T530" s="2430">
        <f t="shared" si="321"/>
        <v>0</v>
      </c>
      <c r="U530" s="2430">
        <f t="shared" si="322"/>
        <v>0</v>
      </c>
      <c r="V530" s="2430">
        <f t="shared" si="323"/>
        <v>76.650453999999996</v>
      </c>
      <c r="W530" s="2460">
        <f>'BUS Deemed Savings Table '!J163</f>
        <v>15</v>
      </c>
      <c r="X530" s="2460"/>
      <c r="Y530" s="94">
        <f t="shared" si="327"/>
        <v>15</v>
      </c>
      <c r="Z530" s="767">
        <f>'BUS Deemed Savings Table '!DB163</f>
        <v>15.746821238354265</v>
      </c>
      <c r="AA530" s="2419">
        <f>'BUS Deemed Savings Table '!K163</f>
        <v>18000</v>
      </c>
      <c r="AB530" s="2431">
        <f t="shared" si="310"/>
        <v>267525.04227501346</v>
      </c>
      <c r="AC530" s="2431">
        <f t="shared" si="311"/>
        <v>0</v>
      </c>
      <c r="AD530" s="2446">
        <f>'BUS Deemed Savings Table '!DD163</f>
        <v>267525.04227501346</v>
      </c>
      <c r="AE530" s="2440"/>
      <c r="AF530" s="2440"/>
      <c r="AG530" s="2440"/>
      <c r="AL530" s="2380">
        <f t="shared" si="318"/>
        <v>1.811545E-4</v>
      </c>
      <c r="AM530">
        <f t="shared" si="319"/>
        <v>76.650454349</v>
      </c>
      <c r="AN530" s="2368">
        <f t="shared" si="320"/>
        <v>3.4900000400739373E-7</v>
      </c>
    </row>
    <row r="531" spans="1:40" x14ac:dyDescent="0.25">
      <c r="A531" s="2598" t="str">
        <f>'BUS Deemed Savings Table '!C183</f>
        <v>802500_2019_12_</v>
      </c>
      <c r="B531" s="245" t="str">
        <f>'BUS Deemed Savings Table '!G183</f>
        <v>Water Heating BUS</v>
      </c>
      <c r="C531" s="245"/>
      <c r="D531" s="245"/>
      <c r="E531" s="245"/>
      <c r="F531" s="245" t="str">
        <f>'BUS Deemed Savings Table '!E183</f>
        <v>Pool Heater Heat Pump (Uncovered)</v>
      </c>
      <c r="G531" s="745" t="str">
        <f>'BUS Deemed Savings Table '!D183</f>
        <v>C&amp;I</v>
      </c>
      <c r="H531" s="2410">
        <f>'BUS Deemed Savings Table '!F183</f>
        <v>35272.879999999997</v>
      </c>
      <c r="I531" s="2410"/>
      <c r="J531" s="2452"/>
      <c r="K531" s="2452"/>
      <c r="L531" s="2452"/>
      <c r="M531" s="2452"/>
      <c r="N531" s="2411">
        <f>'BUS Deemed Savings Table '!I183</f>
        <v>6.3898409999999997</v>
      </c>
      <c r="O531" s="2411"/>
      <c r="P531" s="2412"/>
      <c r="Q531" s="2412"/>
      <c r="R531" s="2412"/>
      <c r="S531" s="2412"/>
      <c r="T531" s="2430">
        <f t="shared" si="321"/>
        <v>0</v>
      </c>
      <c r="U531" s="2430">
        <f t="shared" si="322"/>
        <v>0</v>
      </c>
      <c r="V531" s="2430">
        <f t="shared" si="323"/>
        <v>6.3898409999999997</v>
      </c>
      <c r="W531" s="2460">
        <f>'BUS Deemed Savings Table '!J183</f>
        <v>15</v>
      </c>
      <c r="X531" s="2460"/>
      <c r="Y531" s="94">
        <f t="shared" si="327"/>
        <v>15</v>
      </c>
      <c r="Z531" s="767">
        <f>'BUS Deemed Savings Table '!DB183</f>
        <v>23.62874831985712</v>
      </c>
      <c r="AA531" s="2419">
        <f>'BUS Deemed Savings Table '!K183</f>
        <v>1000</v>
      </c>
      <c r="AB531" s="2431">
        <f t="shared" si="310"/>
        <v>22301.791712937345</v>
      </c>
      <c r="AC531" s="2431">
        <f t="shared" si="311"/>
        <v>0</v>
      </c>
      <c r="AD531" s="2446">
        <f>'BUS Deemed Savings Table '!DD183</f>
        <v>22301.791712937345</v>
      </c>
      <c r="AE531" s="2440"/>
      <c r="AF531" s="2440"/>
      <c r="AG531" s="2440"/>
      <c r="AL531" s="2380">
        <f t="shared" si="318"/>
        <v>1.811545E-4</v>
      </c>
      <c r="AM531">
        <f t="shared" si="319"/>
        <v>6.38984093996</v>
      </c>
      <c r="AN531" s="2368">
        <f t="shared" si="320"/>
        <v>-6.0039999638661357E-8</v>
      </c>
    </row>
    <row r="532" spans="1:40" x14ac:dyDescent="0.25">
      <c r="A532" s="2598" t="str">
        <f>'BUS Deemed Savings Table '!C184</f>
        <v>802550_2019_12_</v>
      </c>
      <c r="B532" s="245" t="str">
        <f>'BUS Deemed Savings Table '!G184</f>
        <v>Water Heating BUS</v>
      </c>
      <c r="C532" s="245"/>
      <c r="D532" s="245"/>
      <c r="E532" s="245"/>
      <c r="F532" s="245" t="str">
        <f>'BUS Deemed Savings Table '!E184</f>
        <v>Pool Heater Heat Pump (Covered)</v>
      </c>
      <c r="G532" s="745" t="str">
        <f>'BUS Deemed Savings Table '!D184</f>
        <v>C&amp;I</v>
      </c>
      <c r="H532" s="2410">
        <f>'BUS Deemed Savings Table '!F184</f>
        <v>6206.88</v>
      </c>
      <c r="I532" s="2410"/>
      <c r="J532" s="2452"/>
      <c r="K532" s="2452"/>
      <c r="L532" s="2452"/>
      <c r="M532" s="2452"/>
      <c r="N532" s="2411">
        <f>'BUS Deemed Savings Table '!I184</f>
        <v>1.124404</v>
      </c>
      <c r="O532" s="2411"/>
      <c r="P532" s="2412"/>
      <c r="Q532" s="2412"/>
      <c r="R532" s="2412"/>
      <c r="S532" s="2412"/>
      <c r="T532" s="2430">
        <f t="shared" si="321"/>
        <v>0</v>
      </c>
      <c r="U532" s="2430">
        <f t="shared" si="322"/>
        <v>0</v>
      </c>
      <c r="V532" s="2430">
        <f t="shared" si="323"/>
        <v>1.124404</v>
      </c>
      <c r="W532" s="2460">
        <f>'BUS Deemed Savings Table '!J184</f>
        <v>15</v>
      </c>
      <c r="X532" s="2460"/>
      <c r="Y532" s="94">
        <f t="shared" ref="Y532:Y533" si="328">X532+W532</f>
        <v>15</v>
      </c>
      <c r="Z532" s="767">
        <f>'BUS Deemed Savings Table '!DB184</f>
        <v>4.1578914273956302</v>
      </c>
      <c r="AA532" s="2419">
        <f>'BUS Deemed Savings Table '!K184</f>
        <v>1000</v>
      </c>
      <c r="AB532" s="2431">
        <f t="shared" si="310"/>
        <v>3924.3902099062102</v>
      </c>
      <c r="AC532" s="2431">
        <f t="shared" si="311"/>
        <v>0</v>
      </c>
      <c r="AD532" s="2446">
        <f>'BUS Deemed Savings Table '!DD184</f>
        <v>3924.3902099062102</v>
      </c>
      <c r="AE532" s="2440"/>
      <c r="AF532" s="2440"/>
      <c r="AG532" s="2440"/>
      <c r="AL532" s="2380">
        <f t="shared" si="318"/>
        <v>1.811545E-4</v>
      </c>
      <c r="AM532">
        <f t="shared" si="319"/>
        <v>1.1244042429600001</v>
      </c>
      <c r="AN532" s="2368">
        <f t="shared" si="320"/>
        <v>2.4296000011858609E-7</v>
      </c>
    </row>
    <row r="533" spans="1:40" x14ac:dyDescent="0.25">
      <c r="A533" s="2598" t="str">
        <f>'BUS Deemed Savings Table '!C201</f>
        <v>802600_2019_12_</v>
      </c>
      <c r="B533" s="245" t="str">
        <f>'BUS Deemed Savings Table '!G201</f>
        <v>Motors BUS</v>
      </c>
      <c r="C533" s="245"/>
      <c r="D533" s="245"/>
      <c r="E533" s="245"/>
      <c r="F533" s="245" t="str">
        <f>'BUS Deemed Savings Table '!E201</f>
        <v>Pool Pump w/ Variable Frequency Drive</v>
      </c>
      <c r="G533" s="745" t="str">
        <f>'BUS Deemed Savings Table '!D201</f>
        <v>C&amp;I</v>
      </c>
      <c r="H533" s="2410">
        <f>'BUS Deemed Savings Table '!F201</f>
        <v>1747</v>
      </c>
      <c r="I533" s="2410"/>
      <c r="J533" s="2452"/>
      <c r="K533" s="2452"/>
      <c r="L533" s="2452"/>
      <c r="M533" s="2452"/>
      <c r="N533" s="2411">
        <f>'BUS Deemed Savings Table '!I201</f>
        <v>0.24098800000000001</v>
      </c>
      <c r="O533" s="2411"/>
      <c r="P533" s="2412"/>
      <c r="Q533" s="2412"/>
      <c r="R533" s="2412"/>
      <c r="S533" s="2412"/>
      <c r="T533" s="2430">
        <f t="shared" si="321"/>
        <v>0</v>
      </c>
      <c r="U533" s="2430">
        <f t="shared" si="322"/>
        <v>0</v>
      </c>
      <c r="V533" s="2430">
        <f t="shared" si="323"/>
        <v>0.24098800000000001</v>
      </c>
      <c r="W533" s="2460">
        <f>'BUS Deemed Savings Table '!J201</f>
        <v>15</v>
      </c>
      <c r="X533" s="2460"/>
      <c r="Y533" s="94">
        <f t="shared" si="328"/>
        <v>15</v>
      </c>
      <c r="Z533" s="767">
        <f>'BUS Deemed Savings Table '!DB201</f>
        <v>4.0338615402565363</v>
      </c>
      <c r="AA533" s="2419">
        <f>'BUS Deemed Savings Table '!K201</f>
        <v>246</v>
      </c>
      <c r="AB533" s="2431">
        <f t="shared" si="310"/>
        <v>936.6021131695212</v>
      </c>
      <c r="AC533" s="2431">
        <f t="shared" si="311"/>
        <v>0</v>
      </c>
      <c r="AD533" s="2446">
        <f>'BUS Deemed Savings Table '!DD201</f>
        <v>936.6021131695212</v>
      </c>
      <c r="AE533" s="2440"/>
      <c r="AF533" s="2440"/>
      <c r="AG533" s="2440"/>
      <c r="AL533" s="2380">
        <f t="shared" si="318"/>
        <v>1.379439E-4</v>
      </c>
      <c r="AM533">
        <f t="shared" si="319"/>
        <v>0.24098799330000001</v>
      </c>
      <c r="AN533" s="2368">
        <f t="shared" si="320"/>
        <v>-6.6999999992489734E-9</v>
      </c>
    </row>
    <row r="534" spans="1:40" x14ac:dyDescent="0.25">
      <c r="A534" s="2598" t="str">
        <f>'BUS Deemed Savings Table '!C215</f>
        <v>802650_2019_12_</v>
      </c>
      <c r="B534" s="245" t="str">
        <f>'BUS Deemed Savings Table '!G215</f>
        <v>Motors BUS</v>
      </c>
      <c r="C534" s="245"/>
      <c r="D534" s="245"/>
      <c r="E534" s="245"/>
      <c r="F534" s="245" t="str">
        <f>'BUS Deemed Savings Table '!E215</f>
        <v>Pool Pump Timer</v>
      </c>
      <c r="G534" s="745" t="str">
        <f>'BUS Deemed Savings Table '!D215</f>
        <v>C&amp;I</v>
      </c>
      <c r="H534" s="2410">
        <f>'BUS Deemed Savings Table '!F215</f>
        <v>601.28</v>
      </c>
      <c r="I534" s="2410"/>
      <c r="J534" s="2452"/>
      <c r="K534" s="2452"/>
      <c r="L534" s="2452"/>
      <c r="M534" s="2452"/>
      <c r="N534" s="2411">
        <f>'BUS Deemed Savings Table '!I215</f>
        <v>8.2943000000000003E-2</v>
      </c>
      <c r="O534" s="2411"/>
      <c r="P534" s="2412"/>
      <c r="Q534" s="2412"/>
      <c r="R534" s="2412"/>
      <c r="S534" s="2412"/>
      <c r="T534" s="2430">
        <f t="shared" si="321"/>
        <v>0</v>
      </c>
      <c r="U534" s="2430">
        <f t="shared" si="322"/>
        <v>8.2943000000000003E-2</v>
      </c>
      <c r="V534" s="2430">
        <f t="shared" si="323"/>
        <v>0</v>
      </c>
      <c r="W534" s="2460">
        <f>'BUS Deemed Savings Table '!J215</f>
        <v>10</v>
      </c>
      <c r="X534" s="2460"/>
      <c r="Y534" s="94">
        <f t="shared" ref="Y534" si="329">X534+W534</f>
        <v>10</v>
      </c>
      <c r="Z534" s="767">
        <f>'BUS Deemed Savings Table '!DB215</f>
        <v>2.3274313914795477</v>
      </c>
      <c r="AA534" s="2419">
        <f>'BUS Deemed Savings Table '!K215</f>
        <v>100</v>
      </c>
      <c r="AB534" s="2431">
        <f t="shared" si="310"/>
        <v>219.67261835578549</v>
      </c>
      <c r="AC534" s="2431">
        <f t="shared" si="311"/>
        <v>0</v>
      </c>
      <c r="AD534" s="2446">
        <f>'BUS Deemed Savings Table '!DD215</f>
        <v>219.67261835578549</v>
      </c>
      <c r="AE534" s="2440"/>
      <c r="AF534" s="2440"/>
      <c r="AG534" s="2440"/>
      <c r="AL534" s="2380">
        <f t="shared" si="318"/>
        <v>1.379439E-4</v>
      </c>
      <c r="AM534">
        <f t="shared" si="319"/>
        <v>8.2942908191999995E-2</v>
      </c>
      <c r="AN534" s="2368">
        <f t="shared" si="320"/>
        <v>-9.1808000007853607E-8</v>
      </c>
    </row>
    <row r="535" spans="1:40" x14ac:dyDescent="0.25">
      <c r="A535" s="2598" t="str">
        <f>'BUS Deemed Savings Table '!C231</f>
        <v>802700_2019_12_</v>
      </c>
      <c r="B535" s="245" t="str">
        <f>'BUS Deemed Savings Table '!G231</f>
        <v>Cooking BUS</v>
      </c>
      <c r="C535" s="245"/>
      <c r="D535" s="245"/>
      <c r="E535" s="245"/>
      <c r="F535" s="245" t="str">
        <f>'BUS Deemed Savings Table '!E231</f>
        <v>3 Pan ENERGY STAR Steam Cooker</v>
      </c>
      <c r="G535" s="745" t="str">
        <f>'BUS Deemed Savings Table '!D231</f>
        <v>C&amp;I</v>
      </c>
      <c r="H535" s="2410">
        <f>'BUS Deemed Savings Table '!F231</f>
        <v>7856.31</v>
      </c>
      <c r="I535" s="2410"/>
      <c r="J535" s="2452"/>
      <c r="K535" s="2452"/>
      <c r="L535" s="2452"/>
      <c r="M535" s="2452"/>
      <c r="N535" s="2411">
        <f>'BUS Deemed Savings Table '!I231</f>
        <v>1.5704359999999999</v>
      </c>
      <c r="O535" s="2411"/>
      <c r="P535" s="2412"/>
      <c r="Q535" s="2412"/>
      <c r="R535" s="2412"/>
      <c r="S535" s="2412"/>
      <c r="T535" s="2430">
        <f t="shared" si="321"/>
        <v>0</v>
      </c>
      <c r="U535" s="2430">
        <f t="shared" si="322"/>
        <v>1.5704359999999999</v>
      </c>
      <c r="V535" s="2430">
        <f t="shared" si="323"/>
        <v>0</v>
      </c>
      <c r="W535" s="2460">
        <f>'BUS Deemed Savings Table '!J231</f>
        <v>12</v>
      </c>
      <c r="X535" s="2460"/>
      <c r="Y535" s="94">
        <f t="shared" ref="Y535" si="330">X535+W535</f>
        <v>12</v>
      </c>
      <c r="Z535" s="767">
        <f>'BUS Deemed Savings Table '!DB231</f>
        <v>1.0172947267638794</v>
      </c>
      <c r="AA535" s="2419">
        <f>'BUS Deemed Savings Table '!K231</f>
        <v>4150</v>
      </c>
      <c r="AB535" s="2431">
        <f t="shared" si="310"/>
        <v>3984.6843945918822</v>
      </c>
      <c r="AC535" s="2431">
        <f t="shared" si="311"/>
        <v>0</v>
      </c>
      <c r="AD535" s="2446">
        <f>'BUS Deemed Savings Table '!DD231</f>
        <v>3984.6843945918822</v>
      </c>
      <c r="AE535" s="2440"/>
      <c r="AF535" s="2440"/>
      <c r="AG535" s="2440"/>
      <c r="AL535" s="2380">
        <f t="shared" si="318"/>
        <v>1.998949E-4</v>
      </c>
      <c r="AM535">
        <f t="shared" si="319"/>
        <v>1.5704363018190002</v>
      </c>
      <c r="AN535" s="2368">
        <f t="shared" si="320"/>
        <v>3.0181900023684705E-7</v>
      </c>
    </row>
    <row r="536" spans="1:40" x14ac:dyDescent="0.25">
      <c r="A536" s="2598" t="str">
        <f>'BUS Deemed Savings Table '!C232</f>
        <v>802750_2019_12_</v>
      </c>
      <c r="B536" s="245" t="str">
        <f>'BUS Deemed Savings Table '!G232</f>
        <v>Cooking BUS</v>
      </c>
      <c r="C536" s="245"/>
      <c r="D536" s="245"/>
      <c r="E536" s="245"/>
      <c r="F536" s="245" t="str">
        <f>'BUS Deemed Savings Table '!E232</f>
        <v>4 Pan ENERGY STAR Steam Cooker</v>
      </c>
      <c r="G536" s="745" t="str">
        <f>'BUS Deemed Savings Table '!D232</f>
        <v>C&amp;I</v>
      </c>
      <c r="H536" s="2410">
        <f>'BUS Deemed Savings Table '!F232</f>
        <v>9213.5</v>
      </c>
      <c r="I536" s="2410"/>
      <c r="J536" s="2452"/>
      <c r="K536" s="2452"/>
      <c r="L536" s="2452"/>
      <c r="M536" s="2452"/>
      <c r="N536" s="2411">
        <f>'BUS Deemed Savings Table '!I232</f>
        <v>1.8417319999999999</v>
      </c>
      <c r="O536" s="2411"/>
      <c r="P536" s="2412"/>
      <c r="Q536" s="2412"/>
      <c r="R536" s="2412"/>
      <c r="S536" s="2412"/>
      <c r="T536" s="2430">
        <f t="shared" si="321"/>
        <v>0</v>
      </c>
      <c r="U536" s="2430">
        <f t="shared" si="322"/>
        <v>1.8417319999999999</v>
      </c>
      <c r="V536" s="2430">
        <f t="shared" si="323"/>
        <v>0</v>
      </c>
      <c r="W536" s="2460">
        <f>'BUS Deemed Savings Table '!J232</f>
        <v>12</v>
      </c>
      <c r="X536" s="2460"/>
      <c r="Y536" s="94">
        <f t="shared" ref="Y536:Y539" si="331">X536+W536</f>
        <v>12</v>
      </c>
      <c r="Z536" s="767">
        <f>'BUS Deemed Savings Table '!DB232</f>
        <v>1.1930340026092405</v>
      </c>
      <c r="AA536" s="2419">
        <f>'BUS Deemed Savings Table '!K232</f>
        <v>4150</v>
      </c>
      <c r="AB536" s="2431">
        <f t="shared" si="310"/>
        <v>4673.0449370725319</v>
      </c>
      <c r="AC536" s="2431">
        <f t="shared" si="311"/>
        <v>0</v>
      </c>
      <c r="AD536" s="2446">
        <f>'BUS Deemed Savings Table '!DD232</f>
        <v>4673.0449370725319</v>
      </c>
      <c r="AE536" s="2440"/>
      <c r="AF536" s="2440"/>
      <c r="AG536" s="2440"/>
      <c r="AL536" s="2380">
        <f t="shared" si="318"/>
        <v>1.998949E-4</v>
      </c>
      <c r="AM536">
        <f t="shared" si="319"/>
        <v>1.8417316611500001</v>
      </c>
      <c r="AN536" s="2368">
        <f t="shared" si="320"/>
        <v>-3.3884999983690989E-7</v>
      </c>
    </row>
    <row r="537" spans="1:40" x14ac:dyDescent="0.25">
      <c r="A537" s="2598" t="str">
        <f>'BUS Deemed Savings Table '!C233</f>
        <v>802800_2019_12_</v>
      </c>
      <c r="B537" s="245" t="str">
        <f>'BUS Deemed Savings Table '!G233</f>
        <v>Cooking BUS</v>
      </c>
      <c r="C537" s="245"/>
      <c r="D537" s="245"/>
      <c r="E537" s="245"/>
      <c r="F537" s="245" t="str">
        <f>'BUS Deemed Savings Table '!E233</f>
        <v>5 Pan ENERGY STAR Steam Cooker</v>
      </c>
      <c r="G537" s="745" t="str">
        <f>'BUS Deemed Savings Table '!D233</f>
        <v>C&amp;I</v>
      </c>
      <c r="H537" s="2410">
        <f>'BUS Deemed Savings Table '!F233</f>
        <v>10512.97</v>
      </c>
      <c r="I537" s="2410"/>
      <c r="J537" s="2452"/>
      <c r="K537" s="2452"/>
      <c r="L537" s="2452"/>
      <c r="M537" s="2452"/>
      <c r="N537" s="2411">
        <f>'BUS Deemed Savings Table '!I233</f>
        <v>2.1014889999999999</v>
      </c>
      <c r="O537" s="2411"/>
      <c r="P537" s="2412"/>
      <c r="Q537" s="2412"/>
      <c r="R537" s="2412"/>
      <c r="S537" s="2412"/>
      <c r="T537" s="2430">
        <f t="shared" si="321"/>
        <v>0</v>
      </c>
      <c r="U537" s="2430">
        <f t="shared" si="322"/>
        <v>2.1014889999999999</v>
      </c>
      <c r="V537" s="2430">
        <f t="shared" si="323"/>
        <v>0</v>
      </c>
      <c r="W537" s="2460">
        <f>'BUS Deemed Savings Table '!J233</f>
        <v>12</v>
      </c>
      <c r="X537" s="2460"/>
      <c r="Y537" s="94">
        <f t="shared" si="331"/>
        <v>12</v>
      </c>
      <c r="Z537" s="767">
        <f>'BUS Deemed Savings Table '!DB233</f>
        <v>1.3612992541825437</v>
      </c>
      <c r="AA537" s="2419">
        <f>'BUS Deemed Savings Table '!K233</f>
        <v>4150</v>
      </c>
      <c r="AB537" s="2431">
        <f t="shared" si="310"/>
        <v>5332.1301603185993</v>
      </c>
      <c r="AC537" s="2431">
        <f t="shared" si="311"/>
        <v>0</v>
      </c>
      <c r="AD537" s="2446">
        <f>'BUS Deemed Savings Table '!DD233</f>
        <v>5332.1301603185993</v>
      </c>
      <c r="AE537" s="2440"/>
      <c r="AF537" s="2440"/>
      <c r="AG537" s="2440"/>
      <c r="AL537" s="2380">
        <f t="shared" si="318"/>
        <v>1.998949E-4</v>
      </c>
      <c r="AM537">
        <f t="shared" si="319"/>
        <v>2.1014890868529998</v>
      </c>
      <c r="AN537" s="2368">
        <f t="shared" si="320"/>
        <v>8.6852999903186401E-8</v>
      </c>
    </row>
    <row r="538" spans="1:40" x14ac:dyDescent="0.25">
      <c r="A538" s="2598" t="str">
        <f>'BUS Deemed Savings Table '!C234</f>
        <v>802850_2019_12_</v>
      </c>
      <c r="B538" s="245" t="str">
        <f>'BUS Deemed Savings Table '!G234</f>
        <v>Cooking BUS</v>
      </c>
      <c r="C538" s="245"/>
      <c r="D538" s="245"/>
      <c r="E538" s="245"/>
      <c r="F538" s="245" t="str">
        <f>'BUS Deemed Savings Table '!E234</f>
        <v>6 Pan ENERGY STAR Steam Cooker</v>
      </c>
      <c r="G538" s="745" t="str">
        <f>'BUS Deemed Savings Table '!D234</f>
        <v>C&amp;I</v>
      </c>
      <c r="H538" s="2410">
        <f>'BUS Deemed Savings Table '!F234</f>
        <v>11818.65</v>
      </c>
      <c r="I538" s="2410"/>
      <c r="J538" s="2452"/>
      <c r="K538" s="2452"/>
      <c r="L538" s="2452"/>
      <c r="M538" s="2452"/>
      <c r="N538" s="2411">
        <f>'BUS Deemed Savings Table '!I234</f>
        <v>2.3624879999999999</v>
      </c>
      <c r="O538" s="2411"/>
      <c r="P538" s="2412"/>
      <c r="Q538" s="2412"/>
      <c r="R538" s="2412"/>
      <c r="S538" s="2412"/>
      <c r="T538" s="2430">
        <f t="shared" si="321"/>
        <v>0</v>
      </c>
      <c r="U538" s="2430">
        <f t="shared" si="322"/>
        <v>2.3624879999999999</v>
      </c>
      <c r="V538" s="2430">
        <f t="shared" si="323"/>
        <v>0</v>
      </c>
      <c r="W538" s="2460">
        <f>'BUS Deemed Savings Table '!J234</f>
        <v>12</v>
      </c>
      <c r="X538" s="2460"/>
      <c r="Y538" s="94">
        <f t="shared" si="331"/>
        <v>12</v>
      </c>
      <c r="Z538" s="767">
        <f>'BUS Deemed Savings Table '!DB234</f>
        <v>1.5303686237518535</v>
      </c>
      <c r="AA538" s="2419">
        <f>'BUS Deemed Savings Table '!K234</f>
        <v>4150</v>
      </c>
      <c r="AB538" s="2431">
        <f t="shared" si="310"/>
        <v>5994.3650670789912</v>
      </c>
      <c r="AC538" s="2431">
        <f t="shared" si="311"/>
        <v>0</v>
      </c>
      <c r="AD538" s="2446">
        <f>'BUS Deemed Savings Table '!DD234</f>
        <v>5994.3650670789912</v>
      </c>
      <c r="AE538" s="2440"/>
      <c r="AF538" s="2440"/>
      <c r="AG538" s="2440"/>
      <c r="AL538" s="2380">
        <f t="shared" si="318"/>
        <v>1.998949E-4</v>
      </c>
      <c r="AM538">
        <f t="shared" si="319"/>
        <v>2.3624878598849999</v>
      </c>
      <c r="AN538" s="2368">
        <f t="shared" si="320"/>
        <v>-1.4011500004684763E-7</v>
      </c>
    </row>
    <row r="539" spans="1:40" x14ac:dyDescent="0.25">
      <c r="A539" s="2598" t="str">
        <f>'BUS Deemed Savings Table '!C253</f>
        <v>802900_2019_12_</v>
      </c>
      <c r="B539" s="245" t="str">
        <f>'BUS Deemed Savings Table '!G253</f>
        <v>Cooking BUS</v>
      </c>
      <c r="C539" s="245"/>
      <c r="D539" s="245"/>
      <c r="E539" s="245"/>
      <c r="F539" s="245" t="str">
        <f>'BUS Deemed Savings Table '!E253</f>
        <v>ENERGY STAR Hot Holding Cabinet (0 &lt; V &lt;13)</v>
      </c>
      <c r="G539" s="745" t="str">
        <f>'BUS Deemed Savings Table '!D253</f>
        <v>C&amp;I</v>
      </c>
      <c r="H539" s="2410">
        <f>'BUS Deemed Savings Table '!F253</f>
        <v>709.5</v>
      </c>
      <c r="I539" s="2410"/>
      <c r="J539" s="2452"/>
      <c r="K539" s="2452"/>
      <c r="L539" s="2452"/>
      <c r="M539" s="2452"/>
      <c r="N539" s="2411">
        <f>'BUS Deemed Savings Table '!I253</f>
        <v>0.14182500000000001</v>
      </c>
      <c r="O539" s="2411"/>
      <c r="P539" s="2412"/>
      <c r="Q539" s="2412"/>
      <c r="R539" s="2412"/>
      <c r="S539" s="2412"/>
      <c r="T539" s="2430">
        <f t="shared" si="321"/>
        <v>0</v>
      </c>
      <c r="U539" s="2430">
        <f t="shared" si="322"/>
        <v>0.14182500000000001</v>
      </c>
      <c r="V539" s="2430">
        <f t="shared" si="323"/>
        <v>0</v>
      </c>
      <c r="W539" s="2460">
        <f>'BUS Deemed Savings Table '!J253</f>
        <v>12</v>
      </c>
      <c r="X539" s="2460"/>
      <c r="Y539" s="94">
        <f t="shared" si="331"/>
        <v>12</v>
      </c>
      <c r="Z539" s="767">
        <f>'BUS Deemed Savings Table '!DB253</f>
        <v>0.21383428302465121</v>
      </c>
      <c r="AA539" s="2419">
        <f>'BUS Deemed Savings Table '!K253</f>
        <v>1783</v>
      </c>
      <c r="AB539" s="2431">
        <f t="shared" si="310"/>
        <v>359.85514547706754</v>
      </c>
      <c r="AC539" s="2431">
        <f t="shared" si="311"/>
        <v>0</v>
      </c>
      <c r="AD539" s="2446">
        <f>'BUS Deemed Savings Table '!DD253</f>
        <v>359.85514547706754</v>
      </c>
      <c r="AE539" s="2440"/>
      <c r="AF539" s="2440"/>
      <c r="AG539" s="2440"/>
      <c r="AL539" s="2380">
        <f t="shared" si="318"/>
        <v>1.998949E-4</v>
      </c>
      <c r="AM539">
        <f t="shared" si="319"/>
        <v>0.14182543154999999</v>
      </c>
      <c r="AN539" s="2368">
        <f t="shared" si="320"/>
        <v>4.3154999998518129E-7</v>
      </c>
    </row>
    <row r="540" spans="1:40" x14ac:dyDescent="0.25">
      <c r="A540" s="2598" t="str">
        <f>'BUS Deemed Savings Table '!C254</f>
        <v>802950_2019_12_</v>
      </c>
      <c r="B540" s="245" t="str">
        <f>'BUS Deemed Savings Table '!G254</f>
        <v>Cooking BUS</v>
      </c>
      <c r="C540" s="245"/>
      <c r="D540" s="245"/>
      <c r="E540" s="245"/>
      <c r="F540" s="245" t="str">
        <f>'BUS Deemed Savings Table '!E254</f>
        <v>ENERGY STAR Hot Holding Cabinet (13 ≤ V &lt;28)</v>
      </c>
      <c r="G540" s="745" t="str">
        <f>'BUS Deemed Savings Table '!D254</f>
        <v>C&amp;I</v>
      </c>
      <c r="H540" s="2410">
        <f>'BUS Deemed Savings Table '!F254</f>
        <v>2772.25</v>
      </c>
      <c r="I540" s="2410"/>
      <c r="J540" s="2452"/>
      <c r="K540" s="2452"/>
      <c r="L540" s="2452"/>
      <c r="M540" s="2452"/>
      <c r="N540" s="2411">
        <f>'BUS Deemed Savings Table '!I254</f>
        <v>0.55415899999999996</v>
      </c>
      <c r="O540" s="2411"/>
      <c r="P540" s="2412"/>
      <c r="Q540" s="2412"/>
      <c r="R540" s="2412"/>
      <c r="S540" s="2412"/>
      <c r="T540" s="2430">
        <f t="shared" si="321"/>
        <v>0</v>
      </c>
      <c r="U540" s="2430">
        <f t="shared" si="322"/>
        <v>0.55415899999999996</v>
      </c>
      <c r="V540" s="2430">
        <f t="shared" si="323"/>
        <v>0</v>
      </c>
      <c r="W540" s="2460">
        <f>'BUS Deemed Savings Table '!J254</f>
        <v>12</v>
      </c>
      <c r="X540" s="2460"/>
      <c r="Y540" s="94">
        <f t="shared" ref="Y540:Y542" si="332">X540+W540</f>
        <v>12</v>
      </c>
      <c r="Z540" s="767">
        <f>'BUS Deemed Savings Table '!DB254</f>
        <v>0.83552091770978054</v>
      </c>
      <c r="AA540" s="2419">
        <f>'BUS Deemed Savings Table '!K254</f>
        <v>1783</v>
      </c>
      <c r="AB540" s="2431">
        <f t="shared" si="310"/>
        <v>1406.0724835078231</v>
      </c>
      <c r="AC540" s="2431">
        <f t="shared" si="311"/>
        <v>0</v>
      </c>
      <c r="AD540" s="2446">
        <f>'BUS Deemed Savings Table '!DD254</f>
        <v>1406.0724835078231</v>
      </c>
      <c r="AE540" s="2440"/>
      <c r="AF540" s="2440"/>
      <c r="AG540" s="2440"/>
      <c r="AL540" s="2380">
        <f t="shared" si="318"/>
        <v>1.998949E-4</v>
      </c>
      <c r="AM540">
        <f t="shared" si="319"/>
        <v>0.55415863652499997</v>
      </c>
      <c r="AN540" s="2368">
        <f t="shared" si="320"/>
        <v>-3.6347499998701238E-7</v>
      </c>
    </row>
    <row r="541" spans="1:40" x14ac:dyDescent="0.25">
      <c r="A541" s="2598" t="str">
        <f>'BUS Deemed Savings Table '!C255</f>
        <v>803000_2019_12_</v>
      </c>
      <c r="B541" s="245" t="str">
        <f>'BUS Deemed Savings Table '!G255</f>
        <v>Cooking BUS</v>
      </c>
      <c r="C541" s="245"/>
      <c r="D541" s="245"/>
      <c r="E541" s="245"/>
      <c r="F541" s="245" t="str">
        <f>'BUS Deemed Savings Table '!E255</f>
        <v>ENERGY STAR Hot Holding Cabinet (28 ≤ V)</v>
      </c>
      <c r="G541" s="745" t="str">
        <f>'BUS Deemed Savings Table '!D255</f>
        <v>C&amp;I</v>
      </c>
      <c r="H541" s="2410">
        <f>'BUS Deemed Savings Table '!F255</f>
        <v>4438.34</v>
      </c>
      <c r="I541" s="2410"/>
      <c r="J541" s="2452"/>
      <c r="K541" s="2452"/>
      <c r="L541" s="2452"/>
      <c r="M541" s="2452"/>
      <c r="N541" s="2411">
        <f>'BUS Deemed Savings Table '!I255</f>
        <v>0.88720200000000005</v>
      </c>
      <c r="O541" s="2411"/>
      <c r="P541" s="2412"/>
      <c r="Q541" s="2412"/>
      <c r="R541" s="2412"/>
      <c r="S541" s="2412"/>
      <c r="T541" s="2430">
        <f t="shared" si="321"/>
        <v>0</v>
      </c>
      <c r="U541" s="2430">
        <f t="shared" si="322"/>
        <v>0.88720200000000005</v>
      </c>
      <c r="V541" s="2430">
        <f t="shared" si="323"/>
        <v>0</v>
      </c>
      <c r="W541" s="2460">
        <f>'BUS Deemed Savings Table '!J255</f>
        <v>12</v>
      </c>
      <c r="X541" s="2460"/>
      <c r="Y541" s="94">
        <f t="shared" si="332"/>
        <v>12</v>
      </c>
      <c r="Z541" s="767">
        <f>'BUS Deemed Savings Table '!DB255</f>
        <v>1.3376592695132212</v>
      </c>
      <c r="AA541" s="2419">
        <f>'BUS Deemed Savings Table '!K255</f>
        <v>1783</v>
      </c>
      <c r="AB541" s="2431">
        <f t="shared" si="310"/>
        <v>2251.1056890439577</v>
      </c>
      <c r="AC541" s="2431">
        <f t="shared" si="311"/>
        <v>0</v>
      </c>
      <c r="AD541" s="2446">
        <f>'BUS Deemed Savings Table '!DD255</f>
        <v>2251.1056890439577</v>
      </c>
      <c r="AE541" s="2440"/>
      <c r="AF541" s="2440"/>
      <c r="AG541" s="2440"/>
      <c r="AL541" s="2380">
        <f t="shared" si="318"/>
        <v>1.998949E-4</v>
      </c>
      <c r="AM541">
        <f t="shared" si="319"/>
        <v>0.88720153046600003</v>
      </c>
      <c r="AN541" s="2368">
        <f t="shared" si="320"/>
        <v>-4.6953400001381596E-7</v>
      </c>
    </row>
    <row r="542" spans="1:40" x14ac:dyDescent="0.25">
      <c r="A542" s="2598" t="str">
        <f>'BUS Deemed Savings Table '!C273</f>
        <v>803050_2019_12_</v>
      </c>
      <c r="B542" s="245" t="str">
        <f>'BUS Deemed Savings Table '!I273</f>
        <v>Cooling BUS</v>
      </c>
      <c r="C542" s="245" t="str">
        <f>'BUS Deemed Savings Table '!J273</f>
        <v>Heating BUS</v>
      </c>
      <c r="D542" s="245"/>
      <c r="E542" s="245"/>
      <c r="F542" s="245" t="str">
        <f>'BUS Deemed Savings Table '!E273</f>
        <v>Learning Thermostat</v>
      </c>
      <c r="G542" s="745" t="str">
        <f>'BUS Deemed Savings Table '!D273</f>
        <v>C&amp;I</v>
      </c>
      <c r="H542" s="2420">
        <f>J542+K542</f>
        <v>438.34117233294256</v>
      </c>
      <c r="I542" s="2420">
        <f>R542+S542</f>
        <v>0</v>
      </c>
      <c r="J542" s="2455">
        <f>'BUS Deemed Savings Table '!F273</f>
        <v>205.34</v>
      </c>
      <c r="K542" s="64">
        <f>'BUS Deemed Savings Table '!G273</f>
        <v>233.00117233294256</v>
      </c>
      <c r="L542" s="2452"/>
      <c r="M542" s="2452"/>
      <c r="N542" s="2421">
        <f t="shared" ref="N542" si="333">P542+Q542</f>
        <v>0.187</v>
      </c>
      <c r="O542" s="2421">
        <f t="shared" ref="O542" si="334">R542+S542</f>
        <v>0</v>
      </c>
      <c r="P542" s="2412">
        <f>'BUS Deemed Savings Table '!L273</f>
        <v>0.187</v>
      </c>
      <c r="Q542" s="2412">
        <v>0</v>
      </c>
      <c r="R542" s="2412"/>
      <c r="S542" s="2412"/>
      <c r="T542" s="2430">
        <f t="shared" si="321"/>
        <v>0</v>
      </c>
      <c r="U542" s="2430">
        <f t="shared" si="322"/>
        <v>0.187</v>
      </c>
      <c r="V542" s="2430">
        <f t="shared" si="323"/>
        <v>0</v>
      </c>
      <c r="W542" s="2460">
        <f>'BUS Deemed Savings Table '!M273</f>
        <v>10</v>
      </c>
      <c r="X542" s="2460"/>
      <c r="Y542" s="94">
        <f t="shared" si="332"/>
        <v>10</v>
      </c>
      <c r="Z542" s="767">
        <f>'BUS Deemed Savings Table '!DB273</f>
        <v>0.93461733145643167</v>
      </c>
      <c r="AA542" s="2419">
        <f>'BUS Deemed Savings Table '!N273</f>
        <v>224</v>
      </c>
      <c r="AB542" s="2431">
        <f t="shared" si="310"/>
        <v>197.59724610310587</v>
      </c>
      <c r="AC542" s="2431">
        <f t="shared" si="311"/>
        <v>0</v>
      </c>
      <c r="AD542" s="2446">
        <f>'BUS Deemed Savings Table '!DD273</f>
        <v>197.59724610310587</v>
      </c>
      <c r="AE542" s="2440"/>
      <c r="AF542" s="2440"/>
      <c r="AG542" s="2440"/>
      <c r="AL542" s="2380">
        <f t="shared" si="318"/>
        <v>9.1068400000000004E-4</v>
      </c>
      <c r="AM542" s="2372">
        <f>AL542*J542</f>
        <v>0.18699985256000001</v>
      </c>
      <c r="AN542" s="2368">
        <f t="shared" si="320"/>
        <v>-1.4743999998678703E-7</v>
      </c>
    </row>
    <row r="543" spans="1:40" x14ac:dyDescent="0.25">
      <c r="A543" s="2598" t="str">
        <f>'BUS Deemed Savings Table '!C287</f>
        <v>803100_2019_12_</v>
      </c>
      <c r="B543" s="245" t="str">
        <f>'BUS Deemed Savings Table '!G287</f>
        <v>Cooling BUS</v>
      </c>
      <c r="C543" s="245"/>
      <c r="D543" s="245"/>
      <c r="E543" s="245"/>
      <c r="F543" s="245" t="str">
        <f>'BUS Deemed Savings Table '!E287</f>
        <v>VFD on Chilled Water Pump 1-75HP</v>
      </c>
      <c r="G543" s="745" t="str">
        <f>'BUS Deemed Savings Table '!D287</f>
        <v>C&amp;I</v>
      </c>
      <c r="H543" s="2410">
        <f>'BUS Deemed Savings Table '!F287</f>
        <v>1289.6400000000001</v>
      </c>
      <c r="I543" s="2410"/>
      <c r="J543" s="2452"/>
      <c r="K543" s="2452"/>
      <c r="L543" s="2452"/>
      <c r="M543" s="2452"/>
      <c r="N543" s="2411">
        <f>'BUS Deemed Savings Table '!I287</f>
        <v>1.174455</v>
      </c>
      <c r="O543" s="2411"/>
      <c r="P543" s="2412"/>
      <c r="Q543" s="2412"/>
      <c r="R543" s="2412"/>
      <c r="S543" s="2412"/>
      <c r="T543" s="2430">
        <f>IF(U543+V543&gt;0,0,IF(Y543&gt;0,N543,0))</f>
        <v>0</v>
      </c>
      <c r="U543" s="2430">
        <f>IF(V543&gt;0,0,IF(Y543&gt;9,N543,0))</f>
        <v>0</v>
      </c>
      <c r="V543" s="2430">
        <f>IF(Y543&gt;14,N543,0)</f>
        <v>1.174455</v>
      </c>
      <c r="W543" s="2460">
        <f>'BUS Deemed Savings Table '!J287</f>
        <v>15</v>
      </c>
      <c r="X543" s="2460"/>
      <c r="Y543" s="94">
        <f t="shared" ref="Y543" si="335">X543+W543</f>
        <v>15</v>
      </c>
      <c r="Z543" s="767">
        <f>'BUS Deemed Savings Table '!DB287</f>
        <v>10.881786166946494</v>
      </c>
      <c r="AA543" s="2419">
        <f>'BUS Deemed Savings Table '!K287</f>
        <v>179</v>
      </c>
      <c r="AB543" s="2431">
        <f t="shared" si="310"/>
        <v>1838.4518394369252</v>
      </c>
      <c r="AC543" s="2431">
        <f t="shared" si="311"/>
        <v>0</v>
      </c>
      <c r="AD543" s="2446">
        <f>'BUS Deemed Savings Table '!DD287</f>
        <v>1838.4518394369252</v>
      </c>
      <c r="AE543" s="2440"/>
      <c r="AF543" s="2440"/>
      <c r="AG543" s="2440"/>
      <c r="AL543" s="2380">
        <f t="shared" si="318"/>
        <v>9.1068400000000004E-4</v>
      </c>
      <c r="AM543">
        <f t="shared" ref="AM543:AM550" si="336">AL543*H543</f>
        <v>1.1744545137600002</v>
      </c>
      <c r="AN543" s="2368">
        <f t="shared" si="320"/>
        <v>-4.862399998195599E-7</v>
      </c>
    </row>
    <row r="544" spans="1:40" x14ac:dyDescent="0.25">
      <c r="A544" s="2598" t="str">
        <f>'BUS Deemed Savings Table '!C288</f>
        <v>803150_2019_12_</v>
      </c>
      <c r="B544" s="245" t="str">
        <f>'BUS Deemed Savings Table '!G288</f>
        <v>HVAC BUS</v>
      </c>
      <c r="C544" s="245"/>
      <c r="D544" s="245"/>
      <c r="E544" s="245"/>
      <c r="F544" s="245" t="str">
        <f>'BUS Deemed Savings Table '!E288</f>
        <v>VFD on Hot Water Pump 1-75HP</v>
      </c>
      <c r="G544" s="745" t="str">
        <f>'BUS Deemed Savings Table '!D288</f>
        <v>C&amp;I</v>
      </c>
      <c r="H544" s="2410">
        <f>'BUS Deemed Savings Table '!F288</f>
        <v>1696.57</v>
      </c>
      <c r="I544" s="2410"/>
      <c r="J544" s="2452"/>
      <c r="K544" s="2452"/>
      <c r="L544" s="2452"/>
      <c r="M544" s="2452"/>
      <c r="N544" s="2411">
        <f>'BUS Deemed Savings Table '!I288</f>
        <v>0.75324800000000003</v>
      </c>
      <c r="O544" s="2411"/>
      <c r="P544" s="2412"/>
      <c r="Q544" s="2412"/>
      <c r="R544" s="2412"/>
      <c r="S544" s="2412"/>
      <c r="T544" s="2430">
        <f t="shared" ref="T544:T578" si="337">IF(U544+V544&gt;0,0,IF(Y544&gt;0,N544,0))</f>
        <v>0</v>
      </c>
      <c r="U544" s="2430">
        <f t="shared" ref="U544:U578" si="338">IF(V544&gt;0,0,IF(Y544&gt;9,N544,0))</f>
        <v>0</v>
      </c>
      <c r="V544" s="2430">
        <f t="shared" ref="V544:V578" si="339">IF(Y544&gt;14,N544,0)</f>
        <v>0.75324800000000003</v>
      </c>
      <c r="W544" s="2460">
        <f>'BUS Deemed Savings Table '!J288</f>
        <v>15</v>
      </c>
      <c r="X544" s="2460"/>
      <c r="Y544" s="94">
        <f t="shared" ref="Y544" si="340">X544+W544</f>
        <v>15</v>
      </c>
      <c r="Z544" s="767">
        <f>'BUS Deemed Savings Table '!DB288</f>
        <v>9.0833950189584112</v>
      </c>
      <c r="AA544" s="2419">
        <f>'BUS Deemed Savings Table '!K288</f>
        <v>179</v>
      </c>
      <c r="AB544" s="2431">
        <f t="shared" si="310"/>
        <v>1534.6179409094434</v>
      </c>
      <c r="AC544" s="2431">
        <f t="shared" si="311"/>
        <v>0</v>
      </c>
      <c r="AD544" s="2446">
        <f>'BUS Deemed Savings Table '!DD288</f>
        <v>1534.6179409094434</v>
      </c>
      <c r="AE544" s="2440"/>
      <c r="AF544" s="2440"/>
      <c r="AG544" s="2440"/>
      <c r="AL544" s="2380">
        <f t="shared" si="318"/>
        <v>4.4398300000000001E-4</v>
      </c>
      <c r="AM544">
        <f t="shared" si="336"/>
        <v>0.75324823830999998</v>
      </c>
      <c r="AN544" s="2368">
        <f t="shared" si="320"/>
        <v>2.3830999995588797E-7</v>
      </c>
    </row>
    <row r="545" spans="1:40" x14ac:dyDescent="0.25">
      <c r="A545" s="2598" t="str">
        <f>'BUS Deemed Savings Table '!C303</f>
        <v>803200_2019_12_</v>
      </c>
      <c r="B545" s="245" t="str">
        <f>'BUS Deemed Savings Table '!G303</f>
        <v>HVAC BUS</v>
      </c>
      <c r="C545" s="245"/>
      <c r="D545" s="245"/>
      <c r="E545" s="245"/>
      <c r="F545" s="245" t="str">
        <f>'BUS Deemed Savings Table '!E303</f>
        <v>VFD on HVAC Fans 1-100HP</v>
      </c>
      <c r="G545" s="745" t="str">
        <f>'BUS Deemed Savings Table '!D303</f>
        <v>C&amp;I</v>
      </c>
      <c r="H545" s="2410">
        <f>'BUS Deemed Savings Table '!F303</f>
        <v>939.75</v>
      </c>
      <c r="I545" s="2410"/>
      <c r="J545" s="2452"/>
      <c r="K545" s="2452"/>
      <c r="L545" s="2452"/>
      <c r="M545" s="2452"/>
      <c r="N545" s="2411">
        <f>'BUS Deemed Savings Table '!I303</f>
        <v>0.41723300000000002</v>
      </c>
      <c r="O545" s="2411"/>
      <c r="P545" s="2412"/>
      <c r="Q545" s="2412"/>
      <c r="R545" s="2412"/>
      <c r="S545" s="2412"/>
      <c r="T545" s="2430">
        <f t="shared" si="337"/>
        <v>0</v>
      </c>
      <c r="U545" s="2430">
        <f t="shared" si="338"/>
        <v>0</v>
      </c>
      <c r="V545" s="2430">
        <f t="shared" si="339"/>
        <v>0.41723300000000002</v>
      </c>
      <c r="W545" s="2460">
        <f>'BUS Deemed Savings Table '!J303</f>
        <v>15</v>
      </c>
      <c r="X545" s="2460"/>
      <c r="Y545" s="94">
        <f t="shared" ref="Y545" si="341">X545+W545</f>
        <v>15</v>
      </c>
      <c r="Z545" s="767">
        <f>'BUS Deemed Savings Table '!DB303</f>
        <v>0</v>
      </c>
      <c r="AA545" s="2419">
        <f>'BUS Deemed Savings Table '!K303</f>
        <v>168</v>
      </c>
      <c r="AB545" s="2431">
        <f t="shared" si="310"/>
        <v>0</v>
      </c>
      <c r="AC545" s="2431">
        <f t="shared" si="311"/>
        <v>0</v>
      </c>
      <c r="AD545" s="2446">
        <f>'BUS Deemed Savings Table '!DD303</f>
        <v>0</v>
      </c>
      <c r="AE545" s="2440"/>
      <c r="AF545" s="2440"/>
      <c r="AG545" s="2440"/>
      <c r="AL545" s="2380">
        <f t="shared" si="318"/>
        <v>4.4398300000000001E-4</v>
      </c>
      <c r="AM545">
        <f t="shared" si="336"/>
        <v>0.41723302425000003</v>
      </c>
      <c r="AN545" s="2368">
        <f t="shared" si="320"/>
        <v>2.4250000008052552E-8</v>
      </c>
    </row>
    <row r="546" spans="1:40" x14ac:dyDescent="0.25">
      <c r="A546" s="2598" t="str">
        <f>'BUS Deemed Savings Table '!C333</f>
        <v>803250_2019_12_</v>
      </c>
      <c r="B546" s="245" t="str">
        <f>'BUS Deemed Savings Table '!G333</f>
        <v>Cooling BUS</v>
      </c>
      <c r="C546" s="245"/>
      <c r="D546" s="245"/>
      <c r="E546" s="245"/>
      <c r="F546" s="245" t="str">
        <f>'BUS Deemed Savings Table '!E333</f>
        <v>Single Packag or Split Sytem Unitary AC_DX 135 - 240kbtu</v>
      </c>
      <c r="G546" s="745" t="str">
        <f>'BUS Deemed Savings Table '!D333</f>
        <v>C&amp;I</v>
      </c>
      <c r="H546" s="2420">
        <f t="shared" ref="H546:H550" si="342">J546+K546</f>
        <v>153.94999999999999</v>
      </c>
      <c r="I546" s="2420">
        <f t="shared" ref="I546:I550" si="343">R546+S546</f>
        <v>0</v>
      </c>
      <c r="J546" s="2452">
        <f>'BUS Deemed Savings Table '!F333</f>
        <v>153.94999999999999</v>
      </c>
      <c r="K546" s="2452"/>
      <c r="L546" s="2452"/>
      <c r="M546" s="2452"/>
      <c r="N546" s="2421">
        <f t="shared" ref="N546:N550" si="344">P546+Q546</f>
        <v>0.14019999999999999</v>
      </c>
      <c r="O546" s="2421">
        <f t="shared" ref="O546:O550" si="345">R546+S546</f>
        <v>0</v>
      </c>
      <c r="P546" s="2411">
        <f>'BUS Deemed Savings Table '!I333</f>
        <v>0.14019999999999999</v>
      </c>
      <c r="Q546" s="2412">
        <v>0</v>
      </c>
      <c r="R546" s="2412"/>
      <c r="S546" s="2412"/>
      <c r="T546" s="2430">
        <f t="shared" si="337"/>
        <v>0</v>
      </c>
      <c r="U546" s="2430">
        <f t="shared" si="338"/>
        <v>0</v>
      </c>
      <c r="V546" s="2430">
        <f t="shared" si="339"/>
        <v>0.14019999999999999</v>
      </c>
      <c r="W546" s="2460">
        <f>'BUS Deemed Savings Table '!J333</f>
        <v>15</v>
      </c>
      <c r="X546" s="2460"/>
      <c r="Y546" s="94">
        <f t="shared" ref="Y546" si="346">X546+W546</f>
        <v>15</v>
      </c>
      <c r="Z546" s="767">
        <f>'BUS Deemed Savings Table '!DB333</f>
        <v>2.3252219649813348</v>
      </c>
      <c r="AA546" s="2419">
        <f>'BUS Deemed Savings Table '!K333</f>
        <v>100</v>
      </c>
      <c r="AB546" s="2431">
        <f t="shared" si="310"/>
        <v>219.46408352820524</v>
      </c>
      <c r="AC546" s="2431">
        <f t="shared" si="311"/>
        <v>0</v>
      </c>
      <c r="AD546" s="2446">
        <f>'BUS Deemed Savings Table '!DD333</f>
        <v>219.46408352820524</v>
      </c>
      <c r="AE546" s="2440"/>
      <c r="AF546" s="2440"/>
      <c r="AG546" s="2440"/>
      <c r="AL546" s="2380">
        <f t="shared" ref="AL546:AL577" si="347">VLOOKUP(B546,$AR$10:$AS$45,2,FALSE)</f>
        <v>9.1068400000000004E-4</v>
      </c>
      <c r="AM546">
        <f t="shared" si="336"/>
        <v>0.1401998018</v>
      </c>
      <c r="AN546" s="2368">
        <f t="shared" ref="AN546:AN577" si="348">AM546-N546</f>
        <v>-1.9819999999559634E-7</v>
      </c>
    </row>
    <row r="547" spans="1:40" x14ac:dyDescent="0.25">
      <c r="A547" s="2598" t="str">
        <f>'BUS Deemed Savings Table '!C334</f>
        <v>803300_2019_12_</v>
      </c>
      <c r="B547" s="245" t="str">
        <f>'BUS Deemed Savings Table '!G334</f>
        <v>Cooling BUS</v>
      </c>
      <c r="C547" s="245"/>
      <c r="D547" s="245"/>
      <c r="E547" s="245"/>
      <c r="F547" s="245" t="str">
        <f>'BUS Deemed Savings Table '!E334</f>
        <v>Single Packag or Split Sytem Unitary AC_DX 240 - 760kbtu</v>
      </c>
      <c r="G547" s="745" t="str">
        <f>'BUS Deemed Savings Table '!D334</f>
        <v>C&amp;I</v>
      </c>
      <c r="H547" s="2420">
        <f t="shared" si="342"/>
        <v>66.510000000000005</v>
      </c>
      <c r="I547" s="2420">
        <f t="shared" si="343"/>
        <v>0</v>
      </c>
      <c r="J547" s="2452">
        <f>'BUS Deemed Savings Table '!F334</f>
        <v>66.510000000000005</v>
      </c>
      <c r="K547" s="2452"/>
      <c r="L547" s="2452"/>
      <c r="M547" s="2452"/>
      <c r="N547" s="2421">
        <f t="shared" si="344"/>
        <v>6.0569999999999999E-2</v>
      </c>
      <c r="O547" s="2421">
        <f t="shared" si="345"/>
        <v>0</v>
      </c>
      <c r="P547" s="2411">
        <f>'BUS Deemed Savings Table '!I334</f>
        <v>6.0569999999999999E-2</v>
      </c>
      <c r="Q547" s="2412">
        <v>0</v>
      </c>
      <c r="R547" s="2412"/>
      <c r="S547" s="2412"/>
      <c r="T547" s="2430">
        <f t="shared" si="337"/>
        <v>0</v>
      </c>
      <c r="U547" s="2430">
        <f t="shared" si="338"/>
        <v>0</v>
      </c>
      <c r="V547" s="2430">
        <f t="shared" si="339"/>
        <v>6.0569999999999999E-2</v>
      </c>
      <c r="W547" s="2460">
        <f>'BUS Deemed Savings Table '!J334</f>
        <v>15</v>
      </c>
      <c r="X547" s="2460"/>
      <c r="Y547" s="94">
        <f t="shared" ref="Y547:Y551" si="349">X547+W547</f>
        <v>15</v>
      </c>
      <c r="Z547" s="767">
        <f>'BUS Deemed Savings Table '!DB334</f>
        <v>1.0045502623638103</v>
      </c>
      <c r="AA547" s="2419">
        <f>'BUS Deemed Savings Table '!K334</f>
        <v>100</v>
      </c>
      <c r="AB547" s="2431">
        <f t="shared" si="310"/>
        <v>94.813616079642301</v>
      </c>
      <c r="AC547" s="2431">
        <f t="shared" si="311"/>
        <v>0</v>
      </c>
      <c r="AD547" s="2446">
        <f>'BUS Deemed Savings Table '!DD334</f>
        <v>94.813616079642301</v>
      </c>
      <c r="AE547" s="2440"/>
      <c r="AF547" s="2440"/>
      <c r="AG547" s="2440"/>
      <c r="AL547" s="2380">
        <f t="shared" si="347"/>
        <v>9.1068400000000004E-4</v>
      </c>
      <c r="AM547">
        <f t="shared" si="336"/>
        <v>6.0569592840000006E-2</v>
      </c>
      <c r="AN547" s="2368">
        <f t="shared" si="348"/>
        <v>-4.0715999999330066E-7</v>
      </c>
    </row>
    <row r="548" spans="1:40" x14ac:dyDescent="0.25">
      <c r="A548" s="2598" t="str">
        <f>'BUS Deemed Savings Table '!C335</f>
        <v>803350_2019_12_</v>
      </c>
      <c r="B548" s="245" t="str">
        <f>'BUS Deemed Savings Table '!G335</f>
        <v>Cooling BUS</v>
      </c>
      <c r="C548" s="245"/>
      <c r="D548" s="245"/>
      <c r="E548" s="245"/>
      <c r="F548" s="245" t="str">
        <f>'BUS Deemed Savings Table '!E335</f>
        <v>Single Packag or Split Sytem Unitary AC_DX 65 -135kbtu</v>
      </c>
      <c r="G548" s="745" t="str">
        <f>'BUS Deemed Savings Table '!D335</f>
        <v>C&amp;I</v>
      </c>
      <c r="H548" s="2420">
        <f t="shared" si="342"/>
        <v>98.58</v>
      </c>
      <c r="I548" s="2420">
        <f t="shared" si="343"/>
        <v>0</v>
      </c>
      <c r="J548" s="2452">
        <f>'BUS Deemed Savings Table '!F335</f>
        <v>98.58</v>
      </c>
      <c r="K548" s="2452"/>
      <c r="L548" s="2452"/>
      <c r="M548" s="2452"/>
      <c r="N548" s="2421">
        <f t="shared" si="344"/>
        <v>8.9774999999999994E-2</v>
      </c>
      <c r="O548" s="2421">
        <f t="shared" si="345"/>
        <v>0</v>
      </c>
      <c r="P548" s="2411">
        <f>'BUS Deemed Savings Table '!I335</f>
        <v>8.9774999999999994E-2</v>
      </c>
      <c r="Q548" s="2412">
        <v>0</v>
      </c>
      <c r="R548" s="2412"/>
      <c r="S548" s="2412"/>
      <c r="T548" s="2430">
        <f t="shared" si="337"/>
        <v>0</v>
      </c>
      <c r="U548" s="2430">
        <f t="shared" si="338"/>
        <v>0</v>
      </c>
      <c r="V548" s="2430">
        <f t="shared" si="339"/>
        <v>8.9774999999999994E-2</v>
      </c>
      <c r="W548" s="2460">
        <f>'BUS Deemed Savings Table '!J335</f>
        <v>15</v>
      </c>
      <c r="X548" s="2460"/>
      <c r="Y548" s="94">
        <f t="shared" si="349"/>
        <v>15</v>
      </c>
      <c r="Z548" s="767">
        <f>'BUS Deemed Savings Table '!DB335</f>
        <v>1.4889274524706724</v>
      </c>
      <c r="AA548" s="2419">
        <f>'BUS Deemed Savings Table '!K335</f>
        <v>100</v>
      </c>
      <c r="AB548" s="2431">
        <f t="shared" si="310"/>
        <v>140.53114228132819</v>
      </c>
      <c r="AC548" s="2431">
        <f t="shared" si="311"/>
        <v>0</v>
      </c>
      <c r="AD548" s="2446">
        <f>'BUS Deemed Savings Table '!DD335</f>
        <v>140.53114228132819</v>
      </c>
      <c r="AE548" s="2440"/>
      <c r="AF548" s="2440"/>
      <c r="AG548" s="2440"/>
      <c r="AL548" s="2380">
        <f t="shared" si="347"/>
        <v>9.1068400000000004E-4</v>
      </c>
      <c r="AM548">
        <f t="shared" si="336"/>
        <v>8.9775228720000003E-2</v>
      </c>
      <c r="AN548" s="2368">
        <f t="shared" si="348"/>
        <v>2.2872000000895287E-7</v>
      </c>
    </row>
    <row r="549" spans="1:40" x14ac:dyDescent="0.25">
      <c r="A549" s="2598" t="str">
        <f>'BUS Deemed Savings Table '!C336</f>
        <v>803400_2019_12_</v>
      </c>
      <c r="B549" s="245" t="str">
        <f>'BUS Deemed Savings Table '!G336</f>
        <v>Cooling BUS</v>
      </c>
      <c r="C549" s="245"/>
      <c r="D549" s="245"/>
      <c r="E549" s="245"/>
      <c r="F549" s="245" t="str">
        <f>'BUS Deemed Savings Table '!E336</f>
        <v>Single Packag or Split Sytem Unitary AC_DX &gt;760kbtu</v>
      </c>
      <c r="G549" s="745" t="str">
        <f>'BUS Deemed Savings Table '!D336</f>
        <v>C&amp;I</v>
      </c>
      <c r="H549" s="2420">
        <f t="shared" si="342"/>
        <v>70.8</v>
      </c>
      <c r="I549" s="2420">
        <f t="shared" si="343"/>
        <v>0</v>
      </c>
      <c r="J549" s="2452">
        <f>'BUS Deemed Savings Table '!F336</f>
        <v>70.8</v>
      </c>
      <c r="K549" s="2452"/>
      <c r="L549" s="2452"/>
      <c r="M549" s="2452"/>
      <c r="N549" s="2421">
        <f t="shared" si="344"/>
        <v>6.4476000000000006E-2</v>
      </c>
      <c r="O549" s="2421">
        <f t="shared" si="345"/>
        <v>0</v>
      </c>
      <c r="P549" s="2411">
        <f>'BUS Deemed Savings Table '!I336</f>
        <v>6.4476000000000006E-2</v>
      </c>
      <c r="Q549" s="2412">
        <v>0</v>
      </c>
      <c r="R549" s="2412"/>
      <c r="S549" s="2412"/>
      <c r="T549" s="2430">
        <f t="shared" si="337"/>
        <v>0</v>
      </c>
      <c r="U549" s="2430">
        <f t="shared" si="338"/>
        <v>0</v>
      </c>
      <c r="V549" s="2430">
        <f t="shared" si="339"/>
        <v>6.4476000000000006E-2</v>
      </c>
      <c r="W549" s="2460">
        <f>'BUS Deemed Savings Table '!J336</f>
        <v>15</v>
      </c>
      <c r="X549" s="2460"/>
      <c r="Y549" s="94">
        <f t="shared" si="349"/>
        <v>15</v>
      </c>
      <c r="Z549" s="767">
        <f>'BUS Deemed Savings Table '!DB336</f>
        <v>1.0693453401797888</v>
      </c>
      <c r="AA549" s="2419">
        <f>'BUS Deemed Savings Table '!K336</f>
        <v>100</v>
      </c>
      <c r="AB549" s="2431">
        <f t="shared" si="310"/>
        <v>100.92924399998006</v>
      </c>
      <c r="AC549" s="2431">
        <f t="shared" si="311"/>
        <v>0</v>
      </c>
      <c r="AD549" s="2446">
        <f>'BUS Deemed Savings Table '!DD336</f>
        <v>100.92924399998006</v>
      </c>
      <c r="AE549" s="2440"/>
      <c r="AF549" s="2440"/>
      <c r="AG549" s="2440"/>
      <c r="AL549" s="2380">
        <f t="shared" si="347"/>
        <v>9.1068400000000004E-4</v>
      </c>
      <c r="AM549">
        <f t="shared" si="336"/>
        <v>6.4476427200000005E-2</v>
      </c>
      <c r="AN549" s="2368">
        <f t="shared" si="348"/>
        <v>4.2719999999996094E-7</v>
      </c>
    </row>
    <row r="550" spans="1:40" x14ac:dyDescent="0.25">
      <c r="A550" s="2598" t="str">
        <f>'BUS Deemed Savings Table '!C337</f>
        <v>803450_2019_12_</v>
      </c>
      <c r="B550" s="245" t="str">
        <f>'BUS Deemed Savings Table '!G337</f>
        <v>Cooling BUS</v>
      </c>
      <c r="C550" s="245"/>
      <c r="D550" s="245"/>
      <c r="E550" s="245"/>
      <c r="F550" s="245" t="str">
        <f>'BUS Deemed Savings Table '!E337</f>
        <v>Single Packag or Split Sytem Unitary AC_DX &lt;65kbtu</v>
      </c>
      <c r="G550" s="745" t="str">
        <f>'BUS Deemed Savings Table '!D337</f>
        <v>C&amp;I</v>
      </c>
      <c r="H550" s="2420">
        <f t="shared" si="342"/>
        <v>69.430000000000007</v>
      </c>
      <c r="I550" s="2420">
        <f t="shared" si="343"/>
        <v>0</v>
      </c>
      <c r="J550" s="2452">
        <f>'BUS Deemed Savings Table '!F337</f>
        <v>69.430000000000007</v>
      </c>
      <c r="K550" s="2452"/>
      <c r="L550" s="2452"/>
      <c r="M550" s="2452"/>
      <c r="N550" s="2421">
        <f t="shared" si="344"/>
        <v>6.3228999999999994E-2</v>
      </c>
      <c r="O550" s="2421">
        <f t="shared" si="345"/>
        <v>0</v>
      </c>
      <c r="P550" s="2411">
        <f>'BUS Deemed Savings Table '!I337</f>
        <v>6.3228999999999994E-2</v>
      </c>
      <c r="Q550" s="2412">
        <v>0</v>
      </c>
      <c r="R550" s="2412"/>
      <c r="S550" s="2412"/>
      <c r="T550" s="2430">
        <f t="shared" si="337"/>
        <v>0</v>
      </c>
      <c r="U550" s="2430">
        <f t="shared" si="338"/>
        <v>0</v>
      </c>
      <c r="V550" s="2430">
        <f t="shared" si="339"/>
        <v>6.3228999999999994E-2</v>
      </c>
      <c r="W550" s="2460">
        <f>'BUS Deemed Savings Table '!J337</f>
        <v>15</v>
      </c>
      <c r="X550" s="2460"/>
      <c r="Y550" s="94">
        <f t="shared" si="349"/>
        <v>15</v>
      </c>
      <c r="Z550" s="767">
        <f>'BUS Deemed Savings Table '!DB337</f>
        <v>1.0486532057723552</v>
      </c>
      <c r="AA550" s="2419">
        <f>'BUS Deemed Savings Table '!K337</f>
        <v>100</v>
      </c>
      <c r="AB550" s="2431">
        <f t="shared" si="310"/>
        <v>98.976234617494583</v>
      </c>
      <c r="AC550" s="2431">
        <f t="shared" si="311"/>
        <v>0</v>
      </c>
      <c r="AD550" s="2446">
        <f>'BUS Deemed Savings Table '!DD337</f>
        <v>98.976234617494583</v>
      </c>
      <c r="AE550" s="2440"/>
      <c r="AF550" s="2440"/>
      <c r="AG550" s="2440"/>
      <c r="AL550" s="2380">
        <f t="shared" si="347"/>
        <v>9.1068400000000004E-4</v>
      </c>
      <c r="AM550">
        <f t="shared" si="336"/>
        <v>6.3228790120000003E-2</v>
      </c>
      <c r="AN550" s="2368">
        <f t="shared" si="348"/>
        <v>-2.0987999999055873E-7</v>
      </c>
    </row>
    <row r="551" spans="1:40" x14ac:dyDescent="0.25">
      <c r="A551" s="2598" t="str">
        <f>'BUS Deemed Savings Table '!C355</f>
        <v>803500_2019_12_</v>
      </c>
      <c r="B551" s="245" t="str">
        <f>'BUS Deemed Savings Table '!I355</f>
        <v>Cooling BUS</v>
      </c>
      <c r="C551" s="245" t="str">
        <f>'BUS Deemed Savings Table '!J355</f>
        <v>Heating BUS</v>
      </c>
      <c r="D551" s="245"/>
      <c r="E551" s="245"/>
      <c r="F551" s="245" t="str">
        <f>'BUS Deemed Savings Table '!E355</f>
        <v>GSHP &lt;135kbtu; ≥17EER</v>
      </c>
      <c r="G551" s="745" t="str">
        <f>'BUS Deemed Savings Table '!D355</f>
        <v>C&amp;I</v>
      </c>
      <c r="H551" s="2420">
        <f t="shared" ref="H551" si="350">J551+K551</f>
        <v>64.698128808762064</v>
      </c>
      <c r="I551" s="2420">
        <f t="shared" ref="I551" si="351">R551+S551</f>
        <v>0</v>
      </c>
      <c r="J551" s="2452">
        <f>'BUS Deemed Savings Table '!F355</f>
        <v>36.71</v>
      </c>
      <c r="K551" s="2452">
        <f>'BUS Deemed Savings Table '!G355</f>
        <v>27.988128808762067</v>
      </c>
      <c r="L551" s="2452"/>
      <c r="M551" s="2452"/>
      <c r="N551" s="2421">
        <f t="shared" ref="N551" si="352">P551+Q551</f>
        <v>3.3431000000000002E-2</v>
      </c>
      <c r="O551" s="2421">
        <f t="shared" ref="O551" si="353">R551+S551</f>
        <v>0</v>
      </c>
      <c r="P551" s="2412">
        <f>'BUS Deemed Savings Table '!L355</f>
        <v>3.3431000000000002E-2</v>
      </c>
      <c r="Q551" s="2412">
        <v>0</v>
      </c>
      <c r="R551" s="2412"/>
      <c r="S551" s="2412"/>
      <c r="T551" s="2430">
        <f t="shared" si="337"/>
        <v>0</v>
      </c>
      <c r="U551" s="2430">
        <f t="shared" si="338"/>
        <v>0</v>
      </c>
      <c r="V551" s="2430">
        <f t="shared" si="339"/>
        <v>3.3431000000000002E-2</v>
      </c>
      <c r="W551" s="2460">
        <f>'BUS Deemed Savings Table '!M355</f>
        <v>15</v>
      </c>
      <c r="X551" s="2460"/>
      <c r="Y551" s="94">
        <f t="shared" si="349"/>
        <v>15</v>
      </c>
      <c r="Z551" s="767">
        <f>'BUS Deemed Savings Table '!DB355</f>
        <v>0.30803254424042725</v>
      </c>
      <c r="AA551" s="2419">
        <f>'BUS Deemed Savings Table '!N355</f>
        <v>180</v>
      </c>
      <c r="AB551" s="2431">
        <f t="shared" si="310"/>
        <v>52.332098124848422</v>
      </c>
      <c r="AC551" s="2431">
        <f t="shared" si="311"/>
        <v>0</v>
      </c>
      <c r="AD551" s="2446">
        <f>'BUS Deemed Savings Table '!DD355</f>
        <v>52.332098124848422</v>
      </c>
      <c r="AE551" s="2440"/>
      <c r="AF551" s="2440"/>
      <c r="AG551" s="2440"/>
      <c r="AL551" s="2380">
        <f t="shared" si="347"/>
        <v>9.1068400000000004E-4</v>
      </c>
      <c r="AM551" s="2372">
        <f t="shared" ref="AM551:AM556" si="354">AL551*J551</f>
        <v>3.3431209640000001E-2</v>
      </c>
      <c r="AN551" s="2368">
        <f t="shared" si="348"/>
        <v>2.0963999999845662E-7</v>
      </c>
    </row>
    <row r="552" spans="1:40" x14ac:dyDescent="0.25">
      <c r="A552" s="2598" t="str">
        <f>'BUS Deemed Savings Table '!C356</f>
        <v>803550_2019_12_</v>
      </c>
      <c r="B552" s="245" t="str">
        <f>'BUS Deemed Savings Table '!I356</f>
        <v>Cooling BUS</v>
      </c>
      <c r="C552" s="245" t="str">
        <f>'BUS Deemed Savings Table '!J356</f>
        <v>Heating BUS</v>
      </c>
      <c r="D552" s="245"/>
      <c r="E552" s="245"/>
      <c r="F552" s="245" t="str">
        <f>'BUS Deemed Savings Table '!E356</f>
        <v>GSHP &lt;135kbtu; ≥19EER</v>
      </c>
      <c r="G552" s="745" t="str">
        <f>'BUS Deemed Savings Table '!D356</f>
        <v>C&amp;I</v>
      </c>
      <c r="H552" s="2420">
        <f t="shared" ref="H552:H557" si="355">J552+K552</f>
        <v>142.93812880876206</v>
      </c>
      <c r="I552" s="2420">
        <f t="shared" ref="I552:I557" si="356">R552+S552</f>
        <v>0</v>
      </c>
      <c r="J552" s="2452">
        <f>'BUS Deemed Savings Table '!F356</f>
        <v>114.95</v>
      </c>
      <c r="K552" s="2452">
        <f>'BUS Deemed Savings Table '!G356</f>
        <v>27.988128808762067</v>
      </c>
      <c r="L552" s="2452"/>
      <c r="M552" s="2452"/>
      <c r="N552" s="2421">
        <f t="shared" ref="N552:N557" si="357">P552+Q552</f>
        <v>0.104683</v>
      </c>
      <c r="O552" s="2421">
        <f t="shared" ref="O552:O557" si="358">R552+S552</f>
        <v>0</v>
      </c>
      <c r="P552" s="2412">
        <f>'BUS Deemed Savings Table '!L356</f>
        <v>0.104683</v>
      </c>
      <c r="Q552" s="2412">
        <v>0</v>
      </c>
      <c r="R552" s="2412"/>
      <c r="S552" s="2412"/>
      <c r="T552" s="2430">
        <f t="shared" si="337"/>
        <v>0</v>
      </c>
      <c r="U552" s="2430">
        <f t="shared" si="338"/>
        <v>0</v>
      </c>
      <c r="V552" s="2430">
        <f t="shared" si="339"/>
        <v>0.104683</v>
      </c>
      <c r="W552" s="2460">
        <f>'BUS Deemed Savings Table '!M356</f>
        <v>15</v>
      </c>
      <c r="X552" s="2460"/>
      <c r="Y552" s="94">
        <f t="shared" ref="Y552:Y558" si="359">X552+W552</f>
        <v>15</v>
      </c>
      <c r="Z552" s="767">
        <f>'BUS Deemed Savings Table '!DB356</f>
        <v>0.96454211278771762</v>
      </c>
      <c r="AA552" s="2419">
        <f>'BUS Deemed Savings Table '!N356</f>
        <v>180</v>
      </c>
      <c r="AB552" s="2431">
        <f t="shared" si="310"/>
        <v>163.8674660705891</v>
      </c>
      <c r="AC552" s="2431">
        <f t="shared" si="311"/>
        <v>0</v>
      </c>
      <c r="AD552" s="2446">
        <f>'BUS Deemed Savings Table '!DD356</f>
        <v>163.8674660705891</v>
      </c>
      <c r="AE552" s="2440"/>
      <c r="AF552" s="2440"/>
      <c r="AG552" s="2440"/>
      <c r="AL552" s="2380">
        <f t="shared" si="347"/>
        <v>9.1068400000000004E-4</v>
      </c>
      <c r="AM552" s="2372">
        <f t="shared" si="354"/>
        <v>0.10468312580000001</v>
      </c>
      <c r="AN552" s="2368">
        <f t="shared" si="348"/>
        <v>1.258000000142756E-7</v>
      </c>
    </row>
    <row r="553" spans="1:40" x14ac:dyDescent="0.25">
      <c r="A553" s="2598" t="str">
        <f>'BUS Deemed Savings Table '!C357</f>
        <v>803600_2019_12_</v>
      </c>
      <c r="B553" s="245" t="str">
        <f>'BUS Deemed Savings Table '!I357</f>
        <v>Cooling BUS</v>
      </c>
      <c r="C553" s="245" t="str">
        <f>'BUS Deemed Savings Table '!J357</f>
        <v>Heating BUS</v>
      </c>
      <c r="D553" s="245"/>
      <c r="E553" s="245"/>
      <c r="F553" s="245" t="str">
        <f>'BUS Deemed Savings Table '!E357</f>
        <v>ASHP 65 - 135kbtu</v>
      </c>
      <c r="G553" s="745" t="str">
        <f>'BUS Deemed Savings Table '!D357</f>
        <v>C&amp;I</v>
      </c>
      <c r="H553" s="2420">
        <f t="shared" si="355"/>
        <v>160.28443735631319</v>
      </c>
      <c r="I553" s="2420">
        <f t="shared" si="356"/>
        <v>0</v>
      </c>
      <c r="J553" s="2452">
        <f>'BUS Deemed Savings Table '!F357</f>
        <v>95.73</v>
      </c>
      <c r="K553" s="2452">
        <f>'BUS Deemed Savings Table '!G357</f>
        <v>64.554437356313187</v>
      </c>
      <c r="L553" s="2452"/>
      <c r="M553" s="2452"/>
      <c r="N553" s="2421">
        <f t="shared" si="357"/>
        <v>8.7179999999999994E-2</v>
      </c>
      <c r="O553" s="2421">
        <f t="shared" si="358"/>
        <v>0</v>
      </c>
      <c r="P553" s="2412">
        <f>'BUS Deemed Savings Table '!L357</f>
        <v>8.7179999999999994E-2</v>
      </c>
      <c r="Q553" s="2412">
        <v>0</v>
      </c>
      <c r="R553" s="2412"/>
      <c r="S553" s="2412"/>
      <c r="T553" s="2430">
        <f t="shared" si="337"/>
        <v>0</v>
      </c>
      <c r="U553" s="2430">
        <f t="shared" si="338"/>
        <v>0</v>
      </c>
      <c r="V553" s="2430">
        <f t="shared" si="339"/>
        <v>8.7179999999999994E-2</v>
      </c>
      <c r="W553" s="2460">
        <f>'BUS Deemed Savings Table '!M357</f>
        <v>15</v>
      </c>
      <c r="X553" s="2460"/>
      <c r="Y553" s="94">
        <f t="shared" si="359"/>
        <v>15</v>
      </c>
      <c r="Z553" s="767">
        <f>'BUS Deemed Savings Table '!DB357</f>
        <v>1.445881771404113</v>
      </c>
      <c r="AA553" s="2419">
        <f>'BUS Deemed Savings Table '!N357</f>
        <v>100</v>
      </c>
      <c r="AB553" s="2431">
        <f t="shared" si="310"/>
        <v>136.46831254404086</v>
      </c>
      <c r="AC553" s="2431">
        <f t="shared" si="311"/>
        <v>0</v>
      </c>
      <c r="AD553" s="2446">
        <f>'BUS Deemed Savings Table '!DD357</f>
        <v>136.46831254404086</v>
      </c>
      <c r="AE553" s="2440"/>
      <c r="AF553" s="2440"/>
      <c r="AG553" s="2440"/>
      <c r="AL553" s="2380">
        <f t="shared" si="347"/>
        <v>9.1068400000000004E-4</v>
      </c>
      <c r="AM553" s="2372">
        <f t="shared" si="354"/>
        <v>8.7179779320000012E-2</v>
      </c>
      <c r="AN553" s="2368">
        <f t="shared" si="348"/>
        <v>-2.2067999998209853E-7</v>
      </c>
    </row>
    <row r="554" spans="1:40" x14ac:dyDescent="0.25">
      <c r="A554" s="2598" t="str">
        <f>'BUS Deemed Savings Table '!C358</f>
        <v>803650_2019_12_</v>
      </c>
      <c r="B554" s="245" t="str">
        <f>'BUS Deemed Savings Table '!I358</f>
        <v>Cooling BUS</v>
      </c>
      <c r="C554" s="245" t="str">
        <f>'BUS Deemed Savings Table '!J358</f>
        <v>Heating BUS</v>
      </c>
      <c r="D554" s="245"/>
      <c r="E554" s="245"/>
      <c r="F554" s="245" t="str">
        <f>'BUS Deemed Savings Table '!E358</f>
        <v>ASHP 135 - 240kbtu</v>
      </c>
      <c r="G554" s="745" t="str">
        <f>'BUS Deemed Savings Table '!D358</f>
        <v>C&amp;I</v>
      </c>
      <c r="H554" s="2420">
        <f t="shared" si="355"/>
        <v>227.29829394705996</v>
      </c>
      <c r="I554" s="2420">
        <f t="shared" si="356"/>
        <v>0</v>
      </c>
      <c r="J554" s="2452">
        <f>'BUS Deemed Savings Table '!F358</f>
        <v>43.35</v>
      </c>
      <c r="K554" s="2452">
        <f>'BUS Deemed Savings Table '!G358</f>
        <v>183.94829394705997</v>
      </c>
      <c r="L554" s="2452"/>
      <c r="M554" s="2452"/>
      <c r="N554" s="2421">
        <f t="shared" si="357"/>
        <v>3.9477999999999999E-2</v>
      </c>
      <c r="O554" s="2421">
        <f t="shared" si="358"/>
        <v>0</v>
      </c>
      <c r="P554" s="2412">
        <f>'BUS Deemed Savings Table '!L358</f>
        <v>3.9477999999999999E-2</v>
      </c>
      <c r="Q554" s="2412">
        <v>0</v>
      </c>
      <c r="R554" s="2412"/>
      <c r="S554" s="2412"/>
      <c r="T554" s="2430">
        <f t="shared" si="337"/>
        <v>0</v>
      </c>
      <c r="U554" s="2430">
        <f t="shared" si="338"/>
        <v>0</v>
      </c>
      <c r="V554" s="2430">
        <f t="shared" si="339"/>
        <v>3.9477999999999999E-2</v>
      </c>
      <c r="W554" s="2460">
        <f>'BUS Deemed Savings Table '!M358</f>
        <v>15</v>
      </c>
      <c r="X554" s="2460"/>
      <c r="Y554" s="94">
        <f t="shared" si="359"/>
        <v>15</v>
      </c>
      <c r="Z554" s="767">
        <f>'BUS Deemed Savings Table '!DB358</f>
        <v>0.65474746464398093</v>
      </c>
      <c r="AA554" s="2419">
        <f>'BUS Deemed Savings Table '!N358</f>
        <v>100</v>
      </c>
      <c r="AB554" s="2431">
        <f t="shared" si="310"/>
        <v>61.797778635581018</v>
      </c>
      <c r="AC554" s="2431">
        <f t="shared" si="311"/>
        <v>0</v>
      </c>
      <c r="AD554" s="2446">
        <f>'BUS Deemed Savings Table '!DD358</f>
        <v>61.797778635581018</v>
      </c>
      <c r="AE554" s="2440"/>
      <c r="AF554" s="2440"/>
      <c r="AG554" s="2440"/>
      <c r="AL554" s="2380">
        <f t="shared" si="347"/>
        <v>9.1068400000000004E-4</v>
      </c>
      <c r="AM554" s="2372">
        <f t="shared" si="354"/>
        <v>3.9478151400000001E-2</v>
      </c>
      <c r="AN554" s="2368">
        <f t="shared" si="348"/>
        <v>1.5140000000218867E-7</v>
      </c>
    </row>
    <row r="555" spans="1:40" x14ac:dyDescent="0.25">
      <c r="A555" s="2598" t="str">
        <f>'BUS Deemed Savings Table '!C359</f>
        <v>803700_2019_12_</v>
      </c>
      <c r="B555" s="245" t="str">
        <f>'BUS Deemed Savings Table '!I359</f>
        <v>Cooling BUS</v>
      </c>
      <c r="C555" s="245" t="str">
        <f>'BUS Deemed Savings Table '!J359</f>
        <v>Heating BUS</v>
      </c>
      <c r="D555" s="245"/>
      <c r="E555" s="245"/>
      <c r="F555" s="245" t="str">
        <f>'BUS Deemed Savings Table '!E359</f>
        <v>ASHP &gt;240kbtu</v>
      </c>
      <c r="G555" s="745" t="str">
        <f>'BUS Deemed Savings Table '!D359</f>
        <v>C&amp;I</v>
      </c>
      <c r="H555" s="2420">
        <f t="shared" si="355"/>
        <v>267.47509574052361</v>
      </c>
      <c r="I555" s="2420">
        <f t="shared" si="356"/>
        <v>0</v>
      </c>
      <c r="J555" s="2452">
        <f>'BUS Deemed Savings Table '!F359</f>
        <v>138.03</v>
      </c>
      <c r="K555" s="2452">
        <f>'BUS Deemed Savings Table '!G359</f>
        <v>129.44509574052361</v>
      </c>
      <c r="L555" s="2452"/>
      <c r="M555" s="2452"/>
      <c r="N555" s="2421">
        <f t="shared" si="357"/>
        <v>0.12570200000000001</v>
      </c>
      <c r="O555" s="2421">
        <f t="shared" si="358"/>
        <v>0</v>
      </c>
      <c r="P555" s="2412">
        <f>'BUS Deemed Savings Table '!L359</f>
        <v>0.12570200000000001</v>
      </c>
      <c r="Q555" s="2412">
        <v>0</v>
      </c>
      <c r="R555" s="2412"/>
      <c r="S555" s="2412"/>
      <c r="T555" s="2430">
        <f t="shared" si="337"/>
        <v>0</v>
      </c>
      <c r="U555" s="2430">
        <f t="shared" si="338"/>
        <v>0</v>
      </c>
      <c r="V555" s="2430">
        <f t="shared" si="339"/>
        <v>0.12570200000000001</v>
      </c>
      <c r="W555" s="2460">
        <f>'BUS Deemed Savings Table '!M359</f>
        <v>15</v>
      </c>
      <c r="X555" s="2460"/>
      <c r="Y555" s="94">
        <f t="shared" si="359"/>
        <v>15</v>
      </c>
      <c r="Z555" s="767">
        <f>'BUS Deemed Savings Table '!DB359</f>
        <v>2.0847703009183087</v>
      </c>
      <c r="AA555" s="2419">
        <f>'BUS Deemed Savings Table '!N359</f>
        <v>100</v>
      </c>
      <c r="AB555" s="2431">
        <f t="shared" si="310"/>
        <v>196.76925917114758</v>
      </c>
      <c r="AC555" s="2431">
        <f t="shared" si="311"/>
        <v>0</v>
      </c>
      <c r="AD555" s="2446">
        <f>'BUS Deemed Savings Table '!DD359</f>
        <v>196.76925917114758</v>
      </c>
      <c r="AE555" s="2440"/>
      <c r="AF555" s="2440"/>
      <c r="AG555" s="2440"/>
      <c r="AL555" s="2380">
        <f t="shared" si="347"/>
        <v>9.1068400000000004E-4</v>
      </c>
      <c r="AM555" s="2372">
        <f t="shared" si="354"/>
        <v>0.12570171252000001</v>
      </c>
      <c r="AN555" s="2368">
        <f t="shared" si="348"/>
        <v>-2.8747999999967355E-7</v>
      </c>
    </row>
    <row r="556" spans="1:40" x14ac:dyDescent="0.25">
      <c r="A556" s="2598" t="str">
        <f>'BUS Deemed Savings Table '!C360</f>
        <v>803750_2019_12_</v>
      </c>
      <c r="B556" s="245" t="str">
        <f>'BUS Deemed Savings Table '!I360</f>
        <v>Cooling BUS</v>
      </c>
      <c r="C556" s="245" t="str">
        <f>'BUS Deemed Savings Table '!J360</f>
        <v>Heating BUS</v>
      </c>
      <c r="D556" s="245"/>
      <c r="E556" s="245"/>
      <c r="F556" s="245" t="str">
        <f>'BUS Deemed Savings Table '!E360</f>
        <v>ASHP &lt;65kbtu</v>
      </c>
      <c r="G556" s="745" t="str">
        <f>'BUS Deemed Savings Table '!D360</f>
        <v>C&amp;I</v>
      </c>
      <c r="H556" s="2420">
        <f t="shared" si="355"/>
        <v>131.37805194805179</v>
      </c>
      <c r="I556" s="2420">
        <f t="shared" si="356"/>
        <v>0</v>
      </c>
      <c r="J556" s="2452">
        <f>'BUS Deemed Savings Table '!F360</f>
        <v>69.430000000000007</v>
      </c>
      <c r="K556" s="2452">
        <f>'BUS Deemed Savings Table '!G360</f>
        <v>61.948051948051791</v>
      </c>
      <c r="L556" s="2452"/>
      <c r="M556" s="2452"/>
      <c r="N556" s="2421">
        <f t="shared" si="357"/>
        <v>6.3228999999999994E-2</v>
      </c>
      <c r="O556" s="2421">
        <f t="shared" si="358"/>
        <v>0</v>
      </c>
      <c r="P556" s="2412">
        <f>'BUS Deemed Savings Table '!L360</f>
        <v>6.3228999999999994E-2</v>
      </c>
      <c r="Q556" s="2412">
        <v>0</v>
      </c>
      <c r="R556" s="2412"/>
      <c r="S556" s="2412"/>
      <c r="T556" s="2430">
        <f t="shared" si="337"/>
        <v>0</v>
      </c>
      <c r="U556" s="2430">
        <f t="shared" si="338"/>
        <v>0</v>
      </c>
      <c r="V556" s="2430">
        <f t="shared" si="339"/>
        <v>6.3228999999999994E-2</v>
      </c>
      <c r="W556" s="2460">
        <f>'BUS Deemed Savings Table '!M360</f>
        <v>15</v>
      </c>
      <c r="X556" s="2460"/>
      <c r="Y556" s="94">
        <f t="shared" si="359"/>
        <v>15</v>
      </c>
      <c r="Z556" s="767">
        <f>'BUS Deemed Savings Table '!DB360</f>
        <v>1.0486532057723552</v>
      </c>
      <c r="AA556" s="2419">
        <f>'BUS Deemed Savings Table '!N360</f>
        <v>100</v>
      </c>
      <c r="AB556" s="2431">
        <f t="shared" si="310"/>
        <v>98.976234617494583</v>
      </c>
      <c r="AC556" s="2431">
        <f t="shared" si="311"/>
        <v>0</v>
      </c>
      <c r="AD556" s="2446">
        <f>'BUS Deemed Savings Table '!DD360</f>
        <v>98.976234617494583</v>
      </c>
      <c r="AE556" s="2440"/>
      <c r="AF556" s="2440"/>
      <c r="AG556" s="2440"/>
      <c r="AL556" s="2380">
        <f t="shared" si="347"/>
        <v>9.1068400000000004E-4</v>
      </c>
      <c r="AM556" s="2372">
        <f t="shared" si="354"/>
        <v>6.3228790120000003E-2</v>
      </c>
      <c r="AN556" s="2368">
        <f t="shared" si="348"/>
        <v>-2.0987999999055873E-7</v>
      </c>
    </row>
    <row r="557" spans="1:40" x14ac:dyDescent="0.25">
      <c r="A557" s="2598" t="str">
        <f>'BUS Deemed Savings Table '!C379</f>
        <v>803800_2019_12_</v>
      </c>
      <c r="B557" s="245" t="str">
        <f>'BUS Deemed Savings Table '!G379</f>
        <v>Cooling BUS</v>
      </c>
      <c r="C557" s="245"/>
      <c r="D557" s="245"/>
      <c r="E557" s="245"/>
      <c r="F557" s="245" t="str">
        <f>'BUS Deemed Savings Table '!E379</f>
        <v>Air Cooled Chiller</v>
      </c>
      <c r="G557" s="745" t="str">
        <f>'BUS Deemed Savings Table '!D379</f>
        <v>C&amp;I</v>
      </c>
      <c r="H557" s="2420">
        <f t="shared" si="355"/>
        <v>411</v>
      </c>
      <c r="I557" s="2420">
        <f t="shared" si="356"/>
        <v>0</v>
      </c>
      <c r="J557" s="2452">
        <f>'BUS Deemed Savings Table '!F379</f>
        <v>411</v>
      </c>
      <c r="K557" s="2452"/>
      <c r="L557" s="2452"/>
      <c r="M557" s="2452"/>
      <c r="N557" s="2421">
        <f t="shared" si="357"/>
        <v>0.37429099999999998</v>
      </c>
      <c r="O557" s="2421">
        <f t="shared" si="358"/>
        <v>0</v>
      </c>
      <c r="P557" s="2411">
        <f>'BUS Deemed Savings Table '!I379</f>
        <v>0.37429099999999998</v>
      </c>
      <c r="Q557" s="2412">
        <v>0</v>
      </c>
      <c r="R557" s="2412"/>
      <c r="S557" s="2412"/>
      <c r="T557" s="2430">
        <f t="shared" si="337"/>
        <v>0</v>
      </c>
      <c r="U557" s="2430">
        <f t="shared" si="338"/>
        <v>0</v>
      </c>
      <c r="V557" s="2430">
        <f t="shared" si="339"/>
        <v>0.37429099999999998</v>
      </c>
      <c r="W557" s="2460">
        <f>'BUS Deemed Savings Table '!J379</f>
        <v>20</v>
      </c>
      <c r="X557" s="2460"/>
      <c r="Y557" s="94">
        <f t="shared" si="359"/>
        <v>20</v>
      </c>
      <c r="Z557" s="767">
        <f>'BUS Deemed Savings Table '!DB379</f>
        <v>7.3595302367685331</v>
      </c>
      <c r="AA557" s="2419">
        <f>'BUS Deemed Savings Table '!K379</f>
        <v>106.23</v>
      </c>
      <c r="AB557" s="2431">
        <f t="shared" si="310"/>
        <v>737.89796795839663</v>
      </c>
      <c r="AC557" s="2431">
        <f t="shared" si="311"/>
        <v>0</v>
      </c>
      <c r="AD557" s="2446">
        <f>'BUS Deemed Savings Table '!DD379</f>
        <v>737.89796795839663</v>
      </c>
      <c r="AE557" s="2440"/>
      <c r="AF557" s="2440"/>
      <c r="AG557" s="2440"/>
      <c r="AL557" s="2380">
        <f t="shared" si="347"/>
        <v>9.1068400000000004E-4</v>
      </c>
      <c r="AM557">
        <f t="shared" ref="AM557:AM603" si="360">AL557*H557</f>
        <v>0.37429112400000003</v>
      </c>
      <c r="AN557" s="2368">
        <f t="shared" si="348"/>
        <v>1.2400000004575418E-7</v>
      </c>
    </row>
    <row r="558" spans="1:40" x14ac:dyDescent="0.25">
      <c r="A558" s="2598" t="str">
        <f>'BUS Deemed Savings Table '!C395</f>
        <v>803850_2019_12_</v>
      </c>
      <c r="B558" s="245" t="str">
        <f>'BUS Deemed Savings Table '!G395</f>
        <v>Miscellaneous BUS</v>
      </c>
      <c r="C558" s="245"/>
      <c r="D558" s="245"/>
      <c r="E558" s="245"/>
      <c r="F558" s="245" t="str">
        <f>'BUS Deemed Savings Table '!E395</f>
        <v>Clothes Washer (Electric DHW; Electric Dryer)</v>
      </c>
      <c r="G558" s="745" t="str">
        <f>'BUS Deemed Savings Table '!D395</f>
        <v>C&amp;I</v>
      </c>
      <c r="H558" s="2410">
        <f>'BUS Deemed Savings Table '!F395</f>
        <v>907.62</v>
      </c>
      <c r="I558" s="2410"/>
      <c r="J558" s="2452"/>
      <c r="K558" s="2452"/>
      <c r="L558" s="2452"/>
      <c r="M558" s="2452"/>
      <c r="N558" s="2411">
        <f>'BUS Deemed Savings Table '!I395</f>
        <v>0.12520100000000001</v>
      </c>
      <c r="O558" s="2411"/>
      <c r="P558" s="2412"/>
      <c r="Q558" s="2412"/>
      <c r="R558" s="2412"/>
      <c r="S558" s="2412"/>
      <c r="T558" s="2430">
        <f t="shared" si="337"/>
        <v>0</v>
      </c>
      <c r="U558" s="2430">
        <f t="shared" si="338"/>
        <v>0.12520100000000001</v>
      </c>
      <c r="V558" s="2430">
        <f t="shared" si="339"/>
        <v>0</v>
      </c>
      <c r="W558" s="2460">
        <f>'BUS Deemed Savings Table '!J395</f>
        <v>11</v>
      </c>
      <c r="X558" s="2460"/>
      <c r="Y558" s="94">
        <f t="shared" si="359"/>
        <v>11</v>
      </c>
      <c r="Z558" s="767">
        <f>'BUS Deemed Savings Table '!DB395</f>
        <v>1.9297176618985081</v>
      </c>
      <c r="AA558" s="2419">
        <f>'BUS Deemed Savings Table '!K395</f>
        <v>200</v>
      </c>
      <c r="AB558" s="2431">
        <f t="shared" si="310"/>
        <v>364.26949729089341</v>
      </c>
      <c r="AC558" s="2431">
        <f t="shared" si="311"/>
        <v>0</v>
      </c>
      <c r="AD558" s="2446">
        <f>'BUS Deemed Savings Table '!DD395</f>
        <v>364.26949729089341</v>
      </c>
      <c r="AE558" s="2440"/>
      <c r="AF558" s="2440"/>
      <c r="AG558" s="2440"/>
      <c r="AL558" s="2380">
        <f t="shared" si="347"/>
        <v>1.379439E-4</v>
      </c>
      <c r="AM558">
        <f t="shared" si="360"/>
        <v>0.125200642518</v>
      </c>
      <c r="AN558" s="2368">
        <f t="shared" si="348"/>
        <v>-3.5748200000185193E-7</v>
      </c>
    </row>
    <row r="559" spans="1:40" x14ac:dyDescent="0.25">
      <c r="A559" s="2598" t="str">
        <f>'BUS Deemed Savings Table '!C396</f>
        <v>803900_2019_12_</v>
      </c>
      <c r="B559" s="245" t="str">
        <f>'BUS Deemed Savings Table '!G396</f>
        <v>Miscellaneous BUS</v>
      </c>
      <c r="C559" s="245"/>
      <c r="D559" s="245"/>
      <c r="E559" s="245"/>
      <c r="F559" s="245" t="str">
        <f>'BUS Deemed Savings Table '!E396</f>
        <v>Clothes Washer (Gas DHW; Electric Dryer)</v>
      </c>
      <c r="G559" s="745" t="str">
        <f>'BUS Deemed Savings Table '!D396</f>
        <v>C&amp;I</v>
      </c>
      <c r="H559" s="2410">
        <f>'BUS Deemed Savings Table '!F396</f>
        <v>308.41000000000003</v>
      </c>
      <c r="I559" s="2410"/>
      <c r="J559" s="2452"/>
      <c r="K559" s="2452"/>
      <c r="L559" s="2452"/>
      <c r="M559" s="2452"/>
      <c r="N559" s="2411">
        <f>'BUS Deemed Savings Table '!I396</f>
        <v>4.2542999999999997E-2</v>
      </c>
      <c r="O559" s="2411"/>
      <c r="P559" s="2412"/>
      <c r="Q559" s="2412"/>
      <c r="R559" s="2412"/>
      <c r="S559" s="2412"/>
      <c r="T559" s="2430">
        <f t="shared" si="337"/>
        <v>0</v>
      </c>
      <c r="U559" s="2430">
        <f t="shared" si="338"/>
        <v>4.2542999999999997E-2</v>
      </c>
      <c r="V559" s="2430">
        <f t="shared" si="339"/>
        <v>0</v>
      </c>
      <c r="W559" s="2460">
        <f>'BUS Deemed Savings Table '!J396</f>
        <v>11</v>
      </c>
      <c r="X559" s="2460"/>
      <c r="Y559" s="94">
        <f t="shared" ref="Y559:Y562" si="361">X559+W559</f>
        <v>11</v>
      </c>
      <c r="Z559" s="767">
        <f>'BUS Deemed Savings Table '!DB396</f>
        <v>0.65571960083087522</v>
      </c>
      <c r="AA559" s="2419">
        <f>'BUS Deemed Savings Table '!K396</f>
        <v>200</v>
      </c>
      <c r="AB559" s="2431">
        <f t="shared" si="310"/>
        <v>123.77906575382258</v>
      </c>
      <c r="AC559" s="2431">
        <f t="shared" si="311"/>
        <v>0</v>
      </c>
      <c r="AD559" s="2446">
        <f>'BUS Deemed Savings Table '!DD396</f>
        <v>123.77906575382258</v>
      </c>
      <c r="AE559" s="2440"/>
      <c r="AF559" s="2440"/>
      <c r="AG559" s="2440"/>
      <c r="AL559" s="2380">
        <f t="shared" si="347"/>
        <v>1.379439E-4</v>
      </c>
      <c r="AM559">
        <f t="shared" si="360"/>
        <v>4.2543278199000001E-2</v>
      </c>
      <c r="AN559" s="2368">
        <f t="shared" si="348"/>
        <v>2.7819900000336517E-7</v>
      </c>
    </row>
    <row r="560" spans="1:40" x14ac:dyDescent="0.25">
      <c r="A560" s="2598" t="str">
        <f>'BUS Deemed Savings Table '!C397</f>
        <v>803950_2019_12_</v>
      </c>
      <c r="B560" s="245" t="str">
        <f>'BUS Deemed Savings Table '!G397</f>
        <v>Miscellaneous BUS</v>
      </c>
      <c r="C560" s="245"/>
      <c r="D560" s="245"/>
      <c r="E560" s="245"/>
      <c r="F560" s="245" t="str">
        <f>'BUS Deemed Savings Table '!E397</f>
        <v>Clothes Washer (Electric DHW; Gas Dryer)</v>
      </c>
      <c r="G560" s="745" t="str">
        <f>'BUS Deemed Savings Table '!D397</f>
        <v>C&amp;I</v>
      </c>
      <c r="H560" s="2410">
        <f>'BUS Deemed Savings Table '!F397</f>
        <v>750.78</v>
      </c>
      <c r="I560" s="2410"/>
      <c r="J560" s="2452"/>
      <c r="K560" s="2452"/>
      <c r="L560" s="2452"/>
      <c r="M560" s="2452"/>
      <c r="N560" s="2411">
        <f>'BUS Deemed Savings Table '!I397</f>
        <v>0.10356600000000001</v>
      </c>
      <c r="O560" s="2411"/>
      <c r="P560" s="2412"/>
      <c r="Q560" s="2412"/>
      <c r="R560" s="2412"/>
      <c r="S560" s="2412"/>
      <c r="T560" s="2430">
        <f t="shared" si="337"/>
        <v>0</v>
      </c>
      <c r="U560" s="2430">
        <f t="shared" si="338"/>
        <v>0.10356600000000001</v>
      </c>
      <c r="V560" s="2430">
        <f t="shared" si="339"/>
        <v>0</v>
      </c>
      <c r="W560" s="2460">
        <f>'BUS Deemed Savings Table '!J397</f>
        <v>11</v>
      </c>
      <c r="X560" s="2460"/>
      <c r="Y560" s="94">
        <f t="shared" si="361"/>
        <v>11</v>
      </c>
      <c r="Z560" s="767">
        <f>'BUS Deemed Savings Table '!DB397</f>
        <v>1.5962555102357394</v>
      </c>
      <c r="AA560" s="2419">
        <f>'BUS Deemed Savings Table '!K397</f>
        <v>200</v>
      </c>
      <c r="AB560" s="2431">
        <f t="shared" si="310"/>
        <v>301.32241816625566</v>
      </c>
      <c r="AC560" s="2431">
        <f t="shared" si="311"/>
        <v>0</v>
      </c>
      <c r="AD560" s="2446">
        <f>'BUS Deemed Savings Table '!DD397</f>
        <v>301.32241816625566</v>
      </c>
      <c r="AE560" s="2440"/>
      <c r="AF560" s="2440"/>
      <c r="AG560" s="2440"/>
      <c r="AL560" s="2380">
        <f t="shared" si="347"/>
        <v>1.379439E-4</v>
      </c>
      <c r="AM560">
        <f t="shared" si="360"/>
        <v>0.103565521242</v>
      </c>
      <c r="AN560" s="2368">
        <f t="shared" si="348"/>
        <v>-4.7875800000818369E-7</v>
      </c>
    </row>
    <row r="561" spans="1:40" x14ac:dyDescent="0.25">
      <c r="A561" s="2598" t="str">
        <f>'BUS Deemed Savings Table '!C398</f>
        <v>804000_2019_12_</v>
      </c>
      <c r="B561" s="245" t="str">
        <f>'BUS Deemed Savings Table '!G398</f>
        <v>Miscellaneous BUS</v>
      </c>
      <c r="C561" s="245"/>
      <c r="D561" s="245"/>
      <c r="E561" s="245"/>
      <c r="F561" s="245" t="str">
        <f>'BUS Deemed Savings Table '!E398</f>
        <v>Clothes Washer (Gas DHW; Gas Dryer)</v>
      </c>
      <c r="G561" s="745" t="str">
        <f>'BUS Deemed Savings Table '!D398</f>
        <v>C&amp;I</v>
      </c>
      <c r="H561" s="2410">
        <f>'BUS Deemed Savings Table '!F398</f>
        <v>151.57</v>
      </c>
      <c r="I561" s="2410"/>
      <c r="J561" s="2452"/>
      <c r="K561" s="2452"/>
      <c r="L561" s="2452"/>
      <c r="M561" s="2452"/>
      <c r="N561" s="2411">
        <f>'BUS Deemed Savings Table '!I398</f>
        <v>2.0908E-2</v>
      </c>
      <c r="O561" s="2411"/>
      <c r="P561" s="2412"/>
      <c r="Q561" s="2412"/>
      <c r="R561" s="2412"/>
      <c r="S561" s="2412"/>
      <c r="T561" s="2430">
        <f t="shared" si="337"/>
        <v>0</v>
      </c>
      <c r="U561" s="2430">
        <f t="shared" si="338"/>
        <v>2.0908E-2</v>
      </c>
      <c r="V561" s="2430">
        <f t="shared" si="339"/>
        <v>0</v>
      </c>
      <c r="W561" s="2460">
        <f>'BUS Deemed Savings Table '!J398</f>
        <v>11</v>
      </c>
      <c r="X561" s="2460"/>
      <c r="Y561" s="94">
        <f t="shared" si="361"/>
        <v>11</v>
      </c>
      <c r="Z561" s="767">
        <f>'BUS Deemed Savings Table '!DB398</f>
        <v>0.32225744916810656</v>
      </c>
      <c r="AA561" s="2419">
        <f>'BUS Deemed Savings Table '!K398</f>
        <v>200</v>
      </c>
      <c r="AB561" s="2431">
        <f t="shared" ref="AB561:AB602" si="362">AD561+AE561</f>
        <v>60.831986629184811</v>
      </c>
      <c r="AC561" s="2431">
        <f t="shared" ref="AC561:AC602" si="363">AF561+AG561</f>
        <v>0</v>
      </c>
      <c r="AD561" s="2446">
        <f>'BUS Deemed Savings Table '!DD398</f>
        <v>60.831986629184811</v>
      </c>
      <c r="AE561" s="2440"/>
      <c r="AF561" s="2440"/>
      <c r="AG561" s="2440"/>
      <c r="AL561" s="2380">
        <f t="shared" si="347"/>
        <v>1.379439E-4</v>
      </c>
      <c r="AM561">
        <f t="shared" si="360"/>
        <v>2.0908156923E-2</v>
      </c>
      <c r="AN561" s="2368">
        <f t="shared" si="348"/>
        <v>1.5692300000050285E-7</v>
      </c>
    </row>
    <row r="562" spans="1:40" x14ac:dyDescent="0.25">
      <c r="A562" s="2598" t="str">
        <f>'BUS Deemed Savings Table '!C415</f>
        <v>804050_2019_12_</v>
      </c>
      <c r="B562" s="245" t="str">
        <f>'BUS Deemed Savings Table '!G415</f>
        <v>Miscellaneous BUS</v>
      </c>
      <c r="C562" s="245"/>
      <c r="D562" s="245"/>
      <c r="E562" s="245"/>
      <c r="F562" s="245" t="str">
        <f>'BUS Deemed Savings Table '!E415</f>
        <v>Clothes Dryer Vented Electric, Standard (≥ 4.4 ft3)</v>
      </c>
      <c r="G562" s="745" t="str">
        <f>'BUS Deemed Savings Table '!D415</f>
        <v>C&amp;I</v>
      </c>
      <c r="H562" s="2410">
        <f>'BUS Deemed Savings Table '!F415</f>
        <v>840.73</v>
      </c>
      <c r="I562" s="2410"/>
      <c r="J562" s="2452"/>
      <c r="K562" s="2452"/>
      <c r="L562" s="2452"/>
      <c r="M562" s="2452"/>
      <c r="N562" s="2411">
        <f>'BUS Deemed Savings Table '!I415</f>
        <v>0.11597399999999999</v>
      </c>
      <c r="O562" s="2411"/>
      <c r="P562" s="2412"/>
      <c r="Q562" s="2412"/>
      <c r="R562" s="2412"/>
      <c r="S562" s="2412"/>
      <c r="T562" s="2430">
        <f t="shared" si="337"/>
        <v>0</v>
      </c>
      <c r="U562" s="2430">
        <f t="shared" si="338"/>
        <v>0.11597399999999999</v>
      </c>
      <c r="V562" s="2430">
        <f t="shared" si="339"/>
        <v>0</v>
      </c>
      <c r="W562" s="2460">
        <f>'BUS Deemed Savings Table '!J415</f>
        <v>14</v>
      </c>
      <c r="X562" s="2460"/>
      <c r="Y562" s="94">
        <f t="shared" si="361"/>
        <v>14</v>
      </c>
      <c r="Z562" s="767">
        <f>'BUS Deemed Savings Table '!DB415</f>
        <v>5.9917958609290851</v>
      </c>
      <c r="AA562" s="2419">
        <f>'BUS Deemed Savings Table '!K415</f>
        <v>75</v>
      </c>
      <c r="AB562" s="2431">
        <f t="shared" si="362"/>
        <v>424.14789010824103</v>
      </c>
      <c r="AC562" s="2431">
        <f t="shared" si="363"/>
        <v>0</v>
      </c>
      <c r="AD562" s="2446">
        <f>'BUS Deemed Savings Table '!DD415</f>
        <v>424.14789010824103</v>
      </c>
      <c r="AE562" s="2440"/>
      <c r="AF562" s="2440"/>
      <c r="AG562" s="2440"/>
      <c r="AL562" s="2380">
        <f t="shared" si="347"/>
        <v>1.379439E-4</v>
      </c>
      <c r="AM562">
        <f t="shared" si="360"/>
        <v>0.115973575047</v>
      </c>
      <c r="AN562" s="2368">
        <f t="shared" si="348"/>
        <v>-4.2495299999723013E-7</v>
      </c>
    </row>
    <row r="563" spans="1:40" x14ac:dyDescent="0.25">
      <c r="A563" s="2598" t="str">
        <f>'BUS Deemed Savings Table '!C416</f>
        <v>804100_2019_12_</v>
      </c>
      <c r="B563" s="245" t="str">
        <f>'BUS Deemed Savings Table '!G416</f>
        <v>Miscellaneous BUS</v>
      </c>
      <c r="C563" s="245"/>
      <c r="D563" s="245"/>
      <c r="E563" s="245"/>
      <c r="F563" s="245" t="str">
        <f>'BUS Deemed Savings Table '!E416</f>
        <v>Clothes Dryer Vented Electric, Compact (120V) (&lt; 4.4 ft3)</v>
      </c>
      <c r="G563" s="745" t="str">
        <f>'BUS Deemed Savings Table '!D416</f>
        <v>C&amp;I</v>
      </c>
      <c r="H563" s="2410">
        <f>'BUS Deemed Savings Table '!F416</f>
        <v>307.27999999999997</v>
      </c>
      <c r="I563" s="2410"/>
      <c r="J563" s="2452"/>
      <c r="K563" s="2452"/>
      <c r="L563" s="2452"/>
      <c r="M563" s="2452"/>
      <c r="N563" s="2411">
        <f>'BUS Deemed Savings Table '!I416</f>
        <v>4.2387000000000001E-2</v>
      </c>
      <c r="O563" s="2411"/>
      <c r="P563" s="2412"/>
      <c r="Q563" s="2412"/>
      <c r="R563" s="2412"/>
      <c r="S563" s="2412"/>
      <c r="T563" s="2430">
        <f t="shared" si="337"/>
        <v>0</v>
      </c>
      <c r="U563" s="2430">
        <f t="shared" si="338"/>
        <v>4.2387000000000001E-2</v>
      </c>
      <c r="V563" s="2430">
        <f t="shared" si="339"/>
        <v>0</v>
      </c>
      <c r="W563" s="2460">
        <f>'BUS Deemed Savings Table '!J416</f>
        <v>14</v>
      </c>
      <c r="X563" s="2460"/>
      <c r="Y563" s="94">
        <f t="shared" ref="Y563:Y567" si="364">X563+W563</f>
        <v>14</v>
      </c>
      <c r="Z563" s="767">
        <f>'BUS Deemed Savings Table '!DB416</f>
        <v>1.564252012406131</v>
      </c>
      <c r="AA563" s="2419">
        <f>'BUS Deemed Savings Table '!K416</f>
        <v>105</v>
      </c>
      <c r="AB563" s="2431">
        <f t="shared" si="362"/>
        <v>155.02261567026309</v>
      </c>
      <c r="AC563" s="2431">
        <f t="shared" si="363"/>
        <v>0</v>
      </c>
      <c r="AD563" s="2446">
        <f>'BUS Deemed Savings Table '!DD416</f>
        <v>155.02261567026309</v>
      </c>
      <c r="AE563" s="2440"/>
      <c r="AF563" s="2440"/>
      <c r="AG563" s="2440"/>
      <c r="AL563" s="2380">
        <f t="shared" si="347"/>
        <v>1.379439E-4</v>
      </c>
      <c r="AM563">
        <f t="shared" si="360"/>
        <v>4.2387401591999996E-2</v>
      </c>
      <c r="AN563" s="2368">
        <f t="shared" si="348"/>
        <v>4.0159199999473261E-7</v>
      </c>
    </row>
    <row r="564" spans="1:40" x14ac:dyDescent="0.25">
      <c r="A564" s="2598" t="str">
        <f>'BUS Deemed Savings Table '!C417</f>
        <v>804150_2019_12_</v>
      </c>
      <c r="B564" s="245" t="str">
        <f>'BUS Deemed Savings Table '!G417</f>
        <v>Miscellaneous BUS</v>
      </c>
      <c r="C564" s="245"/>
      <c r="D564" s="245"/>
      <c r="E564" s="245"/>
      <c r="F564" s="245" t="str">
        <f>'BUS Deemed Savings Table '!E417</f>
        <v>Clothes Dryer Vented Electric, Compact (240V) (&lt;4.4 ft3)</v>
      </c>
      <c r="G564" s="745" t="str">
        <f>'BUS Deemed Savings Table '!D417</f>
        <v>C&amp;I</v>
      </c>
      <c r="H564" s="2410">
        <f>'BUS Deemed Savings Table '!F417</f>
        <v>340.11</v>
      </c>
      <c r="I564" s="2410"/>
      <c r="J564" s="2452"/>
      <c r="K564" s="2452"/>
      <c r="L564" s="2452"/>
      <c r="M564" s="2452"/>
      <c r="N564" s="2411">
        <f>'BUS Deemed Savings Table '!I417</f>
        <v>4.6915999999999999E-2</v>
      </c>
      <c r="O564" s="2411"/>
      <c r="P564" s="2412"/>
      <c r="Q564" s="2412"/>
      <c r="R564" s="2412"/>
      <c r="S564" s="2412"/>
      <c r="T564" s="2430">
        <f t="shared" si="337"/>
        <v>0</v>
      </c>
      <c r="U564" s="2430">
        <f t="shared" si="338"/>
        <v>4.6915999999999999E-2</v>
      </c>
      <c r="V564" s="2430">
        <f t="shared" si="339"/>
        <v>0</v>
      </c>
      <c r="W564" s="2460">
        <f>'BUS Deemed Savings Table '!J417</f>
        <v>14</v>
      </c>
      <c r="X564" s="2460"/>
      <c r="Y564" s="94">
        <f t="shared" si="364"/>
        <v>14</v>
      </c>
      <c r="Z564" s="767">
        <f>'BUS Deemed Savings Table '!DB417</f>
        <v>1.7313777399747763</v>
      </c>
      <c r="AA564" s="2419">
        <f>'BUS Deemed Savings Table '!K417</f>
        <v>105</v>
      </c>
      <c r="AB564" s="2431">
        <f t="shared" si="362"/>
        <v>171.58533524997782</v>
      </c>
      <c r="AC564" s="2431">
        <f t="shared" si="363"/>
        <v>0</v>
      </c>
      <c r="AD564" s="2446">
        <f>'BUS Deemed Savings Table '!DD417</f>
        <v>171.58533524997782</v>
      </c>
      <c r="AE564" s="2440"/>
      <c r="AF564" s="2440"/>
      <c r="AG564" s="2440"/>
      <c r="AL564" s="2380">
        <f t="shared" si="347"/>
        <v>1.379439E-4</v>
      </c>
      <c r="AM564">
        <f t="shared" si="360"/>
        <v>4.6916099829000003E-2</v>
      </c>
      <c r="AN564" s="2368">
        <f t="shared" si="348"/>
        <v>9.982900000399253E-8</v>
      </c>
    </row>
    <row r="565" spans="1:40" x14ac:dyDescent="0.25">
      <c r="A565" s="2598" t="str">
        <f>'BUS Deemed Savings Table '!C418</f>
        <v>804200_2019_12_</v>
      </c>
      <c r="B565" s="245" t="str">
        <f>'BUS Deemed Savings Table '!G418</f>
        <v>Miscellaneous BUS</v>
      </c>
      <c r="C565" s="245"/>
      <c r="D565" s="245"/>
      <c r="E565" s="245"/>
      <c r="F565" s="245" t="str">
        <f>'BUS Deemed Savings Table '!E418</f>
        <v>Clothes Dryer Ventless Electric, Compact (240V) (&lt;4.4 ft3)</v>
      </c>
      <c r="G565" s="745" t="str">
        <f>'BUS Deemed Savings Table '!D418</f>
        <v>C&amp;I</v>
      </c>
      <c r="H565" s="2410">
        <f>'BUS Deemed Savings Table '!F418</f>
        <v>428.66</v>
      </c>
      <c r="I565" s="2410"/>
      <c r="J565" s="2452"/>
      <c r="K565" s="2452"/>
      <c r="L565" s="2452"/>
      <c r="M565" s="2452"/>
      <c r="N565" s="2411">
        <f>'BUS Deemed Savings Table '!I418</f>
        <v>5.9131000000000003E-2</v>
      </c>
      <c r="O565" s="2411"/>
      <c r="P565" s="2412"/>
      <c r="Q565" s="2412"/>
      <c r="R565" s="2412"/>
      <c r="S565" s="2412"/>
      <c r="T565" s="2430">
        <f t="shared" si="337"/>
        <v>0</v>
      </c>
      <c r="U565" s="2430">
        <f t="shared" si="338"/>
        <v>5.9131000000000003E-2</v>
      </c>
      <c r="V565" s="2430">
        <f t="shared" si="339"/>
        <v>0</v>
      </c>
      <c r="W565" s="2460">
        <f>'BUS Deemed Savings Table '!J418</f>
        <v>14</v>
      </c>
      <c r="X565" s="2460"/>
      <c r="Y565" s="94">
        <f t="shared" si="364"/>
        <v>14</v>
      </c>
      <c r="Z565" s="767">
        <f>'BUS Deemed Savings Table '!DB418</f>
        <v>2.1821539561247469</v>
      </c>
      <c r="AA565" s="2419">
        <f>'BUS Deemed Savings Table '!K418</f>
        <v>105</v>
      </c>
      <c r="AB565" s="2431">
        <f t="shared" si="362"/>
        <v>216.25876865795036</v>
      </c>
      <c r="AC565" s="2431">
        <f t="shared" si="363"/>
        <v>0</v>
      </c>
      <c r="AD565" s="2446">
        <f>'BUS Deemed Savings Table '!DD418</f>
        <v>216.25876865795036</v>
      </c>
      <c r="AE565" s="2440"/>
      <c r="AF565" s="2440"/>
      <c r="AG565" s="2440"/>
      <c r="AL565" s="2380">
        <f t="shared" si="347"/>
        <v>1.379439E-4</v>
      </c>
      <c r="AM565">
        <f t="shared" si="360"/>
        <v>5.9131032174000002E-2</v>
      </c>
      <c r="AN565" s="2368">
        <f t="shared" si="348"/>
        <v>3.2173999998941216E-8</v>
      </c>
    </row>
    <row r="566" spans="1:40" x14ac:dyDescent="0.25">
      <c r="A566" s="2598" t="str">
        <f>'BUS Deemed Savings Table '!C419</f>
        <v>804250_2019_12_</v>
      </c>
      <c r="B566" s="245" t="str">
        <f>'BUS Deemed Savings Table '!G419</f>
        <v>Miscellaneous BUS</v>
      </c>
      <c r="C566" s="245"/>
      <c r="D566" s="245"/>
      <c r="E566" s="245"/>
      <c r="F566" s="245" t="str">
        <f>'BUS Deemed Savings Table '!E419</f>
        <v>Clothes Dryer Vented Gas</v>
      </c>
      <c r="G566" s="745" t="str">
        <f>'BUS Deemed Savings Table '!D419</f>
        <v>C&amp;I</v>
      </c>
      <c r="H566" s="2410">
        <f>'BUS Deemed Savings Table '!F419</f>
        <v>40.57</v>
      </c>
      <c r="I566" s="2410"/>
      <c r="J566" s="2452"/>
      <c r="K566" s="2452"/>
      <c r="L566" s="2452"/>
      <c r="M566" s="2452"/>
      <c r="N566" s="2411">
        <f>'BUS Deemed Savings Table '!I419</f>
        <v>5.5960000000000003E-3</v>
      </c>
      <c r="O566" s="2411"/>
      <c r="P566" s="2412"/>
      <c r="Q566" s="2412"/>
      <c r="R566" s="2412"/>
      <c r="S566" s="2412"/>
      <c r="T566" s="2430">
        <f t="shared" si="337"/>
        <v>0</v>
      </c>
      <c r="U566" s="2430">
        <f t="shared" si="338"/>
        <v>5.5960000000000003E-3</v>
      </c>
      <c r="V566" s="2430">
        <f t="shared" si="339"/>
        <v>0</v>
      </c>
      <c r="W566" s="2460">
        <f>'BUS Deemed Savings Table '!J419</f>
        <v>14</v>
      </c>
      <c r="X566" s="2460"/>
      <c r="Y566" s="94">
        <f t="shared" si="364"/>
        <v>14</v>
      </c>
      <c r="Z566" s="767">
        <f>'BUS Deemed Savings Table '!DB419</f>
        <v>0.28913819903880317</v>
      </c>
      <c r="AA566" s="2419">
        <f>'BUS Deemed Savings Table '!K419</f>
        <v>75</v>
      </c>
      <c r="AB566" s="2431">
        <f t="shared" si="362"/>
        <v>20.467545944228632</v>
      </c>
      <c r="AC566" s="2431">
        <f t="shared" si="363"/>
        <v>0</v>
      </c>
      <c r="AD566" s="2446">
        <f>'BUS Deemed Savings Table '!DD419</f>
        <v>20.467545944228632</v>
      </c>
      <c r="AE566" s="2440"/>
      <c r="AF566" s="2440"/>
      <c r="AG566" s="2440"/>
      <c r="AL566" s="2380">
        <f t="shared" si="347"/>
        <v>1.379439E-4</v>
      </c>
      <c r="AM566">
        <f t="shared" si="360"/>
        <v>5.5963840229999997E-3</v>
      </c>
      <c r="AN566" s="2368">
        <f t="shared" si="348"/>
        <v>3.8402299999944906E-7</v>
      </c>
    </row>
    <row r="567" spans="1:40" x14ac:dyDescent="0.25">
      <c r="A567" s="2598" t="str">
        <f>'BUS Deemed Savings Table '!C439</f>
        <v>804300_2019_12_</v>
      </c>
      <c r="B567" s="245" t="str">
        <f>'BUS Deemed Savings Table '!G439</f>
        <v>Air Comp BUS</v>
      </c>
      <c r="C567" s="245"/>
      <c r="D567" s="245"/>
      <c r="E567" s="245"/>
      <c r="F567" s="245" t="str">
        <f>'BUS Deemed Savings Table '!E439</f>
        <v>No Loss Condensate Drain (Reciprocating - On/off Control)</v>
      </c>
      <c r="G567" s="745" t="str">
        <f>'BUS Deemed Savings Table '!D439</f>
        <v>C&amp;I</v>
      </c>
      <c r="H567" s="2410">
        <f>'BUS Deemed Savings Table '!F439</f>
        <v>3272.26</v>
      </c>
      <c r="I567" s="2410"/>
      <c r="J567" s="2452"/>
      <c r="K567" s="2452"/>
      <c r="L567" s="2452"/>
      <c r="M567" s="2452"/>
      <c r="N567" s="2411">
        <f>'BUS Deemed Savings Table '!I439</f>
        <v>0.45138800000000001</v>
      </c>
      <c r="O567" s="2411"/>
      <c r="P567" s="2412"/>
      <c r="Q567" s="2412"/>
      <c r="R567" s="2412"/>
      <c r="S567" s="2412"/>
      <c r="T567" s="2430">
        <f t="shared" si="337"/>
        <v>0</v>
      </c>
      <c r="U567" s="2430">
        <f t="shared" si="338"/>
        <v>0.45138800000000001</v>
      </c>
      <c r="V567" s="2430">
        <f t="shared" si="339"/>
        <v>0</v>
      </c>
      <c r="W567" s="2460">
        <f>'BUS Deemed Savings Table '!J439</f>
        <v>13</v>
      </c>
      <c r="X567" s="2460"/>
      <c r="Y567" s="94">
        <f t="shared" si="364"/>
        <v>13</v>
      </c>
      <c r="Z567" s="767">
        <f>'BUS Deemed Savings Table '!DB439</f>
        <v>2.3362622986271173</v>
      </c>
      <c r="AA567" s="2419">
        <f>'BUS Deemed Savings Table '!K439</f>
        <v>700</v>
      </c>
      <c r="AB567" s="2431">
        <f t="shared" si="362"/>
        <v>1543.5428117404265</v>
      </c>
      <c r="AC567" s="2431">
        <f t="shared" si="363"/>
        <v>0</v>
      </c>
      <c r="AD567" s="2446">
        <f>'BUS Deemed Savings Table '!DD439</f>
        <v>1543.5428117404265</v>
      </c>
      <c r="AE567" s="2440"/>
      <c r="AF567" s="2440"/>
      <c r="AG567" s="2440"/>
      <c r="AL567" s="2380">
        <f t="shared" si="347"/>
        <v>1.379439E-4</v>
      </c>
      <c r="AM567">
        <f t="shared" si="360"/>
        <v>0.451388306214</v>
      </c>
      <c r="AN567" s="2368">
        <f t="shared" si="348"/>
        <v>3.0621399998986831E-7</v>
      </c>
    </row>
    <row r="568" spans="1:40" x14ac:dyDescent="0.25">
      <c r="A568" s="2598" t="str">
        <f>'BUS Deemed Savings Table '!C440</f>
        <v>804350_2019_12_</v>
      </c>
      <c r="B568" s="245" t="str">
        <f>'BUS Deemed Savings Table '!G440</f>
        <v>Air Comp BUS</v>
      </c>
      <c r="C568" s="245"/>
      <c r="D568" s="245"/>
      <c r="E568" s="245"/>
      <c r="F568" s="245" t="str">
        <f>'BUS Deemed Savings Table '!E440</f>
        <v>No Loss Condensate Drain (Reciprocating - Load/Unload)</v>
      </c>
      <c r="G568" s="745" t="str">
        <f>'BUS Deemed Savings Table '!D440</f>
        <v>C&amp;I</v>
      </c>
      <c r="H568" s="2410">
        <f>'BUS Deemed Savings Table '!F440</f>
        <v>2418.62</v>
      </c>
      <c r="I568" s="2410"/>
      <c r="J568" s="2452"/>
      <c r="K568" s="2452"/>
      <c r="L568" s="2452"/>
      <c r="M568" s="2452"/>
      <c r="N568" s="2411">
        <f>'BUS Deemed Savings Table '!I440</f>
        <v>0.33363399999999999</v>
      </c>
      <c r="O568" s="2411"/>
      <c r="P568" s="2412"/>
      <c r="Q568" s="2412"/>
      <c r="R568" s="2412"/>
      <c r="S568" s="2412"/>
      <c r="T568" s="2430">
        <f t="shared" si="337"/>
        <v>0</v>
      </c>
      <c r="U568" s="2430">
        <f t="shared" si="338"/>
        <v>0.33363399999999999</v>
      </c>
      <c r="V568" s="2430">
        <f t="shared" si="339"/>
        <v>0</v>
      </c>
      <c r="W568" s="2460">
        <f>'BUS Deemed Savings Table '!J440</f>
        <v>13</v>
      </c>
      <c r="X568" s="2460"/>
      <c r="Y568" s="94">
        <f t="shared" ref="Y568:Y574" si="365">X568+W568</f>
        <v>13</v>
      </c>
      <c r="Z568" s="767">
        <f>'BUS Deemed Savings Table '!DB440</f>
        <v>1.7267976018731757</v>
      </c>
      <c r="AA568" s="2419">
        <f>'BUS Deemed Savings Table '!K440</f>
        <v>700</v>
      </c>
      <c r="AB568" s="2431">
        <f t="shared" si="362"/>
        <v>1140.8761881181904</v>
      </c>
      <c r="AC568" s="2431">
        <f t="shared" si="363"/>
        <v>0</v>
      </c>
      <c r="AD568" s="2446">
        <f>'BUS Deemed Savings Table '!DD440</f>
        <v>1140.8761881181904</v>
      </c>
      <c r="AE568" s="2440"/>
      <c r="AF568" s="2440"/>
      <c r="AG568" s="2440"/>
      <c r="AL568" s="2380">
        <f t="shared" si="347"/>
        <v>1.379439E-4</v>
      </c>
      <c r="AM568">
        <f t="shared" si="360"/>
        <v>0.33363387541799999</v>
      </c>
      <c r="AN568" s="2368">
        <f t="shared" si="348"/>
        <v>-1.24581999993989E-7</v>
      </c>
    </row>
    <row r="569" spans="1:40" x14ac:dyDescent="0.25">
      <c r="A569" s="2598" t="str">
        <f>'BUS Deemed Savings Table '!C441</f>
        <v>804400_2019_12_</v>
      </c>
      <c r="B569" s="245" t="str">
        <f>'BUS Deemed Savings Table '!G441</f>
        <v>Air Comp BUS</v>
      </c>
      <c r="C569" s="245"/>
      <c r="D569" s="245"/>
      <c r="E569" s="245"/>
      <c r="F569" s="245" t="str">
        <f>'BUS Deemed Savings Table '!E441</f>
        <v>No Loss Condensate Drain (Screw - Load/Unload)</v>
      </c>
      <c r="G569" s="745" t="str">
        <f>'BUS Deemed Savings Table '!D441</f>
        <v>C&amp;I</v>
      </c>
      <c r="H569" s="2410">
        <f>'BUS Deemed Savings Table '!F441</f>
        <v>2703.17</v>
      </c>
      <c r="I569" s="2410"/>
      <c r="J569" s="2452"/>
      <c r="K569" s="2452"/>
      <c r="L569" s="2452"/>
      <c r="M569" s="2452"/>
      <c r="N569" s="2411">
        <f>'BUS Deemed Savings Table '!I441</f>
        <v>0.372886</v>
      </c>
      <c r="O569" s="2411"/>
      <c r="P569" s="2412"/>
      <c r="Q569" s="2412"/>
      <c r="R569" s="2412"/>
      <c r="S569" s="2412"/>
      <c r="T569" s="2430">
        <f t="shared" si="337"/>
        <v>0</v>
      </c>
      <c r="U569" s="2430">
        <f t="shared" si="338"/>
        <v>0.372886</v>
      </c>
      <c r="V569" s="2430">
        <f t="shared" si="339"/>
        <v>0</v>
      </c>
      <c r="W569" s="2460">
        <f>'BUS Deemed Savings Table '!J441</f>
        <v>13</v>
      </c>
      <c r="X569" s="2460"/>
      <c r="Y569" s="94">
        <f t="shared" si="365"/>
        <v>13</v>
      </c>
      <c r="Z569" s="767">
        <f>'BUS Deemed Savings Table '!DB441</f>
        <v>1.9299548806573634</v>
      </c>
      <c r="AA569" s="2419">
        <f>'BUS Deemed Savings Table '!K441</f>
        <v>700</v>
      </c>
      <c r="AB569" s="2431">
        <f t="shared" si="362"/>
        <v>1275.0999683437037</v>
      </c>
      <c r="AC569" s="2431">
        <f t="shared" si="363"/>
        <v>0</v>
      </c>
      <c r="AD569" s="2446">
        <f>'BUS Deemed Savings Table '!DD441</f>
        <v>1275.0999683437037</v>
      </c>
      <c r="AE569" s="2440"/>
      <c r="AF569" s="2440"/>
      <c r="AG569" s="2440"/>
      <c r="AL569" s="2380">
        <f t="shared" si="347"/>
        <v>1.379439E-4</v>
      </c>
      <c r="AM569">
        <f t="shared" si="360"/>
        <v>0.37288581216299999</v>
      </c>
      <c r="AN569" s="2368">
        <f t="shared" si="348"/>
        <v>-1.8783700000968295E-7</v>
      </c>
    </row>
    <row r="570" spans="1:40" x14ac:dyDescent="0.25">
      <c r="A570" s="2598" t="str">
        <f>'BUS Deemed Savings Table '!C442</f>
        <v>804450_2019_12_</v>
      </c>
      <c r="B570" s="245" t="str">
        <f>'BUS Deemed Savings Table '!G442</f>
        <v>Air Comp BUS</v>
      </c>
      <c r="C570" s="245"/>
      <c r="D570" s="245"/>
      <c r="E570" s="245"/>
      <c r="F570" s="245" t="str">
        <f>'BUS Deemed Savings Table '!E442</f>
        <v>No Loss Condensate Drain (Screw - Inlet Modulation)</v>
      </c>
      <c r="G570" s="745" t="str">
        <f>'BUS Deemed Savings Table '!D442</f>
        <v>C&amp;I</v>
      </c>
      <c r="H570" s="2410">
        <f>'BUS Deemed Savings Table '!F442</f>
        <v>978.12</v>
      </c>
      <c r="I570" s="2410"/>
      <c r="J570" s="2452"/>
      <c r="K570" s="2452"/>
      <c r="L570" s="2452"/>
      <c r="M570" s="2452"/>
      <c r="N570" s="2411">
        <f>'BUS Deemed Savings Table '!I442</f>
        <v>0.13492599999999999</v>
      </c>
      <c r="O570" s="2411"/>
      <c r="P570" s="2412"/>
      <c r="Q570" s="2412"/>
      <c r="R570" s="2412"/>
      <c r="S570" s="2412"/>
      <c r="T570" s="2430">
        <f t="shared" si="337"/>
        <v>0</v>
      </c>
      <c r="U570" s="2430">
        <f t="shared" si="338"/>
        <v>0.13492599999999999</v>
      </c>
      <c r="V570" s="2430">
        <f t="shared" si="339"/>
        <v>0</v>
      </c>
      <c r="W570" s="2460">
        <f>'BUS Deemed Savings Table '!J442</f>
        <v>13</v>
      </c>
      <c r="X570" s="2460"/>
      <c r="Y570" s="94">
        <f t="shared" si="365"/>
        <v>13</v>
      </c>
      <c r="Z570" s="767">
        <f>'BUS Deemed Savings Table '!DB442</f>
        <v>0.69833842039848781</v>
      </c>
      <c r="AA570" s="2419">
        <f>'BUS Deemed Savings Table '!K442</f>
        <v>700</v>
      </c>
      <c r="AB570" s="2431">
        <f t="shared" si="362"/>
        <v>461.38451560069973</v>
      </c>
      <c r="AC570" s="2431">
        <f t="shared" si="363"/>
        <v>0</v>
      </c>
      <c r="AD570" s="2446">
        <f>'BUS Deemed Savings Table '!DD442</f>
        <v>461.38451560069973</v>
      </c>
      <c r="AE570" s="2440"/>
      <c r="AF570" s="2440"/>
      <c r="AG570" s="2440"/>
      <c r="AL570" s="2380">
        <f t="shared" si="347"/>
        <v>1.379439E-4</v>
      </c>
      <c r="AM570">
        <f t="shared" si="360"/>
        <v>0.13492568746799999</v>
      </c>
      <c r="AN570" s="2368">
        <f t="shared" si="348"/>
        <v>-3.1253200000191939E-7</v>
      </c>
    </row>
    <row r="571" spans="1:40" x14ac:dyDescent="0.25">
      <c r="A571" s="2598" t="str">
        <f>'BUS Deemed Savings Table '!C443</f>
        <v>804500_2019_12_</v>
      </c>
      <c r="B571" s="245" t="str">
        <f>'BUS Deemed Savings Table '!G443</f>
        <v>Air Comp BUS</v>
      </c>
      <c r="C571" s="245"/>
      <c r="D571" s="245"/>
      <c r="E571" s="245"/>
      <c r="F571" s="245" t="str">
        <f>'BUS Deemed Savings Table '!E443</f>
        <v>No Loss Condensate Drain (Screw - Inlet Modulation w/ Unloading)</v>
      </c>
      <c r="G571" s="745" t="str">
        <f>'BUS Deemed Savings Table '!D443</f>
        <v>C&amp;I</v>
      </c>
      <c r="H571" s="2410">
        <f>'BUS Deemed Savings Table '!F443</f>
        <v>978.12</v>
      </c>
      <c r="I571" s="2410"/>
      <c r="J571" s="2452"/>
      <c r="K571" s="2452"/>
      <c r="L571" s="2452"/>
      <c r="M571" s="2452"/>
      <c r="N571" s="2411">
        <f>'BUS Deemed Savings Table '!I443</f>
        <v>0.13492599999999999</v>
      </c>
      <c r="O571" s="2411"/>
      <c r="P571" s="2412"/>
      <c r="Q571" s="2412"/>
      <c r="R571" s="2412"/>
      <c r="S571" s="2412"/>
      <c r="T571" s="2430">
        <f t="shared" si="337"/>
        <v>0</v>
      </c>
      <c r="U571" s="2430">
        <f t="shared" si="338"/>
        <v>0.13492599999999999</v>
      </c>
      <c r="V571" s="2430">
        <f t="shared" si="339"/>
        <v>0</v>
      </c>
      <c r="W571" s="2460">
        <f>'BUS Deemed Savings Table '!J443</f>
        <v>13</v>
      </c>
      <c r="X571" s="2460"/>
      <c r="Y571" s="94">
        <f t="shared" si="365"/>
        <v>13</v>
      </c>
      <c r="Z571" s="767">
        <f>'BUS Deemed Savings Table '!DB443</f>
        <v>0.69833842039848781</v>
      </c>
      <c r="AA571" s="2419">
        <f>'BUS Deemed Savings Table '!K443</f>
        <v>700</v>
      </c>
      <c r="AB571" s="2431">
        <f t="shared" si="362"/>
        <v>461.38451560069973</v>
      </c>
      <c r="AC571" s="2431">
        <f t="shared" si="363"/>
        <v>0</v>
      </c>
      <c r="AD571" s="2446">
        <f>'BUS Deemed Savings Table '!DD443</f>
        <v>461.38451560069973</v>
      </c>
      <c r="AE571" s="2440"/>
      <c r="AF571" s="2440"/>
      <c r="AG571" s="2440"/>
      <c r="AL571" s="2380">
        <f t="shared" si="347"/>
        <v>1.379439E-4</v>
      </c>
      <c r="AM571">
        <f t="shared" si="360"/>
        <v>0.13492568746799999</v>
      </c>
      <c r="AN571" s="2368">
        <f t="shared" si="348"/>
        <v>-3.1253200000191939E-7</v>
      </c>
    </row>
    <row r="572" spans="1:40" x14ac:dyDescent="0.25">
      <c r="A572" s="2598" t="str">
        <f>'BUS Deemed Savings Table '!C444</f>
        <v>804550_2019_12_</v>
      </c>
      <c r="B572" s="245" t="str">
        <f>'BUS Deemed Savings Table '!G444</f>
        <v>Air Comp BUS</v>
      </c>
      <c r="C572" s="245"/>
      <c r="D572" s="245"/>
      <c r="E572" s="245"/>
      <c r="F572" s="245" t="str">
        <f>'BUS Deemed Savings Table '!E444</f>
        <v>No Loss Condensate Drain (Screw - Variable Displacement)</v>
      </c>
      <c r="G572" s="745" t="str">
        <f>'BUS Deemed Savings Table '!D444</f>
        <v>C&amp;I</v>
      </c>
      <c r="H572" s="2410">
        <f>'BUS Deemed Savings Table '!F444</f>
        <v>2720.95</v>
      </c>
      <c r="I572" s="2410"/>
      <c r="J572" s="2452"/>
      <c r="K572" s="2452"/>
      <c r="L572" s="2452"/>
      <c r="M572" s="2452"/>
      <c r="N572" s="2411">
        <f>'BUS Deemed Savings Table '!I444</f>
        <v>0.375338</v>
      </c>
      <c r="O572" s="2411"/>
      <c r="P572" s="2412"/>
      <c r="Q572" s="2412"/>
      <c r="R572" s="2412"/>
      <c r="S572" s="2412"/>
      <c r="T572" s="2430">
        <f t="shared" si="337"/>
        <v>0</v>
      </c>
      <c r="U572" s="2430">
        <f t="shared" si="338"/>
        <v>0.375338</v>
      </c>
      <c r="V572" s="2430">
        <f t="shared" si="339"/>
        <v>0</v>
      </c>
      <c r="W572" s="2460">
        <f>'BUS Deemed Savings Table '!J444</f>
        <v>13</v>
      </c>
      <c r="X572" s="2460"/>
      <c r="Y572" s="94">
        <f t="shared" si="365"/>
        <v>13</v>
      </c>
      <c r="Z572" s="767">
        <f>'BUS Deemed Savings Table '!DB444</f>
        <v>1.9426490870069779</v>
      </c>
      <c r="AA572" s="2419">
        <f>'BUS Deemed Savings Table '!K444</f>
        <v>700</v>
      </c>
      <c r="AB572" s="2431">
        <f t="shared" si="362"/>
        <v>1283.4868908965402</v>
      </c>
      <c r="AC572" s="2431">
        <f t="shared" si="363"/>
        <v>0</v>
      </c>
      <c r="AD572" s="2446">
        <f>'BUS Deemed Savings Table '!DD444</f>
        <v>1283.4868908965402</v>
      </c>
      <c r="AE572" s="2440"/>
      <c r="AF572" s="2440"/>
      <c r="AG572" s="2440"/>
      <c r="AL572" s="2380">
        <f t="shared" si="347"/>
        <v>1.379439E-4</v>
      </c>
      <c r="AM572">
        <f t="shared" si="360"/>
        <v>0.37533845470499999</v>
      </c>
      <c r="AN572" s="2368">
        <f t="shared" si="348"/>
        <v>4.5470499998589986E-7</v>
      </c>
    </row>
    <row r="573" spans="1:40" x14ac:dyDescent="0.25">
      <c r="A573" s="2598" t="str">
        <f>'BUS Deemed Savings Table '!C445</f>
        <v>804600_2019_12_</v>
      </c>
      <c r="B573" s="245" t="str">
        <f>'BUS Deemed Savings Table '!G445</f>
        <v>Air Comp BUS</v>
      </c>
      <c r="C573" s="245"/>
      <c r="D573" s="245"/>
      <c r="E573" s="245"/>
      <c r="F573" s="245" t="str">
        <f>'BUS Deemed Savings Table '!E445</f>
        <v>No Loss Condensate Drain (Screw - VFD)</v>
      </c>
      <c r="G573" s="745" t="str">
        <f>'BUS Deemed Savings Table '!D445</f>
        <v>C&amp;I</v>
      </c>
      <c r="H573" s="2410">
        <f>'BUS Deemed Savings Table '!F445</f>
        <v>3165.55</v>
      </c>
      <c r="I573" s="2410"/>
      <c r="J573" s="2452"/>
      <c r="K573" s="2452"/>
      <c r="L573" s="2452"/>
      <c r="M573" s="2452"/>
      <c r="N573" s="2411">
        <f>'BUS Deemed Savings Table '!I445</f>
        <v>0.436668</v>
      </c>
      <c r="O573" s="2411"/>
      <c r="P573" s="2412"/>
      <c r="Q573" s="2412"/>
      <c r="R573" s="2412"/>
      <c r="S573" s="2412"/>
      <c r="T573" s="2430">
        <f t="shared" si="337"/>
        <v>0</v>
      </c>
      <c r="U573" s="2430">
        <f t="shared" si="338"/>
        <v>0.436668</v>
      </c>
      <c r="V573" s="2430">
        <f t="shared" si="339"/>
        <v>0</v>
      </c>
      <c r="W573" s="2460">
        <f>'BUS Deemed Savings Table '!J445</f>
        <v>13</v>
      </c>
      <c r="X573" s="2460"/>
      <c r="Y573" s="94">
        <f t="shared" si="365"/>
        <v>13</v>
      </c>
      <c r="Z573" s="767">
        <f>'BUS Deemed Savings Table '!DB445</f>
        <v>2.2600756417335637</v>
      </c>
      <c r="AA573" s="2419">
        <f>'BUS Deemed Savings Table '!K445</f>
        <v>700</v>
      </c>
      <c r="AB573" s="2431">
        <f t="shared" si="362"/>
        <v>1493.2071252604949</v>
      </c>
      <c r="AC573" s="2431">
        <f t="shared" si="363"/>
        <v>0</v>
      </c>
      <c r="AD573" s="2446">
        <f>'BUS Deemed Savings Table '!DD445</f>
        <v>1493.2071252604949</v>
      </c>
      <c r="AE573" s="2440"/>
      <c r="AF573" s="2440"/>
      <c r="AG573" s="2440"/>
      <c r="AL573" s="2380">
        <f t="shared" si="347"/>
        <v>1.379439E-4</v>
      </c>
      <c r="AM573">
        <f t="shared" si="360"/>
        <v>0.436668312645</v>
      </c>
      <c r="AN573" s="2368">
        <f t="shared" si="348"/>
        <v>3.1264500000016682E-7</v>
      </c>
    </row>
    <row r="574" spans="1:40" x14ac:dyDescent="0.25">
      <c r="A574" s="2598" t="str">
        <f>'BUS Deemed Savings Table '!C465</f>
        <v>804650_2019_12_</v>
      </c>
      <c r="B574" s="245" t="str">
        <f>'BUS Deemed Savings Table '!G465</f>
        <v>Air Comp BUS</v>
      </c>
      <c r="C574" s="245"/>
      <c r="D574" s="245"/>
      <c r="E574" s="245"/>
      <c r="F574" s="245" t="str">
        <f>'BUS Deemed Savings Table '!E465</f>
        <v>Compressed Air Nozzle (Reciprocating - On/off Control)</v>
      </c>
      <c r="G574" s="745" t="str">
        <f>'BUS Deemed Savings Table '!D465</f>
        <v>C&amp;I</v>
      </c>
      <c r="H574" s="2410">
        <f>'BUS Deemed Savings Table '!F465</f>
        <v>1547.21</v>
      </c>
      <c r="I574" s="2410"/>
      <c r="J574" s="2452"/>
      <c r="K574" s="2452"/>
      <c r="L574" s="2452"/>
      <c r="M574" s="2452"/>
      <c r="N574" s="2411">
        <f>'BUS Deemed Savings Table '!I465</f>
        <v>0.21342800000000001</v>
      </c>
      <c r="O574" s="2411"/>
      <c r="P574" s="2412"/>
      <c r="Q574" s="2412"/>
      <c r="R574" s="2412"/>
      <c r="S574" s="2412"/>
      <c r="T574" s="2430">
        <f t="shared" si="337"/>
        <v>0</v>
      </c>
      <c r="U574" s="2430">
        <f t="shared" si="338"/>
        <v>0</v>
      </c>
      <c r="V574" s="2430">
        <f t="shared" si="339"/>
        <v>0.21342800000000001</v>
      </c>
      <c r="W574" s="2460">
        <f>'BUS Deemed Savings Table '!J465</f>
        <v>15</v>
      </c>
      <c r="X574" s="2460"/>
      <c r="Y574" s="94">
        <f t="shared" si="365"/>
        <v>15</v>
      </c>
      <c r="Z574" s="767">
        <f>'BUS Deemed Savings Table '!DB465</f>
        <v>11.413575812861211</v>
      </c>
      <c r="AA574" s="2419">
        <f>'BUS Deemed Savings Table '!K465</f>
        <v>77</v>
      </c>
      <c r="AB574" s="2431">
        <f t="shared" si="362"/>
        <v>829.49064425702056</v>
      </c>
      <c r="AC574" s="2431">
        <f t="shared" si="363"/>
        <v>0</v>
      </c>
      <c r="AD574" s="2446">
        <f>'BUS Deemed Savings Table '!DD465</f>
        <v>829.49064425702056</v>
      </c>
      <c r="AE574" s="2440"/>
      <c r="AF574" s="2440"/>
      <c r="AG574" s="2440"/>
      <c r="AL574" s="2380">
        <f t="shared" si="347"/>
        <v>1.379439E-4</v>
      </c>
      <c r="AM574">
        <f t="shared" si="360"/>
        <v>0.213428181519</v>
      </c>
      <c r="AN574" s="2368">
        <f t="shared" si="348"/>
        <v>1.8151899999763188E-7</v>
      </c>
    </row>
    <row r="575" spans="1:40" x14ac:dyDescent="0.25">
      <c r="A575" s="2598" t="str">
        <f>'BUS Deemed Savings Table '!C466</f>
        <v>804700_2019_12_</v>
      </c>
      <c r="B575" s="245" t="str">
        <f>'BUS Deemed Savings Table '!G466</f>
        <v>Air Comp BUS</v>
      </c>
      <c r="C575" s="245"/>
      <c r="D575" s="245"/>
      <c r="E575" s="245"/>
      <c r="F575" s="245" t="str">
        <f>'BUS Deemed Savings Table '!E466</f>
        <v>Compressed Air Nozzle (Reciprocating - Load/Unload)</v>
      </c>
      <c r="G575" s="745" t="str">
        <f>'BUS Deemed Savings Table '!D466</f>
        <v>C&amp;I</v>
      </c>
      <c r="H575" s="2410">
        <f>'BUS Deemed Savings Table '!F466</f>
        <v>1203.3800000000001</v>
      </c>
      <c r="I575" s="2410"/>
      <c r="J575" s="2452"/>
      <c r="K575" s="2452"/>
      <c r="L575" s="2452"/>
      <c r="M575" s="2452"/>
      <c r="N575" s="2411">
        <f>'BUS Deemed Savings Table '!I466</f>
        <v>0.16599900000000001</v>
      </c>
      <c r="O575" s="2411"/>
      <c r="P575" s="2412"/>
      <c r="Q575" s="2412"/>
      <c r="R575" s="2412"/>
      <c r="S575" s="2412"/>
      <c r="T575" s="2430">
        <f t="shared" si="337"/>
        <v>0</v>
      </c>
      <c r="U575" s="2430">
        <f t="shared" si="338"/>
        <v>0</v>
      </c>
      <c r="V575" s="2430">
        <f t="shared" si="339"/>
        <v>0.16599900000000001</v>
      </c>
      <c r="W575" s="2460">
        <f>'BUS Deemed Savings Table '!J466</f>
        <v>15</v>
      </c>
      <c r="X575" s="2460"/>
      <c r="Y575" s="94">
        <f t="shared" ref="Y575:Y581" si="366">X575+W575</f>
        <v>15</v>
      </c>
      <c r="Z575" s="767">
        <f>'BUS Deemed Savings Table '!DB466</f>
        <v>8.8771846495827482</v>
      </c>
      <c r="AA575" s="2419">
        <f>'BUS Deemed Savings Table '!K466</f>
        <v>77</v>
      </c>
      <c r="AB575" s="2431">
        <f t="shared" si="362"/>
        <v>645.15641153173351</v>
      </c>
      <c r="AC575" s="2431">
        <f t="shared" si="363"/>
        <v>0</v>
      </c>
      <c r="AD575" s="2446">
        <f>'BUS Deemed Savings Table '!DD466</f>
        <v>645.15641153173351</v>
      </c>
      <c r="AE575" s="2440"/>
      <c r="AF575" s="2440"/>
      <c r="AG575" s="2440"/>
      <c r="AL575" s="2380">
        <f t="shared" si="347"/>
        <v>1.379439E-4</v>
      </c>
      <c r="AM575">
        <f t="shared" si="360"/>
        <v>0.165998930382</v>
      </c>
      <c r="AN575" s="2368">
        <f t="shared" si="348"/>
        <v>-6.9618000003712766E-8</v>
      </c>
    </row>
    <row r="576" spans="1:40" x14ac:dyDescent="0.25">
      <c r="A576" s="2598" t="str">
        <f>'BUS Deemed Savings Table '!C467</f>
        <v>804750_2019_12_</v>
      </c>
      <c r="B576" s="245" t="str">
        <f>'BUS Deemed Savings Table '!G467</f>
        <v>Air Comp BUS</v>
      </c>
      <c r="C576" s="245"/>
      <c r="D576" s="245"/>
      <c r="E576" s="245"/>
      <c r="F576" s="245" t="str">
        <f>'BUS Deemed Savings Table '!E467</f>
        <v>Compressed Air Nozzle (Screw - Load/Unload)</v>
      </c>
      <c r="G576" s="745" t="str">
        <f>'BUS Deemed Savings Table '!D467</f>
        <v>C&amp;I</v>
      </c>
      <c r="H576" s="2410">
        <f>'BUS Deemed Savings Table '!F467</f>
        <v>1289.3399999999999</v>
      </c>
      <c r="I576" s="2410"/>
      <c r="J576" s="2452"/>
      <c r="K576" s="2452"/>
      <c r="L576" s="2452"/>
      <c r="M576" s="2452"/>
      <c r="N576" s="2411">
        <f>'BUS Deemed Savings Table '!I467</f>
        <v>0.17785699999999999</v>
      </c>
      <c r="O576" s="2411"/>
      <c r="P576" s="2412"/>
      <c r="Q576" s="2412"/>
      <c r="R576" s="2412"/>
      <c r="S576" s="2412"/>
      <c r="T576" s="2430">
        <f t="shared" si="337"/>
        <v>0</v>
      </c>
      <c r="U576" s="2430">
        <f t="shared" si="338"/>
        <v>0</v>
      </c>
      <c r="V576" s="2430">
        <f t="shared" si="339"/>
        <v>0.17785699999999999</v>
      </c>
      <c r="W576" s="2460">
        <f>'BUS Deemed Savings Table '!J467</f>
        <v>15</v>
      </c>
      <c r="X576" s="2460"/>
      <c r="Y576" s="94">
        <f t="shared" si="366"/>
        <v>15</v>
      </c>
      <c r="Z576" s="767">
        <f>'BUS Deemed Savings Table '!DB467</f>
        <v>9.5113008825915504</v>
      </c>
      <c r="AA576" s="2419">
        <f>'BUS Deemed Savings Table '!K467</f>
        <v>77</v>
      </c>
      <c r="AB576" s="2431">
        <f t="shared" si="362"/>
        <v>691.24131001373235</v>
      </c>
      <c r="AC576" s="2431">
        <f t="shared" si="363"/>
        <v>0</v>
      </c>
      <c r="AD576" s="2446">
        <f>'BUS Deemed Savings Table '!DD467</f>
        <v>691.24131001373235</v>
      </c>
      <c r="AE576" s="2440"/>
      <c r="AF576" s="2440"/>
      <c r="AG576" s="2440"/>
      <c r="AL576" s="2380">
        <f t="shared" si="347"/>
        <v>1.379439E-4</v>
      </c>
      <c r="AM576">
        <f t="shared" si="360"/>
        <v>0.17785658802599999</v>
      </c>
      <c r="AN576" s="2368">
        <f t="shared" si="348"/>
        <v>-4.1197399999748363E-7</v>
      </c>
    </row>
    <row r="577" spans="1:40" x14ac:dyDescent="0.25">
      <c r="A577" s="2598" t="str">
        <f>'BUS Deemed Savings Table '!C468</f>
        <v>804800_2019_12_</v>
      </c>
      <c r="B577" s="245" t="str">
        <f>'BUS Deemed Savings Table '!G468</f>
        <v>Air Comp BUS</v>
      </c>
      <c r="C577" s="245"/>
      <c r="D577" s="245"/>
      <c r="E577" s="245"/>
      <c r="F577" s="245" t="str">
        <f>'BUS Deemed Savings Table '!E468</f>
        <v>Compressed Air Nozzle (Screw - Inlet Modulation)</v>
      </c>
      <c r="G577" s="745" t="str">
        <f>'BUS Deemed Savings Table '!D468</f>
        <v>C&amp;I</v>
      </c>
      <c r="H577" s="2410">
        <f>'BUS Deemed Savings Table '!F468</f>
        <v>515.74</v>
      </c>
      <c r="I577" s="2410"/>
      <c r="J577" s="2452"/>
      <c r="K577" s="2452"/>
      <c r="L577" s="2452"/>
      <c r="M577" s="2452"/>
      <c r="N577" s="2411">
        <f>'BUS Deemed Savings Table '!I468</f>
        <v>7.1142999999999998E-2</v>
      </c>
      <c r="O577" s="2411"/>
      <c r="P577" s="2412"/>
      <c r="Q577" s="2412"/>
      <c r="R577" s="2412"/>
      <c r="S577" s="2412"/>
      <c r="T577" s="2430">
        <f t="shared" si="337"/>
        <v>0</v>
      </c>
      <c r="U577" s="2430">
        <f t="shared" si="338"/>
        <v>0</v>
      </c>
      <c r="V577" s="2430">
        <f t="shared" si="339"/>
        <v>7.1142999999999998E-2</v>
      </c>
      <c r="W577" s="2460">
        <f>'BUS Deemed Savings Table '!J468</f>
        <v>15</v>
      </c>
      <c r="X577" s="2460"/>
      <c r="Y577" s="94">
        <f t="shared" si="366"/>
        <v>15</v>
      </c>
      <c r="Z577" s="767">
        <f>'BUS Deemed Savings Table '!DB468</f>
        <v>3.8045498605393195</v>
      </c>
      <c r="AA577" s="2419">
        <f>'BUS Deemed Savings Table '!K468</f>
        <v>77</v>
      </c>
      <c r="AB577" s="2431">
        <f t="shared" si="362"/>
        <v>276.49866848657632</v>
      </c>
      <c r="AC577" s="2431">
        <f t="shared" si="363"/>
        <v>0</v>
      </c>
      <c r="AD577" s="2446">
        <f>'BUS Deemed Savings Table '!DD468</f>
        <v>276.49866848657632</v>
      </c>
      <c r="AE577" s="2440"/>
      <c r="AF577" s="2440"/>
      <c r="AG577" s="2440"/>
      <c r="AL577" s="2380">
        <f t="shared" si="347"/>
        <v>1.379439E-4</v>
      </c>
      <c r="AM577">
        <f t="shared" si="360"/>
        <v>7.1143186986000001E-2</v>
      </c>
      <c r="AN577" s="2368">
        <f t="shared" si="348"/>
        <v>1.8698600000310872E-7</v>
      </c>
    </row>
    <row r="578" spans="1:40" x14ac:dyDescent="0.25">
      <c r="A578" s="2598" t="str">
        <f>'BUS Deemed Savings Table '!C469</f>
        <v>804850_2019_12_</v>
      </c>
      <c r="B578" s="245" t="str">
        <f>'BUS Deemed Savings Table '!G469</f>
        <v>Air Comp BUS</v>
      </c>
      <c r="C578" s="245"/>
      <c r="D578" s="245"/>
      <c r="E578" s="245"/>
      <c r="F578" s="245" t="str">
        <f>'BUS Deemed Savings Table '!E469</f>
        <v>Compressed Air Nozzle (Screw - Inlet Modulation w/ Unloading)</v>
      </c>
      <c r="G578" s="745" t="str">
        <f>'BUS Deemed Savings Table '!D469</f>
        <v>C&amp;I</v>
      </c>
      <c r="H578" s="2410">
        <f>'BUS Deemed Savings Table '!F469</f>
        <v>515.74</v>
      </c>
      <c r="I578" s="2410"/>
      <c r="J578" s="2452"/>
      <c r="K578" s="2452"/>
      <c r="L578" s="2452"/>
      <c r="M578" s="2452"/>
      <c r="N578" s="2411">
        <f>'BUS Deemed Savings Table '!I469</f>
        <v>7.1142999999999998E-2</v>
      </c>
      <c r="O578" s="2411"/>
      <c r="P578" s="2412"/>
      <c r="Q578" s="2412"/>
      <c r="R578" s="2412"/>
      <c r="S578" s="2412"/>
      <c r="T578" s="2430">
        <f t="shared" si="337"/>
        <v>0</v>
      </c>
      <c r="U578" s="2430">
        <f t="shared" si="338"/>
        <v>0</v>
      </c>
      <c r="V578" s="2430">
        <f t="shared" si="339"/>
        <v>7.1142999999999998E-2</v>
      </c>
      <c r="W578" s="2460">
        <f>'BUS Deemed Savings Table '!J469</f>
        <v>15</v>
      </c>
      <c r="X578" s="2460"/>
      <c r="Y578" s="94">
        <f t="shared" si="366"/>
        <v>15</v>
      </c>
      <c r="Z578" s="767">
        <f>'BUS Deemed Savings Table '!DB469</f>
        <v>3.8045498605393195</v>
      </c>
      <c r="AA578" s="2419">
        <f>'BUS Deemed Savings Table '!K469</f>
        <v>77</v>
      </c>
      <c r="AB578" s="2431">
        <f t="shared" si="362"/>
        <v>276.49866848657632</v>
      </c>
      <c r="AC578" s="2431">
        <f t="shared" si="363"/>
        <v>0</v>
      </c>
      <c r="AD578" s="2446">
        <f>'BUS Deemed Savings Table '!DD469</f>
        <v>276.49866848657632</v>
      </c>
      <c r="AE578" s="2440"/>
      <c r="AF578" s="2440"/>
      <c r="AG578" s="2440"/>
      <c r="AL578" s="2380">
        <f t="shared" ref="AL578:AL603" si="367">VLOOKUP(B578,$AR$10:$AS$45,2,FALSE)</f>
        <v>1.379439E-4</v>
      </c>
      <c r="AM578">
        <f t="shared" si="360"/>
        <v>7.1143186986000001E-2</v>
      </c>
      <c r="AN578" s="2368">
        <f t="shared" ref="AN578:AN598" si="368">AM578-N578</f>
        <v>1.8698600000310872E-7</v>
      </c>
    </row>
    <row r="579" spans="1:40" x14ac:dyDescent="0.25">
      <c r="A579" s="2598" t="str">
        <f>'BUS Deemed Savings Table '!C470</f>
        <v>804900_2019_12_</v>
      </c>
      <c r="B579" s="245" t="str">
        <f>'BUS Deemed Savings Table '!G470</f>
        <v>Air Comp BUS</v>
      </c>
      <c r="C579" s="245"/>
      <c r="D579" s="245"/>
      <c r="E579" s="245"/>
      <c r="F579" s="245" t="str">
        <f>'BUS Deemed Savings Table '!E470</f>
        <v>Compressed Air Nozzle (Screw - Variable Displacement)</v>
      </c>
      <c r="G579" s="745" t="str">
        <f>'BUS Deemed Savings Table '!D470</f>
        <v>C&amp;I</v>
      </c>
      <c r="H579" s="2410">
        <f>'BUS Deemed Savings Table '!F470</f>
        <v>1289.3399999999999</v>
      </c>
      <c r="I579" s="2410"/>
      <c r="J579" s="2452"/>
      <c r="K579" s="2452"/>
      <c r="L579" s="2452"/>
      <c r="M579" s="2452"/>
      <c r="N579" s="2411">
        <f>'BUS Deemed Savings Table '!I470</f>
        <v>0.17785699999999999</v>
      </c>
      <c r="O579" s="2411"/>
      <c r="P579" s="2412"/>
      <c r="Q579" s="2412"/>
      <c r="R579" s="2412"/>
      <c r="S579" s="2412"/>
      <c r="T579" s="2430">
        <f>IF(U579+V579&gt;0,0,IF(Y579&gt;0,N579,0))</f>
        <v>0</v>
      </c>
      <c r="U579" s="2430">
        <f>IF(V579&gt;0,0,IF(Y579&gt;9,N579,0))</f>
        <v>0</v>
      </c>
      <c r="V579" s="2430">
        <f>IF(Y579&gt;14,N579,0)</f>
        <v>0.17785699999999999</v>
      </c>
      <c r="W579" s="2460">
        <f>'BUS Deemed Savings Table '!J470</f>
        <v>15</v>
      </c>
      <c r="X579" s="2460"/>
      <c r="Y579" s="94">
        <f t="shared" si="366"/>
        <v>15</v>
      </c>
      <c r="Z579" s="767">
        <f>'BUS Deemed Savings Table '!DB470</f>
        <v>9.5113008825915504</v>
      </c>
      <c r="AA579" s="2419">
        <f>'BUS Deemed Savings Table '!K470</f>
        <v>77</v>
      </c>
      <c r="AB579" s="2431">
        <f t="shared" si="362"/>
        <v>691.24131001373235</v>
      </c>
      <c r="AC579" s="2431">
        <f t="shared" si="363"/>
        <v>0</v>
      </c>
      <c r="AD579" s="2446">
        <f>'BUS Deemed Savings Table '!DD470</f>
        <v>691.24131001373235</v>
      </c>
      <c r="AE579" s="2440"/>
      <c r="AF579" s="2440"/>
      <c r="AG579" s="2440"/>
      <c r="AL579" s="2380">
        <f t="shared" si="367"/>
        <v>1.379439E-4</v>
      </c>
      <c r="AM579">
        <f t="shared" si="360"/>
        <v>0.17785658802599999</v>
      </c>
      <c r="AN579" s="2368">
        <f t="shared" si="368"/>
        <v>-4.1197399999748363E-7</v>
      </c>
    </row>
    <row r="580" spans="1:40" x14ac:dyDescent="0.25">
      <c r="A580" s="2598" t="str">
        <f>'BUS Deemed Savings Table '!C471</f>
        <v>804950_2019_12_</v>
      </c>
      <c r="B580" s="245" t="str">
        <f>'BUS Deemed Savings Table '!G471</f>
        <v>Air Comp BUS</v>
      </c>
      <c r="C580" s="245"/>
      <c r="D580" s="245"/>
      <c r="E580" s="245"/>
      <c r="F580" s="245" t="str">
        <f>'BUS Deemed Savings Table '!E471</f>
        <v>Compressed Air Nozzle (Screw - VFD)</v>
      </c>
      <c r="G580" s="745" t="str">
        <f>'BUS Deemed Savings Table '!D471</f>
        <v>C&amp;I</v>
      </c>
      <c r="H580" s="2410">
        <f>'BUS Deemed Savings Table '!F471</f>
        <v>1547.21</v>
      </c>
      <c r="I580" s="2410"/>
      <c r="J580" s="2452"/>
      <c r="K580" s="2452"/>
      <c r="L580" s="2452"/>
      <c r="M580" s="2452"/>
      <c r="N580" s="2411">
        <f>'BUS Deemed Savings Table '!I471</f>
        <v>0.21342800000000001</v>
      </c>
      <c r="O580" s="2411"/>
      <c r="P580" s="2412"/>
      <c r="Q580" s="2412"/>
      <c r="R580" s="2412"/>
      <c r="S580" s="2412"/>
      <c r="T580" s="2430">
        <f t="shared" ref="T580" si="369">IF(U580+V580&gt;0,0,IF(Y580&gt;0,N580,0))</f>
        <v>0</v>
      </c>
      <c r="U580" s="2430">
        <f t="shared" ref="U580" si="370">IF(V580&gt;0,0,IF(Y580&gt;9,N580,0))</f>
        <v>0</v>
      </c>
      <c r="V580" s="2430">
        <f t="shared" ref="V580" si="371">IF(Y580&gt;14,N580,0)</f>
        <v>0.21342800000000001</v>
      </c>
      <c r="W580" s="2460">
        <f>'BUS Deemed Savings Table '!J471</f>
        <v>15</v>
      </c>
      <c r="X580" s="2460"/>
      <c r="Y580" s="94">
        <f t="shared" si="366"/>
        <v>15</v>
      </c>
      <c r="Z580" s="767">
        <f>'BUS Deemed Savings Table '!DB471</f>
        <v>11.413575812861211</v>
      </c>
      <c r="AA580" s="2419">
        <f>'BUS Deemed Savings Table '!K471</f>
        <v>77</v>
      </c>
      <c r="AB580" s="2431">
        <f t="shared" si="362"/>
        <v>829.49064425702056</v>
      </c>
      <c r="AC580" s="2431">
        <f t="shared" si="363"/>
        <v>0</v>
      </c>
      <c r="AD580" s="2446">
        <f>'BUS Deemed Savings Table '!DD471</f>
        <v>829.49064425702056</v>
      </c>
      <c r="AE580" s="2440"/>
      <c r="AF580" s="2440"/>
      <c r="AG580" s="2440"/>
      <c r="AL580" s="2380">
        <f t="shared" si="367"/>
        <v>1.379439E-4</v>
      </c>
      <c r="AM580">
        <f t="shared" si="360"/>
        <v>0.213428181519</v>
      </c>
      <c r="AN580" s="2368">
        <f t="shared" si="368"/>
        <v>1.8151899999763188E-7</v>
      </c>
    </row>
    <row r="581" spans="1:40" x14ac:dyDescent="0.25">
      <c r="A581" s="2598" t="str">
        <f>'BUS Deemed Savings Table '!C491</f>
        <v>805000_2019_12_</v>
      </c>
      <c r="B581" s="245" t="str">
        <f>'BUS Deemed Savings Table '!G491</f>
        <v>Air Comp BUS</v>
      </c>
      <c r="C581" s="245"/>
      <c r="D581" s="245"/>
      <c r="E581" s="245"/>
      <c r="F581" s="245" t="str">
        <f>'BUS Deemed Savings Table '!E491</f>
        <v>VSD Air Compressor ≤ 40 HP</v>
      </c>
      <c r="G581" s="745" t="str">
        <f>'BUS Deemed Savings Table '!D491</f>
        <v>C&amp;I</v>
      </c>
      <c r="H581" s="2410">
        <f>'BUS Deemed Savings Table '!F491</f>
        <v>987.01</v>
      </c>
      <c r="I581" s="2410"/>
      <c r="J581" s="2452"/>
      <c r="K581" s="2452"/>
      <c r="L581" s="2452"/>
      <c r="M581" s="2452"/>
      <c r="N581" s="2411">
        <f>'BUS Deemed Savings Table '!I491</f>
        <v>0.136152</v>
      </c>
      <c r="O581" s="2411"/>
      <c r="P581" s="2412"/>
      <c r="Q581" s="2412"/>
      <c r="R581" s="2412"/>
      <c r="S581" s="2412"/>
      <c r="T581" s="2430">
        <f>IF(U581+V581&gt;0,0,IF(Y581&gt;0,N581,0))</f>
        <v>0</v>
      </c>
      <c r="U581" s="2430">
        <f>IF(V581&gt;0,0,IF(Y581&gt;9,N581,0))</f>
        <v>0.136152</v>
      </c>
      <c r="V581" s="2430">
        <f>IF(Y581&gt;14,N581,0)</f>
        <v>0</v>
      </c>
      <c r="W581" s="2460">
        <f>'BUS Deemed Savings Table '!J491</f>
        <v>10</v>
      </c>
      <c r="X581" s="2460"/>
      <c r="Y581" s="94">
        <f t="shared" si="366"/>
        <v>10</v>
      </c>
      <c r="Z581" s="767">
        <f>'BUS Deemed Savings Table '!DB491</f>
        <v>0.24288067398410285</v>
      </c>
      <c r="AA581" s="2419">
        <f>'BUS Deemed Savings Table '!K491</f>
        <v>1573</v>
      </c>
      <c r="AB581" s="2431">
        <f t="shared" si="362"/>
        <v>360.59584726474162</v>
      </c>
      <c r="AC581" s="2431">
        <f t="shared" si="363"/>
        <v>0</v>
      </c>
      <c r="AD581" s="2446">
        <f>'BUS Deemed Savings Table '!DD491</f>
        <v>360.59584726474162</v>
      </c>
      <c r="AE581" s="2440"/>
      <c r="AF581" s="2440"/>
      <c r="AG581" s="2440"/>
      <c r="AL581" s="2380">
        <f t="shared" si="367"/>
        <v>1.379439E-4</v>
      </c>
      <c r="AM581">
        <f t="shared" si="360"/>
        <v>0.13615200873899999</v>
      </c>
      <c r="AN581" s="2368">
        <f t="shared" si="368"/>
        <v>8.738999995872021E-9</v>
      </c>
    </row>
    <row r="582" spans="1:40" x14ac:dyDescent="0.25">
      <c r="A582" s="2598" t="str">
        <f>'BUS Deemed Savings Table '!C507</f>
        <v>805050_2019_12_</v>
      </c>
      <c r="B582" s="245" t="str">
        <f>'BUS Deemed Savings Table '!G507</f>
        <v>Cooking BUS</v>
      </c>
      <c r="C582" s="245"/>
      <c r="D582" s="245"/>
      <c r="E582" s="245"/>
      <c r="F582" s="245" t="str">
        <f>'BUS Deemed Savings Table '!E507</f>
        <v>Combination Oven (Pan Capacity &lt; 15)</v>
      </c>
      <c r="G582" s="745" t="str">
        <f>'BUS Deemed Savings Table '!D507</f>
        <v>C&amp;I</v>
      </c>
      <c r="H582" s="2410">
        <f>'BUS Deemed Savings Table '!F507</f>
        <v>6372.3</v>
      </c>
      <c r="I582" s="2410"/>
      <c r="J582" s="2452"/>
      <c r="K582" s="2452"/>
      <c r="L582" s="2452"/>
      <c r="M582" s="2452"/>
      <c r="N582" s="2411">
        <f>'BUS Deemed Savings Table '!I507</f>
        <v>1.27379</v>
      </c>
      <c r="O582" s="2411"/>
      <c r="P582" s="2412"/>
      <c r="Q582" s="2412"/>
      <c r="R582" s="2412"/>
      <c r="S582" s="2412"/>
      <c r="T582" s="2430">
        <f t="shared" ref="T582:T597" si="372">IF(U582+V582&gt;0,0,IF(Y582&gt;0,N582,0))</f>
        <v>0</v>
      </c>
      <c r="U582" s="2430">
        <f t="shared" ref="U582:U597" si="373">IF(V582&gt;0,0,IF(Y582&gt;9,N582,0))</f>
        <v>1.27379</v>
      </c>
      <c r="V582" s="2430">
        <f t="shared" ref="V582:V597" si="374">IF(Y582&gt;14,N582,0)</f>
        <v>0</v>
      </c>
      <c r="W582" s="2460">
        <f>'BUS Deemed Savings Table '!J507</f>
        <v>12</v>
      </c>
      <c r="X582" s="2460"/>
      <c r="Y582" s="94">
        <f t="shared" ref="Y582" si="375">X582+W582</f>
        <v>12</v>
      </c>
      <c r="Z582" s="767">
        <f>'BUS Deemed Savings Table '!DB507</f>
        <v>0.79635009510895882</v>
      </c>
      <c r="AA582" s="2419">
        <f>'BUS Deemed Savings Table '!K507</f>
        <v>4300</v>
      </c>
      <c r="AB582" s="2431">
        <f t="shared" si="362"/>
        <v>3232.0013298428717</v>
      </c>
      <c r="AC582" s="2431">
        <f t="shared" si="363"/>
        <v>0</v>
      </c>
      <c r="AD582" s="2446">
        <f>'BUS Deemed Savings Table '!DD507</f>
        <v>3232.0013298428717</v>
      </c>
      <c r="AE582" s="2440"/>
      <c r="AF582" s="2440"/>
      <c r="AG582" s="2440"/>
      <c r="AL582" s="2380">
        <f t="shared" si="367"/>
        <v>1.998949E-4</v>
      </c>
      <c r="AM582">
        <f t="shared" si="360"/>
        <v>1.27379027127</v>
      </c>
      <c r="AN582" s="2368">
        <f t="shared" si="368"/>
        <v>2.7127000001847534E-7</v>
      </c>
    </row>
    <row r="583" spans="1:40" x14ac:dyDescent="0.25">
      <c r="A583" s="2598" t="str">
        <f>'BUS Deemed Savings Table '!C508</f>
        <v>805100_2019_12_</v>
      </c>
      <c r="B583" s="245" t="str">
        <f>'BUS Deemed Savings Table '!G508</f>
        <v>Cooking BUS</v>
      </c>
      <c r="C583" s="245"/>
      <c r="D583" s="245"/>
      <c r="E583" s="245"/>
      <c r="F583" s="245" t="str">
        <f>'BUS Deemed Savings Table '!E508</f>
        <v>Combination Oven (Pan Capacity ≥ 15)</v>
      </c>
      <c r="G583" s="745" t="str">
        <f>'BUS Deemed Savings Table '!D508</f>
        <v>C&amp;I</v>
      </c>
      <c r="H583" s="2410">
        <f>'BUS Deemed Savings Table '!F508</f>
        <v>11743.62</v>
      </c>
      <c r="I583" s="2410"/>
      <c r="J583" s="2452"/>
      <c r="K583" s="2452"/>
      <c r="L583" s="2452"/>
      <c r="M583" s="2452"/>
      <c r="N583" s="2411">
        <f>'BUS Deemed Savings Table '!I508</f>
        <v>2.3474900000000001</v>
      </c>
      <c r="O583" s="2411"/>
      <c r="P583" s="2412"/>
      <c r="Q583" s="2412"/>
      <c r="R583" s="2412"/>
      <c r="S583" s="2412"/>
      <c r="T583" s="2430">
        <f t="shared" si="372"/>
        <v>0</v>
      </c>
      <c r="U583" s="2430">
        <f t="shared" si="373"/>
        <v>2.3474900000000001</v>
      </c>
      <c r="V583" s="2430">
        <f t="shared" si="374"/>
        <v>0</v>
      </c>
      <c r="W583" s="2460">
        <f>'BUS Deemed Savings Table '!J508</f>
        <v>12</v>
      </c>
      <c r="X583" s="2460"/>
      <c r="Y583" s="94">
        <f t="shared" ref="Y583:Y584" si="376">X583+W583</f>
        <v>12</v>
      </c>
      <c r="Z583" s="767">
        <f>'BUS Deemed Savings Table '!DB508</f>
        <v>1.4676071283403906</v>
      </c>
      <c r="AA583" s="2419">
        <f>'BUS Deemed Savings Table '!K508</f>
        <v>4300</v>
      </c>
      <c r="AB583" s="2431">
        <f t="shared" si="362"/>
        <v>5956.3101952465113</v>
      </c>
      <c r="AC583" s="2431">
        <f t="shared" si="363"/>
        <v>0</v>
      </c>
      <c r="AD583" s="2446">
        <f>'BUS Deemed Savings Table '!DD508</f>
        <v>5956.3101952465113</v>
      </c>
      <c r="AE583" s="2440"/>
      <c r="AF583" s="2440"/>
      <c r="AG583" s="2440"/>
      <c r="AL583" s="2380">
        <f t="shared" si="367"/>
        <v>1.998949E-4</v>
      </c>
      <c r="AM583">
        <f t="shared" si="360"/>
        <v>2.3474897455380002</v>
      </c>
      <c r="AN583" s="2368">
        <f t="shared" si="368"/>
        <v>-2.544619999156339E-7</v>
      </c>
    </row>
    <row r="584" spans="1:40" x14ac:dyDescent="0.25">
      <c r="A584" s="2598" t="str">
        <f>'BUS Deemed Savings Table '!C530</f>
        <v>805150_2019_12_</v>
      </c>
      <c r="B584" s="245" t="str">
        <f>'BUS Deemed Savings Table '!G530</f>
        <v>Cooking BUS</v>
      </c>
      <c r="C584" s="245"/>
      <c r="D584" s="245"/>
      <c r="E584" s="245"/>
      <c r="F584" s="245" t="str">
        <f>'BUS Deemed Savings Table '!E530</f>
        <v>Standard Open Deep-Fat Fryer</v>
      </c>
      <c r="G584" s="745" t="str">
        <f>'BUS Deemed Savings Table '!D530</f>
        <v>C&amp;I</v>
      </c>
      <c r="H584" s="2410">
        <f>'BUS Deemed Savings Table '!F530</f>
        <v>952.31</v>
      </c>
      <c r="I584" s="2410"/>
      <c r="J584" s="2452"/>
      <c r="K584" s="2452"/>
      <c r="L584" s="2452"/>
      <c r="M584" s="2452"/>
      <c r="N584" s="2411">
        <f>'BUS Deemed Savings Table '!I530</f>
        <v>0.190362</v>
      </c>
      <c r="O584" s="2411"/>
      <c r="P584" s="2412"/>
      <c r="Q584" s="2412"/>
      <c r="R584" s="2412"/>
      <c r="S584" s="2412"/>
      <c r="T584" s="2430">
        <f t="shared" si="372"/>
        <v>0</v>
      </c>
      <c r="U584" s="2430">
        <f t="shared" si="373"/>
        <v>0.190362</v>
      </c>
      <c r="V584" s="2430">
        <f t="shared" si="374"/>
        <v>0</v>
      </c>
      <c r="W584" s="2460">
        <f>'BUS Deemed Savings Table '!J530</f>
        <v>12</v>
      </c>
      <c r="X584" s="2460"/>
      <c r="Y584" s="94">
        <f t="shared" si="376"/>
        <v>12</v>
      </c>
      <c r="Z584" s="767">
        <f>'BUS Deemed Savings Table '!DB530</f>
        <v>2.4368866470541128</v>
      </c>
      <c r="AA584" s="2419">
        <f>'BUS Deemed Savings Table '!K530</f>
        <v>210</v>
      </c>
      <c r="AB584" s="2431">
        <f t="shared" si="362"/>
        <v>483.00726369170707</v>
      </c>
      <c r="AC584" s="2431">
        <f t="shared" si="363"/>
        <v>0</v>
      </c>
      <c r="AD584" s="2446">
        <f>'BUS Deemed Savings Table '!DD530</f>
        <v>483.00726369170707</v>
      </c>
      <c r="AE584" s="2440"/>
      <c r="AF584" s="2440"/>
      <c r="AG584" s="2440"/>
      <c r="AL584" s="2380">
        <f t="shared" si="367"/>
        <v>1.998949E-4</v>
      </c>
      <c r="AM584">
        <f t="shared" si="360"/>
        <v>0.19036191221899998</v>
      </c>
      <c r="AN584" s="2368">
        <f t="shared" si="368"/>
        <v>-8.7781000024378386E-8</v>
      </c>
    </row>
    <row r="585" spans="1:40" x14ac:dyDescent="0.25">
      <c r="A585" s="2598" t="str">
        <f>'BUS Deemed Savings Table '!C531</f>
        <v>805200_2019_12_</v>
      </c>
      <c r="B585" s="245" t="str">
        <f>'BUS Deemed Savings Table '!G531</f>
        <v>Cooking BUS</v>
      </c>
      <c r="C585" s="245"/>
      <c r="D585" s="245"/>
      <c r="E585" s="245"/>
      <c r="F585" s="245" t="str">
        <f>'BUS Deemed Savings Table '!E531</f>
        <v>Large Vat Open Deep-Fat Fryer</v>
      </c>
      <c r="G585" s="745" t="str">
        <f>'BUS Deemed Savings Table '!D531</f>
        <v>C&amp;I</v>
      </c>
      <c r="H585" s="2410">
        <f>'BUS Deemed Savings Table '!F531</f>
        <v>2537.84</v>
      </c>
      <c r="I585" s="2410"/>
      <c r="J585" s="2452"/>
      <c r="K585" s="2452"/>
      <c r="L585" s="2452"/>
      <c r="M585" s="2452"/>
      <c r="N585" s="2411">
        <f>'BUS Deemed Savings Table '!I531</f>
        <v>0.507301</v>
      </c>
      <c r="O585" s="2411"/>
      <c r="P585" s="2412"/>
      <c r="Q585" s="2412"/>
      <c r="R585" s="2412"/>
      <c r="S585" s="2412"/>
      <c r="T585" s="2430">
        <f t="shared" si="372"/>
        <v>0</v>
      </c>
      <c r="U585" s="2430">
        <f t="shared" si="373"/>
        <v>0.507301</v>
      </c>
      <c r="V585" s="2430">
        <f t="shared" si="374"/>
        <v>0</v>
      </c>
      <c r="W585" s="2460">
        <f>'BUS Deemed Savings Table '!J531</f>
        <v>12</v>
      </c>
      <c r="X585" s="2460"/>
      <c r="Y585" s="94">
        <f t="shared" ref="Y585:Y586" si="377">X585+W585</f>
        <v>12</v>
      </c>
      <c r="Z585" s="2432"/>
      <c r="AA585" s="2419">
        <f>'BUS Deemed Savings Table '!K531</f>
        <v>0</v>
      </c>
      <c r="AB585" s="2431">
        <f t="shared" si="362"/>
        <v>1287.1808067618338</v>
      </c>
      <c r="AC585" s="2431">
        <f t="shared" si="363"/>
        <v>0</v>
      </c>
      <c r="AD585" s="2446">
        <f>'BUS Deemed Savings Table '!DD531</f>
        <v>1287.1808067618338</v>
      </c>
      <c r="AE585" s="2440"/>
      <c r="AF585" s="2440"/>
      <c r="AG585" s="2440"/>
      <c r="AL585" s="2380">
        <f t="shared" si="367"/>
        <v>1.998949E-4</v>
      </c>
      <c r="AM585">
        <f t="shared" si="360"/>
        <v>0.50730127301600003</v>
      </c>
      <c r="AN585" s="2368">
        <f t="shared" si="368"/>
        <v>2.7301600002971327E-7</v>
      </c>
    </row>
    <row r="586" spans="1:40" x14ac:dyDescent="0.25">
      <c r="A586" s="2598" t="str">
        <f>'BUS Deemed Savings Table '!C548</f>
        <v>805250_2019_12_</v>
      </c>
      <c r="B586" s="245" t="str">
        <f>'BUS Deemed Savings Table '!G548</f>
        <v>Cooking BUS</v>
      </c>
      <c r="C586" s="245"/>
      <c r="D586" s="245"/>
      <c r="E586" s="245"/>
      <c r="F586" s="245" t="str">
        <f>'BUS Deemed Savings Table '!E548</f>
        <v>Convection Oven (Full Size)</v>
      </c>
      <c r="G586" s="745" t="str">
        <f>'BUS Deemed Savings Table '!D548</f>
        <v>C&amp;I</v>
      </c>
      <c r="H586" s="2410">
        <f>'BUS Deemed Savings Table '!F548</f>
        <v>1938.47</v>
      </c>
      <c r="I586" s="2410"/>
      <c r="J586" s="2452"/>
      <c r="K586" s="2452"/>
      <c r="L586" s="2452"/>
      <c r="M586" s="2452"/>
      <c r="N586" s="2411">
        <f>'BUS Deemed Savings Table '!I548</f>
        <v>0.38749</v>
      </c>
      <c r="O586" s="2411"/>
      <c r="P586" s="2412"/>
      <c r="Q586" s="2412"/>
      <c r="R586" s="2412"/>
      <c r="S586" s="2412"/>
      <c r="T586" s="2430">
        <f t="shared" si="372"/>
        <v>0</v>
      </c>
      <c r="U586" s="2430">
        <f t="shared" si="373"/>
        <v>0.38749</v>
      </c>
      <c r="V586" s="2430">
        <f t="shared" si="374"/>
        <v>0</v>
      </c>
      <c r="W586" s="2460">
        <f>'BUS Deemed Savings Table '!J548</f>
        <v>12</v>
      </c>
      <c r="X586" s="2460"/>
      <c r="Y586" s="94">
        <f t="shared" si="377"/>
        <v>12</v>
      </c>
      <c r="Z586" s="2432"/>
      <c r="AA586" s="2419">
        <f>'BUS Deemed Savings Table '!K548</f>
        <v>0</v>
      </c>
      <c r="AB586" s="2431">
        <f t="shared" si="362"/>
        <v>983.18309211124892</v>
      </c>
      <c r="AC586" s="2431">
        <f t="shared" si="363"/>
        <v>0</v>
      </c>
      <c r="AD586" s="2446">
        <f>'BUS Deemed Savings Table '!DD548</f>
        <v>983.18309211124892</v>
      </c>
      <c r="AE586" s="2440"/>
      <c r="AF586" s="2440"/>
      <c r="AG586" s="2440"/>
      <c r="AL586" s="2380">
        <f t="shared" si="367"/>
        <v>1.998949E-4</v>
      </c>
      <c r="AM586">
        <f t="shared" si="360"/>
        <v>0.38749026680300003</v>
      </c>
      <c r="AN586" s="2368">
        <f t="shared" si="368"/>
        <v>2.6680300002634993E-7</v>
      </c>
    </row>
    <row r="587" spans="1:40" x14ac:dyDescent="0.25">
      <c r="A587" s="2598" t="str">
        <f>'BUS Deemed Savings Table '!C549</f>
        <v>805300_2019_12_</v>
      </c>
      <c r="B587" s="245" t="str">
        <f>'BUS Deemed Savings Table '!G549</f>
        <v>Cooking BUS</v>
      </c>
      <c r="C587" s="245"/>
      <c r="D587" s="245"/>
      <c r="E587" s="245"/>
      <c r="F587" s="245" t="str">
        <f>'BUS Deemed Savings Table '!E549</f>
        <v>Convection Oven (Half Size)</v>
      </c>
      <c r="G587" s="745" t="str">
        <f>'BUS Deemed Savings Table '!D549</f>
        <v>C&amp;I</v>
      </c>
      <c r="H587" s="2410">
        <f>'BUS Deemed Savings Table '!F549</f>
        <v>192.11</v>
      </c>
      <c r="I587" s="2410"/>
      <c r="J587" s="2452"/>
      <c r="K587" s="2452"/>
      <c r="L587" s="2452"/>
      <c r="M587" s="2452"/>
      <c r="N587" s="2411">
        <f>'BUS Deemed Savings Table '!I549</f>
        <v>3.8401999999999999E-2</v>
      </c>
      <c r="O587" s="2411"/>
      <c r="P587" s="2412"/>
      <c r="Q587" s="2412"/>
      <c r="R587" s="2412"/>
      <c r="S587" s="2412"/>
      <c r="T587" s="2430">
        <f t="shared" si="372"/>
        <v>0</v>
      </c>
      <c r="U587" s="2430">
        <f t="shared" si="373"/>
        <v>3.8401999999999999E-2</v>
      </c>
      <c r="V587" s="2430">
        <f t="shared" si="374"/>
        <v>0</v>
      </c>
      <c r="W587" s="2460">
        <f>'BUS Deemed Savings Table '!J549</f>
        <v>12</v>
      </c>
      <c r="X587" s="2460"/>
      <c r="Y587" s="94">
        <f t="shared" ref="Y587:Y588" si="378">X587+W587</f>
        <v>12</v>
      </c>
      <c r="Z587" s="2432"/>
      <c r="AA587" s="2419">
        <f>'BUS Deemed Savings Table '!K549</f>
        <v>0</v>
      </c>
      <c r="AB587" s="2431">
        <f t="shared" si="362"/>
        <v>97.437310778857565</v>
      </c>
      <c r="AC587" s="2431">
        <f t="shared" si="363"/>
        <v>0</v>
      </c>
      <c r="AD587" s="2446">
        <f>'BUS Deemed Savings Table '!DD549</f>
        <v>97.437310778857565</v>
      </c>
      <c r="AE587" s="2440"/>
      <c r="AF587" s="2440"/>
      <c r="AG587" s="2440"/>
      <c r="AL587" s="2380">
        <f t="shared" si="367"/>
        <v>1.998949E-4</v>
      </c>
      <c r="AM587">
        <f t="shared" si="360"/>
        <v>3.8401809239000002E-2</v>
      </c>
      <c r="AN587" s="2368">
        <f t="shared" si="368"/>
        <v>-1.907609999962645E-7</v>
      </c>
    </row>
    <row r="588" spans="1:40" x14ac:dyDescent="0.25">
      <c r="A588" s="2598" t="str">
        <f>'BUS Deemed Savings Table '!C566</f>
        <v>805350_2019_12_</v>
      </c>
      <c r="B588" s="245" t="str">
        <f>'BUS Deemed Savings Table '!G566</f>
        <v>Cooking BUS</v>
      </c>
      <c r="C588" s="245"/>
      <c r="D588" s="245"/>
      <c r="E588" s="245"/>
      <c r="F588" s="245" t="str">
        <f>'BUS Deemed Savings Table '!E566</f>
        <v>Griddle</v>
      </c>
      <c r="G588" s="745" t="str">
        <f>'BUS Deemed Savings Table '!D566</f>
        <v>C&amp;I</v>
      </c>
      <c r="H588" s="2410">
        <f>'BUS Deemed Savings Table '!F566</f>
        <v>1910.38</v>
      </c>
      <c r="I588" s="2410"/>
      <c r="J588" s="2452"/>
      <c r="K588" s="2452"/>
      <c r="L588" s="2452"/>
      <c r="M588" s="2452"/>
      <c r="N588" s="2411">
        <f>'BUS Deemed Savings Table '!I566</f>
        <v>0.38187500000000002</v>
      </c>
      <c r="O588" s="2411"/>
      <c r="P588" s="2412"/>
      <c r="Q588" s="2412"/>
      <c r="R588" s="2412"/>
      <c r="S588" s="2412"/>
      <c r="T588" s="2430">
        <f t="shared" si="372"/>
        <v>0</v>
      </c>
      <c r="U588" s="2430">
        <f t="shared" si="373"/>
        <v>0.38187500000000002</v>
      </c>
      <c r="V588" s="2430">
        <f t="shared" si="374"/>
        <v>0</v>
      </c>
      <c r="W588" s="2460">
        <f>'BUS Deemed Savings Table '!J566</f>
        <v>12</v>
      </c>
      <c r="X588" s="2460"/>
      <c r="Y588" s="94">
        <f t="shared" si="378"/>
        <v>12</v>
      </c>
      <c r="Z588" s="2432"/>
      <c r="AA588" s="2419">
        <f>'BUS Deemed Savings Table '!K566</f>
        <v>0</v>
      </c>
      <c r="AB588" s="2431">
        <f t="shared" si="362"/>
        <v>968.93597296191729</v>
      </c>
      <c r="AC588" s="2431">
        <f t="shared" si="363"/>
        <v>0</v>
      </c>
      <c r="AD588" s="2446">
        <f>'BUS Deemed Savings Table '!DD566</f>
        <v>968.93597296191729</v>
      </c>
      <c r="AE588" s="2440"/>
      <c r="AF588" s="2440"/>
      <c r="AG588" s="2440"/>
      <c r="AL588" s="2380">
        <f t="shared" si="367"/>
        <v>1.998949E-4</v>
      </c>
      <c r="AM588">
        <f t="shared" si="360"/>
        <v>0.381875219062</v>
      </c>
      <c r="AN588" s="2368">
        <f t="shared" si="368"/>
        <v>2.1906199998422693E-7</v>
      </c>
    </row>
    <row r="589" spans="1:40" x14ac:dyDescent="0.25">
      <c r="A589" s="2598" t="str">
        <f>'BUS Deemed Savings Table '!C582</f>
        <v>805400_2019_12_</v>
      </c>
      <c r="B589" s="245" t="str">
        <f>'BUS Deemed Savings Table '!G582</f>
        <v>Cooking BUS</v>
      </c>
      <c r="C589" s="245"/>
      <c r="D589" s="245"/>
      <c r="E589" s="245"/>
      <c r="F589" s="245" t="str">
        <f>'BUS Deemed Savings Table '!E582</f>
        <v>Kitchen Demand Ventillation Controls</v>
      </c>
      <c r="G589" s="745" t="str">
        <f>'BUS Deemed Savings Table '!D582</f>
        <v>C&amp;I</v>
      </c>
      <c r="H589" s="2410">
        <f>'BUS Deemed Savings Table '!F582</f>
        <v>3331.08</v>
      </c>
      <c r="I589" s="2410"/>
      <c r="J589" s="2452"/>
      <c r="K589" s="2452"/>
      <c r="L589" s="2452"/>
      <c r="M589" s="2452"/>
      <c r="N589" s="2411">
        <f>'BUS Deemed Savings Table '!I582</f>
        <v>0.66586599999999996</v>
      </c>
      <c r="O589" s="2411"/>
      <c r="P589" s="2412"/>
      <c r="Q589" s="2412"/>
      <c r="R589" s="2412"/>
      <c r="S589" s="2412"/>
      <c r="T589" s="2430">
        <f t="shared" si="372"/>
        <v>0</v>
      </c>
      <c r="U589" s="2430">
        <f t="shared" si="373"/>
        <v>0</v>
      </c>
      <c r="V589" s="2430">
        <f t="shared" si="374"/>
        <v>0.66586599999999996</v>
      </c>
      <c r="W589" s="2460">
        <f>'BUS Deemed Savings Table '!J582</f>
        <v>15</v>
      </c>
      <c r="X589" s="2460"/>
      <c r="Y589" s="94">
        <f t="shared" ref="Y589" si="379">X589+W589</f>
        <v>15</v>
      </c>
      <c r="Z589" s="767">
        <f>'BUS Deemed Savings Table '!DB582</f>
        <v>1.1041810286312905</v>
      </c>
      <c r="AA589" s="2419">
        <f>'BUS Deemed Savings Table '!K582</f>
        <v>1988</v>
      </c>
      <c r="AB589" s="2431">
        <f t="shared" si="362"/>
        <v>2071.837550655031</v>
      </c>
      <c r="AC589" s="2431">
        <f t="shared" si="363"/>
        <v>0</v>
      </c>
      <c r="AD589" s="2446">
        <f>'BUS Deemed Savings Table '!DD582</f>
        <v>2071.837550655031</v>
      </c>
      <c r="AE589" s="2440"/>
      <c r="AF589" s="2440"/>
      <c r="AG589" s="2440"/>
      <c r="AL589" s="2380">
        <f t="shared" si="367"/>
        <v>1.998949E-4</v>
      </c>
      <c r="AM589">
        <f t="shared" si="360"/>
        <v>0.66586590349200003</v>
      </c>
      <c r="AN589" s="2368">
        <f t="shared" si="368"/>
        <v>-9.6507999924888566E-8</v>
      </c>
    </row>
    <row r="590" spans="1:40" x14ac:dyDescent="0.25">
      <c r="A590" s="2598" t="str">
        <f>'BUS Deemed Savings Table '!C598</f>
        <v>805450_2019_12_</v>
      </c>
      <c r="B590" s="245" t="str">
        <f>'BUS Deemed Savings Table '!G598</f>
        <v>Cooking BUS</v>
      </c>
      <c r="C590" s="245"/>
      <c r="D590" s="245"/>
      <c r="E590" s="245"/>
      <c r="F590" s="245" t="str">
        <f>'BUS Deemed Savings Table '!E598</f>
        <v>Pre-Rinse Spray Valve</v>
      </c>
      <c r="G590" s="745" t="str">
        <f>'BUS Deemed Savings Table '!D598</f>
        <v>C&amp;I</v>
      </c>
      <c r="H590" s="2410">
        <f>'BUS Deemed Savings Table '!F598</f>
        <v>5786.53</v>
      </c>
      <c r="I590" s="2410"/>
      <c r="J590" s="2452"/>
      <c r="K590" s="2452"/>
      <c r="L590" s="2452"/>
      <c r="M590" s="2452"/>
      <c r="N590" s="2411">
        <f>'BUS Deemed Savings Table '!I598</f>
        <v>1.156698</v>
      </c>
      <c r="O590" s="2411"/>
      <c r="P590" s="2412"/>
      <c r="Q590" s="2412"/>
      <c r="R590" s="2412"/>
      <c r="S590" s="2412"/>
      <c r="T590" s="2430">
        <f t="shared" si="372"/>
        <v>1.156698</v>
      </c>
      <c r="U590" s="2430">
        <f t="shared" si="373"/>
        <v>0</v>
      </c>
      <c r="V590" s="2430">
        <f t="shared" si="374"/>
        <v>0</v>
      </c>
      <c r="W590" s="2460">
        <f>'BUS Deemed Savings Table '!J598</f>
        <v>5</v>
      </c>
      <c r="X590" s="2460"/>
      <c r="Y590" s="94">
        <f t="shared" ref="Y590" si="380">X590+W590</f>
        <v>5</v>
      </c>
      <c r="Z590" s="767">
        <f>'BUS Deemed Savings Table '!DB598</f>
        <v>13.620824362026044</v>
      </c>
      <c r="AA590" s="2419">
        <f>'BUS Deemed Savings Table '!K598</f>
        <v>92.9</v>
      </c>
      <c r="AB590" s="2431">
        <f t="shared" si="362"/>
        <v>1194.3129619936003</v>
      </c>
      <c r="AC590" s="2431">
        <f t="shared" si="363"/>
        <v>0</v>
      </c>
      <c r="AD590" s="2446">
        <f>'BUS Deemed Savings Table '!DD598</f>
        <v>1194.3129619936003</v>
      </c>
      <c r="AE590" s="2440"/>
      <c r="AF590" s="2440"/>
      <c r="AG590" s="2440"/>
      <c r="AL590" s="2380">
        <f t="shared" si="367"/>
        <v>1.998949E-4</v>
      </c>
      <c r="AM590">
        <f t="shared" si="360"/>
        <v>1.1566978356969999</v>
      </c>
      <c r="AN590" s="2368">
        <f t="shared" si="368"/>
        <v>-1.643030000941792E-7</v>
      </c>
    </row>
    <row r="591" spans="1:40" x14ac:dyDescent="0.25">
      <c r="A591" s="2598" t="str">
        <f>'BUS Deemed Savings Table '!C614</f>
        <v>805500_2019_12_</v>
      </c>
      <c r="B591" s="245" t="str">
        <f>'BUS Deemed Savings Table '!G614</f>
        <v>Water Heating BUS</v>
      </c>
      <c r="C591" s="245"/>
      <c r="D591" s="245"/>
      <c r="E591" s="245"/>
      <c r="F591" s="245" t="str">
        <f>'BUS Deemed Savings Table '!E614</f>
        <v>Low Flow Faucet Aerator</v>
      </c>
      <c r="G591" s="745" t="str">
        <f>'BUS Deemed Savings Table '!D614</f>
        <v>C&amp;I</v>
      </c>
      <c r="H591" s="2410">
        <f>'BUS Deemed Savings Table '!F614</f>
        <v>86.63</v>
      </c>
      <c r="I591" s="2410"/>
      <c r="J591" s="2452"/>
      <c r="K591" s="2452"/>
      <c r="L591" s="2452"/>
      <c r="M591" s="2452"/>
      <c r="N591" s="2411">
        <f>'BUS Deemed Savings Table '!I614</f>
        <v>1.5692999999999999E-2</v>
      </c>
      <c r="O591" s="2411"/>
      <c r="P591" s="2412"/>
      <c r="Q591" s="2412"/>
      <c r="R591" s="2412"/>
      <c r="S591" s="2412"/>
      <c r="T591" s="2430">
        <f t="shared" si="372"/>
        <v>1.5692999999999999E-2</v>
      </c>
      <c r="U591" s="2430">
        <f t="shared" si="373"/>
        <v>0</v>
      </c>
      <c r="V591" s="2430">
        <f t="shared" si="374"/>
        <v>0</v>
      </c>
      <c r="W591" s="2460">
        <f>'BUS Deemed Savings Table '!J614</f>
        <v>9</v>
      </c>
      <c r="X591" s="2460"/>
      <c r="Y591" s="94">
        <f t="shared" ref="Y591:Y592" si="381">X591+W591</f>
        <v>9</v>
      </c>
      <c r="Z591" s="767">
        <f>'BUS Deemed Savings Table '!DB614</f>
        <v>4.4408857087525675</v>
      </c>
      <c r="AA591" s="2419">
        <f>'BUS Deemed Savings Table '!K614</f>
        <v>8</v>
      </c>
      <c r="AB591" s="2431">
        <f t="shared" si="362"/>
        <v>33.531935507334154</v>
      </c>
      <c r="AC591" s="2431">
        <f t="shared" si="363"/>
        <v>0</v>
      </c>
      <c r="AD591" s="2446">
        <f>'BUS Deemed Savings Table '!DD614</f>
        <v>33.531935507334154</v>
      </c>
      <c r="AE591" s="2440"/>
      <c r="AF591" s="2440"/>
      <c r="AG591" s="2440"/>
      <c r="AL591" s="2380">
        <f t="shared" si="367"/>
        <v>1.811545E-4</v>
      </c>
      <c r="AM591">
        <f t="shared" si="360"/>
        <v>1.5693414334999999E-2</v>
      </c>
      <c r="AN591" s="2368">
        <f t="shared" si="368"/>
        <v>4.1433500000062629E-7</v>
      </c>
    </row>
    <row r="592" spans="1:40" x14ac:dyDescent="0.25">
      <c r="A592" s="2598" t="str">
        <f>'BUS Deemed Savings Table '!C630</f>
        <v>805550_2019_12_</v>
      </c>
      <c r="B592" s="245" t="str">
        <f>'BUS Deemed Savings Table '!G630</f>
        <v>Miscellaneous BUS</v>
      </c>
      <c r="C592" s="245"/>
      <c r="D592" s="245"/>
      <c r="E592" s="245"/>
      <c r="F592" s="245" t="str">
        <f>'BUS Deemed Savings Table '!E630</f>
        <v>Circulator Pump</v>
      </c>
      <c r="G592" s="745" t="str">
        <f>'BUS Deemed Savings Table '!D630</f>
        <v>C&amp;I</v>
      </c>
      <c r="H592" s="2410">
        <f>'BUS Deemed Savings Table '!F630</f>
        <v>651</v>
      </c>
      <c r="I592" s="2410"/>
      <c r="J592" s="2452"/>
      <c r="K592" s="2452"/>
      <c r="L592" s="2452"/>
      <c r="M592" s="2452"/>
      <c r="N592" s="2411">
        <f>'BUS Deemed Savings Table '!I630</f>
        <v>8.9801000000000006E-2</v>
      </c>
      <c r="O592" s="2411"/>
      <c r="P592" s="2412"/>
      <c r="Q592" s="2412"/>
      <c r="R592" s="2412"/>
      <c r="S592" s="2412"/>
      <c r="T592" s="2430">
        <f t="shared" si="372"/>
        <v>0</v>
      </c>
      <c r="U592" s="2430">
        <f t="shared" si="373"/>
        <v>0</v>
      </c>
      <c r="V592" s="2430">
        <f t="shared" si="374"/>
        <v>8.9801000000000006E-2</v>
      </c>
      <c r="W592" s="2460">
        <f>'BUS Deemed Savings Table '!J630</f>
        <v>15</v>
      </c>
      <c r="X592" s="2460"/>
      <c r="Y592" s="94">
        <f t="shared" si="381"/>
        <v>15</v>
      </c>
      <c r="Z592" s="767">
        <f>'BUS Deemed Savings Table '!DB630</f>
        <v>0.30815053912703838</v>
      </c>
      <c r="AA592" s="2419">
        <f>'BUS Deemed Savings Table '!K630</f>
        <v>1200</v>
      </c>
      <c r="AB592" s="2431">
        <f t="shared" si="362"/>
        <v>349.01429632132704</v>
      </c>
      <c r="AC592" s="2431">
        <f t="shared" si="363"/>
        <v>0</v>
      </c>
      <c r="AD592" s="2446">
        <f>'BUS Deemed Savings Table '!DD630</f>
        <v>349.01429632132704</v>
      </c>
      <c r="AE592" s="2440"/>
      <c r="AF592" s="2440"/>
      <c r="AG592" s="2440"/>
      <c r="AL592" s="2380">
        <f t="shared" si="367"/>
        <v>1.379439E-4</v>
      </c>
      <c r="AM592">
        <f t="shared" si="360"/>
        <v>8.9801478899999995E-2</v>
      </c>
      <c r="AN592" s="2368">
        <f t="shared" si="368"/>
        <v>4.7889999998940169E-7</v>
      </c>
    </row>
    <row r="593" spans="1:41" x14ac:dyDescent="0.25">
      <c r="A593" s="2598" t="str">
        <f>'BUS Deemed Savings Table '!C646</f>
        <v>805600_2019_12_</v>
      </c>
      <c r="B593" s="245" t="str">
        <f>'BUS Deemed Savings Table '!G646</f>
        <v>Cooling BUS</v>
      </c>
      <c r="C593" s="245"/>
      <c r="D593" s="245"/>
      <c r="E593" s="245"/>
      <c r="F593" s="245" t="str">
        <f>'BUS Deemed Savings Table '!E646</f>
        <v>Small Commercial Programmable Thermostats</v>
      </c>
      <c r="G593" s="745" t="str">
        <f>'BUS Deemed Savings Table '!D646</f>
        <v>C&amp;I</v>
      </c>
      <c r="H593" s="2410">
        <f>'BUS Deemed Savings Table '!F646</f>
        <v>0.03</v>
      </c>
      <c r="I593" s="2410"/>
      <c r="J593" s="2454"/>
      <c r="K593" s="2452"/>
      <c r="L593" s="2452"/>
      <c r="M593" s="2452"/>
      <c r="N593" s="2411">
        <f>'BUS Deemed Savings Table '!I646</f>
        <v>2.6999999999999999E-5</v>
      </c>
      <c r="O593" s="2411"/>
      <c r="P593" s="2412"/>
      <c r="Q593" s="2412"/>
      <c r="R593" s="2412"/>
      <c r="S593" s="2412"/>
      <c r="T593" s="2430">
        <f t="shared" si="372"/>
        <v>2.6999999999999999E-5</v>
      </c>
      <c r="U593" s="2430">
        <f t="shared" si="373"/>
        <v>0</v>
      </c>
      <c r="V593" s="2430">
        <f t="shared" si="374"/>
        <v>0</v>
      </c>
      <c r="W593" s="2460">
        <f>'BUS Deemed Savings Table '!J646</f>
        <v>8</v>
      </c>
      <c r="X593" s="2460"/>
      <c r="Y593" s="94">
        <f t="shared" ref="Y593" si="382">X593+W593</f>
        <v>8</v>
      </c>
      <c r="Z593" s="767">
        <f>'BUS Deemed Savings Table '!DB646</f>
        <v>1.3267360914294256E-4</v>
      </c>
      <c r="AA593" s="2419">
        <f>'BUS Deemed Savings Table '!K646</f>
        <v>181</v>
      </c>
      <c r="AB593" s="2431">
        <f t="shared" si="362"/>
        <v>2.2665335776189333E-2</v>
      </c>
      <c r="AC593" s="2431">
        <f t="shared" si="363"/>
        <v>0</v>
      </c>
      <c r="AD593" s="2446">
        <f>'BUS Deemed Savings Table '!DD646</f>
        <v>2.2665335776189333E-2</v>
      </c>
      <c r="AE593" s="2440"/>
      <c r="AF593" s="2440"/>
      <c r="AG593" s="2440"/>
      <c r="AL593" s="2380">
        <f t="shared" si="367"/>
        <v>9.1068400000000004E-4</v>
      </c>
      <c r="AM593">
        <f t="shared" si="360"/>
        <v>2.7320520000000002E-5</v>
      </c>
      <c r="AN593" s="2368">
        <f t="shared" si="368"/>
        <v>3.2052000000000282E-7</v>
      </c>
    </row>
    <row r="594" spans="1:41" x14ac:dyDescent="0.25">
      <c r="A594" s="2598" t="str">
        <f>'BUS Deemed Savings Table '!C662</f>
        <v>805650_2019_12_</v>
      </c>
      <c r="B594" s="245" t="str">
        <f>'BUS Deemed Savings Table '!G662</f>
        <v>Cooling BUS</v>
      </c>
      <c r="C594" s="245"/>
      <c r="D594" s="245"/>
      <c r="E594" s="245"/>
      <c r="F594" s="245" t="str">
        <f>'BUS Deemed Savings Table '!E662</f>
        <v>Demand Controlled Ventillation (Gas Heat)</v>
      </c>
      <c r="G594" s="745" t="str">
        <f>'BUS Deemed Savings Table '!D662</f>
        <v>C&amp;I</v>
      </c>
      <c r="H594" s="2410">
        <f>'BUS Deemed Savings Table '!F662</f>
        <v>0.67</v>
      </c>
      <c r="I594" s="2410"/>
      <c r="J594" s="2454"/>
      <c r="K594" s="2452"/>
      <c r="L594" s="2452"/>
      <c r="M594" s="2452"/>
      <c r="N594" s="2411">
        <f>'BUS Deemed Savings Table '!I662</f>
        <v>6.0999999999999997E-4</v>
      </c>
      <c r="O594" s="2411"/>
      <c r="P594" s="2412"/>
      <c r="Q594" s="2412"/>
      <c r="R594" s="2412"/>
      <c r="S594" s="2412"/>
      <c r="T594" s="2430">
        <f t="shared" si="372"/>
        <v>0</v>
      </c>
      <c r="U594" s="2430">
        <f t="shared" si="373"/>
        <v>6.0999999999999997E-4</v>
      </c>
      <c r="V594" s="2430">
        <f t="shared" si="374"/>
        <v>0</v>
      </c>
      <c r="W594" s="2460">
        <f>'BUS Deemed Savings Table '!J662</f>
        <v>10</v>
      </c>
      <c r="X594" s="2460"/>
      <c r="Y594" s="94">
        <f t="shared" ref="Y594" si="383">X594+W594</f>
        <v>10</v>
      </c>
      <c r="Z594" s="2432"/>
      <c r="AA594" s="2419" t="str">
        <f>'BUS Deemed Savings Table '!K662</f>
        <v>Actual</v>
      </c>
      <c r="AB594" s="2431">
        <f t="shared" si="362"/>
        <v>0.64473631483919813</v>
      </c>
      <c r="AC594" s="2431">
        <f t="shared" si="363"/>
        <v>0</v>
      </c>
      <c r="AD594" s="2446">
        <f>'BUS Deemed Savings Table '!DD662</f>
        <v>0.64473631483919813</v>
      </c>
      <c r="AE594" s="2440"/>
      <c r="AF594" s="2440"/>
      <c r="AG594" s="2440"/>
      <c r="AL594" s="2380">
        <f t="shared" si="367"/>
        <v>9.1068400000000004E-4</v>
      </c>
      <c r="AM594">
        <f t="shared" si="360"/>
        <v>6.1015828000000004E-4</v>
      </c>
      <c r="AN594" s="2368">
        <f t="shared" si="368"/>
        <v>1.5828000000006788E-7</v>
      </c>
    </row>
    <row r="595" spans="1:41" x14ac:dyDescent="0.25">
      <c r="A595" s="2598" t="str">
        <f>'BUS Deemed Savings Table '!C663</f>
        <v>805700_2019_12_</v>
      </c>
      <c r="B595" s="245" t="str">
        <f>'BUS Deemed Savings Table '!G663</f>
        <v>Cooling BUS</v>
      </c>
      <c r="C595" s="245"/>
      <c r="D595" s="245"/>
      <c r="E595" s="245"/>
      <c r="F595" s="245" t="str">
        <f>'BUS Deemed Savings Table '!E663</f>
        <v>Demand Controlled Ventillation (Electric Heat)</v>
      </c>
      <c r="G595" s="745" t="str">
        <f>'BUS Deemed Savings Table '!D663</f>
        <v>C&amp;I</v>
      </c>
      <c r="H595" s="2410">
        <f>'BUS Deemed Savings Table '!F663</f>
        <v>1.9</v>
      </c>
      <c r="I595" s="2410"/>
      <c r="J595" s="2454"/>
      <c r="K595" s="2452"/>
      <c r="L595" s="2452"/>
      <c r="M595" s="2452"/>
      <c r="N595" s="2411">
        <f>'BUS Deemed Savings Table '!I663</f>
        <v>1.73E-3</v>
      </c>
      <c r="O595" s="2411"/>
      <c r="P595" s="2412"/>
      <c r="Q595" s="2412"/>
      <c r="R595" s="2412"/>
      <c r="S595" s="2412"/>
      <c r="T595" s="2430">
        <f t="shared" si="372"/>
        <v>0</v>
      </c>
      <c r="U595" s="2430">
        <f t="shared" si="373"/>
        <v>1.73E-3</v>
      </c>
      <c r="V595" s="2430">
        <f t="shared" si="374"/>
        <v>0</v>
      </c>
      <c r="W595" s="2460">
        <f>'BUS Deemed Savings Table '!J663</f>
        <v>10</v>
      </c>
      <c r="X595" s="2460"/>
      <c r="Y595" s="94">
        <f t="shared" ref="Y595:Y598" si="384">X595+W595</f>
        <v>10</v>
      </c>
      <c r="Z595" s="2432"/>
      <c r="AA595" s="2419" t="str">
        <f>'BUS Deemed Savings Table '!K663</f>
        <v>Actual</v>
      </c>
      <c r="AB595" s="2431">
        <f t="shared" si="362"/>
        <v>1.8283567137230989</v>
      </c>
      <c r="AC595" s="2431">
        <f t="shared" si="363"/>
        <v>0</v>
      </c>
      <c r="AD595" s="2446">
        <f>'BUS Deemed Savings Table '!DD663</f>
        <v>1.8283567137230989</v>
      </c>
      <c r="AE595" s="2440"/>
      <c r="AF595" s="2440"/>
      <c r="AG595" s="2440"/>
      <c r="AL595" s="2380">
        <f t="shared" si="367"/>
        <v>9.1068400000000004E-4</v>
      </c>
      <c r="AM595">
        <f t="shared" si="360"/>
        <v>1.7302996E-3</v>
      </c>
      <c r="AN595" s="2368">
        <f t="shared" si="368"/>
        <v>2.9960000000003352E-7</v>
      </c>
    </row>
    <row r="596" spans="1:41" x14ac:dyDescent="0.25">
      <c r="A596" s="2598" t="str">
        <f>'BUS Deemed Savings Table '!C664</f>
        <v>805750_2019_12_</v>
      </c>
      <c r="B596" s="245" t="str">
        <f>'BUS Deemed Savings Table '!G664</f>
        <v>Cooling BUS</v>
      </c>
      <c r="C596" s="245"/>
      <c r="D596" s="245"/>
      <c r="E596" s="245"/>
      <c r="F596" s="245" t="str">
        <f>'BUS Deemed Savings Table '!E664</f>
        <v>Demand Controlled Ventillation (Heat Pump)</v>
      </c>
      <c r="G596" s="745" t="str">
        <f>'BUS Deemed Savings Table '!D664</f>
        <v>C&amp;I</v>
      </c>
      <c r="H596" s="2410">
        <f>'BUS Deemed Savings Table '!F664</f>
        <v>1.08</v>
      </c>
      <c r="I596" s="2410"/>
      <c r="J596" s="2454"/>
      <c r="K596" s="2452"/>
      <c r="L596" s="2452"/>
      <c r="M596" s="2452"/>
      <c r="N596" s="2411">
        <f>'BUS Deemed Savings Table '!I664</f>
        <v>9.8400000000000007E-4</v>
      </c>
      <c r="O596" s="2411"/>
      <c r="P596" s="2412"/>
      <c r="Q596" s="2412"/>
      <c r="R596" s="2412"/>
      <c r="S596" s="2412"/>
      <c r="T596" s="2430">
        <f t="shared" si="372"/>
        <v>0</v>
      </c>
      <c r="U596" s="2430">
        <f t="shared" si="373"/>
        <v>9.8400000000000007E-4</v>
      </c>
      <c r="V596" s="2430">
        <f t="shared" si="374"/>
        <v>0</v>
      </c>
      <c r="W596" s="2460">
        <f>'BUS Deemed Savings Table '!J664</f>
        <v>10</v>
      </c>
      <c r="X596" s="2460"/>
      <c r="Y596" s="94">
        <f t="shared" si="384"/>
        <v>10</v>
      </c>
      <c r="Z596" s="2432"/>
      <c r="AA596" s="2419" t="str">
        <f>'BUS Deemed Savings Table '!K664</f>
        <v>Actual</v>
      </c>
      <c r="AB596" s="2431">
        <f t="shared" si="362"/>
        <v>1.0392764478004985</v>
      </c>
      <c r="AC596" s="2431">
        <f t="shared" si="363"/>
        <v>0</v>
      </c>
      <c r="AD596" s="2446">
        <f>'BUS Deemed Savings Table '!DD664</f>
        <v>1.0392764478004985</v>
      </c>
      <c r="AE596" s="2440"/>
      <c r="AF596" s="2440"/>
      <c r="AG596" s="2440"/>
      <c r="AL596" s="2380">
        <f t="shared" si="367"/>
        <v>9.1068400000000004E-4</v>
      </c>
      <c r="AM596">
        <f t="shared" si="360"/>
        <v>9.8353872000000011E-4</v>
      </c>
      <c r="AN596" s="2368">
        <f t="shared" si="368"/>
        <v>-4.6127999999995978E-7</v>
      </c>
    </row>
    <row r="597" spans="1:41" x14ac:dyDescent="0.25">
      <c r="A597" s="2598" t="str">
        <f>'BUS Deemed Savings Table '!C682</f>
        <v>805800_2019_12_</v>
      </c>
      <c r="B597" s="245" t="str">
        <f>'BUS Deemed Savings Table '!G682</f>
        <v>HVAC BUS</v>
      </c>
      <c r="C597" s="245"/>
      <c r="D597" s="245"/>
      <c r="E597" s="245"/>
      <c r="F597" s="245" t="str">
        <f>'BUS Deemed Savings Table '!E682</f>
        <v>Advanced RTU Controls</v>
      </c>
      <c r="G597" s="745" t="str">
        <f>'BUS Deemed Savings Table '!D682</f>
        <v>C&amp;I</v>
      </c>
      <c r="H597" s="2410">
        <f>'BUS Deemed Savings Table '!F682</f>
        <v>3779.33</v>
      </c>
      <c r="I597" s="2410"/>
      <c r="J597" s="2452"/>
      <c r="K597" s="2452"/>
      <c r="L597" s="2452"/>
      <c r="M597" s="2452"/>
      <c r="N597" s="2411">
        <f>'BUS Deemed Savings Table '!I682</f>
        <v>1.6779580000000001</v>
      </c>
      <c r="O597" s="2411"/>
      <c r="P597" s="2412"/>
      <c r="Q597" s="2412"/>
      <c r="R597" s="2412"/>
      <c r="S597" s="2412"/>
      <c r="T597" s="2430">
        <f t="shared" si="372"/>
        <v>0</v>
      </c>
      <c r="U597" s="2430">
        <f t="shared" si="373"/>
        <v>0</v>
      </c>
      <c r="V597" s="2430">
        <f t="shared" si="374"/>
        <v>1.6779580000000001</v>
      </c>
      <c r="W597" s="2460">
        <f>'BUS Deemed Savings Table '!J682</f>
        <v>15</v>
      </c>
      <c r="X597" s="2460"/>
      <c r="Y597" s="94">
        <f t="shared" si="384"/>
        <v>15</v>
      </c>
      <c r="Z597" s="767">
        <f>'BUS Deemed Savings Table '!DB682</f>
        <v>0.89697006475682783</v>
      </c>
      <c r="AA597" s="2419">
        <f>'BUS Deemed Savings Table '!K682</f>
        <v>4038</v>
      </c>
      <c r="AB597" s="2431">
        <f t="shared" si="362"/>
        <v>3418.5607564776501</v>
      </c>
      <c r="AC597" s="2431">
        <f t="shared" si="363"/>
        <v>0</v>
      </c>
      <c r="AD597" s="2446">
        <f>'BUS Deemed Savings Table '!DD682</f>
        <v>3418.5607564776501</v>
      </c>
      <c r="AE597" s="2440"/>
      <c r="AF597" s="2440"/>
      <c r="AG597" s="2440"/>
      <c r="AL597" s="2380">
        <f t="shared" si="367"/>
        <v>4.4398300000000001E-4</v>
      </c>
      <c r="AM597">
        <f t="shared" si="360"/>
        <v>1.6779582713900001</v>
      </c>
      <c r="AN597" s="2368">
        <f t="shared" si="368"/>
        <v>2.7139000002840419E-7</v>
      </c>
    </row>
    <row r="598" spans="1:41" x14ac:dyDescent="0.25">
      <c r="A598" s="2598" t="str">
        <f>'BUS Deemed Savings Table '!C698</f>
        <v>805850_2019_12_</v>
      </c>
      <c r="B598" s="245" t="str">
        <f>'BUS Deemed Savings Table '!H698</f>
        <v>Cooling BUS</v>
      </c>
      <c r="C598" s="245"/>
      <c r="D598" s="245"/>
      <c r="E598" s="245"/>
      <c r="F598" s="245" t="str">
        <f>'BUS Deemed Savings Table '!E698</f>
        <v>PTAC</v>
      </c>
      <c r="G598" s="745" t="str">
        <f>'BUS Deemed Savings Table '!D698</f>
        <v>C&amp;I</v>
      </c>
      <c r="H598" s="2410">
        <f>'BUS Deemed Savings Table '!F698</f>
        <v>411.27</v>
      </c>
      <c r="I598" s="2410">
        <f>'BUS Deemed Savings Table '!G698</f>
        <v>10.53878231859869</v>
      </c>
      <c r="J598" s="2452"/>
      <c r="K598" s="2452"/>
      <c r="L598" s="2452"/>
      <c r="M598" s="2452"/>
      <c r="N598" s="2411">
        <f>'BUS Deemed Savings Table '!J698</f>
        <v>0.37453700000000001</v>
      </c>
      <c r="O598" s="2411">
        <f>'BUS Deemed Savings Table '!K698</f>
        <v>9.5969999999999996E-3</v>
      </c>
      <c r="P598" s="2412"/>
      <c r="Q598" s="2412"/>
      <c r="R598" s="2412"/>
      <c r="S598" s="2412"/>
      <c r="T598" s="2424">
        <f>IF(U598+V598&gt;0,0,IF(Y598&gt;0,O598,0))</f>
        <v>0</v>
      </c>
      <c r="U598" s="2424">
        <f>IF(V598&gt;0,0,IF(Y598&gt;9,O598,0))</f>
        <v>0</v>
      </c>
      <c r="V598" s="2424">
        <f>IF(Y598&gt;14,O598,0)</f>
        <v>9.5969999999999996E-3</v>
      </c>
      <c r="W598" s="2460">
        <f>'BUS Deemed Savings Table '!L698</f>
        <v>15</v>
      </c>
      <c r="X598" s="2460"/>
      <c r="Y598" s="94">
        <f t="shared" si="384"/>
        <v>15</v>
      </c>
      <c r="Z598" s="767">
        <f>'BUS Deemed Savings Table '!DB698</f>
        <v>0.59328732895135117</v>
      </c>
      <c r="AA598" s="2419">
        <f>'BUS Deemed Savings Table '!M698</f>
        <v>1047</v>
      </c>
      <c r="AB598" s="2431">
        <f t="shared" si="362"/>
        <v>586.28771440496894</v>
      </c>
      <c r="AC598" s="2431">
        <f t="shared" si="363"/>
        <v>0</v>
      </c>
      <c r="AD598" s="2446">
        <f>'BUS Deemed Savings Table '!DD698</f>
        <v>586.28771440496894</v>
      </c>
      <c r="AE598" s="2440"/>
      <c r="AF598" s="2440"/>
      <c r="AG598" s="2440"/>
      <c r="AL598" s="2386">
        <f t="shared" si="367"/>
        <v>9.1068400000000004E-4</v>
      </c>
      <c r="AM598" s="2387">
        <f t="shared" si="360"/>
        <v>0.37453700868000001</v>
      </c>
      <c r="AN598" s="2385">
        <f t="shared" si="368"/>
        <v>8.6799999965414543E-9</v>
      </c>
    </row>
    <row r="599" spans="1:41" x14ac:dyDescent="0.25">
      <c r="A599" s="2598" t="str">
        <f>'BUS Deemed Savings Table '!C699</f>
        <v>805900_2019_12_</v>
      </c>
      <c r="B599" s="245" t="str">
        <f>'BUS Deemed Savings Table '!H699</f>
        <v>Cooling BUS</v>
      </c>
      <c r="C599" s="245"/>
      <c r="D599" s="245"/>
      <c r="E599" s="245"/>
      <c r="F599" s="245" t="str">
        <f>'BUS Deemed Savings Table '!E699</f>
        <v>PTHP</v>
      </c>
      <c r="G599" s="745" t="str">
        <f>'BUS Deemed Savings Table '!D699</f>
        <v>C&amp;I</v>
      </c>
      <c r="H599" s="2410">
        <f>'BUS Deemed Savings Table '!F699</f>
        <v>715.42</v>
      </c>
      <c r="I599" s="2410">
        <f>'BUS Deemed Savings Table '!G699</f>
        <v>177.09378296037951</v>
      </c>
      <c r="J599" s="2452"/>
      <c r="K599" s="2452"/>
      <c r="L599" s="2452"/>
      <c r="M599" s="2452"/>
      <c r="N599" s="2411">
        <f>'BUS Deemed Savings Table '!J699</f>
        <v>0.37453599999999998</v>
      </c>
      <c r="O599" s="2411">
        <f>'BUS Deemed Savings Table '!K699</f>
        <v>1.9373000000000001E-2</v>
      </c>
      <c r="P599" s="2412"/>
      <c r="Q599" s="2412"/>
      <c r="R599" s="2412"/>
      <c r="S599" s="2412"/>
      <c r="T599" s="2424">
        <f>IF(U599+V599&gt;0,0,IF(Y599&gt;0,O599,0))</f>
        <v>0</v>
      </c>
      <c r="U599" s="2424">
        <f>IF(V599&gt;0,0,IF(Y599&gt;9,O599,0))</f>
        <v>0</v>
      </c>
      <c r="V599" s="2424">
        <f>IF(Y599&gt;14,O599,0)</f>
        <v>1.9373000000000001E-2</v>
      </c>
      <c r="W599" s="2460">
        <f>'BUS Deemed Savings Table '!L699</f>
        <v>15</v>
      </c>
      <c r="X599" s="2460"/>
      <c r="Y599" s="94">
        <f t="shared" ref="Y599:Y600" si="385">X599+W599</f>
        <v>15</v>
      </c>
      <c r="Z599" s="767">
        <f>'BUS Deemed Savings Table '!DB699</f>
        <v>1.032046151867084</v>
      </c>
      <c r="AA599" s="2419">
        <f>'BUS Deemed Savings Table '!M699</f>
        <v>1047</v>
      </c>
      <c r="AB599" s="2431">
        <f t="shared" si="362"/>
        <v>1019.8700528596855</v>
      </c>
      <c r="AC599" s="2431">
        <f t="shared" si="363"/>
        <v>0</v>
      </c>
      <c r="AD599" s="2446">
        <f>'BUS Deemed Savings Table '!DD699</f>
        <v>1019.8700528596855</v>
      </c>
      <c r="AE599" s="2440"/>
      <c r="AF599" s="2440"/>
      <c r="AG599" s="2440"/>
      <c r="AL599" s="2386">
        <f t="shared" si="367"/>
        <v>9.1068400000000004E-4</v>
      </c>
      <c r="AM599" s="2387">
        <f t="shared" si="360"/>
        <v>0.65152154728</v>
      </c>
      <c r="AN599" s="2385">
        <f>AM599-O599</f>
        <v>0.63214854728000003</v>
      </c>
      <c r="AO599" t="s">
        <v>3451</v>
      </c>
    </row>
    <row r="600" spans="1:41" x14ac:dyDescent="0.25">
      <c r="A600" s="2598" t="str">
        <f>'BUS Deemed Savings Table '!C716</f>
        <v>805950_2019_12_</v>
      </c>
      <c r="B600" s="245" t="str">
        <f>'BUS Deemed Savings Table '!G716</f>
        <v>Refrigeration BUS</v>
      </c>
      <c r="C600" s="245"/>
      <c r="D600" s="245"/>
      <c r="E600" s="245"/>
      <c r="F600" s="245" t="str">
        <f>'BUS Deemed Savings Table '!E716</f>
        <v>Refrigerated Beverage Vending Machine (Class A)</v>
      </c>
      <c r="G600" s="745" t="str">
        <f>'BUS Deemed Savings Table '!D716</f>
        <v>C&amp;I</v>
      </c>
      <c r="H600" s="2410">
        <f>'BUS Deemed Savings Table '!F716</f>
        <v>0.13</v>
      </c>
      <c r="I600" s="2410"/>
      <c r="J600" s="2452"/>
      <c r="K600" s="2452"/>
      <c r="L600" s="2452"/>
      <c r="M600" s="2452"/>
      <c r="N600" s="2411">
        <f>'BUS Deemed Savings Table '!I716</f>
        <v>1.8E-5</v>
      </c>
      <c r="O600" s="2411"/>
      <c r="P600" s="2412"/>
      <c r="Q600" s="2412"/>
      <c r="R600" s="2412"/>
      <c r="S600" s="2412"/>
      <c r="T600" s="2430">
        <f t="shared" ref="T600:T603" si="386">IF(U600+V600&gt;0,0,IF(Y600&gt;0,N600,0))</f>
        <v>0</v>
      </c>
      <c r="U600" s="2430">
        <f t="shared" ref="U600:U603" si="387">IF(V600&gt;0,0,IF(Y600&gt;9,N600,0))</f>
        <v>1.8E-5</v>
      </c>
      <c r="V600" s="2430">
        <f t="shared" ref="V600:V603" si="388">IF(Y600&gt;14,N600,0)</f>
        <v>0</v>
      </c>
      <c r="W600" s="2460">
        <f>'BUS Deemed Savings Table '!J716</f>
        <v>12</v>
      </c>
      <c r="X600" s="2460"/>
      <c r="Y600" s="94">
        <f t="shared" si="385"/>
        <v>12</v>
      </c>
      <c r="Z600" s="767">
        <f>'BUS Deemed Savings Table '!DB716</f>
        <v>4.2764848841657214E-4</v>
      </c>
      <c r="AA600" s="2419">
        <f>'BUS Deemed Savings Table '!K716</f>
        <v>140</v>
      </c>
      <c r="AB600" s="2431">
        <f t="shared" si="362"/>
        <v>5.6508530795960445E-2</v>
      </c>
      <c r="AC600" s="2431">
        <f t="shared" si="363"/>
        <v>0</v>
      </c>
      <c r="AD600" s="2446">
        <f>'BUS Deemed Savings Table '!DD716</f>
        <v>5.6508530795960445E-2</v>
      </c>
      <c r="AE600" s="2440"/>
      <c r="AF600" s="2440"/>
      <c r="AG600" s="2440"/>
      <c r="AL600" s="2380">
        <f t="shared" si="367"/>
        <v>1.3573829999999999E-4</v>
      </c>
      <c r="AM600" s="145">
        <f t="shared" si="360"/>
        <v>1.7645978999999999E-5</v>
      </c>
      <c r="AN600" s="2368">
        <f>AM600-N600</f>
        <v>-3.5402100000000113E-7</v>
      </c>
    </row>
    <row r="601" spans="1:41" x14ac:dyDescent="0.25">
      <c r="A601" s="2598" t="str">
        <f>'BUS Deemed Savings Table '!C717</f>
        <v>806000_2019_12_</v>
      </c>
      <c r="B601" s="245" t="str">
        <f>'BUS Deemed Savings Table '!G717</f>
        <v>Refrigeration BUS</v>
      </c>
      <c r="C601" s="245"/>
      <c r="D601" s="245"/>
      <c r="E601" s="245"/>
      <c r="F601" s="245" t="str">
        <f>'BUS Deemed Savings Table '!E717</f>
        <v>Refrigerated Beverage Vending Machine (Class B)</v>
      </c>
      <c r="G601" s="745" t="str">
        <f>'BUS Deemed Savings Table '!D717</f>
        <v>C&amp;I</v>
      </c>
      <c r="H601" s="2410">
        <f>'BUS Deemed Savings Table '!F717</f>
        <v>0.32</v>
      </c>
      <c r="I601" s="2410"/>
      <c r="J601" s="2452"/>
      <c r="K601" s="2452"/>
      <c r="L601" s="2452"/>
      <c r="M601" s="2452"/>
      <c r="N601" s="2411">
        <f>'BUS Deemed Savings Table '!I717</f>
        <v>4.3000000000000002E-5</v>
      </c>
      <c r="O601" s="2411"/>
      <c r="P601" s="2412"/>
      <c r="Q601" s="2412"/>
      <c r="R601" s="2412"/>
      <c r="S601" s="2412"/>
      <c r="T601" s="2430">
        <f t="shared" si="386"/>
        <v>0</v>
      </c>
      <c r="U601" s="2430">
        <f t="shared" si="387"/>
        <v>4.3000000000000002E-5</v>
      </c>
      <c r="V601" s="2430">
        <f t="shared" si="388"/>
        <v>0</v>
      </c>
      <c r="W601" s="2460">
        <f>'BUS Deemed Savings Table '!J717</f>
        <v>12</v>
      </c>
      <c r="X601" s="2460"/>
      <c r="Y601" s="94">
        <f t="shared" ref="Y601:Y602" si="389">X601+W601</f>
        <v>12</v>
      </c>
      <c r="Z601" s="767">
        <f>'BUS Deemed Savings Table '!DB717</f>
        <v>1.0526732022561776E-3</v>
      </c>
      <c r="AA601" s="2419">
        <f>'BUS Deemed Savings Table '!K717</f>
        <v>140</v>
      </c>
      <c r="AB601" s="2431">
        <f t="shared" si="362"/>
        <v>0.13909792195928725</v>
      </c>
      <c r="AC601" s="2431">
        <f t="shared" si="363"/>
        <v>0</v>
      </c>
      <c r="AD601" s="2446">
        <f>'BUS Deemed Savings Table '!DD717</f>
        <v>0.13909792195928725</v>
      </c>
      <c r="AE601" s="2440"/>
      <c r="AF601" s="2440"/>
      <c r="AG601" s="2440"/>
      <c r="AL601" s="2380">
        <f t="shared" si="367"/>
        <v>1.3573829999999999E-4</v>
      </c>
      <c r="AM601">
        <f t="shared" si="360"/>
        <v>4.3436255999999996E-5</v>
      </c>
      <c r="AN601" s="2368">
        <f>AM601-N601</f>
        <v>4.3625599999999408E-7</v>
      </c>
    </row>
    <row r="602" spans="1:41" x14ac:dyDescent="0.25">
      <c r="A602" s="2598" t="str">
        <f>'BUS Deemed Savings Table '!C734</f>
        <v>806050_2019_12_</v>
      </c>
      <c r="B602" s="245" t="str">
        <f>'BUS Deemed Savings Table '!G734</f>
        <v>Miscellaneous BUS</v>
      </c>
      <c r="C602" s="245"/>
      <c r="D602" s="245"/>
      <c r="E602" s="245"/>
      <c r="F602" s="245" t="str">
        <f>'BUS Deemed Savings Table '!E734</f>
        <v>ECM for Walk-in &amp; Reach-in Coolers/Freezers</v>
      </c>
      <c r="G602" s="745" t="str">
        <f>'BUS Deemed Savings Table '!D734</f>
        <v>C&amp;I</v>
      </c>
      <c r="H602" s="2410">
        <f>'BUS Deemed Savings Table '!F734</f>
        <v>1409</v>
      </c>
      <c r="I602" s="2410"/>
      <c r="J602" s="2452"/>
      <c r="K602" s="2452"/>
      <c r="L602" s="2452"/>
      <c r="M602" s="2452"/>
      <c r="N602" s="2411">
        <f>'BUS Deemed Savings Table '!I734</f>
        <v>0.19436300000000001</v>
      </c>
      <c r="O602" s="2411"/>
      <c r="P602" s="2412"/>
      <c r="Q602" s="2412"/>
      <c r="R602" s="2412"/>
      <c r="S602" s="2412"/>
      <c r="T602" s="2430">
        <f t="shared" si="386"/>
        <v>0</v>
      </c>
      <c r="U602" s="2430">
        <f t="shared" si="387"/>
        <v>0</v>
      </c>
      <c r="V602" s="2430">
        <f t="shared" si="388"/>
        <v>0.19436300000000001</v>
      </c>
      <c r="W602" s="2460">
        <f>'BUS Deemed Savings Table '!J734</f>
        <v>15</v>
      </c>
      <c r="X602" s="2460"/>
      <c r="Y602" s="94">
        <f t="shared" si="389"/>
        <v>15</v>
      </c>
      <c r="Z602" s="767">
        <f>'BUS Deemed Savings Table '!DB734</f>
        <v>4.5216913705641595</v>
      </c>
      <c r="AA602" s="2419">
        <f>'BUS Deemed Savings Table '!K734</f>
        <v>177</v>
      </c>
      <c r="AB602" s="2431">
        <f t="shared" si="362"/>
        <v>755.39346162327149</v>
      </c>
      <c r="AC602" s="2431">
        <f t="shared" si="363"/>
        <v>0</v>
      </c>
      <c r="AD602" s="2446">
        <f>'BUS Deemed Savings Table '!DD734</f>
        <v>755.39346162327149</v>
      </c>
      <c r="AE602" s="2440"/>
      <c r="AF602" s="2440"/>
      <c r="AG602" s="2440"/>
      <c r="AL602" s="2380">
        <f t="shared" si="367"/>
        <v>1.379439E-4</v>
      </c>
      <c r="AM602">
        <f t="shared" si="360"/>
        <v>0.19436295510000001</v>
      </c>
      <c r="AN602" s="2368">
        <f>AM602-N602</f>
        <v>-4.4899999995795525E-8</v>
      </c>
    </row>
    <row r="603" spans="1:41" x14ac:dyDescent="0.25">
      <c r="A603" s="2598" t="str">
        <f>'BUS Deemed Savings Table '!C751</f>
        <v>999999_2019_12</v>
      </c>
      <c r="B603" s="245" t="str">
        <f>'BUS Deemed Savings Table '!G751</f>
        <v>Variable</v>
      </c>
      <c r="C603" s="245"/>
      <c r="D603" s="245"/>
      <c r="E603" s="245"/>
      <c r="F603" s="245" t="str">
        <f>'BUS Deemed Savings Table '!E751</f>
        <v>Custom</v>
      </c>
      <c r="G603" s="745" t="str">
        <f>'BUS Deemed Savings Table '!D751</f>
        <v>C&amp;I</v>
      </c>
      <c r="H603" s="2410" t="str">
        <f>'BUS Deemed Savings Table '!F751</f>
        <v>Custom</v>
      </c>
      <c r="I603" s="2410"/>
      <c r="J603" s="2452"/>
      <c r="K603" s="2452"/>
      <c r="L603" s="2452"/>
      <c r="M603" s="2452"/>
      <c r="N603" s="2411" t="str">
        <f>'BUS Deemed Savings Table '!I751</f>
        <v>Custom</v>
      </c>
      <c r="O603" s="2411"/>
      <c r="P603" s="2412"/>
      <c r="Q603" s="2412"/>
      <c r="R603" s="2412"/>
      <c r="S603" s="2412"/>
      <c r="T603" s="2430" t="e">
        <f t="shared" si="386"/>
        <v>#VALUE!</v>
      </c>
      <c r="U603" s="2430">
        <f t="shared" si="387"/>
        <v>0</v>
      </c>
      <c r="V603" s="2430" t="str">
        <f t="shared" si="388"/>
        <v>Custom</v>
      </c>
      <c r="W603" s="2460" t="str">
        <f>'BUS Deemed Savings Table '!J751</f>
        <v>Custom</v>
      </c>
      <c r="X603" s="2460"/>
      <c r="Y603" s="94" t="s">
        <v>3450</v>
      </c>
      <c r="Z603" s="767" t="s">
        <v>3450</v>
      </c>
      <c r="AA603" s="2419" t="s">
        <v>3450</v>
      </c>
      <c r="AB603" s="2433" t="s">
        <v>3450</v>
      </c>
      <c r="AC603" s="2431" t="s">
        <v>3450</v>
      </c>
      <c r="AD603" s="2446"/>
      <c r="AE603" s="2440"/>
      <c r="AF603" s="2440"/>
      <c r="AG603" s="2440"/>
      <c r="AL603" s="2380" t="e">
        <f t="shared" si="367"/>
        <v>#N/A</v>
      </c>
      <c r="AM603" t="e">
        <f t="shared" si="360"/>
        <v>#N/A</v>
      </c>
      <c r="AN603" s="2368" t="e">
        <f>AM603-N603</f>
        <v>#N/A</v>
      </c>
    </row>
    <row r="609" spans="26:26" x14ac:dyDescent="0.25">
      <c r="Z609" s="2394"/>
    </row>
    <row r="610" spans="26:26" x14ac:dyDescent="0.25">
      <c r="Z610" s="2394"/>
    </row>
    <row r="611" spans="26:26" x14ac:dyDescent="0.25">
      <c r="Z611" s="2394"/>
    </row>
  </sheetData>
  <autoFilter ref="A8:AT603"/>
  <mergeCells count="18">
    <mergeCell ref="AD6:AD7"/>
    <mergeCell ref="AE6:AE7"/>
    <mergeCell ref="AF6:AF7"/>
    <mergeCell ref="AG6:AG7"/>
    <mergeCell ref="AB6:AB7"/>
    <mergeCell ref="AC6:AC7"/>
    <mergeCell ref="A1:AG3"/>
    <mergeCell ref="A6:A7"/>
    <mergeCell ref="AA6:AA7"/>
    <mergeCell ref="V6:V7"/>
    <mergeCell ref="Z6:Z7"/>
    <mergeCell ref="U6:U7"/>
    <mergeCell ref="W6:Y6"/>
    <mergeCell ref="G6:G7"/>
    <mergeCell ref="T6:T7"/>
    <mergeCell ref="B6:E6"/>
    <mergeCell ref="J6:M6"/>
    <mergeCell ref="P6:S6"/>
  </mergeCells>
  <conditionalFormatting sqref="A8 A4:A6">
    <cfRule type="duplicateValues" dxfId="24" priority="31"/>
  </conditionalFormatting>
  <conditionalFormatting sqref="C7:F8 F6 C4:F5">
    <cfRule type="containsText" dxfId="23" priority="29" operator="containsText" text="ER2">
      <formula>NOT(ISERROR(SEARCH("ER2",C4)))</formula>
    </cfRule>
    <cfRule type="containsText" dxfId="22" priority="30" operator="containsText" text="ER1">
      <formula>NOT(ISERROR(SEARCH("ER1",C4)))</formula>
    </cfRule>
  </conditionalFormatting>
  <conditionalFormatting sqref="C7:F31 F6 C44:F83 D84:F85 D88:F90 D92:F93 D96:F96 D98:F99 D102:F102 D104:F105 D108:F108 C94:F95 C91:F91 C86:F87 C109:F109 C106:F107 C103:F103 C100:F101 C97:F97 D32:F43 C139:F139 D140:F141 F142 D143:F143 F144 D145:F146 C147:F148 D149:F152 F153:F154 D155:F156 F157:F158 D159:F165 F166:F167 D168:F168 F169:F170 D171:F172 F173:F174 D175:F176 F177:F180 D181:F182 F183:F184 D185:F188 F189:F190 D191:F201 F202 F206:F208 D203:F205 D209:F211 F212 D213:F213 F214 D215:F215 F216 D217:F217 F218:F233 D234:F234 F235:F239 D240:F242 F243:F244 D245:F254 D328:F338 C339:F349 D350:F361 C362:F393 D394:F395 C396:F440 D441:F441 D474:F474 C475:F523 C604:F1048576 C442:F473 A114:B137 D110:F138 G114:G137 C255:F327 C4:F5">
    <cfRule type="containsText" dxfId="21" priority="28" operator="containsText" text="ER2">
      <formula>NOT(ISERROR(SEARCH("ER2",A4)))</formula>
    </cfRule>
  </conditionalFormatting>
  <conditionalFormatting sqref="A506:A523">
    <cfRule type="duplicateValues" dxfId="20" priority="91"/>
  </conditionalFormatting>
  <conditionalFormatting sqref="C524:F542">
    <cfRule type="containsText" dxfId="19" priority="23" operator="containsText" text="ER2">
      <formula>NOT(ISERROR(SEARCH("ER2",C524)))</formula>
    </cfRule>
  </conditionalFormatting>
  <conditionalFormatting sqref="A524:A542">
    <cfRule type="duplicateValues" dxfId="18" priority="24"/>
  </conditionalFormatting>
  <conditionalFormatting sqref="C543:F556">
    <cfRule type="containsText" dxfId="17" priority="21" operator="containsText" text="ER2">
      <formula>NOT(ISERROR(SEARCH("ER2",C543)))</formula>
    </cfRule>
  </conditionalFormatting>
  <conditionalFormatting sqref="A543:A556">
    <cfRule type="duplicateValues" dxfId="16" priority="22"/>
  </conditionalFormatting>
  <conditionalFormatting sqref="C557:F557">
    <cfRule type="containsText" dxfId="15" priority="19" operator="containsText" text="ER2">
      <formula>NOT(ISERROR(SEARCH("ER2",C557)))</formula>
    </cfRule>
  </conditionalFormatting>
  <conditionalFormatting sqref="A557">
    <cfRule type="duplicateValues" dxfId="14" priority="20"/>
  </conditionalFormatting>
  <conditionalFormatting sqref="C558:F581">
    <cfRule type="containsText" dxfId="13" priority="17" operator="containsText" text="ER2">
      <formula>NOT(ISERROR(SEARCH("ER2",C558)))</formula>
    </cfRule>
  </conditionalFormatting>
  <conditionalFormatting sqref="A558:A581">
    <cfRule type="duplicateValues" dxfId="12" priority="18"/>
  </conditionalFormatting>
  <conditionalFormatting sqref="C582:F599">
    <cfRule type="containsText" dxfId="11" priority="15" operator="containsText" text="ER2">
      <formula>NOT(ISERROR(SEARCH("ER2",C582)))</formula>
    </cfRule>
  </conditionalFormatting>
  <conditionalFormatting sqref="A582:A599">
    <cfRule type="duplicateValues" dxfId="10" priority="16"/>
  </conditionalFormatting>
  <conditionalFormatting sqref="C600:F602">
    <cfRule type="containsText" dxfId="9" priority="13" operator="containsText" text="ER2">
      <formula>NOT(ISERROR(SEARCH("ER2",C600)))</formula>
    </cfRule>
  </conditionalFormatting>
  <conditionalFormatting sqref="A600:A602">
    <cfRule type="duplicateValues" dxfId="8" priority="14"/>
  </conditionalFormatting>
  <conditionalFormatting sqref="C603:F603">
    <cfRule type="containsText" dxfId="7" priority="11" operator="containsText" text="ER2">
      <formula>NOT(ISERROR(SEARCH("ER2",C603)))</formula>
    </cfRule>
  </conditionalFormatting>
  <conditionalFormatting sqref="A603">
    <cfRule type="duplicateValues" dxfId="6" priority="12"/>
  </conditionalFormatting>
  <conditionalFormatting sqref="A604:A1048576 A4:A6 A8:A113 A138:A505">
    <cfRule type="duplicateValues" dxfId="5" priority="92"/>
  </conditionalFormatting>
  <conditionalFormatting sqref="B455">
    <cfRule type="duplicateValues" dxfId="4" priority="10"/>
  </conditionalFormatting>
  <conditionalFormatting sqref="J114:J137">
    <cfRule type="containsText" dxfId="3" priority="6" operator="containsText" text="ER2">
      <formula>NOT(ISERROR(SEARCH("ER2",J114)))</formula>
    </cfRule>
  </conditionalFormatting>
  <conditionalFormatting sqref="A1">
    <cfRule type="duplicateValues" dxfId="2" priority="2"/>
  </conditionalFormatting>
  <conditionalFormatting sqref="A1">
    <cfRule type="duplicateValues" dxfId="1" priority="3"/>
  </conditionalFormatting>
  <conditionalFormatting sqref="A1:A3">
    <cfRule type="duplicateValues" dxfId="0" priority="1"/>
  </conditionalFormatting>
  <pageMargins left="0.7" right="0.7"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38"/>
  <sheetViews>
    <sheetView topLeftCell="A3" workbookViewId="0">
      <selection activeCell="F29" sqref="F29"/>
    </sheetView>
  </sheetViews>
  <sheetFormatPr defaultRowHeight="15" x14ac:dyDescent="0.25"/>
  <cols>
    <col min="1" max="1" width="20.140625" bestFit="1" customWidth="1"/>
    <col min="2" max="2" width="27.140625" style="1617" customWidth="1"/>
  </cols>
  <sheetData>
    <row r="1" spans="1:32" x14ac:dyDescent="0.25">
      <c r="A1" s="2600"/>
      <c r="B1" s="2600"/>
      <c r="C1" s="2600"/>
      <c r="D1" s="2600"/>
      <c r="E1" s="2600"/>
      <c r="F1" s="2600"/>
      <c r="G1" s="2600"/>
      <c r="H1" s="2600"/>
      <c r="J1" s="148"/>
      <c r="AF1" s="1609"/>
    </row>
    <row r="2" spans="1:32" x14ac:dyDescent="0.25">
      <c r="A2" s="1610" t="s">
        <v>2476</v>
      </c>
      <c r="B2" s="1611"/>
    </row>
    <row r="3" spans="1:32" x14ac:dyDescent="0.25">
      <c r="A3" s="1612" t="s">
        <v>2477</v>
      </c>
      <c r="B3" s="1613">
        <v>1.148238E-4</v>
      </c>
    </row>
    <row r="4" spans="1:32" x14ac:dyDescent="0.25">
      <c r="A4" s="1612" t="s">
        <v>1653</v>
      </c>
      <c r="B4" s="1613">
        <v>4.6608050000000002E-4</v>
      </c>
    </row>
    <row r="5" spans="1:32" x14ac:dyDescent="0.25">
      <c r="A5" s="1612" t="s">
        <v>2478</v>
      </c>
      <c r="B5" s="1613">
        <v>1.3539039999999999E-4</v>
      </c>
    </row>
    <row r="6" spans="1:32" x14ac:dyDescent="0.25">
      <c r="A6" s="1612" t="s">
        <v>2479</v>
      </c>
      <c r="B6" s="1613">
        <v>1.1954749999999999E-4</v>
      </c>
    </row>
    <row r="7" spans="1:32" x14ac:dyDescent="0.25">
      <c r="A7" s="1612" t="s">
        <v>2480</v>
      </c>
      <c r="B7" s="1613">
        <v>1.4008870000000001E-4</v>
      </c>
    </row>
    <row r="8" spans="1:32" x14ac:dyDescent="0.25">
      <c r="A8" s="1612" t="s">
        <v>2481</v>
      </c>
      <c r="B8" s="1613">
        <v>2.053256E-4</v>
      </c>
    </row>
    <row r="9" spans="1:32" x14ac:dyDescent="0.25">
      <c r="A9" s="1612" t="s">
        <v>737</v>
      </c>
      <c r="B9" s="1613">
        <v>9.4741810000000004E-4</v>
      </c>
    </row>
    <row r="10" spans="1:32" x14ac:dyDescent="0.25">
      <c r="A10" s="1612" t="s">
        <v>1214</v>
      </c>
      <c r="B10" s="1613">
        <v>9.4741810000000004E-4</v>
      </c>
    </row>
    <row r="11" spans="1:32" x14ac:dyDescent="0.25">
      <c r="A11" s="1612" t="s">
        <v>2482</v>
      </c>
      <c r="B11" s="1613">
        <v>8.4921199999999996E-5</v>
      </c>
    </row>
    <row r="12" spans="1:32" x14ac:dyDescent="0.25">
      <c r="A12" s="1612" t="s">
        <v>2444</v>
      </c>
      <c r="B12" s="1613">
        <v>1.6857220000000001E-4</v>
      </c>
    </row>
    <row r="13" spans="1:32" x14ac:dyDescent="0.25">
      <c r="A13" s="1612" t="s">
        <v>2483</v>
      </c>
      <c r="B13" s="1613">
        <v>1.6857220000000001E-4</v>
      </c>
    </row>
    <row r="14" spans="1:32" x14ac:dyDescent="0.25">
      <c r="A14" s="1612" t="s">
        <v>738</v>
      </c>
      <c r="B14" s="1613">
        <v>0</v>
      </c>
    </row>
    <row r="15" spans="1:32" x14ac:dyDescent="0.25">
      <c r="A15" s="1612" t="s">
        <v>1310</v>
      </c>
      <c r="B15" s="1613">
        <v>0</v>
      </c>
    </row>
    <row r="16" spans="1:32" x14ac:dyDescent="0.25">
      <c r="A16" s="1612" t="s">
        <v>941</v>
      </c>
      <c r="B16" s="1613">
        <v>4.6608050000000002E-4</v>
      </c>
    </row>
    <row r="17" spans="1:2" x14ac:dyDescent="0.25">
      <c r="A17" s="1612" t="s">
        <v>2327</v>
      </c>
      <c r="B17" s="1613">
        <v>4.6608050000000002E-4</v>
      </c>
    </row>
    <row r="18" spans="1:2" x14ac:dyDescent="0.25">
      <c r="A18" s="1612" t="s">
        <v>571</v>
      </c>
      <c r="B18" s="1613">
        <v>1.4925290000000001E-4</v>
      </c>
    </row>
    <row r="19" spans="1:2" x14ac:dyDescent="0.25">
      <c r="A19" s="1612" t="s">
        <v>840</v>
      </c>
      <c r="B19" s="1613">
        <v>1.148238E-4</v>
      </c>
    </row>
    <row r="20" spans="1:2" x14ac:dyDescent="0.25">
      <c r="A20" s="1612" t="s">
        <v>810</v>
      </c>
      <c r="B20" s="1613">
        <v>2.3544589999999999E-4</v>
      </c>
    </row>
    <row r="21" spans="1:2" x14ac:dyDescent="0.25">
      <c r="A21" s="1612" t="s">
        <v>2161</v>
      </c>
      <c r="B21" s="1613">
        <v>1.286107E-4</v>
      </c>
    </row>
    <row r="22" spans="1:2" x14ac:dyDescent="0.25">
      <c r="A22" s="1612" t="s">
        <v>2163</v>
      </c>
      <c r="B22" s="1613">
        <v>1.286107E-4</v>
      </c>
    </row>
    <row r="23" spans="1:2" x14ac:dyDescent="0.25">
      <c r="A23" s="1612" t="s">
        <v>668</v>
      </c>
      <c r="B23" s="1613">
        <v>8.8731800000000003E-5</v>
      </c>
    </row>
    <row r="25" spans="1:2" x14ac:dyDescent="0.25">
      <c r="A25" s="1614" t="s">
        <v>2484</v>
      </c>
      <c r="B25" s="1615"/>
    </row>
    <row r="26" spans="1:2" x14ac:dyDescent="0.25">
      <c r="A26" s="245" t="s">
        <v>388</v>
      </c>
      <c r="B26" s="1616">
        <v>1.379439E-4</v>
      </c>
    </row>
    <row r="27" spans="1:2" x14ac:dyDescent="0.25">
      <c r="A27" s="245" t="s">
        <v>2485</v>
      </c>
      <c r="B27" s="1616">
        <v>4.4398300000000001E-4</v>
      </c>
    </row>
    <row r="28" spans="1:2" x14ac:dyDescent="0.25">
      <c r="A28" s="245" t="s">
        <v>226</v>
      </c>
      <c r="B28" s="1616">
        <v>1.998949E-4</v>
      </c>
    </row>
    <row r="29" spans="1:2" x14ac:dyDescent="0.25">
      <c r="A29" s="245" t="s">
        <v>263</v>
      </c>
      <c r="B29" s="1616">
        <v>9.1068400000000004E-4</v>
      </c>
    </row>
    <row r="30" spans="1:2" x14ac:dyDescent="0.25">
      <c r="A30" s="245" t="s">
        <v>54</v>
      </c>
      <c r="B30" s="1616">
        <v>5.6160000000000001E-6</v>
      </c>
    </row>
    <row r="31" spans="1:2" x14ac:dyDescent="0.25">
      <c r="A31" s="245" t="s">
        <v>264</v>
      </c>
      <c r="B31" s="1616">
        <v>0</v>
      </c>
    </row>
    <row r="32" spans="1:2" x14ac:dyDescent="0.25">
      <c r="A32" s="245" t="s">
        <v>279</v>
      </c>
      <c r="B32" s="1616">
        <v>4.4398300000000001E-4</v>
      </c>
    </row>
    <row r="33" spans="1:2" x14ac:dyDescent="0.25">
      <c r="A33" s="245" t="s">
        <v>36</v>
      </c>
      <c r="B33" s="1616">
        <v>1.899635E-4</v>
      </c>
    </row>
    <row r="34" spans="1:2" x14ac:dyDescent="0.25">
      <c r="A34" s="245" t="s">
        <v>61</v>
      </c>
      <c r="B34" s="1616">
        <v>1.379439E-4</v>
      </c>
    </row>
    <row r="35" spans="1:2" x14ac:dyDescent="0.25">
      <c r="A35" s="245" t="s">
        <v>217</v>
      </c>
      <c r="B35" s="1616">
        <v>1.379439E-4</v>
      </c>
    </row>
    <row r="36" spans="1:2" x14ac:dyDescent="0.25">
      <c r="A36" s="245" t="s">
        <v>2486</v>
      </c>
      <c r="B36" s="1616">
        <v>1.379439E-4</v>
      </c>
    </row>
    <row r="37" spans="1:2" x14ac:dyDescent="0.25">
      <c r="A37" s="245" t="s">
        <v>100</v>
      </c>
      <c r="B37" s="1616">
        <v>1.3573829999999999E-4</v>
      </c>
    </row>
    <row r="38" spans="1:2" x14ac:dyDescent="0.25">
      <c r="A38" s="245" t="s">
        <v>178</v>
      </c>
      <c r="B38" s="1616">
        <v>1.811545E-4</v>
      </c>
    </row>
  </sheetData>
  <mergeCells count="1">
    <mergeCell ref="A1:H1"/>
  </mergeCells>
  <pageMargins left="0.7" right="0.7" top="0.75" bottom="0.75" header="0.3" footer="0.3"/>
  <pageSetup scale="88"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857"/>
  <sheetViews>
    <sheetView zoomScale="70" zoomScaleNormal="70" workbookViewId="0">
      <selection sqref="A1:H1"/>
    </sheetView>
  </sheetViews>
  <sheetFormatPr defaultRowHeight="15" x14ac:dyDescent="0.25"/>
  <cols>
    <col min="1" max="1" width="53.140625" style="577" customWidth="1"/>
    <col min="2" max="9" width="9.140625" style="577"/>
  </cols>
  <sheetData>
    <row r="1" spans="1:32" x14ac:dyDescent="0.25">
      <c r="A1" s="2600"/>
      <c r="B1" s="2600"/>
      <c r="C1" s="2600"/>
      <c r="D1" s="2600"/>
      <c r="E1" s="2600"/>
      <c r="F1" s="2600"/>
      <c r="G1" s="2600"/>
      <c r="H1" s="2600"/>
      <c r="I1"/>
      <c r="J1" s="148"/>
      <c r="K1" s="577" t="s">
        <v>1206</v>
      </c>
      <c r="AF1" s="1609"/>
    </row>
    <row r="2" spans="1:32" s="577" customFormat="1" x14ac:dyDescent="0.25">
      <c r="A2" s="577" t="s">
        <v>973</v>
      </c>
      <c r="B2" s="3220" t="s">
        <v>2487</v>
      </c>
      <c r="C2" s="3220"/>
      <c r="D2" s="3220"/>
      <c r="E2" s="3220"/>
      <c r="F2" s="3220"/>
      <c r="G2" s="3220"/>
      <c r="K2" s="1618">
        <v>1.0595E-2</v>
      </c>
    </row>
    <row r="3" spans="1:32" s="577" customFormat="1" x14ac:dyDescent="0.25">
      <c r="B3" s="577">
        <v>2019</v>
      </c>
      <c r="C3" s="577">
        <v>2020</v>
      </c>
      <c r="D3" s="577">
        <v>2021</v>
      </c>
      <c r="E3" s="577">
        <v>2022</v>
      </c>
      <c r="F3" s="577">
        <v>2023</v>
      </c>
      <c r="G3" s="577">
        <v>2024</v>
      </c>
    </row>
    <row r="4" spans="1:32" s="577" customFormat="1" x14ac:dyDescent="0.25">
      <c r="A4" s="1619" t="s">
        <v>2488</v>
      </c>
      <c r="B4" s="577">
        <v>3.5014999700269167E-2</v>
      </c>
      <c r="C4" s="577">
        <v>3.5102422286076608E-2</v>
      </c>
      <c r="D4" s="577">
        <v>3.5109104017373043E-2</v>
      </c>
      <c r="E4" s="577">
        <v>3.5730994133360415E-2</v>
      </c>
      <c r="F4" s="577">
        <v>3.6692248129435182E-2</v>
      </c>
      <c r="G4" s="577">
        <v>3.6765213204623164E-2</v>
      </c>
    </row>
    <row r="5" spans="1:32" s="577" customFormat="1" x14ac:dyDescent="0.25">
      <c r="A5" s="1619" t="s">
        <v>2489</v>
      </c>
      <c r="B5" s="577">
        <v>0.3639934789573992</v>
      </c>
      <c r="C5" s="577">
        <v>0.36534163510475237</v>
      </c>
      <c r="D5" s="577">
        <v>0.36624340227805086</v>
      </c>
      <c r="E5" s="577">
        <v>0.3671115602459194</v>
      </c>
      <c r="F5" s="577">
        <v>0.36576290998144079</v>
      </c>
      <c r="G5" s="577">
        <v>0.36186476173270998</v>
      </c>
    </row>
    <row r="6" spans="1:32" s="577" customFormat="1" x14ac:dyDescent="0.25">
      <c r="A6" s="1619" t="s">
        <v>2490</v>
      </c>
      <c r="B6" s="577">
        <v>0.40035663480502154</v>
      </c>
      <c r="C6" s="577">
        <v>0.40134582456412754</v>
      </c>
      <c r="D6" s="577">
        <v>0.4022206642632925</v>
      </c>
      <c r="E6" s="577">
        <v>0.40149390411480129</v>
      </c>
      <c r="F6" s="577">
        <v>0.39855700986214526</v>
      </c>
      <c r="G6" s="577">
        <v>0.39348550228064694</v>
      </c>
    </row>
    <row r="7" spans="1:32" s="577" customFormat="1" x14ac:dyDescent="0.25">
      <c r="A7" s="1619" t="s">
        <v>2491</v>
      </c>
      <c r="B7" s="577">
        <v>0.43636082426439682</v>
      </c>
      <c r="C7" s="577">
        <v>0.43732308654936936</v>
      </c>
      <c r="D7" s="577">
        <v>0.43660300813217434</v>
      </c>
      <c r="E7" s="577">
        <v>0.43428800399550566</v>
      </c>
      <c r="F7" s="577">
        <v>0.43017775041008216</v>
      </c>
      <c r="G7" s="577">
        <v>0.42397793006072676</v>
      </c>
    </row>
    <row r="8" spans="1:32" s="577" customFormat="1" x14ac:dyDescent="0.25">
      <c r="A8" s="1619" t="s">
        <v>2492</v>
      </c>
      <c r="B8" s="577">
        <v>0.47233808624963858</v>
      </c>
      <c r="C8" s="577">
        <v>0.47170543041825108</v>
      </c>
      <c r="D8" s="577">
        <v>0.46939710801287859</v>
      </c>
      <c r="E8" s="577">
        <v>0.4659087445434425</v>
      </c>
      <c r="F8" s="577">
        <v>0.46067017819016187</v>
      </c>
      <c r="G8" s="577">
        <v>0.45331397875642143</v>
      </c>
    </row>
    <row r="9" spans="1:32" s="577" customFormat="1" x14ac:dyDescent="0.25">
      <c r="A9" s="1619" t="s">
        <v>2493</v>
      </c>
      <c r="B9" s="577">
        <v>0.50672043011852042</v>
      </c>
      <c r="C9" s="577">
        <v>0.50449953029895567</v>
      </c>
      <c r="D9" s="577">
        <v>0.50101784856081555</v>
      </c>
      <c r="E9" s="577">
        <v>0.49640117232352232</v>
      </c>
      <c r="F9" s="577">
        <v>0.49000622688585671</v>
      </c>
      <c r="G9" s="577">
        <v>0.48164200473963714</v>
      </c>
    </row>
    <row r="10" spans="1:32" s="577" customFormat="1" x14ac:dyDescent="0.25">
      <c r="A10" s="1619" t="s">
        <v>2494</v>
      </c>
      <c r="B10" s="577">
        <v>0.53951452999922478</v>
      </c>
      <c r="C10" s="577">
        <v>0.53612027084689251</v>
      </c>
      <c r="D10" s="577">
        <v>0.53151027634089532</v>
      </c>
      <c r="E10" s="577">
        <v>0.52573722101921705</v>
      </c>
      <c r="F10" s="577">
        <v>0.51833425286907242</v>
      </c>
      <c r="G10" s="577">
        <v>0.50899876952210266</v>
      </c>
    </row>
    <row r="11" spans="1:32" s="577" customFormat="1" x14ac:dyDescent="0.25">
      <c r="A11" s="1619" t="s">
        <v>2495</v>
      </c>
      <c r="B11" s="577">
        <v>0.57113527054716173</v>
      </c>
      <c r="C11" s="577">
        <v>0.56661269862697239</v>
      </c>
      <c r="D11" s="577">
        <v>0.56084632503659015</v>
      </c>
      <c r="E11" s="577">
        <v>0.55406524700243276</v>
      </c>
      <c r="F11" s="577">
        <v>0.54569101765153794</v>
      </c>
      <c r="G11" s="577">
        <v>0.53541960218170159</v>
      </c>
    </row>
    <row r="12" spans="1:32" s="577" customFormat="1" x14ac:dyDescent="0.25">
      <c r="A12" s="1619" t="s">
        <v>2496</v>
      </c>
      <c r="B12" s="577">
        <v>0.60162769832724172</v>
      </c>
      <c r="C12" s="577">
        <v>0.59594874732266723</v>
      </c>
      <c r="D12" s="577">
        <v>0.58917435101980575</v>
      </c>
      <c r="E12" s="577">
        <v>0.58142201178489827</v>
      </c>
      <c r="F12" s="577">
        <v>0.57211185031113665</v>
      </c>
      <c r="G12" s="577">
        <v>0.56093845893074112</v>
      </c>
    </row>
    <row r="13" spans="1:32" s="577" customFormat="1" x14ac:dyDescent="0.25">
      <c r="A13" s="1619" t="s">
        <v>2497</v>
      </c>
      <c r="B13" s="577">
        <v>0.63096374702293623</v>
      </c>
      <c r="C13" s="577">
        <v>0.62427677330588272</v>
      </c>
      <c r="D13" s="577">
        <v>0.61653111580227149</v>
      </c>
      <c r="E13" s="577">
        <v>0.60784284444449721</v>
      </c>
      <c r="F13" s="577">
        <v>0.59763070706017662</v>
      </c>
      <c r="G13" s="577">
        <v>0.58558798006281754</v>
      </c>
    </row>
    <row r="14" spans="1:32" s="577" customFormat="1" x14ac:dyDescent="0.25">
      <c r="A14" s="1619" t="s">
        <v>2498</v>
      </c>
      <c r="B14" s="577">
        <v>0.65929177300615205</v>
      </c>
      <c r="C14" s="577">
        <v>0.65163353808834845</v>
      </c>
      <c r="D14" s="577">
        <v>0.6429519484618702</v>
      </c>
      <c r="E14" s="577">
        <v>0.63336170119353685</v>
      </c>
      <c r="F14" s="577">
        <v>0.62228022819225259</v>
      </c>
      <c r="G14" s="577">
        <v>0.60939954439885236</v>
      </c>
    </row>
    <row r="15" spans="1:32" s="577" customFormat="1" x14ac:dyDescent="0.25">
      <c r="A15" s="1619" t="s">
        <v>2499</v>
      </c>
      <c r="B15" s="577">
        <v>7.0117421986345782E-2</v>
      </c>
      <c r="C15" s="577">
        <v>7.0211526303449664E-2</v>
      </c>
      <c r="D15" s="577">
        <v>7.0840098150733485E-2</v>
      </c>
      <c r="E15" s="577">
        <v>7.242324226279559E-2</v>
      </c>
      <c r="F15" s="577">
        <v>7.3457461334058338E-2</v>
      </c>
      <c r="G15" s="577">
        <v>7.44997656753595E-2</v>
      </c>
    </row>
    <row r="16" spans="1:32" s="577" customFormat="1" x14ac:dyDescent="0.25">
      <c r="A16" s="1619" t="s">
        <v>2500</v>
      </c>
      <c r="B16" s="577">
        <v>0.68664853778861767</v>
      </c>
      <c r="C16" s="577">
        <v>0.67805437074794728</v>
      </c>
      <c r="D16" s="577">
        <v>0.66847080521090985</v>
      </c>
      <c r="E16" s="577">
        <v>0.65801122232561315</v>
      </c>
      <c r="F16" s="577">
        <v>0.64609179252828741</v>
      </c>
      <c r="G16" s="577">
        <v>0.63240332134715693</v>
      </c>
    </row>
    <row r="17" spans="1:7" s="577" customFormat="1" x14ac:dyDescent="0.25">
      <c r="A17" s="1619" t="s">
        <v>2501</v>
      </c>
      <c r="B17" s="577">
        <v>0.71306937044821639</v>
      </c>
      <c r="C17" s="577">
        <v>0.70357322749698692</v>
      </c>
      <c r="D17" s="577">
        <v>0.69312032634298604</v>
      </c>
      <c r="E17" s="577">
        <v>0.68182278666164786</v>
      </c>
      <c r="F17" s="577">
        <v>0.6690955694765921</v>
      </c>
      <c r="G17" s="577">
        <v>0.65411523918415981</v>
      </c>
    </row>
    <row r="18" spans="1:7" s="577" customFormat="1" x14ac:dyDescent="0.25">
      <c r="A18" s="1619" t="s">
        <v>2502</v>
      </c>
      <c r="B18" s="577">
        <v>0.73858822719725603</v>
      </c>
      <c r="C18" s="577">
        <v>0.72822274862906344</v>
      </c>
      <c r="D18" s="577">
        <v>0.71693189067902097</v>
      </c>
      <c r="E18" s="577">
        <v>0.70482656360995255</v>
      </c>
      <c r="F18" s="577">
        <v>0.69080748731359487</v>
      </c>
      <c r="G18" s="577">
        <v>0.67460784686420039</v>
      </c>
    </row>
    <row r="19" spans="1:7" s="577" customFormat="1" x14ac:dyDescent="0.25">
      <c r="A19" s="1619" t="s">
        <v>2503</v>
      </c>
      <c r="B19" s="577">
        <v>0.76323774832933233</v>
      </c>
      <c r="C19" s="577">
        <v>0.75203431296509815</v>
      </c>
      <c r="D19" s="577">
        <v>0.73993566762732554</v>
      </c>
      <c r="E19" s="577">
        <v>0.72653848144695543</v>
      </c>
      <c r="F19" s="577">
        <v>0.71130009499363567</v>
      </c>
      <c r="G19" s="577">
        <v>0.69394961909642372</v>
      </c>
    </row>
    <row r="20" spans="1:7" s="577" customFormat="1" x14ac:dyDescent="0.25">
      <c r="A20" s="1619" t="s">
        <v>2504</v>
      </c>
      <c r="B20" s="577">
        <v>0.78704931266536726</v>
      </c>
      <c r="C20" s="577">
        <v>0.77503808991340262</v>
      </c>
      <c r="D20" s="577">
        <v>0.76164758546432854</v>
      </c>
      <c r="E20" s="577">
        <v>0.74703108912699612</v>
      </c>
      <c r="F20" s="577">
        <v>0.730641867225859</v>
      </c>
      <c r="G20" s="577">
        <v>0.71220518514854569</v>
      </c>
    </row>
    <row r="21" spans="1:7" s="577" customFormat="1" x14ac:dyDescent="0.25">
      <c r="A21" s="1619" t="s">
        <v>2505</v>
      </c>
      <c r="B21" s="577">
        <v>0.81005308961367184</v>
      </c>
      <c r="C21" s="577">
        <v>0.79675000775040572</v>
      </c>
      <c r="D21" s="577">
        <v>0.782140193144369</v>
      </c>
      <c r="E21" s="577">
        <v>0.76637286135921945</v>
      </c>
      <c r="F21" s="577">
        <v>0.74889743327798086</v>
      </c>
      <c r="G21" s="577">
        <v>0.72943554480132711</v>
      </c>
    </row>
    <row r="22" spans="1:7" s="577" customFormat="1" x14ac:dyDescent="0.25">
      <c r="A22" s="1619" t="s">
        <v>2506</v>
      </c>
      <c r="B22" s="577">
        <v>0.83176500745067472</v>
      </c>
      <c r="C22" s="577">
        <v>0.81724261543044641</v>
      </c>
      <c r="D22" s="577">
        <v>0.80148196537659211</v>
      </c>
      <c r="E22" s="577">
        <v>0.78462842741134131</v>
      </c>
      <c r="F22" s="577">
        <v>0.76612779293076227</v>
      </c>
      <c r="G22" s="577">
        <v>0.74569827217535378</v>
      </c>
    </row>
    <row r="23" spans="1:7" s="577" customFormat="1" x14ac:dyDescent="0.25">
      <c r="A23" s="1619" t="s">
        <v>2507</v>
      </c>
      <c r="B23" s="577">
        <v>0.85225761513071552</v>
      </c>
      <c r="C23" s="577">
        <v>0.83658438766266952</v>
      </c>
      <c r="D23" s="577">
        <v>0.81973753142871408</v>
      </c>
      <c r="E23" s="577">
        <v>0.80185878706412284</v>
      </c>
      <c r="F23" s="577">
        <v>0.78239052030478906</v>
      </c>
      <c r="G23" s="577">
        <v>0.76104770811119804</v>
      </c>
    </row>
    <row r="24" spans="1:7" s="577" customFormat="1" x14ac:dyDescent="0.25">
      <c r="A24" s="1619" t="s">
        <v>2508</v>
      </c>
      <c r="B24" s="577">
        <v>0.87159938736293863</v>
      </c>
      <c r="C24" s="577">
        <v>0.85483995371479149</v>
      </c>
      <c r="D24" s="577">
        <v>0.83696789108149583</v>
      </c>
      <c r="E24" s="577">
        <v>0.8181215144381494</v>
      </c>
      <c r="F24" s="577">
        <v>0.79773995624063332</v>
      </c>
      <c r="G24" s="577">
        <v>0.77553514174578453</v>
      </c>
    </row>
    <row r="25" spans="1:7" s="577" customFormat="1" x14ac:dyDescent="0.25">
      <c r="A25" s="1619" t="s">
        <v>2509</v>
      </c>
      <c r="B25" s="577">
        <v>0.88985495341506049</v>
      </c>
      <c r="C25" s="577">
        <v>0.8720703133675729</v>
      </c>
      <c r="D25" s="577">
        <v>0.85323061845552273</v>
      </c>
      <c r="E25" s="577">
        <v>0.83347095037399377</v>
      </c>
      <c r="F25" s="577">
        <v>0.8122273898752197</v>
      </c>
      <c r="G25" s="577">
        <v>0.78920898189168953</v>
      </c>
    </row>
    <row r="26" spans="1:7" s="577" customFormat="1" x14ac:dyDescent="0.25">
      <c r="A26" s="1619" t="s">
        <v>2510</v>
      </c>
      <c r="B26" s="577">
        <v>0.10522652600371882</v>
      </c>
      <c r="C26" s="577">
        <v>0.10594252043681002</v>
      </c>
      <c r="D26" s="577">
        <v>0.10753234628016867</v>
      </c>
      <c r="E26" s="577">
        <v>0.1091884554674188</v>
      </c>
      <c r="F26" s="577">
        <v>0.11119201380479471</v>
      </c>
      <c r="G26" s="577">
        <v>0.11208641015990928</v>
      </c>
    </row>
    <row r="27" spans="1:7" s="577" customFormat="1" x14ac:dyDescent="0.25">
      <c r="A27" s="1619" t="s">
        <v>2511</v>
      </c>
      <c r="B27" s="577">
        <v>0.90708531306784213</v>
      </c>
      <c r="C27" s="577">
        <v>0.8883330407415998</v>
      </c>
      <c r="D27" s="577">
        <v>0.86858005439136687</v>
      </c>
      <c r="E27" s="577">
        <v>0.84795838400857992</v>
      </c>
      <c r="F27" s="577">
        <v>0.82590123002112459</v>
      </c>
      <c r="G27" s="577">
        <v>0.80211491879202435</v>
      </c>
    </row>
    <row r="28" spans="1:7" s="577" customFormat="1" x14ac:dyDescent="0.25">
      <c r="A28" s="1619" t="s">
        <v>2512</v>
      </c>
      <c r="B28" s="577">
        <v>0.14095752013707916</v>
      </c>
      <c r="C28" s="577">
        <v>0.14263476856624518</v>
      </c>
      <c r="D28" s="577">
        <v>0.14429755948479178</v>
      </c>
      <c r="E28" s="577">
        <v>0.1469230079381551</v>
      </c>
      <c r="F28" s="577">
        <v>0.14877865828934445</v>
      </c>
      <c r="G28" s="577">
        <v>0.14938848076454975</v>
      </c>
    </row>
    <row r="29" spans="1:7" s="577" customFormat="1" x14ac:dyDescent="0.25">
      <c r="A29" s="1619" t="s">
        <v>2513</v>
      </c>
      <c r="B29" s="577">
        <v>0.17764976826651435</v>
      </c>
      <c r="C29" s="577">
        <v>0.17939998177086824</v>
      </c>
      <c r="D29" s="577">
        <v>0.18203211195552818</v>
      </c>
      <c r="E29" s="577">
        <v>0.1845096524227049</v>
      </c>
      <c r="F29" s="577">
        <v>0.18608072889398491</v>
      </c>
      <c r="G29" s="577">
        <v>0.18634371069088468</v>
      </c>
    </row>
    <row r="30" spans="1:7" s="577" customFormat="1" x14ac:dyDescent="0.25">
      <c r="A30" s="1619" t="s">
        <v>2514</v>
      </c>
      <c r="B30" s="577">
        <v>0.21441498147113744</v>
      </c>
      <c r="C30" s="577">
        <v>0.21713453424160467</v>
      </c>
      <c r="D30" s="577">
        <v>0.21961875644007792</v>
      </c>
      <c r="E30" s="577">
        <v>0.22181172302734531</v>
      </c>
      <c r="F30" s="577">
        <v>0.22303595882031985</v>
      </c>
      <c r="G30" s="577">
        <v>0.2227068665385068</v>
      </c>
    </row>
    <row r="31" spans="1:7" s="577" customFormat="1" x14ac:dyDescent="0.25">
      <c r="A31" s="1619" t="s">
        <v>2515</v>
      </c>
      <c r="B31" s="577">
        <v>0.25214953394187384</v>
      </c>
      <c r="C31" s="577">
        <v>0.25472117872615457</v>
      </c>
      <c r="D31" s="577">
        <v>0.25692082704471841</v>
      </c>
      <c r="E31" s="577">
        <v>0.2587669529536803</v>
      </c>
      <c r="F31" s="577">
        <v>0.25939911466794202</v>
      </c>
      <c r="G31" s="577">
        <v>0.25871105599788213</v>
      </c>
    </row>
    <row r="32" spans="1:7" s="577" customFormat="1" x14ac:dyDescent="0.25">
      <c r="A32" s="1619" t="s">
        <v>2516</v>
      </c>
      <c r="B32" s="577">
        <v>0.28973617842642374</v>
      </c>
      <c r="C32" s="577">
        <v>0.2920232493307951</v>
      </c>
      <c r="D32" s="577">
        <v>0.29387605697105329</v>
      </c>
      <c r="E32" s="577">
        <v>0.29513010880130247</v>
      </c>
      <c r="F32" s="577">
        <v>0.2954033041273173</v>
      </c>
      <c r="G32" s="577">
        <v>0.29468831798312378</v>
      </c>
    </row>
    <row r="33" spans="1:7" s="577" customFormat="1" x14ac:dyDescent="0.25">
      <c r="A33" s="1619" t="s">
        <v>2517</v>
      </c>
      <c r="B33" s="577">
        <v>0.32703824903106427</v>
      </c>
      <c r="C33" s="577">
        <v>0.32897847925713014</v>
      </c>
      <c r="D33" s="577">
        <v>0.33023921281867546</v>
      </c>
      <c r="E33" s="577">
        <v>0.3311342982606777</v>
      </c>
      <c r="F33" s="577">
        <v>0.33138056611255901</v>
      </c>
      <c r="G33" s="577">
        <v>0.32907066185200567</v>
      </c>
    </row>
    <row r="34" spans="1:7" s="577" customFormat="1" x14ac:dyDescent="0.25">
      <c r="A34" s="1619" t="s">
        <v>2518</v>
      </c>
      <c r="B34" s="577">
        <v>3.3438309176011372E-2</v>
      </c>
      <c r="C34" s="577">
        <v>3.3456327221288204E-2</v>
      </c>
      <c r="D34" s="577">
        <v>3.3400128686320647E-2</v>
      </c>
      <c r="E34" s="577">
        <v>3.3860491055699923E-2</v>
      </c>
      <c r="F34" s="577">
        <v>3.4672211900371966E-2</v>
      </c>
      <c r="G34" s="577">
        <v>3.4646614766468235E-2</v>
      </c>
    </row>
    <row r="35" spans="1:7" s="577" customFormat="1" x14ac:dyDescent="0.25">
      <c r="A35" s="1619" t="s">
        <v>2519</v>
      </c>
      <c r="B35" s="577">
        <v>0.3441075622907816</v>
      </c>
      <c r="C35" s="577">
        <v>0.34483538449492207</v>
      </c>
      <c r="D35" s="577">
        <v>0.34524136521337867</v>
      </c>
      <c r="E35" s="577">
        <v>0.34573540875181619</v>
      </c>
      <c r="F35" s="577">
        <v>0.34427037989480286</v>
      </c>
      <c r="G35" s="577">
        <v>0.34050294590337671</v>
      </c>
    </row>
    <row r="36" spans="1:7" s="577" customFormat="1" x14ac:dyDescent="0.25">
      <c r="A36" s="1619" t="s">
        <v>2520</v>
      </c>
      <c r="B36" s="577">
        <v>0.37827369367093355</v>
      </c>
      <c r="C36" s="577">
        <v>0.37869769243466694</v>
      </c>
      <c r="D36" s="577">
        <v>0.37913553743813688</v>
      </c>
      <c r="E36" s="577">
        <v>0.37813087095050268</v>
      </c>
      <c r="F36" s="577">
        <v>0.37517515780374866</v>
      </c>
      <c r="G36" s="577">
        <v>0.37032190793101255</v>
      </c>
    </row>
    <row r="37" spans="1:7" s="577" customFormat="1" x14ac:dyDescent="0.25">
      <c r="A37" s="1619" t="s">
        <v>2521</v>
      </c>
      <c r="B37" s="577">
        <v>0.41213600161067826</v>
      </c>
      <c r="C37" s="577">
        <v>0.4125918646594251</v>
      </c>
      <c r="D37" s="577">
        <v>0.41153099963682338</v>
      </c>
      <c r="E37" s="577">
        <v>0.40903564885944849</v>
      </c>
      <c r="F37" s="577">
        <v>0.4049941198313845</v>
      </c>
      <c r="G37" s="577">
        <v>0.39909549705204023</v>
      </c>
    </row>
    <row r="38" spans="1:7" s="577" customFormat="1" x14ac:dyDescent="0.25">
      <c r="A38" s="1619" t="s">
        <v>2522</v>
      </c>
      <c r="B38" s="577">
        <v>0.44603017383543647</v>
      </c>
      <c r="C38" s="577">
        <v>0.4449873268581116</v>
      </c>
      <c r="D38" s="577">
        <v>0.44243577754576929</v>
      </c>
      <c r="E38" s="577">
        <v>0.43885461088708444</v>
      </c>
      <c r="F38" s="577">
        <v>0.43376770895241218</v>
      </c>
      <c r="G38" s="577">
        <v>0.42679128770801916</v>
      </c>
    </row>
    <row r="39" spans="1:7" s="577" customFormat="1" x14ac:dyDescent="0.25">
      <c r="A39" s="1619" t="s">
        <v>2523</v>
      </c>
      <c r="B39" s="577">
        <v>0.47842563603412297</v>
      </c>
      <c r="C39" s="577">
        <v>0.47589210476705757</v>
      </c>
      <c r="D39" s="577">
        <v>0.47225473957340514</v>
      </c>
      <c r="E39" s="577">
        <v>0.46762820000811206</v>
      </c>
      <c r="F39" s="577">
        <v>0.46146349960839117</v>
      </c>
      <c r="G39" s="577">
        <v>0.45354919387381853</v>
      </c>
    </row>
    <row r="40" spans="1:7" s="577" customFormat="1" x14ac:dyDescent="0.25">
      <c r="A40" s="1619" t="s">
        <v>2524</v>
      </c>
      <c r="B40" s="577">
        <v>0.50933041394306877</v>
      </c>
      <c r="C40" s="577">
        <v>0.50571106679469324</v>
      </c>
      <c r="D40" s="577">
        <v>0.5010283286944327</v>
      </c>
      <c r="E40" s="577">
        <v>0.49532399066409105</v>
      </c>
      <c r="F40" s="577">
        <v>0.48822140577419049</v>
      </c>
      <c r="G40" s="577">
        <v>0.47940283772104697</v>
      </c>
    </row>
    <row r="41" spans="1:7" s="577" customFormat="1" x14ac:dyDescent="0.25">
      <c r="A41" s="1619" t="s">
        <v>2525</v>
      </c>
      <c r="B41" s="577">
        <v>0.53914937597070456</v>
      </c>
      <c r="C41" s="577">
        <v>0.53448465591572092</v>
      </c>
      <c r="D41" s="577">
        <v>0.52872411935041186</v>
      </c>
      <c r="E41" s="577">
        <v>0.52208189682989037</v>
      </c>
      <c r="F41" s="577">
        <v>0.51407504962141903</v>
      </c>
      <c r="G41" s="577">
        <v>0.50438455457787157</v>
      </c>
    </row>
    <row r="42" spans="1:7" s="577" customFormat="1" x14ac:dyDescent="0.25">
      <c r="A42" s="1619" t="s">
        <v>2526</v>
      </c>
      <c r="B42" s="577">
        <v>0.56792296509173235</v>
      </c>
      <c r="C42" s="577">
        <v>0.56218044657169997</v>
      </c>
      <c r="D42" s="577">
        <v>0.55548202551621106</v>
      </c>
      <c r="E42" s="577">
        <v>0.54793554067711892</v>
      </c>
      <c r="F42" s="577">
        <v>0.53905676647824341</v>
      </c>
      <c r="G42" s="577">
        <v>0.52852544556765302</v>
      </c>
    </row>
    <row r="43" spans="1:7" s="577" customFormat="1" x14ac:dyDescent="0.25">
      <c r="A43" s="1619" t="s">
        <v>2527</v>
      </c>
      <c r="B43" s="577">
        <v>0.59561875574771128</v>
      </c>
      <c r="C43" s="577">
        <v>0.58893835273749928</v>
      </c>
      <c r="D43" s="577">
        <v>0.58133566936343961</v>
      </c>
      <c r="E43" s="577">
        <v>0.5729172575339434</v>
      </c>
      <c r="F43" s="577">
        <v>0.56319765746802497</v>
      </c>
      <c r="G43" s="577">
        <v>0.55185542796208786</v>
      </c>
    </row>
    <row r="44" spans="1:7" s="577" customFormat="1" x14ac:dyDescent="0.25">
      <c r="A44" s="1619" t="s">
        <v>2528</v>
      </c>
      <c r="B44" s="577">
        <v>0.62237666191351071</v>
      </c>
      <c r="C44" s="577">
        <v>0.61479199658472794</v>
      </c>
      <c r="D44" s="577">
        <v>0.6063173862202641</v>
      </c>
      <c r="E44" s="577">
        <v>0.59705814852372485</v>
      </c>
      <c r="F44" s="577">
        <v>0.58652763986245982</v>
      </c>
      <c r="G44" s="577">
        <v>0.57440328335294677</v>
      </c>
    </row>
    <row r="45" spans="1:7" s="577" customFormat="1" x14ac:dyDescent="0.25">
      <c r="A45" s="1619" t="s">
        <v>2529</v>
      </c>
      <c r="B45" s="577">
        <v>6.6894636397299589E-2</v>
      </c>
      <c r="C45" s="577">
        <v>6.6856455907608858E-2</v>
      </c>
      <c r="D45" s="577">
        <v>6.7260619742020578E-2</v>
      </c>
      <c r="E45" s="577">
        <v>6.8532702956071889E-2</v>
      </c>
      <c r="F45" s="577">
        <v>6.931882666684018E-2</v>
      </c>
      <c r="G45" s="577">
        <v>7.0181337018230414E-2</v>
      </c>
    </row>
    <row r="46" spans="1:7" s="577" customFormat="1" x14ac:dyDescent="0.25">
      <c r="A46" s="1619" t="s">
        <v>2530</v>
      </c>
      <c r="B46" s="577">
        <v>0.64823030576073903</v>
      </c>
      <c r="C46" s="577">
        <v>0.63977371344155232</v>
      </c>
      <c r="D46" s="577">
        <v>0.63045827721004566</v>
      </c>
      <c r="E46" s="577">
        <v>0.6203881309181597</v>
      </c>
      <c r="F46" s="577">
        <v>0.6090754952533185</v>
      </c>
      <c r="G46" s="577">
        <v>0.5961967037415864</v>
      </c>
    </row>
    <row r="47" spans="1:7" s="577" customFormat="1" x14ac:dyDescent="0.25">
      <c r="A47" s="1619" t="s">
        <v>2531</v>
      </c>
      <c r="B47" s="577">
        <v>0.67321202261756374</v>
      </c>
      <c r="C47" s="577">
        <v>0.66391460443133388</v>
      </c>
      <c r="D47" s="577">
        <v>0.65378825960448017</v>
      </c>
      <c r="E47" s="577">
        <v>0.64293598630901849</v>
      </c>
      <c r="F47" s="577">
        <v>0.63086891564195835</v>
      </c>
      <c r="G47" s="577">
        <v>0.61676623690689059</v>
      </c>
    </row>
    <row r="48" spans="1:7" s="577" customFormat="1" x14ac:dyDescent="0.25">
      <c r="A48" s="1619" t="s">
        <v>2532</v>
      </c>
      <c r="B48" s="577">
        <v>0.69735291360734497</v>
      </c>
      <c r="C48" s="577">
        <v>0.68724458682576861</v>
      </c>
      <c r="D48" s="577">
        <v>0.67633611499533919</v>
      </c>
      <c r="E48" s="577">
        <v>0.66472940669765823</v>
      </c>
      <c r="F48" s="577">
        <v>0.65143844880726254</v>
      </c>
      <c r="G48" s="577">
        <v>0.63618061459948549</v>
      </c>
    </row>
    <row r="49" spans="1:7" s="577" customFormat="1" x14ac:dyDescent="0.25">
      <c r="A49" s="1619" t="s">
        <v>2533</v>
      </c>
      <c r="B49" s="577">
        <v>0.72068289600177993</v>
      </c>
      <c r="C49" s="577">
        <v>0.70979244221662741</v>
      </c>
      <c r="D49" s="577">
        <v>0.69812953538397893</v>
      </c>
      <c r="E49" s="577">
        <v>0.68529893986296231</v>
      </c>
      <c r="F49" s="577">
        <v>0.67085282649985722</v>
      </c>
      <c r="G49" s="577">
        <v>0.65450470869348698</v>
      </c>
    </row>
    <row r="50" spans="1:7" s="577" customFormat="1" x14ac:dyDescent="0.25">
      <c r="A50" s="1619" t="s">
        <v>2534</v>
      </c>
      <c r="B50" s="577">
        <v>0.74323075139263894</v>
      </c>
      <c r="C50" s="577">
        <v>0.73158586260526703</v>
      </c>
      <c r="D50" s="577">
        <v>0.71869906854928312</v>
      </c>
      <c r="E50" s="577">
        <v>0.70471331755555722</v>
      </c>
      <c r="F50" s="577">
        <v>0.68917692059385882</v>
      </c>
      <c r="G50" s="577">
        <v>0.67179974795162922</v>
      </c>
    </row>
    <row r="51" spans="1:7" s="577" customFormat="1" x14ac:dyDescent="0.25">
      <c r="A51" s="1619" t="s">
        <v>2535</v>
      </c>
      <c r="B51" s="577">
        <v>0.76502417178127868</v>
      </c>
      <c r="C51" s="577">
        <v>0.75215539577057122</v>
      </c>
      <c r="D51" s="577">
        <v>0.73811344624187769</v>
      </c>
      <c r="E51" s="577">
        <v>0.72303741164955881</v>
      </c>
      <c r="F51" s="577">
        <v>0.70647195985200117</v>
      </c>
      <c r="G51" s="577">
        <v>0.68812352261717158</v>
      </c>
    </row>
    <row r="52" spans="1:7" s="577" customFormat="1" x14ac:dyDescent="0.25">
      <c r="A52" s="1619" t="s">
        <v>2536</v>
      </c>
      <c r="B52" s="577">
        <v>0.10029476508362022</v>
      </c>
      <c r="C52" s="577">
        <v>0.10071694696330878</v>
      </c>
      <c r="D52" s="577">
        <v>0.10193283164239253</v>
      </c>
      <c r="E52" s="577">
        <v>0.10317931772254012</v>
      </c>
      <c r="F52" s="577">
        <v>0.10485354891860241</v>
      </c>
      <c r="G52" s="577">
        <v>0.10552170156561409</v>
      </c>
    </row>
    <row r="53" spans="1:7" s="577" customFormat="1" x14ac:dyDescent="0.25">
      <c r="A53" s="1619" t="s">
        <v>2537</v>
      </c>
      <c r="B53" s="577">
        <v>0.13415525613932014</v>
      </c>
      <c r="C53" s="577">
        <v>0.13538915886368075</v>
      </c>
      <c r="D53" s="577">
        <v>0.13657944640886077</v>
      </c>
      <c r="E53" s="577">
        <v>0.13871403997430234</v>
      </c>
      <c r="F53" s="577">
        <v>0.14019391346598606</v>
      </c>
      <c r="G53" s="577">
        <v>0.14056579402639685</v>
      </c>
    </row>
    <row r="54" spans="1:7" s="577" customFormat="1" x14ac:dyDescent="0.25">
      <c r="A54" s="1619" t="s">
        <v>2538</v>
      </c>
      <c r="B54" s="577">
        <v>0.16882746803969206</v>
      </c>
      <c r="C54" s="577">
        <v>0.17003577363014899</v>
      </c>
      <c r="D54" s="577">
        <v>0.17211416866062296</v>
      </c>
      <c r="E54" s="577">
        <v>0.174054404521686</v>
      </c>
      <c r="F54" s="577">
        <v>0.17523800592676886</v>
      </c>
      <c r="G54" s="577">
        <v>0.17528009425108945</v>
      </c>
    </row>
    <row r="55" spans="1:7" s="577" customFormat="1" x14ac:dyDescent="0.25">
      <c r="A55" s="1619" t="s">
        <v>2539</v>
      </c>
      <c r="B55" s="577">
        <v>0.20347408280616033</v>
      </c>
      <c r="C55" s="577">
        <v>0.2055704958819112</v>
      </c>
      <c r="D55" s="577">
        <v>0.20745453320800664</v>
      </c>
      <c r="E55" s="577">
        <v>0.20909849698246874</v>
      </c>
      <c r="F55" s="577">
        <v>0.20995230615146143</v>
      </c>
      <c r="G55" s="577">
        <v>0.2094462256312413</v>
      </c>
    </row>
    <row r="56" spans="1:7" s="577" customFormat="1" x14ac:dyDescent="0.25">
      <c r="A56" s="1619" t="s">
        <v>2540</v>
      </c>
      <c r="B56" s="577">
        <v>0.2390088050579226</v>
      </c>
      <c r="C56" s="577">
        <v>0.24091086042929485</v>
      </c>
      <c r="D56" s="577">
        <v>0.24249862566878938</v>
      </c>
      <c r="E56" s="577">
        <v>0.24381279720716137</v>
      </c>
      <c r="F56" s="577">
        <v>0.24411843753161333</v>
      </c>
      <c r="G56" s="577">
        <v>0.24330853357098611</v>
      </c>
    </row>
    <row r="57" spans="1:7" s="577" customFormat="1" x14ac:dyDescent="0.25">
      <c r="A57" s="1619" t="s">
        <v>2541</v>
      </c>
      <c r="B57" s="577">
        <v>0.27434916960530625</v>
      </c>
      <c r="C57" s="577">
        <v>0.27595495289007765</v>
      </c>
      <c r="D57" s="577">
        <v>0.27721292589348207</v>
      </c>
      <c r="E57" s="577">
        <v>0.27797892858731316</v>
      </c>
      <c r="F57" s="577">
        <v>0.27798074547135815</v>
      </c>
      <c r="G57" s="577">
        <v>0.2772027057957443</v>
      </c>
    </row>
    <row r="58" spans="1:7" s="577" customFormat="1" x14ac:dyDescent="0.25">
      <c r="A58" s="1619" t="s">
        <v>2542</v>
      </c>
      <c r="B58" s="577">
        <v>0.30939326206608897</v>
      </c>
      <c r="C58" s="577">
        <v>0.31066925311477023</v>
      </c>
      <c r="D58" s="577">
        <v>0.31137905727363385</v>
      </c>
      <c r="E58" s="577">
        <v>0.31184123652705803</v>
      </c>
      <c r="F58" s="577">
        <v>0.31187491769611625</v>
      </c>
      <c r="G58" s="577">
        <v>0.30959816799443096</v>
      </c>
    </row>
    <row r="59" spans="1:7" s="577" customFormat="1" x14ac:dyDescent="0.25">
      <c r="A59" s="1619" t="s">
        <v>2543</v>
      </c>
      <c r="B59" s="577">
        <v>5.2302450723593706E-2</v>
      </c>
      <c r="C59" s="577">
        <v>5.3516434947454998E-2</v>
      </c>
      <c r="D59" s="577">
        <v>5.4562013278680065E-2</v>
      </c>
      <c r="E59" s="577">
        <v>5.7700578563194146E-2</v>
      </c>
      <c r="F59" s="577">
        <v>6.0894682043841263E-2</v>
      </c>
      <c r="G59" s="577">
        <v>6.2580360976253677E-2</v>
      </c>
    </row>
    <row r="60" spans="1:7" s="577" customFormat="1" x14ac:dyDescent="0.25">
      <c r="A60" s="1619" t="s">
        <v>2544</v>
      </c>
      <c r="B60" s="577">
        <v>0.60155069553984886</v>
      </c>
      <c r="C60" s="577">
        <v>0.61282548167836104</v>
      </c>
      <c r="D60" s="577">
        <v>0.62170504347935851</v>
      </c>
      <c r="E60" s="577">
        <v>0.62854595247265532</v>
      </c>
      <c r="F60" s="577">
        <v>0.6294623146341648</v>
      </c>
      <c r="G60" s="577">
        <v>0.62438122055082956</v>
      </c>
    </row>
    <row r="61" spans="1:7" s="577" customFormat="1" x14ac:dyDescent="0.25">
      <c r="A61" s="1619" t="s">
        <v>2545</v>
      </c>
      <c r="B61" s="577">
        <v>0.66512793240195489</v>
      </c>
      <c r="C61" s="577">
        <v>0.67522147842681346</v>
      </c>
      <c r="D61" s="577">
        <v>0.68310796575133537</v>
      </c>
      <c r="E61" s="577">
        <v>0.68716289319735879</v>
      </c>
      <c r="F61" s="577">
        <v>0.68527590259467086</v>
      </c>
      <c r="G61" s="577">
        <v>0.67786777245521912</v>
      </c>
    </row>
    <row r="62" spans="1:7" s="577" customFormat="1" x14ac:dyDescent="0.25">
      <c r="A62" s="1619" t="s">
        <v>2546</v>
      </c>
      <c r="B62" s="577">
        <v>0.7275239291504072</v>
      </c>
      <c r="C62" s="577">
        <v>0.73662440069879043</v>
      </c>
      <c r="D62" s="577">
        <v>0.74172490647603895</v>
      </c>
      <c r="E62" s="577">
        <v>0.74297648115786497</v>
      </c>
      <c r="F62" s="577">
        <v>0.73876245449906031</v>
      </c>
      <c r="G62" s="577">
        <v>0.72913719067073757</v>
      </c>
    </row>
    <row r="63" spans="1:7" s="577" customFormat="1" x14ac:dyDescent="0.25">
      <c r="A63" s="1619" t="s">
        <v>2547</v>
      </c>
      <c r="B63" s="577">
        <v>0.78892685142238417</v>
      </c>
      <c r="C63" s="577">
        <v>0.7952413414234939</v>
      </c>
      <c r="D63" s="577">
        <v>0.79753849443654512</v>
      </c>
      <c r="E63" s="577">
        <v>0.79646303306225463</v>
      </c>
      <c r="F63" s="577">
        <v>0.79003187271457864</v>
      </c>
      <c r="G63" s="577">
        <v>0.7782406052180092</v>
      </c>
    </row>
    <row r="64" spans="1:7" s="577" customFormat="1" x14ac:dyDescent="0.25">
      <c r="A64" s="1619" t="s">
        <v>2548</v>
      </c>
      <c r="B64" s="577">
        <v>0.84754379214708753</v>
      </c>
      <c r="C64" s="577">
        <v>0.85105492938400007</v>
      </c>
      <c r="D64" s="577">
        <v>0.85102504634093468</v>
      </c>
      <c r="E64" s="577">
        <v>0.84773245127777275</v>
      </c>
      <c r="F64" s="577">
        <v>0.83913528726185049</v>
      </c>
      <c r="G64" s="577">
        <v>0.82542877780438428</v>
      </c>
    </row>
    <row r="65" spans="1:7" s="577" customFormat="1" x14ac:dyDescent="0.25">
      <c r="A65" s="1619" t="s">
        <v>2549</v>
      </c>
      <c r="B65" s="577">
        <v>0.90335738010759381</v>
      </c>
      <c r="C65" s="577">
        <v>0.90454148128838974</v>
      </c>
      <c r="D65" s="577">
        <v>0.90229446455645279</v>
      </c>
      <c r="E65" s="577">
        <v>0.89683586582504438</v>
      </c>
      <c r="F65" s="577">
        <v>0.88632345984822536</v>
      </c>
      <c r="G65" s="577">
        <v>0.87078117780645814</v>
      </c>
    </row>
    <row r="66" spans="1:7" s="577" customFormat="1" x14ac:dyDescent="0.25">
      <c r="A66" s="1619" t="s">
        <v>2550</v>
      </c>
      <c r="B66" s="577">
        <v>0.95684393201198348</v>
      </c>
      <c r="C66" s="577">
        <v>0.95581089950390785</v>
      </c>
      <c r="D66" s="577">
        <v>0.95139787910372442</v>
      </c>
      <c r="E66" s="577">
        <v>0.9440240384114198</v>
      </c>
      <c r="F66" s="577">
        <v>0.93167585985029933</v>
      </c>
      <c r="G66" s="577">
        <v>0.91437379304180677</v>
      </c>
    </row>
    <row r="67" spans="1:7" s="577" customFormat="1" x14ac:dyDescent="0.25">
      <c r="A67" s="1619" t="s">
        <v>2551</v>
      </c>
      <c r="B67" s="577">
        <v>1.0081133502275017</v>
      </c>
      <c r="C67" s="577">
        <v>1.0049143140511796</v>
      </c>
      <c r="D67" s="577">
        <v>0.99858605169009973</v>
      </c>
      <c r="E67" s="577">
        <v>0.98937643841349354</v>
      </c>
      <c r="F67" s="577">
        <v>0.97526847508564818</v>
      </c>
      <c r="G67" s="577">
        <v>0.95627928903422388</v>
      </c>
    </row>
    <row r="68" spans="1:7" s="577" customFormat="1" x14ac:dyDescent="0.25">
      <c r="A68" s="1619" t="s">
        <v>2552</v>
      </c>
      <c r="B68" s="577">
        <v>1.0572167647747732</v>
      </c>
      <c r="C68" s="577">
        <v>1.0521024866375548</v>
      </c>
      <c r="D68" s="577">
        <v>1.0439384516921737</v>
      </c>
      <c r="E68" s="577">
        <v>1.0329690536488423</v>
      </c>
      <c r="F68" s="577">
        <v>1.0171739710780652</v>
      </c>
      <c r="G68" s="577">
        <v>0.99656716075785778</v>
      </c>
    </row>
    <row r="69" spans="1:7" s="577" customFormat="1" x14ac:dyDescent="0.25">
      <c r="A69" s="1619" t="s">
        <v>2553</v>
      </c>
      <c r="B69" s="577">
        <v>1.1044049373611484</v>
      </c>
      <c r="C69" s="577">
        <v>1.0974548866396285</v>
      </c>
      <c r="D69" s="577">
        <v>1.0875310669275224</v>
      </c>
      <c r="E69" s="577">
        <v>1.0748745496412593</v>
      </c>
      <c r="F69" s="577">
        <v>1.0574618428016991</v>
      </c>
      <c r="G69" s="577">
        <v>1.0353038772233758</v>
      </c>
    </row>
    <row r="70" spans="1:7" s="577" customFormat="1" x14ac:dyDescent="0.25">
      <c r="A70" s="1619" t="s">
        <v>2554</v>
      </c>
      <c r="B70" s="577">
        <v>0.1058188856710487</v>
      </c>
      <c r="C70" s="577">
        <v>0.10807844822613502</v>
      </c>
      <c r="D70" s="577">
        <v>0.1122625918418742</v>
      </c>
      <c r="E70" s="577">
        <v>0.1185952606070354</v>
      </c>
      <c r="F70" s="577">
        <v>0.12347504302009493</v>
      </c>
      <c r="G70" s="577">
        <v>0.12723058958792277</v>
      </c>
    </row>
    <row r="71" spans="1:7" s="577" customFormat="1" x14ac:dyDescent="0.25">
      <c r="A71" s="1619" t="s">
        <v>2555</v>
      </c>
      <c r="B71" s="577">
        <v>1.1497573373632222</v>
      </c>
      <c r="C71" s="577">
        <v>1.1410475018749775</v>
      </c>
      <c r="D71" s="577">
        <v>1.1294365629199394</v>
      </c>
      <c r="E71" s="577">
        <v>1.115162421364893</v>
      </c>
      <c r="F71" s="577">
        <v>1.096198559267217</v>
      </c>
      <c r="G71" s="577">
        <v>1.0725530192514849</v>
      </c>
    </row>
    <row r="72" spans="1:7" s="577" customFormat="1" x14ac:dyDescent="0.25">
      <c r="A72" s="1619" t="s">
        <v>2556</v>
      </c>
      <c r="B72" s="577">
        <v>1.1933499525985711</v>
      </c>
      <c r="C72" s="577">
        <v>1.1829529978673945</v>
      </c>
      <c r="D72" s="577">
        <v>1.1697244346435731</v>
      </c>
      <c r="E72" s="577">
        <v>1.1538991378304113</v>
      </c>
      <c r="F72" s="577">
        <v>1.1334477012953259</v>
      </c>
      <c r="G72" s="577">
        <v>1.1077103029023665</v>
      </c>
    </row>
    <row r="73" spans="1:7" s="577" customFormat="1" x14ac:dyDescent="0.25">
      <c r="A73" s="1619" t="s">
        <v>2557</v>
      </c>
      <c r="B73" s="577">
        <v>1.2352554485909883</v>
      </c>
      <c r="C73" s="577">
        <v>1.2232408695910282</v>
      </c>
      <c r="D73" s="577">
        <v>1.2084611511090912</v>
      </c>
      <c r="E73" s="577">
        <v>1.19114827985852</v>
      </c>
      <c r="F73" s="577">
        <v>1.1686049849462075</v>
      </c>
      <c r="G73" s="577">
        <v>1.1408932039414241</v>
      </c>
    </row>
    <row r="74" spans="1:7" s="577" customFormat="1" x14ac:dyDescent="0.25">
      <c r="A74" s="1619" t="s">
        <v>2558</v>
      </c>
      <c r="B74" s="577">
        <v>1.275543320314622</v>
      </c>
      <c r="C74" s="577">
        <v>1.2619775860565463</v>
      </c>
      <c r="D74" s="577">
        <v>1.2457102931372002</v>
      </c>
      <c r="E74" s="577">
        <v>1.2263055635094018</v>
      </c>
      <c r="F74" s="577">
        <v>1.2017878859852655</v>
      </c>
      <c r="G74" s="577">
        <v>1.1722126008636116</v>
      </c>
    </row>
    <row r="75" spans="1:7" s="577" customFormat="1" x14ac:dyDescent="0.25">
      <c r="A75" s="1619" t="s">
        <v>2559</v>
      </c>
      <c r="B75" s="577">
        <v>1.3142800367801399</v>
      </c>
      <c r="C75" s="577">
        <v>1.2992267280846554</v>
      </c>
      <c r="D75" s="577">
        <v>1.2808675767880819</v>
      </c>
      <c r="E75" s="577">
        <v>1.2594884645484596</v>
      </c>
      <c r="F75" s="577">
        <v>1.233107282907453</v>
      </c>
      <c r="G75" s="577">
        <v>1.2017731453866769</v>
      </c>
    </row>
    <row r="76" spans="1:7" s="577" customFormat="1" x14ac:dyDescent="0.25">
      <c r="A76" s="1619" t="s">
        <v>2560</v>
      </c>
      <c r="B76" s="577">
        <v>1.3515291788082491</v>
      </c>
      <c r="C76" s="577">
        <v>1.3343840117355372</v>
      </c>
      <c r="D76" s="577">
        <v>1.3140504778271396</v>
      </c>
      <c r="E76" s="577">
        <v>1.2908078614706471</v>
      </c>
      <c r="F76" s="577">
        <v>1.2626678274305183</v>
      </c>
      <c r="G76" s="577">
        <v>1.2296736121380365</v>
      </c>
    </row>
    <row r="77" spans="1:7" s="577" customFormat="1" x14ac:dyDescent="0.25">
      <c r="A77" s="1619" t="s">
        <v>2561</v>
      </c>
      <c r="B77" s="577">
        <v>1.3866864624591311</v>
      </c>
      <c r="C77" s="577">
        <v>1.3675669127745949</v>
      </c>
      <c r="D77" s="577">
        <v>1.3453698747493275</v>
      </c>
      <c r="E77" s="577">
        <v>1.3203684059937124</v>
      </c>
      <c r="F77" s="577">
        <v>1.2905682941818775</v>
      </c>
      <c r="G77" s="577">
        <v>1.256007228703736</v>
      </c>
    </row>
    <row r="78" spans="1:7" s="577" customFormat="1" x14ac:dyDescent="0.25">
      <c r="A78" s="1619" t="s">
        <v>2562</v>
      </c>
      <c r="B78" s="577">
        <v>1.4198693634981883</v>
      </c>
      <c r="C78" s="577">
        <v>1.3988863096967821</v>
      </c>
      <c r="D78" s="577">
        <v>1.3749304192723923</v>
      </c>
      <c r="E78" s="577">
        <v>1.3482688727450713</v>
      </c>
      <c r="F78" s="577">
        <v>1.3169019107475775</v>
      </c>
      <c r="G78" s="577">
        <v>1.2808619871423395</v>
      </c>
    </row>
    <row r="79" spans="1:7" s="577" customFormat="1" x14ac:dyDescent="0.25">
      <c r="A79" s="1619" t="s">
        <v>2563</v>
      </c>
      <c r="B79" s="577">
        <v>1.4511887604203759</v>
      </c>
      <c r="C79" s="577">
        <v>1.4284468542198472</v>
      </c>
      <c r="D79" s="577">
        <v>1.4028308860237515</v>
      </c>
      <c r="E79" s="577">
        <v>1.3746024893107718</v>
      </c>
      <c r="F79" s="577">
        <v>1.3417566691861809</v>
      </c>
      <c r="G79" s="577">
        <v>1.3043209380046363</v>
      </c>
    </row>
    <row r="80" spans="1:7" s="577" customFormat="1" x14ac:dyDescent="0.25">
      <c r="A80" s="1619" t="s">
        <v>2564</v>
      </c>
      <c r="B80" s="577">
        <v>1.480749304943441</v>
      </c>
      <c r="C80" s="577">
        <v>1.4563473209712066</v>
      </c>
      <c r="D80" s="577">
        <v>1.4291645025894519</v>
      </c>
      <c r="E80" s="577">
        <v>1.399457247749375</v>
      </c>
      <c r="F80" s="577">
        <v>1.3652156200484775</v>
      </c>
      <c r="G80" s="577">
        <v>1.3264624678416315</v>
      </c>
    </row>
    <row r="81" spans="1:7" s="577" customFormat="1" x14ac:dyDescent="0.25">
      <c r="A81" s="1619" t="s">
        <v>2565</v>
      </c>
      <c r="B81" s="577">
        <v>0.16038089894972868</v>
      </c>
      <c r="C81" s="577">
        <v>0.1657790267893291</v>
      </c>
      <c r="D81" s="577">
        <v>0.17315727388571547</v>
      </c>
      <c r="E81" s="577">
        <v>0.18117562158328909</v>
      </c>
      <c r="F81" s="577">
        <v>0.18812527163176401</v>
      </c>
      <c r="G81" s="577">
        <v>0.19253877659377019</v>
      </c>
    </row>
    <row r="82" spans="1:7" s="577" customFormat="1" x14ac:dyDescent="0.25">
      <c r="A82" s="1619" t="s">
        <v>2566</v>
      </c>
      <c r="B82" s="577">
        <v>1.5086497716948006</v>
      </c>
      <c r="C82" s="577">
        <v>1.482680937536907</v>
      </c>
      <c r="D82" s="577">
        <v>1.4540192610280549</v>
      </c>
      <c r="E82" s="577">
        <v>1.4229161986116714</v>
      </c>
      <c r="F82" s="577">
        <v>1.3873571498854729</v>
      </c>
      <c r="G82" s="577">
        <v>1.3473605611280832</v>
      </c>
    </row>
    <row r="83" spans="1:7" s="577" customFormat="1" x14ac:dyDescent="0.25">
      <c r="A83" s="1619" t="s">
        <v>2567</v>
      </c>
      <c r="B83" s="577">
        <v>0.21808147751292284</v>
      </c>
      <c r="C83" s="577">
        <v>0.22667370883317028</v>
      </c>
      <c r="D83" s="577">
        <v>0.23573763486196914</v>
      </c>
      <c r="E83" s="577">
        <v>0.24582585019495815</v>
      </c>
      <c r="F83" s="577">
        <v>0.25343345863761141</v>
      </c>
      <c r="G83" s="577">
        <v>0.25782753372878886</v>
      </c>
    </row>
    <row r="84" spans="1:7" s="577" customFormat="1" x14ac:dyDescent="0.25">
      <c r="A84" s="1619" t="s">
        <v>2568</v>
      </c>
      <c r="B84" s="577">
        <v>0.27897615955676403</v>
      </c>
      <c r="C84" s="577">
        <v>0.28925406980942386</v>
      </c>
      <c r="D84" s="577">
        <v>0.30038786347363822</v>
      </c>
      <c r="E84" s="577">
        <v>0.31113403720080557</v>
      </c>
      <c r="F84" s="577">
        <v>0.31872221577263016</v>
      </c>
      <c r="G84" s="577">
        <v>0.32257453598308466</v>
      </c>
    </row>
    <row r="85" spans="1:7" s="577" customFormat="1" x14ac:dyDescent="0.25">
      <c r="A85" s="1619" t="s">
        <v>2569</v>
      </c>
      <c r="B85" s="577">
        <v>0.34155652053301766</v>
      </c>
      <c r="C85" s="577">
        <v>0.35390429842109306</v>
      </c>
      <c r="D85" s="577">
        <v>0.36569605047948561</v>
      </c>
      <c r="E85" s="577">
        <v>0.37642279433582426</v>
      </c>
      <c r="F85" s="577">
        <v>0.38346921802692591</v>
      </c>
      <c r="G85" s="577">
        <v>0.38615177284519064</v>
      </c>
    </row>
    <row r="86" spans="1:7" s="577" customFormat="1" x14ac:dyDescent="0.25">
      <c r="A86" s="1619" t="s">
        <v>2570</v>
      </c>
      <c r="B86" s="577">
        <v>0.40620674914468674</v>
      </c>
      <c r="C86" s="577">
        <v>0.41921248542694051</v>
      </c>
      <c r="D86" s="577">
        <v>0.43098480761450442</v>
      </c>
      <c r="E86" s="577">
        <v>0.44116979659012001</v>
      </c>
      <c r="F86" s="577">
        <v>0.44704645488903194</v>
      </c>
      <c r="G86" s="577">
        <v>0.44854776959364301</v>
      </c>
    </row>
    <row r="87" spans="1:7" s="577" customFormat="1" x14ac:dyDescent="0.25">
      <c r="A87" s="1619" t="s">
        <v>2571</v>
      </c>
      <c r="B87" s="577">
        <v>0.47151493615053425</v>
      </c>
      <c r="C87" s="577">
        <v>0.48450124256195926</v>
      </c>
      <c r="D87" s="577">
        <v>0.49573180986880017</v>
      </c>
      <c r="E87" s="577">
        <v>0.50474703345222605</v>
      </c>
      <c r="F87" s="577">
        <v>0.50944245163748425</v>
      </c>
      <c r="G87" s="577">
        <v>0.50995069186561981</v>
      </c>
    </row>
    <row r="88" spans="1:7" s="577" customFormat="1" x14ac:dyDescent="0.25">
      <c r="A88" s="1619" t="s">
        <v>2572</v>
      </c>
      <c r="B88" s="577">
        <v>0.536803693285553</v>
      </c>
      <c r="C88" s="577">
        <v>0.54924824481625512</v>
      </c>
      <c r="D88" s="577">
        <v>0.5593090467309062</v>
      </c>
      <c r="E88" s="577">
        <v>0.56714303020067847</v>
      </c>
      <c r="F88" s="577">
        <v>0.57084537390946111</v>
      </c>
      <c r="G88" s="577">
        <v>0.5685676325903235</v>
      </c>
    </row>
    <row r="89" spans="1:7" s="577" customFormat="1" x14ac:dyDescent="0.25">
      <c r="A89" s="1619" t="s">
        <v>2573</v>
      </c>
      <c r="B89" s="577">
        <v>5.4354218725356576E-2</v>
      </c>
      <c r="C89" s="577">
        <v>5.5654468775423134E-2</v>
      </c>
      <c r="D89" s="577">
        <v>5.6778001557869384E-2</v>
      </c>
      <c r="E89" s="577">
        <v>6.0118502402044444E-2</v>
      </c>
      <c r="F89" s="577">
        <v>6.3500620567258331E-2</v>
      </c>
      <c r="G89" s="577">
        <v>6.5308663997247496E-2</v>
      </c>
    </row>
    <row r="90" spans="1:7" s="577" customFormat="1" x14ac:dyDescent="0.25">
      <c r="A90" s="1619" t="s">
        <v>2574</v>
      </c>
      <c r="B90" s="577">
        <v>0.62721218525158584</v>
      </c>
      <c r="C90" s="577">
        <v>0.63925958985862807</v>
      </c>
      <c r="D90" s="577">
        <v>0.64875615811663234</v>
      </c>
      <c r="E90" s="577">
        <v>0.65606317567893235</v>
      </c>
      <c r="F90" s="577">
        <v>0.65712002330777652</v>
      </c>
      <c r="G90" s="577">
        <v>0.65186605583539525</v>
      </c>
    </row>
    <row r="91" spans="1:7" s="577" customFormat="1" x14ac:dyDescent="0.25">
      <c r="A91" s="1619" t="s">
        <v>2575</v>
      </c>
      <c r="B91" s="577">
        <v>0.69361380858398469</v>
      </c>
      <c r="C91" s="577">
        <v>0.70441062689205547</v>
      </c>
      <c r="D91" s="577">
        <v>0.71284117723680196</v>
      </c>
      <c r="E91" s="577">
        <v>0.71723852570982105</v>
      </c>
      <c r="F91" s="577">
        <v>0.7153666764026535</v>
      </c>
      <c r="G91" s="577">
        <v>0.70767389920934209</v>
      </c>
    </row>
    <row r="92" spans="1:7" s="577" customFormat="1" x14ac:dyDescent="0.25">
      <c r="A92" s="1619" t="s">
        <v>2576</v>
      </c>
      <c r="B92" s="577">
        <v>0.75876484561741186</v>
      </c>
      <c r="C92" s="577">
        <v>0.76849564601222509</v>
      </c>
      <c r="D92" s="577">
        <v>0.77401652726769044</v>
      </c>
      <c r="E92" s="577">
        <v>0.77548517880469769</v>
      </c>
      <c r="F92" s="577">
        <v>0.77117451977660034</v>
      </c>
      <c r="G92" s="577">
        <v>0.76115866658709597</v>
      </c>
    </row>
    <row r="93" spans="1:7" s="577" customFormat="1" x14ac:dyDescent="0.25">
      <c r="A93" s="1619" t="s">
        <v>2577</v>
      </c>
      <c r="B93" s="577">
        <v>0.82284986473758159</v>
      </c>
      <c r="C93" s="577">
        <v>0.82967099604311367</v>
      </c>
      <c r="D93" s="577">
        <v>0.83226318036256719</v>
      </c>
      <c r="E93" s="577">
        <v>0.83129302217864487</v>
      </c>
      <c r="F93" s="577">
        <v>0.82465928715435433</v>
      </c>
      <c r="G93" s="577">
        <v>0.8123768127696912</v>
      </c>
    </row>
    <row r="94" spans="1:7" s="577" customFormat="1" x14ac:dyDescent="0.25">
      <c r="A94" s="1619" t="s">
        <v>2578</v>
      </c>
      <c r="B94" s="577">
        <v>0.88402521476847018</v>
      </c>
      <c r="C94" s="577">
        <v>0.88791764913799043</v>
      </c>
      <c r="D94" s="577">
        <v>0.88807102373651414</v>
      </c>
      <c r="E94" s="577">
        <v>0.88477778955639885</v>
      </c>
      <c r="F94" s="577">
        <v>0.87587743333694978</v>
      </c>
      <c r="G94" s="577">
        <v>0.86158997662867232</v>
      </c>
    </row>
    <row r="95" spans="1:7" s="577" customFormat="1" x14ac:dyDescent="0.25">
      <c r="A95" s="1619" t="s">
        <v>2579</v>
      </c>
      <c r="B95" s="577">
        <v>0.94227186786334705</v>
      </c>
      <c r="C95" s="577">
        <v>0.94372549251193749</v>
      </c>
      <c r="D95" s="577">
        <v>0.94155579111426835</v>
      </c>
      <c r="E95" s="577">
        <v>0.93599593573899431</v>
      </c>
      <c r="F95" s="577">
        <v>0.92509059719593068</v>
      </c>
      <c r="G95" s="577">
        <v>0.90888162097355174</v>
      </c>
    </row>
    <row r="96" spans="1:7" s="577" customFormat="1" x14ac:dyDescent="0.25">
      <c r="A96" s="1619" t="s">
        <v>2580</v>
      </c>
      <c r="B96" s="577">
        <v>0.99807971123729389</v>
      </c>
      <c r="C96" s="577">
        <v>0.99721025988969125</v>
      </c>
      <c r="D96" s="577">
        <v>0.99277393729686347</v>
      </c>
      <c r="E96" s="577">
        <v>0.9852090995979752</v>
      </c>
      <c r="F96" s="577">
        <v>0.97238224154080999</v>
      </c>
      <c r="G96" s="577">
        <v>0.95433154261399855</v>
      </c>
    </row>
    <row r="97" spans="1:7" s="577" customFormat="1" x14ac:dyDescent="0.25">
      <c r="A97" s="1619" t="s">
        <v>2581</v>
      </c>
      <c r="B97" s="577">
        <v>1.051564478615048</v>
      </c>
      <c r="C97" s="577">
        <v>1.0484284060722866</v>
      </c>
      <c r="D97" s="577">
        <v>1.0419871011558446</v>
      </c>
      <c r="E97" s="577">
        <v>1.0325007439428546</v>
      </c>
      <c r="F97" s="577">
        <v>1.0178321631812568</v>
      </c>
      <c r="G97" s="577">
        <v>0.99801604037986824</v>
      </c>
    </row>
    <row r="98" spans="1:7" s="577" customFormat="1" x14ac:dyDescent="0.25">
      <c r="A98" s="1619" t="s">
        <v>2582</v>
      </c>
      <c r="B98" s="577">
        <v>1.1027826247976433</v>
      </c>
      <c r="C98" s="577">
        <v>1.0976415699312678</v>
      </c>
      <c r="D98" s="577">
        <v>1.089278745500724</v>
      </c>
      <c r="E98" s="577">
        <v>1.0779506655833015</v>
      </c>
      <c r="F98" s="577">
        <v>1.0615166609471267</v>
      </c>
      <c r="G98" s="577">
        <v>1.0400080751964915</v>
      </c>
    </row>
    <row r="99" spans="1:7" s="577" customFormat="1" x14ac:dyDescent="0.25">
      <c r="A99" s="1619" t="s">
        <v>2583</v>
      </c>
      <c r="B99" s="577">
        <v>1.1519957886566243</v>
      </c>
      <c r="C99" s="577">
        <v>1.144933214276147</v>
      </c>
      <c r="D99" s="577">
        <v>1.1347286671411707</v>
      </c>
      <c r="E99" s="577">
        <v>1.121635163349171</v>
      </c>
      <c r="F99" s="577">
        <v>1.1035086957637499</v>
      </c>
      <c r="G99" s="577">
        <v>1.0803774225991196</v>
      </c>
    </row>
    <row r="100" spans="1:7" s="577" customFormat="1" x14ac:dyDescent="0.25">
      <c r="A100" s="1619" t="s">
        <v>2584</v>
      </c>
      <c r="B100" s="577">
        <v>0.11000868750077969</v>
      </c>
      <c r="C100" s="577">
        <v>0.11243247033329253</v>
      </c>
      <c r="D100" s="577">
        <v>0.11689650395991383</v>
      </c>
      <c r="E100" s="577">
        <v>0.12361912296930279</v>
      </c>
      <c r="F100" s="577">
        <v>0.12880928456450585</v>
      </c>
      <c r="G100" s="577">
        <v>0.13279057791867291</v>
      </c>
    </row>
    <row r="101" spans="1:7" s="577" customFormat="1" x14ac:dyDescent="0.25">
      <c r="A101" s="1619" t="s">
        <v>2585</v>
      </c>
      <c r="B101" s="577">
        <v>1.1992874330015035</v>
      </c>
      <c r="C101" s="577">
        <v>1.1903831359165937</v>
      </c>
      <c r="D101" s="577">
        <v>1.1784131649070404</v>
      </c>
      <c r="E101" s="577">
        <v>1.1636271981657942</v>
      </c>
      <c r="F101" s="577">
        <v>1.143878043166378</v>
      </c>
      <c r="G101" s="577">
        <v>1.1191908180515968</v>
      </c>
    </row>
    <row r="102" spans="1:7" s="577" customFormat="1" x14ac:dyDescent="0.25">
      <c r="A102" s="1619" t="s">
        <v>2586</v>
      </c>
      <c r="B102" s="577">
        <v>1.2447373546419505</v>
      </c>
      <c r="C102" s="577">
        <v>1.2340676336824634</v>
      </c>
      <c r="D102" s="577">
        <v>1.220405199723664</v>
      </c>
      <c r="E102" s="577">
        <v>1.2039965455684223</v>
      </c>
      <c r="F102" s="577">
        <v>1.1826914386188552</v>
      </c>
      <c r="G102" s="577">
        <v>1.1558245088986727</v>
      </c>
    </row>
    <row r="103" spans="1:7" s="577" customFormat="1" x14ac:dyDescent="0.25">
      <c r="A103" s="1619" t="s">
        <v>2587</v>
      </c>
      <c r="B103" s="577">
        <v>1.2884218524078201</v>
      </c>
      <c r="C103" s="577">
        <v>1.2760596684990868</v>
      </c>
      <c r="D103" s="577">
        <v>1.2607745471262919</v>
      </c>
      <c r="E103" s="577">
        <v>1.2428099410208997</v>
      </c>
      <c r="F103" s="577">
        <v>1.2193251294659313</v>
      </c>
      <c r="G103" s="577">
        <v>1.1904009042238981</v>
      </c>
    </row>
    <row r="104" spans="1:7" s="577" customFormat="1" x14ac:dyDescent="0.25">
      <c r="A104" s="1619" t="s">
        <v>2588</v>
      </c>
      <c r="B104" s="577">
        <v>1.3304138872244435</v>
      </c>
      <c r="C104" s="577">
        <v>1.3164290159017149</v>
      </c>
      <c r="D104" s="577">
        <v>1.2995879425787691</v>
      </c>
      <c r="E104" s="577">
        <v>1.2794436318679758</v>
      </c>
      <c r="F104" s="577">
        <v>1.2539015247911565</v>
      </c>
      <c r="G104" s="577">
        <v>1.2230355387923033</v>
      </c>
    </row>
    <row r="105" spans="1:7" s="577" customFormat="1" x14ac:dyDescent="0.25">
      <c r="A105" s="1619" t="s">
        <v>2589</v>
      </c>
      <c r="B105" s="577">
        <v>1.3707832346270716</v>
      </c>
      <c r="C105" s="577">
        <v>1.3552424113541923</v>
      </c>
      <c r="D105" s="577">
        <v>1.3362216334258448</v>
      </c>
      <c r="E105" s="577">
        <v>1.3140200271932008</v>
      </c>
      <c r="F105" s="577">
        <v>1.2865361593595614</v>
      </c>
      <c r="G105" s="577">
        <v>1.2538374591022652</v>
      </c>
    </row>
    <row r="106" spans="1:7" s="577" customFormat="1" x14ac:dyDescent="0.25">
      <c r="A106" s="1619" t="s">
        <v>2590</v>
      </c>
      <c r="B106" s="577">
        <v>1.4095966300795486</v>
      </c>
      <c r="C106" s="577">
        <v>1.391876102201268</v>
      </c>
      <c r="D106" s="577">
        <v>1.3707980287510704</v>
      </c>
      <c r="E106" s="577">
        <v>1.346654661761606</v>
      </c>
      <c r="F106" s="577">
        <v>1.3173380796695238</v>
      </c>
      <c r="G106" s="577">
        <v>1.2829095877572558</v>
      </c>
    </row>
    <row r="107" spans="1:7" s="577" customFormat="1" x14ac:dyDescent="0.25">
      <c r="A107" s="1619" t="s">
        <v>2591</v>
      </c>
      <c r="B107" s="577">
        <v>0.16678668905864907</v>
      </c>
      <c r="C107" s="577">
        <v>0.17255097273533698</v>
      </c>
      <c r="D107" s="577">
        <v>0.18039712452717216</v>
      </c>
      <c r="E107" s="577">
        <v>0.18892778696655027</v>
      </c>
      <c r="F107" s="577">
        <v>0.19629119848593124</v>
      </c>
      <c r="G107" s="577">
        <v>0.20098760938011298</v>
      </c>
    </row>
    <row r="108" spans="1:7" s="577" customFormat="1" x14ac:dyDescent="0.25">
      <c r="A108" s="1619" t="s">
        <v>2592</v>
      </c>
      <c r="B108" s="577">
        <v>0.22690519146069354</v>
      </c>
      <c r="C108" s="577">
        <v>0.23605159330259531</v>
      </c>
      <c r="D108" s="577">
        <v>0.24570578852441965</v>
      </c>
      <c r="E108" s="577">
        <v>0.25640970088797571</v>
      </c>
      <c r="F108" s="577">
        <v>0.26448822994737131</v>
      </c>
      <c r="G108" s="577">
        <v>0.2691789171608106</v>
      </c>
    </row>
    <row r="109" spans="1:7" s="577" customFormat="1" x14ac:dyDescent="0.25">
      <c r="A109" s="1619" t="s">
        <v>2593</v>
      </c>
      <c r="B109" s="577">
        <v>0.2904058120279519</v>
      </c>
      <c r="C109" s="577">
        <v>0.30136025729984284</v>
      </c>
      <c r="D109" s="577">
        <v>0.31318770244584504</v>
      </c>
      <c r="E109" s="577">
        <v>0.32460673234941584</v>
      </c>
      <c r="F109" s="577">
        <v>0.33267953772806891</v>
      </c>
      <c r="G109" s="577">
        <v>0.33680637322363394</v>
      </c>
    </row>
    <row r="110" spans="1:7" s="577" customFormat="1" x14ac:dyDescent="0.25">
      <c r="A110" s="1619" t="s">
        <v>2594</v>
      </c>
      <c r="B110" s="577">
        <v>0.35571447602519934</v>
      </c>
      <c r="C110" s="577">
        <v>0.36884217122126828</v>
      </c>
      <c r="D110" s="577">
        <v>0.38138473390728506</v>
      </c>
      <c r="E110" s="577">
        <v>0.39279804013011338</v>
      </c>
      <c r="F110" s="577">
        <v>0.40030699379089241</v>
      </c>
      <c r="G110" s="577">
        <v>0.40320799655603273</v>
      </c>
    </row>
    <row r="111" spans="1:7" s="577" customFormat="1" x14ac:dyDescent="0.25">
      <c r="A111" s="1619" t="s">
        <v>2595</v>
      </c>
      <c r="B111" s="577">
        <v>0.42319638994662484</v>
      </c>
      <c r="C111" s="577">
        <v>0.43703920268270829</v>
      </c>
      <c r="D111" s="577">
        <v>0.44957604168798271</v>
      </c>
      <c r="E111" s="577">
        <v>0.46042549619293677</v>
      </c>
      <c r="F111" s="577">
        <v>0.46670861712329109</v>
      </c>
      <c r="G111" s="577">
        <v>0.46835903358946002</v>
      </c>
    </row>
    <row r="112" spans="1:7" s="577" customFormat="1" x14ac:dyDescent="0.25">
      <c r="A112" s="1619" t="s">
        <v>2596</v>
      </c>
      <c r="B112" s="577">
        <v>0.49139342140806486</v>
      </c>
      <c r="C112" s="577">
        <v>0.50523051046340595</v>
      </c>
      <c r="D112" s="577">
        <v>0.5172034977508061</v>
      </c>
      <c r="E112" s="577">
        <v>0.52682711952533567</v>
      </c>
      <c r="F112" s="577">
        <v>0.53185965415671843</v>
      </c>
      <c r="G112" s="577">
        <v>0.53244405270962969</v>
      </c>
    </row>
    <row r="113" spans="1:7" s="577" customFormat="1" x14ac:dyDescent="0.25">
      <c r="A113" s="1619" t="s">
        <v>2597</v>
      </c>
      <c r="B113" s="577">
        <v>0.55958472918876256</v>
      </c>
      <c r="C113" s="577">
        <v>0.57285796652622933</v>
      </c>
      <c r="D113" s="577">
        <v>0.58360512108320495</v>
      </c>
      <c r="E113" s="577">
        <v>0.59197815655876285</v>
      </c>
      <c r="F113" s="577">
        <v>0.59594467327688805</v>
      </c>
      <c r="G113" s="577">
        <v>0.59361940274051828</v>
      </c>
    </row>
    <row r="114" spans="1:7" s="577" customFormat="1" x14ac:dyDescent="0.25">
      <c r="A114" s="1619" t="s">
        <v>2598</v>
      </c>
      <c r="B114" s="577">
        <v>3.91956813789721E-2</v>
      </c>
      <c r="C114" s="577">
        <v>3.937304636582889E-2</v>
      </c>
      <c r="D114" s="577">
        <v>3.945652237943411E-2</v>
      </c>
      <c r="E114" s="577">
        <v>4.0314816762107873E-2</v>
      </c>
      <c r="F114" s="577">
        <v>4.1519870228215142E-2</v>
      </c>
      <c r="G114" s="577">
        <v>4.1717251220526781E-2</v>
      </c>
    </row>
    <row r="115" spans="1:7" s="577" customFormat="1" x14ac:dyDescent="0.25">
      <c r="A115" s="1619" t="s">
        <v>2599</v>
      </c>
      <c r="B115" s="577">
        <v>0.41169829046887413</v>
      </c>
      <c r="C115" s="577">
        <v>0.41388702505649649</v>
      </c>
      <c r="D115" s="577">
        <v>0.41544923259055555</v>
      </c>
      <c r="E115" s="577">
        <v>0.41682789726854408</v>
      </c>
      <c r="F115" s="577">
        <v>0.41553330132338623</v>
      </c>
      <c r="G115" s="577">
        <v>0.41122415031182757</v>
      </c>
    </row>
    <row r="116" spans="1:7" s="577" customFormat="1" x14ac:dyDescent="0.25">
      <c r="A116" s="1619" t="s">
        <v>2600</v>
      </c>
      <c r="B116" s="577">
        <v>0.45308270643546861</v>
      </c>
      <c r="C116" s="577">
        <v>0.45482227895638461</v>
      </c>
      <c r="D116" s="577">
        <v>0.45628441964797811</v>
      </c>
      <c r="E116" s="577">
        <v>0.45584811808549408</v>
      </c>
      <c r="F116" s="577">
        <v>0.45274402054004259</v>
      </c>
      <c r="G116" s="577">
        <v>0.44707926500537787</v>
      </c>
    </row>
    <row r="117" spans="1:7" s="577" customFormat="1" x14ac:dyDescent="0.25">
      <c r="A117" s="1619" t="s">
        <v>2601</v>
      </c>
      <c r="B117" s="577">
        <v>0.49401796033535661</v>
      </c>
      <c r="C117" s="577">
        <v>0.49565746601380695</v>
      </c>
      <c r="D117" s="577">
        <v>0.49530464046492817</v>
      </c>
      <c r="E117" s="577">
        <v>0.4930588373021505</v>
      </c>
      <c r="F117" s="577">
        <v>0.488599135233593</v>
      </c>
      <c r="G117" s="577">
        <v>0.48163232747227369</v>
      </c>
    </row>
    <row r="118" spans="1:7" s="577" customFormat="1" x14ac:dyDescent="0.25">
      <c r="A118" s="1619" t="s">
        <v>2602</v>
      </c>
      <c r="B118" s="577">
        <v>0.53485314739277912</v>
      </c>
      <c r="C118" s="577">
        <v>0.53467768683075712</v>
      </c>
      <c r="D118" s="577">
        <v>0.53251535968158459</v>
      </c>
      <c r="E118" s="577">
        <v>0.5289139519957009</v>
      </c>
      <c r="F118" s="577">
        <v>0.52315219770048882</v>
      </c>
      <c r="G118" s="577">
        <v>0.5148587489932428</v>
      </c>
    </row>
    <row r="119" spans="1:7" s="577" customFormat="1" x14ac:dyDescent="0.25">
      <c r="A119" s="1619" t="s">
        <v>2603</v>
      </c>
      <c r="B119" s="577">
        <v>0.57387336820972912</v>
      </c>
      <c r="C119" s="577">
        <v>0.57188840604741364</v>
      </c>
      <c r="D119" s="577">
        <v>0.5683704743751351</v>
      </c>
      <c r="E119" s="577">
        <v>0.56346701446259673</v>
      </c>
      <c r="F119" s="577">
        <v>0.55637861922145804</v>
      </c>
      <c r="G119" s="577">
        <v>0.54692673907309586</v>
      </c>
    </row>
    <row r="120" spans="1:7" s="577" customFormat="1" x14ac:dyDescent="0.25">
      <c r="A120" s="1619" t="s">
        <v>2604</v>
      </c>
      <c r="B120" s="577">
        <v>0.61108408742638565</v>
      </c>
      <c r="C120" s="577">
        <v>0.60774352074096383</v>
      </c>
      <c r="D120" s="577">
        <v>0.60292353684203093</v>
      </c>
      <c r="E120" s="577">
        <v>0.59669343598356595</v>
      </c>
      <c r="F120" s="577">
        <v>0.5884466093013111</v>
      </c>
      <c r="G120" s="577">
        <v>0.57787925061217049</v>
      </c>
    </row>
    <row r="121" spans="1:7" s="577" customFormat="1" x14ac:dyDescent="0.25">
      <c r="A121" s="1619" t="s">
        <v>2605</v>
      </c>
      <c r="B121" s="577">
        <v>0.64693920211993594</v>
      </c>
      <c r="C121" s="577">
        <v>0.64229658320785965</v>
      </c>
      <c r="D121" s="577">
        <v>0.63614995836300003</v>
      </c>
      <c r="E121" s="577">
        <v>0.628761426063419</v>
      </c>
      <c r="F121" s="577">
        <v>0.61939912084038573</v>
      </c>
      <c r="G121" s="577">
        <v>0.6077575345738262</v>
      </c>
    </row>
    <row r="122" spans="1:7" s="577" customFormat="1" x14ac:dyDescent="0.25">
      <c r="A122" s="1619" t="s">
        <v>2606</v>
      </c>
      <c r="B122" s="577">
        <v>0.68149226458683165</v>
      </c>
      <c r="C122" s="577">
        <v>0.67552300472882898</v>
      </c>
      <c r="D122" s="577">
        <v>0.66821794844285298</v>
      </c>
      <c r="E122" s="577">
        <v>0.65971393760249353</v>
      </c>
      <c r="F122" s="577">
        <v>0.64927740480204121</v>
      </c>
      <c r="G122" s="577">
        <v>0.63660121182294571</v>
      </c>
    </row>
    <row r="123" spans="1:7" s="577" customFormat="1" x14ac:dyDescent="0.25">
      <c r="A123" s="1619" t="s">
        <v>2607</v>
      </c>
      <c r="B123" s="577">
        <v>0.7147186861078012</v>
      </c>
      <c r="C123" s="577">
        <v>0.70759099480868204</v>
      </c>
      <c r="D123" s="577">
        <v>0.69917045998192762</v>
      </c>
      <c r="E123" s="577">
        <v>0.68959222156414912</v>
      </c>
      <c r="F123" s="577">
        <v>0.67812108205116084</v>
      </c>
      <c r="G123" s="577">
        <v>0.66444834176546363</v>
      </c>
    </row>
    <row r="124" spans="1:7" s="577" customFormat="1" x14ac:dyDescent="0.25">
      <c r="A124" s="1619" t="s">
        <v>2608</v>
      </c>
      <c r="B124" s="577">
        <v>0.74678667618765404</v>
      </c>
      <c r="C124" s="577">
        <v>0.73854350634775678</v>
      </c>
      <c r="D124" s="577">
        <v>0.7290487439435831</v>
      </c>
      <c r="E124" s="577">
        <v>0.71843589881326897</v>
      </c>
      <c r="F124" s="577">
        <v>0.70596821199367887</v>
      </c>
      <c r="G124" s="577">
        <v>0.69133548793732025</v>
      </c>
    </row>
    <row r="125" spans="1:7" s="577" customFormat="1" x14ac:dyDescent="0.25">
      <c r="A125" s="1619" t="s">
        <v>2609</v>
      </c>
      <c r="B125" s="577">
        <v>7.8568727744800976E-2</v>
      </c>
      <c r="C125" s="577">
        <v>7.8829568745263007E-2</v>
      </c>
      <c r="D125" s="577">
        <v>7.9771339141541983E-2</v>
      </c>
      <c r="E125" s="577">
        <v>8.1834686990323036E-2</v>
      </c>
      <c r="F125" s="577">
        <v>8.323712144874193E-2</v>
      </c>
      <c r="G125" s="577">
        <v>8.4565219123947266E-2</v>
      </c>
    </row>
    <row r="126" spans="1:7" s="577" customFormat="1" x14ac:dyDescent="0.25">
      <c r="A126" s="1619" t="s">
        <v>2610</v>
      </c>
      <c r="B126" s="577">
        <v>0.77773918772672868</v>
      </c>
      <c r="C126" s="577">
        <v>0.76842179030941193</v>
      </c>
      <c r="D126" s="577">
        <v>0.75789242119270284</v>
      </c>
      <c r="E126" s="577">
        <v>0.74628302875578667</v>
      </c>
      <c r="F126" s="577">
        <v>0.73285535816553538</v>
      </c>
      <c r="G126" s="577">
        <v>0.71729778068416283</v>
      </c>
    </row>
    <row r="127" spans="1:7" s="577" customFormat="1" x14ac:dyDescent="0.25">
      <c r="A127" s="1619" t="s">
        <v>2611</v>
      </c>
      <c r="B127" s="577">
        <v>0.80761747168838416</v>
      </c>
      <c r="C127" s="577">
        <v>0.79726546755853167</v>
      </c>
      <c r="D127" s="577">
        <v>0.78573955113522076</v>
      </c>
      <c r="E127" s="577">
        <v>0.77317017492764328</v>
      </c>
      <c r="F127" s="577">
        <v>0.75881765091237807</v>
      </c>
      <c r="G127" s="577">
        <v>0.74180206831686035</v>
      </c>
    </row>
    <row r="128" spans="1:7" s="577" customFormat="1" x14ac:dyDescent="0.25">
      <c r="A128" s="1619" t="s">
        <v>2612</v>
      </c>
      <c r="B128" s="577">
        <v>0.83646114893750378</v>
      </c>
      <c r="C128" s="577">
        <v>0.82511259750104959</v>
      </c>
      <c r="D128" s="577">
        <v>0.81262669730707726</v>
      </c>
      <c r="E128" s="577">
        <v>0.79913246767448598</v>
      </c>
      <c r="F128" s="577">
        <v>0.78332193854507537</v>
      </c>
      <c r="G128" s="577">
        <v>0.76493023031091145</v>
      </c>
    </row>
    <row r="129" spans="1:7" s="577" customFormat="1" x14ac:dyDescent="0.25">
      <c r="A129" s="1619" t="s">
        <v>2613</v>
      </c>
      <c r="B129" s="577">
        <v>0.86430827888002193</v>
      </c>
      <c r="C129" s="577">
        <v>0.85199974367290632</v>
      </c>
      <c r="D129" s="577">
        <v>0.83858899005392029</v>
      </c>
      <c r="E129" s="577">
        <v>0.8236367553071835</v>
      </c>
      <c r="F129" s="577">
        <v>0.8064501005391268</v>
      </c>
      <c r="G129" s="577">
        <v>0.78675954790793956</v>
      </c>
    </row>
    <row r="130" spans="1:7" s="577" customFormat="1" x14ac:dyDescent="0.25">
      <c r="A130" s="1619" t="s">
        <v>2614</v>
      </c>
      <c r="B130" s="577">
        <v>0.8911954250518781</v>
      </c>
      <c r="C130" s="577">
        <v>0.87796203641974901</v>
      </c>
      <c r="D130" s="577">
        <v>0.86309327768661737</v>
      </c>
      <c r="E130" s="577">
        <v>0.8467649173012346</v>
      </c>
      <c r="F130" s="577">
        <v>0.82827941813615458</v>
      </c>
      <c r="G130" s="577">
        <v>0.80736296234590843</v>
      </c>
    </row>
    <row r="131" spans="1:7" s="577" customFormat="1" x14ac:dyDescent="0.25">
      <c r="A131" s="1619" t="s">
        <v>2615</v>
      </c>
      <c r="B131" s="577">
        <v>0.91715771779872124</v>
      </c>
      <c r="C131" s="577">
        <v>0.90246632405244631</v>
      </c>
      <c r="D131" s="577">
        <v>0.88622143968066858</v>
      </c>
      <c r="E131" s="577">
        <v>0.86859423489826248</v>
      </c>
      <c r="F131" s="577">
        <v>0.84888283257412334</v>
      </c>
      <c r="G131" s="577">
        <v>0.8268093185875024</v>
      </c>
    </row>
    <row r="132" spans="1:7" s="577" customFormat="1" x14ac:dyDescent="0.25">
      <c r="A132" s="1619" t="s">
        <v>2616</v>
      </c>
      <c r="B132" s="577">
        <v>0.11802525012423508</v>
      </c>
      <c r="C132" s="577">
        <v>0.11914438550737085</v>
      </c>
      <c r="D132" s="577">
        <v>0.12129120936975714</v>
      </c>
      <c r="E132" s="577">
        <v>0.12355193821084981</v>
      </c>
      <c r="F132" s="577">
        <v>0.12608508935216239</v>
      </c>
      <c r="G132" s="577">
        <v>0.12731211598657674</v>
      </c>
    </row>
    <row r="133" spans="1:7" s="577" customFormat="1" x14ac:dyDescent="0.25">
      <c r="A133" s="1619" t="s">
        <v>2617</v>
      </c>
      <c r="B133" s="577">
        <v>0.15834006688634297</v>
      </c>
      <c r="C133" s="577">
        <v>0.16066425573558599</v>
      </c>
      <c r="D133" s="577">
        <v>0.16300846059028393</v>
      </c>
      <c r="E133" s="577">
        <v>0.16639990611427022</v>
      </c>
      <c r="F133" s="577">
        <v>0.1688319862147919</v>
      </c>
      <c r="G133" s="577">
        <v>0.16977022948918605</v>
      </c>
    </row>
    <row r="134" spans="1:7" s="577" customFormat="1" x14ac:dyDescent="0.25">
      <c r="A134" s="1619" t="s">
        <v>2618</v>
      </c>
      <c r="B134" s="577">
        <v>0.19985993711455813</v>
      </c>
      <c r="C134" s="577">
        <v>0.20238150695611282</v>
      </c>
      <c r="D134" s="577">
        <v>0.20585642849370434</v>
      </c>
      <c r="E134" s="577">
        <v>0.20914680297689972</v>
      </c>
      <c r="F134" s="577">
        <v>0.21129009971740118</v>
      </c>
      <c r="G134" s="577">
        <v>0.21183835335431597</v>
      </c>
    </row>
    <row r="135" spans="1:7" s="577" customFormat="1" x14ac:dyDescent="0.25">
      <c r="A135" s="1619" t="s">
        <v>2619</v>
      </c>
      <c r="B135" s="577">
        <v>0.2415771883350849</v>
      </c>
      <c r="C135" s="577">
        <v>0.24522947485953325</v>
      </c>
      <c r="D135" s="577">
        <v>0.24860332535633384</v>
      </c>
      <c r="E135" s="577">
        <v>0.25160491647950911</v>
      </c>
      <c r="F135" s="577">
        <v>0.25335822358253113</v>
      </c>
      <c r="G135" s="577">
        <v>0.25322276932091048</v>
      </c>
    </row>
    <row r="136" spans="1:7" s="577" customFormat="1" x14ac:dyDescent="0.25">
      <c r="A136" s="1619" t="s">
        <v>2620</v>
      </c>
      <c r="B136" s="577">
        <v>0.28442515623850539</v>
      </c>
      <c r="C136" s="577">
        <v>0.28797637172216278</v>
      </c>
      <c r="D136" s="577">
        <v>0.2910614388589432</v>
      </c>
      <c r="E136" s="577">
        <v>0.29367304034463904</v>
      </c>
      <c r="F136" s="577">
        <v>0.29474263954912561</v>
      </c>
      <c r="G136" s="577">
        <v>0.29415802322079854</v>
      </c>
    </row>
    <row r="137" spans="1:7" s="577" customFormat="1" x14ac:dyDescent="0.25">
      <c r="A137" s="1619" t="s">
        <v>2621</v>
      </c>
      <c r="B137" s="577">
        <v>0.3271720531011349</v>
      </c>
      <c r="C137" s="577">
        <v>0.33043448522477203</v>
      </c>
      <c r="D137" s="577">
        <v>0.33312956272407307</v>
      </c>
      <c r="E137" s="577">
        <v>0.33505745631123346</v>
      </c>
      <c r="F137" s="577">
        <v>0.33567789344901366</v>
      </c>
      <c r="G137" s="577">
        <v>0.33499321027822099</v>
      </c>
    </row>
    <row r="138" spans="1:7" s="577" customFormat="1" x14ac:dyDescent="0.25">
      <c r="A138" s="1619" t="s">
        <v>2622</v>
      </c>
      <c r="B138" s="577">
        <v>0.36963016660374426</v>
      </c>
      <c r="C138" s="577">
        <v>0.37250260908990196</v>
      </c>
      <c r="D138" s="577">
        <v>0.3745139786906676</v>
      </c>
      <c r="E138" s="577">
        <v>0.37599271021112152</v>
      </c>
      <c r="F138" s="577">
        <v>0.37651308050643623</v>
      </c>
      <c r="G138" s="577">
        <v>0.37401343109517099</v>
      </c>
    </row>
    <row r="139" spans="1:7" s="577" customFormat="1" x14ac:dyDescent="0.25">
      <c r="A139" s="1619" t="s">
        <v>2623</v>
      </c>
      <c r="B139" s="577">
        <v>3.717270026740057E-2</v>
      </c>
      <c r="C139" s="577">
        <v>3.7260788802700673E-2</v>
      </c>
      <c r="D139" s="577">
        <v>3.7263369366945936E-2</v>
      </c>
      <c r="E139" s="577">
        <v>3.7913952583004541E-2</v>
      </c>
      <c r="F139" s="577">
        <v>3.8926779014634247E-2</v>
      </c>
      <c r="G139" s="577">
        <v>3.8997369484853335E-2</v>
      </c>
    </row>
    <row r="140" spans="1:7" s="577" customFormat="1" x14ac:dyDescent="0.25">
      <c r="A140" s="1619" t="s">
        <v>2624</v>
      </c>
      <c r="B140" s="577">
        <v>0.3861714612897893</v>
      </c>
      <c r="C140" s="577">
        <v>0.38756233622430547</v>
      </c>
      <c r="D140" s="577">
        <v>0.3884868469165455</v>
      </c>
      <c r="E140" s="577">
        <v>0.38938434256491317</v>
      </c>
      <c r="F140" s="577">
        <v>0.38793981347271622</v>
      </c>
      <c r="G140" s="577">
        <v>0.38379822097069716</v>
      </c>
    </row>
    <row r="141" spans="1:7" s="577" customFormat="1" x14ac:dyDescent="0.25">
      <c r="A141" s="1619" t="s">
        <v>2625</v>
      </c>
      <c r="B141" s="577">
        <v>0.42473503649170596</v>
      </c>
      <c r="C141" s="577">
        <v>0.42574763571924618</v>
      </c>
      <c r="D141" s="577">
        <v>0.42664771193185913</v>
      </c>
      <c r="E141" s="577">
        <v>0.42585376605572084</v>
      </c>
      <c r="F141" s="577">
        <v>0.42272499998533136</v>
      </c>
      <c r="G141" s="577">
        <v>0.41734024617586168</v>
      </c>
    </row>
    <row r="142" spans="1:7" s="577" customFormat="1" x14ac:dyDescent="0.25">
      <c r="A142" s="1619" t="s">
        <v>2626</v>
      </c>
      <c r="B142" s="577">
        <v>0.46292033598664667</v>
      </c>
      <c r="C142" s="577">
        <v>0.46390850073455975</v>
      </c>
      <c r="D142" s="577">
        <v>0.46311713542266691</v>
      </c>
      <c r="E142" s="577">
        <v>0.46063895256833587</v>
      </c>
      <c r="F142" s="577">
        <v>0.456267025190496</v>
      </c>
      <c r="G142" s="577">
        <v>0.44968674679638199</v>
      </c>
    </row>
    <row r="143" spans="1:7" s="577" customFormat="1" x14ac:dyDescent="0.25">
      <c r="A143" s="1619" t="s">
        <v>2627</v>
      </c>
      <c r="B143" s="577">
        <v>0.5010812010019603</v>
      </c>
      <c r="C143" s="577">
        <v>0.50037792422536753</v>
      </c>
      <c r="D143" s="577">
        <v>0.49790232193528189</v>
      </c>
      <c r="E143" s="577">
        <v>0.49418097777350051</v>
      </c>
      <c r="F143" s="577">
        <v>0.48861352581101619</v>
      </c>
      <c r="G143" s="577">
        <v>0.48080752150290035</v>
      </c>
    </row>
    <row r="144" spans="1:7" s="577" customFormat="1" x14ac:dyDescent="0.25">
      <c r="A144" s="1619" t="s">
        <v>2628</v>
      </c>
      <c r="B144" s="577">
        <v>0.53755062449276803</v>
      </c>
      <c r="C144" s="577">
        <v>0.53516311073798262</v>
      </c>
      <c r="D144" s="577">
        <v>0.53144434714044642</v>
      </c>
      <c r="E144" s="577">
        <v>0.5265274783940207</v>
      </c>
      <c r="F144" s="577">
        <v>0.51973430051753466</v>
      </c>
      <c r="G144" s="577">
        <v>0.51085994163948656</v>
      </c>
    </row>
    <row r="145" spans="1:7" x14ac:dyDescent="0.25">
      <c r="A145" s="1619" t="s">
        <v>2629</v>
      </c>
      <c r="B145" s="577">
        <v>0.57233581100538333</v>
      </c>
      <c r="C145" s="577">
        <v>0.56870513594314709</v>
      </c>
      <c r="D145" s="577">
        <v>0.56379084776096666</v>
      </c>
      <c r="E145" s="577">
        <v>0.55764825310053912</v>
      </c>
      <c r="F145" s="577">
        <v>0.54978672065412093</v>
      </c>
      <c r="G145" s="577">
        <v>0.53988292702330209</v>
      </c>
    </row>
    <row r="146" spans="1:7" x14ac:dyDescent="0.25">
      <c r="A146" s="1619" t="s">
        <v>2630</v>
      </c>
      <c r="B146" s="577">
        <v>0.6058778362105478</v>
      </c>
      <c r="C146" s="577">
        <v>0.60105163656366745</v>
      </c>
      <c r="D146" s="577">
        <v>0.59491162246748508</v>
      </c>
      <c r="E146" s="577">
        <v>0.58770067323712538</v>
      </c>
      <c r="F146" s="577">
        <v>0.57880970603793647</v>
      </c>
      <c r="G146" s="577">
        <v>0.56791388261572229</v>
      </c>
    </row>
    <row r="147" spans="1:7" x14ac:dyDescent="0.25">
      <c r="A147" s="1619" t="s">
        <v>2631</v>
      </c>
      <c r="B147" s="577">
        <v>0.63822433683106805</v>
      </c>
      <c r="C147" s="577">
        <v>0.63217241127018586</v>
      </c>
      <c r="D147" s="577">
        <v>0.62496404260407135</v>
      </c>
      <c r="E147" s="577">
        <v>0.61672365862094092</v>
      </c>
      <c r="F147" s="577">
        <v>0.60684066163035666</v>
      </c>
      <c r="G147" s="577">
        <v>0.5949887614550351</v>
      </c>
    </row>
    <row r="148" spans="1:7" x14ac:dyDescent="0.25">
      <c r="A148" s="1619" t="s">
        <v>2632</v>
      </c>
      <c r="B148" s="577">
        <v>0.66934511153758625</v>
      </c>
      <c r="C148" s="577">
        <v>0.66222483140677191</v>
      </c>
      <c r="D148" s="577">
        <v>0.65398702798788677</v>
      </c>
      <c r="E148" s="577">
        <v>0.644754614213361</v>
      </c>
      <c r="F148" s="577">
        <v>0.63391554046966936</v>
      </c>
      <c r="G148" s="577">
        <v>0.621142124821912</v>
      </c>
    </row>
    <row r="149" spans="1:7" x14ac:dyDescent="0.25">
      <c r="A149" s="1619" t="s">
        <v>2633</v>
      </c>
      <c r="B149" s="577">
        <v>0.69939753167417273</v>
      </c>
      <c r="C149" s="577">
        <v>0.69124781679058778</v>
      </c>
      <c r="D149" s="577">
        <v>0.68201798358030696</v>
      </c>
      <c r="E149" s="577">
        <v>0.67182949305267381</v>
      </c>
      <c r="F149" s="577">
        <v>0.66006890383654637</v>
      </c>
      <c r="G149" s="577">
        <v>0.64640719976485861</v>
      </c>
    </row>
    <row r="150" spans="1:7" x14ac:dyDescent="0.25">
      <c r="A150" s="1619" t="s">
        <v>2634</v>
      </c>
      <c r="B150" s="577">
        <v>7.4433489070101222E-2</v>
      </c>
      <c r="C150" s="577">
        <v>7.4524158169646623E-2</v>
      </c>
      <c r="D150" s="577">
        <v>7.5177321949950485E-2</v>
      </c>
      <c r="E150" s="577">
        <v>7.6840731597638795E-2</v>
      </c>
      <c r="F150" s="577">
        <v>7.7924148499487575E-2</v>
      </c>
      <c r="G150" s="577">
        <v>7.9021100708241657E-2</v>
      </c>
    </row>
    <row r="151" spans="1:7" x14ac:dyDescent="0.25">
      <c r="A151" s="1619" t="s">
        <v>2635</v>
      </c>
      <c r="B151" s="577">
        <v>0.72842051705798827</v>
      </c>
      <c r="C151" s="577">
        <v>0.71927877238300764</v>
      </c>
      <c r="D151" s="577">
        <v>0.70909286241961988</v>
      </c>
      <c r="E151" s="577">
        <v>0.69798285641955082</v>
      </c>
      <c r="F151" s="577">
        <v>0.68533397877949287</v>
      </c>
      <c r="G151" s="577">
        <v>0.67081593410681906</v>
      </c>
    </row>
    <row r="152" spans="1:7" x14ac:dyDescent="0.25">
      <c r="A152" s="1619" t="s">
        <v>2636</v>
      </c>
      <c r="B152" s="577">
        <v>0.75645147265040824</v>
      </c>
      <c r="C152" s="577">
        <v>0.74635365122232056</v>
      </c>
      <c r="D152" s="577">
        <v>0.73524622578649668</v>
      </c>
      <c r="E152" s="577">
        <v>0.72324793136249765</v>
      </c>
      <c r="F152" s="577">
        <v>0.70974271312145332</v>
      </c>
      <c r="G152" s="577">
        <v>0.69385390894585697</v>
      </c>
    </row>
    <row r="153" spans="1:7" x14ac:dyDescent="0.25">
      <c r="A153" s="1619" t="s">
        <v>2637</v>
      </c>
      <c r="B153" s="577">
        <v>0.78352635148972105</v>
      </c>
      <c r="C153" s="577">
        <v>0.77250701458919735</v>
      </c>
      <c r="D153" s="577">
        <v>0.76051130072944328</v>
      </c>
      <c r="E153" s="577">
        <v>0.7476566657044581</v>
      </c>
      <c r="F153" s="577">
        <v>0.73278068796049112</v>
      </c>
      <c r="G153" s="577">
        <v>0.71559810416911107</v>
      </c>
    </row>
    <row r="154" spans="1:7" x14ac:dyDescent="0.25">
      <c r="A154" s="1619" t="s">
        <v>2638</v>
      </c>
      <c r="B154" s="577">
        <v>0.80967971485659784</v>
      </c>
      <c r="C154" s="577">
        <v>0.79777208953214385</v>
      </c>
      <c r="D154" s="577">
        <v>0.78492003507140373</v>
      </c>
      <c r="E154" s="577">
        <v>0.77069464054349546</v>
      </c>
      <c r="F154" s="577">
        <v>0.75452488318374522</v>
      </c>
      <c r="G154" s="577">
        <v>0.73612117658369736</v>
      </c>
    </row>
    <row r="155" spans="1:7" x14ac:dyDescent="0.25">
      <c r="A155" s="1619" t="s">
        <v>2639</v>
      </c>
      <c r="B155" s="577">
        <v>0.83494478979954445</v>
      </c>
      <c r="C155" s="577">
        <v>0.82218082387410441</v>
      </c>
      <c r="D155" s="577">
        <v>0.80795800991044153</v>
      </c>
      <c r="E155" s="577">
        <v>0.79243883576674967</v>
      </c>
      <c r="F155" s="577">
        <v>0.7750479555983314</v>
      </c>
      <c r="G155" s="577">
        <v>0.75549170269468002</v>
      </c>
    </row>
    <row r="156" spans="1:7" x14ac:dyDescent="0.25">
      <c r="A156" s="1619" t="s">
        <v>2640</v>
      </c>
      <c r="B156" s="577">
        <v>0.85935352414150512</v>
      </c>
      <c r="C156" s="577">
        <v>0.84521879871314221</v>
      </c>
      <c r="D156" s="577">
        <v>0.82970220513369575</v>
      </c>
      <c r="E156" s="577">
        <v>0.81296190818133596</v>
      </c>
      <c r="F156" s="577">
        <v>0.79441848170931428</v>
      </c>
      <c r="G156" s="577">
        <v>0.77377440784898199</v>
      </c>
    </row>
    <row r="157" spans="1:7" x14ac:dyDescent="0.25">
      <c r="A157" s="1619" t="s">
        <v>2641</v>
      </c>
      <c r="B157" s="577">
        <v>0.11169685843704717</v>
      </c>
      <c r="C157" s="577">
        <v>0.11243811075265117</v>
      </c>
      <c r="D157" s="577">
        <v>0.11410410096458473</v>
      </c>
      <c r="E157" s="577">
        <v>0.1158381010824921</v>
      </c>
      <c r="F157" s="577">
        <v>0.11794787972287593</v>
      </c>
      <c r="G157" s="577">
        <v>0.11888397951768309</v>
      </c>
    </row>
    <row r="158" spans="1:7" x14ac:dyDescent="0.25">
      <c r="A158" s="1619" t="s">
        <v>2642</v>
      </c>
      <c r="B158" s="577">
        <v>0.14961081102005172</v>
      </c>
      <c r="C158" s="577">
        <v>0.15136488976728543</v>
      </c>
      <c r="D158" s="577">
        <v>0.15310147044943806</v>
      </c>
      <c r="E158" s="577">
        <v>0.15586183230588047</v>
      </c>
      <c r="F158" s="577">
        <v>0.15781075853231735</v>
      </c>
      <c r="G158" s="577">
        <v>0.15844298068256429</v>
      </c>
    </row>
    <row r="159" spans="1:7" x14ac:dyDescent="0.25">
      <c r="A159" s="1619" t="s">
        <v>2643</v>
      </c>
      <c r="B159" s="577">
        <v>0.18853759003468595</v>
      </c>
      <c r="C159" s="577">
        <v>0.19036225925213873</v>
      </c>
      <c r="D159" s="577">
        <v>0.19312520167282637</v>
      </c>
      <c r="E159" s="577">
        <v>0.19572471111532189</v>
      </c>
      <c r="F159" s="577">
        <v>0.19736975969719855</v>
      </c>
      <c r="G159" s="577">
        <v>0.19763387125510329</v>
      </c>
    </row>
    <row r="160" spans="1:7" x14ac:dyDescent="0.25">
      <c r="A160" s="1619" t="s">
        <v>2644</v>
      </c>
      <c r="B160" s="577">
        <v>0.22753495951953934</v>
      </c>
      <c r="C160" s="577">
        <v>0.23038599047552705</v>
      </c>
      <c r="D160" s="577">
        <v>0.23298808048226788</v>
      </c>
      <c r="E160" s="577">
        <v>0.23528371228020312</v>
      </c>
      <c r="F160" s="577">
        <v>0.23656065026973755</v>
      </c>
      <c r="G160" s="577">
        <v>0.23619744645701998</v>
      </c>
    </row>
    <row r="161" spans="1:8" x14ac:dyDescent="0.25">
      <c r="A161" s="1619" t="s">
        <v>2645</v>
      </c>
      <c r="B161" s="577">
        <v>0.26755869074292765</v>
      </c>
      <c r="C161" s="577">
        <v>0.27024886928496861</v>
      </c>
      <c r="D161" s="577">
        <v>0.27254708164714903</v>
      </c>
      <c r="E161" s="577">
        <v>0.27447460285274217</v>
      </c>
      <c r="F161" s="577">
        <v>0.27512422547165422</v>
      </c>
      <c r="G161" s="577">
        <v>0.27438274595196077</v>
      </c>
    </row>
    <row r="162" spans="1:8" x14ac:dyDescent="0.25">
      <c r="A162" s="1619" t="s">
        <v>2646</v>
      </c>
      <c r="B162" s="577">
        <v>0.3074215695523691</v>
      </c>
      <c r="C162" s="577">
        <v>0.3098078704498497</v>
      </c>
      <c r="D162" s="577">
        <v>0.31173797221968808</v>
      </c>
      <c r="E162" s="577">
        <v>0.31303817805465872</v>
      </c>
      <c r="F162" s="577">
        <v>0.31330952496659503</v>
      </c>
      <c r="G162" s="577">
        <v>0.3125436109672744</v>
      </c>
    </row>
    <row r="163" spans="1:8" x14ac:dyDescent="0.25">
      <c r="A163" s="1619" t="s">
        <v>2647</v>
      </c>
      <c r="B163" s="577">
        <v>0.34698057071725025</v>
      </c>
      <c r="C163" s="577">
        <v>0.34899876102238869</v>
      </c>
      <c r="D163" s="577">
        <v>0.35030154742160469</v>
      </c>
      <c r="E163" s="577">
        <v>0.35122347754959954</v>
      </c>
      <c r="F163" s="577">
        <v>0.3514703899819086</v>
      </c>
      <c r="G163" s="577">
        <v>0.34901303445808202</v>
      </c>
    </row>
    <row r="164" spans="1:8" x14ac:dyDescent="0.25">
      <c r="A164" s="1620" t="s">
        <v>2648</v>
      </c>
      <c r="B164" s="1621">
        <v>3.4451814216411712E-2</v>
      </c>
      <c r="C164" s="1621">
        <v>3.450926719767191E-2</v>
      </c>
      <c r="D164" s="1621">
        <v>3.4488538255103847E-2</v>
      </c>
      <c r="E164" s="1621">
        <v>3.5042169404842165E-2</v>
      </c>
      <c r="F164" s="1621">
        <v>3.5941606421003816E-2</v>
      </c>
      <c r="G164" s="1621">
        <v>3.5971828991200987E-2</v>
      </c>
      <c r="H164" s="1621"/>
    </row>
    <row r="165" spans="1:8" x14ac:dyDescent="0.25">
      <c r="A165" s="1619" t="s">
        <v>2649</v>
      </c>
      <c r="B165" s="577">
        <v>0.35661382075334941</v>
      </c>
      <c r="C165" s="577">
        <v>0.35769612903942405</v>
      </c>
      <c r="D165" s="577">
        <v>0.35838479805823353</v>
      </c>
      <c r="E165" s="577">
        <v>0.35909282330252068</v>
      </c>
      <c r="F165" s="577">
        <v>0.35768859364680061</v>
      </c>
      <c r="G165" s="577">
        <v>0.35383359082802979</v>
      </c>
    </row>
    <row r="166" spans="1:8" x14ac:dyDescent="0.25">
      <c r="A166" s="1619" t="s">
        <v>2650</v>
      </c>
      <c r="B166" s="577">
        <v>0.39214794325583574</v>
      </c>
      <c r="C166" s="577">
        <v>0.39289406525590542</v>
      </c>
      <c r="D166" s="577">
        <v>0.39358136155762441</v>
      </c>
      <c r="E166" s="577">
        <v>0.39273076305164278</v>
      </c>
      <c r="F166" s="577">
        <v>0.38977519724903359</v>
      </c>
      <c r="G166" s="577">
        <v>0.38478085065742612</v>
      </c>
    </row>
    <row r="167" spans="1:8" x14ac:dyDescent="0.25">
      <c r="A167" s="1619" t="s">
        <v>2651</v>
      </c>
      <c r="B167" s="577">
        <v>0.42734587947231717</v>
      </c>
      <c r="C167" s="577">
        <v>0.42809062875529635</v>
      </c>
      <c r="D167" s="577">
        <v>0.42721930130674657</v>
      </c>
      <c r="E167" s="577">
        <v>0.42481736665387571</v>
      </c>
      <c r="F167" s="577">
        <v>0.42072245707842998</v>
      </c>
      <c r="G167" s="577">
        <v>0.41463196519749235</v>
      </c>
    </row>
    <row r="168" spans="1:8" x14ac:dyDescent="0.25">
      <c r="A168" s="1619" t="s">
        <v>2652</v>
      </c>
      <c r="B168" s="577">
        <v>0.4625424429717081</v>
      </c>
      <c r="C168" s="577">
        <v>0.46172856850441851</v>
      </c>
      <c r="D168" s="577">
        <v>0.4593059049089796</v>
      </c>
      <c r="E168" s="577">
        <v>0.45576462648327204</v>
      </c>
      <c r="F168" s="577">
        <v>0.45057357161849637</v>
      </c>
      <c r="G168" s="577">
        <v>0.4433568662379942</v>
      </c>
    </row>
    <row r="169" spans="1:8" x14ac:dyDescent="0.25">
      <c r="A169" s="1619" t="s">
        <v>2653</v>
      </c>
      <c r="B169" s="577">
        <v>0.49618038272083015</v>
      </c>
      <c r="C169" s="577">
        <v>0.49381517210665155</v>
      </c>
      <c r="D169" s="577">
        <v>0.49025316473837588</v>
      </c>
      <c r="E169" s="577">
        <v>0.48561574102333843</v>
      </c>
      <c r="F169" s="577">
        <v>0.47929847265899805</v>
      </c>
      <c r="G169" s="577">
        <v>0.47110075518856426</v>
      </c>
    </row>
    <row r="170" spans="1:8" x14ac:dyDescent="0.25">
      <c r="A170" s="1619" t="s">
        <v>2654</v>
      </c>
      <c r="B170" s="577">
        <v>0.52826698632306313</v>
      </c>
      <c r="C170" s="577">
        <v>0.52476243193604788</v>
      </c>
      <c r="D170" s="577">
        <v>0.52010427927844227</v>
      </c>
      <c r="E170" s="577">
        <v>0.51434064206384011</v>
      </c>
      <c r="F170" s="577">
        <v>0.50704236160956806</v>
      </c>
      <c r="G170" s="577">
        <v>0.49789915481696817</v>
      </c>
    </row>
    <row r="171" spans="1:8" x14ac:dyDescent="0.25">
      <c r="A171" s="1619" t="s">
        <v>2655</v>
      </c>
      <c r="B171" s="577">
        <v>0.55921424615245952</v>
      </c>
      <c r="C171" s="577">
        <v>0.55461354647611438</v>
      </c>
      <c r="D171" s="577">
        <v>0.54882918031894401</v>
      </c>
      <c r="E171" s="577">
        <v>0.54208453101441034</v>
      </c>
      <c r="F171" s="577">
        <v>0.53384076123797186</v>
      </c>
      <c r="G171" s="577">
        <v>0.52378621387560098</v>
      </c>
    </row>
    <row r="172" spans="1:8" x14ac:dyDescent="0.25">
      <c r="A172" s="1619" t="s">
        <v>2656</v>
      </c>
      <c r="B172" s="577">
        <v>0.58906536069252591</v>
      </c>
      <c r="C172" s="577">
        <v>0.58333844751661612</v>
      </c>
      <c r="D172" s="577">
        <v>0.57657306926951413</v>
      </c>
      <c r="E172" s="577">
        <v>0.56888293064281392</v>
      </c>
      <c r="F172" s="577">
        <v>0.55972782029660473</v>
      </c>
      <c r="G172" s="577">
        <v>0.54879476385855519</v>
      </c>
    </row>
    <row r="173" spans="1:8" x14ac:dyDescent="0.25">
      <c r="A173" s="1619" t="s">
        <v>2657</v>
      </c>
      <c r="B173" s="577">
        <v>0.61779026173302753</v>
      </c>
      <c r="C173" s="577">
        <v>0.61108233646718579</v>
      </c>
      <c r="D173" s="577">
        <v>0.60337146889791793</v>
      </c>
      <c r="E173" s="577">
        <v>0.59476998970144701</v>
      </c>
      <c r="F173" s="577">
        <v>0.58473637027955894</v>
      </c>
      <c r="G173" s="577">
        <v>0.57295637327450188</v>
      </c>
    </row>
    <row r="174" spans="1:8" x14ac:dyDescent="0.25">
      <c r="A174" s="1619" t="s">
        <v>2658</v>
      </c>
      <c r="B174" s="577">
        <v>0.64553415068359787</v>
      </c>
      <c r="C174" s="577">
        <v>0.63788073609558982</v>
      </c>
      <c r="D174" s="577">
        <v>0.62925852795655079</v>
      </c>
      <c r="E174" s="577">
        <v>0.61977853968440122</v>
      </c>
      <c r="F174" s="577">
        <v>0.60889797969550563</v>
      </c>
      <c r="G174" s="577">
        <v>0.59630139954920203</v>
      </c>
    </row>
    <row r="175" spans="1:8" x14ac:dyDescent="0.25">
      <c r="A175" s="1619" t="s">
        <v>2659</v>
      </c>
      <c r="B175" s="577">
        <v>6.8961081414083608E-2</v>
      </c>
      <c r="C175" s="577">
        <v>6.8997805452775743E-2</v>
      </c>
      <c r="D175" s="577">
        <v>6.9530707659946026E-2</v>
      </c>
      <c r="E175" s="577">
        <v>7.0983775825845988E-2</v>
      </c>
      <c r="F175" s="577">
        <v>7.191343541220481E-2</v>
      </c>
      <c r="G175" s="577">
        <v>7.288100875276475E-2</v>
      </c>
    </row>
    <row r="176" spans="1:8" x14ac:dyDescent="0.25">
      <c r="A176" s="1619" t="s">
        <v>2660</v>
      </c>
      <c r="B176" s="577">
        <v>0.67233255031200145</v>
      </c>
      <c r="C176" s="577">
        <v>0.66376779515422257</v>
      </c>
      <c r="D176" s="577">
        <v>0.654267077939505</v>
      </c>
      <c r="E176" s="577">
        <v>0.64394014910034791</v>
      </c>
      <c r="F176" s="577">
        <v>0.63224300597020566</v>
      </c>
      <c r="G176" s="577">
        <v>0.61885903866606806</v>
      </c>
    </row>
    <row r="177" spans="1:7" x14ac:dyDescent="0.25">
      <c r="A177" s="1619" t="s">
        <v>2661</v>
      </c>
      <c r="B177" s="577">
        <v>0.69821960937063443</v>
      </c>
      <c r="C177" s="577">
        <v>0.68877634513717689</v>
      </c>
      <c r="D177" s="577">
        <v>0.67842868735545148</v>
      </c>
      <c r="E177" s="577">
        <v>0.66728517537504783</v>
      </c>
      <c r="F177" s="577">
        <v>0.6548006450870717</v>
      </c>
      <c r="G177" s="577">
        <v>0.64014987313219929</v>
      </c>
    </row>
    <row r="178" spans="1:7" x14ac:dyDescent="0.25">
      <c r="A178" s="1619" t="s">
        <v>2662</v>
      </c>
      <c r="B178" s="577">
        <v>0.72322815935358853</v>
      </c>
      <c r="C178" s="577">
        <v>0.71293795455312359</v>
      </c>
      <c r="D178" s="577">
        <v>0.70177371363015173</v>
      </c>
      <c r="E178" s="577">
        <v>0.68984281449191398</v>
      </c>
      <c r="F178" s="577">
        <v>0.67609147955320326</v>
      </c>
      <c r="G178" s="577">
        <v>0.66024504487937385</v>
      </c>
    </row>
    <row r="179" spans="1:7" x14ac:dyDescent="0.25">
      <c r="A179" s="1619" t="s">
        <v>2663</v>
      </c>
      <c r="B179" s="577">
        <v>0.74738976876953522</v>
      </c>
      <c r="C179" s="577">
        <v>0.73628298082782373</v>
      </c>
      <c r="D179" s="577">
        <v>0.72433135274701788</v>
      </c>
      <c r="E179" s="577">
        <v>0.71113364895804543</v>
      </c>
      <c r="F179" s="577">
        <v>0.69618665130037771</v>
      </c>
      <c r="G179" s="577">
        <v>0.67921170061054381</v>
      </c>
    </row>
    <row r="180" spans="1:7" x14ac:dyDescent="0.25">
      <c r="A180" s="1622" t="s">
        <v>2664</v>
      </c>
      <c r="B180" s="577">
        <v>0.77073479504423537</v>
      </c>
      <c r="C180" s="577">
        <v>0.75884061994468976</v>
      </c>
      <c r="D180" s="577">
        <v>0.7456221872131491</v>
      </c>
      <c r="E180" s="577">
        <v>0.73122882070521944</v>
      </c>
      <c r="F180" s="577">
        <v>0.71515330703154745</v>
      </c>
      <c r="G180" s="577">
        <v>0.69711321616615474</v>
      </c>
    </row>
    <row r="181" spans="1:7" x14ac:dyDescent="0.25">
      <c r="A181" s="1619" t="s">
        <v>2665</v>
      </c>
      <c r="B181" s="577">
        <v>0.79329243416110162</v>
      </c>
      <c r="C181" s="577">
        <v>0.78013145441082132</v>
      </c>
      <c r="D181" s="577">
        <v>0.765717358960324</v>
      </c>
      <c r="E181" s="577">
        <v>0.75019547643638984</v>
      </c>
      <c r="F181" s="577">
        <v>0.73305482258715848</v>
      </c>
      <c r="G181" s="577">
        <v>0.7140094082903744</v>
      </c>
    </row>
    <row r="182" spans="1:7" x14ac:dyDescent="0.25">
      <c r="A182" s="1619" t="s">
        <v>2666</v>
      </c>
      <c r="B182" s="577">
        <v>0.10344961966918746</v>
      </c>
      <c r="C182" s="577">
        <v>0.10403997485761787</v>
      </c>
      <c r="D182" s="577">
        <v>0.10547231408094981</v>
      </c>
      <c r="E182" s="577">
        <v>0.10695560481704697</v>
      </c>
      <c r="F182" s="577">
        <v>0.10882261517376859</v>
      </c>
      <c r="G182" s="577">
        <v>0.10962148782058445</v>
      </c>
    </row>
    <row r="183" spans="1:7" x14ac:dyDescent="0.25">
      <c r="A183" s="1619" t="s">
        <v>2667</v>
      </c>
      <c r="B183" s="577">
        <v>0.13849178907402962</v>
      </c>
      <c r="C183" s="577">
        <v>0.13998158127862173</v>
      </c>
      <c r="D183" s="577">
        <v>0.14144414307215081</v>
      </c>
      <c r="E183" s="577">
        <v>0.14386478457861074</v>
      </c>
      <c r="F183" s="577">
        <v>0.14556309424158825</v>
      </c>
      <c r="G183" s="577">
        <v>0.14607127549206472</v>
      </c>
    </row>
    <row r="184" spans="1:7" x14ac:dyDescent="0.25">
      <c r="A184" s="1619" t="s">
        <v>2668</v>
      </c>
      <c r="B184" s="577">
        <v>0.17443339549503337</v>
      </c>
      <c r="C184" s="577">
        <v>0.17595341026982272</v>
      </c>
      <c r="D184" s="577">
        <v>0.17835332283371463</v>
      </c>
      <c r="E184" s="577">
        <v>0.18060526364643043</v>
      </c>
      <c r="F184" s="577">
        <v>0.18201288191306847</v>
      </c>
      <c r="G184" s="577">
        <v>0.1821804252583159</v>
      </c>
    </row>
    <row r="185" spans="1:7" x14ac:dyDescent="0.25">
      <c r="A185" s="1619" t="s">
        <v>2669</v>
      </c>
      <c r="B185" s="577">
        <v>0.21040522448623444</v>
      </c>
      <c r="C185" s="577">
        <v>0.21286259003138655</v>
      </c>
      <c r="D185" s="577">
        <v>0.21509380190153429</v>
      </c>
      <c r="E185" s="577">
        <v>0.2170550513179107</v>
      </c>
      <c r="F185" s="577">
        <v>0.21812203167931971</v>
      </c>
      <c r="G185" s="577">
        <v>0.21771454776080226</v>
      </c>
    </row>
    <row r="186" spans="1:7" x14ac:dyDescent="0.25">
      <c r="A186" s="1619" t="s">
        <v>2670</v>
      </c>
      <c r="B186" s="577">
        <v>0.24731440424779824</v>
      </c>
      <c r="C186" s="577">
        <v>0.24960306909920615</v>
      </c>
      <c r="D186" s="577">
        <v>0.25154358957301454</v>
      </c>
      <c r="E186" s="577">
        <v>0.25316420108416182</v>
      </c>
      <c r="F186" s="577">
        <v>0.25365615418180615</v>
      </c>
      <c r="G186" s="577">
        <v>0.25291248397728372</v>
      </c>
    </row>
    <row r="187" spans="1:7" x14ac:dyDescent="0.25">
      <c r="A187" s="1619" t="s">
        <v>2671</v>
      </c>
      <c r="B187" s="577">
        <v>0.28405488331561796</v>
      </c>
      <c r="C187" s="577">
        <v>0.28605285677068643</v>
      </c>
      <c r="D187" s="577">
        <v>0.28765273933926566</v>
      </c>
      <c r="E187" s="577">
        <v>0.28869832358664838</v>
      </c>
      <c r="F187" s="577">
        <v>0.28885409039828752</v>
      </c>
      <c r="G187" s="577">
        <v>0.28810904747667471</v>
      </c>
    </row>
    <row r="188" spans="1:7" x14ac:dyDescent="0.25">
      <c r="A188" s="1619" t="s">
        <v>2672</v>
      </c>
      <c r="B188" s="577">
        <v>0.32050467098709806</v>
      </c>
      <c r="C188" s="577">
        <v>0.32216200653693755</v>
      </c>
      <c r="D188" s="577">
        <v>0.32318686184175222</v>
      </c>
      <c r="E188" s="577">
        <v>0.32389625980312975</v>
      </c>
      <c r="F188" s="577">
        <v>0.3240506538976784</v>
      </c>
      <c r="G188" s="577">
        <v>0.32174698722579675</v>
      </c>
    </row>
    <row r="189" spans="1:7" x14ac:dyDescent="0.25">
      <c r="A189" s="1619" t="s">
        <v>2673</v>
      </c>
      <c r="B189" s="577">
        <v>3.9747968207380593E-2</v>
      </c>
      <c r="C189" s="577">
        <v>3.9986997605038738E-2</v>
      </c>
      <c r="D189" s="577">
        <v>4.0128204583551298E-2</v>
      </c>
      <c r="E189" s="577">
        <v>4.1119262723228071E-2</v>
      </c>
      <c r="F189" s="577">
        <v>4.2437316042793924E-2</v>
      </c>
      <c r="G189" s="577">
        <v>4.2723582414039327E-2</v>
      </c>
    </row>
    <row r="190" spans="1:7" x14ac:dyDescent="0.25">
      <c r="A190" s="1619" t="s">
        <v>2674</v>
      </c>
      <c r="B190" s="577">
        <v>0.42065844549038622</v>
      </c>
      <c r="C190" s="577">
        <v>0.42338377172833563</v>
      </c>
      <c r="D190" s="577">
        <v>0.42537935112783859</v>
      </c>
      <c r="E190" s="577">
        <v>0.42708021074596592</v>
      </c>
      <c r="F190" s="577">
        <v>0.42592742980660664</v>
      </c>
      <c r="G190" s="577">
        <v>0.42159806168680364</v>
      </c>
    </row>
    <row r="191" spans="1:7" x14ac:dyDescent="0.25">
      <c r="A191" s="1619" t="s">
        <v>2675</v>
      </c>
      <c r="B191" s="577">
        <v>0.46313173993571627</v>
      </c>
      <c r="C191" s="577">
        <v>0.4653663487328773</v>
      </c>
      <c r="D191" s="577">
        <v>0.46720841532951723</v>
      </c>
      <c r="E191" s="577">
        <v>0.46704669252983477</v>
      </c>
      <c r="F191" s="577">
        <v>0.46403537772959763</v>
      </c>
      <c r="G191" s="577">
        <v>0.45829993712331796</v>
      </c>
    </row>
    <row r="192" spans="1:7" x14ac:dyDescent="0.25">
      <c r="A192" s="1619" t="s">
        <v>2676</v>
      </c>
      <c r="B192" s="577">
        <v>0.50511431694025788</v>
      </c>
      <c r="C192" s="577">
        <v>0.50719541293455606</v>
      </c>
      <c r="D192" s="577">
        <v>0.50717489711338604</v>
      </c>
      <c r="E192" s="577">
        <v>0.50515464045282576</v>
      </c>
      <c r="F192" s="577">
        <v>0.50073725316611173</v>
      </c>
      <c r="G192" s="577">
        <v>0.49365237421811492</v>
      </c>
    </row>
    <row r="193" spans="1:7" x14ac:dyDescent="0.25">
      <c r="A193" s="1619" t="s">
        <v>2677</v>
      </c>
      <c r="B193" s="577">
        <v>0.54694338114193664</v>
      </c>
      <c r="C193" s="577">
        <v>0.54716189471842491</v>
      </c>
      <c r="D193" s="577">
        <v>0.54528284503637681</v>
      </c>
      <c r="E193" s="577">
        <v>0.54185651588933981</v>
      </c>
      <c r="F193" s="577">
        <v>0.5360896902609088</v>
      </c>
      <c r="G193" s="577">
        <v>0.52763551948290255</v>
      </c>
    </row>
    <row r="194" spans="1:7" x14ac:dyDescent="0.25">
      <c r="A194" s="1619" t="s">
        <v>2678</v>
      </c>
      <c r="B194" s="577">
        <v>0.5869098629258056</v>
      </c>
      <c r="C194" s="577">
        <v>0.58526984264141579</v>
      </c>
      <c r="D194" s="577">
        <v>0.58198472047289118</v>
      </c>
      <c r="E194" s="577">
        <v>0.57720895298413677</v>
      </c>
      <c r="F194" s="577">
        <v>0.57007283552569654</v>
      </c>
      <c r="G194" s="577">
        <v>0.56042154499944608</v>
      </c>
    </row>
    <row r="195" spans="1:7" x14ac:dyDescent="0.25">
      <c r="A195" s="1619" t="s">
        <v>2679</v>
      </c>
      <c r="B195" s="577">
        <v>0.62501781084879626</v>
      </c>
      <c r="C195" s="577">
        <v>0.62197171807793006</v>
      </c>
      <c r="D195" s="577">
        <v>0.61733715756768814</v>
      </c>
      <c r="E195" s="577">
        <v>0.61119209824892473</v>
      </c>
      <c r="F195" s="577">
        <v>0.60285886104224007</v>
      </c>
      <c r="G195" s="577">
        <v>0.59205535003357623</v>
      </c>
    </row>
    <row r="196" spans="1:7" x14ac:dyDescent="0.25">
      <c r="A196" s="1619" t="s">
        <v>2680</v>
      </c>
      <c r="B196" s="577">
        <v>0.66171968628531075</v>
      </c>
      <c r="C196" s="577">
        <v>0.65732415517272702</v>
      </c>
      <c r="D196" s="577">
        <v>0.65132030283247588</v>
      </c>
      <c r="E196" s="577">
        <v>0.64397812376546804</v>
      </c>
      <c r="F196" s="577">
        <v>0.63449266607637023</v>
      </c>
      <c r="G196" s="577">
        <v>0.62258003465030165</v>
      </c>
    </row>
    <row r="197" spans="1:7" x14ac:dyDescent="0.25">
      <c r="A197" s="1619" t="s">
        <v>2681</v>
      </c>
      <c r="B197" s="577">
        <v>0.69707212338010771</v>
      </c>
      <c r="C197" s="577">
        <v>0.69130730043751465</v>
      </c>
      <c r="D197" s="577">
        <v>0.6841063283490193</v>
      </c>
      <c r="E197" s="577">
        <v>0.67561192879959819</v>
      </c>
      <c r="F197" s="577">
        <v>0.66501735069309564</v>
      </c>
      <c r="G197" s="577">
        <v>0.65203697640298741</v>
      </c>
    </row>
    <row r="198" spans="1:7" x14ac:dyDescent="0.25">
      <c r="A198" s="1619" t="s">
        <v>2682</v>
      </c>
      <c r="B198" s="577">
        <v>0.73105526864489523</v>
      </c>
      <c r="C198" s="577">
        <v>0.72409332595405829</v>
      </c>
      <c r="D198" s="577">
        <v>0.71574013338314946</v>
      </c>
      <c r="E198" s="577">
        <v>0.70613661341632361</v>
      </c>
      <c r="F198" s="577">
        <v>0.6944742924457814</v>
      </c>
      <c r="G198" s="577">
        <v>0.68046590358158343</v>
      </c>
    </row>
    <row r="199" spans="1:7" x14ac:dyDescent="0.25">
      <c r="A199" s="1619" t="s">
        <v>2683</v>
      </c>
      <c r="B199" s="577">
        <v>0.76384129416143864</v>
      </c>
      <c r="C199" s="577">
        <v>0.75572713098818833</v>
      </c>
      <c r="D199" s="577">
        <v>0.74626481799987499</v>
      </c>
      <c r="E199" s="577">
        <v>0.73559355516900948</v>
      </c>
      <c r="F199" s="577">
        <v>0.72290321962437731</v>
      </c>
      <c r="G199" s="577">
        <v>0.70790496518039636</v>
      </c>
    </row>
    <row r="200" spans="1:7" x14ac:dyDescent="0.25">
      <c r="A200" s="1619" t="s">
        <v>2684</v>
      </c>
      <c r="B200" s="577">
        <v>7.9734965812419331E-2</v>
      </c>
      <c r="C200" s="577">
        <v>8.0115202188590015E-2</v>
      </c>
      <c r="D200" s="577">
        <v>8.124746730677937E-2</v>
      </c>
      <c r="E200" s="577">
        <v>8.3556578766021988E-2</v>
      </c>
      <c r="F200" s="577">
        <v>8.5160898456833251E-2</v>
      </c>
      <c r="G200" s="577">
        <v>8.6627779044681399E-2</v>
      </c>
    </row>
    <row r="201" spans="1:7" x14ac:dyDescent="0.25">
      <c r="A201" s="1619" t="s">
        <v>2685</v>
      </c>
      <c r="B201" s="577">
        <v>0.79547509919556902</v>
      </c>
      <c r="C201" s="577">
        <v>0.78625181560491408</v>
      </c>
      <c r="D201" s="577">
        <v>0.77572175975256064</v>
      </c>
      <c r="E201" s="577">
        <v>0.76402248234760517</v>
      </c>
      <c r="F201" s="577">
        <v>0.75034228122319047</v>
      </c>
      <c r="G201" s="577">
        <v>0.73439079773820126</v>
      </c>
    </row>
    <row r="202" spans="1:7" x14ac:dyDescent="0.25">
      <c r="A202" s="1619" t="s">
        <v>2686</v>
      </c>
      <c r="B202" s="577">
        <v>0.82599978381229433</v>
      </c>
      <c r="C202" s="577">
        <v>0.81570875735759962</v>
      </c>
      <c r="D202" s="577">
        <v>0.80415068693115688</v>
      </c>
      <c r="E202" s="577">
        <v>0.79146154394641832</v>
      </c>
      <c r="F202" s="577">
        <v>0.77682811378099503</v>
      </c>
      <c r="G202" s="577">
        <v>0.75938922393716757</v>
      </c>
    </row>
    <row r="203" spans="1:7" x14ac:dyDescent="0.25">
      <c r="A203" s="1619" t="s">
        <v>2687</v>
      </c>
      <c r="B203" s="577">
        <v>0.85545672556498031</v>
      </c>
      <c r="C203" s="577">
        <v>0.84413768453619575</v>
      </c>
      <c r="D203" s="577">
        <v>0.83158974852996992</v>
      </c>
      <c r="E203" s="577">
        <v>0.81794737650422322</v>
      </c>
      <c r="F203" s="577">
        <v>0.80182653997996156</v>
      </c>
      <c r="G203" s="577">
        <v>0.7829837743845165</v>
      </c>
    </row>
    <row r="204" spans="1:7" x14ac:dyDescent="0.25">
      <c r="A204" s="1619" t="s">
        <v>2688</v>
      </c>
      <c r="B204" s="577">
        <v>0.88388565274357611</v>
      </c>
      <c r="C204" s="577">
        <v>0.87157674613500846</v>
      </c>
      <c r="D204" s="577">
        <v>0.85807558108777449</v>
      </c>
      <c r="E204" s="577">
        <v>0.84294580270318931</v>
      </c>
      <c r="F204" s="577">
        <v>0.82542109042731049</v>
      </c>
      <c r="G204" s="577">
        <v>0.80525328872840429</v>
      </c>
    </row>
    <row r="205" spans="1:7" x14ac:dyDescent="0.25">
      <c r="A205" s="1619" t="s">
        <v>2689</v>
      </c>
      <c r="B205" s="577">
        <v>0.91132471434238915</v>
      </c>
      <c r="C205" s="577">
        <v>0.89806257869281325</v>
      </c>
      <c r="D205" s="577">
        <v>0.88307400728674101</v>
      </c>
      <c r="E205" s="577">
        <v>0.86654035315053868</v>
      </c>
      <c r="F205" s="577">
        <v>0.84769060477119818</v>
      </c>
      <c r="G205" s="577">
        <v>0.82627217909545281</v>
      </c>
    </row>
    <row r="206" spans="1:7" x14ac:dyDescent="0.25">
      <c r="A206" s="1619" t="s">
        <v>2690</v>
      </c>
      <c r="B206" s="577">
        <v>0.93781054690019405</v>
      </c>
      <c r="C206" s="577">
        <v>0.92306100489177967</v>
      </c>
      <c r="D206" s="577">
        <v>0.90666855773408983</v>
      </c>
      <c r="E206" s="577">
        <v>0.88880986749442636</v>
      </c>
      <c r="F206" s="577">
        <v>0.86870949513824658</v>
      </c>
      <c r="G206" s="577">
        <v>0.84611067873400714</v>
      </c>
    </row>
    <row r="207" spans="1:7" x14ac:dyDescent="0.25">
      <c r="A207" s="1619" t="s">
        <v>2691</v>
      </c>
      <c r="B207" s="577">
        <v>0.96280897309916025</v>
      </c>
      <c r="C207" s="577">
        <v>0.94665555533912871</v>
      </c>
      <c r="D207" s="577">
        <v>0.92893807207797763</v>
      </c>
      <c r="E207" s="577">
        <v>0.90982875786147455</v>
      </c>
      <c r="F207" s="577">
        <v>0.88854799477680102</v>
      </c>
      <c r="G207" s="577">
        <v>0.8648350766939451</v>
      </c>
    </row>
    <row r="208" spans="1:7" x14ac:dyDescent="0.25">
      <c r="A208" s="1619" t="s">
        <v>2692</v>
      </c>
      <c r="B208" s="577">
        <v>0.98640352354650918</v>
      </c>
      <c r="C208" s="577">
        <v>0.96892506968301639</v>
      </c>
      <c r="D208" s="577">
        <v>0.94995696244502603</v>
      </c>
      <c r="E208" s="577">
        <v>0.92966725750002888</v>
      </c>
      <c r="F208" s="577">
        <v>0.90727239273673899</v>
      </c>
      <c r="G208" s="577">
        <v>0.88250793932720406</v>
      </c>
    </row>
    <row r="209" spans="1:7" x14ac:dyDescent="0.25">
      <c r="A209" s="1619" t="s">
        <v>2693</v>
      </c>
      <c r="B209" s="577">
        <v>1.0086730378903972</v>
      </c>
      <c r="C209" s="577">
        <v>0.98994396005006446</v>
      </c>
      <c r="D209" s="577">
        <v>0.96979546208358014</v>
      </c>
      <c r="E209" s="577">
        <v>0.94839165545996695</v>
      </c>
      <c r="F209" s="577">
        <v>0.92494525536999816</v>
      </c>
      <c r="G209" s="577">
        <v>0.89918831934915688</v>
      </c>
    </row>
    <row r="210" spans="1:7" x14ac:dyDescent="0.25">
      <c r="A210" s="1619" t="s">
        <v>2694</v>
      </c>
      <c r="B210" s="577">
        <v>1.0296919282574455</v>
      </c>
      <c r="C210" s="577">
        <v>1.0097824596886191</v>
      </c>
      <c r="D210" s="577">
        <v>0.98851986004351822</v>
      </c>
      <c r="E210" s="577">
        <v>0.96606451809322613</v>
      </c>
      <c r="F210" s="577">
        <v>0.94162563539195132</v>
      </c>
      <c r="G210" s="577">
        <v>0.91493195315940068</v>
      </c>
    </row>
    <row r="211" spans="1:7" x14ac:dyDescent="0.25">
      <c r="A211" s="1619" t="s">
        <v>2695</v>
      </c>
      <c r="B211" s="577">
        <v>0.11986317039597059</v>
      </c>
      <c r="C211" s="577">
        <v>0.12123446491181801</v>
      </c>
      <c r="D211" s="577">
        <v>0.12368478334957329</v>
      </c>
      <c r="E211" s="577">
        <v>0.12628016118006133</v>
      </c>
      <c r="F211" s="577">
        <v>0.1290650950874753</v>
      </c>
      <c r="G211" s="577">
        <v>0.13047747736266463</v>
      </c>
    </row>
    <row r="212" spans="1:7" x14ac:dyDescent="0.25">
      <c r="A212" s="1619" t="s">
        <v>2696</v>
      </c>
      <c r="B212" s="577">
        <v>1.0495304278959998</v>
      </c>
      <c r="C212" s="577">
        <v>1.028506857648557</v>
      </c>
      <c r="D212" s="577">
        <v>1.0061927226767775</v>
      </c>
      <c r="E212" s="577">
        <v>0.98274489811517918</v>
      </c>
      <c r="F212" s="577">
        <v>0.95736926920219445</v>
      </c>
      <c r="G212" s="577">
        <v>0.9297914470812918</v>
      </c>
    </row>
    <row r="213" spans="1:7" x14ac:dyDescent="0.25">
      <c r="A213" s="1619" t="s">
        <v>2697</v>
      </c>
      <c r="B213" s="577">
        <v>0.16098243311919863</v>
      </c>
      <c r="C213" s="577">
        <v>0.16367178095461191</v>
      </c>
      <c r="D213" s="577">
        <v>0.16640836576361262</v>
      </c>
      <c r="E213" s="577">
        <v>0.17018435781070335</v>
      </c>
      <c r="F213" s="577">
        <v>0.17291479340545857</v>
      </c>
      <c r="G213" s="577">
        <v>0.1740564756541832</v>
      </c>
    </row>
    <row r="214" spans="1:7" x14ac:dyDescent="0.25">
      <c r="A214" s="1619" t="s">
        <v>2698</v>
      </c>
      <c r="B214" s="577">
        <v>0.20341974916199249</v>
      </c>
      <c r="C214" s="577">
        <v>0.20639536336865105</v>
      </c>
      <c r="D214" s="577">
        <v>0.21031256239425467</v>
      </c>
      <c r="E214" s="577">
        <v>0.21403405612868662</v>
      </c>
      <c r="F214" s="577">
        <v>0.21649379169697711</v>
      </c>
      <c r="G214" s="577">
        <v>0.21723869632839363</v>
      </c>
    </row>
    <row r="215" spans="1:7" x14ac:dyDescent="0.25">
      <c r="A215" s="1619" t="s">
        <v>2699</v>
      </c>
      <c r="B215" s="577">
        <v>0.24614333157603172</v>
      </c>
      <c r="C215" s="577">
        <v>0.25029955999929321</v>
      </c>
      <c r="D215" s="577">
        <v>0.25416226071223796</v>
      </c>
      <c r="E215" s="577">
        <v>0.25761305442020521</v>
      </c>
      <c r="F215" s="577">
        <v>0.25967601237118748</v>
      </c>
      <c r="G215" s="577">
        <v>0.25971199077372353</v>
      </c>
    </row>
    <row r="216" spans="1:7" x14ac:dyDescent="0.25">
      <c r="A216" s="1619" t="s">
        <v>2700</v>
      </c>
      <c r="B216" s="577">
        <v>0.29004752820667379</v>
      </c>
      <c r="C216" s="577">
        <v>0.29414925831727651</v>
      </c>
      <c r="D216" s="577">
        <v>0.29774125900375653</v>
      </c>
      <c r="E216" s="577">
        <v>0.30079527509441562</v>
      </c>
      <c r="F216" s="577">
        <v>0.30214930681651736</v>
      </c>
      <c r="G216" s="577">
        <v>0.30169456777826531</v>
      </c>
    </row>
    <row r="217" spans="1:7" x14ac:dyDescent="0.25">
      <c r="A217" s="1619" t="s">
        <v>2701</v>
      </c>
      <c r="B217" s="577">
        <v>0.33389722652465709</v>
      </c>
      <c r="C217" s="577">
        <v>0.33772825660879519</v>
      </c>
      <c r="D217" s="577">
        <v>0.34092347967796688</v>
      </c>
      <c r="E217" s="577">
        <v>0.34326856953974549</v>
      </c>
      <c r="F217" s="577">
        <v>0.34413188382105919</v>
      </c>
      <c r="G217" s="577">
        <v>0.34352363197994401</v>
      </c>
    </row>
    <row r="218" spans="1:7" x14ac:dyDescent="0.25">
      <c r="A218" s="1619" t="s">
        <v>2702</v>
      </c>
      <c r="B218" s="577">
        <v>0.37747622481617576</v>
      </c>
      <c r="C218" s="577">
        <v>0.38091047728300559</v>
      </c>
      <c r="D218" s="577">
        <v>0.38339677412329681</v>
      </c>
      <c r="E218" s="577">
        <v>0.38525114654428738</v>
      </c>
      <c r="F218" s="577">
        <v>0.38596094802273795</v>
      </c>
      <c r="G218" s="577">
        <v>0.38349011376381276</v>
      </c>
    </row>
    <row r="219" spans="1:7" x14ac:dyDescent="0.25">
      <c r="A219" s="1619" t="s">
        <v>2703</v>
      </c>
      <c r="B219" s="577">
        <v>3.7885285092751478E-2</v>
      </c>
      <c r="C219" s="577">
        <v>3.8072136295361297E-2</v>
      </c>
      <c r="D219" s="577">
        <v>3.816755725143825E-2</v>
      </c>
      <c r="E219" s="577">
        <v>3.9028598382114157E-2</v>
      </c>
      <c r="F219" s="577">
        <v>4.0218382987637122E-2</v>
      </c>
      <c r="G219" s="577">
        <v>4.043160014055372E-2</v>
      </c>
    </row>
    <row r="220" spans="1:7" x14ac:dyDescent="0.25">
      <c r="A220" s="1619" t="s">
        <v>2704</v>
      </c>
      <c r="B220" s="577">
        <v>0.39875745757589326</v>
      </c>
      <c r="C220" s="577">
        <v>0.40100479499457614</v>
      </c>
      <c r="D220" s="577">
        <v>0.40262195710814502</v>
      </c>
      <c r="E220" s="577">
        <v>0.40403341854635999</v>
      </c>
      <c r="F220" s="577">
        <v>0.40282380755898056</v>
      </c>
      <c r="G220" s="577">
        <v>0.39866927358368565</v>
      </c>
    </row>
    <row r="221" spans="1:7" x14ac:dyDescent="0.25">
      <c r="A221" s="1619" t="s">
        <v>2705</v>
      </c>
      <c r="B221" s="577">
        <v>0.43889008008732766</v>
      </c>
      <c r="C221" s="577">
        <v>0.44069409340350629</v>
      </c>
      <c r="D221" s="577">
        <v>0.44220097579779816</v>
      </c>
      <c r="E221" s="577">
        <v>0.44185240594109476</v>
      </c>
      <c r="F221" s="577">
        <v>0.43888765657132284</v>
      </c>
      <c r="G221" s="577">
        <v>0.43341466602184309</v>
      </c>
    </row>
    <row r="222" spans="1:7" x14ac:dyDescent="0.25">
      <c r="A222" s="1619" t="s">
        <v>2706</v>
      </c>
      <c r="B222" s="577">
        <v>0.47857937849625781</v>
      </c>
      <c r="C222" s="577">
        <v>0.48027311209315959</v>
      </c>
      <c r="D222" s="577">
        <v>0.48001996319253293</v>
      </c>
      <c r="E222" s="577">
        <v>0.47791625495343698</v>
      </c>
      <c r="F222" s="577">
        <v>0.47363304900948017</v>
      </c>
      <c r="G222" s="577">
        <v>0.46689397019933465</v>
      </c>
    </row>
    <row r="223" spans="1:7" x14ac:dyDescent="0.25">
      <c r="A223" s="1619" t="s">
        <v>2707</v>
      </c>
      <c r="B223" s="577">
        <v>0.51815839718591117</v>
      </c>
      <c r="C223" s="577">
        <v>0.51809209948789436</v>
      </c>
      <c r="D223" s="577">
        <v>0.5160838122048752</v>
      </c>
      <c r="E223" s="577">
        <v>0.51266164739159437</v>
      </c>
      <c r="F223" s="577">
        <v>0.5071123531869719</v>
      </c>
      <c r="G223" s="577">
        <v>0.49908474352215476</v>
      </c>
    </row>
    <row r="224" spans="1:7" x14ac:dyDescent="0.25">
      <c r="A224" s="1619" t="s">
        <v>2708</v>
      </c>
      <c r="B224" s="577">
        <v>0.55597738458064583</v>
      </c>
      <c r="C224" s="577">
        <v>0.55415594850023642</v>
      </c>
      <c r="D224" s="577">
        <v>0.55082920464303264</v>
      </c>
      <c r="E224" s="577">
        <v>0.54614095156908582</v>
      </c>
      <c r="F224" s="577">
        <v>0.53930312650979184</v>
      </c>
      <c r="G224" s="577">
        <v>0.53014998680413183</v>
      </c>
    </row>
    <row r="225" spans="1:8" x14ac:dyDescent="0.25">
      <c r="A225" s="1619" t="s">
        <v>2709</v>
      </c>
      <c r="B225" s="577">
        <v>0.59204123359298799</v>
      </c>
      <c r="C225" s="577">
        <v>0.58890134093839386</v>
      </c>
      <c r="D225" s="577">
        <v>0.58430850882052443</v>
      </c>
      <c r="E225" s="577">
        <v>0.57833172489190598</v>
      </c>
      <c r="F225" s="577">
        <v>0.57036836979176886</v>
      </c>
      <c r="G225" s="577">
        <v>0.56013156637993844</v>
      </c>
    </row>
    <row r="226" spans="1:8" x14ac:dyDescent="0.25">
      <c r="A226" s="1619" t="s">
        <v>2710</v>
      </c>
      <c r="B226" s="577">
        <v>0.62678662603114543</v>
      </c>
      <c r="C226" s="577">
        <v>0.62238064511588553</v>
      </c>
      <c r="D226" s="577">
        <v>0.61649928214334415</v>
      </c>
      <c r="E226" s="577">
        <v>0.60939696817388289</v>
      </c>
      <c r="F226" s="577">
        <v>0.60034994936757546</v>
      </c>
      <c r="G226" s="577">
        <v>0.5890696844523895</v>
      </c>
    </row>
    <row r="227" spans="1:8" x14ac:dyDescent="0.25">
      <c r="A227" s="1619" t="s">
        <v>2711</v>
      </c>
      <c r="B227" s="577">
        <v>0.66026593020863711</v>
      </c>
      <c r="C227" s="577">
        <v>0.65457141843870559</v>
      </c>
      <c r="D227" s="577">
        <v>0.64756452542532128</v>
      </c>
      <c r="E227" s="577">
        <v>0.6393785477496895</v>
      </c>
      <c r="F227" s="577">
        <v>0.62928806744002652</v>
      </c>
      <c r="G227" s="577">
        <v>0.61700294952935908</v>
      </c>
    </row>
    <row r="228" spans="1:8" x14ac:dyDescent="0.25">
      <c r="A228" s="1619" t="s">
        <v>2712</v>
      </c>
      <c r="B228" s="577">
        <v>0.69245670353145705</v>
      </c>
      <c r="C228" s="577">
        <v>0.68563666172068272</v>
      </c>
      <c r="D228" s="577">
        <v>0.67754610500112789</v>
      </c>
      <c r="E228" s="577">
        <v>0.66831666582214055</v>
      </c>
      <c r="F228" s="577">
        <v>0.65722133251699633</v>
      </c>
      <c r="G228" s="577">
        <v>0.64396844371736806</v>
      </c>
    </row>
    <row r="229" spans="1:8" x14ac:dyDescent="0.25">
      <c r="A229" s="1619" t="s">
        <v>2713</v>
      </c>
      <c r="B229" s="577">
        <v>0.72352194681343429</v>
      </c>
      <c r="C229" s="577">
        <v>0.7156182412964891</v>
      </c>
      <c r="D229" s="577">
        <v>0.70648422307357883</v>
      </c>
      <c r="E229" s="577">
        <v>0.69624993089911058</v>
      </c>
      <c r="F229" s="577">
        <v>0.68418682670500519</v>
      </c>
      <c r="G229" s="577">
        <v>0.67000178701788615</v>
      </c>
    </row>
    <row r="230" spans="1:8" x14ac:dyDescent="0.25">
      <c r="A230" s="1619" t="s">
        <v>2714</v>
      </c>
      <c r="B230" s="577">
        <v>7.5957421388112789E-2</v>
      </c>
      <c r="C230" s="577">
        <v>7.6239693546799547E-2</v>
      </c>
      <c r="D230" s="577">
        <v>7.7196155633552394E-2</v>
      </c>
      <c r="E230" s="577">
        <v>7.9246981369751279E-2</v>
      </c>
      <c r="F230" s="577">
        <v>8.0649983128190841E-2</v>
      </c>
      <c r="G230" s="577">
        <v>8.1964964519931155E-2</v>
      </c>
    </row>
    <row r="231" spans="1:8" x14ac:dyDescent="0.25">
      <c r="A231" s="1622" t="s">
        <v>2715</v>
      </c>
      <c r="B231" s="577">
        <v>0.75350352638924067</v>
      </c>
      <c r="C231" s="577">
        <v>0.74455635936894016</v>
      </c>
      <c r="D231" s="577">
        <v>0.73441748815054886</v>
      </c>
      <c r="E231" s="577">
        <v>0.72321542508711922</v>
      </c>
      <c r="F231" s="577">
        <v>0.71022017000552329</v>
      </c>
      <c r="G231" s="577">
        <v>0.69513719876541846</v>
      </c>
    </row>
    <row r="232" spans="1:8" x14ac:dyDescent="0.25">
      <c r="A232" s="1619" t="s">
        <v>2716</v>
      </c>
      <c r="B232" s="577">
        <v>0.78244164446169184</v>
      </c>
      <c r="C232" s="577">
        <v>0.77248962444590996</v>
      </c>
      <c r="D232" s="577">
        <v>0.76138298233855761</v>
      </c>
      <c r="E232" s="577">
        <v>0.74924876838763743</v>
      </c>
      <c r="F232" s="577">
        <v>0.7353555817530556</v>
      </c>
      <c r="G232" s="577">
        <v>0.71886104184945065</v>
      </c>
    </row>
    <row r="233" spans="1:8" x14ac:dyDescent="0.25">
      <c r="A233" s="1619" t="s">
        <v>2717</v>
      </c>
      <c r="B233" s="577">
        <v>0.81037490953866143</v>
      </c>
      <c r="C233" s="577">
        <v>0.79945511863391916</v>
      </c>
      <c r="D233" s="577">
        <v>0.78741632563907571</v>
      </c>
      <c r="E233" s="577">
        <v>0.77438418013516985</v>
      </c>
      <c r="F233" s="577">
        <v>0.7590794248370879</v>
      </c>
      <c r="G233" s="577">
        <v>0.74125258794103388</v>
      </c>
    </row>
    <row r="234" spans="1:8" x14ac:dyDescent="0.25">
      <c r="A234" s="1619" t="s">
        <v>2718</v>
      </c>
      <c r="B234" s="577">
        <v>0.83734040372667051</v>
      </c>
      <c r="C234" s="577">
        <v>0.82548846193443692</v>
      </c>
      <c r="D234" s="577">
        <v>0.81255173738660791</v>
      </c>
      <c r="E234" s="577">
        <v>0.79810802321920193</v>
      </c>
      <c r="F234" s="577">
        <v>0.78147097092867124</v>
      </c>
      <c r="G234" s="577">
        <v>0.76238665692789864</v>
      </c>
    </row>
    <row r="235" spans="1:8" x14ac:dyDescent="0.25">
      <c r="A235" s="1619" t="s">
        <v>2719</v>
      </c>
      <c r="B235" s="577">
        <v>0.86337374702718861</v>
      </c>
      <c r="C235" s="577">
        <v>0.85062387368196934</v>
      </c>
      <c r="D235" s="577">
        <v>0.83627558047064043</v>
      </c>
      <c r="E235" s="577">
        <v>0.82049956931078527</v>
      </c>
      <c r="F235" s="577">
        <v>0.80260503991553578</v>
      </c>
      <c r="G235" s="577">
        <v>0.78233386692022011</v>
      </c>
    </row>
    <row r="236" spans="1:8" x14ac:dyDescent="0.25">
      <c r="A236" s="1622" t="s">
        <v>2720</v>
      </c>
      <c r="B236" s="577">
        <v>0.8885091587747207</v>
      </c>
      <c r="C236" s="577">
        <v>0.87434771676600165</v>
      </c>
      <c r="D236" s="577">
        <v>0.85866712656222344</v>
      </c>
      <c r="E236" s="577">
        <v>0.84163363829764992</v>
      </c>
      <c r="F236" s="577">
        <v>0.82255224990785736</v>
      </c>
      <c r="G236" s="577">
        <v>0.80116087021641791</v>
      </c>
      <c r="H236" s="577" t="s">
        <v>2721</v>
      </c>
    </row>
    <row r="237" spans="1:8" x14ac:dyDescent="0.25">
      <c r="A237" s="1619" t="s">
        <v>2722</v>
      </c>
      <c r="B237" s="577">
        <v>0.11412497863955105</v>
      </c>
      <c r="C237" s="577">
        <v>0.1152682919289137</v>
      </c>
      <c r="D237" s="577">
        <v>0.11741453862118954</v>
      </c>
      <c r="E237" s="577">
        <v>0.119678581510305</v>
      </c>
      <c r="F237" s="577">
        <v>0.12218334750756828</v>
      </c>
      <c r="G237" s="577">
        <v>0.12341314279445373</v>
      </c>
    </row>
    <row r="238" spans="1:8" x14ac:dyDescent="0.25">
      <c r="A238" s="1619" t="s">
        <v>2723</v>
      </c>
      <c r="B238" s="577">
        <v>0.15315357702166515</v>
      </c>
      <c r="C238" s="577">
        <v>0.15548667491655083</v>
      </c>
      <c r="D238" s="577">
        <v>0.15784613876174325</v>
      </c>
      <c r="E238" s="577">
        <v>0.16121194588968243</v>
      </c>
      <c r="F238" s="577">
        <v>0.16363152578209084</v>
      </c>
      <c r="G238" s="577">
        <v>0.16458796432916326</v>
      </c>
    </row>
    <row r="239" spans="1:8" x14ac:dyDescent="0.25">
      <c r="A239" s="1619" t="s">
        <v>2724</v>
      </c>
      <c r="B239" s="577">
        <v>0.19337196000930229</v>
      </c>
      <c r="C239" s="577">
        <v>0.19591827505710455</v>
      </c>
      <c r="D239" s="577">
        <v>0.19937950314112074</v>
      </c>
      <c r="E239" s="577">
        <v>0.20266012416420504</v>
      </c>
      <c r="F239" s="577">
        <v>0.20480634731680036</v>
      </c>
      <c r="G239" s="577">
        <v>0.20538549756659102</v>
      </c>
    </row>
    <row r="240" spans="1:8" x14ac:dyDescent="0.25">
      <c r="A240" s="1619" t="s">
        <v>2725</v>
      </c>
      <c r="B240" s="577">
        <v>0.23380356014985601</v>
      </c>
      <c r="C240" s="577">
        <v>0.23745163943648198</v>
      </c>
      <c r="D240" s="577">
        <v>0.24082768141564323</v>
      </c>
      <c r="E240" s="577">
        <v>0.24383494569891451</v>
      </c>
      <c r="F240" s="577">
        <v>0.24560388055422808</v>
      </c>
      <c r="G240" s="577">
        <v>0.24551812007802537</v>
      </c>
    </row>
    <row r="241" spans="1:7" x14ac:dyDescent="0.25">
      <c r="A241" s="1619" t="s">
        <v>2726</v>
      </c>
      <c r="B241" s="577">
        <v>0.27533692452923347</v>
      </c>
      <c r="C241" s="577">
        <v>0.27889981771100458</v>
      </c>
      <c r="D241" s="577">
        <v>0.28200250295035278</v>
      </c>
      <c r="E241" s="577">
        <v>0.28463247893634225</v>
      </c>
      <c r="F241" s="577">
        <v>0.28573650306566239</v>
      </c>
      <c r="G241" s="577">
        <v>0.28520741848695552</v>
      </c>
    </row>
    <row r="242" spans="1:7" x14ac:dyDescent="0.25">
      <c r="A242" s="1619" t="s">
        <v>2727</v>
      </c>
      <c r="B242" s="577">
        <v>0.31678510280375605</v>
      </c>
      <c r="C242" s="577">
        <v>0.32007463924571405</v>
      </c>
      <c r="D242" s="577">
        <v>0.32280003618778047</v>
      </c>
      <c r="E242" s="577">
        <v>0.32476510144777654</v>
      </c>
      <c r="F242" s="577">
        <v>0.3254258014745926</v>
      </c>
      <c r="G242" s="577">
        <v>0.32478643717660877</v>
      </c>
    </row>
    <row r="243" spans="1:7" x14ac:dyDescent="0.25">
      <c r="A243" s="1620" t="s">
        <v>2728</v>
      </c>
      <c r="B243" s="1621">
        <v>0.35795992433846552</v>
      </c>
      <c r="C243" s="1621">
        <v>0.36087217248314174</v>
      </c>
      <c r="D243" s="1621">
        <v>0.36293265869921482</v>
      </c>
      <c r="E243" s="1621">
        <v>0.36445439985670675</v>
      </c>
      <c r="F243" s="1621">
        <v>0.36500482016424585</v>
      </c>
      <c r="G243" s="1621">
        <v>0.36260542457134348</v>
      </c>
    </row>
    <row r="244" spans="1:7" x14ac:dyDescent="0.25">
      <c r="A244" s="1619" t="s">
        <v>2729</v>
      </c>
      <c r="B244" s="577">
        <v>7.576844372977809E-2</v>
      </c>
      <c r="C244" s="577">
        <v>7.8730095978199272E-2</v>
      </c>
      <c r="D244" s="577">
        <v>8.1394706267130079E-2</v>
      </c>
      <c r="E244" s="577">
        <v>8.8394991704787609E-2</v>
      </c>
      <c r="F244" s="577">
        <v>9.497452830336614E-2</v>
      </c>
      <c r="G244" s="577">
        <v>9.916725281861194E-2</v>
      </c>
    </row>
    <row r="245" spans="1:7" x14ac:dyDescent="0.25">
      <c r="A245" s="1619" t="s">
        <v>2730</v>
      </c>
      <c r="B245" s="577">
        <v>0.93567627915464513</v>
      </c>
      <c r="C245" s="577">
        <v>0.96229300722268374</v>
      </c>
      <c r="D245" s="577">
        <v>0.98352061150802861</v>
      </c>
      <c r="E245" s="577">
        <v>0.99958693538078425</v>
      </c>
      <c r="F245" s="577">
        <v>1.0041688488469895</v>
      </c>
      <c r="G245" s="577">
        <v>0.99763157703030902</v>
      </c>
    </row>
    <row r="246" spans="1:7" x14ac:dyDescent="0.25">
      <c r="A246" s="1619" t="s">
        <v>2731</v>
      </c>
      <c r="B246" s="577">
        <v>1.0380614509524619</v>
      </c>
      <c r="C246" s="577">
        <v>1.062250707486228</v>
      </c>
      <c r="D246" s="577">
        <v>1.0809816416479143</v>
      </c>
      <c r="E246" s="577">
        <v>1.0925638405517772</v>
      </c>
      <c r="F246" s="577">
        <v>1.0926061053336753</v>
      </c>
      <c r="G246" s="577">
        <v>1.0820599715315462</v>
      </c>
    </row>
    <row r="247" spans="1:7" x14ac:dyDescent="0.25">
      <c r="A247" s="1619" t="s">
        <v>2732</v>
      </c>
      <c r="B247" s="577">
        <v>1.1380191512160058</v>
      </c>
      <c r="C247" s="577">
        <v>1.1597117376261135</v>
      </c>
      <c r="D247" s="577">
        <v>1.1739585468189073</v>
      </c>
      <c r="E247" s="577">
        <v>1.1810010970384628</v>
      </c>
      <c r="F247" s="577">
        <v>1.1770344998349125</v>
      </c>
      <c r="G247" s="577">
        <v>1.162686035351127</v>
      </c>
    </row>
    <row r="248" spans="1:7" x14ac:dyDescent="0.25">
      <c r="A248" s="1619" t="s">
        <v>2733</v>
      </c>
      <c r="B248" s="577">
        <v>1.2354801813558915</v>
      </c>
      <c r="C248" s="577">
        <v>1.2526886427971062</v>
      </c>
      <c r="D248" s="577">
        <v>1.2623958033055929</v>
      </c>
      <c r="E248" s="577">
        <v>1.2654294915397</v>
      </c>
      <c r="F248" s="577">
        <v>1.2576605636544933</v>
      </c>
      <c r="G248" s="577">
        <v>1.2396871642607117</v>
      </c>
    </row>
    <row r="249" spans="1:7" x14ac:dyDescent="0.25">
      <c r="A249" s="1619" t="s">
        <v>2734</v>
      </c>
      <c r="B249" s="577">
        <v>1.3284570865268843</v>
      </c>
      <c r="C249" s="577">
        <v>1.3411258992837918</v>
      </c>
      <c r="D249" s="577">
        <v>1.3468241978068298</v>
      </c>
      <c r="E249" s="577">
        <v>1.346055555359281</v>
      </c>
      <c r="F249" s="577">
        <v>1.334661692564078</v>
      </c>
      <c r="G249" s="577">
        <v>1.313459005162168</v>
      </c>
    </row>
    <row r="250" spans="1:7" x14ac:dyDescent="0.25">
      <c r="A250" s="1619" t="s">
        <v>2735</v>
      </c>
      <c r="B250" s="577">
        <v>1.4168943430135703</v>
      </c>
      <c r="C250" s="577">
        <v>1.4255542937850292</v>
      </c>
      <c r="D250" s="577">
        <v>1.4274502616264111</v>
      </c>
      <c r="E250" s="577">
        <v>1.4230566842688654</v>
      </c>
      <c r="F250" s="577">
        <v>1.408433533465534</v>
      </c>
      <c r="G250" s="577">
        <v>1.3841439513716194</v>
      </c>
    </row>
    <row r="251" spans="1:7" x14ac:dyDescent="0.25">
      <c r="A251" s="1619" t="s">
        <v>2736</v>
      </c>
      <c r="B251" s="577">
        <v>1.5013227375148073</v>
      </c>
      <c r="C251" s="577">
        <v>1.5061803576046104</v>
      </c>
      <c r="D251" s="577">
        <v>1.5044513905359957</v>
      </c>
      <c r="E251" s="577">
        <v>1.4968285251703217</v>
      </c>
      <c r="F251" s="577">
        <v>1.4791184796749859</v>
      </c>
      <c r="G251" s="577">
        <v>1.4518778625601338</v>
      </c>
    </row>
    <row r="252" spans="1:7" x14ac:dyDescent="0.25">
      <c r="A252" s="1619" t="s">
        <v>2737</v>
      </c>
      <c r="B252" s="577">
        <v>1.5819488013343883</v>
      </c>
      <c r="C252" s="577">
        <v>1.5831814865141947</v>
      </c>
      <c r="D252" s="577">
        <v>1.5782232314374518</v>
      </c>
      <c r="E252" s="577">
        <v>1.5675134713797731</v>
      </c>
      <c r="F252" s="577">
        <v>1.5468523908635001</v>
      </c>
      <c r="G252" s="577">
        <v>1.5167903735214132</v>
      </c>
    </row>
    <row r="253" spans="1:7" x14ac:dyDescent="0.25">
      <c r="A253" s="1619" t="s">
        <v>2738</v>
      </c>
      <c r="B253" s="577">
        <v>1.658949930243973</v>
      </c>
      <c r="C253" s="577">
        <v>1.6569533274156509</v>
      </c>
      <c r="D253" s="577">
        <v>1.6489081776469035</v>
      </c>
      <c r="E253" s="577">
        <v>1.6352473825682876</v>
      </c>
      <c r="F253" s="577">
        <v>1.6117649018247793</v>
      </c>
      <c r="G253" s="577">
        <v>1.5790051880404785</v>
      </c>
    </row>
    <row r="254" spans="1:7" x14ac:dyDescent="0.25">
      <c r="A254" s="1619" t="s">
        <v>2739</v>
      </c>
      <c r="B254" s="577">
        <v>1.732721771145429</v>
      </c>
      <c r="C254" s="577">
        <v>1.7276382736251024</v>
      </c>
      <c r="D254" s="577">
        <v>1.7166420888354179</v>
      </c>
      <c r="E254" s="577">
        <v>1.7001598935295665</v>
      </c>
      <c r="F254" s="577">
        <v>1.6739797163438448</v>
      </c>
      <c r="G254" s="577">
        <v>1.6386403585926184</v>
      </c>
    </row>
    <row r="255" spans="1:7" x14ac:dyDescent="0.25">
      <c r="A255" s="1619" t="s">
        <v>2740</v>
      </c>
      <c r="B255" s="577">
        <v>0.15449853970797733</v>
      </c>
      <c r="C255" s="577">
        <v>0.1601248022453293</v>
      </c>
      <c r="D255" s="577">
        <v>0.16978969797191767</v>
      </c>
      <c r="E255" s="577">
        <v>0.18336952000815376</v>
      </c>
      <c r="F255" s="577">
        <v>0.19414178112197811</v>
      </c>
      <c r="G255" s="577">
        <v>0.20202365024765728</v>
      </c>
    </row>
    <row r="256" spans="1:7" x14ac:dyDescent="0.25">
      <c r="A256" s="1619" t="s">
        <v>2741</v>
      </c>
      <c r="B256" s="577">
        <v>1.8034067173548805</v>
      </c>
      <c r="C256" s="577">
        <v>1.795372184813617</v>
      </c>
      <c r="D256" s="577">
        <v>1.7815545997966968</v>
      </c>
      <c r="E256" s="577">
        <v>1.7623747080486323</v>
      </c>
      <c r="F256" s="577">
        <v>1.7336148868959846</v>
      </c>
      <c r="G256" s="577">
        <v>1.6958085525658135</v>
      </c>
    </row>
    <row r="257" spans="1:7" x14ac:dyDescent="0.25">
      <c r="A257" s="1619" t="s">
        <v>2742</v>
      </c>
      <c r="B257" s="577">
        <v>1.8711406285433951</v>
      </c>
      <c r="C257" s="577">
        <v>1.8602846957748964</v>
      </c>
      <c r="D257" s="577">
        <v>1.8437694143157621</v>
      </c>
      <c r="E257" s="577">
        <v>1.8220098786007719</v>
      </c>
      <c r="F257" s="577">
        <v>1.7907830808691798</v>
      </c>
      <c r="G257" s="577">
        <v>1.7497662627811938</v>
      </c>
    </row>
    <row r="258" spans="1:7" x14ac:dyDescent="0.25">
      <c r="A258" s="1619" t="s">
        <v>2743</v>
      </c>
      <c r="B258" s="577">
        <v>1.9360531395046743</v>
      </c>
      <c r="C258" s="577">
        <v>1.9224995102939615</v>
      </c>
      <c r="D258" s="577">
        <v>1.9034045848679022</v>
      </c>
      <c r="E258" s="577">
        <v>1.8791780725739675</v>
      </c>
      <c r="F258" s="577">
        <v>1.8447407910845599</v>
      </c>
      <c r="G258" s="577">
        <v>1.8006937854007128</v>
      </c>
    </row>
    <row r="259" spans="1:7" x14ac:dyDescent="0.25">
      <c r="A259" s="1619" t="s">
        <v>2744</v>
      </c>
      <c r="B259" s="577">
        <v>1.9982679540237398</v>
      </c>
      <c r="C259" s="577">
        <v>1.9821346808461016</v>
      </c>
      <c r="D259" s="577">
        <v>1.9605727788410976</v>
      </c>
      <c r="E259" s="577">
        <v>1.9331357827893476</v>
      </c>
      <c r="F259" s="577">
        <v>1.8956683137040791</v>
      </c>
      <c r="G259" s="577">
        <v>1.8487612914125287</v>
      </c>
    </row>
    <row r="260" spans="1:7" x14ac:dyDescent="0.25">
      <c r="A260" s="1619" t="s">
        <v>2745</v>
      </c>
      <c r="B260" s="577">
        <v>2.0579031245758794</v>
      </c>
      <c r="C260" s="577">
        <v>2.0393028748192963</v>
      </c>
      <c r="D260" s="577">
        <v>2.0145304890564777</v>
      </c>
      <c r="E260" s="577">
        <v>1.9840633054088663</v>
      </c>
      <c r="F260" s="577">
        <v>1.9437358197158947</v>
      </c>
      <c r="G260" s="577">
        <v>1.8941293952462388</v>
      </c>
    </row>
    <row r="261" spans="1:7" x14ac:dyDescent="0.25">
      <c r="A261" s="1619" t="s">
        <v>2746</v>
      </c>
      <c r="B261" s="577">
        <v>2.1150713185490746</v>
      </c>
      <c r="C261" s="577">
        <v>2.093260585034677</v>
      </c>
      <c r="D261" s="577">
        <v>2.0654580116759966</v>
      </c>
      <c r="E261" s="577">
        <v>2.0321308114206822</v>
      </c>
      <c r="F261" s="577">
        <v>1.9891039235496049</v>
      </c>
      <c r="G261" s="577">
        <v>1.9369496914554978</v>
      </c>
    </row>
    <row r="262" spans="1:7" x14ac:dyDescent="0.25">
      <c r="A262" s="1619" t="s">
        <v>2747</v>
      </c>
      <c r="B262" s="577">
        <v>2.1690290287644549</v>
      </c>
      <c r="C262" s="577">
        <v>2.144188107654196</v>
      </c>
      <c r="D262" s="577">
        <v>2.1135255176878123</v>
      </c>
      <c r="E262" s="577">
        <v>2.0774989152543926</v>
      </c>
      <c r="F262" s="577">
        <v>2.0319242197588636</v>
      </c>
      <c r="G262" s="577">
        <v>1.9773652612613111</v>
      </c>
    </row>
    <row r="263" spans="1:7" x14ac:dyDescent="0.25">
      <c r="A263" s="1619" t="s">
        <v>2748</v>
      </c>
      <c r="B263" s="577">
        <v>2.2199565513839739</v>
      </c>
      <c r="C263" s="577">
        <v>2.1922556136660116</v>
      </c>
      <c r="D263" s="577">
        <v>2.1588936215215226</v>
      </c>
      <c r="E263" s="577">
        <v>2.1203192114636518</v>
      </c>
      <c r="F263" s="577">
        <v>2.0723397895646771</v>
      </c>
      <c r="G263" s="577">
        <v>2.0155111506485817</v>
      </c>
    </row>
    <row r="264" spans="1:7" x14ac:dyDescent="0.25">
      <c r="A264" s="1619" t="s">
        <v>2749</v>
      </c>
      <c r="B264" s="577">
        <v>2.2680240573957895</v>
      </c>
      <c r="C264" s="577">
        <v>2.2376237174997216</v>
      </c>
      <c r="D264" s="577">
        <v>2.2017139177307818</v>
      </c>
      <c r="E264" s="577">
        <v>2.1607347812694648</v>
      </c>
      <c r="F264" s="577">
        <v>2.1104856789519477</v>
      </c>
      <c r="G264" s="577">
        <v>2.0515148216134431</v>
      </c>
    </row>
    <row r="265" spans="1:7" x14ac:dyDescent="0.25">
      <c r="A265" s="1619" t="s">
        <v>2750</v>
      </c>
      <c r="B265" s="577">
        <v>2.3133921612294994</v>
      </c>
      <c r="C265" s="577">
        <v>2.2804440137089808</v>
      </c>
      <c r="D265" s="577">
        <v>2.2421294875365949</v>
      </c>
      <c r="E265" s="577">
        <v>2.1988806706567354</v>
      </c>
      <c r="F265" s="577">
        <v>2.1464893499168092</v>
      </c>
      <c r="G265" s="577">
        <v>2.0854965780691876</v>
      </c>
    </row>
    <row r="266" spans="1:7" x14ac:dyDescent="0.25">
      <c r="A266" s="1619" t="s">
        <v>2751</v>
      </c>
      <c r="B266" s="577">
        <v>0.23589324597510736</v>
      </c>
      <c r="C266" s="577">
        <v>0.24851979395011686</v>
      </c>
      <c r="D266" s="577">
        <v>0.26476422627528384</v>
      </c>
      <c r="E266" s="577">
        <v>0.2825367728267657</v>
      </c>
      <c r="F266" s="577">
        <v>0.29699817855102345</v>
      </c>
      <c r="G266" s="577">
        <v>0.3068091220162622</v>
      </c>
    </row>
    <row r="267" spans="1:7" x14ac:dyDescent="0.25">
      <c r="A267" s="1619" t="s">
        <v>2752</v>
      </c>
      <c r="B267" s="577">
        <v>2.3562124574387582</v>
      </c>
      <c r="C267" s="577">
        <v>2.3208595835147943</v>
      </c>
      <c r="D267" s="577">
        <v>2.2802753769238655</v>
      </c>
      <c r="E267" s="577">
        <v>2.2348843416215969</v>
      </c>
      <c r="F267" s="577">
        <v>2.1804711063725541</v>
      </c>
      <c r="G267" s="577">
        <v>2.1175699678339299</v>
      </c>
    </row>
    <row r="268" spans="1:7" x14ac:dyDescent="0.25">
      <c r="A268" s="1619" t="s">
        <v>2753</v>
      </c>
      <c r="B268" s="577">
        <v>0.32428823767989495</v>
      </c>
      <c r="C268" s="577">
        <v>0.34349432225348292</v>
      </c>
      <c r="D268" s="577">
        <v>0.36393147909389578</v>
      </c>
      <c r="E268" s="577">
        <v>0.38539317025581105</v>
      </c>
      <c r="F268" s="577">
        <v>0.40178365031962837</v>
      </c>
      <c r="G268" s="577">
        <v>0.41201687028616152</v>
      </c>
    </row>
    <row r="269" spans="1:7" x14ac:dyDescent="0.25">
      <c r="A269" s="1619" t="s">
        <v>2754</v>
      </c>
      <c r="B269" s="577">
        <v>0.41926276598326107</v>
      </c>
      <c r="C269" s="577">
        <v>0.44266157507209475</v>
      </c>
      <c r="D269" s="577">
        <v>0.46678787652294118</v>
      </c>
      <c r="E269" s="577">
        <v>0.49017864202441591</v>
      </c>
      <c r="F269" s="577">
        <v>0.50699139858952769</v>
      </c>
      <c r="G269" s="577">
        <v>0.51641351317138429</v>
      </c>
    </row>
    <row r="270" spans="1:7" x14ac:dyDescent="0.25">
      <c r="A270" s="1619" t="s">
        <v>2755</v>
      </c>
      <c r="B270" s="577">
        <v>0.51843001880187289</v>
      </c>
      <c r="C270" s="577">
        <v>0.54551797250114009</v>
      </c>
      <c r="D270" s="577">
        <v>0.57157334829154605</v>
      </c>
      <c r="E270" s="577">
        <v>0.59538639029431528</v>
      </c>
      <c r="F270" s="577">
        <v>0.61138804147475023</v>
      </c>
      <c r="G270" s="577">
        <v>0.61879868496920065</v>
      </c>
    </row>
    <row r="271" spans="1:7" x14ac:dyDescent="0.25">
      <c r="A271" s="1619" t="s">
        <v>2756</v>
      </c>
      <c r="B271" s="577">
        <v>0.62128641623091818</v>
      </c>
      <c r="C271" s="577">
        <v>0.65030344426974507</v>
      </c>
      <c r="D271" s="577">
        <v>0.67678109656144536</v>
      </c>
      <c r="E271" s="577">
        <v>0.69978303317953794</v>
      </c>
      <c r="F271" s="577">
        <v>0.71377321327256671</v>
      </c>
      <c r="G271" s="577">
        <v>0.71875638523274488</v>
      </c>
    </row>
    <row r="272" spans="1:7" x14ac:dyDescent="0.25">
      <c r="A272" s="1619" t="s">
        <v>2757</v>
      </c>
      <c r="B272" s="577">
        <v>0.72607188799952316</v>
      </c>
      <c r="C272" s="577">
        <v>0.75551119253964449</v>
      </c>
      <c r="D272" s="577">
        <v>0.78117773944666802</v>
      </c>
      <c r="E272" s="577">
        <v>0.80216820497735442</v>
      </c>
      <c r="F272" s="577">
        <v>0.81373091353611104</v>
      </c>
      <c r="G272" s="577">
        <v>0.81621741537263048</v>
      </c>
    </row>
    <row r="273" spans="1:8" x14ac:dyDescent="0.25">
      <c r="A273" s="1619" t="s">
        <v>2758</v>
      </c>
      <c r="B273" s="577">
        <v>0.83127963626942269</v>
      </c>
      <c r="C273" s="577">
        <v>0.85990783542486715</v>
      </c>
      <c r="D273" s="577">
        <v>0.88356291124448449</v>
      </c>
      <c r="E273" s="577">
        <v>0.90212590524089853</v>
      </c>
      <c r="F273" s="577">
        <v>0.91119194367599665</v>
      </c>
      <c r="G273" s="577">
        <v>0.90919432054362337</v>
      </c>
    </row>
    <row r="274" spans="1:8" x14ac:dyDescent="0.25">
      <c r="A274" s="1619" t="s">
        <v>2759</v>
      </c>
      <c r="B274" s="577">
        <v>8.1093085955725827E-2</v>
      </c>
      <c r="C274" s="577">
        <v>8.4176020041897531E-2</v>
      </c>
      <c r="D274" s="577">
        <v>8.6944869452387677E-2</v>
      </c>
      <c r="E274" s="577">
        <v>9.4259969511387903E-2</v>
      </c>
      <c r="F274" s="577">
        <v>0.10116093620877811</v>
      </c>
      <c r="G274" s="577">
        <v>0.1055219126631208</v>
      </c>
    </row>
    <row r="275" spans="1:8" x14ac:dyDescent="0.25">
      <c r="A275" s="1619" t="s">
        <v>2760</v>
      </c>
      <c r="B275" s="577">
        <v>0.99679383169168057</v>
      </c>
      <c r="C275" s="577">
        <v>1.0245386616514565</v>
      </c>
      <c r="D275" s="577">
        <v>1.0466542039767455</v>
      </c>
      <c r="E275" s="577">
        <v>1.0634051565465423</v>
      </c>
      <c r="F275" s="577">
        <v>1.0680741174237278</v>
      </c>
      <c r="G275" s="577">
        <v>1.0610179860153881</v>
      </c>
    </row>
    <row r="276" spans="1:8" x14ac:dyDescent="0.25">
      <c r="A276" s="1619" t="s">
        <v>2761</v>
      </c>
      <c r="B276" s="577">
        <v>1.1056317476071822</v>
      </c>
      <c r="C276" s="577">
        <v>1.1308302240186432</v>
      </c>
      <c r="D276" s="577">
        <v>1.1503500259989301</v>
      </c>
      <c r="E276" s="577">
        <v>1.162334086935116</v>
      </c>
      <c r="F276" s="577">
        <v>1.1621789222241665</v>
      </c>
      <c r="G276" s="577">
        <v>1.1508782487149734</v>
      </c>
    </row>
    <row r="277" spans="1:8" x14ac:dyDescent="0.25">
      <c r="A277" s="1619" t="s">
        <v>2762</v>
      </c>
      <c r="B277" s="577">
        <v>1.2119233099743689</v>
      </c>
      <c r="C277" s="577">
        <v>1.2345260460408276</v>
      </c>
      <c r="D277" s="577">
        <v>1.2492789563875035</v>
      </c>
      <c r="E277" s="577">
        <v>1.2564388917355542</v>
      </c>
      <c r="F277" s="577">
        <v>1.2520391849237515</v>
      </c>
      <c r="G277" s="577">
        <v>1.2367115984390566</v>
      </c>
    </row>
    <row r="278" spans="1:8" x14ac:dyDescent="0.25">
      <c r="A278" s="1619" t="s">
        <v>2763</v>
      </c>
      <c r="B278" s="577">
        <v>1.3156191319965536</v>
      </c>
      <c r="C278" s="577">
        <v>1.3334549764294008</v>
      </c>
      <c r="D278" s="577">
        <v>1.3433837611879418</v>
      </c>
      <c r="E278" s="577">
        <v>1.3462991544351395</v>
      </c>
      <c r="F278" s="577">
        <v>1.3378725346478348</v>
      </c>
      <c r="G278" s="577">
        <v>1.3187004380409586</v>
      </c>
    </row>
    <row r="279" spans="1:8" x14ac:dyDescent="0.25">
      <c r="A279" s="1619" t="s">
        <v>2764</v>
      </c>
      <c r="B279" s="577">
        <v>1.4145480623851268</v>
      </c>
      <c r="C279" s="577">
        <v>1.4275597812298395</v>
      </c>
      <c r="D279" s="577">
        <v>1.433244023887527</v>
      </c>
      <c r="E279" s="577">
        <v>1.4321325041592228</v>
      </c>
      <c r="F279" s="577">
        <v>1.4198613742497368</v>
      </c>
      <c r="G279" s="577">
        <v>1.3972658810669263</v>
      </c>
    </row>
    <row r="280" spans="1:8" x14ac:dyDescent="0.25">
      <c r="A280" s="1619" t="s">
        <v>2765</v>
      </c>
      <c r="B280" s="577">
        <v>1.5086528671855652</v>
      </c>
      <c r="C280" s="577">
        <v>1.5174200439294245</v>
      </c>
      <c r="D280" s="577">
        <v>1.5190773736116105</v>
      </c>
      <c r="E280" s="577">
        <v>1.5141213437611247</v>
      </c>
      <c r="F280" s="577">
        <v>1.4984268172757043</v>
      </c>
      <c r="G280" s="577">
        <v>1.4725583588912452</v>
      </c>
    </row>
    <row r="281" spans="1:8" x14ac:dyDescent="0.25">
      <c r="A281" s="1619" t="s">
        <v>2766</v>
      </c>
      <c r="B281" s="577">
        <v>1.5985131298851507</v>
      </c>
      <c r="C281" s="577">
        <v>1.6032533936535081</v>
      </c>
      <c r="D281" s="577">
        <v>1.6010662132135123</v>
      </c>
      <c r="E281" s="577">
        <v>1.5926867867870924</v>
      </c>
      <c r="F281" s="577">
        <v>1.5737192951000234</v>
      </c>
      <c r="G281" s="577">
        <v>1.5447214176618578</v>
      </c>
    </row>
    <row r="282" spans="1:8" x14ac:dyDescent="0.25">
      <c r="A282" s="1619" t="s">
        <v>2767</v>
      </c>
      <c r="B282" s="577">
        <v>1.6843464796092338</v>
      </c>
      <c r="C282" s="577">
        <v>1.6852422332554098</v>
      </c>
      <c r="D282" s="577">
        <v>1.6796316562394802</v>
      </c>
      <c r="E282" s="577">
        <v>1.6679792646114113</v>
      </c>
      <c r="F282" s="577">
        <v>1.6458823538706358</v>
      </c>
      <c r="G282" s="577">
        <v>1.6138920431323149</v>
      </c>
    </row>
    <row r="283" spans="1:8" x14ac:dyDescent="0.25">
      <c r="A283" s="1619" t="s">
        <v>2768</v>
      </c>
      <c r="B283" s="577">
        <v>1.7663353192111355</v>
      </c>
      <c r="C283" s="577">
        <v>1.7638076762813775</v>
      </c>
      <c r="D283" s="577">
        <v>1.7549241340637989</v>
      </c>
      <c r="E283" s="577">
        <v>1.7401423233820239</v>
      </c>
      <c r="F283" s="577">
        <v>1.7150529793410931</v>
      </c>
      <c r="G283" s="577">
        <v>1.6802009698367157</v>
      </c>
    </row>
    <row r="284" spans="1:8" x14ac:dyDescent="0.25">
      <c r="A284" s="1622" t="s">
        <v>2769</v>
      </c>
      <c r="B284" s="468">
        <v>1.8449007622371034</v>
      </c>
      <c r="C284" s="468">
        <v>1.8391001541056962</v>
      </c>
      <c r="D284" s="468">
        <v>1.8270871928344115</v>
      </c>
      <c r="E284" s="468">
        <v>1.8093129488524808</v>
      </c>
      <c r="F284" s="468">
        <v>1.7813619060454939</v>
      </c>
      <c r="G284" s="468">
        <v>1.7437729753734845</v>
      </c>
      <c r="H284" s="577" t="s">
        <v>2721</v>
      </c>
    </row>
    <row r="285" spans="1:8" x14ac:dyDescent="0.25">
      <c r="A285" s="1622" t="s">
        <v>2770</v>
      </c>
      <c r="B285" s="468">
        <v>0.16526910599762337</v>
      </c>
      <c r="C285" s="468">
        <v>0.17112088949428522</v>
      </c>
      <c r="D285" s="468">
        <v>0.18120483896377559</v>
      </c>
      <c r="E285" s="468">
        <v>0.19542090572016602</v>
      </c>
      <c r="F285" s="468">
        <v>0.20668284887189892</v>
      </c>
      <c r="G285" s="468">
        <v>0.21494236772055608</v>
      </c>
    </row>
    <row r="286" spans="1:8" x14ac:dyDescent="0.25">
      <c r="A286" s="1620" t="s">
        <v>2771</v>
      </c>
      <c r="B286" s="468">
        <v>1.9201932400614221</v>
      </c>
      <c r="C286" s="468">
        <v>1.911263212876309</v>
      </c>
      <c r="D286" s="468">
        <v>1.8962578183048684</v>
      </c>
      <c r="E286" s="468">
        <v>1.8756218755568814</v>
      </c>
      <c r="F286" s="468">
        <v>1.8449339115822627</v>
      </c>
      <c r="G286" s="468">
        <v>1.8047271605259847</v>
      </c>
    </row>
    <row r="287" spans="1:8" x14ac:dyDescent="0.25">
      <c r="A287" s="1622" t="s">
        <v>2772</v>
      </c>
      <c r="B287" s="577">
        <v>1.9923562988320351</v>
      </c>
      <c r="C287" s="577">
        <v>1.9804338383467663</v>
      </c>
      <c r="D287" s="577">
        <v>1.9625667450092694</v>
      </c>
      <c r="E287" s="577">
        <v>1.9391938810936504</v>
      </c>
      <c r="F287" s="577">
        <v>1.9058880967347627</v>
      </c>
      <c r="G287" s="577">
        <v>1.8622582460875707</v>
      </c>
    </row>
    <row r="288" spans="1:8" x14ac:dyDescent="0.25">
      <c r="A288" s="1622" t="s">
        <v>2773</v>
      </c>
      <c r="B288" s="577">
        <v>2.0615269243024921</v>
      </c>
      <c r="C288" s="577">
        <v>2.0467427650511669</v>
      </c>
      <c r="D288" s="577">
        <v>2.0261387505460378</v>
      </c>
      <c r="E288" s="577">
        <v>2.0001480662461506</v>
      </c>
      <c r="F288" s="577">
        <v>1.9634191822963487</v>
      </c>
      <c r="G288" s="577">
        <v>1.916558468420356</v>
      </c>
    </row>
    <row r="289" spans="1:7" x14ac:dyDescent="0.25">
      <c r="A289" s="1619" t="s">
        <v>2774</v>
      </c>
      <c r="B289" s="577">
        <v>2.1278358510068931</v>
      </c>
      <c r="C289" s="577">
        <v>2.1103147705879359</v>
      </c>
      <c r="D289" s="577">
        <v>2.0870929356985379</v>
      </c>
      <c r="E289" s="577">
        <v>2.0576791518077369</v>
      </c>
      <c r="F289" s="577">
        <v>2.0177194046291342</v>
      </c>
      <c r="G289" s="577">
        <v>1.9678092681681478</v>
      </c>
    </row>
    <row r="290" spans="1:7" x14ac:dyDescent="0.25">
      <c r="A290" s="1619" t="s">
        <v>2775</v>
      </c>
      <c r="B290" s="577">
        <v>2.1914078565436617</v>
      </c>
      <c r="C290" s="577">
        <v>2.1712689557404357</v>
      </c>
      <c r="D290" s="577">
        <v>2.1446240212601246</v>
      </c>
      <c r="E290" s="577">
        <v>2.1119793741405219</v>
      </c>
      <c r="F290" s="577">
        <v>2.0689702043769258</v>
      </c>
      <c r="G290" s="577">
        <v>2.0161818965284986</v>
      </c>
    </row>
    <row r="291" spans="1:7" x14ac:dyDescent="0.25">
      <c r="A291" s="1619" t="s">
        <v>2776</v>
      </c>
      <c r="B291" s="577">
        <v>2.2523620416961618</v>
      </c>
      <c r="C291" s="577">
        <v>2.2288000413020219</v>
      </c>
      <c r="D291" s="577">
        <v>2.1989242435929097</v>
      </c>
      <c r="E291" s="577">
        <v>2.1632301738883135</v>
      </c>
      <c r="F291" s="577">
        <v>2.1173428327372767</v>
      </c>
      <c r="G291" s="577">
        <v>2.0618379874773907</v>
      </c>
    </row>
    <row r="292" spans="1:7" x14ac:dyDescent="0.25">
      <c r="A292" s="1619" t="s">
        <v>2777</v>
      </c>
      <c r="B292" s="577">
        <v>0.25221397545001101</v>
      </c>
      <c r="C292" s="577">
        <v>0.2653808590056731</v>
      </c>
      <c r="D292" s="577">
        <v>0.28236577517255373</v>
      </c>
      <c r="E292" s="577">
        <v>0.30094281838328679</v>
      </c>
      <c r="F292" s="577">
        <v>0.31610330392933417</v>
      </c>
      <c r="G292" s="577">
        <v>0.32635700843931365</v>
      </c>
    </row>
    <row r="293" spans="1:7" x14ac:dyDescent="0.25">
      <c r="A293" s="1619" t="s">
        <v>2778</v>
      </c>
      <c r="B293" s="577">
        <v>0.34647394496139894</v>
      </c>
      <c r="C293" s="577">
        <v>0.36654179521445124</v>
      </c>
      <c r="D293" s="577">
        <v>0.38788768783567457</v>
      </c>
      <c r="E293" s="577">
        <v>0.4103632734407221</v>
      </c>
      <c r="F293" s="577">
        <v>0.42751794464809179</v>
      </c>
      <c r="G293" s="577">
        <v>0.43819108359301318</v>
      </c>
    </row>
    <row r="294" spans="1:7" x14ac:dyDescent="0.25">
      <c r="A294" s="1619" t="s">
        <v>2779</v>
      </c>
      <c r="B294" s="577">
        <v>0.44763488117017702</v>
      </c>
      <c r="C294" s="577">
        <v>0.47206370787757213</v>
      </c>
      <c r="D294" s="577">
        <v>0.49730814289310982</v>
      </c>
      <c r="E294" s="577">
        <v>0.52177791415947983</v>
      </c>
      <c r="F294" s="577">
        <v>0.53935201980179137</v>
      </c>
      <c r="G294" s="577">
        <v>0.54915895052150332</v>
      </c>
    </row>
    <row r="295" spans="1:7" x14ac:dyDescent="0.25">
      <c r="A295" s="1619" t="s">
        <v>2780</v>
      </c>
      <c r="B295" s="577">
        <v>0.55315679383329786</v>
      </c>
      <c r="C295" s="577">
        <v>0.58148416293500738</v>
      </c>
      <c r="D295" s="577">
        <v>0.60872278361186738</v>
      </c>
      <c r="E295" s="577">
        <v>0.63361198931317941</v>
      </c>
      <c r="F295" s="577">
        <v>0.65031988673028129</v>
      </c>
      <c r="G295" s="577">
        <v>0.65799686643700528</v>
      </c>
    </row>
    <row r="296" spans="1:7" x14ac:dyDescent="0.25">
      <c r="A296" s="1619" t="s">
        <v>2781</v>
      </c>
      <c r="B296" s="577">
        <v>0.66257724889073311</v>
      </c>
      <c r="C296" s="577">
        <v>0.69289880365376488</v>
      </c>
      <c r="D296" s="577">
        <v>0.72055685876556685</v>
      </c>
      <c r="E296" s="577">
        <v>0.74457985624166934</v>
      </c>
      <c r="F296" s="577">
        <v>0.75915780264578336</v>
      </c>
      <c r="G296" s="577">
        <v>0.76428842880419179</v>
      </c>
    </row>
    <row r="297" spans="1:7" x14ac:dyDescent="0.25">
      <c r="A297" s="1619" t="s">
        <v>2782</v>
      </c>
      <c r="B297" s="577">
        <v>0.77399188960949084</v>
      </c>
      <c r="C297" s="577">
        <v>0.80473287880746436</v>
      </c>
      <c r="D297" s="577">
        <v>0.831524725694057</v>
      </c>
      <c r="E297" s="577">
        <v>0.85341777215717118</v>
      </c>
      <c r="F297" s="577">
        <v>0.86544936501296987</v>
      </c>
      <c r="G297" s="577">
        <v>0.86798425082637642</v>
      </c>
    </row>
    <row r="298" spans="1:7" x14ac:dyDescent="0.25">
      <c r="A298" s="1619" t="s">
        <v>2783</v>
      </c>
      <c r="B298" s="577">
        <v>0.88582596476319042</v>
      </c>
      <c r="C298" s="577">
        <v>0.9157007457359545</v>
      </c>
      <c r="D298" s="577">
        <v>0.94036264160955885</v>
      </c>
      <c r="E298" s="577">
        <v>0.9597093345243578</v>
      </c>
      <c r="F298" s="577">
        <v>0.96914518703515451</v>
      </c>
      <c r="G298" s="577">
        <v>0.96691318121494974</v>
      </c>
    </row>
    <row r="299" spans="1:7" x14ac:dyDescent="0.25">
      <c r="A299" s="1619" t="s">
        <v>2784</v>
      </c>
      <c r="B299" s="577">
        <v>1.213178525377838</v>
      </c>
      <c r="C299" s="577">
        <v>1.1823235133463703</v>
      </c>
      <c r="D299" s="577">
        <v>1.1462013504519315</v>
      </c>
      <c r="E299" s="577">
        <v>1.1065303340688444</v>
      </c>
      <c r="F299" s="577">
        <v>1.0647330926108114</v>
      </c>
      <c r="G299" s="577">
        <v>1.0222041033997105</v>
      </c>
    </row>
    <row r="300" spans="1:7" x14ac:dyDescent="0.25">
      <c r="A300" s="1619" t="s">
        <v>2785</v>
      </c>
      <c r="B300" s="577">
        <v>3.4458099003643931E-2</v>
      </c>
      <c r="C300" s="577">
        <v>3.4364822096079328E-2</v>
      </c>
      <c r="D300" s="577">
        <v>3.4200000004807309E-2</v>
      </c>
      <c r="E300" s="577">
        <v>3.4446290967585627E-2</v>
      </c>
      <c r="F300" s="577">
        <v>3.5101253573201846E-2</v>
      </c>
      <c r="G300" s="577">
        <v>3.4912106662713001E-2</v>
      </c>
    </row>
    <row r="301" spans="1:7" x14ac:dyDescent="0.25">
      <c r="A301" s="1619" t="s">
        <v>2786</v>
      </c>
      <c r="B301" s="577">
        <v>0.34863011618912554</v>
      </c>
      <c r="C301" s="577">
        <v>0.34842407608228865</v>
      </c>
      <c r="D301" s="577">
        <v>0.34806481472394191</v>
      </c>
      <c r="E301" s="577">
        <v>0.34800157898010498</v>
      </c>
      <c r="F301" s="577">
        <v>0.34618930348356497</v>
      </c>
      <c r="G301" s="577">
        <v>0.34223040957906609</v>
      </c>
    </row>
    <row r="302" spans="1:7" x14ac:dyDescent="0.25">
      <c r="A302" s="1619" t="s">
        <v>2787</v>
      </c>
      <c r="B302" s="577">
        <v>0.3828821750859327</v>
      </c>
      <c r="C302" s="577">
        <v>0.38242963682002129</v>
      </c>
      <c r="D302" s="577">
        <v>0.38220157898491236</v>
      </c>
      <c r="E302" s="577">
        <v>0.38063559445115053</v>
      </c>
      <c r="F302" s="577">
        <v>0.37733166315226796</v>
      </c>
      <c r="G302" s="577">
        <v>0.372313133552655</v>
      </c>
    </row>
    <row r="303" spans="1:7" x14ac:dyDescent="0.25">
      <c r="A303" s="1619" t="s">
        <v>2788</v>
      </c>
      <c r="B303" s="577">
        <v>0.41688773582366528</v>
      </c>
      <c r="C303" s="577">
        <v>0.41656640108099174</v>
      </c>
      <c r="D303" s="577">
        <v>0.41483559445595791</v>
      </c>
      <c r="E303" s="577">
        <v>0.41177795411985363</v>
      </c>
      <c r="F303" s="577">
        <v>0.40741438712585676</v>
      </c>
      <c r="G303" s="577">
        <v>0.40137349881113132</v>
      </c>
    </row>
    <row r="304" spans="1:7" x14ac:dyDescent="0.25">
      <c r="A304" s="1619" t="s">
        <v>2789</v>
      </c>
      <c r="B304" s="577">
        <v>0.45102450008463563</v>
      </c>
      <c r="C304" s="577">
        <v>0.44920041655203713</v>
      </c>
      <c r="D304" s="577">
        <v>0.44597795412466085</v>
      </c>
      <c r="E304" s="577">
        <v>0.44186067809344232</v>
      </c>
      <c r="F304" s="577">
        <v>0.43647475238433314</v>
      </c>
      <c r="G304" s="577">
        <v>0.4293684845811977</v>
      </c>
    </row>
    <row r="305" spans="1:7" x14ac:dyDescent="0.25">
      <c r="A305" s="1619" t="s">
        <v>2790</v>
      </c>
      <c r="B305" s="577">
        <v>0.48365851555568123</v>
      </c>
      <c r="C305" s="577">
        <v>0.48034277622074023</v>
      </c>
      <c r="D305" s="577">
        <v>0.47606067809824965</v>
      </c>
      <c r="E305" s="577">
        <v>0.47092104335191876</v>
      </c>
      <c r="F305" s="577">
        <v>0.4644697381543994</v>
      </c>
      <c r="G305" s="577">
        <v>0.45643926161426579</v>
      </c>
    </row>
    <row r="306" spans="1:7" x14ac:dyDescent="0.25">
      <c r="A306" s="1619" t="s">
        <v>2791</v>
      </c>
      <c r="B306" s="577">
        <v>0.51480087522438422</v>
      </c>
      <c r="C306" s="577">
        <v>0.51042550019432897</v>
      </c>
      <c r="D306" s="577">
        <v>0.50512104335672603</v>
      </c>
      <c r="E306" s="577">
        <v>0.49891602912198524</v>
      </c>
      <c r="F306" s="577">
        <v>0.49154051518746772</v>
      </c>
      <c r="G306" s="577">
        <v>0.48261794222728632</v>
      </c>
    </row>
    <row r="307" spans="1:7" x14ac:dyDescent="0.25">
      <c r="A307" s="1619" t="s">
        <v>2792</v>
      </c>
      <c r="B307" s="577">
        <v>0.54488359919797291</v>
      </c>
      <c r="C307" s="577">
        <v>0.53948586545280541</v>
      </c>
      <c r="D307" s="577">
        <v>0.53311602912679246</v>
      </c>
      <c r="E307" s="577">
        <v>0.52598680615505311</v>
      </c>
      <c r="F307" s="577">
        <v>0.51771919580048809</v>
      </c>
      <c r="G307" s="577">
        <v>0.50793545117978722</v>
      </c>
    </row>
    <row r="308" spans="1:7" x14ac:dyDescent="0.25">
      <c r="A308" s="1619" t="s">
        <v>2793</v>
      </c>
      <c r="B308" s="577">
        <v>0.57394396445644924</v>
      </c>
      <c r="C308" s="577">
        <v>0.56748085122287195</v>
      </c>
      <c r="D308" s="577">
        <v>0.56018680615986061</v>
      </c>
      <c r="E308" s="577">
        <v>0.55216548676807375</v>
      </c>
      <c r="F308" s="577">
        <v>0.54303670475298915</v>
      </c>
      <c r="G308" s="577">
        <v>0.53242157266178769</v>
      </c>
    </row>
    <row r="309" spans="1:7" x14ac:dyDescent="0.25">
      <c r="A309" s="1619" t="s">
        <v>2794</v>
      </c>
      <c r="B309" s="577">
        <v>0.60193895022651567</v>
      </c>
      <c r="C309" s="577">
        <v>0.59455162825593999</v>
      </c>
      <c r="D309" s="577">
        <v>0.58636548677288114</v>
      </c>
      <c r="E309" s="577">
        <v>0.57748299572057471</v>
      </c>
      <c r="F309" s="577">
        <v>0.56752282623498973</v>
      </c>
      <c r="G309" s="577">
        <v>0.55610499529872426</v>
      </c>
    </row>
    <row r="310" spans="1:7" x14ac:dyDescent="0.25">
      <c r="A310" s="1619" t="s">
        <v>2795</v>
      </c>
      <c r="B310" s="577">
        <v>0.62900972725958393</v>
      </c>
      <c r="C310" s="577">
        <v>0.62073030886896041</v>
      </c>
      <c r="D310" s="577">
        <v>0.61168299572538232</v>
      </c>
      <c r="E310" s="577">
        <v>0.60196911720257529</v>
      </c>
      <c r="F310" s="577">
        <v>0.59120624887192608</v>
      </c>
      <c r="G310" s="577">
        <v>0.57901335526176034</v>
      </c>
    </row>
    <row r="311" spans="1:7" x14ac:dyDescent="0.25">
      <c r="A311" s="1619" t="s">
        <v>2796</v>
      </c>
      <c r="B311" s="577">
        <v>6.8822921099723267E-2</v>
      </c>
      <c r="C311" s="577">
        <v>6.8564822100886644E-2</v>
      </c>
      <c r="D311" s="577">
        <v>6.8646290972392943E-2</v>
      </c>
      <c r="E311" s="577">
        <v>6.9547544540787459E-2</v>
      </c>
      <c r="F311" s="577">
        <v>7.001336023591484E-2</v>
      </c>
      <c r="G311" s="577">
        <v>7.0675199123869048E-2</v>
      </c>
    </row>
    <row r="312" spans="1:7" x14ac:dyDescent="0.25">
      <c r="A312" s="1619" t="s">
        <v>2797</v>
      </c>
      <c r="B312" s="577">
        <v>0.65518840787260424</v>
      </c>
      <c r="C312" s="577">
        <v>0.64604781782146148</v>
      </c>
      <c r="D312" s="577">
        <v>0.63616911720738256</v>
      </c>
      <c r="E312" s="577">
        <v>0.62565253983951186</v>
      </c>
      <c r="F312" s="577">
        <v>0.61411460883496216</v>
      </c>
      <c r="G312" s="577">
        <v>0.60117327756774575</v>
      </c>
    </row>
    <row r="313" spans="1:7" x14ac:dyDescent="0.25">
      <c r="A313" s="1619" t="s">
        <v>2798</v>
      </c>
      <c r="B313" s="577">
        <v>0.68050591682510531</v>
      </c>
      <c r="C313" s="577">
        <v>0.67053393930346195</v>
      </c>
      <c r="D313" s="577">
        <v>0.65985253984431924</v>
      </c>
      <c r="E313" s="577">
        <v>0.64856089980254772</v>
      </c>
      <c r="F313" s="577">
        <v>0.63627453114094767</v>
      </c>
      <c r="G313" s="577">
        <v>0.62208873042851542</v>
      </c>
    </row>
    <row r="314" spans="1:7" x14ac:dyDescent="0.25">
      <c r="A314" s="1619" t="s">
        <v>2799</v>
      </c>
      <c r="B314" s="577">
        <v>0.70499203830710588</v>
      </c>
      <c r="C314" s="577">
        <v>0.69421736194039818</v>
      </c>
      <c r="D314" s="577">
        <v>0.68276089980735521</v>
      </c>
      <c r="E314" s="577">
        <v>0.67072082210853323</v>
      </c>
      <c r="F314" s="577">
        <v>0.65718998400171724</v>
      </c>
      <c r="G314" s="577">
        <v>0.64182960146274826</v>
      </c>
    </row>
    <row r="315" spans="1:7" x14ac:dyDescent="0.25">
      <c r="A315" s="1619" t="s">
        <v>2800</v>
      </c>
      <c r="B315" s="577">
        <v>0.72867546094404223</v>
      </c>
      <c r="C315" s="577">
        <v>0.7171257219034346</v>
      </c>
      <c r="D315" s="577">
        <v>0.70492082211334051</v>
      </c>
      <c r="E315" s="577">
        <v>0.69163627496930291</v>
      </c>
      <c r="F315" s="577">
        <v>0.6769308550359503</v>
      </c>
      <c r="G315" s="577">
        <v>0.66046185350072162</v>
      </c>
    </row>
    <row r="316" spans="1:7" x14ac:dyDescent="0.25">
      <c r="A316" s="1619" t="s">
        <v>2801</v>
      </c>
      <c r="B316" s="577">
        <v>0.75158382090707831</v>
      </c>
      <c r="C316" s="577">
        <v>0.73928564420942</v>
      </c>
      <c r="D316" s="577">
        <v>0.72583627497411041</v>
      </c>
      <c r="E316" s="577">
        <v>0.71137714600353574</v>
      </c>
      <c r="F316" s="577">
        <v>0.69556310707392333</v>
      </c>
      <c r="G316" s="577">
        <v>0.67804774499479747</v>
      </c>
    </row>
    <row r="317" spans="1:7" x14ac:dyDescent="0.25">
      <c r="A317" s="1619" t="s">
        <v>2802</v>
      </c>
      <c r="B317" s="577">
        <v>0.77374374321306372</v>
      </c>
      <c r="C317" s="577">
        <v>0.76020109707018957</v>
      </c>
      <c r="D317" s="577">
        <v>0.74557714600834302</v>
      </c>
      <c r="E317" s="577">
        <v>0.73000939804150911</v>
      </c>
      <c r="F317" s="577">
        <v>0.71314899856799951</v>
      </c>
      <c r="G317" s="577">
        <v>0.69464603805197145</v>
      </c>
    </row>
    <row r="318" spans="1:7" x14ac:dyDescent="0.25">
      <c r="A318" s="1619" t="s">
        <v>2803</v>
      </c>
      <c r="B318" s="577">
        <v>0.10302292110453058</v>
      </c>
      <c r="C318" s="577">
        <v>0.10301111306847227</v>
      </c>
      <c r="D318" s="577">
        <v>0.1037475445455948</v>
      </c>
      <c r="E318" s="577">
        <v>0.10445965120350051</v>
      </c>
      <c r="F318" s="577">
        <v>0.10577645269707089</v>
      </c>
      <c r="G318" s="577">
        <v>0.1061472743827464</v>
      </c>
    </row>
    <row r="319" spans="1:7" x14ac:dyDescent="0.25">
      <c r="A319" s="1619" t="s">
        <v>2804</v>
      </c>
      <c r="B319" s="577">
        <v>0.13746921207211618</v>
      </c>
      <c r="C319" s="577">
        <v>0.13811236664167414</v>
      </c>
      <c r="D319" s="577">
        <v>0.13865965120830778</v>
      </c>
      <c r="E319" s="577">
        <v>0.14022274366465656</v>
      </c>
      <c r="F319" s="577">
        <v>0.14124852795594828</v>
      </c>
      <c r="G319" s="577">
        <v>0.14127216555901961</v>
      </c>
    </row>
    <row r="320" spans="1:7" x14ac:dyDescent="0.25">
      <c r="A320" s="1619" t="s">
        <v>2805</v>
      </c>
      <c r="B320" s="577">
        <v>0.17257046564531808</v>
      </c>
      <c r="C320" s="577">
        <v>0.17302447330438708</v>
      </c>
      <c r="D320" s="577">
        <v>0.17442274366946389</v>
      </c>
      <c r="E320" s="577">
        <v>0.17569481892353386</v>
      </c>
      <c r="F320" s="577">
        <v>0.17637341913222152</v>
      </c>
      <c r="G320" s="577">
        <v>0.17605965054380748</v>
      </c>
    </row>
    <row r="321" spans="1:7" x14ac:dyDescent="0.25">
      <c r="A321" s="1619" t="s">
        <v>2806</v>
      </c>
      <c r="B321" s="577">
        <v>0.2074825723080311</v>
      </c>
      <c r="C321" s="577">
        <v>0.20878756576554319</v>
      </c>
      <c r="D321" s="577">
        <v>0.20989481892834119</v>
      </c>
      <c r="E321" s="577">
        <v>0.2108197100998071</v>
      </c>
      <c r="F321" s="577">
        <v>0.21116090411700933</v>
      </c>
      <c r="G321" s="577">
        <v>0.2103117094406145</v>
      </c>
    </row>
    <row r="322" spans="1:7" x14ac:dyDescent="0.25">
      <c r="A322" s="1619" t="s">
        <v>2807</v>
      </c>
      <c r="B322" s="577">
        <v>0.2432456647691871</v>
      </c>
      <c r="C322" s="577">
        <v>0.24425964102442063</v>
      </c>
      <c r="D322" s="577">
        <v>0.2450197101046144</v>
      </c>
      <c r="E322" s="577">
        <v>0.24560719508459494</v>
      </c>
      <c r="F322" s="577">
        <v>0.24541296301381629</v>
      </c>
      <c r="G322" s="577">
        <v>0.24431727017834717</v>
      </c>
    </row>
    <row r="323" spans="1:7" x14ac:dyDescent="0.25">
      <c r="A323" s="1619" t="s">
        <v>2808</v>
      </c>
      <c r="B323" s="577">
        <v>0.27871774002806443</v>
      </c>
      <c r="C323" s="577">
        <v>0.2793845322006937</v>
      </c>
      <c r="D323" s="577">
        <v>0.27980719508940227</v>
      </c>
      <c r="E323" s="577">
        <v>0.2798592539814021</v>
      </c>
      <c r="F323" s="577">
        <v>0.27941852375154902</v>
      </c>
      <c r="G323" s="577">
        <v>0.2784540344393176</v>
      </c>
    </row>
    <row r="324" spans="1:7" x14ac:dyDescent="0.25">
      <c r="A324" s="1619" t="s">
        <v>2809</v>
      </c>
      <c r="B324" s="577">
        <v>0.31384263120433775</v>
      </c>
      <c r="C324" s="577">
        <v>0.3141720171854816</v>
      </c>
      <c r="D324" s="577">
        <v>0.31405925398620937</v>
      </c>
      <c r="E324" s="577">
        <v>0.31386481471913469</v>
      </c>
      <c r="F324" s="577">
        <v>0.31355528801251942</v>
      </c>
      <c r="G324" s="577">
        <v>0.3110880499103631</v>
      </c>
    </row>
    <row r="325" spans="1:7" x14ac:dyDescent="0.25">
      <c r="A325" s="1619" t="s">
        <v>2810</v>
      </c>
      <c r="B325" s="577">
        <v>2.4213665561361217E-2</v>
      </c>
      <c r="C325" s="577">
        <v>2.3862537816079953E-2</v>
      </c>
      <c r="D325" s="577">
        <v>2.3473735878724866E-2</v>
      </c>
      <c r="E325" s="577">
        <v>2.3064347665253428E-2</v>
      </c>
      <c r="F325" s="577">
        <v>2.3061114129068354E-2</v>
      </c>
      <c r="G325" s="577">
        <v>2.2512588281626368E-2</v>
      </c>
    </row>
    <row r="326" spans="1:7" x14ac:dyDescent="0.25">
      <c r="A326" s="1619" t="s">
        <v>2811</v>
      </c>
      <c r="B326" s="577">
        <v>0.22973335540982898</v>
      </c>
      <c r="C326" s="577">
        <v>0.22714738236709153</v>
      </c>
      <c r="D326" s="577">
        <v>0.22490935615039021</v>
      </c>
      <c r="E326" s="577">
        <v>0.22340349858875491</v>
      </c>
      <c r="F326" s="577">
        <v>0.22135744490103995</v>
      </c>
      <c r="G326" s="577">
        <v>0.21838004233566516</v>
      </c>
    </row>
    <row r="327" spans="1:7" x14ac:dyDescent="0.25">
      <c r="A327" s="1619" t="s">
        <v>2812</v>
      </c>
      <c r="B327" s="577">
        <v>0.25136104792845276</v>
      </c>
      <c r="C327" s="577">
        <v>0.24877189396647018</v>
      </c>
      <c r="D327" s="577">
        <v>0.24687723446747981</v>
      </c>
      <c r="E327" s="577">
        <v>0.24442179256629337</v>
      </c>
      <c r="F327" s="577">
        <v>0.24144115646473349</v>
      </c>
      <c r="G327" s="577">
        <v>0.23787055226309756</v>
      </c>
    </row>
    <row r="328" spans="1:7" x14ac:dyDescent="0.25">
      <c r="A328" s="1619" t="s">
        <v>2813</v>
      </c>
      <c r="B328" s="577">
        <v>0.27298555952783149</v>
      </c>
      <c r="C328" s="577">
        <v>0.27073977228355989</v>
      </c>
      <c r="D328" s="577">
        <v>0.26789552844501835</v>
      </c>
      <c r="E328" s="577">
        <v>0.26450550412998686</v>
      </c>
      <c r="F328" s="577">
        <v>0.26093166639216581</v>
      </c>
      <c r="G328" s="577">
        <v>0.25678282164775501</v>
      </c>
    </row>
    <row r="329" spans="1:7" x14ac:dyDescent="0.25">
      <c r="A329" s="1619" t="s">
        <v>2814</v>
      </c>
      <c r="B329" s="577">
        <v>0.29495343784492112</v>
      </c>
      <c r="C329" s="577">
        <v>0.29175806626109818</v>
      </c>
      <c r="D329" s="577">
        <v>0.28797924000871183</v>
      </c>
      <c r="E329" s="577">
        <v>0.28399601405741925</v>
      </c>
      <c r="F329" s="577">
        <v>0.27984393577682332</v>
      </c>
      <c r="G329" s="577">
        <v>0.27506209121365105</v>
      </c>
    </row>
    <row r="330" spans="1:7" x14ac:dyDescent="0.25">
      <c r="A330" s="1619" t="s">
        <v>2815</v>
      </c>
      <c r="B330" s="577">
        <v>0.31597173182245941</v>
      </c>
      <c r="C330" s="577">
        <v>0.31184177782479172</v>
      </c>
      <c r="D330" s="577">
        <v>0.30746974993614429</v>
      </c>
      <c r="E330" s="577">
        <v>0.30290828344207676</v>
      </c>
      <c r="F330" s="577">
        <v>0.29812320534271936</v>
      </c>
      <c r="G330" s="577">
        <v>0.29279987509564936</v>
      </c>
    </row>
    <row r="331" spans="1:7" x14ac:dyDescent="0.25">
      <c r="A331" s="1619" t="s">
        <v>2816</v>
      </c>
      <c r="B331" s="577">
        <v>0.33605544338615312</v>
      </c>
      <c r="C331" s="577">
        <v>0.33133228775222429</v>
      </c>
      <c r="D331" s="577">
        <v>0.32638201932080174</v>
      </c>
      <c r="E331" s="577">
        <v>0.3211875530079728</v>
      </c>
      <c r="F331" s="577">
        <v>0.31586098922471778</v>
      </c>
      <c r="G331" s="577">
        <v>0.31001226510234819</v>
      </c>
    </row>
    <row r="332" spans="1:7" x14ac:dyDescent="0.25">
      <c r="A332" s="1619" t="s">
        <v>2817</v>
      </c>
      <c r="B332" s="577">
        <v>0.35554595331358563</v>
      </c>
      <c r="C332" s="577">
        <v>0.3502445571368818</v>
      </c>
      <c r="D332" s="577">
        <v>0.34466128888669778</v>
      </c>
      <c r="E332" s="577">
        <v>0.33892533688997123</v>
      </c>
      <c r="F332" s="577">
        <v>0.33307337923141639</v>
      </c>
      <c r="G332" s="577">
        <v>0.32671487227221091</v>
      </c>
    </row>
    <row r="333" spans="1:7" x14ac:dyDescent="0.25">
      <c r="A333" s="1619" t="s">
        <v>2818</v>
      </c>
      <c r="B333" s="577">
        <v>0.37445822269824308</v>
      </c>
      <c r="C333" s="577">
        <v>0.36852382670277778</v>
      </c>
      <c r="D333" s="577">
        <v>0.3623990727686961</v>
      </c>
      <c r="E333" s="577">
        <v>0.35613772689666995</v>
      </c>
      <c r="F333" s="577">
        <v>0.34977598640127916</v>
      </c>
      <c r="G333" s="577">
        <v>0.34292284136434625</v>
      </c>
    </row>
    <row r="334" spans="1:7" x14ac:dyDescent="0.25">
      <c r="A334" s="1619" t="s">
        <v>2819</v>
      </c>
      <c r="B334" s="577">
        <v>0.39273749226413884</v>
      </c>
      <c r="C334" s="577">
        <v>0.38626161058477615</v>
      </c>
      <c r="D334" s="577">
        <v>0.37961146277539481</v>
      </c>
      <c r="E334" s="577">
        <v>0.37284033406653266</v>
      </c>
      <c r="F334" s="577">
        <v>0.36598395549341456</v>
      </c>
      <c r="G334" s="577">
        <v>0.35865086490623926</v>
      </c>
    </row>
    <row r="335" spans="1:7" x14ac:dyDescent="0.25">
      <c r="A335" s="1619" t="s">
        <v>2820</v>
      </c>
      <c r="B335" s="577">
        <v>0.41047527614613755</v>
      </c>
      <c r="C335" s="577">
        <v>0.40347400059147465</v>
      </c>
      <c r="D335" s="577">
        <v>0.39631406994525747</v>
      </c>
      <c r="E335" s="577">
        <v>0.38904830315866806</v>
      </c>
      <c r="F335" s="577">
        <v>0.38171197903530768</v>
      </c>
      <c r="G335" s="577">
        <v>0.37391319681228774</v>
      </c>
    </row>
    <row r="336" spans="1:7" x14ac:dyDescent="0.25">
      <c r="A336" s="1619" t="s">
        <v>2821</v>
      </c>
      <c r="B336" s="577">
        <v>4.8076203377441173E-2</v>
      </c>
      <c r="C336" s="577">
        <v>4.7336273694804809E-2</v>
      </c>
      <c r="D336" s="577">
        <v>4.6538083543978287E-2</v>
      </c>
      <c r="E336" s="577">
        <v>4.6125461794321788E-2</v>
      </c>
      <c r="F336" s="577">
        <v>4.5573702410694736E-2</v>
      </c>
      <c r="G336" s="577">
        <v>4.5459218286158967E-2</v>
      </c>
    </row>
    <row r="337" spans="1:7" x14ac:dyDescent="0.25">
      <c r="A337" s="1619" t="s">
        <v>2822</v>
      </c>
      <c r="B337" s="577">
        <v>0.4276876661528361</v>
      </c>
      <c r="C337" s="577">
        <v>0.42017660776133764</v>
      </c>
      <c r="D337" s="577">
        <v>0.41252203903739282</v>
      </c>
      <c r="E337" s="577">
        <v>0.40477632670056096</v>
      </c>
      <c r="F337" s="577">
        <v>0.39697431094135621</v>
      </c>
      <c r="G337" s="577">
        <v>0.38872366558655463</v>
      </c>
    </row>
    <row r="338" spans="1:7" x14ac:dyDescent="0.25">
      <c r="A338" s="1619" t="s">
        <v>2823</v>
      </c>
      <c r="B338" s="577">
        <v>0.4443902733226987</v>
      </c>
      <c r="C338" s="577">
        <v>0.43638457685347321</v>
      </c>
      <c r="D338" s="577">
        <v>0.42825006257928594</v>
      </c>
      <c r="E338" s="577">
        <v>0.42003865860660949</v>
      </c>
      <c r="F338" s="577">
        <v>0.41178477971562299</v>
      </c>
      <c r="G338" s="577">
        <v>0.40270239968213462</v>
      </c>
    </row>
    <row r="339" spans="1:7" x14ac:dyDescent="0.25">
      <c r="A339" s="1619" t="s">
        <v>2824</v>
      </c>
      <c r="B339" s="577">
        <v>0.46059824241483427</v>
      </c>
      <c r="C339" s="577">
        <v>0.45211260039536594</v>
      </c>
      <c r="D339" s="577">
        <v>0.44351239448533442</v>
      </c>
      <c r="E339" s="577">
        <v>0.4348491273808765</v>
      </c>
      <c r="F339" s="577">
        <v>0.42576351381120303</v>
      </c>
      <c r="G339" s="577">
        <v>0.41589610812534356</v>
      </c>
    </row>
    <row r="340" spans="1:7" x14ac:dyDescent="0.25">
      <c r="A340" s="1619" t="s">
        <v>2825</v>
      </c>
      <c r="B340" s="577">
        <v>0.47632626595672722</v>
      </c>
      <c r="C340" s="577">
        <v>0.46737493230141458</v>
      </c>
      <c r="D340" s="577">
        <v>0.45832286325960131</v>
      </c>
      <c r="E340" s="577">
        <v>0.44882786147645637</v>
      </c>
      <c r="F340" s="577">
        <v>0.43895722225441203</v>
      </c>
      <c r="G340" s="577">
        <v>0.42834887683059031</v>
      </c>
    </row>
    <row r="341" spans="1:7" x14ac:dyDescent="0.25">
      <c r="A341" s="1619" t="s">
        <v>2826</v>
      </c>
      <c r="B341" s="577">
        <v>0.4915885978627757</v>
      </c>
      <c r="C341" s="577">
        <v>0.48218540107568147</v>
      </c>
      <c r="D341" s="577">
        <v>0.47230159735518118</v>
      </c>
      <c r="E341" s="577">
        <v>0.46202156991966536</v>
      </c>
      <c r="F341" s="577">
        <v>0.45140999095965856</v>
      </c>
      <c r="G341" s="577">
        <v>0.44010231591057786</v>
      </c>
    </row>
    <row r="342" spans="1:7" x14ac:dyDescent="0.25">
      <c r="A342" s="1619" t="s">
        <v>2827</v>
      </c>
      <c r="B342" s="577">
        <v>0.50639906663704248</v>
      </c>
      <c r="C342" s="577">
        <v>0.4961641351712614</v>
      </c>
      <c r="D342" s="577">
        <v>0.48549530579839018</v>
      </c>
      <c r="E342" s="577">
        <v>0.47447433862491212</v>
      </c>
      <c r="F342" s="577">
        <v>0.46316343003964611</v>
      </c>
      <c r="G342" s="577">
        <v>0.45119569871377502</v>
      </c>
    </row>
    <row r="343" spans="1:7" x14ac:dyDescent="0.25">
      <c r="A343" s="1619" t="s">
        <v>2828</v>
      </c>
      <c r="B343" s="577">
        <v>0.52037780073262263</v>
      </c>
      <c r="C343" s="577">
        <v>0.50935784361447012</v>
      </c>
      <c r="D343" s="577">
        <v>0.49794807450363693</v>
      </c>
      <c r="E343" s="577">
        <v>0.48622777770489967</v>
      </c>
      <c r="F343" s="577">
        <v>0.47425681284284354</v>
      </c>
      <c r="G343" s="577">
        <v>0.46166609305374423</v>
      </c>
    </row>
    <row r="344" spans="1:7" x14ac:dyDescent="0.25">
      <c r="A344" s="1619" t="s">
        <v>2829</v>
      </c>
      <c r="B344" s="577">
        <v>0.53357150917583163</v>
      </c>
      <c r="C344" s="577">
        <v>0.52181061231971715</v>
      </c>
      <c r="D344" s="577">
        <v>0.50970151358362437</v>
      </c>
      <c r="E344" s="577">
        <v>0.49732116050809699</v>
      </c>
      <c r="F344" s="577">
        <v>0.48472720718281281</v>
      </c>
      <c r="G344" s="577">
        <v>0.47154848506881664</v>
      </c>
    </row>
    <row r="345" spans="1:7" x14ac:dyDescent="0.25">
      <c r="A345" s="1619" t="s">
        <v>2830</v>
      </c>
      <c r="B345" s="577">
        <v>0.54602427788107832</v>
      </c>
      <c r="C345" s="577">
        <v>0.53356405139970464</v>
      </c>
      <c r="D345" s="577">
        <v>0.52079489638682186</v>
      </c>
      <c r="E345" s="577">
        <v>0.50779155484806615</v>
      </c>
      <c r="F345" s="577">
        <v>0.49460959919788494</v>
      </c>
      <c r="G345" s="577">
        <v>0.48087589612598725</v>
      </c>
    </row>
    <row r="346" spans="1:7" x14ac:dyDescent="0.25">
      <c r="A346" s="1619" t="s">
        <v>2831</v>
      </c>
      <c r="B346" s="577">
        <v>0.55777771696106582</v>
      </c>
      <c r="C346" s="577">
        <v>0.54465743420290191</v>
      </c>
      <c r="D346" s="577">
        <v>0.53126529072679085</v>
      </c>
      <c r="E346" s="577">
        <v>0.51767394686313828</v>
      </c>
      <c r="F346" s="577">
        <v>0.50393701025505555</v>
      </c>
      <c r="G346" s="577">
        <v>0.48967949315965464</v>
      </c>
    </row>
    <row r="347" spans="1:7" x14ac:dyDescent="0.25">
      <c r="A347" s="1619" t="s">
        <v>2832</v>
      </c>
      <c r="B347" s="577">
        <v>7.1549939256166026E-2</v>
      </c>
      <c r="C347" s="577">
        <v>7.0400621360058174E-2</v>
      </c>
      <c r="D347" s="577">
        <v>6.9599197673046648E-2</v>
      </c>
      <c r="E347" s="577">
        <v>6.8638050075948157E-2</v>
      </c>
      <c r="F347" s="577">
        <v>6.85203324152273E-2</v>
      </c>
      <c r="G347" s="577">
        <v>6.7969676838309095E-2</v>
      </c>
    </row>
    <row r="348" spans="1:7" x14ac:dyDescent="0.25">
      <c r="A348" s="1619" t="s">
        <v>2833</v>
      </c>
      <c r="B348" s="577">
        <v>0.56887109976426309</v>
      </c>
      <c r="C348" s="577">
        <v>0.55512782854287079</v>
      </c>
      <c r="D348" s="577">
        <v>0.5411476827418632</v>
      </c>
      <c r="E348" s="577">
        <v>0.527001357920309</v>
      </c>
      <c r="F348" s="577">
        <v>0.51274060728872306</v>
      </c>
      <c r="G348" s="577">
        <v>0.49798869281389502</v>
      </c>
    </row>
    <row r="349" spans="1:7" x14ac:dyDescent="0.25">
      <c r="A349" s="1619" t="s">
        <v>2834</v>
      </c>
      <c r="B349" s="577">
        <v>9.4614286921419377E-2</v>
      </c>
      <c r="C349" s="577">
        <v>9.346173548912648E-2</v>
      </c>
      <c r="D349" s="577">
        <v>9.2111785954672981E-2</v>
      </c>
      <c r="E349" s="577">
        <v>9.1584680080480749E-2</v>
      </c>
      <c r="F349" s="577">
        <v>9.1030790967377442E-2</v>
      </c>
      <c r="G349" s="577">
        <v>9.0129242912776131E-2</v>
      </c>
    </row>
    <row r="350" spans="1:7" x14ac:dyDescent="0.25">
      <c r="A350" s="1619" t="s">
        <v>2835</v>
      </c>
      <c r="B350" s="577">
        <v>0.1176754010504877</v>
      </c>
      <c r="C350" s="577">
        <v>0.11597432377075274</v>
      </c>
      <c r="D350" s="577">
        <v>0.1150584159592056</v>
      </c>
      <c r="E350" s="577">
        <v>0.11409513863263079</v>
      </c>
      <c r="F350" s="577">
        <v>0.11319035704184451</v>
      </c>
      <c r="G350" s="577">
        <v>0.1120579543593411</v>
      </c>
    </row>
    <row r="351" spans="1:7" x14ac:dyDescent="0.25">
      <c r="A351" s="1619" t="s">
        <v>2836</v>
      </c>
      <c r="B351" s="577">
        <v>0.14018798933211396</v>
      </c>
      <c r="C351" s="577">
        <v>0.13892095377528541</v>
      </c>
      <c r="D351" s="577">
        <v>0.13756887451135569</v>
      </c>
      <c r="E351" s="577">
        <v>0.13625470470709797</v>
      </c>
      <c r="F351" s="577">
        <v>0.13511906848840938</v>
      </c>
      <c r="G351" s="577">
        <v>0.13368564687796483</v>
      </c>
    </row>
    <row r="352" spans="1:7" x14ac:dyDescent="0.25">
      <c r="A352" s="1619" t="s">
        <v>2837</v>
      </c>
      <c r="B352" s="577">
        <v>0.16313461933664658</v>
      </c>
      <c r="C352" s="577">
        <v>0.16143141232743555</v>
      </c>
      <c r="D352" s="577">
        <v>0.15972844058582283</v>
      </c>
      <c r="E352" s="577">
        <v>0.15818341615366283</v>
      </c>
      <c r="F352" s="577">
        <v>0.15674676100703316</v>
      </c>
      <c r="G352" s="577">
        <v>0.15531015847734356</v>
      </c>
    </row>
    <row r="353" spans="1:7" x14ac:dyDescent="0.25">
      <c r="A353" s="1619" t="s">
        <v>2838</v>
      </c>
      <c r="B353" s="577">
        <v>0.18564507788879681</v>
      </c>
      <c r="C353" s="577">
        <v>0.18359097840190275</v>
      </c>
      <c r="D353" s="577">
        <v>0.18165715203238769</v>
      </c>
      <c r="E353" s="577">
        <v>0.17981110867228667</v>
      </c>
      <c r="F353" s="577">
        <v>0.17837127260641186</v>
      </c>
      <c r="G353" s="577">
        <v>0.17727803679443313</v>
      </c>
    </row>
    <row r="354" spans="1:7" x14ac:dyDescent="0.25">
      <c r="A354" s="1619" t="s">
        <v>2839</v>
      </c>
      <c r="B354" s="577">
        <v>0.20780464396326398</v>
      </c>
      <c r="C354" s="577">
        <v>0.20551968984846772</v>
      </c>
      <c r="D354" s="577">
        <v>0.20328484455101151</v>
      </c>
      <c r="E354" s="577">
        <v>0.20143562027166542</v>
      </c>
      <c r="F354" s="577">
        <v>0.20033915092350146</v>
      </c>
      <c r="G354" s="577">
        <v>0.19829633077197154</v>
      </c>
    </row>
    <row r="355" spans="1:7" x14ac:dyDescent="0.25">
      <c r="A355" s="1619" t="s">
        <v>2840</v>
      </c>
      <c r="B355" s="577">
        <v>3.6122076649032366E-2</v>
      </c>
      <c r="C355" s="577">
        <v>3.626085779504358E-2</v>
      </c>
      <c r="D355" s="577">
        <v>3.6314201187105023E-2</v>
      </c>
      <c r="E355" s="577">
        <v>3.7054864222734227E-2</v>
      </c>
      <c r="F355" s="577">
        <v>3.8125375039845942E-2</v>
      </c>
      <c r="G355" s="577">
        <v>3.8271367462228589E-2</v>
      </c>
    </row>
    <row r="356" spans="1:7" x14ac:dyDescent="0.25">
      <c r="A356" s="1619" t="s">
        <v>2841</v>
      </c>
      <c r="B356" s="577">
        <v>0.37809663680705019</v>
      </c>
      <c r="C356" s="577">
        <v>0.37990280922825781</v>
      </c>
      <c r="D356" s="577">
        <v>0.38117095186879191</v>
      </c>
      <c r="E356" s="577">
        <v>0.3823152332993317</v>
      </c>
      <c r="F356" s="577">
        <v>0.38105540250885189</v>
      </c>
      <c r="G356" s="577">
        <v>0.3770672705400111</v>
      </c>
    </row>
    <row r="357" spans="1:7" x14ac:dyDescent="0.25">
      <c r="A357" s="1619" t="s">
        <v>2842</v>
      </c>
      <c r="B357" s="577">
        <v>0.4160248858772902</v>
      </c>
      <c r="C357" s="577">
        <v>0.41743180966383553</v>
      </c>
      <c r="D357" s="577">
        <v>0.41862943448643675</v>
      </c>
      <c r="E357" s="577">
        <v>0.41811026673158613</v>
      </c>
      <c r="F357" s="577">
        <v>0.41519264557985691</v>
      </c>
      <c r="G357" s="577">
        <v>0.40996829324908513</v>
      </c>
    </row>
    <row r="358" spans="1:7" x14ac:dyDescent="0.25">
      <c r="A358" s="1619" t="s">
        <v>2843</v>
      </c>
      <c r="B358" s="577">
        <v>0.45355388631286792</v>
      </c>
      <c r="C358" s="577">
        <v>0.45489029228148031</v>
      </c>
      <c r="D358" s="577">
        <v>0.45442446791869112</v>
      </c>
      <c r="E358" s="577">
        <v>0.4522475098025911</v>
      </c>
      <c r="F358" s="577">
        <v>0.44809366828893121</v>
      </c>
      <c r="G358" s="577">
        <v>0.44168147787668149</v>
      </c>
    </row>
    <row r="359" spans="1:7" x14ac:dyDescent="0.25">
      <c r="A359" s="1619" t="s">
        <v>2844</v>
      </c>
      <c r="B359" s="577">
        <v>0.4910123689305127</v>
      </c>
      <c r="C359" s="577">
        <v>0.49068532571373458</v>
      </c>
      <c r="D359" s="577">
        <v>0.48856171098969609</v>
      </c>
      <c r="E359" s="577">
        <v>0.48514853251166534</v>
      </c>
      <c r="F359" s="577">
        <v>0.47980685291652736</v>
      </c>
      <c r="G359" s="577">
        <v>0.47218204450506895</v>
      </c>
    </row>
    <row r="360" spans="1:7" x14ac:dyDescent="0.25">
      <c r="A360" s="1619" t="s">
        <v>2845</v>
      </c>
      <c r="B360" s="577">
        <v>0.52680740236276702</v>
      </c>
      <c r="C360" s="577">
        <v>0.52482256878473954</v>
      </c>
      <c r="D360" s="577">
        <v>0.52146273369877028</v>
      </c>
      <c r="E360" s="577">
        <v>0.51686171713926177</v>
      </c>
      <c r="F360" s="577">
        <v>0.51030741954491499</v>
      </c>
      <c r="G360" s="577">
        <v>0.5016243480332645</v>
      </c>
    </row>
    <row r="361" spans="1:7" x14ac:dyDescent="0.25">
      <c r="A361" s="1619" t="s">
        <v>2846</v>
      </c>
      <c r="B361" s="577">
        <v>0.56094464543377209</v>
      </c>
      <c r="C361" s="577">
        <v>0.5577235914938139</v>
      </c>
      <c r="D361" s="577">
        <v>0.5531759183263667</v>
      </c>
      <c r="E361" s="577">
        <v>0.54736228376764906</v>
      </c>
      <c r="F361" s="577">
        <v>0.53974972307311053</v>
      </c>
      <c r="G361" s="577">
        <v>0.53004741379327502</v>
      </c>
    </row>
    <row r="362" spans="1:7" x14ac:dyDescent="0.25">
      <c r="A362" s="1619" t="s">
        <v>2847</v>
      </c>
      <c r="B362" s="577">
        <v>0.59384566814284634</v>
      </c>
      <c r="C362" s="577">
        <v>0.58943677612141032</v>
      </c>
      <c r="D362" s="577">
        <v>0.58367648495475422</v>
      </c>
      <c r="E362" s="577">
        <v>0.57680458729584472</v>
      </c>
      <c r="F362" s="577">
        <v>0.56817278883312117</v>
      </c>
      <c r="G362" s="577">
        <v>0.55748872920402937</v>
      </c>
    </row>
    <row r="363" spans="1:7" x14ac:dyDescent="0.25">
      <c r="A363" s="1619" t="s">
        <v>2848</v>
      </c>
      <c r="B363" s="577">
        <v>0.62555885277044265</v>
      </c>
      <c r="C363" s="577">
        <v>0.61993734274979784</v>
      </c>
      <c r="D363" s="577">
        <v>0.61311878848294965</v>
      </c>
      <c r="E363" s="577">
        <v>0.60522765305585535</v>
      </c>
      <c r="F363" s="577">
        <v>0.5956141042438754</v>
      </c>
      <c r="G363" s="577">
        <v>0.58398430837566984</v>
      </c>
    </row>
    <row r="364" spans="1:7" x14ac:dyDescent="0.25">
      <c r="A364" s="1619" t="s">
        <v>2849</v>
      </c>
      <c r="B364" s="577">
        <v>0.65605941939883017</v>
      </c>
      <c r="C364" s="577">
        <v>0.64937964627799316</v>
      </c>
      <c r="D364" s="577">
        <v>0.64154185424296029</v>
      </c>
      <c r="E364" s="577">
        <v>0.63266896846660947</v>
      </c>
      <c r="F364" s="577">
        <v>0.62210968341551576</v>
      </c>
      <c r="G364" s="577">
        <v>0.60956875384784248</v>
      </c>
    </row>
    <row r="365" spans="1:7" x14ac:dyDescent="0.25">
      <c r="A365" s="1619" t="s">
        <v>2850</v>
      </c>
      <c r="B365" s="577">
        <v>0.68550172292702571</v>
      </c>
      <c r="C365" s="577">
        <v>0.6778027120380038</v>
      </c>
      <c r="D365" s="577">
        <v>0.6689831696537144</v>
      </c>
      <c r="E365" s="577">
        <v>0.65916454763824994</v>
      </c>
      <c r="F365" s="577">
        <v>0.64769412888768862</v>
      </c>
      <c r="G365" s="577">
        <v>0.6342753155945805</v>
      </c>
    </row>
    <row r="366" spans="1:7" x14ac:dyDescent="0.25">
      <c r="A366" s="1619" t="s">
        <v>2851</v>
      </c>
      <c r="B366" s="577">
        <v>7.2382934444075953E-2</v>
      </c>
      <c r="C366" s="577">
        <v>7.2575058982148583E-2</v>
      </c>
      <c r="D366" s="577">
        <v>7.3369065409839257E-2</v>
      </c>
      <c r="E366" s="577">
        <v>7.5180239262580176E-2</v>
      </c>
      <c r="F366" s="577">
        <v>7.6396742502074538E-2</v>
      </c>
      <c r="G366" s="577">
        <v>7.7570618791081722E-2</v>
      </c>
    </row>
    <row r="367" spans="1:7" x14ac:dyDescent="0.25">
      <c r="A367" s="1619" t="s">
        <v>2852</v>
      </c>
      <c r="B367" s="577">
        <v>0.71392478868703624</v>
      </c>
      <c r="C367" s="577">
        <v>0.70524402744875803</v>
      </c>
      <c r="D367" s="577">
        <v>0.69547874882535488</v>
      </c>
      <c r="E367" s="577">
        <v>0.68474899311042281</v>
      </c>
      <c r="F367" s="577">
        <v>0.67240069063442631</v>
      </c>
      <c r="G367" s="577">
        <v>0.65813594742205828</v>
      </c>
    </row>
    <row r="368" spans="1:7" x14ac:dyDescent="0.25">
      <c r="A368" s="1619" t="s">
        <v>2853</v>
      </c>
      <c r="B368" s="577">
        <v>0.74136610409779047</v>
      </c>
      <c r="C368" s="577">
        <v>0.73173960662039839</v>
      </c>
      <c r="D368" s="577">
        <v>0.72106319429752774</v>
      </c>
      <c r="E368" s="577">
        <v>0.70945555485716061</v>
      </c>
      <c r="F368" s="577">
        <v>0.69626132246190409</v>
      </c>
      <c r="G368" s="577">
        <v>0.6806566003974972</v>
      </c>
    </row>
    <row r="369" spans="1:7" x14ac:dyDescent="0.25">
      <c r="A369" s="1619" t="s">
        <v>2854</v>
      </c>
      <c r="B369" s="577">
        <v>0.76786168326943083</v>
      </c>
      <c r="C369" s="577">
        <v>0.75732405209257114</v>
      </c>
      <c r="D369" s="577">
        <v>0.74576975604426576</v>
      </c>
      <c r="E369" s="577">
        <v>0.73331618668463827</v>
      </c>
      <c r="F369" s="577">
        <v>0.71878197543734301</v>
      </c>
      <c r="G369" s="577">
        <v>0.70191252581084207</v>
      </c>
    </row>
    <row r="370" spans="1:7" x14ac:dyDescent="0.25">
      <c r="A370" s="1619" t="s">
        <v>2855</v>
      </c>
      <c r="B370" s="577">
        <v>0.7934461287416037</v>
      </c>
      <c r="C370" s="577">
        <v>0.78203061383930916</v>
      </c>
      <c r="D370" s="577">
        <v>0.76963038787174332</v>
      </c>
      <c r="E370" s="577">
        <v>0.75583683966007731</v>
      </c>
      <c r="F370" s="577">
        <v>0.7400379008506881</v>
      </c>
      <c r="G370" s="577">
        <v>0.72197474894755254</v>
      </c>
    </row>
    <row r="371" spans="1:7" x14ac:dyDescent="0.25">
      <c r="A371" s="1619" t="s">
        <v>2856</v>
      </c>
      <c r="B371" s="577">
        <v>0.81815269048834172</v>
      </c>
      <c r="C371" s="577">
        <v>0.80589124566678694</v>
      </c>
      <c r="D371" s="577">
        <v>0.79215104084718213</v>
      </c>
      <c r="E371" s="577">
        <v>0.77709276507342218</v>
      </c>
      <c r="F371" s="577">
        <v>0.76010012398739857</v>
      </c>
      <c r="G371" s="577">
        <v>0.7409103064149527</v>
      </c>
    </row>
    <row r="372" spans="1:7" x14ac:dyDescent="0.25">
      <c r="A372" s="1619" t="s">
        <v>2857</v>
      </c>
      <c r="B372" s="577">
        <v>0.84201332231581927</v>
      </c>
      <c r="C372" s="577">
        <v>0.82841189864222564</v>
      </c>
      <c r="D372" s="577">
        <v>0.81340696626052711</v>
      </c>
      <c r="E372" s="577">
        <v>0.79715498821013298</v>
      </c>
      <c r="F372" s="577">
        <v>0.77903568145479873</v>
      </c>
      <c r="G372" s="577">
        <v>0.7587824701406729</v>
      </c>
    </row>
    <row r="373" spans="1:7" x14ac:dyDescent="0.25">
      <c r="A373" s="1619" t="s">
        <v>2858</v>
      </c>
      <c r="B373" s="577">
        <v>0.10869713563118096</v>
      </c>
      <c r="C373" s="577">
        <v>0.10962992320488282</v>
      </c>
      <c r="D373" s="577">
        <v>0.11149444044968521</v>
      </c>
      <c r="E373" s="577">
        <v>0.11345160672480875</v>
      </c>
      <c r="F373" s="577">
        <v>0.11569599383092767</v>
      </c>
      <c r="G373" s="577">
        <v>0.11675670721259412</v>
      </c>
    </row>
    <row r="374" spans="1:7" x14ac:dyDescent="0.25">
      <c r="A374" s="1619" t="s">
        <v>2859</v>
      </c>
      <c r="B374" s="577">
        <v>0.14575199985391521</v>
      </c>
      <c r="C374" s="577">
        <v>0.1477552982447288</v>
      </c>
      <c r="D374" s="577">
        <v>0.14976580791191382</v>
      </c>
      <c r="E374" s="577">
        <v>0.15275085805366193</v>
      </c>
      <c r="F374" s="577">
        <v>0.15488208225244007</v>
      </c>
      <c r="G374" s="577">
        <v>0.15566741889451516</v>
      </c>
    </row>
    <row r="375" spans="1:7" x14ac:dyDescent="0.25">
      <c r="A375" s="1619" t="s">
        <v>2860</v>
      </c>
      <c r="B375" s="577">
        <v>0.18387737489376116</v>
      </c>
      <c r="C375" s="577">
        <v>0.18602666570695736</v>
      </c>
      <c r="D375" s="577">
        <v>0.18906505924076694</v>
      </c>
      <c r="E375" s="577">
        <v>0.19193694647517426</v>
      </c>
      <c r="F375" s="577">
        <v>0.19379279393436108</v>
      </c>
      <c r="G375" s="577">
        <v>0.19421926191328903</v>
      </c>
    </row>
    <row r="376" spans="1:7" x14ac:dyDescent="0.25">
      <c r="A376" s="1619" t="s">
        <v>2861</v>
      </c>
      <c r="B376" s="577">
        <v>0.22214874235598975</v>
      </c>
      <c r="C376" s="577">
        <v>0.22532591703581051</v>
      </c>
      <c r="D376" s="577">
        <v>0.22825114766227927</v>
      </c>
      <c r="E376" s="577">
        <v>0.23084765815709535</v>
      </c>
      <c r="F376" s="577">
        <v>0.23234463695313495</v>
      </c>
      <c r="G376" s="577">
        <v>0.23214751098352907</v>
      </c>
    </row>
    <row r="377" spans="1:7" x14ac:dyDescent="0.25">
      <c r="A377" s="1619" t="s">
        <v>2862</v>
      </c>
      <c r="B377" s="577">
        <v>0.26144799368484289</v>
      </c>
      <c r="C377" s="577">
        <v>0.26451200545732279</v>
      </c>
      <c r="D377" s="577">
        <v>0.26716185934420034</v>
      </c>
      <c r="E377" s="577">
        <v>0.26939950117586919</v>
      </c>
      <c r="F377" s="577">
        <v>0.27027288602337496</v>
      </c>
      <c r="G377" s="577">
        <v>0.2696765114191067</v>
      </c>
    </row>
    <row r="378" spans="1:7" x14ac:dyDescent="0.25">
      <c r="A378" s="1619" t="s">
        <v>2863</v>
      </c>
      <c r="B378" s="577">
        <v>0.30063408210635523</v>
      </c>
      <c r="C378" s="577">
        <v>0.3034227171392439</v>
      </c>
      <c r="D378" s="577">
        <v>0.30571370236297429</v>
      </c>
      <c r="E378" s="577">
        <v>0.30732775024610914</v>
      </c>
      <c r="F378" s="577">
        <v>0.30780188645895262</v>
      </c>
      <c r="G378" s="577">
        <v>0.30713499403675149</v>
      </c>
    </row>
    <row r="379" spans="1:7" x14ac:dyDescent="0.25">
      <c r="A379" s="1619" t="s">
        <v>2864</v>
      </c>
      <c r="B379" s="577">
        <v>0.33954479378827634</v>
      </c>
      <c r="C379" s="577">
        <v>0.3419745601580178</v>
      </c>
      <c r="D379" s="577">
        <v>0.34364195143321419</v>
      </c>
      <c r="E379" s="577">
        <v>0.34485675068168692</v>
      </c>
      <c r="F379" s="577">
        <v>0.34526036907659746</v>
      </c>
      <c r="G379" s="577">
        <v>0.34293002746900586</v>
      </c>
    </row>
    <row r="380" spans="1:7" x14ac:dyDescent="0.25">
      <c r="A380" s="1619" t="s">
        <v>2865</v>
      </c>
      <c r="B380" s="577">
        <v>2.8711085945445445E-2</v>
      </c>
      <c r="C380" s="577">
        <v>2.8281444308629423E-2</v>
      </c>
      <c r="D380" s="577">
        <v>2.7807717555929819E-2</v>
      </c>
      <c r="E380" s="577">
        <v>2.7295172683934162E-2</v>
      </c>
      <c r="F380" s="577">
        <v>2.7269760630525015E-2</v>
      </c>
      <c r="G380" s="577">
        <v>2.6600002578003462E-2</v>
      </c>
    </row>
    <row r="381" spans="1:7" x14ac:dyDescent="0.25">
      <c r="A381" s="1619" t="s">
        <v>2866</v>
      </c>
      <c r="B381" s="577">
        <v>0.27169385635865551</v>
      </c>
      <c r="C381" s="577">
        <v>0.26851391344104353</v>
      </c>
      <c r="D381" s="577">
        <v>0.26576775661917879</v>
      </c>
      <c r="E381" s="577">
        <v>0.26391416352010849</v>
      </c>
      <c r="F381" s="577">
        <v>0.26145210960725412</v>
      </c>
      <c r="G381" s="577">
        <v>0.25791258595960698</v>
      </c>
    </row>
    <row r="382" spans="1:7" x14ac:dyDescent="0.25">
      <c r="A382" s="1619" t="s">
        <v>2867</v>
      </c>
      <c r="B382" s="577">
        <v>0.29722499938648905</v>
      </c>
      <c r="C382" s="577">
        <v>0.29404920092780823</v>
      </c>
      <c r="D382" s="577">
        <v>0.29172188107603836</v>
      </c>
      <c r="E382" s="577">
        <v>0.28874728229118829</v>
      </c>
      <c r="F382" s="577">
        <v>0.28518234659013203</v>
      </c>
      <c r="G382" s="577">
        <v>0.28094648951617002</v>
      </c>
    </row>
    <row r="383" spans="1:7" x14ac:dyDescent="0.25">
      <c r="A383" s="1619" t="s">
        <v>2868</v>
      </c>
      <c r="B383" s="577">
        <v>0.32276028687325375</v>
      </c>
      <c r="C383" s="577">
        <v>0.32000332538466797</v>
      </c>
      <c r="D383" s="577">
        <v>0.31655499984711805</v>
      </c>
      <c r="E383" s="577">
        <v>0.31247751927406614</v>
      </c>
      <c r="F383" s="577">
        <v>0.30821625014669518</v>
      </c>
      <c r="G383" s="577">
        <v>0.3033012766061654</v>
      </c>
    </row>
    <row r="384" spans="1:7" x14ac:dyDescent="0.25">
      <c r="A384" s="1619" t="s">
        <v>2869</v>
      </c>
      <c r="B384" s="577">
        <v>0.34871441133011333</v>
      </c>
      <c r="C384" s="577">
        <v>0.34483644415574755</v>
      </c>
      <c r="D384" s="577">
        <v>0.3402852368299959</v>
      </c>
      <c r="E384" s="577">
        <v>0.33551142283062924</v>
      </c>
      <c r="F384" s="577">
        <v>0.33057103723669046</v>
      </c>
      <c r="G384" s="577">
        <v>0.32491087504907085</v>
      </c>
    </row>
    <row r="385" spans="1:8" x14ac:dyDescent="0.25">
      <c r="A385" s="1619" t="s">
        <v>2870</v>
      </c>
      <c r="B385" s="577">
        <v>0.37354753010119307</v>
      </c>
      <c r="C385" s="577">
        <v>0.36856668113862551</v>
      </c>
      <c r="D385" s="577">
        <v>0.36331914038655916</v>
      </c>
      <c r="E385" s="577">
        <v>0.35786620992062462</v>
      </c>
      <c r="F385" s="577">
        <v>0.35218063567959584</v>
      </c>
      <c r="G385" s="577">
        <v>0.34588343886371914</v>
      </c>
    </row>
    <row r="386" spans="1:8" x14ac:dyDescent="0.25">
      <c r="A386" s="1619" t="s">
        <v>2871</v>
      </c>
      <c r="B386" s="577">
        <v>0.39727776708407081</v>
      </c>
      <c r="C386" s="577">
        <v>0.39160058469518882</v>
      </c>
      <c r="D386" s="577">
        <v>0.38567392747655449</v>
      </c>
      <c r="E386" s="577">
        <v>0.37947580836353006</v>
      </c>
      <c r="F386" s="577">
        <v>0.37315319949424419</v>
      </c>
      <c r="G386" s="577">
        <v>0.3662377473494422</v>
      </c>
    </row>
    <row r="387" spans="1:8" x14ac:dyDescent="0.25">
      <c r="A387" s="1619" t="s">
        <v>2872</v>
      </c>
      <c r="B387" s="577">
        <v>0.42031167064063413</v>
      </c>
      <c r="C387" s="577">
        <v>0.4139553717851841</v>
      </c>
      <c r="D387" s="577">
        <v>0.40728352591945988</v>
      </c>
      <c r="E387" s="577">
        <v>0.40044837217817836</v>
      </c>
      <c r="F387" s="577">
        <v>0.39350750797996725</v>
      </c>
      <c r="G387" s="577">
        <v>0.38599202620602174</v>
      </c>
    </row>
    <row r="388" spans="1:8" x14ac:dyDescent="0.25">
      <c r="A388" s="1619" t="s">
        <v>2873</v>
      </c>
      <c r="B388" s="577">
        <v>0.44266645773062946</v>
      </c>
      <c r="C388" s="577">
        <v>0.4355649702280896</v>
      </c>
      <c r="D388" s="577">
        <v>0.42825608973410823</v>
      </c>
      <c r="E388" s="577">
        <v>0.42080268066390142</v>
      </c>
      <c r="F388" s="577">
        <v>0.41326178683654691</v>
      </c>
      <c r="G388" s="577">
        <v>0.40516396385338671</v>
      </c>
    </row>
    <row r="389" spans="1:8" x14ac:dyDescent="0.25">
      <c r="A389" s="1622" t="s">
        <v>2874</v>
      </c>
      <c r="B389" s="468">
        <v>0.46427605617353479</v>
      </c>
      <c r="C389" s="468">
        <v>0.45653753404273772</v>
      </c>
      <c r="D389" s="468">
        <v>0.44861039821983112</v>
      </c>
      <c r="E389" s="468">
        <v>0.44055695952048096</v>
      </c>
      <c r="F389" s="468">
        <v>0.43243372448391182</v>
      </c>
      <c r="G389" s="468">
        <v>0.42377072727021586</v>
      </c>
      <c r="H389" s="577" t="s">
        <v>2721</v>
      </c>
    </row>
    <row r="390" spans="1:8" x14ac:dyDescent="0.25">
      <c r="A390" s="1623" t="s">
        <v>2875</v>
      </c>
      <c r="B390" s="1624">
        <v>0.48524861998818325</v>
      </c>
      <c r="C390" s="1624">
        <v>0.47689184252846067</v>
      </c>
      <c r="D390" s="1624">
        <v>0.46836467707641088</v>
      </c>
      <c r="E390" s="1624">
        <v>0.45972889716784593</v>
      </c>
      <c r="F390" s="1624">
        <v>0.45104048790074092</v>
      </c>
      <c r="G390" s="1624">
        <v>0.44182897736563265</v>
      </c>
      <c r="H390" s="577" t="s">
        <v>2876</v>
      </c>
    </row>
    <row r="391" spans="1:8" x14ac:dyDescent="0.25">
      <c r="A391" s="1619" t="s">
        <v>2877</v>
      </c>
      <c r="B391" s="577">
        <v>5.6992530254074879E-2</v>
      </c>
      <c r="C391" s="577">
        <v>5.6089161864559249E-2</v>
      </c>
      <c r="D391" s="577">
        <v>5.5102890239863971E-2</v>
      </c>
      <c r="E391" s="577">
        <v>5.4564933314459177E-2</v>
      </c>
      <c r="F391" s="577">
        <v>5.3869763208528473E-2</v>
      </c>
      <c r="G391" s="577">
        <v>5.3707032566663537E-2</v>
      </c>
    </row>
    <row r="392" spans="1:8" x14ac:dyDescent="0.25">
      <c r="A392" s="1619" t="s">
        <v>2878</v>
      </c>
      <c r="B392" s="577">
        <v>0.50560292847390609</v>
      </c>
      <c r="C392" s="577">
        <v>0.49664612138504061</v>
      </c>
      <c r="D392" s="577">
        <v>0.48753661472377574</v>
      </c>
      <c r="E392" s="577">
        <v>0.47833566058467514</v>
      </c>
      <c r="F392" s="577">
        <v>0.4690987379961577</v>
      </c>
      <c r="G392" s="577">
        <v>0.4593548838977527</v>
      </c>
    </row>
    <row r="393" spans="1:8" x14ac:dyDescent="0.25">
      <c r="A393" s="1619" t="s">
        <v>2879</v>
      </c>
      <c r="B393" s="577">
        <v>0.52535720733048585</v>
      </c>
      <c r="C393" s="577">
        <v>0.5158180590324053</v>
      </c>
      <c r="D393" s="577">
        <v>0.50614337814060484</v>
      </c>
      <c r="E393" s="577">
        <v>0.4963939106800917</v>
      </c>
      <c r="F393" s="577">
        <v>0.48662464452827758</v>
      </c>
      <c r="G393" s="577">
        <v>0.4758965606623774</v>
      </c>
    </row>
    <row r="394" spans="1:8" x14ac:dyDescent="0.25">
      <c r="A394" s="1619" t="s">
        <v>2880</v>
      </c>
      <c r="B394" s="577">
        <v>0.54452914497785099</v>
      </c>
      <c r="C394" s="577">
        <v>0.5344248224492345</v>
      </c>
      <c r="D394" s="577">
        <v>0.52420162823602146</v>
      </c>
      <c r="E394" s="577">
        <v>0.51391981721221169</v>
      </c>
      <c r="F394" s="577">
        <v>0.5031663212929024</v>
      </c>
      <c r="G394" s="577">
        <v>0.49150928059123522</v>
      </c>
    </row>
    <row r="395" spans="1:8" x14ac:dyDescent="0.25">
      <c r="A395" s="1619" t="s">
        <v>2881</v>
      </c>
      <c r="B395" s="577">
        <v>0.56313590839467997</v>
      </c>
      <c r="C395" s="577">
        <v>0.55248307254465123</v>
      </c>
      <c r="D395" s="577">
        <v>0.54172753476814151</v>
      </c>
      <c r="E395" s="577">
        <v>0.53046149397683651</v>
      </c>
      <c r="F395" s="577">
        <v>0.51877904122176022</v>
      </c>
      <c r="G395" s="577">
        <v>0.50624521256750488</v>
      </c>
    </row>
    <row r="396" spans="1:8" x14ac:dyDescent="0.25">
      <c r="A396" s="1619" t="s">
        <v>2882</v>
      </c>
      <c r="B396" s="577">
        <v>0.58119415849009659</v>
      </c>
      <c r="C396" s="577">
        <v>0.57000897907677106</v>
      </c>
      <c r="D396" s="577">
        <v>0.55826921153276621</v>
      </c>
      <c r="E396" s="577">
        <v>0.54607421390569455</v>
      </c>
      <c r="F396" s="577">
        <v>0.53351497319802976</v>
      </c>
      <c r="G396" s="577">
        <v>0.52015359574472975</v>
      </c>
    </row>
    <row r="397" spans="1:8" x14ac:dyDescent="0.25">
      <c r="A397" s="1619" t="s">
        <v>2883</v>
      </c>
      <c r="B397" s="577">
        <v>0.59872006502221653</v>
      </c>
      <c r="C397" s="577">
        <v>0.58655065584139598</v>
      </c>
      <c r="D397" s="577">
        <v>0.57388193146162425</v>
      </c>
      <c r="E397" s="577">
        <v>0.56081014588196421</v>
      </c>
      <c r="F397" s="577">
        <v>0.54742335637525474</v>
      </c>
      <c r="G397" s="577">
        <v>0.5332809040762303</v>
      </c>
    </row>
    <row r="398" spans="1:8" x14ac:dyDescent="0.25">
      <c r="A398" s="1619" t="s">
        <v>2884</v>
      </c>
      <c r="B398" s="577">
        <v>0.61526174178684134</v>
      </c>
      <c r="C398" s="577">
        <v>0.60216337577025403</v>
      </c>
      <c r="D398" s="577">
        <v>0.58861786343789391</v>
      </c>
      <c r="E398" s="577">
        <v>0.57471852905918897</v>
      </c>
      <c r="F398" s="577">
        <v>0.56055066470675541</v>
      </c>
      <c r="G398" s="577">
        <v>0.54567100160478232</v>
      </c>
    </row>
    <row r="399" spans="1:8" x14ac:dyDescent="0.25">
      <c r="A399" s="1619" t="s">
        <v>2885</v>
      </c>
      <c r="B399" s="577">
        <v>0.63087446171569928</v>
      </c>
      <c r="C399" s="577">
        <v>0.61689930774652346</v>
      </c>
      <c r="D399" s="577">
        <v>0.60252624661511889</v>
      </c>
      <c r="E399" s="577">
        <v>0.58784583739068952</v>
      </c>
      <c r="F399" s="577">
        <v>0.57294076223530732</v>
      </c>
      <c r="G399" s="577">
        <v>0.55736528903144733</v>
      </c>
    </row>
    <row r="400" spans="1:8" x14ac:dyDescent="0.25">
      <c r="A400" s="1619" t="s">
        <v>2886</v>
      </c>
      <c r="B400" s="577">
        <v>0.64561039369196904</v>
      </c>
      <c r="C400" s="577">
        <v>0.63080769092374833</v>
      </c>
      <c r="D400" s="577">
        <v>0.61565355494661944</v>
      </c>
      <c r="E400" s="577">
        <v>0.60023593491924132</v>
      </c>
      <c r="F400" s="577">
        <v>0.58463504966197233</v>
      </c>
      <c r="G400" s="577">
        <v>0.56840284205331149</v>
      </c>
    </row>
    <row r="401" spans="1:7" x14ac:dyDescent="0.25">
      <c r="A401" s="1619" t="s">
        <v>2887</v>
      </c>
      <c r="B401" s="577">
        <v>0.65951877686919391</v>
      </c>
      <c r="C401" s="577">
        <v>0.643934999255249</v>
      </c>
      <c r="D401" s="577">
        <v>0.62804365247517124</v>
      </c>
      <c r="E401" s="577">
        <v>0.61193022234590644</v>
      </c>
      <c r="F401" s="577">
        <v>0.59567260268383648</v>
      </c>
      <c r="G401" s="577">
        <v>0.57882054193237165</v>
      </c>
    </row>
    <row r="402" spans="1:7" x14ac:dyDescent="0.25">
      <c r="A402" s="1619" t="s">
        <v>2888</v>
      </c>
      <c r="B402" s="577">
        <v>8.4800247810004684E-2</v>
      </c>
      <c r="C402" s="577">
        <v>8.3384334548493325E-2</v>
      </c>
      <c r="D402" s="577">
        <v>8.2372650870389003E-2</v>
      </c>
      <c r="E402" s="577">
        <v>8.1164935892462653E-2</v>
      </c>
      <c r="F402" s="577">
        <v>8.0976793197188576E-2</v>
      </c>
      <c r="G402" s="577">
        <v>8.0286091077043709E-2</v>
      </c>
    </row>
    <row r="403" spans="1:7" x14ac:dyDescent="0.25">
      <c r="A403" s="1619" t="s">
        <v>2889</v>
      </c>
      <c r="B403" s="577">
        <v>0.67264608520069447</v>
      </c>
      <c r="C403" s="577">
        <v>0.6563250967838008</v>
      </c>
      <c r="D403" s="577">
        <v>0.63973793990183647</v>
      </c>
      <c r="E403" s="577">
        <v>0.62296777536777093</v>
      </c>
      <c r="F403" s="577">
        <v>0.60609030256289664</v>
      </c>
      <c r="G403" s="577">
        <v>0.58865319873186228</v>
      </c>
    </row>
    <row r="404" spans="1:7" x14ac:dyDescent="0.25">
      <c r="A404" s="577" t="s">
        <v>2890</v>
      </c>
      <c r="B404" s="577">
        <v>0.11209542049393874</v>
      </c>
      <c r="C404" s="577">
        <v>0.11065409517901832</v>
      </c>
      <c r="D404" s="577">
        <v>0.10897265344839244</v>
      </c>
      <c r="E404" s="577">
        <v>0.10827196588112273</v>
      </c>
      <c r="F404" s="577">
        <v>0.10755585170756872</v>
      </c>
      <c r="G404" s="577">
        <v>0.10644410455120169</v>
      </c>
    </row>
    <row r="405" spans="1:7" x14ac:dyDescent="0.25">
      <c r="A405" s="577" t="s">
        <v>2891</v>
      </c>
      <c r="B405" s="577">
        <v>0.13936518112446378</v>
      </c>
      <c r="C405" s="577">
        <v>0.13725409775702166</v>
      </c>
      <c r="D405" s="577">
        <v>0.13607968343705262</v>
      </c>
      <c r="E405" s="577">
        <v>0.1348510243915029</v>
      </c>
      <c r="F405" s="577">
        <v>0.13371386518172676</v>
      </c>
      <c r="G405" s="577">
        <v>0.13232867523419153</v>
      </c>
    </row>
    <row r="406" spans="1:7" x14ac:dyDescent="0.25">
      <c r="A406" s="577" t="s">
        <v>2892</v>
      </c>
      <c r="B406" s="577">
        <v>0.1659651837024671</v>
      </c>
      <c r="C406" s="577">
        <v>0.16436112774568185</v>
      </c>
      <c r="D406" s="577">
        <v>0.16265874194743268</v>
      </c>
      <c r="E406" s="577">
        <v>0.1610090378656609</v>
      </c>
      <c r="F406" s="577">
        <v>0.15959843586471653</v>
      </c>
      <c r="G406" s="577">
        <v>0.15785981826202503</v>
      </c>
    </row>
    <row r="407" spans="1:7" x14ac:dyDescent="0.25">
      <c r="A407" s="577" t="s">
        <v>2893</v>
      </c>
      <c r="B407" s="577">
        <v>0.19307221369112723</v>
      </c>
      <c r="C407" s="577">
        <v>0.19094018625606199</v>
      </c>
      <c r="D407" s="577">
        <v>0.18881675542159071</v>
      </c>
      <c r="E407" s="577">
        <v>0.18689360854865067</v>
      </c>
      <c r="F407" s="577">
        <v>0.18512957889255005</v>
      </c>
      <c r="G407" s="577">
        <v>0.18339510574878973</v>
      </c>
    </row>
    <row r="408" spans="1:7" x14ac:dyDescent="0.25">
      <c r="A408" s="577" t="s">
        <v>2894</v>
      </c>
      <c r="B408" s="577">
        <v>0.21965127220150746</v>
      </c>
      <c r="C408" s="577">
        <v>0.2170981997302201</v>
      </c>
      <c r="D408" s="577">
        <v>0.21470132610458045</v>
      </c>
      <c r="E408" s="577">
        <v>0.21242475157648424</v>
      </c>
      <c r="F408" s="577">
        <v>0.21066486637931484</v>
      </c>
      <c r="G408" s="577">
        <v>0.20934923020564936</v>
      </c>
    </row>
    <row r="409" spans="1:7" x14ac:dyDescent="0.25">
      <c r="A409" s="1619" t="s">
        <v>2895</v>
      </c>
      <c r="B409" s="577">
        <v>0.24580928567566562</v>
      </c>
      <c r="C409" s="577">
        <v>0.24298277041321004</v>
      </c>
      <c r="D409" s="577">
        <v>0.24023246913241403</v>
      </c>
      <c r="E409" s="577">
        <v>0.23796003906324886</v>
      </c>
      <c r="F409" s="577">
        <v>0.23661899083617441</v>
      </c>
      <c r="G409" s="577">
        <v>0.23418234897672904</v>
      </c>
    </row>
    <row r="410" spans="1:7" x14ac:dyDescent="0.25">
      <c r="A410" s="1619" t="s">
        <v>2896</v>
      </c>
      <c r="B410" s="577">
        <v>2.9055626477660589E-2</v>
      </c>
      <c r="C410" s="577">
        <v>2.8620829028957427E-2</v>
      </c>
      <c r="D410" s="577">
        <v>2.8141417431462687E-2</v>
      </c>
      <c r="E410" s="577">
        <v>2.7622721887098967E-2</v>
      </c>
      <c r="F410" s="577">
        <v>2.7597004882409931E-2</v>
      </c>
      <c r="G410" s="577">
        <v>2.6919209558281518E-2</v>
      </c>
    </row>
    <row r="411" spans="1:7" x14ac:dyDescent="0.25">
      <c r="A411" s="1619" t="s">
        <v>2897</v>
      </c>
      <c r="B411" s="577">
        <v>0.2749542536159123</v>
      </c>
      <c r="C411" s="577">
        <v>0.27173615055251799</v>
      </c>
      <c r="D411" s="577">
        <v>0.268957039131348</v>
      </c>
      <c r="E411" s="577">
        <v>0.26708120243083133</v>
      </c>
      <c r="F411" s="577">
        <v>0.26458960322780262</v>
      </c>
      <c r="G411" s="577">
        <v>0.26100760437167103</v>
      </c>
    </row>
    <row r="412" spans="1:7" x14ac:dyDescent="0.25">
      <c r="A412" s="1619" t="s">
        <v>2898</v>
      </c>
      <c r="B412" s="577">
        <v>0.30079177703017845</v>
      </c>
      <c r="C412" s="577">
        <v>0.2975778681603054</v>
      </c>
      <c r="D412" s="577">
        <v>0.29522261986229409</v>
      </c>
      <c r="E412" s="577">
        <v>0.29221232511490164</v>
      </c>
      <c r="F412" s="577">
        <v>0.28860460925408093</v>
      </c>
      <c r="G412" s="577">
        <v>0.28431792078859941</v>
      </c>
    </row>
    <row r="413" spans="1:7" x14ac:dyDescent="0.25">
      <c r="A413" s="1619" t="s">
        <v>2899</v>
      </c>
      <c r="B413" s="577">
        <v>0.32663349463796604</v>
      </c>
      <c r="C413" s="577">
        <v>0.32384344889125144</v>
      </c>
      <c r="D413" s="577">
        <v>0.32035374254636423</v>
      </c>
      <c r="E413" s="577">
        <v>0.31622733114117996</v>
      </c>
      <c r="F413" s="577">
        <v>0.31191492567100926</v>
      </c>
      <c r="G413" s="577">
        <v>0.30694097116393948</v>
      </c>
    </row>
    <row r="414" spans="1:7" x14ac:dyDescent="0.25">
      <c r="A414" s="1619" t="s">
        <v>2900</v>
      </c>
      <c r="B414" s="577">
        <v>0.35289907536891207</v>
      </c>
      <c r="C414" s="577">
        <v>0.34897457157532158</v>
      </c>
      <c r="D414" s="577">
        <v>0.34436874857264271</v>
      </c>
      <c r="E414" s="577">
        <v>0.33953764755810834</v>
      </c>
      <c r="F414" s="577">
        <v>0.33453797604634949</v>
      </c>
      <c r="G414" s="577">
        <v>0.32880989043374165</v>
      </c>
    </row>
    <row r="415" spans="1:7" x14ac:dyDescent="0.25">
      <c r="A415" s="1619" t="s">
        <v>2901</v>
      </c>
      <c r="B415" s="577">
        <v>0.37803019805298216</v>
      </c>
      <c r="C415" s="577">
        <v>0.37298957760160001</v>
      </c>
      <c r="D415" s="577">
        <v>0.36767906498957093</v>
      </c>
      <c r="E415" s="577">
        <v>0.36216069793344846</v>
      </c>
      <c r="F415" s="577">
        <v>0.35640689531615144</v>
      </c>
      <c r="G415" s="577">
        <v>0.35003413049331999</v>
      </c>
    </row>
    <row r="416" spans="1:7" x14ac:dyDescent="0.25">
      <c r="A416" s="577" t="s">
        <v>2902</v>
      </c>
      <c r="B416" s="577">
        <v>0.40204520407926059</v>
      </c>
      <c r="C416" s="577">
        <v>0.3962998940185285</v>
      </c>
      <c r="D416" s="577">
        <v>0.39030211536491116</v>
      </c>
      <c r="E416" s="577">
        <v>0.38402961720325057</v>
      </c>
      <c r="F416" s="577">
        <v>0.3776311353757299</v>
      </c>
      <c r="G416" s="577">
        <v>0.37063269599850462</v>
      </c>
    </row>
    <row r="417" spans="1:7" x14ac:dyDescent="0.25">
      <c r="A417" s="577" t="s">
        <v>2903</v>
      </c>
      <c r="B417" s="577">
        <v>0.42535552049618897</v>
      </c>
      <c r="C417" s="577">
        <v>0.41892294439386862</v>
      </c>
      <c r="D417" s="577">
        <v>0.41217103463471311</v>
      </c>
      <c r="E417" s="577">
        <v>0.4052538572628287</v>
      </c>
      <c r="F417" s="577">
        <v>0.39822970088091458</v>
      </c>
      <c r="G417" s="577">
        <v>0.39062403136223656</v>
      </c>
    </row>
    <row r="418" spans="1:7" x14ac:dyDescent="0.25">
      <c r="A418" s="577" t="s">
        <v>2904</v>
      </c>
      <c r="B418" s="577">
        <v>0.44797857087152915</v>
      </c>
      <c r="C418" s="577">
        <v>0.44079186366367057</v>
      </c>
      <c r="D418" s="577">
        <v>0.43339527469429173</v>
      </c>
      <c r="E418" s="577">
        <v>0.42585242276801349</v>
      </c>
      <c r="F418" s="577">
        <v>0.41822103624464635</v>
      </c>
      <c r="G418" s="577">
        <v>0.41002603727010439</v>
      </c>
    </row>
    <row r="419" spans="1:7" x14ac:dyDescent="0.25">
      <c r="A419" s="577" t="s">
        <v>2905</v>
      </c>
      <c r="B419" s="577">
        <v>0.46984749014133109</v>
      </c>
      <c r="C419" s="577">
        <v>0.46201610372324903</v>
      </c>
      <c r="D419" s="577">
        <v>0.4539938401994762</v>
      </c>
      <c r="E419" s="577">
        <v>0.44584375813174543</v>
      </c>
      <c r="F419" s="577">
        <v>0.43762304215251413</v>
      </c>
      <c r="G419" s="577">
        <v>0.42885608670901615</v>
      </c>
    </row>
    <row r="420" spans="1:7" x14ac:dyDescent="0.25">
      <c r="A420" s="577" t="s">
        <v>2906</v>
      </c>
      <c r="B420" s="577">
        <v>0.4910717302009095</v>
      </c>
      <c r="C420" s="577">
        <v>0.4826146692284336</v>
      </c>
      <c r="D420" s="577">
        <v>0.47398517556320813</v>
      </c>
      <c r="E420" s="577">
        <v>0.46524576403961321</v>
      </c>
      <c r="F420" s="577">
        <v>0.45645309159142616</v>
      </c>
      <c r="G420" s="577">
        <v>0.44713104052335778</v>
      </c>
    </row>
    <row r="421" spans="1:7" x14ac:dyDescent="0.25">
      <c r="A421" s="577" t="s">
        <v>2907</v>
      </c>
      <c r="B421" s="577">
        <v>5.7676455506617999E-2</v>
      </c>
      <c r="C421" s="577">
        <v>5.6762246460420121E-2</v>
      </c>
      <c r="D421" s="577">
        <v>5.5764139318561647E-2</v>
      </c>
      <c r="E421" s="577">
        <v>5.5219726769508912E-2</v>
      </c>
      <c r="F421" s="577">
        <v>5.4516214440691442E-2</v>
      </c>
      <c r="G421" s="577">
        <v>5.435153098861021E-2</v>
      </c>
    </row>
    <row r="422" spans="1:7" x14ac:dyDescent="0.25">
      <c r="A422" s="577" t="s">
        <v>2908</v>
      </c>
      <c r="B422" s="577">
        <v>0.51167029570609424</v>
      </c>
      <c r="C422" s="577">
        <v>0.50260600459216553</v>
      </c>
      <c r="D422" s="577">
        <v>0.4933871814710758</v>
      </c>
      <c r="E422" s="577">
        <v>0.48407581347852524</v>
      </c>
      <c r="F422" s="577">
        <v>0.47472804540576774</v>
      </c>
      <c r="G422" s="577">
        <v>0.46486726251256638</v>
      </c>
    </row>
    <row r="423" spans="1:7" x14ac:dyDescent="0.25">
      <c r="A423" s="577" t="s">
        <v>2909</v>
      </c>
      <c r="B423" s="577">
        <v>0.53166163106982622</v>
      </c>
      <c r="C423" s="577">
        <v>0.5220080105000332</v>
      </c>
      <c r="D423" s="577">
        <v>0.51221723090998783</v>
      </c>
      <c r="E423" s="577">
        <v>0.50235076729286665</v>
      </c>
      <c r="F423" s="577">
        <v>0.4924642673949764</v>
      </c>
      <c r="G423" s="577">
        <v>0.48160744371993669</v>
      </c>
    </row>
    <row r="424" spans="1:7" x14ac:dyDescent="0.25">
      <c r="A424" s="577" t="s">
        <v>2910</v>
      </c>
      <c r="B424" s="577">
        <v>0.551063636977694</v>
      </c>
      <c r="C424" s="577">
        <v>0.54083805993894529</v>
      </c>
      <c r="D424" s="577">
        <v>0.53049218472432957</v>
      </c>
      <c r="E424" s="577">
        <v>0.52008698928207531</v>
      </c>
      <c r="F424" s="577">
        <v>0.5092044486023467</v>
      </c>
      <c r="G424" s="577">
        <v>0.49740752036681746</v>
      </c>
    </row>
    <row r="425" spans="1:7" x14ac:dyDescent="0.25">
      <c r="A425" s="577" t="s">
        <v>2911</v>
      </c>
      <c r="B425" s="577">
        <v>0.56989368641660609</v>
      </c>
      <c r="C425" s="577">
        <v>0.55911301375328681</v>
      </c>
      <c r="D425" s="577">
        <v>0.54822840671353801</v>
      </c>
      <c r="E425" s="577">
        <v>0.53682717048944562</v>
      </c>
      <c r="F425" s="577">
        <v>0.52500452524922736</v>
      </c>
      <c r="G425" s="577">
        <v>0.51232028737661528</v>
      </c>
    </row>
    <row r="426" spans="1:7" x14ac:dyDescent="0.25">
      <c r="A426" s="577" t="s">
        <v>2912</v>
      </c>
      <c r="B426" s="577">
        <v>0.58816864023094728</v>
      </c>
      <c r="C426" s="577">
        <v>0.57684923574249547</v>
      </c>
      <c r="D426" s="577">
        <v>0.56496858792090832</v>
      </c>
      <c r="E426" s="577">
        <v>0.5526272471363266</v>
      </c>
      <c r="F426" s="577">
        <v>0.53991729225902529</v>
      </c>
      <c r="G426" s="577">
        <v>0.52639557478557975</v>
      </c>
    </row>
    <row r="427" spans="1:7" x14ac:dyDescent="0.25">
      <c r="A427" s="577" t="s">
        <v>2913</v>
      </c>
      <c r="B427" s="577">
        <v>0.60590486222015605</v>
      </c>
      <c r="C427" s="577">
        <v>0.59358941694986567</v>
      </c>
      <c r="D427" s="577">
        <v>0.58076866456778919</v>
      </c>
      <c r="E427" s="577">
        <v>0.56754001414612409</v>
      </c>
      <c r="F427" s="577">
        <v>0.55399257966798954</v>
      </c>
      <c r="G427" s="577">
        <v>0.53968041424661273</v>
      </c>
    </row>
    <row r="428" spans="1:7" x14ac:dyDescent="0.25">
      <c r="A428" s="577" t="s">
        <v>2914</v>
      </c>
      <c r="B428" s="577">
        <v>8.5817872938080728E-2</v>
      </c>
      <c r="C428" s="577">
        <v>8.438496834751906E-2</v>
      </c>
      <c r="D428" s="577">
        <v>8.3361144200971585E-2</v>
      </c>
      <c r="E428" s="577">
        <v>8.2138936327790416E-2</v>
      </c>
      <c r="F428" s="577">
        <v>8.1948535871020148E-2</v>
      </c>
      <c r="G428" s="577">
        <v>8.1249545144985225E-2</v>
      </c>
    </row>
    <row r="429" spans="1:7" x14ac:dyDescent="0.25">
      <c r="A429" s="577" t="s">
        <v>2915</v>
      </c>
      <c r="B429" s="577">
        <v>0.11344059482517968</v>
      </c>
      <c r="C429" s="577">
        <v>0.11198197322992906</v>
      </c>
      <c r="D429" s="577">
        <v>0.1102803537592531</v>
      </c>
      <c r="E429" s="577">
        <v>0.1095712577581191</v>
      </c>
      <c r="F429" s="577">
        <v>0.10884655002739518</v>
      </c>
      <c r="G429" s="577">
        <v>0.10772146161470397</v>
      </c>
    </row>
    <row r="430" spans="1:7" x14ac:dyDescent="0.25">
      <c r="A430" s="577" t="s">
        <v>2916</v>
      </c>
      <c r="B430" s="577">
        <v>0.14103759970758961</v>
      </c>
      <c r="C430" s="577">
        <v>0.13890118278821054</v>
      </c>
      <c r="D430" s="577">
        <v>0.13771267518958183</v>
      </c>
      <c r="E430" s="577">
        <v>0.13646927191449409</v>
      </c>
      <c r="F430" s="577">
        <v>0.1353184664971139</v>
      </c>
      <c r="G430" s="577">
        <v>0.13391665390832266</v>
      </c>
    </row>
    <row r="431" spans="1:7" x14ac:dyDescent="0.25">
      <c r="A431" s="577" t="s">
        <v>2917</v>
      </c>
      <c r="B431" s="577">
        <v>0.16795680926587117</v>
      </c>
      <c r="C431" s="577">
        <v>0.16633350421853921</v>
      </c>
      <c r="D431" s="577">
        <v>0.16461068934595682</v>
      </c>
      <c r="E431" s="577">
        <v>0.16294118838421287</v>
      </c>
      <c r="F431" s="577">
        <v>0.16151365879073259</v>
      </c>
      <c r="G431" s="577">
        <v>0.15975417732258898</v>
      </c>
    </row>
    <row r="432" spans="1:7" x14ac:dyDescent="0.25">
      <c r="A432" s="577" t="s">
        <v>2918</v>
      </c>
      <c r="B432" s="577">
        <v>0.19538913069619981</v>
      </c>
      <c r="C432" s="577">
        <v>0.19323151837491434</v>
      </c>
      <c r="D432" s="577">
        <v>0.19108260581567552</v>
      </c>
      <c r="E432" s="577">
        <v>0.18913638067783153</v>
      </c>
      <c r="F432" s="577">
        <v>0.18735118220499888</v>
      </c>
      <c r="G432" s="577">
        <v>0.18559589493037651</v>
      </c>
    </row>
    <row r="433" spans="1:7" x14ac:dyDescent="0.25">
      <c r="A433" s="577" t="s">
        <v>2919</v>
      </c>
      <c r="B433" s="577">
        <v>0.22228714485257492</v>
      </c>
      <c r="C433" s="577">
        <v>0.21970343484463309</v>
      </c>
      <c r="D433" s="577">
        <v>0.21727779810929429</v>
      </c>
      <c r="E433" s="577">
        <v>0.21497390409209788</v>
      </c>
      <c r="F433" s="577">
        <v>0.2131928998127863</v>
      </c>
      <c r="G433" s="577">
        <v>0.21186147566132246</v>
      </c>
    </row>
    <row r="434" spans="1:7" x14ac:dyDescent="0.25">
      <c r="A434" s="577" t="s">
        <v>2920</v>
      </c>
      <c r="B434" s="577">
        <v>0.24875906132229367</v>
      </c>
      <c r="C434" s="577">
        <v>0.24589862713825164</v>
      </c>
      <c r="D434" s="577">
        <v>0.24311532152356055</v>
      </c>
      <c r="E434" s="577">
        <v>0.24081562169988532</v>
      </c>
      <c r="F434" s="577">
        <v>0.23945848054373245</v>
      </c>
      <c r="G434" s="577">
        <v>0.23699259834539271</v>
      </c>
    </row>
    <row r="435" spans="1:7" x14ac:dyDescent="0.25">
      <c r="A435" s="577" t="s">
        <v>2921</v>
      </c>
      <c r="B435" s="577">
        <v>0.30189068087546012</v>
      </c>
      <c r="C435" s="577">
        <v>0.29568259950470982</v>
      </c>
      <c r="D435" s="577">
        <v>0.28938315085351951</v>
      </c>
      <c r="E435" s="577">
        <v>0.28290256974753253</v>
      </c>
      <c r="F435" s="577">
        <v>0.2761093833617817</v>
      </c>
      <c r="G435" s="577">
        <v>0.26910190938642736</v>
      </c>
    </row>
    <row r="436" spans="1:7" x14ac:dyDescent="0.25">
      <c r="A436" s="577" t="s">
        <v>2922</v>
      </c>
      <c r="B436" s="577">
        <v>5.2302450723593706E-2</v>
      </c>
      <c r="C436" s="577">
        <v>5.3516434947454998E-2</v>
      </c>
      <c r="D436" s="577">
        <v>5.4562013278680065E-2</v>
      </c>
      <c r="E436" s="577">
        <v>5.7700578563194146E-2</v>
      </c>
      <c r="F436" s="577">
        <v>6.0894682043841263E-2</v>
      </c>
      <c r="G436" s="577">
        <v>6.2580360976253677E-2</v>
      </c>
    </row>
    <row r="437" spans="1:7" x14ac:dyDescent="0.25">
      <c r="A437" s="577" t="s">
        <v>2923</v>
      </c>
      <c r="B437" s="577">
        <v>0.60155069553984886</v>
      </c>
      <c r="C437" s="577">
        <v>0.61282548167836104</v>
      </c>
      <c r="D437" s="577">
        <v>0.62170504347935851</v>
      </c>
      <c r="E437" s="577">
        <v>0.62854595247265532</v>
      </c>
      <c r="F437" s="577">
        <v>0.6294623146341648</v>
      </c>
      <c r="G437" s="577">
        <v>0.62438122055082956</v>
      </c>
    </row>
    <row r="438" spans="1:7" x14ac:dyDescent="0.25">
      <c r="A438" s="577" t="s">
        <v>2924</v>
      </c>
      <c r="B438" s="577">
        <v>0.66512793240195489</v>
      </c>
      <c r="C438" s="577">
        <v>0.67522147842681346</v>
      </c>
      <c r="D438" s="577">
        <v>0.68310796575133537</v>
      </c>
      <c r="E438" s="577">
        <v>0.68716289319735879</v>
      </c>
      <c r="F438" s="577">
        <v>0.68527590259467086</v>
      </c>
      <c r="G438" s="577">
        <v>0.67786777245521912</v>
      </c>
    </row>
    <row r="439" spans="1:7" x14ac:dyDescent="0.25">
      <c r="A439" s="577" t="s">
        <v>2925</v>
      </c>
      <c r="B439" s="577">
        <v>0.7275239291504072</v>
      </c>
      <c r="C439" s="577">
        <v>0.73662440069879043</v>
      </c>
      <c r="D439" s="577">
        <v>0.74172490647603895</v>
      </c>
      <c r="E439" s="577">
        <v>0.74297648115786497</v>
      </c>
      <c r="F439" s="577">
        <v>0.73876245449906031</v>
      </c>
      <c r="G439" s="577">
        <v>0.72913719067073757</v>
      </c>
    </row>
    <row r="440" spans="1:7" x14ac:dyDescent="0.25">
      <c r="A440" s="577" t="s">
        <v>2926</v>
      </c>
      <c r="B440" s="577">
        <v>0.78892685142238417</v>
      </c>
      <c r="C440" s="577">
        <v>0.7952413414234939</v>
      </c>
      <c r="D440" s="577">
        <v>0.79753849443654512</v>
      </c>
      <c r="E440" s="577">
        <v>0.79646303306225463</v>
      </c>
      <c r="F440" s="577">
        <v>0.79003187271457864</v>
      </c>
      <c r="G440" s="577">
        <v>0.7782406052180092</v>
      </c>
    </row>
    <row r="441" spans="1:7" x14ac:dyDescent="0.25">
      <c r="A441" s="577" t="s">
        <v>2927</v>
      </c>
      <c r="B441" s="577">
        <v>0.84754379214708753</v>
      </c>
      <c r="C441" s="577">
        <v>0.85105492938400007</v>
      </c>
      <c r="D441" s="577">
        <v>0.85102504634093468</v>
      </c>
      <c r="E441" s="577">
        <v>0.84773245127777275</v>
      </c>
      <c r="F441" s="577">
        <v>0.83913528726185049</v>
      </c>
      <c r="G441" s="577">
        <v>0.82542877780438428</v>
      </c>
    </row>
    <row r="442" spans="1:7" x14ac:dyDescent="0.25">
      <c r="A442" s="577" t="s">
        <v>2928</v>
      </c>
      <c r="B442" s="577">
        <v>0.90335738010759381</v>
      </c>
      <c r="C442" s="577">
        <v>0.90454148128838974</v>
      </c>
      <c r="D442" s="577">
        <v>0.90229446455645279</v>
      </c>
      <c r="E442" s="577">
        <v>0.89683586582504438</v>
      </c>
      <c r="F442" s="577">
        <v>0.88632345984822536</v>
      </c>
      <c r="G442" s="577">
        <v>0.87078117780645814</v>
      </c>
    </row>
    <row r="443" spans="1:7" x14ac:dyDescent="0.25">
      <c r="A443" s="577" t="s">
        <v>2929</v>
      </c>
      <c r="B443" s="577">
        <v>0.95684393201198348</v>
      </c>
      <c r="C443" s="577">
        <v>0.95581089950390785</v>
      </c>
      <c r="D443" s="577">
        <v>0.95139787910372442</v>
      </c>
      <c r="E443" s="577">
        <v>0.9440240384114198</v>
      </c>
      <c r="F443" s="577">
        <v>0.93167585985029933</v>
      </c>
      <c r="G443" s="577">
        <v>0.91437379304180677</v>
      </c>
    </row>
    <row r="444" spans="1:7" x14ac:dyDescent="0.25">
      <c r="A444" s="577" t="s">
        <v>2930</v>
      </c>
      <c r="B444" s="577">
        <v>1.0081133502275017</v>
      </c>
      <c r="C444" s="577">
        <v>1.0049143140511796</v>
      </c>
      <c r="D444" s="577">
        <v>0.99858605169009973</v>
      </c>
      <c r="E444" s="577">
        <v>0.98937643841349354</v>
      </c>
      <c r="F444" s="577">
        <v>0.97526847508564818</v>
      </c>
      <c r="G444" s="577">
        <v>0.95627928903422388</v>
      </c>
    </row>
    <row r="445" spans="1:7" x14ac:dyDescent="0.25">
      <c r="A445" s="577" t="s">
        <v>2931</v>
      </c>
      <c r="B445" s="577">
        <v>1.0572167647747732</v>
      </c>
      <c r="C445" s="577">
        <v>1.0521024866375548</v>
      </c>
      <c r="D445" s="577">
        <v>1.0439384516921737</v>
      </c>
      <c r="E445" s="577">
        <v>1.0329690536488423</v>
      </c>
      <c r="F445" s="577">
        <v>1.0171739710780652</v>
      </c>
      <c r="G445" s="577">
        <v>0.99656716075785778</v>
      </c>
    </row>
    <row r="446" spans="1:7" x14ac:dyDescent="0.25">
      <c r="A446" s="577" t="s">
        <v>2932</v>
      </c>
      <c r="B446" s="577">
        <v>1.1044049373611484</v>
      </c>
      <c r="C446" s="577">
        <v>1.0974548866396285</v>
      </c>
      <c r="D446" s="577">
        <v>1.0875310669275224</v>
      </c>
      <c r="E446" s="577">
        <v>1.0748745496412593</v>
      </c>
      <c r="F446" s="577">
        <v>1.0574618428016991</v>
      </c>
      <c r="G446" s="577">
        <v>1.0353038772233758</v>
      </c>
    </row>
    <row r="447" spans="1:7" x14ac:dyDescent="0.25">
      <c r="A447" s="577" t="s">
        <v>2933</v>
      </c>
      <c r="B447" s="577">
        <v>0.1058188856710487</v>
      </c>
      <c r="C447" s="577">
        <v>0.10807844822613502</v>
      </c>
      <c r="D447" s="577">
        <v>0.1122625918418742</v>
      </c>
      <c r="E447" s="577">
        <v>0.1185952606070354</v>
      </c>
      <c r="F447" s="577">
        <v>0.12347504302009493</v>
      </c>
      <c r="G447" s="577">
        <v>0.12723058958792277</v>
      </c>
    </row>
    <row r="448" spans="1:7" x14ac:dyDescent="0.25">
      <c r="A448" s="577" t="s">
        <v>2934</v>
      </c>
      <c r="B448" s="577">
        <v>1.1497573373632222</v>
      </c>
      <c r="C448" s="577">
        <v>1.1410475018749775</v>
      </c>
      <c r="D448" s="577">
        <v>1.1294365629199394</v>
      </c>
      <c r="E448" s="577">
        <v>1.115162421364893</v>
      </c>
      <c r="F448" s="577">
        <v>1.096198559267217</v>
      </c>
      <c r="G448" s="577">
        <v>1.0725530192514849</v>
      </c>
    </row>
    <row r="449" spans="1:7" x14ac:dyDescent="0.25">
      <c r="A449" s="577" t="s">
        <v>2935</v>
      </c>
      <c r="B449" s="577">
        <v>1.1933499525985711</v>
      </c>
      <c r="C449" s="577">
        <v>1.1829529978673945</v>
      </c>
      <c r="D449" s="577">
        <v>1.1697244346435731</v>
      </c>
      <c r="E449" s="577">
        <v>1.1538991378304113</v>
      </c>
      <c r="F449" s="577">
        <v>1.1334477012953259</v>
      </c>
      <c r="G449" s="577">
        <v>1.1077103029023665</v>
      </c>
    </row>
    <row r="450" spans="1:7" x14ac:dyDescent="0.25">
      <c r="A450" s="577" t="s">
        <v>2936</v>
      </c>
      <c r="B450" s="577">
        <v>1.2352554485909883</v>
      </c>
      <c r="C450" s="577">
        <v>1.2232408695910282</v>
      </c>
      <c r="D450" s="577">
        <v>1.2084611511090912</v>
      </c>
      <c r="E450" s="577">
        <v>1.19114827985852</v>
      </c>
      <c r="F450" s="577">
        <v>1.1686049849462075</v>
      </c>
      <c r="G450" s="577">
        <v>1.1408932039414241</v>
      </c>
    </row>
    <row r="451" spans="1:7" x14ac:dyDescent="0.25">
      <c r="A451" s="577" t="s">
        <v>2937</v>
      </c>
      <c r="B451" s="577">
        <v>1.275543320314622</v>
      </c>
      <c r="C451" s="577">
        <v>1.2619775860565463</v>
      </c>
      <c r="D451" s="577">
        <v>1.2457102931372002</v>
      </c>
      <c r="E451" s="577">
        <v>1.2263055635094018</v>
      </c>
      <c r="F451" s="577">
        <v>1.2017878859852655</v>
      </c>
      <c r="G451" s="577">
        <v>1.1722126008636116</v>
      </c>
    </row>
    <row r="452" spans="1:7" x14ac:dyDescent="0.25">
      <c r="A452" s="577" t="s">
        <v>2938</v>
      </c>
      <c r="B452" s="577">
        <v>1.3142800367801399</v>
      </c>
      <c r="C452" s="577">
        <v>1.2992267280846554</v>
      </c>
      <c r="D452" s="577">
        <v>1.2808675767880819</v>
      </c>
      <c r="E452" s="577">
        <v>1.2594884645484596</v>
      </c>
      <c r="F452" s="577">
        <v>1.233107282907453</v>
      </c>
      <c r="G452" s="577">
        <v>1.2017731453866769</v>
      </c>
    </row>
    <row r="453" spans="1:7" x14ac:dyDescent="0.25">
      <c r="A453" s="577" t="s">
        <v>2939</v>
      </c>
      <c r="B453" s="577">
        <v>1.3515291788082491</v>
      </c>
      <c r="C453" s="577">
        <v>1.3343840117355372</v>
      </c>
      <c r="D453" s="577">
        <v>1.3140504778271396</v>
      </c>
      <c r="E453" s="577">
        <v>1.2908078614706471</v>
      </c>
      <c r="F453" s="577">
        <v>1.2626678274305183</v>
      </c>
      <c r="G453" s="577">
        <v>1.2296736121380365</v>
      </c>
    </row>
    <row r="454" spans="1:7" x14ac:dyDescent="0.25">
      <c r="A454" s="577" t="s">
        <v>2940</v>
      </c>
      <c r="B454" s="577">
        <v>1.3866864624591311</v>
      </c>
      <c r="C454" s="577">
        <v>1.3675669127745949</v>
      </c>
      <c r="D454" s="577">
        <v>1.3453698747493275</v>
      </c>
      <c r="E454" s="577">
        <v>1.3203684059937124</v>
      </c>
      <c r="F454" s="577">
        <v>1.2905682941818775</v>
      </c>
      <c r="G454" s="577">
        <v>1.256007228703736</v>
      </c>
    </row>
    <row r="455" spans="1:7" x14ac:dyDescent="0.25">
      <c r="A455" s="577" t="s">
        <v>2941</v>
      </c>
      <c r="B455" s="577">
        <v>1.4198693634981883</v>
      </c>
      <c r="C455" s="577">
        <v>1.3988863096967821</v>
      </c>
      <c r="D455" s="577">
        <v>1.3749304192723923</v>
      </c>
      <c r="E455" s="577">
        <v>1.3482688727450713</v>
      </c>
      <c r="F455" s="577">
        <v>1.3169019107475775</v>
      </c>
      <c r="G455" s="577">
        <v>1.2808619871423395</v>
      </c>
    </row>
    <row r="456" spans="1:7" x14ac:dyDescent="0.25">
      <c r="A456" s="577" t="s">
        <v>2942</v>
      </c>
      <c r="B456" s="577">
        <v>1.4511887604203759</v>
      </c>
      <c r="C456" s="577">
        <v>1.4284468542198472</v>
      </c>
      <c r="D456" s="577">
        <v>1.4028308860237515</v>
      </c>
      <c r="E456" s="577">
        <v>1.3746024893107718</v>
      </c>
      <c r="F456" s="577">
        <v>1.3417566691861809</v>
      </c>
      <c r="G456" s="577">
        <v>1.3043209380046363</v>
      </c>
    </row>
    <row r="457" spans="1:7" x14ac:dyDescent="0.25">
      <c r="A457" s="577" t="s">
        <v>2943</v>
      </c>
      <c r="B457" s="577">
        <v>1.480749304943441</v>
      </c>
      <c r="C457" s="577">
        <v>1.4563473209712066</v>
      </c>
      <c r="D457" s="577">
        <v>1.4291645025894519</v>
      </c>
      <c r="E457" s="577">
        <v>1.399457247749375</v>
      </c>
      <c r="F457" s="577">
        <v>1.3652156200484775</v>
      </c>
      <c r="G457" s="577">
        <v>1.3264624678416315</v>
      </c>
    </row>
    <row r="458" spans="1:7" x14ac:dyDescent="0.25">
      <c r="A458" s="577" t="s">
        <v>2944</v>
      </c>
      <c r="B458" s="577">
        <v>0.16038089894972868</v>
      </c>
      <c r="C458" s="577">
        <v>0.1657790267893291</v>
      </c>
      <c r="D458" s="577">
        <v>0.17315727388571547</v>
      </c>
      <c r="E458" s="577">
        <v>0.18117562158328909</v>
      </c>
      <c r="F458" s="577">
        <v>0.18812527163176401</v>
      </c>
      <c r="G458" s="577">
        <v>0.19253877659377019</v>
      </c>
    </row>
    <row r="459" spans="1:7" x14ac:dyDescent="0.25">
      <c r="A459" s="577" t="s">
        <v>2945</v>
      </c>
      <c r="B459" s="577">
        <v>1.5086497716948006</v>
      </c>
      <c r="C459" s="577">
        <v>1.482680937536907</v>
      </c>
      <c r="D459" s="577">
        <v>1.4540192610280549</v>
      </c>
      <c r="E459" s="577">
        <v>1.4229161986116714</v>
      </c>
      <c r="F459" s="577">
        <v>1.3873571498854729</v>
      </c>
      <c r="G459" s="577">
        <v>1.3473605611280832</v>
      </c>
    </row>
    <row r="460" spans="1:7" x14ac:dyDescent="0.25">
      <c r="A460" s="577" t="s">
        <v>2946</v>
      </c>
      <c r="B460" s="577">
        <v>0.21808147751292284</v>
      </c>
      <c r="C460" s="577">
        <v>0.22667370883317028</v>
      </c>
      <c r="D460" s="577">
        <v>0.23573763486196914</v>
      </c>
      <c r="E460" s="577">
        <v>0.24582585019495815</v>
      </c>
      <c r="F460" s="577">
        <v>0.25343345863761141</v>
      </c>
      <c r="G460" s="577">
        <v>0.25782753372878886</v>
      </c>
    </row>
    <row r="461" spans="1:7" x14ac:dyDescent="0.25">
      <c r="A461" s="577" t="s">
        <v>2947</v>
      </c>
      <c r="B461" s="577">
        <v>0.27897615955676403</v>
      </c>
      <c r="C461" s="577">
        <v>0.28925406980942386</v>
      </c>
      <c r="D461" s="577">
        <v>0.30038786347363822</v>
      </c>
      <c r="E461" s="577">
        <v>0.31113403720080557</v>
      </c>
      <c r="F461" s="577">
        <v>0.31872221577263016</v>
      </c>
      <c r="G461" s="577">
        <v>0.32257453598308466</v>
      </c>
    </row>
    <row r="462" spans="1:7" x14ac:dyDescent="0.25">
      <c r="A462" s="577" t="s">
        <v>2948</v>
      </c>
      <c r="B462" s="577">
        <v>0.34155652053301766</v>
      </c>
      <c r="C462" s="577">
        <v>0.35390429842109306</v>
      </c>
      <c r="D462" s="577">
        <v>0.36569605047948561</v>
      </c>
      <c r="E462" s="577">
        <v>0.37642279433582426</v>
      </c>
      <c r="F462" s="577">
        <v>0.38346921802692591</v>
      </c>
      <c r="G462" s="577">
        <v>0.38615177284519064</v>
      </c>
    </row>
    <row r="463" spans="1:7" x14ac:dyDescent="0.25">
      <c r="A463" s="577" t="s">
        <v>2949</v>
      </c>
      <c r="B463" s="577">
        <v>0.40620674914468674</v>
      </c>
      <c r="C463" s="577">
        <v>0.41921248542694051</v>
      </c>
      <c r="D463" s="577">
        <v>0.43098480761450442</v>
      </c>
      <c r="E463" s="577">
        <v>0.44116979659012001</v>
      </c>
      <c r="F463" s="577">
        <v>0.44704645488903194</v>
      </c>
      <c r="G463" s="577">
        <v>0.44854776959364301</v>
      </c>
    </row>
    <row r="464" spans="1:7" x14ac:dyDescent="0.25">
      <c r="A464" s="577" t="s">
        <v>2950</v>
      </c>
      <c r="B464" s="577">
        <v>0.47151493615053425</v>
      </c>
      <c r="C464" s="577">
        <v>0.48450124256195926</v>
      </c>
      <c r="D464" s="577">
        <v>0.49573180986880017</v>
      </c>
      <c r="E464" s="577">
        <v>0.50474703345222605</v>
      </c>
      <c r="F464" s="577">
        <v>0.50944245163748425</v>
      </c>
      <c r="G464" s="577">
        <v>0.50995069186561981</v>
      </c>
    </row>
    <row r="465" spans="1:7" x14ac:dyDescent="0.25">
      <c r="A465" s="577" t="s">
        <v>2951</v>
      </c>
      <c r="B465" s="577">
        <v>0.536803693285553</v>
      </c>
      <c r="C465" s="577">
        <v>0.54924824481625512</v>
      </c>
      <c r="D465" s="577">
        <v>0.5593090467309062</v>
      </c>
      <c r="E465" s="577">
        <v>0.56714303020067847</v>
      </c>
      <c r="F465" s="577">
        <v>0.57084537390946111</v>
      </c>
      <c r="G465" s="577">
        <v>0.5685676325903235</v>
      </c>
    </row>
    <row r="466" spans="1:7" x14ac:dyDescent="0.25">
      <c r="A466" s="577" t="s">
        <v>2952</v>
      </c>
      <c r="B466" s="577">
        <v>5.4354218725356576E-2</v>
      </c>
      <c r="C466" s="577">
        <v>5.5654468775423134E-2</v>
      </c>
      <c r="D466" s="577">
        <v>5.6778001557869384E-2</v>
      </c>
      <c r="E466" s="577">
        <v>6.0118502402044444E-2</v>
      </c>
      <c r="F466" s="577">
        <v>6.3500620567258331E-2</v>
      </c>
      <c r="G466" s="577">
        <v>6.5308663997247496E-2</v>
      </c>
    </row>
    <row r="467" spans="1:7" x14ac:dyDescent="0.25">
      <c r="A467" s="577" t="s">
        <v>2953</v>
      </c>
      <c r="B467" s="577">
        <v>0.62721218525158584</v>
      </c>
      <c r="C467" s="577">
        <v>0.63925958985862807</v>
      </c>
      <c r="D467" s="577">
        <v>0.64875615811663234</v>
      </c>
      <c r="E467" s="577">
        <v>0.65606317567893235</v>
      </c>
      <c r="F467" s="577">
        <v>0.65712002330777652</v>
      </c>
      <c r="G467" s="577">
        <v>0.65186605583539525</v>
      </c>
    </row>
    <row r="468" spans="1:7" x14ac:dyDescent="0.25">
      <c r="A468" s="577" t="s">
        <v>2954</v>
      </c>
      <c r="B468" s="577">
        <v>0.69361380858398469</v>
      </c>
      <c r="C468" s="577">
        <v>0.70441062689205547</v>
      </c>
      <c r="D468" s="577">
        <v>0.71284117723680196</v>
      </c>
      <c r="E468" s="577">
        <v>0.71723852570982105</v>
      </c>
      <c r="F468" s="577">
        <v>0.7153666764026535</v>
      </c>
      <c r="G468" s="577">
        <v>0.70767389920934209</v>
      </c>
    </row>
    <row r="469" spans="1:7" x14ac:dyDescent="0.25">
      <c r="A469" s="577" t="s">
        <v>2955</v>
      </c>
      <c r="B469" s="577">
        <v>0.75876484561741186</v>
      </c>
      <c r="C469" s="577">
        <v>0.76849564601222509</v>
      </c>
      <c r="D469" s="577">
        <v>0.77401652726769044</v>
      </c>
      <c r="E469" s="577">
        <v>0.77548517880469769</v>
      </c>
      <c r="F469" s="577">
        <v>0.77117451977660034</v>
      </c>
      <c r="G469" s="577">
        <v>0.76115866658709597</v>
      </c>
    </row>
    <row r="470" spans="1:7" x14ac:dyDescent="0.25">
      <c r="A470" s="577" t="s">
        <v>2956</v>
      </c>
      <c r="B470" s="577">
        <v>0.82284986473758159</v>
      </c>
      <c r="C470" s="577">
        <v>0.82967099604311367</v>
      </c>
      <c r="D470" s="577">
        <v>0.83226318036256719</v>
      </c>
      <c r="E470" s="577">
        <v>0.83129302217864487</v>
      </c>
      <c r="F470" s="577">
        <v>0.82465928715435433</v>
      </c>
      <c r="G470" s="577">
        <v>0.8123768127696912</v>
      </c>
    </row>
    <row r="471" spans="1:7" x14ac:dyDescent="0.25">
      <c r="A471" s="577" t="s">
        <v>2957</v>
      </c>
      <c r="B471" s="577">
        <v>0.88402521476847018</v>
      </c>
      <c r="C471" s="577">
        <v>0.88791764913799043</v>
      </c>
      <c r="D471" s="577">
        <v>0.88807102373651414</v>
      </c>
      <c r="E471" s="577">
        <v>0.88477778955639885</v>
      </c>
      <c r="F471" s="577">
        <v>0.87587743333694978</v>
      </c>
      <c r="G471" s="577">
        <v>0.86158997662867232</v>
      </c>
    </row>
    <row r="472" spans="1:7" x14ac:dyDescent="0.25">
      <c r="A472" s="577" t="s">
        <v>2958</v>
      </c>
      <c r="B472" s="577">
        <v>0.94227186786334705</v>
      </c>
      <c r="C472" s="577">
        <v>0.94372549251193749</v>
      </c>
      <c r="D472" s="577">
        <v>0.94155579111426835</v>
      </c>
      <c r="E472" s="577">
        <v>0.93599593573899431</v>
      </c>
      <c r="F472" s="577">
        <v>0.92509059719593068</v>
      </c>
      <c r="G472" s="577">
        <v>0.90888162097355174</v>
      </c>
    </row>
    <row r="473" spans="1:7" x14ac:dyDescent="0.25">
      <c r="A473" s="577" t="s">
        <v>2959</v>
      </c>
      <c r="B473" s="577">
        <v>0.99807971123729389</v>
      </c>
      <c r="C473" s="577">
        <v>0.99721025988969125</v>
      </c>
      <c r="D473" s="577">
        <v>0.99277393729686347</v>
      </c>
      <c r="E473" s="577">
        <v>0.9852090995979752</v>
      </c>
      <c r="F473" s="577">
        <v>0.97238224154080999</v>
      </c>
      <c r="G473" s="577">
        <v>0.95433154261399855</v>
      </c>
    </row>
    <row r="474" spans="1:7" x14ac:dyDescent="0.25">
      <c r="A474" s="577" t="s">
        <v>2960</v>
      </c>
      <c r="B474" s="577">
        <v>1.051564478615048</v>
      </c>
      <c r="C474" s="577">
        <v>1.0484284060722866</v>
      </c>
      <c r="D474" s="577">
        <v>1.0419871011558446</v>
      </c>
      <c r="E474" s="577">
        <v>1.0325007439428546</v>
      </c>
      <c r="F474" s="577">
        <v>1.0178321631812568</v>
      </c>
      <c r="G474" s="577">
        <v>0.99801604037986824</v>
      </c>
    </row>
    <row r="475" spans="1:7" x14ac:dyDescent="0.25">
      <c r="A475" s="577" t="s">
        <v>2961</v>
      </c>
      <c r="B475" s="577">
        <v>1.1027826247976433</v>
      </c>
      <c r="C475" s="577">
        <v>1.0976415699312678</v>
      </c>
      <c r="D475" s="577">
        <v>1.089278745500724</v>
      </c>
      <c r="E475" s="577">
        <v>1.0779506655833015</v>
      </c>
      <c r="F475" s="577">
        <v>1.0615166609471267</v>
      </c>
      <c r="G475" s="577">
        <v>1.0400080751964915</v>
      </c>
    </row>
    <row r="476" spans="1:7" x14ac:dyDescent="0.25">
      <c r="A476" s="577" t="s">
        <v>2962</v>
      </c>
      <c r="B476" s="577">
        <v>1.1519957886566243</v>
      </c>
      <c r="C476" s="577">
        <v>1.144933214276147</v>
      </c>
      <c r="D476" s="577">
        <v>1.1347286671411707</v>
      </c>
      <c r="E476" s="577">
        <v>1.121635163349171</v>
      </c>
      <c r="F476" s="577">
        <v>1.1035086957637499</v>
      </c>
      <c r="G476" s="577">
        <v>1.0803774225991196</v>
      </c>
    </row>
    <row r="477" spans="1:7" x14ac:dyDescent="0.25">
      <c r="A477" s="577" t="s">
        <v>2963</v>
      </c>
      <c r="B477" s="577">
        <v>0.11000868750077969</v>
      </c>
      <c r="C477" s="577">
        <v>0.11243247033329253</v>
      </c>
      <c r="D477" s="577">
        <v>0.11689650395991383</v>
      </c>
      <c r="E477" s="577">
        <v>0.12361912296930279</v>
      </c>
      <c r="F477" s="577">
        <v>0.12880928456450585</v>
      </c>
      <c r="G477" s="577">
        <v>0.13279057791867291</v>
      </c>
    </row>
    <row r="478" spans="1:7" x14ac:dyDescent="0.25">
      <c r="A478" s="577" t="s">
        <v>2964</v>
      </c>
      <c r="B478" s="577">
        <v>1.1992874330015035</v>
      </c>
      <c r="C478" s="577">
        <v>1.1903831359165937</v>
      </c>
      <c r="D478" s="577">
        <v>1.1784131649070404</v>
      </c>
      <c r="E478" s="577">
        <v>1.1636271981657942</v>
      </c>
      <c r="F478" s="577">
        <v>1.143878043166378</v>
      </c>
      <c r="G478" s="577">
        <v>1.1191908180515968</v>
      </c>
    </row>
    <row r="479" spans="1:7" x14ac:dyDescent="0.25">
      <c r="A479" s="577" t="s">
        <v>2965</v>
      </c>
      <c r="B479" s="577">
        <v>1.2447373546419505</v>
      </c>
      <c r="C479" s="577">
        <v>1.2340676336824634</v>
      </c>
      <c r="D479" s="577">
        <v>1.220405199723664</v>
      </c>
      <c r="E479" s="577">
        <v>1.2039965455684223</v>
      </c>
      <c r="F479" s="577">
        <v>1.1826914386188552</v>
      </c>
      <c r="G479" s="577">
        <v>1.1558245088986727</v>
      </c>
    </row>
    <row r="480" spans="1:7" x14ac:dyDescent="0.25">
      <c r="A480" s="577" t="s">
        <v>2966</v>
      </c>
      <c r="B480" s="577">
        <v>1.2884218524078201</v>
      </c>
      <c r="C480" s="577">
        <v>1.2760596684990868</v>
      </c>
      <c r="D480" s="577">
        <v>1.2607745471262919</v>
      </c>
      <c r="E480" s="577">
        <v>1.2428099410208997</v>
      </c>
      <c r="F480" s="577">
        <v>1.2193251294659313</v>
      </c>
      <c r="G480" s="577">
        <v>1.1904009042238981</v>
      </c>
    </row>
    <row r="481" spans="1:7" x14ac:dyDescent="0.25">
      <c r="A481" s="577" t="s">
        <v>2967</v>
      </c>
      <c r="B481" s="577">
        <v>1.3304138872244435</v>
      </c>
      <c r="C481" s="577">
        <v>1.3164290159017149</v>
      </c>
      <c r="D481" s="577">
        <v>1.2995879425787691</v>
      </c>
      <c r="E481" s="577">
        <v>1.2794436318679758</v>
      </c>
      <c r="F481" s="577">
        <v>1.2539015247911565</v>
      </c>
      <c r="G481" s="577">
        <v>1.2230355387923033</v>
      </c>
    </row>
    <row r="482" spans="1:7" x14ac:dyDescent="0.25">
      <c r="A482" s="577" t="s">
        <v>2968</v>
      </c>
      <c r="B482" s="577">
        <v>1.3707832346270716</v>
      </c>
      <c r="C482" s="577">
        <v>1.3552424113541923</v>
      </c>
      <c r="D482" s="577">
        <v>1.3362216334258448</v>
      </c>
      <c r="E482" s="577">
        <v>1.3140200271932008</v>
      </c>
      <c r="F482" s="577">
        <v>1.2865361593595614</v>
      </c>
      <c r="G482" s="577">
        <v>1.2538374591022652</v>
      </c>
    </row>
    <row r="483" spans="1:7" x14ac:dyDescent="0.25">
      <c r="A483" s="577" t="s">
        <v>2969</v>
      </c>
      <c r="B483" s="577">
        <v>1.4095966300795486</v>
      </c>
      <c r="C483" s="577">
        <v>1.391876102201268</v>
      </c>
      <c r="D483" s="577">
        <v>1.3707980287510704</v>
      </c>
      <c r="E483" s="577">
        <v>1.346654661761606</v>
      </c>
      <c r="F483" s="577">
        <v>1.3173380796695238</v>
      </c>
      <c r="G483" s="577">
        <v>1.2829095877572558</v>
      </c>
    </row>
    <row r="484" spans="1:7" x14ac:dyDescent="0.25">
      <c r="A484" s="577" t="s">
        <v>2970</v>
      </c>
      <c r="B484" s="577">
        <v>0.16678668905864907</v>
      </c>
      <c r="C484" s="577">
        <v>0.17255097273533698</v>
      </c>
      <c r="D484" s="577">
        <v>0.18039712452717216</v>
      </c>
      <c r="E484" s="577">
        <v>0.18892778696655027</v>
      </c>
      <c r="F484" s="577">
        <v>0.19629119848593124</v>
      </c>
      <c r="G484" s="577">
        <v>0.20098760938011298</v>
      </c>
    </row>
    <row r="485" spans="1:7" x14ac:dyDescent="0.25">
      <c r="A485" s="577" t="s">
        <v>2971</v>
      </c>
      <c r="B485" s="577">
        <v>0.22690519146069354</v>
      </c>
      <c r="C485" s="577">
        <v>0.23605159330259531</v>
      </c>
      <c r="D485" s="577">
        <v>0.24570578852441965</v>
      </c>
      <c r="E485" s="577">
        <v>0.25640970088797571</v>
      </c>
      <c r="F485" s="577">
        <v>0.26448822994737131</v>
      </c>
      <c r="G485" s="577">
        <v>0.2691789171608106</v>
      </c>
    </row>
    <row r="486" spans="1:7" x14ac:dyDescent="0.25">
      <c r="A486" s="577" t="s">
        <v>2972</v>
      </c>
      <c r="B486" s="577">
        <v>0.2904058120279519</v>
      </c>
      <c r="C486" s="577">
        <v>0.30136025729984284</v>
      </c>
      <c r="D486" s="577">
        <v>0.31318770244584504</v>
      </c>
      <c r="E486" s="577">
        <v>0.32460673234941584</v>
      </c>
      <c r="F486" s="577">
        <v>0.33267953772806891</v>
      </c>
      <c r="G486" s="577">
        <v>0.33680637322363394</v>
      </c>
    </row>
    <row r="487" spans="1:7" x14ac:dyDescent="0.25">
      <c r="A487" s="577" t="s">
        <v>2973</v>
      </c>
      <c r="B487" s="577">
        <v>0.35571447602519934</v>
      </c>
      <c r="C487" s="577">
        <v>0.36884217122126828</v>
      </c>
      <c r="D487" s="577">
        <v>0.38138473390728506</v>
      </c>
      <c r="E487" s="577">
        <v>0.39279804013011338</v>
      </c>
      <c r="F487" s="577">
        <v>0.40030699379089241</v>
      </c>
      <c r="G487" s="577">
        <v>0.40320799655603273</v>
      </c>
    </row>
    <row r="488" spans="1:7" x14ac:dyDescent="0.25">
      <c r="A488" s="577" t="s">
        <v>2974</v>
      </c>
      <c r="B488" s="577">
        <v>0.42319638994662484</v>
      </c>
      <c r="C488" s="577">
        <v>0.43703920268270829</v>
      </c>
      <c r="D488" s="577">
        <v>0.44957604168798271</v>
      </c>
      <c r="E488" s="577">
        <v>0.46042549619293677</v>
      </c>
      <c r="F488" s="577">
        <v>0.46670861712329109</v>
      </c>
      <c r="G488" s="577">
        <v>0.46835903358946002</v>
      </c>
    </row>
    <row r="489" spans="1:7" x14ac:dyDescent="0.25">
      <c r="A489" s="577" t="s">
        <v>2975</v>
      </c>
      <c r="B489" s="577">
        <v>0.49139342140806486</v>
      </c>
      <c r="C489" s="577">
        <v>0.50523051046340595</v>
      </c>
      <c r="D489" s="577">
        <v>0.5172034977508061</v>
      </c>
      <c r="E489" s="577">
        <v>0.52682711952533567</v>
      </c>
      <c r="F489" s="577">
        <v>0.53185965415671843</v>
      </c>
      <c r="G489" s="577">
        <v>0.53244405270962969</v>
      </c>
    </row>
    <row r="490" spans="1:7" x14ac:dyDescent="0.25">
      <c r="A490" s="577" t="s">
        <v>2976</v>
      </c>
      <c r="B490" s="577">
        <v>0.55958472918876256</v>
      </c>
      <c r="C490" s="577">
        <v>0.57285796652622933</v>
      </c>
      <c r="D490" s="577">
        <v>0.58360512108320495</v>
      </c>
      <c r="E490" s="577">
        <v>0.59197815655876285</v>
      </c>
      <c r="F490" s="577">
        <v>0.59594467327688805</v>
      </c>
      <c r="G490" s="577">
        <v>0.59361940274051828</v>
      </c>
    </row>
    <row r="491" spans="1:7" x14ac:dyDescent="0.25">
      <c r="A491" s="577" t="s">
        <v>2977</v>
      </c>
      <c r="B491" s="577">
        <v>0.74706814877244387</v>
      </c>
      <c r="C491" s="577">
        <v>0.72879939870999932</v>
      </c>
      <c r="D491" s="577">
        <v>0.7078940115934389</v>
      </c>
      <c r="E491" s="577">
        <v>0.685152625453188</v>
      </c>
      <c r="F491" s="577">
        <v>0.66120966715623419</v>
      </c>
      <c r="G491" s="577">
        <v>0.63680007864045907</v>
      </c>
    </row>
    <row r="492" spans="1:7" x14ac:dyDescent="0.25">
      <c r="A492" s="577" t="s">
        <v>2978</v>
      </c>
      <c r="B492" s="577">
        <v>3.7401184561200604E-2</v>
      </c>
      <c r="C492" s="577">
        <v>3.7565013643518552E-2</v>
      </c>
      <c r="D492" s="577">
        <v>3.7639491222037802E-2</v>
      </c>
      <c r="E492" s="577">
        <v>3.8447444955417055E-2</v>
      </c>
      <c r="F492" s="577">
        <v>3.9588538384301125E-2</v>
      </c>
      <c r="G492" s="577">
        <v>3.9769001265501015E-2</v>
      </c>
    </row>
    <row r="493" spans="1:7" x14ac:dyDescent="0.25">
      <c r="A493" s="577" t="s">
        <v>2979</v>
      </c>
      <c r="B493" s="577">
        <v>0.39256033270699014</v>
      </c>
      <c r="C493" s="577">
        <v>0.39460256724931114</v>
      </c>
      <c r="D493" s="577">
        <v>0.39605559903905296</v>
      </c>
      <c r="E493" s="577">
        <v>0.39734343080192563</v>
      </c>
      <c r="F493" s="577">
        <v>0.39609345484980274</v>
      </c>
      <c r="G493" s="577">
        <v>0.39197788260661648</v>
      </c>
    </row>
    <row r="494" spans="1:7" x14ac:dyDescent="0.25">
      <c r="A494" s="577" t="s">
        <v>2980</v>
      </c>
      <c r="B494" s="577">
        <v>0.43200375181051187</v>
      </c>
      <c r="C494" s="577">
        <v>0.43362061268257174</v>
      </c>
      <c r="D494" s="577">
        <v>0.43498292202396349</v>
      </c>
      <c r="E494" s="577">
        <v>0.43454089980521965</v>
      </c>
      <c r="F494" s="577">
        <v>0.43156642099091774</v>
      </c>
      <c r="G494" s="577">
        <v>0.42616017901157899</v>
      </c>
    </row>
    <row r="495" spans="1:7" x14ac:dyDescent="0.25">
      <c r="A495" s="577" t="s">
        <v>2981</v>
      </c>
      <c r="B495" s="577">
        <v>0.47102179724377224</v>
      </c>
      <c r="C495" s="577">
        <v>0.47254793566748216</v>
      </c>
      <c r="D495" s="577">
        <v>0.47218039102725751</v>
      </c>
      <c r="E495" s="577">
        <v>0.47001386594633465</v>
      </c>
      <c r="F495" s="577">
        <v>0.46574871739588014</v>
      </c>
      <c r="G495" s="577">
        <v>0.45910269316776953</v>
      </c>
    </row>
    <row r="496" spans="1:7" x14ac:dyDescent="0.25">
      <c r="A496" s="577" t="s">
        <v>2982</v>
      </c>
      <c r="B496" s="577">
        <v>0.50994912022868277</v>
      </c>
      <c r="C496" s="577">
        <v>0.50974540467077611</v>
      </c>
      <c r="D496" s="577">
        <v>0.50765335716837245</v>
      </c>
      <c r="E496" s="577">
        <v>0.50419616235129705</v>
      </c>
      <c r="F496" s="577">
        <v>0.49869123155207062</v>
      </c>
      <c r="G496" s="577">
        <v>0.49078149695647688</v>
      </c>
    </row>
    <row r="497" spans="1:7" x14ac:dyDescent="0.25">
      <c r="A497" s="577" t="s">
        <v>2983</v>
      </c>
      <c r="B497" s="577">
        <v>0.54714658923197657</v>
      </c>
      <c r="C497" s="577">
        <v>0.54521837081189128</v>
      </c>
      <c r="D497" s="577">
        <v>0.54183565357333496</v>
      </c>
      <c r="E497" s="577">
        <v>0.5371386765074877</v>
      </c>
      <c r="F497" s="577">
        <v>0.53037003534077787</v>
      </c>
      <c r="G497" s="577">
        <v>0.52135695298298779</v>
      </c>
    </row>
    <row r="498" spans="1:7" x14ac:dyDescent="0.25">
      <c r="A498" s="577" t="s">
        <v>2984</v>
      </c>
      <c r="B498" s="577">
        <v>0.58261955537309196</v>
      </c>
      <c r="C498" s="577">
        <v>0.57940066721685368</v>
      </c>
      <c r="D498" s="577">
        <v>0.57477816772952561</v>
      </c>
      <c r="E498" s="577">
        <v>0.56881748029619494</v>
      </c>
      <c r="F498" s="577">
        <v>0.56094549136728877</v>
      </c>
      <c r="G498" s="577">
        <v>0.55086992487503483</v>
      </c>
    </row>
    <row r="499" spans="1:7" x14ac:dyDescent="0.25">
      <c r="A499" s="577" t="s">
        <v>2985</v>
      </c>
      <c r="B499" s="577">
        <v>0.61680185177805436</v>
      </c>
      <c r="C499" s="577">
        <v>0.61234318137304433</v>
      </c>
      <c r="D499" s="577">
        <v>0.60645697151823286</v>
      </c>
      <c r="E499" s="577">
        <v>0.59939293632270596</v>
      </c>
      <c r="F499" s="577">
        <v>0.59045846325933593</v>
      </c>
      <c r="G499" s="577">
        <v>0.57935965895101105</v>
      </c>
    </row>
    <row r="500" spans="1:7" x14ac:dyDescent="0.25">
      <c r="A500" s="577" t="s">
        <v>2986</v>
      </c>
      <c r="B500" s="577">
        <v>0.64974436593424489</v>
      </c>
      <c r="C500" s="577">
        <v>0.64402198516175146</v>
      </c>
      <c r="D500" s="577">
        <v>0.63703242754474354</v>
      </c>
      <c r="E500" s="577">
        <v>0.62890590821475323</v>
      </c>
      <c r="F500" s="577">
        <v>0.61894819733531237</v>
      </c>
      <c r="G500" s="577">
        <v>0.60686385241814378</v>
      </c>
    </row>
    <row r="501" spans="1:7" x14ac:dyDescent="0.25">
      <c r="A501" s="577" t="s">
        <v>2987</v>
      </c>
      <c r="B501" s="577">
        <v>0.68142316972295203</v>
      </c>
      <c r="C501" s="577">
        <v>0.67459744118826248</v>
      </c>
      <c r="D501" s="577">
        <v>0.66654539943679081</v>
      </c>
      <c r="E501" s="577">
        <v>0.65739564229072922</v>
      </c>
      <c r="F501" s="577">
        <v>0.6464523908024451</v>
      </c>
      <c r="G501" s="577">
        <v>0.63341871853617371</v>
      </c>
    </row>
    <row r="502" spans="1:7" x14ac:dyDescent="0.25">
      <c r="A502" s="577" t="s">
        <v>2988</v>
      </c>
      <c r="B502" s="577">
        <v>0.71199862574946293</v>
      </c>
      <c r="C502" s="577">
        <v>0.70411041308030953</v>
      </c>
      <c r="D502" s="577">
        <v>0.69503513351276702</v>
      </c>
      <c r="E502" s="577">
        <v>0.68489983575786195</v>
      </c>
      <c r="F502" s="577">
        <v>0.67300725692047481</v>
      </c>
      <c r="G502" s="577">
        <v>0.65905904888723477</v>
      </c>
    </row>
    <row r="503" spans="1:7" x14ac:dyDescent="0.25">
      <c r="A503" s="577" t="s">
        <v>2989</v>
      </c>
      <c r="B503" s="577">
        <v>7.496619820471917E-2</v>
      </c>
      <c r="C503" s="577">
        <v>7.5204504865556299E-2</v>
      </c>
      <c r="D503" s="577">
        <v>7.6086936177454836E-2</v>
      </c>
      <c r="E503" s="577">
        <v>7.8035983339718173E-2</v>
      </c>
      <c r="F503" s="577">
        <v>7.9357539649802133E-2</v>
      </c>
      <c r="G503" s="577">
        <v>8.0613842636113278E-2</v>
      </c>
    </row>
    <row r="504" spans="1:7" x14ac:dyDescent="0.25">
      <c r="A504" s="577" t="s">
        <v>2990</v>
      </c>
      <c r="B504" s="577">
        <v>0.74151159764151009</v>
      </c>
      <c r="C504" s="577">
        <v>0.73260014715628574</v>
      </c>
      <c r="D504" s="577">
        <v>0.72253932697989987</v>
      </c>
      <c r="E504" s="577">
        <v>0.71145470187589188</v>
      </c>
      <c r="F504" s="577">
        <v>0.69864758727153575</v>
      </c>
      <c r="G504" s="577">
        <v>0.68381827288591346</v>
      </c>
    </row>
    <row r="505" spans="1:7" x14ac:dyDescent="0.25">
      <c r="A505" s="577" t="s">
        <v>2991</v>
      </c>
      <c r="B505" s="577">
        <v>0.77000133171748653</v>
      </c>
      <c r="C505" s="577">
        <v>0.76010434062341881</v>
      </c>
      <c r="D505" s="577">
        <v>0.74909419309792957</v>
      </c>
      <c r="E505" s="577">
        <v>0.73709503222695272</v>
      </c>
      <c r="F505" s="577">
        <v>0.72340681127021456</v>
      </c>
      <c r="G505" s="577">
        <v>0.70718705438537466</v>
      </c>
    </row>
    <row r="506" spans="1:7" x14ac:dyDescent="0.25">
      <c r="A506" s="577" t="s">
        <v>2992</v>
      </c>
      <c r="B506" s="577">
        <v>0.79750552518461915</v>
      </c>
      <c r="C506" s="577">
        <v>0.78665920674144829</v>
      </c>
      <c r="D506" s="577">
        <v>0.77473452344899074</v>
      </c>
      <c r="E506" s="577">
        <v>0.76185425622563185</v>
      </c>
      <c r="F506" s="577">
        <v>0.74677559276967576</v>
      </c>
      <c r="G506" s="577">
        <v>0.72924347864159078</v>
      </c>
    </row>
    <row r="507" spans="1:7" x14ac:dyDescent="0.25">
      <c r="A507" s="577" t="s">
        <v>2993</v>
      </c>
      <c r="B507" s="577">
        <v>0.82406039130264908</v>
      </c>
      <c r="C507" s="577">
        <v>0.81229953709250946</v>
      </c>
      <c r="D507" s="577">
        <v>0.79949374744766954</v>
      </c>
      <c r="E507" s="577">
        <v>0.78522303772509283</v>
      </c>
      <c r="F507" s="577">
        <v>0.76883201702589199</v>
      </c>
      <c r="G507" s="577">
        <v>0.75006124575458377</v>
      </c>
    </row>
    <row r="508" spans="1:7" x14ac:dyDescent="0.25">
      <c r="A508" s="577" t="s">
        <v>2994</v>
      </c>
      <c r="B508" s="577">
        <v>0.84970072165370991</v>
      </c>
      <c r="C508" s="577">
        <v>0.83705876109118826</v>
      </c>
      <c r="D508" s="577">
        <v>0.82286252894713074</v>
      </c>
      <c r="E508" s="577">
        <v>0.80727946198130907</v>
      </c>
      <c r="F508" s="577">
        <v>0.78964978413888509</v>
      </c>
      <c r="G508" s="577">
        <v>0.76970991693249158</v>
      </c>
    </row>
    <row r="509" spans="1:7" x14ac:dyDescent="0.25">
      <c r="A509" s="577" t="s">
        <v>2995</v>
      </c>
      <c r="B509" s="577">
        <v>0.87445994565238916</v>
      </c>
      <c r="C509" s="577">
        <v>0.86042754259064935</v>
      </c>
      <c r="D509" s="577">
        <v>0.84491895320334665</v>
      </c>
      <c r="E509" s="577">
        <v>0.82809722909430206</v>
      </c>
      <c r="F509" s="577">
        <v>0.80929845531679256</v>
      </c>
      <c r="G509" s="577">
        <v>0.78825514692579723</v>
      </c>
    </row>
    <row r="510" spans="1:7" x14ac:dyDescent="0.25">
      <c r="A510" s="577" t="s">
        <v>2996</v>
      </c>
      <c r="B510" s="577">
        <v>0.89782872715185003</v>
      </c>
      <c r="C510" s="577">
        <v>0.88248396684686559</v>
      </c>
      <c r="D510" s="577">
        <v>0.86573672031633986</v>
      </c>
      <c r="E510" s="577">
        <v>0.84774590027220942</v>
      </c>
      <c r="F510" s="577">
        <v>0.82784368531009844</v>
      </c>
      <c r="G510" s="577">
        <v>0.80575890340838918</v>
      </c>
    </row>
    <row r="511" spans="1:7" x14ac:dyDescent="0.25">
      <c r="A511" s="577" t="s">
        <v>2997</v>
      </c>
      <c r="B511" s="577">
        <v>0.91988515140806626</v>
      </c>
      <c r="C511" s="577">
        <v>0.90330173395985858</v>
      </c>
      <c r="D511" s="577">
        <v>0.88538539149424755</v>
      </c>
      <c r="E511" s="577">
        <v>0.86629113026551563</v>
      </c>
      <c r="F511" s="577">
        <v>0.84534744179269006</v>
      </c>
      <c r="G511" s="577">
        <v>0.82227967403848967</v>
      </c>
    </row>
    <row r="512" spans="1:7" x14ac:dyDescent="0.25">
      <c r="A512" s="577" t="s">
        <v>2998</v>
      </c>
      <c r="B512" s="577">
        <v>0.94070291852105925</v>
      </c>
      <c r="C512" s="577">
        <v>0.92295040513776605</v>
      </c>
      <c r="D512" s="577">
        <v>0.90393062148755354</v>
      </c>
      <c r="E512" s="577">
        <v>0.88379488674810736</v>
      </c>
      <c r="F512" s="577">
        <v>0.86186821242279088</v>
      </c>
      <c r="G512" s="577">
        <v>0.83787266189134557</v>
      </c>
    </row>
    <row r="513" spans="1:7" x14ac:dyDescent="0.25">
      <c r="A513" s="577" t="s">
        <v>2999</v>
      </c>
      <c r="B513" s="577">
        <v>0.96035158969896706</v>
      </c>
      <c r="C513" s="577">
        <v>0.94149563513107204</v>
      </c>
      <c r="D513" s="577">
        <v>0.92143437797014494</v>
      </c>
      <c r="E513" s="577">
        <v>0.90031565737820796</v>
      </c>
      <c r="F513" s="577">
        <v>0.87746120027564645</v>
      </c>
      <c r="G513" s="577">
        <v>0.852589969916693</v>
      </c>
    </row>
    <row r="514" spans="1:7" x14ac:dyDescent="0.25">
      <c r="A514" s="577" t="s">
        <v>3000</v>
      </c>
      <c r="B514" s="577">
        <v>0.1126056894267569</v>
      </c>
      <c r="C514" s="577">
        <v>0.11365194982097329</v>
      </c>
      <c r="D514" s="577">
        <v>0.11567547456175596</v>
      </c>
      <c r="E514" s="577">
        <v>0.1178049846052192</v>
      </c>
      <c r="F514" s="577">
        <v>0.12020238102041439</v>
      </c>
      <c r="G514" s="577">
        <v>0.12135784698494112</v>
      </c>
    </row>
    <row r="515" spans="1:7" x14ac:dyDescent="0.25">
      <c r="A515" s="577" t="s">
        <v>3001</v>
      </c>
      <c r="B515" s="577">
        <v>0.97889681969227271</v>
      </c>
      <c r="C515" s="577">
        <v>0.95899939161366365</v>
      </c>
      <c r="D515" s="577">
        <v>0.93795514860024587</v>
      </c>
      <c r="E515" s="577">
        <v>0.91590864523106363</v>
      </c>
      <c r="F515" s="577">
        <v>0.89217850830099421</v>
      </c>
      <c r="G515" s="577">
        <v>0.86648077503736121</v>
      </c>
    </row>
    <row r="516" spans="1:7" x14ac:dyDescent="0.25">
      <c r="A516" s="577" t="s">
        <v>3002</v>
      </c>
      <c r="B516" s="577">
        <v>0.15105313438217394</v>
      </c>
      <c r="C516" s="577">
        <v>0.15324048820527439</v>
      </c>
      <c r="D516" s="577">
        <v>0.15544447582725698</v>
      </c>
      <c r="E516" s="577">
        <v>0.15864982597583144</v>
      </c>
      <c r="F516" s="577">
        <v>0.16094638536924225</v>
      </c>
      <c r="G516" s="577">
        <v>0.1618242616604246</v>
      </c>
    </row>
    <row r="517" spans="1:7" x14ac:dyDescent="0.25">
      <c r="A517" s="577" t="s">
        <v>3003</v>
      </c>
      <c r="B517" s="577">
        <v>0.19064167276647506</v>
      </c>
      <c r="C517" s="577">
        <v>0.19300948947077526</v>
      </c>
      <c r="D517" s="577">
        <v>0.19628931719786924</v>
      </c>
      <c r="E517" s="577">
        <v>0.19939383032465932</v>
      </c>
      <c r="F517" s="577">
        <v>0.20141280004472573</v>
      </c>
      <c r="G517" s="577">
        <v>0.201918659940515</v>
      </c>
    </row>
    <row r="518" spans="1:7" x14ac:dyDescent="0.25">
      <c r="A518" s="577" t="s">
        <v>3004</v>
      </c>
      <c r="B518" s="577">
        <v>0.2304106740319759</v>
      </c>
      <c r="C518" s="577">
        <v>0.23385433084138757</v>
      </c>
      <c r="D518" s="577">
        <v>0.23703332154669715</v>
      </c>
      <c r="E518" s="577">
        <v>0.23986024500014275</v>
      </c>
      <c r="F518" s="577">
        <v>0.2415071983248161</v>
      </c>
      <c r="G518" s="577">
        <v>0.24136207904403642</v>
      </c>
    </row>
    <row r="519" spans="1:7" x14ac:dyDescent="0.25">
      <c r="A519" s="577" t="s">
        <v>3005</v>
      </c>
      <c r="B519" s="577">
        <v>0.27125551540258819</v>
      </c>
      <c r="C519" s="577">
        <v>0.27459833519021559</v>
      </c>
      <c r="D519" s="577">
        <v>0.27749973622218049</v>
      </c>
      <c r="E519" s="577">
        <v>0.27995464328023317</v>
      </c>
      <c r="F519" s="577">
        <v>0.28095061742833755</v>
      </c>
      <c r="G519" s="577">
        <v>0.28038012447729704</v>
      </c>
    </row>
    <row r="520" spans="1:7" x14ac:dyDescent="0.25">
      <c r="A520" s="577" t="s">
        <v>3006</v>
      </c>
      <c r="B520" s="577">
        <v>0.31199951975141604</v>
      </c>
      <c r="C520" s="577">
        <v>0.3150647498656991</v>
      </c>
      <c r="D520" s="577">
        <v>0.31759413450227097</v>
      </c>
      <c r="E520" s="577">
        <v>0.31939806238375468</v>
      </c>
      <c r="F520" s="577">
        <v>0.31996866286159814</v>
      </c>
      <c r="G520" s="577">
        <v>0.31930744746220746</v>
      </c>
    </row>
    <row r="521" spans="1:7" x14ac:dyDescent="0.25">
      <c r="A521" s="577" t="s">
        <v>3007</v>
      </c>
      <c r="B521" s="577">
        <v>0.35246593442689972</v>
      </c>
      <c r="C521" s="577">
        <v>0.35515914814578964</v>
      </c>
      <c r="D521" s="577">
        <v>0.35703755360579248</v>
      </c>
      <c r="E521" s="577">
        <v>0.35841610781701533</v>
      </c>
      <c r="F521" s="577">
        <v>0.35889598584650861</v>
      </c>
      <c r="G521" s="577">
        <v>0.35650491646550153</v>
      </c>
    </row>
    <row r="522" spans="1:7" x14ac:dyDescent="0.25">
      <c r="A522" s="577" t="s">
        <v>3008</v>
      </c>
      <c r="B522" s="577">
        <v>3.2834156147711076E-2</v>
      </c>
      <c r="C522" s="577">
        <v>3.269564623937065E-2</v>
      </c>
      <c r="D522" s="577">
        <v>3.2491152672673523E-2</v>
      </c>
      <c r="E522" s="577">
        <v>3.2624616121028641E-2</v>
      </c>
      <c r="F522" s="577">
        <v>3.3168168141949235E-2</v>
      </c>
      <c r="G522" s="577">
        <v>3.2915709497118646E-2</v>
      </c>
    </row>
    <row r="523" spans="1:7" x14ac:dyDescent="0.25">
      <c r="A523" s="577" t="s">
        <v>3009</v>
      </c>
      <c r="B523" s="577">
        <v>0.32954992955223872</v>
      </c>
      <c r="C523" s="577">
        <v>0.3289293657235462</v>
      </c>
      <c r="D523" s="577">
        <v>0.32824197925468562</v>
      </c>
      <c r="E523" s="577">
        <v>0.32792775529022916</v>
      </c>
      <c r="F523" s="577">
        <v>0.32606663028678556</v>
      </c>
      <c r="G523" s="577">
        <v>0.32226033829535183</v>
      </c>
    </row>
    <row r="524" spans="1:7" x14ac:dyDescent="0.25">
      <c r="A524" s="577" t="s">
        <v>3010</v>
      </c>
      <c r="B524" s="577">
        <v>0.36176352187125727</v>
      </c>
      <c r="C524" s="577">
        <v>0.36093762549405639</v>
      </c>
      <c r="D524" s="577">
        <v>0.36041890796290266</v>
      </c>
      <c r="E524" s="577">
        <v>0.35869124640781413</v>
      </c>
      <c r="F524" s="577">
        <v>0.35542850643730112</v>
      </c>
      <c r="G524" s="577">
        <v>0.35063882840314808</v>
      </c>
    </row>
    <row r="525" spans="1:7" x14ac:dyDescent="0.25">
      <c r="A525" s="577" t="s">
        <v>3011</v>
      </c>
      <c r="B525" s="577">
        <v>0.39377178164176735</v>
      </c>
      <c r="C525" s="577">
        <v>0.39311455420227326</v>
      </c>
      <c r="D525" s="577">
        <v>0.39118239908048763</v>
      </c>
      <c r="E525" s="577">
        <v>0.38805312255832969</v>
      </c>
      <c r="F525" s="577">
        <v>0.3838069965450972</v>
      </c>
      <c r="G525" s="577">
        <v>0.37806750049814319</v>
      </c>
    </row>
    <row r="526" spans="1:7" x14ac:dyDescent="0.25">
      <c r="A526" s="577" t="s">
        <v>3012</v>
      </c>
      <c r="B526" s="577">
        <v>0.42594871034998438</v>
      </c>
      <c r="C526" s="577">
        <v>0.42387804531985829</v>
      </c>
      <c r="D526" s="577">
        <v>0.42054427523100324</v>
      </c>
      <c r="E526" s="577">
        <v>0.41643161266612594</v>
      </c>
      <c r="F526" s="577">
        <v>0.41123566864009237</v>
      </c>
      <c r="G526" s="577">
        <v>0.40450109866478257</v>
      </c>
    </row>
    <row r="527" spans="1:7" x14ac:dyDescent="0.25">
      <c r="A527" s="577" t="s">
        <v>3013</v>
      </c>
      <c r="B527" s="577">
        <v>0.45671220146756952</v>
      </c>
      <c r="C527" s="577">
        <v>0.45323992147037401</v>
      </c>
      <c r="D527" s="577">
        <v>0.44892276533879932</v>
      </c>
      <c r="E527" s="577">
        <v>0.44386028476112099</v>
      </c>
      <c r="F527" s="577">
        <v>0.43766926680673163</v>
      </c>
      <c r="G527" s="577">
        <v>0.43007280479959997</v>
      </c>
    </row>
    <row r="528" spans="1:7" x14ac:dyDescent="0.25">
      <c r="A528" s="577" t="s">
        <v>3014</v>
      </c>
      <c r="B528" s="577">
        <v>0.48607407761808508</v>
      </c>
      <c r="C528" s="577">
        <v>0.48161841157817004</v>
      </c>
      <c r="D528" s="577">
        <v>0.47635143743379449</v>
      </c>
      <c r="E528" s="577">
        <v>0.47029388292776036</v>
      </c>
      <c r="F528" s="577">
        <v>0.4632409729415492</v>
      </c>
      <c r="G528" s="577">
        <v>0.45481209285659896</v>
      </c>
    </row>
    <row r="529" spans="1:7" x14ac:dyDescent="0.25">
      <c r="A529" s="577" t="s">
        <v>3015</v>
      </c>
      <c r="B529" s="577">
        <v>0.5144525677258811</v>
      </c>
      <c r="C529" s="577">
        <v>0.5090470836731652</v>
      </c>
      <c r="D529" s="577">
        <v>0.50278503560043397</v>
      </c>
      <c r="E529" s="577">
        <v>0.49586558906257805</v>
      </c>
      <c r="F529" s="577">
        <v>0.4879802609985483</v>
      </c>
      <c r="G529" s="577">
        <v>0.47874736667056927</v>
      </c>
    </row>
    <row r="530" spans="1:7" x14ac:dyDescent="0.25">
      <c r="A530" s="577" t="s">
        <v>3016</v>
      </c>
      <c r="B530" s="577">
        <v>0.54188123982087633</v>
      </c>
      <c r="C530" s="577">
        <v>0.53548068183980446</v>
      </c>
      <c r="D530" s="577">
        <v>0.52835674173525138</v>
      </c>
      <c r="E530" s="577">
        <v>0.52060487711957681</v>
      </c>
      <c r="F530" s="577">
        <v>0.5119155348125185</v>
      </c>
      <c r="G530" s="577">
        <v>0.50190600151079723</v>
      </c>
    </row>
    <row r="531" spans="1:7" x14ac:dyDescent="0.25">
      <c r="A531" s="577" t="s">
        <v>3017</v>
      </c>
      <c r="B531" s="577">
        <v>0.56831483798751581</v>
      </c>
      <c r="C531" s="577">
        <v>0.56105238797462198</v>
      </c>
      <c r="D531" s="577">
        <v>0.55309602979225048</v>
      </c>
      <c r="E531" s="577">
        <v>0.54454015093354713</v>
      </c>
      <c r="F531" s="577">
        <v>0.53507416965274646</v>
      </c>
      <c r="G531" s="577">
        <v>0.52431438391040741</v>
      </c>
    </row>
    <row r="532" spans="1:7" x14ac:dyDescent="0.25">
      <c r="A532" s="577" t="s">
        <v>3018</v>
      </c>
      <c r="B532" s="577">
        <v>0.59388654412233322</v>
      </c>
      <c r="C532" s="577">
        <v>0.58579167603162108</v>
      </c>
      <c r="D532" s="577">
        <v>0.57703130360622046</v>
      </c>
      <c r="E532" s="577">
        <v>0.56769878577377497</v>
      </c>
      <c r="F532" s="577">
        <v>0.55748255205235664</v>
      </c>
      <c r="G532" s="577">
        <v>0.54599794984715255</v>
      </c>
    </row>
    <row r="533" spans="1:7" x14ac:dyDescent="0.25">
      <c r="A533" s="577" t="s">
        <v>3019</v>
      </c>
      <c r="B533" s="577">
        <v>6.552980238708174E-2</v>
      </c>
      <c r="C533" s="577">
        <v>6.518679891204418E-2</v>
      </c>
      <c r="D533" s="577">
        <v>6.511576879370215E-2</v>
      </c>
      <c r="E533" s="577">
        <v>6.5792784262977855E-2</v>
      </c>
      <c r="F533" s="577">
        <v>6.6083877639067867E-2</v>
      </c>
      <c r="G533" s="577">
        <v>6.661380885325402E-2</v>
      </c>
    </row>
    <row r="534" spans="1:7" x14ac:dyDescent="0.25">
      <c r="A534" s="577" t="s">
        <v>3020</v>
      </c>
      <c r="B534" s="577">
        <v>0.6186258321793322</v>
      </c>
      <c r="C534" s="577">
        <v>0.60972694984559139</v>
      </c>
      <c r="D534" s="577">
        <v>0.60018993844644875</v>
      </c>
      <c r="E534" s="577">
        <v>0.59010716817338538</v>
      </c>
      <c r="F534" s="577">
        <v>0.57916611798910189</v>
      </c>
      <c r="G534" s="577">
        <v>0.56698122134798834</v>
      </c>
    </row>
    <row r="535" spans="1:7" x14ac:dyDescent="0.25">
      <c r="A535" s="577" t="s">
        <v>3021</v>
      </c>
      <c r="B535" s="577">
        <v>0.6425611059933023</v>
      </c>
      <c r="C535" s="577">
        <v>0.63288558468581912</v>
      </c>
      <c r="D535" s="577">
        <v>0.62259832084605882</v>
      </c>
      <c r="E535" s="577">
        <v>0.61179073411013041</v>
      </c>
      <c r="F535" s="577">
        <v>0.60014938948993768</v>
      </c>
      <c r="G535" s="577">
        <v>0.58678610242475637</v>
      </c>
    </row>
    <row r="536" spans="1:7" x14ac:dyDescent="0.25">
      <c r="A536" s="577" t="s">
        <v>3022</v>
      </c>
      <c r="B536" s="577">
        <v>0.66571974083353047</v>
      </c>
      <c r="C536" s="577">
        <v>0.65529396708542964</v>
      </c>
      <c r="D536" s="577">
        <v>0.64428188678280396</v>
      </c>
      <c r="E536" s="577">
        <v>0.63277400561096631</v>
      </c>
      <c r="F536" s="577">
        <v>0.61995427056670571</v>
      </c>
      <c r="G536" s="577">
        <v>0.60547876979310777</v>
      </c>
    </row>
    <row r="537" spans="1:7" x14ac:dyDescent="0.25">
      <c r="A537" s="577" t="s">
        <v>3023</v>
      </c>
      <c r="B537" s="577">
        <v>0.68812812323314054</v>
      </c>
      <c r="C537" s="577">
        <v>0.67697753302217467</v>
      </c>
      <c r="D537" s="577">
        <v>0.66526515828363975</v>
      </c>
      <c r="E537" s="577">
        <v>0.65257888668773456</v>
      </c>
      <c r="F537" s="577">
        <v>0.63864693793505689</v>
      </c>
      <c r="G537" s="577">
        <v>0.62312168377928157</v>
      </c>
    </row>
    <row r="538" spans="1:7" x14ac:dyDescent="0.25">
      <c r="A538" s="577" t="s">
        <v>3024</v>
      </c>
      <c r="B538" s="577">
        <v>0.7098116891698858</v>
      </c>
      <c r="C538" s="577">
        <v>0.69796080452301046</v>
      </c>
      <c r="D538" s="577">
        <v>0.68507003936040778</v>
      </c>
      <c r="E538" s="577">
        <v>0.67127155405608552</v>
      </c>
      <c r="F538" s="577">
        <v>0.65628985192123068</v>
      </c>
      <c r="G538" s="577">
        <v>0.63977379702720416</v>
      </c>
    </row>
    <row r="539" spans="1:7" x14ac:dyDescent="0.25">
      <c r="A539" s="577" t="s">
        <v>3025</v>
      </c>
      <c r="B539" s="577">
        <v>0.73079496067072158</v>
      </c>
      <c r="C539" s="577">
        <v>0.7177656855997786</v>
      </c>
      <c r="D539" s="577">
        <v>0.70376270672875929</v>
      </c>
      <c r="E539" s="577">
        <v>0.68891446804225931</v>
      </c>
      <c r="F539" s="577">
        <v>0.67294196516915328</v>
      </c>
      <c r="G539" s="577">
        <v>0.655490751484894</v>
      </c>
    </row>
    <row r="540" spans="1:7" x14ac:dyDescent="0.25">
      <c r="A540" s="577" t="s">
        <v>3026</v>
      </c>
      <c r="B540" s="577">
        <v>9.8020955059755235E-2</v>
      </c>
      <c r="C540" s="577">
        <v>9.7811415033072779E-2</v>
      </c>
      <c r="D540" s="577">
        <v>9.8283936935651378E-2</v>
      </c>
      <c r="E540" s="577">
        <v>9.8708493760096522E-2</v>
      </c>
      <c r="F540" s="577">
        <v>9.9781976995203248E-2</v>
      </c>
      <c r="G540" s="577">
        <v>9.9994345373185856E-2</v>
      </c>
    </row>
    <row r="541" spans="1:7" x14ac:dyDescent="0.25">
      <c r="A541" s="577" t="s">
        <v>3027</v>
      </c>
      <c r="B541" s="577">
        <v>0.1306455711807839</v>
      </c>
      <c r="C541" s="577">
        <v>0.13097958317502204</v>
      </c>
      <c r="D541" s="577">
        <v>0.13119964643277005</v>
      </c>
      <c r="E541" s="577">
        <v>0.13240659311623187</v>
      </c>
      <c r="F541" s="577">
        <v>0.13316251351513506</v>
      </c>
      <c r="G541" s="577">
        <v>0.13302547802445883</v>
      </c>
    </row>
    <row r="542" spans="1:7" x14ac:dyDescent="0.25">
      <c r="A542" s="577" t="s">
        <v>3028</v>
      </c>
      <c r="B542" s="577">
        <v>0.16381373932273313</v>
      </c>
      <c r="C542" s="577">
        <v>0.16389529267214067</v>
      </c>
      <c r="D542" s="577">
        <v>0.16489774578890545</v>
      </c>
      <c r="E542" s="577">
        <v>0.16578712963616371</v>
      </c>
      <c r="F542" s="577">
        <v>0.16619364616640805</v>
      </c>
      <c r="G542" s="577">
        <v>0.1657361902295055</v>
      </c>
    </row>
    <row r="543" spans="1:7" x14ac:dyDescent="0.25">
      <c r="A543" s="577" t="s">
        <v>3029</v>
      </c>
      <c r="B543" s="577">
        <v>0.19672944881985172</v>
      </c>
      <c r="C543" s="577">
        <v>0.19759339202827608</v>
      </c>
      <c r="D543" s="577">
        <v>0.19827828230883729</v>
      </c>
      <c r="E543" s="577">
        <v>0.19881826228743668</v>
      </c>
      <c r="F543" s="577">
        <v>0.19890435837145476</v>
      </c>
      <c r="G543" s="577">
        <v>0.19794978254852416</v>
      </c>
    </row>
    <row r="544" spans="1:7" x14ac:dyDescent="0.25">
      <c r="A544" s="577" t="s">
        <v>3030</v>
      </c>
      <c r="B544" s="577">
        <v>0.23042754817598715</v>
      </c>
      <c r="C544" s="577">
        <v>0.23097392854820789</v>
      </c>
      <c r="D544" s="577">
        <v>0.23130941496011023</v>
      </c>
      <c r="E544" s="577">
        <v>0.23152897449248339</v>
      </c>
      <c r="F544" s="577">
        <v>0.23111795069047331</v>
      </c>
      <c r="G544" s="577">
        <v>0.22995804231903422</v>
      </c>
    </row>
    <row r="545" spans="1:7" x14ac:dyDescent="0.25">
      <c r="A545" s="577" t="s">
        <v>3031</v>
      </c>
      <c r="B545" s="577">
        <v>0.26380808469591893</v>
      </c>
      <c r="C545" s="577">
        <v>0.26400506119948086</v>
      </c>
      <c r="D545" s="577">
        <v>0.26402012716515688</v>
      </c>
      <c r="E545" s="577">
        <v>0.26374256681150199</v>
      </c>
      <c r="F545" s="577">
        <v>0.26312621046098345</v>
      </c>
      <c r="G545" s="577">
        <v>0.2621349710272512</v>
      </c>
    </row>
    <row r="546" spans="1:7" x14ac:dyDescent="0.25">
      <c r="A546" s="577" t="s">
        <v>3032</v>
      </c>
      <c r="B546" s="577">
        <v>0.29683921734719193</v>
      </c>
      <c r="C546" s="577">
        <v>0.29671577340452754</v>
      </c>
      <c r="D546" s="577">
        <v>0.29623371948417543</v>
      </c>
      <c r="E546" s="577">
        <v>0.29575082658201213</v>
      </c>
      <c r="F546" s="577">
        <v>0.29530313916920042</v>
      </c>
      <c r="G546" s="577">
        <v>0.29289846214483622</v>
      </c>
    </row>
    <row r="547" spans="1:7" x14ac:dyDescent="0.25">
      <c r="A547" s="577" t="s">
        <v>3033</v>
      </c>
      <c r="B547" s="577">
        <v>3.5014999700269167E-2</v>
      </c>
      <c r="C547" s="577">
        <v>3.5102422286076608E-2</v>
      </c>
      <c r="D547" s="577">
        <v>3.5109104017373043E-2</v>
      </c>
      <c r="E547" s="577">
        <v>3.5730994133360415E-2</v>
      </c>
      <c r="F547" s="577">
        <v>3.6692248129435182E-2</v>
      </c>
      <c r="G547" s="577">
        <v>3.6765213204623164E-2</v>
      </c>
    </row>
    <row r="548" spans="1:7" x14ac:dyDescent="0.25">
      <c r="A548" s="577" t="s">
        <v>3034</v>
      </c>
      <c r="B548" s="577">
        <v>0.3639934789573992</v>
      </c>
      <c r="C548" s="577">
        <v>0.36534163510475237</v>
      </c>
      <c r="D548" s="577">
        <v>0.36624340227805086</v>
      </c>
      <c r="E548" s="577">
        <v>0.3671115602459194</v>
      </c>
      <c r="F548" s="577">
        <v>0.36576290998144079</v>
      </c>
      <c r="G548" s="577">
        <v>0.36186476173270998</v>
      </c>
    </row>
    <row r="549" spans="1:7" x14ac:dyDescent="0.25">
      <c r="A549" s="577" t="s">
        <v>3035</v>
      </c>
      <c r="B549" s="577">
        <v>0.40035663480502154</v>
      </c>
      <c r="C549" s="577">
        <v>0.40134582456412754</v>
      </c>
      <c r="D549" s="577">
        <v>0.4022206642632925</v>
      </c>
      <c r="E549" s="577">
        <v>0.40149390411480129</v>
      </c>
      <c r="F549" s="577">
        <v>0.39855700986214526</v>
      </c>
      <c r="G549" s="577">
        <v>0.39348550228064694</v>
      </c>
    </row>
    <row r="550" spans="1:7" x14ac:dyDescent="0.25">
      <c r="A550" s="577" t="s">
        <v>3036</v>
      </c>
      <c r="B550" s="577">
        <v>0.43636082426439682</v>
      </c>
      <c r="C550" s="577">
        <v>0.43732308654936936</v>
      </c>
      <c r="D550" s="577">
        <v>0.43660300813217434</v>
      </c>
      <c r="E550" s="577">
        <v>0.43428800399550566</v>
      </c>
      <c r="F550" s="577">
        <v>0.43017775041008216</v>
      </c>
      <c r="G550" s="577">
        <v>0.42397793006072676</v>
      </c>
    </row>
    <row r="551" spans="1:7" x14ac:dyDescent="0.25">
      <c r="A551" s="577" t="s">
        <v>3037</v>
      </c>
      <c r="B551" s="577">
        <v>0.47233808624963858</v>
      </c>
      <c r="C551" s="577">
        <v>0.47170543041825108</v>
      </c>
      <c r="D551" s="577">
        <v>0.46939710801287859</v>
      </c>
      <c r="E551" s="577">
        <v>0.4659087445434425</v>
      </c>
      <c r="F551" s="577">
        <v>0.46067017819016187</v>
      </c>
      <c r="G551" s="577">
        <v>0.45331397875642143</v>
      </c>
    </row>
    <row r="552" spans="1:7" x14ac:dyDescent="0.25">
      <c r="A552" s="577" t="s">
        <v>3038</v>
      </c>
      <c r="B552" s="577">
        <v>0.50672043011852042</v>
      </c>
      <c r="C552" s="577">
        <v>0.50449953029895567</v>
      </c>
      <c r="D552" s="577">
        <v>0.50101784856081555</v>
      </c>
      <c r="E552" s="577">
        <v>0.49640117232352232</v>
      </c>
      <c r="F552" s="577">
        <v>0.49000622688585671</v>
      </c>
      <c r="G552" s="577">
        <v>0.48164200473963714</v>
      </c>
    </row>
    <row r="553" spans="1:7" x14ac:dyDescent="0.25">
      <c r="A553" s="577" t="s">
        <v>3039</v>
      </c>
      <c r="B553" s="577">
        <v>0.53951452999922478</v>
      </c>
      <c r="C553" s="577">
        <v>0.53612027084689251</v>
      </c>
      <c r="D553" s="577">
        <v>0.53151027634089532</v>
      </c>
      <c r="E553" s="577">
        <v>0.52573722101921705</v>
      </c>
      <c r="F553" s="577">
        <v>0.51833425286907242</v>
      </c>
      <c r="G553" s="577">
        <v>0.50899876952210266</v>
      </c>
    </row>
    <row r="554" spans="1:7" x14ac:dyDescent="0.25">
      <c r="A554" s="577" t="s">
        <v>3040</v>
      </c>
      <c r="B554" s="577">
        <v>0.57113527054716173</v>
      </c>
      <c r="C554" s="577">
        <v>0.56661269862697239</v>
      </c>
      <c r="D554" s="577">
        <v>0.56084632503659015</v>
      </c>
      <c r="E554" s="577">
        <v>0.55406524700243276</v>
      </c>
      <c r="F554" s="577">
        <v>0.54569101765153794</v>
      </c>
      <c r="G554" s="577">
        <v>0.53541960218170159</v>
      </c>
    </row>
    <row r="555" spans="1:7" x14ac:dyDescent="0.25">
      <c r="A555" s="577" t="s">
        <v>3041</v>
      </c>
      <c r="B555" s="577">
        <v>0.60162769832724172</v>
      </c>
      <c r="C555" s="577">
        <v>0.59594874732266723</v>
      </c>
      <c r="D555" s="577">
        <v>0.58917435101980575</v>
      </c>
      <c r="E555" s="577">
        <v>0.58142201178489827</v>
      </c>
      <c r="F555" s="577">
        <v>0.57211185031113665</v>
      </c>
      <c r="G555" s="577">
        <v>0.56093845893074112</v>
      </c>
    </row>
    <row r="556" spans="1:7" x14ac:dyDescent="0.25">
      <c r="A556" s="577" t="s">
        <v>3042</v>
      </c>
      <c r="B556" s="577">
        <v>0.63096374702293623</v>
      </c>
      <c r="C556" s="577">
        <v>0.62427677330588272</v>
      </c>
      <c r="D556" s="577">
        <v>0.61653111580227149</v>
      </c>
      <c r="E556" s="577">
        <v>0.60784284444449721</v>
      </c>
      <c r="F556" s="577">
        <v>0.59763070706017662</v>
      </c>
      <c r="G556" s="577">
        <v>0.58558798006281754</v>
      </c>
    </row>
    <row r="557" spans="1:7" x14ac:dyDescent="0.25">
      <c r="A557" s="577" t="s">
        <v>3043</v>
      </c>
      <c r="B557" s="577">
        <v>0.65929177300615205</v>
      </c>
      <c r="C557" s="577">
        <v>0.65163353808834845</v>
      </c>
      <c r="D557" s="577">
        <v>0.6429519484618702</v>
      </c>
      <c r="E557" s="577">
        <v>0.63336170119353685</v>
      </c>
      <c r="F557" s="577">
        <v>0.62228022819225259</v>
      </c>
      <c r="G557" s="577">
        <v>0.60939954439885236</v>
      </c>
    </row>
    <row r="558" spans="1:7" x14ac:dyDescent="0.25">
      <c r="A558" s="577" t="s">
        <v>3044</v>
      </c>
      <c r="B558" s="577">
        <v>7.0117421986345782E-2</v>
      </c>
      <c r="C558" s="577">
        <v>7.0211526303449664E-2</v>
      </c>
      <c r="D558" s="577">
        <v>7.0840098150733485E-2</v>
      </c>
      <c r="E558" s="577">
        <v>7.242324226279559E-2</v>
      </c>
      <c r="F558" s="577">
        <v>7.3457461334058338E-2</v>
      </c>
      <c r="G558" s="577">
        <v>7.44997656753595E-2</v>
      </c>
    </row>
    <row r="559" spans="1:7" x14ac:dyDescent="0.25">
      <c r="A559" s="577" t="s">
        <v>3045</v>
      </c>
      <c r="B559" s="577">
        <v>0.68664853778861767</v>
      </c>
      <c r="C559" s="577">
        <v>0.67805437074794728</v>
      </c>
      <c r="D559" s="577">
        <v>0.66847080521090985</v>
      </c>
      <c r="E559" s="577">
        <v>0.65801122232561315</v>
      </c>
      <c r="F559" s="577">
        <v>0.64609179252828741</v>
      </c>
      <c r="G559" s="577">
        <v>0.63240332134715693</v>
      </c>
    </row>
    <row r="560" spans="1:7" x14ac:dyDescent="0.25">
      <c r="A560" s="577" t="s">
        <v>3046</v>
      </c>
      <c r="B560" s="577">
        <v>0.71306937044821639</v>
      </c>
      <c r="C560" s="577">
        <v>0.70357322749698692</v>
      </c>
      <c r="D560" s="577">
        <v>0.69312032634298604</v>
      </c>
      <c r="E560" s="577">
        <v>0.68182278666164786</v>
      </c>
      <c r="F560" s="577">
        <v>0.6690955694765921</v>
      </c>
      <c r="G560" s="577">
        <v>0.65411523918415981</v>
      </c>
    </row>
    <row r="561" spans="1:7" x14ac:dyDescent="0.25">
      <c r="A561" s="577" t="s">
        <v>3047</v>
      </c>
      <c r="B561" s="577">
        <v>0.73858822719725603</v>
      </c>
      <c r="C561" s="577">
        <v>0.72822274862906344</v>
      </c>
      <c r="D561" s="577">
        <v>0.71693189067902097</v>
      </c>
      <c r="E561" s="577">
        <v>0.70482656360995255</v>
      </c>
      <c r="F561" s="577">
        <v>0.69080748731359487</v>
      </c>
      <c r="G561" s="577">
        <v>0.67460784686420039</v>
      </c>
    </row>
    <row r="562" spans="1:7" x14ac:dyDescent="0.25">
      <c r="A562" s="577" t="s">
        <v>3048</v>
      </c>
      <c r="B562" s="577">
        <v>0.76323774832933233</v>
      </c>
      <c r="C562" s="577">
        <v>0.75203431296509815</v>
      </c>
      <c r="D562" s="577">
        <v>0.73993566762732554</v>
      </c>
      <c r="E562" s="577">
        <v>0.72653848144695543</v>
      </c>
      <c r="F562" s="577">
        <v>0.71130009499363567</v>
      </c>
      <c r="G562" s="577">
        <v>0.69394961909642372</v>
      </c>
    </row>
    <row r="563" spans="1:7" x14ac:dyDescent="0.25">
      <c r="A563" s="577" t="s">
        <v>3049</v>
      </c>
      <c r="B563" s="577">
        <v>0.78704931266536726</v>
      </c>
      <c r="C563" s="577">
        <v>0.77503808991340262</v>
      </c>
      <c r="D563" s="577">
        <v>0.76164758546432854</v>
      </c>
      <c r="E563" s="577">
        <v>0.74703108912699612</v>
      </c>
      <c r="F563" s="577">
        <v>0.730641867225859</v>
      </c>
      <c r="G563" s="577">
        <v>0.71220518514854569</v>
      </c>
    </row>
    <row r="564" spans="1:7" x14ac:dyDescent="0.25">
      <c r="A564" s="577" t="s">
        <v>3050</v>
      </c>
      <c r="B564" s="577">
        <v>0.81005308961367184</v>
      </c>
      <c r="C564" s="577">
        <v>0.79675000775040572</v>
      </c>
      <c r="D564" s="577">
        <v>0.782140193144369</v>
      </c>
      <c r="E564" s="577">
        <v>0.76637286135921945</v>
      </c>
      <c r="F564" s="577">
        <v>0.74889743327798086</v>
      </c>
      <c r="G564" s="577">
        <v>0.72943554480132711</v>
      </c>
    </row>
    <row r="565" spans="1:7" x14ac:dyDescent="0.25">
      <c r="A565" s="577" t="s">
        <v>3051</v>
      </c>
      <c r="B565" s="577">
        <v>0.83176500745067472</v>
      </c>
      <c r="C565" s="577">
        <v>0.81724261543044641</v>
      </c>
      <c r="D565" s="577">
        <v>0.80148196537659211</v>
      </c>
      <c r="E565" s="577">
        <v>0.78462842741134131</v>
      </c>
      <c r="F565" s="577">
        <v>0.76612779293076227</v>
      </c>
      <c r="G565" s="577">
        <v>0.74569827217535378</v>
      </c>
    </row>
    <row r="566" spans="1:7" x14ac:dyDescent="0.25">
      <c r="A566" s="577" t="s">
        <v>3052</v>
      </c>
      <c r="B566" s="577">
        <v>0.85225761513071552</v>
      </c>
      <c r="C566" s="577">
        <v>0.83658438766266952</v>
      </c>
      <c r="D566" s="577">
        <v>0.81973753142871408</v>
      </c>
      <c r="E566" s="577">
        <v>0.80185878706412284</v>
      </c>
      <c r="F566" s="577">
        <v>0.78239052030478906</v>
      </c>
      <c r="G566" s="577">
        <v>0.76104770811119804</v>
      </c>
    </row>
    <row r="567" spans="1:7" x14ac:dyDescent="0.25">
      <c r="A567" s="577" t="s">
        <v>3053</v>
      </c>
      <c r="B567" s="577">
        <v>0.87159938736293863</v>
      </c>
      <c r="C567" s="577">
        <v>0.85483995371479149</v>
      </c>
      <c r="D567" s="577">
        <v>0.83696789108149583</v>
      </c>
      <c r="E567" s="577">
        <v>0.8181215144381494</v>
      </c>
      <c r="F567" s="577">
        <v>0.79773995624063332</v>
      </c>
      <c r="G567" s="577">
        <v>0.77553514174578453</v>
      </c>
    </row>
    <row r="568" spans="1:7" x14ac:dyDescent="0.25">
      <c r="A568" s="577" t="s">
        <v>3054</v>
      </c>
      <c r="B568" s="577">
        <v>0.88985495341506049</v>
      </c>
      <c r="C568" s="577">
        <v>0.8720703133675729</v>
      </c>
      <c r="D568" s="577">
        <v>0.85323061845552273</v>
      </c>
      <c r="E568" s="577">
        <v>0.83347095037399377</v>
      </c>
      <c r="F568" s="577">
        <v>0.8122273898752197</v>
      </c>
      <c r="G568" s="577">
        <v>0.78920898189168953</v>
      </c>
    </row>
    <row r="569" spans="1:7" x14ac:dyDescent="0.25">
      <c r="A569" s="577" t="s">
        <v>3055</v>
      </c>
      <c r="B569" s="577">
        <v>0.10522652600371882</v>
      </c>
      <c r="C569" s="577">
        <v>0.10594252043681002</v>
      </c>
      <c r="D569" s="577">
        <v>0.10753234628016867</v>
      </c>
      <c r="E569" s="577">
        <v>0.1091884554674188</v>
      </c>
      <c r="F569" s="577">
        <v>0.11119201380479471</v>
      </c>
      <c r="G569" s="577">
        <v>0.11208641015990928</v>
      </c>
    </row>
    <row r="570" spans="1:7" x14ac:dyDescent="0.25">
      <c r="A570" s="577" t="s">
        <v>3056</v>
      </c>
      <c r="B570" s="577">
        <v>0.90708531306784213</v>
      </c>
      <c r="C570" s="577">
        <v>0.8883330407415998</v>
      </c>
      <c r="D570" s="577">
        <v>0.86858005439136687</v>
      </c>
      <c r="E570" s="577">
        <v>0.84795838400857992</v>
      </c>
      <c r="F570" s="577">
        <v>0.82590123002112459</v>
      </c>
      <c r="G570" s="577">
        <v>0.80211491879202435</v>
      </c>
    </row>
    <row r="571" spans="1:7" x14ac:dyDescent="0.25">
      <c r="A571" s="577" t="s">
        <v>3057</v>
      </c>
      <c r="B571" s="577">
        <v>0.14095752013707916</v>
      </c>
      <c r="C571" s="577">
        <v>0.14263476856624518</v>
      </c>
      <c r="D571" s="577">
        <v>0.14429755948479178</v>
      </c>
      <c r="E571" s="577">
        <v>0.1469230079381551</v>
      </c>
      <c r="F571" s="577">
        <v>0.14877865828934445</v>
      </c>
      <c r="G571" s="577">
        <v>0.14938848076454975</v>
      </c>
    </row>
    <row r="572" spans="1:7" x14ac:dyDescent="0.25">
      <c r="A572" s="577" t="s">
        <v>3058</v>
      </c>
      <c r="B572" s="577">
        <v>0.17764976826651435</v>
      </c>
      <c r="C572" s="577">
        <v>0.17939998177086824</v>
      </c>
      <c r="D572" s="577">
        <v>0.18203211195552818</v>
      </c>
      <c r="E572" s="577">
        <v>0.1845096524227049</v>
      </c>
      <c r="F572" s="577">
        <v>0.18608072889398491</v>
      </c>
      <c r="G572" s="577">
        <v>0.18634371069088468</v>
      </c>
    </row>
    <row r="573" spans="1:7" x14ac:dyDescent="0.25">
      <c r="A573" s="577" t="s">
        <v>3059</v>
      </c>
      <c r="B573" s="577">
        <v>0.21441498147113744</v>
      </c>
      <c r="C573" s="577">
        <v>0.21713453424160467</v>
      </c>
      <c r="D573" s="577">
        <v>0.21961875644007792</v>
      </c>
      <c r="E573" s="577">
        <v>0.22181172302734531</v>
      </c>
      <c r="F573" s="577">
        <v>0.22303595882031985</v>
      </c>
      <c r="G573" s="577">
        <v>0.2227068665385068</v>
      </c>
    </row>
    <row r="574" spans="1:7" x14ac:dyDescent="0.25">
      <c r="A574" s="577" t="s">
        <v>3060</v>
      </c>
      <c r="B574" s="577">
        <v>0.25214953394187384</v>
      </c>
      <c r="C574" s="577">
        <v>0.25472117872615457</v>
      </c>
      <c r="D574" s="577">
        <v>0.25692082704471841</v>
      </c>
      <c r="E574" s="577">
        <v>0.2587669529536803</v>
      </c>
      <c r="F574" s="577">
        <v>0.25939911466794202</v>
      </c>
      <c r="G574" s="577">
        <v>0.25871105599788213</v>
      </c>
    </row>
    <row r="575" spans="1:7" x14ac:dyDescent="0.25">
      <c r="A575" s="577" t="s">
        <v>3061</v>
      </c>
      <c r="B575" s="577">
        <v>0.28973617842642374</v>
      </c>
      <c r="C575" s="577">
        <v>0.2920232493307951</v>
      </c>
      <c r="D575" s="577">
        <v>0.29387605697105329</v>
      </c>
      <c r="E575" s="577">
        <v>0.29513010880130247</v>
      </c>
      <c r="F575" s="577">
        <v>0.2954033041273173</v>
      </c>
      <c r="G575" s="577">
        <v>0.29468831798312378</v>
      </c>
    </row>
    <row r="576" spans="1:7" x14ac:dyDescent="0.25">
      <c r="A576" s="577" t="s">
        <v>3062</v>
      </c>
      <c r="B576" s="577">
        <v>0.32703824903106427</v>
      </c>
      <c r="C576" s="577">
        <v>0.32897847925713014</v>
      </c>
      <c r="D576" s="577">
        <v>0.33023921281867546</v>
      </c>
      <c r="E576" s="577">
        <v>0.3311342982606777</v>
      </c>
      <c r="F576" s="577">
        <v>0.33138056611255901</v>
      </c>
      <c r="G576" s="577">
        <v>0.32907066185200567</v>
      </c>
    </row>
    <row r="577" spans="1:7" x14ac:dyDescent="0.25">
      <c r="A577" s="577" t="s">
        <v>3063</v>
      </c>
      <c r="B577" s="577">
        <v>3.3438309176011372E-2</v>
      </c>
      <c r="C577" s="577">
        <v>3.3456327221288204E-2</v>
      </c>
      <c r="D577" s="577">
        <v>3.3400128686320647E-2</v>
      </c>
      <c r="E577" s="577">
        <v>3.3860491055699923E-2</v>
      </c>
      <c r="F577" s="577">
        <v>3.4672211900371966E-2</v>
      </c>
      <c r="G577" s="577">
        <v>3.4646614766468235E-2</v>
      </c>
    </row>
    <row r="578" spans="1:7" x14ac:dyDescent="0.25">
      <c r="A578" s="577" t="s">
        <v>3064</v>
      </c>
      <c r="B578" s="577">
        <v>0.3441075622907816</v>
      </c>
      <c r="C578" s="577">
        <v>0.34483538449492207</v>
      </c>
      <c r="D578" s="577">
        <v>0.34524136521337867</v>
      </c>
      <c r="E578" s="577">
        <v>0.34573540875181619</v>
      </c>
      <c r="F578" s="577">
        <v>0.34427037989480286</v>
      </c>
      <c r="G578" s="577">
        <v>0.34050294590337671</v>
      </c>
    </row>
    <row r="579" spans="1:7" x14ac:dyDescent="0.25">
      <c r="A579" s="577" t="s">
        <v>3065</v>
      </c>
      <c r="B579" s="577">
        <v>0.37827369367093355</v>
      </c>
      <c r="C579" s="577">
        <v>0.37869769243466694</v>
      </c>
      <c r="D579" s="577">
        <v>0.37913553743813688</v>
      </c>
      <c r="E579" s="577">
        <v>0.37813087095050268</v>
      </c>
      <c r="F579" s="577">
        <v>0.37517515780374866</v>
      </c>
      <c r="G579" s="577">
        <v>0.37032190793101255</v>
      </c>
    </row>
    <row r="580" spans="1:7" x14ac:dyDescent="0.25">
      <c r="A580" s="577" t="s">
        <v>3066</v>
      </c>
      <c r="B580" s="577">
        <v>0.41213600161067826</v>
      </c>
      <c r="C580" s="577">
        <v>0.4125918646594251</v>
      </c>
      <c r="D580" s="577">
        <v>0.41153099963682338</v>
      </c>
      <c r="E580" s="577">
        <v>0.40903564885944849</v>
      </c>
      <c r="F580" s="577">
        <v>0.4049941198313845</v>
      </c>
      <c r="G580" s="577">
        <v>0.39909549705204023</v>
      </c>
    </row>
    <row r="581" spans="1:7" x14ac:dyDescent="0.25">
      <c r="A581" s="577" t="s">
        <v>3067</v>
      </c>
      <c r="B581" s="577">
        <v>0.44603017383543647</v>
      </c>
      <c r="C581" s="577">
        <v>0.4449873268581116</v>
      </c>
      <c r="D581" s="577">
        <v>0.44243577754576929</v>
      </c>
      <c r="E581" s="577">
        <v>0.43885461088708444</v>
      </c>
      <c r="F581" s="577">
        <v>0.43376770895241218</v>
      </c>
      <c r="G581" s="577">
        <v>0.42679128770801916</v>
      </c>
    </row>
    <row r="582" spans="1:7" x14ac:dyDescent="0.25">
      <c r="A582" s="577" t="s">
        <v>3068</v>
      </c>
      <c r="B582" s="577">
        <v>0.47842563603412297</v>
      </c>
      <c r="C582" s="577">
        <v>0.47589210476705757</v>
      </c>
      <c r="D582" s="577">
        <v>0.47225473957340514</v>
      </c>
      <c r="E582" s="577">
        <v>0.46762820000811206</v>
      </c>
      <c r="F582" s="577">
        <v>0.46146349960839117</v>
      </c>
      <c r="G582" s="577">
        <v>0.45354919387381853</v>
      </c>
    </row>
    <row r="583" spans="1:7" x14ac:dyDescent="0.25">
      <c r="A583" s="577" t="s">
        <v>3069</v>
      </c>
      <c r="B583" s="577">
        <v>0.50933041394306877</v>
      </c>
      <c r="C583" s="577">
        <v>0.50571106679469324</v>
      </c>
      <c r="D583" s="577">
        <v>0.5010283286944327</v>
      </c>
      <c r="E583" s="577">
        <v>0.49532399066409105</v>
      </c>
      <c r="F583" s="577">
        <v>0.48822140577419049</v>
      </c>
      <c r="G583" s="577">
        <v>0.47940283772104697</v>
      </c>
    </row>
    <row r="584" spans="1:7" x14ac:dyDescent="0.25">
      <c r="A584" s="577" t="s">
        <v>3070</v>
      </c>
      <c r="B584" s="577">
        <v>0.53914937597070456</v>
      </c>
      <c r="C584" s="577">
        <v>0.53448465591572092</v>
      </c>
      <c r="D584" s="577">
        <v>0.52872411935041186</v>
      </c>
      <c r="E584" s="577">
        <v>0.52208189682989037</v>
      </c>
      <c r="F584" s="577">
        <v>0.51407504962141903</v>
      </c>
      <c r="G584" s="577">
        <v>0.50438455457787157</v>
      </c>
    </row>
    <row r="585" spans="1:7" x14ac:dyDescent="0.25">
      <c r="A585" s="577" t="s">
        <v>3071</v>
      </c>
      <c r="B585" s="577">
        <v>0.56792296509173235</v>
      </c>
      <c r="C585" s="577">
        <v>0.56218044657169997</v>
      </c>
      <c r="D585" s="577">
        <v>0.55548202551621106</v>
      </c>
      <c r="E585" s="577">
        <v>0.54793554067711892</v>
      </c>
      <c r="F585" s="577">
        <v>0.53905676647824341</v>
      </c>
      <c r="G585" s="577">
        <v>0.52852544556765302</v>
      </c>
    </row>
    <row r="586" spans="1:7" x14ac:dyDescent="0.25">
      <c r="A586" s="577" t="s">
        <v>3072</v>
      </c>
      <c r="B586" s="577">
        <v>0.59561875574771128</v>
      </c>
      <c r="C586" s="577">
        <v>0.58893835273749928</v>
      </c>
      <c r="D586" s="577">
        <v>0.58133566936343961</v>
      </c>
      <c r="E586" s="577">
        <v>0.5729172575339434</v>
      </c>
      <c r="F586" s="577">
        <v>0.56319765746802497</v>
      </c>
      <c r="G586" s="577">
        <v>0.55185542796208786</v>
      </c>
    </row>
    <row r="587" spans="1:7" x14ac:dyDescent="0.25">
      <c r="A587" s="577" t="s">
        <v>3073</v>
      </c>
      <c r="B587" s="577">
        <v>0.62237666191351071</v>
      </c>
      <c r="C587" s="577">
        <v>0.61479199658472794</v>
      </c>
      <c r="D587" s="577">
        <v>0.6063173862202641</v>
      </c>
      <c r="E587" s="577">
        <v>0.59705814852372485</v>
      </c>
      <c r="F587" s="577">
        <v>0.58652763986245982</v>
      </c>
      <c r="G587" s="577">
        <v>0.57440328335294677</v>
      </c>
    </row>
    <row r="588" spans="1:7" x14ac:dyDescent="0.25">
      <c r="A588" s="577" t="s">
        <v>3074</v>
      </c>
      <c r="B588" s="577">
        <v>6.6894636397299589E-2</v>
      </c>
      <c r="C588" s="577">
        <v>6.6856455907608858E-2</v>
      </c>
      <c r="D588" s="577">
        <v>6.7260619742020578E-2</v>
      </c>
      <c r="E588" s="577">
        <v>6.8532702956071889E-2</v>
      </c>
      <c r="F588" s="577">
        <v>6.931882666684018E-2</v>
      </c>
      <c r="G588" s="577">
        <v>7.0181337018230414E-2</v>
      </c>
    </row>
    <row r="589" spans="1:7" x14ac:dyDescent="0.25">
      <c r="A589" s="577" t="s">
        <v>3075</v>
      </c>
      <c r="B589" s="577">
        <v>0.64823030576073903</v>
      </c>
      <c r="C589" s="577">
        <v>0.63977371344155232</v>
      </c>
      <c r="D589" s="577">
        <v>0.63045827721004566</v>
      </c>
      <c r="E589" s="577">
        <v>0.6203881309181597</v>
      </c>
      <c r="F589" s="577">
        <v>0.6090754952533185</v>
      </c>
      <c r="G589" s="577">
        <v>0.5961967037415864</v>
      </c>
    </row>
    <row r="590" spans="1:7" x14ac:dyDescent="0.25">
      <c r="A590" s="577" t="s">
        <v>3076</v>
      </c>
      <c r="B590" s="577">
        <v>0.67321202261756374</v>
      </c>
      <c r="C590" s="577">
        <v>0.66391460443133388</v>
      </c>
      <c r="D590" s="577">
        <v>0.65378825960448017</v>
      </c>
      <c r="E590" s="577">
        <v>0.64293598630901849</v>
      </c>
      <c r="F590" s="577">
        <v>0.63086891564195835</v>
      </c>
      <c r="G590" s="577">
        <v>0.61676623690689059</v>
      </c>
    </row>
    <row r="591" spans="1:7" x14ac:dyDescent="0.25">
      <c r="A591" s="577" t="s">
        <v>3077</v>
      </c>
      <c r="B591" s="577">
        <v>0.69735291360734497</v>
      </c>
      <c r="C591" s="577">
        <v>0.68724458682576861</v>
      </c>
      <c r="D591" s="577">
        <v>0.67633611499533919</v>
      </c>
      <c r="E591" s="577">
        <v>0.66472940669765823</v>
      </c>
      <c r="F591" s="577">
        <v>0.65143844880726254</v>
      </c>
      <c r="G591" s="577">
        <v>0.63618061459948549</v>
      </c>
    </row>
    <row r="592" spans="1:7" x14ac:dyDescent="0.25">
      <c r="A592" s="577" t="s">
        <v>3078</v>
      </c>
      <c r="B592" s="577">
        <v>0.72068289600177993</v>
      </c>
      <c r="C592" s="577">
        <v>0.70979244221662741</v>
      </c>
      <c r="D592" s="577">
        <v>0.69812953538397893</v>
      </c>
      <c r="E592" s="577">
        <v>0.68529893986296231</v>
      </c>
      <c r="F592" s="577">
        <v>0.67085282649985722</v>
      </c>
      <c r="G592" s="577">
        <v>0.65450470869348698</v>
      </c>
    </row>
    <row r="593" spans="1:7" x14ac:dyDescent="0.25">
      <c r="A593" s="577" t="s">
        <v>3079</v>
      </c>
      <c r="B593" s="577">
        <v>0.74323075139263894</v>
      </c>
      <c r="C593" s="577">
        <v>0.73158586260526703</v>
      </c>
      <c r="D593" s="577">
        <v>0.71869906854928312</v>
      </c>
      <c r="E593" s="577">
        <v>0.70471331755555722</v>
      </c>
      <c r="F593" s="577">
        <v>0.68917692059385882</v>
      </c>
      <c r="G593" s="577">
        <v>0.67179974795162922</v>
      </c>
    </row>
    <row r="594" spans="1:7" x14ac:dyDescent="0.25">
      <c r="A594" s="577" t="s">
        <v>3080</v>
      </c>
      <c r="B594" s="577">
        <v>0.76502417178127868</v>
      </c>
      <c r="C594" s="577">
        <v>0.75215539577057122</v>
      </c>
      <c r="D594" s="577">
        <v>0.73811344624187769</v>
      </c>
      <c r="E594" s="577">
        <v>0.72303741164955881</v>
      </c>
      <c r="F594" s="577">
        <v>0.70647195985200117</v>
      </c>
      <c r="G594" s="577">
        <v>0.68812352261717158</v>
      </c>
    </row>
    <row r="595" spans="1:7" x14ac:dyDescent="0.25">
      <c r="A595" s="577" t="s">
        <v>3081</v>
      </c>
      <c r="B595" s="577">
        <v>0.10029476508362022</v>
      </c>
      <c r="C595" s="577">
        <v>0.10071694696330878</v>
      </c>
      <c r="D595" s="577">
        <v>0.10193283164239253</v>
      </c>
      <c r="E595" s="577">
        <v>0.10317931772254012</v>
      </c>
      <c r="F595" s="577">
        <v>0.10485354891860241</v>
      </c>
      <c r="G595" s="577">
        <v>0.10552170156561409</v>
      </c>
    </row>
    <row r="596" spans="1:7" x14ac:dyDescent="0.25">
      <c r="A596" s="577" t="s">
        <v>3082</v>
      </c>
      <c r="B596" s="577">
        <v>0.13415525613932014</v>
      </c>
      <c r="C596" s="577">
        <v>0.13538915886368075</v>
      </c>
      <c r="D596" s="577">
        <v>0.13657944640886077</v>
      </c>
      <c r="E596" s="577">
        <v>0.13871403997430234</v>
      </c>
      <c r="F596" s="577">
        <v>0.14019391346598606</v>
      </c>
      <c r="G596" s="577">
        <v>0.14056579402639685</v>
      </c>
    </row>
    <row r="597" spans="1:7" x14ac:dyDescent="0.25">
      <c r="A597" s="577" t="s">
        <v>3083</v>
      </c>
      <c r="B597" s="577">
        <v>0.16882746803969206</v>
      </c>
      <c r="C597" s="577">
        <v>0.17003577363014899</v>
      </c>
      <c r="D597" s="577">
        <v>0.17211416866062296</v>
      </c>
      <c r="E597" s="577">
        <v>0.174054404521686</v>
      </c>
      <c r="F597" s="577">
        <v>0.17523800592676886</v>
      </c>
      <c r="G597" s="577">
        <v>0.17528009425108945</v>
      </c>
    </row>
    <row r="598" spans="1:7" x14ac:dyDescent="0.25">
      <c r="A598" s="577" t="s">
        <v>3084</v>
      </c>
      <c r="B598" s="577">
        <v>0.20347408280616033</v>
      </c>
      <c r="C598" s="577">
        <v>0.2055704958819112</v>
      </c>
      <c r="D598" s="577">
        <v>0.20745453320800664</v>
      </c>
      <c r="E598" s="577">
        <v>0.20909849698246874</v>
      </c>
      <c r="F598" s="577">
        <v>0.20995230615146143</v>
      </c>
      <c r="G598" s="577">
        <v>0.2094462256312413</v>
      </c>
    </row>
    <row r="599" spans="1:7" x14ac:dyDescent="0.25">
      <c r="A599" s="577" t="s">
        <v>3085</v>
      </c>
      <c r="B599" s="577">
        <v>0.2390088050579226</v>
      </c>
      <c r="C599" s="577">
        <v>0.24091086042929485</v>
      </c>
      <c r="D599" s="577">
        <v>0.24249862566878938</v>
      </c>
      <c r="E599" s="577">
        <v>0.24381279720716137</v>
      </c>
      <c r="F599" s="577">
        <v>0.24411843753161333</v>
      </c>
      <c r="G599" s="577">
        <v>0.24330853357098611</v>
      </c>
    </row>
    <row r="600" spans="1:7" x14ac:dyDescent="0.25">
      <c r="A600" s="577" t="s">
        <v>3086</v>
      </c>
      <c r="B600" s="577">
        <v>0.27434916960530625</v>
      </c>
      <c r="C600" s="577">
        <v>0.27595495289007765</v>
      </c>
      <c r="D600" s="577">
        <v>0.27721292589348207</v>
      </c>
      <c r="E600" s="577">
        <v>0.27797892858731316</v>
      </c>
      <c r="F600" s="577">
        <v>0.27798074547135815</v>
      </c>
      <c r="G600" s="577">
        <v>0.2772027057957443</v>
      </c>
    </row>
    <row r="601" spans="1:7" x14ac:dyDescent="0.25">
      <c r="A601" s="577" t="s">
        <v>3087</v>
      </c>
      <c r="B601" s="577">
        <v>0.30939326206608897</v>
      </c>
      <c r="C601" s="577">
        <v>0.31066925311477023</v>
      </c>
      <c r="D601" s="577">
        <v>0.31137905727363385</v>
      </c>
      <c r="E601" s="577">
        <v>0.31184123652705803</v>
      </c>
      <c r="F601" s="577">
        <v>0.31187491769611625</v>
      </c>
      <c r="G601" s="577">
        <v>0.30959816799443096</v>
      </c>
    </row>
    <row r="602" spans="1:7" x14ac:dyDescent="0.25">
      <c r="A602" s="577" t="s">
        <v>3088</v>
      </c>
      <c r="B602" s="577">
        <v>3.5014999700269167E-2</v>
      </c>
      <c r="C602" s="577">
        <v>3.5102422286076608E-2</v>
      </c>
      <c r="D602" s="577">
        <v>3.5109104017373043E-2</v>
      </c>
      <c r="E602" s="577">
        <v>3.5730994133360415E-2</v>
      </c>
      <c r="F602" s="577">
        <v>3.6692248129435182E-2</v>
      </c>
      <c r="G602" s="577">
        <v>3.6765213204623164E-2</v>
      </c>
    </row>
    <row r="603" spans="1:7" x14ac:dyDescent="0.25">
      <c r="A603" s="577" t="s">
        <v>3089</v>
      </c>
      <c r="B603" s="577">
        <v>0.3639934789573992</v>
      </c>
      <c r="C603" s="577">
        <v>0.36534163510475237</v>
      </c>
      <c r="D603" s="577">
        <v>0.36624340227805086</v>
      </c>
      <c r="E603" s="577">
        <v>0.3671115602459194</v>
      </c>
      <c r="F603" s="577">
        <v>0.36576290998144079</v>
      </c>
      <c r="G603" s="577">
        <v>0.36186476173270998</v>
      </c>
    </row>
    <row r="604" spans="1:7" x14ac:dyDescent="0.25">
      <c r="A604" s="577" t="s">
        <v>3090</v>
      </c>
      <c r="B604" s="577">
        <v>0.40035663480502154</v>
      </c>
      <c r="C604" s="577">
        <v>0.40134582456412754</v>
      </c>
      <c r="D604" s="577">
        <v>0.4022206642632925</v>
      </c>
      <c r="E604" s="577">
        <v>0.40149390411480129</v>
      </c>
      <c r="F604" s="577">
        <v>0.39855700986214526</v>
      </c>
      <c r="G604" s="577">
        <v>0.39348550228064694</v>
      </c>
    </row>
    <row r="605" spans="1:7" x14ac:dyDescent="0.25">
      <c r="A605" s="577" t="s">
        <v>3091</v>
      </c>
      <c r="B605" s="577">
        <v>0.43636082426439682</v>
      </c>
      <c r="C605" s="577">
        <v>0.43732308654936936</v>
      </c>
      <c r="D605" s="577">
        <v>0.43660300813217434</v>
      </c>
      <c r="E605" s="577">
        <v>0.43428800399550566</v>
      </c>
      <c r="F605" s="577">
        <v>0.43017775041008216</v>
      </c>
      <c r="G605" s="577">
        <v>0.42397793006072676</v>
      </c>
    </row>
    <row r="606" spans="1:7" x14ac:dyDescent="0.25">
      <c r="A606" s="577" t="s">
        <v>3092</v>
      </c>
      <c r="B606" s="577">
        <v>0.47233808624963858</v>
      </c>
      <c r="C606" s="577">
        <v>0.47170543041825108</v>
      </c>
      <c r="D606" s="577">
        <v>0.46939710801287859</v>
      </c>
      <c r="E606" s="577">
        <v>0.4659087445434425</v>
      </c>
      <c r="F606" s="577">
        <v>0.46067017819016187</v>
      </c>
      <c r="G606" s="577">
        <v>0.45331397875642143</v>
      </c>
    </row>
    <row r="607" spans="1:7" x14ac:dyDescent="0.25">
      <c r="A607" s="577" t="s">
        <v>3093</v>
      </c>
      <c r="B607" s="577">
        <v>0.50672043011852042</v>
      </c>
      <c r="C607" s="577">
        <v>0.50449953029895567</v>
      </c>
      <c r="D607" s="577">
        <v>0.50101784856081555</v>
      </c>
      <c r="E607" s="577">
        <v>0.49640117232352232</v>
      </c>
      <c r="F607" s="577">
        <v>0.49000622688585671</v>
      </c>
      <c r="G607" s="577">
        <v>0.48164200473963714</v>
      </c>
    </row>
    <row r="608" spans="1:7" x14ac:dyDescent="0.25">
      <c r="A608" s="577" t="s">
        <v>3094</v>
      </c>
      <c r="B608" s="577">
        <v>0.53951452999922478</v>
      </c>
      <c r="C608" s="577">
        <v>0.53612027084689251</v>
      </c>
      <c r="D608" s="577">
        <v>0.53151027634089532</v>
      </c>
      <c r="E608" s="577">
        <v>0.52573722101921705</v>
      </c>
      <c r="F608" s="577">
        <v>0.51833425286907242</v>
      </c>
      <c r="G608" s="577">
        <v>0.50899876952210266</v>
      </c>
    </row>
    <row r="609" spans="1:7" x14ac:dyDescent="0.25">
      <c r="A609" s="577" t="s">
        <v>3095</v>
      </c>
      <c r="B609" s="577">
        <v>0.57113527054716173</v>
      </c>
      <c r="C609" s="577">
        <v>0.56661269862697239</v>
      </c>
      <c r="D609" s="577">
        <v>0.56084632503659015</v>
      </c>
      <c r="E609" s="577">
        <v>0.55406524700243276</v>
      </c>
      <c r="F609" s="577">
        <v>0.54569101765153794</v>
      </c>
      <c r="G609" s="577">
        <v>0.53541960218170159</v>
      </c>
    </row>
    <row r="610" spans="1:7" x14ac:dyDescent="0.25">
      <c r="A610" s="577" t="s">
        <v>3096</v>
      </c>
      <c r="B610" s="577">
        <v>0.60162769832724172</v>
      </c>
      <c r="C610" s="577">
        <v>0.59594874732266723</v>
      </c>
      <c r="D610" s="577">
        <v>0.58917435101980575</v>
      </c>
      <c r="E610" s="577">
        <v>0.58142201178489827</v>
      </c>
      <c r="F610" s="577">
        <v>0.57211185031113665</v>
      </c>
      <c r="G610" s="577">
        <v>0.56093845893074112</v>
      </c>
    </row>
    <row r="611" spans="1:7" x14ac:dyDescent="0.25">
      <c r="A611" s="577" t="s">
        <v>3097</v>
      </c>
      <c r="B611" s="577">
        <v>0.63096374702293623</v>
      </c>
      <c r="C611" s="577">
        <v>0.62427677330588272</v>
      </c>
      <c r="D611" s="577">
        <v>0.61653111580227149</v>
      </c>
      <c r="E611" s="577">
        <v>0.60784284444449721</v>
      </c>
      <c r="F611" s="577">
        <v>0.59763070706017662</v>
      </c>
      <c r="G611" s="577">
        <v>0.58558798006281754</v>
      </c>
    </row>
    <row r="612" spans="1:7" x14ac:dyDescent="0.25">
      <c r="A612" s="577" t="s">
        <v>3098</v>
      </c>
      <c r="B612" s="577">
        <v>0.65929177300615205</v>
      </c>
      <c r="C612" s="577">
        <v>0.65163353808834845</v>
      </c>
      <c r="D612" s="577">
        <v>0.6429519484618702</v>
      </c>
      <c r="E612" s="577">
        <v>0.63336170119353685</v>
      </c>
      <c r="F612" s="577">
        <v>0.62228022819225259</v>
      </c>
      <c r="G612" s="577">
        <v>0.60939954439885236</v>
      </c>
    </row>
    <row r="613" spans="1:7" x14ac:dyDescent="0.25">
      <c r="A613" s="577" t="s">
        <v>3099</v>
      </c>
      <c r="B613" s="577">
        <v>7.0117421986345782E-2</v>
      </c>
      <c r="C613" s="577">
        <v>7.0211526303449664E-2</v>
      </c>
      <c r="D613" s="577">
        <v>7.0840098150733485E-2</v>
      </c>
      <c r="E613" s="577">
        <v>7.242324226279559E-2</v>
      </c>
      <c r="F613" s="577">
        <v>7.3457461334058338E-2</v>
      </c>
      <c r="G613" s="577">
        <v>7.44997656753595E-2</v>
      </c>
    </row>
    <row r="614" spans="1:7" x14ac:dyDescent="0.25">
      <c r="A614" s="577" t="s">
        <v>3100</v>
      </c>
      <c r="B614" s="577">
        <v>0.68664853778861767</v>
      </c>
      <c r="C614" s="577">
        <v>0.67805437074794728</v>
      </c>
      <c r="D614" s="577">
        <v>0.66847080521090985</v>
      </c>
      <c r="E614" s="577">
        <v>0.65801122232561315</v>
      </c>
      <c r="F614" s="577">
        <v>0.64609179252828741</v>
      </c>
      <c r="G614" s="577">
        <v>0.63240332134715693</v>
      </c>
    </row>
    <row r="615" spans="1:7" x14ac:dyDescent="0.25">
      <c r="A615" s="577" t="s">
        <v>3101</v>
      </c>
      <c r="B615" s="577">
        <v>0.71306937044821639</v>
      </c>
      <c r="C615" s="577">
        <v>0.70357322749698692</v>
      </c>
      <c r="D615" s="577">
        <v>0.69312032634298604</v>
      </c>
      <c r="E615" s="577">
        <v>0.68182278666164786</v>
      </c>
      <c r="F615" s="577">
        <v>0.6690955694765921</v>
      </c>
      <c r="G615" s="577">
        <v>0.65411523918415981</v>
      </c>
    </row>
    <row r="616" spans="1:7" x14ac:dyDescent="0.25">
      <c r="A616" s="577" t="s">
        <v>3102</v>
      </c>
      <c r="B616" s="577">
        <v>0.73858822719725603</v>
      </c>
      <c r="C616" s="577">
        <v>0.72822274862906344</v>
      </c>
      <c r="D616" s="577">
        <v>0.71693189067902097</v>
      </c>
      <c r="E616" s="577">
        <v>0.70482656360995255</v>
      </c>
      <c r="F616" s="577">
        <v>0.69080748731359487</v>
      </c>
      <c r="G616" s="577">
        <v>0.67460784686420039</v>
      </c>
    </row>
    <row r="617" spans="1:7" x14ac:dyDescent="0.25">
      <c r="A617" s="577" t="s">
        <v>3103</v>
      </c>
      <c r="B617" s="577">
        <v>0.76323774832933233</v>
      </c>
      <c r="C617" s="577">
        <v>0.75203431296509815</v>
      </c>
      <c r="D617" s="577">
        <v>0.73993566762732554</v>
      </c>
      <c r="E617" s="577">
        <v>0.72653848144695543</v>
      </c>
      <c r="F617" s="577">
        <v>0.71130009499363567</v>
      </c>
      <c r="G617" s="577">
        <v>0.69394961909642372</v>
      </c>
    </row>
    <row r="618" spans="1:7" x14ac:dyDescent="0.25">
      <c r="A618" s="577" t="s">
        <v>3104</v>
      </c>
      <c r="B618" s="577">
        <v>0.78704931266536726</v>
      </c>
      <c r="C618" s="577">
        <v>0.77503808991340262</v>
      </c>
      <c r="D618" s="577">
        <v>0.76164758546432854</v>
      </c>
      <c r="E618" s="577">
        <v>0.74703108912699612</v>
      </c>
      <c r="F618" s="577">
        <v>0.730641867225859</v>
      </c>
      <c r="G618" s="577">
        <v>0.71220518514854569</v>
      </c>
    </row>
    <row r="619" spans="1:7" x14ac:dyDescent="0.25">
      <c r="A619" s="577" t="s">
        <v>3105</v>
      </c>
      <c r="B619" s="577">
        <v>0.81005308961367184</v>
      </c>
      <c r="C619" s="577">
        <v>0.79675000775040572</v>
      </c>
      <c r="D619" s="577">
        <v>0.782140193144369</v>
      </c>
      <c r="E619" s="577">
        <v>0.76637286135921945</v>
      </c>
      <c r="F619" s="577">
        <v>0.74889743327798086</v>
      </c>
      <c r="G619" s="577">
        <v>0.72943554480132711</v>
      </c>
    </row>
    <row r="620" spans="1:7" x14ac:dyDescent="0.25">
      <c r="A620" s="577" t="s">
        <v>3106</v>
      </c>
      <c r="B620" s="577">
        <v>0.83176500745067472</v>
      </c>
      <c r="C620" s="577">
        <v>0.81724261543044641</v>
      </c>
      <c r="D620" s="577">
        <v>0.80148196537659211</v>
      </c>
      <c r="E620" s="577">
        <v>0.78462842741134131</v>
      </c>
      <c r="F620" s="577">
        <v>0.76612779293076227</v>
      </c>
      <c r="G620" s="577">
        <v>0.74569827217535378</v>
      </c>
    </row>
    <row r="621" spans="1:7" x14ac:dyDescent="0.25">
      <c r="A621" s="577" t="s">
        <v>3107</v>
      </c>
      <c r="B621" s="577">
        <v>0.85225761513071552</v>
      </c>
      <c r="C621" s="577">
        <v>0.83658438766266952</v>
      </c>
      <c r="D621" s="577">
        <v>0.81973753142871408</v>
      </c>
      <c r="E621" s="577">
        <v>0.80185878706412284</v>
      </c>
      <c r="F621" s="577">
        <v>0.78239052030478906</v>
      </c>
      <c r="G621" s="577">
        <v>0.76104770811119804</v>
      </c>
    </row>
    <row r="622" spans="1:7" x14ac:dyDescent="0.25">
      <c r="A622" s="577" t="s">
        <v>3108</v>
      </c>
      <c r="B622" s="577">
        <v>0.87159938736293863</v>
      </c>
      <c r="C622" s="577">
        <v>0.85483995371479149</v>
      </c>
      <c r="D622" s="577">
        <v>0.83696789108149583</v>
      </c>
      <c r="E622" s="577">
        <v>0.8181215144381494</v>
      </c>
      <c r="F622" s="577">
        <v>0.79773995624063332</v>
      </c>
      <c r="G622" s="577">
        <v>0.77553514174578453</v>
      </c>
    </row>
    <row r="623" spans="1:7" x14ac:dyDescent="0.25">
      <c r="A623" s="577" t="s">
        <v>3109</v>
      </c>
      <c r="B623" s="577">
        <v>0.88985495341506049</v>
      </c>
      <c r="C623" s="577">
        <v>0.8720703133675729</v>
      </c>
      <c r="D623" s="577">
        <v>0.85323061845552273</v>
      </c>
      <c r="E623" s="577">
        <v>0.83347095037399377</v>
      </c>
      <c r="F623" s="577">
        <v>0.8122273898752197</v>
      </c>
      <c r="G623" s="577">
        <v>0.78920898189168953</v>
      </c>
    </row>
    <row r="624" spans="1:7" x14ac:dyDescent="0.25">
      <c r="A624" s="577" t="s">
        <v>3110</v>
      </c>
      <c r="B624" s="577">
        <v>0.10522652600371882</v>
      </c>
      <c r="C624" s="577">
        <v>0.10594252043681002</v>
      </c>
      <c r="D624" s="577">
        <v>0.10753234628016867</v>
      </c>
      <c r="E624" s="577">
        <v>0.1091884554674188</v>
      </c>
      <c r="F624" s="577">
        <v>0.11119201380479471</v>
      </c>
      <c r="G624" s="577">
        <v>0.11208641015990928</v>
      </c>
    </row>
    <row r="625" spans="1:7" x14ac:dyDescent="0.25">
      <c r="A625" s="577" t="s">
        <v>3111</v>
      </c>
      <c r="B625" s="577">
        <v>0.90708531306784213</v>
      </c>
      <c r="C625" s="577">
        <v>0.8883330407415998</v>
      </c>
      <c r="D625" s="577">
        <v>0.86858005439136687</v>
      </c>
      <c r="E625" s="577">
        <v>0.84795838400857992</v>
      </c>
      <c r="F625" s="577">
        <v>0.82590123002112459</v>
      </c>
      <c r="G625" s="577">
        <v>0.80211491879202435</v>
      </c>
    </row>
    <row r="626" spans="1:7" x14ac:dyDescent="0.25">
      <c r="A626" s="577" t="s">
        <v>3112</v>
      </c>
      <c r="B626" s="577">
        <v>0.14095752013707916</v>
      </c>
      <c r="C626" s="577">
        <v>0.14263476856624518</v>
      </c>
      <c r="D626" s="577">
        <v>0.14429755948479178</v>
      </c>
      <c r="E626" s="577">
        <v>0.1469230079381551</v>
      </c>
      <c r="F626" s="577">
        <v>0.14877865828934445</v>
      </c>
      <c r="G626" s="577">
        <v>0.14938848076454975</v>
      </c>
    </row>
    <row r="627" spans="1:7" x14ac:dyDescent="0.25">
      <c r="A627" s="577" t="s">
        <v>3113</v>
      </c>
      <c r="B627" s="577">
        <v>0.17764976826651435</v>
      </c>
      <c r="C627" s="577">
        <v>0.17939998177086824</v>
      </c>
      <c r="D627" s="577">
        <v>0.18203211195552818</v>
      </c>
      <c r="E627" s="577">
        <v>0.1845096524227049</v>
      </c>
      <c r="F627" s="577">
        <v>0.18608072889398491</v>
      </c>
      <c r="G627" s="577">
        <v>0.18634371069088468</v>
      </c>
    </row>
    <row r="628" spans="1:7" x14ac:dyDescent="0.25">
      <c r="A628" s="577" t="s">
        <v>3114</v>
      </c>
      <c r="B628" s="577">
        <v>0.21441498147113744</v>
      </c>
      <c r="C628" s="577">
        <v>0.21713453424160467</v>
      </c>
      <c r="D628" s="577">
        <v>0.21961875644007792</v>
      </c>
      <c r="E628" s="577">
        <v>0.22181172302734531</v>
      </c>
      <c r="F628" s="577">
        <v>0.22303595882031985</v>
      </c>
      <c r="G628" s="577">
        <v>0.2227068665385068</v>
      </c>
    </row>
    <row r="629" spans="1:7" x14ac:dyDescent="0.25">
      <c r="A629" s="577" t="s">
        <v>3115</v>
      </c>
      <c r="B629" s="577">
        <v>0.25214953394187384</v>
      </c>
      <c r="C629" s="577">
        <v>0.25472117872615457</v>
      </c>
      <c r="D629" s="577">
        <v>0.25692082704471841</v>
      </c>
      <c r="E629" s="577">
        <v>0.2587669529536803</v>
      </c>
      <c r="F629" s="577">
        <v>0.25939911466794202</v>
      </c>
      <c r="G629" s="577">
        <v>0.25871105599788213</v>
      </c>
    </row>
    <row r="630" spans="1:7" x14ac:dyDescent="0.25">
      <c r="A630" s="577" t="s">
        <v>3116</v>
      </c>
      <c r="B630" s="577">
        <v>0.28973617842642374</v>
      </c>
      <c r="C630" s="577">
        <v>0.2920232493307951</v>
      </c>
      <c r="D630" s="577">
        <v>0.29387605697105329</v>
      </c>
      <c r="E630" s="577">
        <v>0.29513010880130247</v>
      </c>
      <c r="F630" s="577">
        <v>0.2954033041273173</v>
      </c>
      <c r="G630" s="577">
        <v>0.29468831798312378</v>
      </c>
    </row>
    <row r="631" spans="1:7" x14ac:dyDescent="0.25">
      <c r="A631" s="577" t="s">
        <v>3117</v>
      </c>
      <c r="B631" s="577">
        <v>0.32703824903106427</v>
      </c>
      <c r="C631" s="577">
        <v>0.32897847925713014</v>
      </c>
      <c r="D631" s="577">
        <v>0.33023921281867546</v>
      </c>
      <c r="E631" s="577">
        <v>0.3311342982606777</v>
      </c>
      <c r="F631" s="577">
        <v>0.33138056611255901</v>
      </c>
      <c r="G631" s="577">
        <v>0.32907066185200567</v>
      </c>
    </row>
    <row r="632" spans="1:7" x14ac:dyDescent="0.25">
      <c r="A632" s="577" t="s">
        <v>3118</v>
      </c>
      <c r="B632" s="577">
        <v>3.419975326308685E-2</v>
      </c>
      <c r="C632" s="577">
        <v>3.4254719537800668E-2</v>
      </c>
      <c r="D632" s="577">
        <v>3.423216706618025E-2</v>
      </c>
      <c r="E632" s="577">
        <v>3.4777533236919358E-2</v>
      </c>
      <c r="F632" s="577">
        <v>3.566703614762113E-2</v>
      </c>
      <c r="G632" s="577">
        <v>3.5694030388953836E-2</v>
      </c>
    </row>
    <row r="633" spans="1:7" x14ac:dyDescent="0.25">
      <c r="A633" s="577" t="s">
        <v>3119</v>
      </c>
      <c r="B633" s="577">
        <v>0.35389438215467883</v>
      </c>
      <c r="C633" s="577">
        <v>0.35495110842039379</v>
      </c>
      <c r="D633" s="577">
        <v>0.3556203720692</v>
      </c>
      <c r="E633" s="577">
        <v>0.35631264288523662</v>
      </c>
      <c r="F633" s="577">
        <v>0.35491309702715612</v>
      </c>
      <c r="G633" s="577">
        <v>0.35108488418613637</v>
      </c>
    </row>
    <row r="634" spans="1:7" x14ac:dyDescent="0.25">
      <c r="A634" s="577" t="s">
        <v>3120</v>
      </c>
      <c r="B634" s="577">
        <v>0.38915086168348056</v>
      </c>
      <c r="C634" s="577">
        <v>0.38987509160700057</v>
      </c>
      <c r="D634" s="577">
        <v>0.39054480995141694</v>
      </c>
      <c r="E634" s="577">
        <v>0.38969063026407541</v>
      </c>
      <c r="F634" s="577">
        <v>0.3867519203337576</v>
      </c>
      <c r="G634" s="577">
        <v>0.38179379503261507</v>
      </c>
    </row>
    <row r="635" spans="1:7" x14ac:dyDescent="0.25">
      <c r="A635" s="577" t="s">
        <v>3121</v>
      </c>
      <c r="B635" s="577">
        <v>0.42407484487008734</v>
      </c>
      <c r="C635" s="577">
        <v>0.4247995294892174</v>
      </c>
      <c r="D635" s="577">
        <v>0.42392279733025562</v>
      </c>
      <c r="E635" s="577">
        <v>0.42152945357067712</v>
      </c>
      <c r="F635" s="577">
        <v>0.41746083118023619</v>
      </c>
      <c r="G635" s="577">
        <v>0.41141559456749488</v>
      </c>
    </row>
    <row r="636" spans="1:7" x14ac:dyDescent="0.25">
      <c r="A636" s="577" t="s">
        <v>3122</v>
      </c>
      <c r="B636" s="577">
        <v>0.45899928275230439</v>
      </c>
      <c r="C636" s="577">
        <v>0.45817751686805613</v>
      </c>
      <c r="D636" s="577">
        <v>0.45576162063685732</v>
      </c>
      <c r="E636" s="577">
        <v>0.4522383644171557</v>
      </c>
      <c r="F636" s="577">
        <v>0.447082630715116</v>
      </c>
      <c r="G636" s="577">
        <v>0.43992025708997695</v>
      </c>
    </row>
    <row r="637" spans="1:7" x14ac:dyDescent="0.25">
      <c r="A637" s="577" t="s">
        <v>3123</v>
      </c>
      <c r="B637" s="577">
        <v>0.49237727013114296</v>
      </c>
      <c r="C637" s="577">
        <v>0.49001634017465767</v>
      </c>
      <c r="D637" s="577">
        <v>0.48647053148333591</v>
      </c>
      <c r="E637" s="577">
        <v>0.48186016395203529</v>
      </c>
      <c r="F637" s="577">
        <v>0.47558729323759813</v>
      </c>
      <c r="G637" s="577">
        <v>0.46745186605210109</v>
      </c>
    </row>
    <row r="638" spans="1:7" x14ac:dyDescent="0.25">
      <c r="A638" s="577" t="s">
        <v>3124</v>
      </c>
      <c r="B638" s="577">
        <v>0.52421609343774445</v>
      </c>
      <c r="C638" s="577">
        <v>0.5207252510211362</v>
      </c>
      <c r="D638" s="577">
        <v>0.5160923310182155</v>
      </c>
      <c r="E638" s="577">
        <v>0.51036482647451753</v>
      </c>
      <c r="F638" s="577">
        <v>0.50311890219972222</v>
      </c>
      <c r="G638" s="577">
        <v>0.49404563748565544</v>
      </c>
    </row>
    <row r="639" spans="1:7" x14ac:dyDescent="0.25">
      <c r="A639" s="577" t="s">
        <v>3125</v>
      </c>
      <c r="B639" s="577">
        <v>0.55492500428422309</v>
      </c>
      <c r="C639" s="577">
        <v>0.55034705055601607</v>
      </c>
      <c r="D639" s="577">
        <v>0.54459699354069768</v>
      </c>
      <c r="E639" s="577">
        <v>0.53789643543664156</v>
      </c>
      <c r="F639" s="577">
        <v>0.52971267363327657</v>
      </c>
      <c r="G639" s="577">
        <v>0.51973542601922906</v>
      </c>
    </row>
    <row r="640" spans="1:7" x14ac:dyDescent="0.25">
      <c r="A640" s="577" t="s">
        <v>3126</v>
      </c>
      <c r="B640" s="577">
        <v>0.58454680381910273</v>
      </c>
      <c r="C640" s="577">
        <v>0.57885171307849803</v>
      </c>
      <c r="D640" s="577">
        <v>0.57212860250282194</v>
      </c>
      <c r="E640" s="577">
        <v>0.56449020687019591</v>
      </c>
      <c r="F640" s="577">
        <v>0.5554024621668503</v>
      </c>
      <c r="G640" s="577">
        <v>0.54455378108596753</v>
      </c>
    </row>
    <row r="641" spans="1:7" x14ac:dyDescent="0.25">
      <c r="A641" s="577" t="s">
        <v>3127</v>
      </c>
      <c r="B641" s="577">
        <v>0.61305146634158503</v>
      </c>
      <c r="C641" s="577">
        <v>0.60638332204062217</v>
      </c>
      <c r="D641" s="577">
        <v>0.59872237393637617</v>
      </c>
      <c r="E641" s="577">
        <v>0.59017999540376964</v>
      </c>
      <c r="F641" s="577">
        <v>0.58022081723358887</v>
      </c>
      <c r="G641" s="577">
        <v>0.56853200067219434</v>
      </c>
    </row>
    <row r="642" spans="1:7" x14ac:dyDescent="0.25">
      <c r="A642" s="577" t="s">
        <v>3128</v>
      </c>
      <c r="B642" s="577">
        <v>0.64058307530370906</v>
      </c>
      <c r="C642" s="577">
        <v>0.63297709347417652</v>
      </c>
      <c r="D642" s="577">
        <v>0.62441216246994979</v>
      </c>
      <c r="E642" s="577">
        <v>0.61499835047050799</v>
      </c>
      <c r="F642" s="577">
        <v>0.60419903681981546</v>
      </c>
      <c r="G642" s="577">
        <v>0.5917001827195314</v>
      </c>
    </row>
    <row r="643" spans="1:7" x14ac:dyDescent="0.25">
      <c r="A643" s="577" t="s">
        <v>3129</v>
      </c>
      <c r="B643" s="577">
        <v>6.8454472800887511E-2</v>
      </c>
      <c r="C643" s="577">
        <v>6.8486886603980904E-2</v>
      </c>
      <c r="D643" s="577">
        <v>6.9009700303099636E-2</v>
      </c>
      <c r="E643" s="577">
        <v>7.0444569384540495E-2</v>
      </c>
      <c r="F643" s="577">
        <v>7.136106653657498E-2</v>
      </c>
      <c r="G643" s="577">
        <v>7.2317367335536786E-2</v>
      </c>
    </row>
    <row r="644" spans="1:7" x14ac:dyDescent="0.25">
      <c r="A644" s="577" t="s">
        <v>3130</v>
      </c>
      <c r="B644" s="577">
        <v>0.6671768467372633</v>
      </c>
      <c r="C644" s="577">
        <v>0.65866688200775014</v>
      </c>
      <c r="D644" s="577">
        <v>0.64923051753668826</v>
      </c>
      <c r="E644" s="577">
        <v>0.63897657005673458</v>
      </c>
      <c r="F644" s="577">
        <v>0.62736721886715263</v>
      </c>
      <c r="G644" s="577">
        <v>0.61408727428781762</v>
      </c>
    </row>
    <row r="645" spans="1:7" x14ac:dyDescent="0.25">
      <c r="A645" s="577" t="s">
        <v>3131</v>
      </c>
      <c r="B645" s="577">
        <v>0.69286663527083692</v>
      </c>
      <c r="C645" s="577">
        <v>0.68348523707448861</v>
      </c>
      <c r="D645" s="577">
        <v>0.67320873712291496</v>
      </c>
      <c r="E645" s="577">
        <v>0.66214475210407187</v>
      </c>
      <c r="F645" s="577">
        <v>0.64975431043543874</v>
      </c>
      <c r="G645" s="577">
        <v>0.63521713891102283</v>
      </c>
    </row>
    <row r="646" spans="1:7" x14ac:dyDescent="0.25">
      <c r="A646" s="577" t="s">
        <v>3132</v>
      </c>
      <c r="B646" s="577">
        <v>0.71768499033757549</v>
      </c>
      <c r="C646" s="577">
        <v>0.70746345666071531</v>
      </c>
      <c r="D646" s="577">
        <v>0.69637691917025246</v>
      </c>
      <c r="E646" s="577">
        <v>0.6845318436723582</v>
      </c>
      <c r="F646" s="577">
        <v>0.67088417505864417</v>
      </c>
      <c r="G646" s="577">
        <v>0.65516038065071658</v>
      </c>
    </row>
    <row r="647" spans="1:7" x14ac:dyDescent="0.25">
      <c r="A647" s="577" t="s">
        <v>3133</v>
      </c>
      <c r="B647" s="577">
        <v>0.74166320992380208</v>
      </c>
      <c r="C647" s="577">
        <v>0.73063163870805248</v>
      </c>
      <c r="D647" s="577">
        <v>0.71876401073853824</v>
      </c>
      <c r="E647" s="577">
        <v>0.70566170829556341</v>
      </c>
      <c r="F647" s="577">
        <v>0.69082741679833792</v>
      </c>
      <c r="G647" s="577">
        <v>0.67398363854566112</v>
      </c>
    </row>
    <row r="648" spans="1:7" x14ac:dyDescent="0.25">
      <c r="A648" s="577" t="s">
        <v>3134</v>
      </c>
      <c r="B648" s="577">
        <v>0.76483139197113936</v>
      </c>
      <c r="C648" s="577">
        <v>0.75301873027633859</v>
      </c>
      <c r="D648" s="577">
        <v>0.73989387536174367</v>
      </c>
      <c r="E648" s="577">
        <v>0.72560495003525727</v>
      </c>
      <c r="F648" s="577">
        <v>0.70965067469328236</v>
      </c>
      <c r="G648" s="577">
        <v>0.69174980928180496</v>
      </c>
    </row>
    <row r="649" spans="1:7" x14ac:dyDescent="0.25">
      <c r="A649" s="577" t="s">
        <v>3135</v>
      </c>
      <c r="B649" s="577">
        <v>0.78721848353942536</v>
      </c>
      <c r="C649" s="577">
        <v>0.77414859489954402</v>
      </c>
      <c r="D649" s="577">
        <v>0.75983711710143742</v>
      </c>
      <c r="E649" s="577">
        <v>0.74442820793020159</v>
      </c>
      <c r="F649" s="577">
        <v>0.72741684542942597</v>
      </c>
      <c r="G649" s="577">
        <v>0.70851825735744811</v>
      </c>
    </row>
    <row r="650" spans="1:7" x14ac:dyDescent="0.25">
      <c r="A650" s="577" t="s">
        <v>3136</v>
      </c>
      <c r="B650" s="577">
        <v>0.8083483481626309</v>
      </c>
      <c r="C650" s="577">
        <v>0.79409183663923766</v>
      </c>
      <c r="D650" s="577">
        <v>0.77866037499638197</v>
      </c>
      <c r="E650" s="577">
        <v>0.76219437866634543</v>
      </c>
      <c r="F650" s="577">
        <v>0.74418529350506923</v>
      </c>
      <c r="G650" s="577">
        <v>0.72434501344583224</v>
      </c>
    </row>
    <row r="651" spans="1:7" x14ac:dyDescent="0.25">
      <c r="A651" s="577" t="s">
        <v>3137</v>
      </c>
      <c r="B651" s="577">
        <v>0.82829158990232432</v>
      </c>
      <c r="C651" s="577">
        <v>0.81291509453418187</v>
      </c>
      <c r="D651" s="577">
        <v>0.79642654573252569</v>
      </c>
      <c r="E651" s="577">
        <v>0.77896282674198858</v>
      </c>
      <c r="F651" s="577">
        <v>0.76001204959345348</v>
      </c>
      <c r="G651" s="577">
        <v>0.73928296161797402</v>
      </c>
    </row>
    <row r="652" spans="1:7" x14ac:dyDescent="0.25">
      <c r="A652" s="577" t="s">
        <v>3138</v>
      </c>
      <c r="B652" s="577">
        <v>0.84711484779726887</v>
      </c>
      <c r="C652" s="577">
        <v>0.83068126527032593</v>
      </c>
      <c r="D652" s="577">
        <v>0.81319499380816884</v>
      </c>
      <c r="E652" s="577">
        <v>0.79478958283037282</v>
      </c>
      <c r="F652" s="577">
        <v>0.77494999776559526</v>
      </c>
      <c r="G652" s="577">
        <v>0.75338201605133115</v>
      </c>
    </row>
    <row r="653" spans="1:7" x14ac:dyDescent="0.25">
      <c r="A653" s="577" t="s">
        <v>3139</v>
      </c>
      <c r="B653" s="577">
        <v>0.8648810185334127</v>
      </c>
      <c r="C653" s="577">
        <v>0.84744971334596897</v>
      </c>
      <c r="D653" s="577">
        <v>0.82902174989655308</v>
      </c>
      <c r="E653" s="577">
        <v>0.80972753100251482</v>
      </c>
      <c r="F653" s="577">
        <v>0.78904905219895238</v>
      </c>
      <c r="G653" s="577">
        <v>0.76668928781476409</v>
      </c>
    </row>
    <row r="654" spans="1:7" x14ac:dyDescent="0.25">
      <c r="A654" s="577" t="s">
        <v>3140</v>
      </c>
      <c r="B654" s="577">
        <v>0.10268663986706771</v>
      </c>
      <c r="C654" s="577">
        <v>0.10326441984090018</v>
      </c>
      <c r="D654" s="577">
        <v>0.10467673645072074</v>
      </c>
      <c r="E654" s="577">
        <v>0.10613859977349435</v>
      </c>
      <c r="F654" s="577">
        <v>0.1079844034831579</v>
      </c>
      <c r="G654" s="577">
        <v>0.108771561555967</v>
      </c>
    </row>
    <row r="655" spans="1:7" x14ac:dyDescent="0.25">
      <c r="A655" s="577" t="s">
        <v>3141</v>
      </c>
      <c r="B655" s="577">
        <v>0.88164946660905597</v>
      </c>
      <c r="C655" s="577">
        <v>0.86327646943435321</v>
      </c>
      <c r="D655" s="577">
        <v>0.84395969806869475</v>
      </c>
      <c r="E655" s="577">
        <v>0.82382658543587173</v>
      </c>
      <c r="F655" s="577">
        <v>0.80235632396238521</v>
      </c>
      <c r="G655" s="577">
        <v>0.77924924228709347</v>
      </c>
    </row>
    <row r="656" spans="1:7" x14ac:dyDescent="0.25">
      <c r="A656" s="577" t="s">
        <v>3142</v>
      </c>
      <c r="B656" s="577">
        <v>0.13746417310398698</v>
      </c>
      <c r="C656" s="577">
        <v>0.13893145598852119</v>
      </c>
      <c r="D656" s="577">
        <v>0.14037076683967459</v>
      </c>
      <c r="E656" s="577">
        <v>0.14276193672007728</v>
      </c>
      <c r="F656" s="577">
        <v>0.14443859770358808</v>
      </c>
      <c r="G656" s="577">
        <v>0.14493641749571073</v>
      </c>
    </row>
    <row r="657" spans="1:7" x14ac:dyDescent="0.25">
      <c r="A657" s="577" t="s">
        <v>3143</v>
      </c>
      <c r="B657" s="577">
        <v>0.17313120925160808</v>
      </c>
      <c r="C657" s="577">
        <v>0.17462548637747491</v>
      </c>
      <c r="D657" s="577">
        <v>0.17699410378625755</v>
      </c>
      <c r="E657" s="577">
        <v>0.17921613094050742</v>
      </c>
      <c r="F657" s="577">
        <v>0.18060345364333186</v>
      </c>
      <c r="G657" s="577">
        <v>0.18076317290307087</v>
      </c>
    </row>
    <row r="658" spans="1:7" x14ac:dyDescent="0.25">
      <c r="A658" s="577" t="s">
        <v>3144</v>
      </c>
      <c r="B658" s="577">
        <v>0.20882523964056179</v>
      </c>
      <c r="C658" s="577">
        <v>0.21124882332405787</v>
      </c>
      <c r="D658" s="577">
        <v>0.2134482980066878</v>
      </c>
      <c r="E658" s="577">
        <v>0.21538098688025126</v>
      </c>
      <c r="F658" s="577">
        <v>0.21643020905069196</v>
      </c>
      <c r="G658" s="577">
        <v>0.21601965243187246</v>
      </c>
    </row>
    <row r="659" spans="1:7" x14ac:dyDescent="0.25">
      <c r="A659" s="577" t="s">
        <v>3145</v>
      </c>
      <c r="B659" s="577">
        <v>0.24544857658714475</v>
      </c>
      <c r="C659" s="577">
        <v>0.24770301754448815</v>
      </c>
      <c r="D659" s="577">
        <v>0.24961315394643147</v>
      </c>
      <c r="E659" s="577">
        <v>0.25120774228761128</v>
      </c>
      <c r="F659" s="577">
        <v>0.25168668857949361</v>
      </c>
      <c r="G659" s="577">
        <v>0.25094363561847932</v>
      </c>
    </row>
    <row r="660" spans="1:7" x14ac:dyDescent="0.25">
      <c r="A660" s="577" t="s">
        <v>3146</v>
      </c>
      <c r="B660" s="577">
        <v>0.28190277080757492</v>
      </c>
      <c r="C660" s="577">
        <v>0.28386787348423193</v>
      </c>
      <c r="D660" s="577">
        <v>0.28543990935379154</v>
      </c>
      <c r="E660" s="577">
        <v>0.28646422181641296</v>
      </c>
      <c r="F660" s="577">
        <v>0.28661067176610039</v>
      </c>
      <c r="G660" s="577">
        <v>0.28586807350069621</v>
      </c>
    </row>
    <row r="661" spans="1:7" x14ac:dyDescent="0.25">
      <c r="A661" s="577" t="s">
        <v>3147</v>
      </c>
      <c r="B661" s="577">
        <v>0.31806762674731881</v>
      </c>
      <c r="C661" s="577">
        <v>0.319694628891592</v>
      </c>
      <c r="D661" s="577">
        <v>0.32069638888259322</v>
      </c>
      <c r="E661" s="577">
        <v>0.32138820500301973</v>
      </c>
      <c r="F661" s="577">
        <v>0.32153510964831716</v>
      </c>
      <c r="G661" s="577">
        <v>0.31924606087953494</v>
      </c>
    </row>
    <row r="662" spans="1:7" x14ac:dyDescent="0.25">
      <c r="A662" s="577" t="s">
        <v>3148</v>
      </c>
      <c r="B662" s="577">
        <v>3.900450834593347E-2</v>
      </c>
      <c r="C662" s="577">
        <v>3.9270098870587293E-2</v>
      </c>
      <c r="D662" s="577">
        <v>3.9438327478778568E-2</v>
      </c>
      <c r="E662" s="577">
        <v>4.0474139594376582E-2</v>
      </c>
      <c r="F662" s="577">
        <v>4.1817901843913111E-2</v>
      </c>
      <c r="G662" s="577">
        <v>4.2143975204004147E-2</v>
      </c>
    </row>
    <row r="663" spans="1:7" x14ac:dyDescent="0.25">
      <c r="A663" s="577" t="s">
        <v>3149</v>
      </c>
      <c r="B663" s="577">
        <v>0.41444725295697593</v>
      </c>
      <c r="C663" s="577">
        <v>0.41738686894792187</v>
      </c>
      <c r="D663" s="577">
        <v>0.41956087934135144</v>
      </c>
      <c r="E663" s="577">
        <v>0.42138872695335411</v>
      </c>
      <c r="F663" s="577">
        <v>0.42034145724711219</v>
      </c>
      <c r="G663" s="577">
        <v>0.4161143098020455</v>
      </c>
    </row>
    <row r="664" spans="1:7" x14ac:dyDescent="0.25">
      <c r="A664" s="577" t="s">
        <v>3150</v>
      </c>
      <c r="B664" s="577">
        <v>0.45639137729385548</v>
      </c>
      <c r="C664" s="577">
        <v>0.4588309782119388</v>
      </c>
      <c r="D664" s="577">
        <v>0.46082705443213251</v>
      </c>
      <c r="E664" s="577">
        <v>0.46081559684148887</v>
      </c>
      <c r="F664" s="577">
        <v>0.4579322116459586</v>
      </c>
      <c r="G664" s="577">
        <v>0.45230883957333001</v>
      </c>
    </row>
    <row r="665" spans="1:7" x14ac:dyDescent="0.25">
      <c r="A665" s="577" t="s">
        <v>3151</v>
      </c>
      <c r="B665" s="577">
        <v>0.49783548655787219</v>
      </c>
      <c r="C665" s="577">
        <v>0.50009715330271987</v>
      </c>
      <c r="D665" s="577">
        <v>0.50025392432026738</v>
      </c>
      <c r="E665" s="577">
        <v>0.49840635124033528</v>
      </c>
      <c r="F665" s="577">
        <v>0.49412674141724311</v>
      </c>
      <c r="G665" s="577">
        <v>0.48716394020372888</v>
      </c>
    </row>
    <row r="666" spans="1:7" x14ac:dyDescent="0.25">
      <c r="A666" s="577" t="s">
        <v>3152</v>
      </c>
      <c r="B666" s="577">
        <v>0.53910166164865336</v>
      </c>
      <c r="C666" s="577">
        <v>0.53952402319085457</v>
      </c>
      <c r="D666" s="577">
        <v>0.53784467871911379</v>
      </c>
      <c r="E666" s="577">
        <v>0.53460088101161984</v>
      </c>
      <c r="F666" s="577">
        <v>0.5289818420476422</v>
      </c>
      <c r="G666" s="577">
        <v>0.52066279488884148</v>
      </c>
    </row>
    <row r="667" spans="1:7" x14ac:dyDescent="0.25">
      <c r="A667" s="577" t="s">
        <v>3153</v>
      </c>
      <c r="B667" s="577">
        <v>0.57852853153678818</v>
      </c>
      <c r="C667" s="577">
        <v>0.57711477758970109</v>
      </c>
      <c r="D667" s="577">
        <v>0.57403920849039813</v>
      </c>
      <c r="E667" s="577">
        <v>0.56945598164201872</v>
      </c>
      <c r="F667" s="577">
        <v>0.5624806967327548</v>
      </c>
      <c r="G667" s="577">
        <v>0.5529751905641348</v>
      </c>
    </row>
    <row r="668" spans="1:7" x14ac:dyDescent="0.25">
      <c r="A668" s="577" t="s">
        <v>3154</v>
      </c>
      <c r="B668" s="577">
        <v>0.61611928593563459</v>
      </c>
      <c r="C668" s="577">
        <v>0.61330930736098555</v>
      </c>
      <c r="D668" s="577">
        <v>0.60889430912079712</v>
      </c>
      <c r="E668" s="577">
        <v>0.60295483632713109</v>
      </c>
      <c r="F668" s="577">
        <v>0.59479309240804779</v>
      </c>
      <c r="G668" s="577">
        <v>0.58414589010700479</v>
      </c>
    </row>
    <row r="669" spans="1:7" x14ac:dyDescent="0.25">
      <c r="A669" s="577" t="s">
        <v>3155</v>
      </c>
      <c r="B669" s="577">
        <v>0.65231381570691882</v>
      </c>
      <c r="C669" s="577">
        <v>0.64816440799138453</v>
      </c>
      <c r="D669" s="577">
        <v>0.64239316380590972</v>
      </c>
      <c r="E669" s="577">
        <v>0.6352672320024243</v>
      </c>
      <c r="F669" s="577">
        <v>0.62596379195091811</v>
      </c>
      <c r="G669" s="577">
        <v>0.61421785241032634</v>
      </c>
    </row>
    <row r="670" spans="1:7" x14ac:dyDescent="0.25">
      <c r="A670" s="577" t="s">
        <v>3156</v>
      </c>
      <c r="B670" s="577">
        <v>0.68716891633731791</v>
      </c>
      <c r="C670" s="577">
        <v>0.68166326267649713</v>
      </c>
      <c r="D670" s="577">
        <v>0.67470555948120303</v>
      </c>
      <c r="E670" s="577">
        <v>0.66643793154529463</v>
      </c>
      <c r="F670" s="577">
        <v>0.65603575425423943</v>
      </c>
      <c r="G670" s="577">
        <v>0.64323230965045641</v>
      </c>
    </row>
    <row r="671" spans="1:7" x14ac:dyDescent="0.25">
      <c r="A671" s="577" t="s">
        <v>3157</v>
      </c>
      <c r="B671" s="577">
        <v>0.72066777102243063</v>
      </c>
      <c r="C671" s="577">
        <v>0.71397565835179011</v>
      </c>
      <c r="D671" s="577">
        <v>0.70587625902407325</v>
      </c>
      <c r="E671" s="577">
        <v>0.69650989384861606</v>
      </c>
      <c r="F671" s="577">
        <v>0.68505021149436962</v>
      </c>
      <c r="G671" s="577">
        <v>0.67122884107538128</v>
      </c>
    </row>
    <row r="672" spans="1:7" x14ac:dyDescent="0.25">
      <c r="A672" s="577" t="s">
        <v>3158</v>
      </c>
      <c r="B672" s="577">
        <v>0.75298016669772361</v>
      </c>
      <c r="C672" s="577">
        <v>0.74514635789466044</v>
      </c>
      <c r="D672" s="577">
        <v>0.73594822132739468</v>
      </c>
      <c r="E672" s="577">
        <v>0.72552435108874624</v>
      </c>
      <c r="F672" s="577">
        <v>0.71304674291929449</v>
      </c>
      <c r="G672" s="577">
        <v>0.69824544347573214</v>
      </c>
    </row>
    <row r="673" spans="1:7" x14ac:dyDescent="0.25">
      <c r="A673" s="577" t="s">
        <v>3159</v>
      </c>
      <c r="B673" s="577">
        <v>7.8274607216520756E-2</v>
      </c>
      <c r="C673" s="577">
        <v>7.8708426349365868E-2</v>
      </c>
      <c r="D673" s="577">
        <v>7.991246707315515E-2</v>
      </c>
      <c r="E673" s="577">
        <v>8.2292041438289693E-2</v>
      </c>
      <c r="F673" s="577">
        <v>8.3961877047917258E-2</v>
      </c>
      <c r="G673" s="577">
        <v>8.5464296645025264E-2</v>
      </c>
    </row>
    <row r="674" spans="1:7" x14ac:dyDescent="0.25">
      <c r="A674" s="577" t="s">
        <v>3160</v>
      </c>
      <c r="B674" s="577">
        <v>0.78415086624059394</v>
      </c>
      <c r="C674" s="577">
        <v>0.77521832019798176</v>
      </c>
      <c r="D674" s="577">
        <v>0.76496267856752476</v>
      </c>
      <c r="E674" s="577">
        <v>0.753520882513671</v>
      </c>
      <c r="F674" s="577">
        <v>0.74006334531964524</v>
      </c>
      <c r="G674" s="577">
        <v>0.72431859849359037</v>
      </c>
    </row>
    <row r="675" spans="1:7" x14ac:dyDescent="0.25">
      <c r="A675" s="577" t="s">
        <v>3161</v>
      </c>
      <c r="B675" s="577">
        <v>0.81422282854391537</v>
      </c>
      <c r="C675" s="577">
        <v>0.80423277743811217</v>
      </c>
      <c r="D675" s="577">
        <v>0.79295920999244962</v>
      </c>
      <c r="E675" s="577">
        <v>0.78053748491402175</v>
      </c>
      <c r="F675" s="577">
        <v>0.7661365003375038</v>
      </c>
      <c r="G675" s="577">
        <v>0.7489275225312102</v>
      </c>
    </row>
    <row r="676" spans="1:7" x14ac:dyDescent="0.25">
      <c r="A676" s="577" t="s">
        <v>3162</v>
      </c>
      <c r="B676" s="577">
        <v>0.84323728578404544</v>
      </c>
      <c r="C676" s="577">
        <v>0.83222930886303692</v>
      </c>
      <c r="D676" s="577">
        <v>0.81997581239280048</v>
      </c>
      <c r="E676" s="577">
        <v>0.80661063993188009</v>
      </c>
      <c r="F676" s="577">
        <v>0.79074542437512363</v>
      </c>
      <c r="G676" s="577">
        <v>0.77215444469979932</v>
      </c>
    </row>
    <row r="677" spans="1:7" x14ac:dyDescent="0.25">
      <c r="A677" s="577" t="s">
        <v>3163</v>
      </c>
      <c r="B677" s="577">
        <v>0.87123381720897042</v>
      </c>
      <c r="C677" s="577">
        <v>0.85924591126338767</v>
      </c>
      <c r="D677" s="577">
        <v>0.84604896741065871</v>
      </c>
      <c r="E677" s="577">
        <v>0.83121956396950003</v>
      </c>
      <c r="F677" s="577">
        <v>0.81397234654371231</v>
      </c>
      <c r="G677" s="577">
        <v>0.79407697624164797</v>
      </c>
    </row>
    <row r="678" spans="1:7" x14ac:dyDescent="0.25">
      <c r="A678" s="577" t="s">
        <v>3164</v>
      </c>
      <c r="B678" s="577">
        <v>0.89825041960932117</v>
      </c>
      <c r="C678" s="577">
        <v>0.88531906628124613</v>
      </c>
      <c r="D678" s="577">
        <v>0.87065789144827854</v>
      </c>
      <c r="E678" s="577">
        <v>0.85444648613808882</v>
      </c>
      <c r="F678" s="577">
        <v>0.83589487808556129</v>
      </c>
      <c r="G678" s="577">
        <v>0.81476836986302503</v>
      </c>
    </row>
    <row r="679" spans="1:7" x14ac:dyDescent="0.25">
      <c r="A679" s="577" t="s">
        <v>3165</v>
      </c>
      <c r="B679" s="577">
        <v>0.92432357462717929</v>
      </c>
      <c r="C679" s="577">
        <v>0.90992799031886595</v>
      </c>
      <c r="D679" s="577">
        <v>0.89388481361686745</v>
      </c>
      <c r="E679" s="577">
        <v>0.8763690176799378</v>
      </c>
      <c r="F679" s="577">
        <v>0.85658627170693824</v>
      </c>
      <c r="G679" s="577">
        <v>0.83429776450330517</v>
      </c>
    </row>
    <row r="680" spans="1:7" x14ac:dyDescent="0.25">
      <c r="A680" s="577" t="s">
        <v>3166</v>
      </c>
      <c r="B680" s="577">
        <v>0.11771293469529932</v>
      </c>
      <c r="C680" s="577">
        <v>0.11918256594374244</v>
      </c>
      <c r="D680" s="577">
        <v>0.12173036891706826</v>
      </c>
      <c r="E680" s="577">
        <v>0.12443601664229383</v>
      </c>
      <c r="F680" s="577">
        <v>0.1272821984889384</v>
      </c>
      <c r="G680" s="577">
        <v>0.12875631335976317</v>
      </c>
    </row>
    <row r="681" spans="1:7" x14ac:dyDescent="0.25">
      <c r="A681" s="577" t="s">
        <v>3167</v>
      </c>
      <c r="B681" s="577">
        <v>0.15818707428967593</v>
      </c>
      <c r="C681" s="577">
        <v>0.16100046778765553</v>
      </c>
      <c r="D681" s="577">
        <v>0.16387434412107243</v>
      </c>
      <c r="E681" s="577">
        <v>0.16775633808331503</v>
      </c>
      <c r="F681" s="577">
        <v>0.17057421520367627</v>
      </c>
      <c r="G681" s="577">
        <v>0.17179431220971925</v>
      </c>
    </row>
    <row r="682" spans="1:7" x14ac:dyDescent="0.25">
      <c r="A682" s="577" t="s">
        <v>3168</v>
      </c>
      <c r="B682" s="577">
        <v>0.200004976133589</v>
      </c>
      <c r="C682" s="577">
        <v>0.20314444299165971</v>
      </c>
      <c r="D682" s="577">
        <v>0.20719466556209354</v>
      </c>
      <c r="E682" s="577">
        <v>0.21104835479805287</v>
      </c>
      <c r="F682" s="577">
        <v>0.21361221405363237</v>
      </c>
      <c r="G682" s="577">
        <v>0.21444227682338704</v>
      </c>
    </row>
    <row r="683" spans="1:7" x14ac:dyDescent="0.25">
      <c r="A683" s="577" t="s">
        <v>3169</v>
      </c>
      <c r="B683" s="577">
        <v>0.24214895133759318</v>
      </c>
      <c r="C683" s="577">
        <v>0.24646476443268087</v>
      </c>
      <c r="D683" s="577">
        <v>0.25048668227683146</v>
      </c>
      <c r="E683" s="577">
        <v>0.25408635364800891</v>
      </c>
      <c r="F683" s="577">
        <v>0.25626017866730016</v>
      </c>
      <c r="G683" s="577">
        <v>0.25638640116026629</v>
      </c>
    </row>
    <row r="684" spans="1:7" x14ac:dyDescent="0.25">
      <c r="A684" s="577" t="s">
        <v>3170</v>
      </c>
      <c r="B684" s="577">
        <v>0.28546927277861428</v>
      </c>
      <c r="C684" s="577">
        <v>0.28975678114741871</v>
      </c>
      <c r="D684" s="577">
        <v>0.29352468112678753</v>
      </c>
      <c r="E684" s="577">
        <v>0.29673431826167673</v>
      </c>
      <c r="F684" s="577">
        <v>0.29820430300417944</v>
      </c>
      <c r="G684" s="577">
        <v>0.29783051042428321</v>
      </c>
    </row>
    <row r="685" spans="1:7" x14ac:dyDescent="0.25">
      <c r="A685" s="577" t="s">
        <v>3171</v>
      </c>
      <c r="B685" s="577">
        <v>0.32876128949335226</v>
      </c>
      <c r="C685" s="577">
        <v>0.33279477999737483</v>
      </c>
      <c r="D685" s="577">
        <v>0.33617264574045524</v>
      </c>
      <c r="E685" s="577">
        <v>0.33867844259855601</v>
      </c>
      <c r="F685" s="577">
        <v>0.33964841226819631</v>
      </c>
      <c r="G685" s="577">
        <v>0.33909668551506428</v>
      </c>
    </row>
    <row r="686" spans="1:7" x14ac:dyDescent="0.25">
      <c r="A686" s="577" t="s">
        <v>3172</v>
      </c>
      <c r="B686" s="577">
        <v>0.37179928834330833</v>
      </c>
      <c r="C686" s="577">
        <v>0.37544274461104254</v>
      </c>
      <c r="D686" s="577">
        <v>0.37811677007733457</v>
      </c>
      <c r="E686" s="577">
        <v>0.38012255186257293</v>
      </c>
      <c r="F686" s="577">
        <v>0.38091458735897743</v>
      </c>
      <c r="G686" s="577">
        <v>0.37852355540319915</v>
      </c>
    </row>
    <row r="687" spans="1:7" x14ac:dyDescent="0.25">
      <c r="A687" s="577" t="s">
        <v>3173</v>
      </c>
      <c r="B687" s="577">
        <v>3.419975326308685E-2</v>
      </c>
      <c r="C687" s="577">
        <v>3.4254719537800668E-2</v>
      </c>
      <c r="D687" s="577">
        <v>3.423216706618025E-2</v>
      </c>
      <c r="E687" s="577">
        <v>3.4777533236919358E-2</v>
      </c>
      <c r="F687" s="577">
        <v>3.566703614762113E-2</v>
      </c>
      <c r="G687" s="577">
        <v>3.5694030388953836E-2</v>
      </c>
    </row>
    <row r="688" spans="1:7" x14ac:dyDescent="0.25">
      <c r="A688" s="577" t="s">
        <v>3174</v>
      </c>
      <c r="B688" s="577">
        <v>0.3639934789573992</v>
      </c>
      <c r="C688" s="577">
        <v>0.36534163510475237</v>
      </c>
      <c r="D688" s="577">
        <v>0.36624340227805086</v>
      </c>
      <c r="E688" s="577">
        <v>0.3671115602459194</v>
      </c>
      <c r="F688" s="577">
        <v>0.36576290998144079</v>
      </c>
      <c r="G688" s="577">
        <v>0.36186476173270998</v>
      </c>
    </row>
    <row r="689" spans="1:7" x14ac:dyDescent="0.25">
      <c r="A689" s="577" t="s">
        <v>3175</v>
      </c>
      <c r="B689" s="577">
        <v>0.40035663480502154</v>
      </c>
      <c r="C689" s="577">
        <v>0.40134582456412754</v>
      </c>
      <c r="D689" s="577">
        <v>0.4022206642632925</v>
      </c>
      <c r="E689" s="577">
        <v>0.40149390411480129</v>
      </c>
      <c r="F689" s="577">
        <v>0.39855700986214526</v>
      </c>
      <c r="G689" s="577">
        <v>0.39348550228064694</v>
      </c>
    </row>
    <row r="690" spans="1:7" x14ac:dyDescent="0.25">
      <c r="A690" s="577" t="s">
        <v>3176</v>
      </c>
      <c r="B690" s="577">
        <v>0.43636082426439682</v>
      </c>
      <c r="C690" s="577">
        <v>0.43732308654936936</v>
      </c>
      <c r="D690" s="577">
        <v>0.43660300813217434</v>
      </c>
      <c r="E690" s="577">
        <v>0.43428800399550566</v>
      </c>
      <c r="F690" s="577">
        <v>0.43017775041008216</v>
      </c>
      <c r="G690" s="577">
        <v>0.42397793006072676</v>
      </c>
    </row>
    <row r="691" spans="1:7" x14ac:dyDescent="0.25">
      <c r="A691" s="577" t="s">
        <v>3177</v>
      </c>
      <c r="B691" s="577">
        <v>0.47233808624963858</v>
      </c>
      <c r="C691" s="577">
        <v>0.47170543041825108</v>
      </c>
      <c r="D691" s="577">
        <v>0.46939710801287859</v>
      </c>
      <c r="E691" s="577">
        <v>0.4659087445434425</v>
      </c>
      <c r="F691" s="577">
        <v>0.46067017819016187</v>
      </c>
      <c r="G691" s="577">
        <v>0.45331397875642143</v>
      </c>
    </row>
    <row r="692" spans="1:7" x14ac:dyDescent="0.25">
      <c r="A692" s="577" t="s">
        <v>3178</v>
      </c>
      <c r="B692" s="577">
        <v>0.50672043011852042</v>
      </c>
      <c r="C692" s="577">
        <v>0.50449953029895567</v>
      </c>
      <c r="D692" s="577">
        <v>0.50101784856081555</v>
      </c>
      <c r="E692" s="577">
        <v>0.49640117232352232</v>
      </c>
      <c r="F692" s="577">
        <v>0.49000622688585671</v>
      </c>
      <c r="G692" s="577">
        <v>0.48164200473963714</v>
      </c>
    </row>
    <row r="693" spans="1:7" x14ac:dyDescent="0.25">
      <c r="A693" s="577" t="s">
        <v>3179</v>
      </c>
      <c r="B693" s="577">
        <v>0.53951452999922478</v>
      </c>
      <c r="C693" s="577">
        <v>0.53612027084689251</v>
      </c>
      <c r="D693" s="577">
        <v>0.53151027634089532</v>
      </c>
      <c r="E693" s="577">
        <v>0.52573722101921705</v>
      </c>
      <c r="F693" s="577">
        <v>0.51833425286907242</v>
      </c>
      <c r="G693" s="577">
        <v>0.50899876952210266</v>
      </c>
    </row>
    <row r="694" spans="1:7" x14ac:dyDescent="0.25">
      <c r="A694" s="577" t="s">
        <v>3180</v>
      </c>
      <c r="B694" s="577">
        <v>0.57113527054716173</v>
      </c>
      <c r="C694" s="577">
        <v>0.56661269862697239</v>
      </c>
      <c r="D694" s="577">
        <v>0.56084632503659015</v>
      </c>
      <c r="E694" s="577">
        <v>0.55406524700243276</v>
      </c>
      <c r="F694" s="577">
        <v>0.54569101765153794</v>
      </c>
      <c r="G694" s="577">
        <v>0.53541960218170159</v>
      </c>
    </row>
    <row r="695" spans="1:7" x14ac:dyDescent="0.25">
      <c r="A695" s="577" t="s">
        <v>3181</v>
      </c>
      <c r="B695" s="577">
        <v>0.60162769832724172</v>
      </c>
      <c r="C695" s="577">
        <v>0.59594874732266723</v>
      </c>
      <c r="D695" s="577">
        <v>0.58917435101980575</v>
      </c>
      <c r="E695" s="577">
        <v>0.58142201178489827</v>
      </c>
      <c r="F695" s="577">
        <v>0.57211185031113665</v>
      </c>
      <c r="G695" s="577">
        <v>0.56093845893074112</v>
      </c>
    </row>
    <row r="696" spans="1:7" x14ac:dyDescent="0.25">
      <c r="A696" s="577" t="s">
        <v>3182</v>
      </c>
      <c r="B696" s="577">
        <v>0.63096374702293623</v>
      </c>
      <c r="C696" s="577">
        <v>0.62427677330588272</v>
      </c>
      <c r="D696" s="577">
        <v>0.61653111580227149</v>
      </c>
      <c r="E696" s="577">
        <v>0.60784284444449721</v>
      </c>
      <c r="F696" s="577">
        <v>0.59763070706017662</v>
      </c>
      <c r="G696" s="577">
        <v>0.58558798006281754</v>
      </c>
    </row>
    <row r="697" spans="1:7" x14ac:dyDescent="0.25">
      <c r="A697" s="577" t="s">
        <v>3183</v>
      </c>
      <c r="B697" s="577">
        <v>0.65929177300615205</v>
      </c>
      <c r="C697" s="577">
        <v>0.65163353808834845</v>
      </c>
      <c r="D697" s="577">
        <v>0.6429519484618702</v>
      </c>
      <c r="E697" s="577">
        <v>0.63336170119353685</v>
      </c>
      <c r="F697" s="577">
        <v>0.62228022819225259</v>
      </c>
      <c r="G697" s="577">
        <v>0.60939954439885236</v>
      </c>
    </row>
    <row r="698" spans="1:7" x14ac:dyDescent="0.25">
      <c r="A698" s="577" t="s">
        <v>3184</v>
      </c>
      <c r="B698" s="577">
        <v>7.0117421986345782E-2</v>
      </c>
      <c r="C698" s="577">
        <v>7.0211526303449664E-2</v>
      </c>
      <c r="D698" s="577">
        <v>7.0840098150733485E-2</v>
      </c>
      <c r="E698" s="577">
        <v>7.242324226279559E-2</v>
      </c>
      <c r="F698" s="577">
        <v>7.3457461334058338E-2</v>
      </c>
      <c r="G698" s="577">
        <v>7.44997656753595E-2</v>
      </c>
    </row>
    <row r="699" spans="1:7" x14ac:dyDescent="0.25">
      <c r="A699" s="577" t="s">
        <v>3185</v>
      </c>
      <c r="B699" s="577">
        <v>0.68664853778861767</v>
      </c>
      <c r="C699" s="577">
        <v>0.67805437074794728</v>
      </c>
      <c r="D699" s="577">
        <v>0.66847080521090985</v>
      </c>
      <c r="E699" s="577">
        <v>0.65801122232561315</v>
      </c>
      <c r="F699" s="577">
        <v>0.64609179252828741</v>
      </c>
      <c r="G699" s="577">
        <v>0.63240332134715693</v>
      </c>
    </row>
    <row r="700" spans="1:7" x14ac:dyDescent="0.25">
      <c r="A700" s="577" t="s">
        <v>3186</v>
      </c>
      <c r="B700" s="577">
        <v>0.71306937044821639</v>
      </c>
      <c r="C700" s="577">
        <v>0.70357322749698692</v>
      </c>
      <c r="D700" s="577">
        <v>0.69312032634298604</v>
      </c>
      <c r="E700" s="577">
        <v>0.68182278666164786</v>
      </c>
      <c r="F700" s="577">
        <v>0.6690955694765921</v>
      </c>
      <c r="G700" s="577">
        <v>0.65411523918415981</v>
      </c>
    </row>
    <row r="701" spans="1:7" x14ac:dyDescent="0.25">
      <c r="A701" s="577" t="s">
        <v>3187</v>
      </c>
      <c r="B701" s="577">
        <v>0.73858822719725603</v>
      </c>
      <c r="C701" s="577">
        <v>0.72822274862906344</v>
      </c>
      <c r="D701" s="577">
        <v>0.71693189067902097</v>
      </c>
      <c r="E701" s="577">
        <v>0.70482656360995255</v>
      </c>
      <c r="F701" s="577">
        <v>0.69080748731359487</v>
      </c>
      <c r="G701" s="577">
        <v>0.67460784686420039</v>
      </c>
    </row>
    <row r="702" spans="1:7" x14ac:dyDescent="0.25">
      <c r="A702" s="577" t="s">
        <v>3188</v>
      </c>
      <c r="B702" s="577">
        <v>0.76323774832933233</v>
      </c>
      <c r="C702" s="577">
        <v>0.75203431296509815</v>
      </c>
      <c r="D702" s="577">
        <v>0.73993566762732554</v>
      </c>
      <c r="E702" s="577">
        <v>0.72653848144695543</v>
      </c>
      <c r="F702" s="577">
        <v>0.71130009499363567</v>
      </c>
      <c r="G702" s="577">
        <v>0.69394961909642372</v>
      </c>
    </row>
    <row r="703" spans="1:7" x14ac:dyDescent="0.25">
      <c r="A703" s="577" t="s">
        <v>3189</v>
      </c>
      <c r="B703" s="577">
        <v>0.78704931266536726</v>
      </c>
      <c r="C703" s="577">
        <v>0.77503808991340262</v>
      </c>
      <c r="D703" s="577">
        <v>0.76164758546432854</v>
      </c>
      <c r="E703" s="577">
        <v>0.74703108912699612</v>
      </c>
      <c r="F703" s="577">
        <v>0.730641867225859</v>
      </c>
      <c r="G703" s="577">
        <v>0.71220518514854569</v>
      </c>
    </row>
    <row r="704" spans="1:7" x14ac:dyDescent="0.25">
      <c r="A704" s="577" t="s">
        <v>3190</v>
      </c>
      <c r="B704" s="577">
        <v>0.81005308961367184</v>
      </c>
      <c r="C704" s="577">
        <v>0.79675000775040572</v>
      </c>
      <c r="D704" s="577">
        <v>0.782140193144369</v>
      </c>
      <c r="E704" s="577">
        <v>0.76637286135921945</v>
      </c>
      <c r="F704" s="577">
        <v>0.74889743327798086</v>
      </c>
      <c r="G704" s="577">
        <v>0.72943554480132711</v>
      </c>
    </row>
    <row r="705" spans="1:7" x14ac:dyDescent="0.25">
      <c r="A705" s="577" t="s">
        <v>3191</v>
      </c>
      <c r="B705" s="577">
        <v>0.83176500745067472</v>
      </c>
      <c r="C705" s="577">
        <v>0.81724261543044641</v>
      </c>
      <c r="D705" s="577">
        <v>0.80148196537659211</v>
      </c>
      <c r="E705" s="577">
        <v>0.78462842741134131</v>
      </c>
      <c r="F705" s="577">
        <v>0.76612779293076227</v>
      </c>
      <c r="G705" s="577">
        <v>0.74569827217535378</v>
      </c>
    </row>
    <row r="706" spans="1:7" x14ac:dyDescent="0.25">
      <c r="A706" s="577" t="s">
        <v>3192</v>
      </c>
      <c r="B706" s="577">
        <v>0.85225761513071552</v>
      </c>
      <c r="C706" s="577">
        <v>0.83658438766266952</v>
      </c>
      <c r="D706" s="577">
        <v>0.81973753142871408</v>
      </c>
      <c r="E706" s="577">
        <v>0.80185878706412284</v>
      </c>
      <c r="F706" s="577">
        <v>0.78239052030478906</v>
      </c>
      <c r="G706" s="577">
        <v>0.76104770811119804</v>
      </c>
    </row>
    <row r="707" spans="1:7" x14ac:dyDescent="0.25">
      <c r="A707" s="577" t="s">
        <v>3193</v>
      </c>
      <c r="B707" s="577">
        <v>0.87159938736293863</v>
      </c>
      <c r="C707" s="577">
        <v>0.85483995371479149</v>
      </c>
      <c r="D707" s="577">
        <v>0.83696789108149583</v>
      </c>
      <c r="E707" s="577">
        <v>0.8181215144381494</v>
      </c>
      <c r="F707" s="577">
        <v>0.79773995624063332</v>
      </c>
      <c r="G707" s="577">
        <v>0.77553514174578453</v>
      </c>
    </row>
    <row r="708" spans="1:7" x14ac:dyDescent="0.25">
      <c r="A708" s="577" t="s">
        <v>3194</v>
      </c>
      <c r="B708" s="577">
        <v>0.88985495341506049</v>
      </c>
      <c r="C708" s="577">
        <v>0.8720703133675729</v>
      </c>
      <c r="D708" s="577">
        <v>0.85323061845552273</v>
      </c>
      <c r="E708" s="577">
        <v>0.83347095037399377</v>
      </c>
      <c r="F708" s="577">
        <v>0.8122273898752197</v>
      </c>
      <c r="G708" s="577">
        <v>0.78920898189168953</v>
      </c>
    </row>
    <row r="709" spans="1:7" x14ac:dyDescent="0.25">
      <c r="A709" s="577" t="s">
        <v>3195</v>
      </c>
      <c r="B709" s="577">
        <v>0.10522652600371882</v>
      </c>
      <c r="C709" s="577">
        <v>0.10594252043681002</v>
      </c>
      <c r="D709" s="577">
        <v>0.10753234628016867</v>
      </c>
      <c r="E709" s="577">
        <v>0.1091884554674188</v>
      </c>
      <c r="F709" s="577">
        <v>0.11119201380479471</v>
      </c>
      <c r="G709" s="577">
        <v>0.11208641015990928</v>
      </c>
    </row>
    <row r="710" spans="1:7" x14ac:dyDescent="0.25">
      <c r="A710" s="577" t="s">
        <v>3196</v>
      </c>
      <c r="B710" s="577">
        <v>0.90708531306784213</v>
      </c>
      <c r="C710" s="577">
        <v>0.8883330407415998</v>
      </c>
      <c r="D710" s="577">
        <v>0.86858005439136687</v>
      </c>
      <c r="E710" s="577">
        <v>0.84795838400857992</v>
      </c>
      <c r="F710" s="577">
        <v>0.82590123002112459</v>
      </c>
      <c r="G710" s="577">
        <v>0.80211491879202435</v>
      </c>
    </row>
    <row r="711" spans="1:7" x14ac:dyDescent="0.25">
      <c r="A711" s="577" t="s">
        <v>3197</v>
      </c>
      <c r="B711" s="577">
        <v>0.14095752013707916</v>
      </c>
      <c r="C711" s="577">
        <v>0.14263476856624518</v>
      </c>
      <c r="D711" s="577">
        <v>0.14429755948479178</v>
      </c>
      <c r="E711" s="577">
        <v>0.1469230079381551</v>
      </c>
      <c r="F711" s="577">
        <v>0.14877865828934445</v>
      </c>
      <c r="G711" s="577">
        <v>0.14938848076454975</v>
      </c>
    </row>
    <row r="712" spans="1:7" x14ac:dyDescent="0.25">
      <c r="A712" s="577" t="s">
        <v>3198</v>
      </c>
      <c r="B712" s="577">
        <v>0.17764976826651435</v>
      </c>
      <c r="C712" s="577">
        <v>0.17939998177086824</v>
      </c>
      <c r="D712" s="577">
        <v>0.18203211195552818</v>
      </c>
      <c r="E712" s="577">
        <v>0.1845096524227049</v>
      </c>
      <c r="F712" s="577">
        <v>0.18608072889398491</v>
      </c>
      <c r="G712" s="577">
        <v>0.18634371069088468</v>
      </c>
    </row>
    <row r="713" spans="1:7" x14ac:dyDescent="0.25">
      <c r="A713" s="577" t="s">
        <v>3199</v>
      </c>
      <c r="B713" s="577">
        <v>0.21441498147113744</v>
      </c>
      <c r="C713" s="577">
        <v>0.21713453424160467</v>
      </c>
      <c r="D713" s="577">
        <v>0.21961875644007792</v>
      </c>
      <c r="E713" s="577">
        <v>0.22181172302734531</v>
      </c>
      <c r="F713" s="577">
        <v>0.22303595882031985</v>
      </c>
      <c r="G713" s="577">
        <v>0.2227068665385068</v>
      </c>
    </row>
    <row r="714" spans="1:7" x14ac:dyDescent="0.25">
      <c r="A714" s="577" t="s">
        <v>3200</v>
      </c>
      <c r="B714" s="577">
        <v>0.25214953394187384</v>
      </c>
      <c r="C714" s="577">
        <v>0.25472117872615457</v>
      </c>
      <c r="D714" s="577">
        <v>0.25692082704471841</v>
      </c>
      <c r="E714" s="577">
        <v>0.2587669529536803</v>
      </c>
      <c r="F714" s="577">
        <v>0.25939911466794202</v>
      </c>
      <c r="G714" s="577">
        <v>0.25871105599788213</v>
      </c>
    </row>
    <row r="715" spans="1:7" x14ac:dyDescent="0.25">
      <c r="A715" s="577" t="s">
        <v>3201</v>
      </c>
      <c r="B715" s="577">
        <v>0.28973617842642374</v>
      </c>
      <c r="C715" s="577">
        <v>0.2920232493307951</v>
      </c>
      <c r="D715" s="577">
        <v>0.29387605697105329</v>
      </c>
      <c r="E715" s="577">
        <v>0.29513010880130247</v>
      </c>
      <c r="F715" s="577">
        <v>0.2954033041273173</v>
      </c>
      <c r="G715" s="577">
        <v>0.29468831798312378</v>
      </c>
    </row>
    <row r="716" spans="1:7" x14ac:dyDescent="0.25">
      <c r="A716" s="577" t="s">
        <v>3202</v>
      </c>
      <c r="B716" s="577">
        <v>0.32703824903106427</v>
      </c>
      <c r="C716" s="577">
        <v>0.32897847925713014</v>
      </c>
      <c r="D716" s="577">
        <v>0.33023921281867546</v>
      </c>
      <c r="E716" s="577">
        <v>0.3311342982606777</v>
      </c>
      <c r="F716" s="577">
        <v>0.33138056611255901</v>
      </c>
      <c r="G716" s="577">
        <v>0.32907066185200567</v>
      </c>
    </row>
    <row r="717" spans="1:7" x14ac:dyDescent="0.25">
      <c r="A717" s="577" t="s">
        <v>3203</v>
      </c>
      <c r="B717" s="577">
        <v>3.4832681869390612E-2</v>
      </c>
      <c r="C717" s="577">
        <v>3.4914907019592337E-2</v>
      </c>
      <c r="D717" s="577">
        <v>3.4917020958962319E-2</v>
      </c>
      <c r="E717" s="577">
        <v>3.5526000994584785E-2</v>
      </c>
      <c r="F717" s="577">
        <v>3.6474553644474342E-2</v>
      </c>
      <c r="G717" s="577">
        <v>3.6540237340830194E-2</v>
      </c>
    </row>
    <row r="718" spans="1:7" x14ac:dyDescent="0.25">
      <c r="A718" s="577" t="s">
        <v>3204</v>
      </c>
      <c r="B718" s="577">
        <v>0.36184500857750701</v>
      </c>
      <c r="C718" s="577">
        <v>0.36314560787713029</v>
      </c>
      <c r="D718" s="577">
        <v>0.36400970820873269</v>
      </c>
      <c r="E718" s="577">
        <v>0.36484907814421835</v>
      </c>
      <c r="F718" s="577">
        <v>0.36349462117778608</v>
      </c>
      <c r="G718" s="577">
        <v>0.35961352374640493</v>
      </c>
    </row>
    <row r="719" spans="1:7" x14ac:dyDescent="0.25">
      <c r="A719" s="577" t="s">
        <v>3205</v>
      </c>
      <c r="B719" s="577">
        <v>0.39797828974652089</v>
      </c>
      <c r="C719" s="577">
        <v>0.39892461522832473</v>
      </c>
      <c r="D719" s="577">
        <v>0.39976609910318073</v>
      </c>
      <c r="E719" s="577">
        <v>0.39902062217237083</v>
      </c>
      <c r="F719" s="577">
        <v>0.39608807739087926</v>
      </c>
      <c r="G719" s="577">
        <v>0.39104224425900752</v>
      </c>
    </row>
    <row r="720" spans="1:7" x14ac:dyDescent="0.25">
      <c r="A720" s="577" t="s">
        <v>3206</v>
      </c>
      <c r="B720" s="577">
        <v>0.43375729709771543</v>
      </c>
      <c r="C720" s="577">
        <v>0.43468100612277266</v>
      </c>
      <c r="D720" s="577">
        <v>0.43393764313133315</v>
      </c>
      <c r="E720" s="577">
        <v>0.43161407838546417</v>
      </c>
      <c r="F720" s="577">
        <v>0.42751679790348196</v>
      </c>
      <c r="G720" s="577">
        <v>0.42135085454900384</v>
      </c>
    </row>
    <row r="721" spans="1:7" x14ac:dyDescent="0.25">
      <c r="A721" s="577" t="s">
        <v>3207</v>
      </c>
      <c r="B721" s="577">
        <v>0.46951368799216342</v>
      </c>
      <c r="C721" s="577">
        <v>0.4688525501509252</v>
      </c>
      <c r="D721" s="577">
        <v>0.46653109934442633</v>
      </c>
      <c r="E721" s="577">
        <v>0.4630427988980666</v>
      </c>
      <c r="F721" s="577">
        <v>0.45782540819347822</v>
      </c>
      <c r="G721" s="577">
        <v>0.45051102712640084</v>
      </c>
    </row>
    <row r="722" spans="1:7" x14ac:dyDescent="0.25">
      <c r="A722" s="577" t="s">
        <v>3208</v>
      </c>
      <c r="B722" s="577">
        <v>0.50368523202031568</v>
      </c>
      <c r="C722" s="577">
        <v>0.50144600636401837</v>
      </c>
      <c r="D722" s="577">
        <v>0.49795981985702881</v>
      </c>
      <c r="E722" s="577">
        <v>0.49335140918806297</v>
      </c>
      <c r="F722" s="577">
        <v>0.48698558077087523</v>
      </c>
      <c r="G722" s="577">
        <v>0.47867021825741257</v>
      </c>
    </row>
    <row r="723" spans="1:7" x14ac:dyDescent="0.25">
      <c r="A723" s="577" t="s">
        <v>3209</v>
      </c>
      <c r="B723" s="577">
        <v>0.53627868823340907</v>
      </c>
      <c r="C723" s="577">
        <v>0.53287472687662096</v>
      </c>
      <c r="D723" s="577">
        <v>0.5282684301470254</v>
      </c>
      <c r="E723" s="577">
        <v>0.52251158176545998</v>
      </c>
      <c r="F723" s="577">
        <v>0.51514477190188679</v>
      </c>
      <c r="G723" s="577">
        <v>0.50586489054665695</v>
      </c>
    </row>
    <row r="724" spans="1:7" x14ac:dyDescent="0.25">
      <c r="A724" s="577" t="s">
        <v>3210</v>
      </c>
      <c r="B724" s="577">
        <v>0.56770740874601167</v>
      </c>
      <c r="C724" s="577">
        <v>0.56318333716661717</v>
      </c>
      <c r="D724" s="577">
        <v>0.5574286027244223</v>
      </c>
      <c r="E724" s="577">
        <v>0.55067077289647159</v>
      </c>
      <c r="F724" s="577">
        <v>0.54233944419113134</v>
      </c>
      <c r="G724" s="577">
        <v>0.53213008749716184</v>
      </c>
    </row>
    <row r="725" spans="1:7" x14ac:dyDescent="0.25">
      <c r="A725" s="577" t="s">
        <v>3211</v>
      </c>
      <c r="B725" s="577">
        <v>0.59801601903600787</v>
      </c>
      <c r="C725" s="577">
        <v>0.59234350974401428</v>
      </c>
      <c r="D725" s="577">
        <v>0.58558779385543402</v>
      </c>
      <c r="E725" s="577">
        <v>0.57786544518571614</v>
      </c>
      <c r="F725" s="577">
        <v>0.56860464114163634</v>
      </c>
      <c r="G725" s="577">
        <v>0.55749949246081054</v>
      </c>
    </row>
    <row r="726" spans="1:7" x14ac:dyDescent="0.25">
      <c r="A726" s="577" t="s">
        <v>3212</v>
      </c>
      <c r="B726" s="577">
        <v>0.62717619161340488</v>
      </c>
      <c r="C726" s="577">
        <v>0.62050270087502579</v>
      </c>
      <c r="D726" s="577">
        <v>0.61278246614467824</v>
      </c>
      <c r="E726" s="577">
        <v>0.60413064213622114</v>
      </c>
      <c r="F726" s="577">
        <v>0.59397404610528504</v>
      </c>
      <c r="G726" s="577">
        <v>0.58200548499681415</v>
      </c>
    </row>
    <row r="727" spans="1:7" x14ac:dyDescent="0.25">
      <c r="A727" s="577" t="s">
        <v>3213</v>
      </c>
      <c r="B727" s="577">
        <v>0.65533538274441638</v>
      </c>
      <c r="C727" s="577">
        <v>0.64769737316427034</v>
      </c>
      <c r="D727" s="577">
        <v>0.63904766309518335</v>
      </c>
      <c r="E727" s="577">
        <v>0.62950004709986962</v>
      </c>
      <c r="F727" s="577">
        <v>0.61848003864128853</v>
      </c>
      <c r="G727" s="577">
        <v>0.60567919475736076</v>
      </c>
    </row>
    <row r="728" spans="1:7" x14ac:dyDescent="0.25">
      <c r="A728" s="577" t="s">
        <v>3214</v>
      </c>
      <c r="B728" s="577">
        <v>6.9747588888982956E-2</v>
      </c>
      <c r="C728" s="577">
        <v>6.9831927978554628E-2</v>
      </c>
      <c r="D728" s="577">
        <v>7.0443021953547111E-2</v>
      </c>
      <c r="E728" s="577">
        <v>7.2000554639059119E-2</v>
      </c>
      <c r="F728" s="577">
        <v>7.3014790985304542E-2</v>
      </c>
      <c r="G728" s="577">
        <v>7.4042044352924177E-2</v>
      </c>
    </row>
    <row r="729" spans="1:7" x14ac:dyDescent="0.25">
      <c r="A729" s="577" t="s">
        <v>3215</v>
      </c>
      <c r="B729" s="577">
        <v>0.68253005503366104</v>
      </c>
      <c r="C729" s="577">
        <v>0.67396257011477534</v>
      </c>
      <c r="D729" s="577">
        <v>0.66441706805883183</v>
      </c>
      <c r="E729" s="577">
        <v>0.65400603963587334</v>
      </c>
      <c r="F729" s="577">
        <v>0.64215374840183514</v>
      </c>
      <c r="G729" s="577">
        <v>0.62855055301393103</v>
      </c>
    </row>
    <row r="730" spans="1:7" x14ac:dyDescent="0.25">
      <c r="A730" s="577" t="s">
        <v>3216</v>
      </c>
      <c r="B730" s="577">
        <v>0.70879525198416593</v>
      </c>
      <c r="C730" s="577">
        <v>0.69933197507842404</v>
      </c>
      <c r="D730" s="577">
        <v>0.68892306059483555</v>
      </c>
      <c r="E730" s="577">
        <v>0.67767974939641984</v>
      </c>
      <c r="F730" s="577">
        <v>0.66502510665840542</v>
      </c>
      <c r="G730" s="577">
        <v>0.65013748860295462</v>
      </c>
    </row>
    <row r="731" spans="1:7" x14ac:dyDescent="0.25">
      <c r="A731" s="577" t="s">
        <v>3217</v>
      </c>
      <c r="B731" s="577">
        <v>0.73416465694781452</v>
      </c>
      <c r="C731" s="577">
        <v>0.72383796761442754</v>
      </c>
      <c r="D731" s="577">
        <v>0.71259677035538227</v>
      </c>
      <c r="E731" s="577">
        <v>0.70055110765299011</v>
      </c>
      <c r="F731" s="577">
        <v>0.686612042247429</v>
      </c>
      <c r="G731" s="577">
        <v>0.67051213285875788</v>
      </c>
    </row>
    <row r="732" spans="1:7" x14ac:dyDescent="0.25">
      <c r="A732" s="577" t="s">
        <v>3218</v>
      </c>
      <c r="B732" s="577">
        <v>0.75867064948381802</v>
      </c>
      <c r="C732" s="577">
        <v>0.74751167737497415</v>
      </c>
      <c r="D732" s="577">
        <v>0.73546812861195265</v>
      </c>
      <c r="E732" s="577">
        <v>0.72213804324201381</v>
      </c>
      <c r="F732" s="577">
        <v>0.70698668650323204</v>
      </c>
      <c r="G732" s="577">
        <v>0.6897425663234138</v>
      </c>
    </row>
    <row r="733" spans="1:7" x14ac:dyDescent="0.25">
      <c r="A733" s="577" t="s">
        <v>3219</v>
      </c>
      <c r="B733" s="577">
        <v>0.78234435924436463</v>
      </c>
      <c r="C733" s="577">
        <v>0.77038303563154431</v>
      </c>
      <c r="D733" s="577">
        <v>0.75705506420097601</v>
      </c>
      <c r="E733" s="577">
        <v>0.74251268749781696</v>
      </c>
      <c r="F733" s="577">
        <v>0.72621711996788829</v>
      </c>
      <c r="G733" s="577">
        <v>0.70789304623342431</v>
      </c>
    </row>
    <row r="734" spans="1:7" x14ac:dyDescent="0.25">
      <c r="A734" s="577" t="s">
        <v>3220</v>
      </c>
      <c r="B734" s="577">
        <v>0.80521571750093501</v>
      </c>
      <c r="C734" s="577">
        <v>0.79196997122056767</v>
      </c>
      <c r="D734" s="577">
        <v>0.77742970845677917</v>
      </c>
      <c r="E734" s="577">
        <v>0.76174312096247299</v>
      </c>
      <c r="F734" s="577">
        <v>0.74436759987789869</v>
      </c>
      <c r="G734" s="577">
        <v>0.72502422123107468</v>
      </c>
    </row>
    <row r="735" spans="1:7" x14ac:dyDescent="0.25">
      <c r="A735" s="577" t="s">
        <v>3221</v>
      </c>
      <c r="B735" s="577">
        <v>0.82680265308995826</v>
      </c>
      <c r="C735" s="577">
        <v>0.81234461547637093</v>
      </c>
      <c r="D735" s="577">
        <v>0.79666014192143531</v>
      </c>
      <c r="E735" s="577">
        <v>0.77989360087248349</v>
      </c>
      <c r="F735" s="577">
        <v>0.76149877487554885</v>
      </c>
      <c r="G735" s="577">
        <v>0.74119333401790843</v>
      </c>
    </row>
    <row r="736" spans="1:7" x14ac:dyDescent="0.25">
      <c r="A736" s="577" t="s">
        <v>3222</v>
      </c>
      <c r="B736" s="577">
        <v>0.84717729734576153</v>
      </c>
      <c r="C736" s="577">
        <v>0.83157504894102685</v>
      </c>
      <c r="D736" s="577">
        <v>0.8148106218314457</v>
      </c>
      <c r="E736" s="577">
        <v>0.79702477587013376</v>
      </c>
      <c r="F736" s="577">
        <v>0.77766788766238282</v>
      </c>
      <c r="G736" s="577">
        <v>0.75645441262747282</v>
      </c>
    </row>
    <row r="737" spans="1:7" x14ac:dyDescent="0.25">
      <c r="A737" s="577" t="s">
        <v>3223</v>
      </c>
      <c r="B737" s="577">
        <v>0.86640773081041755</v>
      </c>
      <c r="C737" s="577">
        <v>0.84972552885103758</v>
      </c>
      <c r="D737" s="577">
        <v>0.83194179682909597</v>
      </c>
      <c r="E737" s="577">
        <v>0.81319388865696751</v>
      </c>
      <c r="F737" s="577">
        <v>0.7929289662719472</v>
      </c>
      <c r="G737" s="577">
        <v>0.77085845095646266</v>
      </c>
    </row>
    <row r="738" spans="1:7" x14ac:dyDescent="0.25">
      <c r="A738" s="577" t="s">
        <v>3224</v>
      </c>
      <c r="B738" s="577">
        <v>0.88455821072042828</v>
      </c>
      <c r="C738" s="577">
        <v>0.86685670384868752</v>
      </c>
      <c r="D738" s="577">
        <v>0.84811090961593005</v>
      </c>
      <c r="E738" s="577">
        <v>0.82845496726653201</v>
      </c>
      <c r="F738" s="577">
        <v>0.80733300460093715</v>
      </c>
      <c r="G738" s="577">
        <v>0.78445357915749114</v>
      </c>
    </row>
    <row r="739" spans="1:7" x14ac:dyDescent="0.25">
      <c r="A739" s="577" t="s">
        <v>3225</v>
      </c>
      <c r="B739" s="577">
        <v>0.10466460984794526</v>
      </c>
      <c r="C739" s="577">
        <v>0.10535792897313929</v>
      </c>
      <c r="D739" s="577">
        <v>0.10691757559802147</v>
      </c>
      <c r="E739" s="577">
        <v>0.10854079197988929</v>
      </c>
      <c r="F739" s="577">
        <v>0.11051659799739849</v>
      </c>
      <c r="G739" s="577">
        <v>0.11139286644698047</v>
      </c>
    </row>
    <row r="740" spans="1:7" x14ac:dyDescent="0.25">
      <c r="A740" s="577" t="s">
        <v>3226</v>
      </c>
      <c r="B740" s="577">
        <v>0.90168938571807833</v>
      </c>
      <c r="C740" s="577">
        <v>0.88302581663552149</v>
      </c>
      <c r="D740" s="577">
        <v>0.86337198822549432</v>
      </c>
      <c r="E740" s="577">
        <v>0.84285900559552207</v>
      </c>
      <c r="F740" s="577">
        <v>0.82092813280196542</v>
      </c>
      <c r="G740" s="577">
        <v>0.79728522446285099</v>
      </c>
    </row>
    <row r="741" spans="1:7" x14ac:dyDescent="0.25">
      <c r="A741" s="577" t="s">
        <v>3227</v>
      </c>
      <c r="B741" s="577">
        <v>0.1401906108425299</v>
      </c>
      <c r="C741" s="577">
        <v>0.14183248261761353</v>
      </c>
      <c r="D741" s="577">
        <v>0.14345781293885163</v>
      </c>
      <c r="E741" s="577">
        <v>0.14604259899198327</v>
      </c>
      <c r="F741" s="577">
        <v>0.14786742009145482</v>
      </c>
      <c r="G741" s="577">
        <v>0.14845882082255765</v>
      </c>
    </row>
    <row r="742" spans="1:7" x14ac:dyDescent="0.25">
      <c r="A742" s="577" t="s">
        <v>3228</v>
      </c>
      <c r="B742" s="577">
        <v>0.17666516448700414</v>
      </c>
      <c r="C742" s="577">
        <v>0.17837271995844364</v>
      </c>
      <c r="D742" s="577">
        <v>0.18095961995094559</v>
      </c>
      <c r="E742" s="577">
        <v>0.18339342108603959</v>
      </c>
      <c r="F742" s="577">
        <v>0.18493337446703201</v>
      </c>
      <c r="G742" s="577">
        <v>0.18517984409050295</v>
      </c>
    </row>
    <row r="743" spans="1:7" x14ac:dyDescent="0.25">
      <c r="A743" s="577" t="s">
        <v>3229</v>
      </c>
      <c r="B743" s="577">
        <v>0.21320540182783423</v>
      </c>
      <c r="C743" s="577">
        <v>0.21587452697053766</v>
      </c>
      <c r="D743" s="577">
        <v>0.21831044204500191</v>
      </c>
      <c r="E743" s="577">
        <v>0.22045937546161681</v>
      </c>
      <c r="F743" s="577">
        <v>0.2216543977349773</v>
      </c>
      <c r="G743" s="577">
        <v>0.22131312525951677</v>
      </c>
    </row>
    <row r="744" spans="1:7" x14ac:dyDescent="0.25">
      <c r="A744" s="577" t="s">
        <v>3230</v>
      </c>
      <c r="B744" s="577">
        <v>0.25070720883992825</v>
      </c>
      <c r="C744" s="577">
        <v>0.25322534906459393</v>
      </c>
      <c r="D744" s="577">
        <v>0.25537639642057913</v>
      </c>
      <c r="E744" s="577">
        <v>0.25718039872956211</v>
      </c>
      <c r="F744" s="577">
        <v>0.25778767890399107</v>
      </c>
      <c r="G744" s="577">
        <v>0.25709213261071129</v>
      </c>
    </row>
    <row r="745" spans="1:7" x14ac:dyDescent="0.25">
      <c r="A745" s="577" t="s">
        <v>3231</v>
      </c>
      <c r="B745" s="577">
        <v>0.28805803093398458</v>
      </c>
      <c r="C745" s="577">
        <v>0.29029130344017112</v>
      </c>
      <c r="D745" s="577">
        <v>0.29209741968852437</v>
      </c>
      <c r="E745" s="577">
        <v>0.29331367989857587</v>
      </c>
      <c r="F745" s="577">
        <v>0.29356668625518562</v>
      </c>
      <c r="G745" s="577">
        <v>0.29284852350515933</v>
      </c>
    </row>
    <row r="746" spans="1:7" x14ac:dyDescent="0.25">
      <c r="A746" s="577" t="s">
        <v>3232</v>
      </c>
      <c r="B746" s="577">
        <v>0.32512398530956177</v>
      </c>
      <c r="C746" s="577">
        <v>0.32701232670811653</v>
      </c>
      <c r="D746" s="577">
        <v>0.32823070085753825</v>
      </c>
      <c r="E746" s="577">
        <v>0.32909268724977037</v>
      </c>
      <c r="F746" s="577">
        <v>0.32932307714963355</v>
      </c>
      <c r="G746" s="577">
        <v>0.32702006753331175</v>
      </c>
    </row>
    <row r="747" spans="1:7" x14ac:dyDescent="0.25">
      <c r="A747" s="577" t="s">
        <v>3233</v>
      </c>
      <c r="B747" s="577">
        <v>3.3687956244040036E-2</v>
      </c>
      <c r="C747" s="577">
        <v>3.3717849925273644E-2</v>
      </c>
      <c r="D747" s="577">
        <v>3.3672454888449589E-2</v>
      </c>
      <c r="E747" s="577">
        <v>3.416020076406074E-2</v>
      </c>
      <c r="F747" s="577">
        <v>3.4997036642161562E-2</v>
      </c>
      <c r="G747" s="577">
        <v>3.498833544471501E-2</v>
      </c>
    </row>
    <row r="748" spans="1:7" x14ac:dyDescent="0.25">
      <c r="A748" s="577" t="s">
        <v>3234</v>
      </c>
      <c r="B748" s="577">
        <v>0.34730354993461748</v>
      </c>
      <c r="C748" s="577">
        <v>0.34813717037369624</v>
      </c>
      <c r="D748" s="577">
        <v>0.34862781482187805</v>
      </c>
      <c r="E748" s="577">
        <v>0.34918563015063553</v>
      </c>
      <c r="F748" s="577">
        <v>0.34774142613125231</v>
      </c>
      <c r="G748" s="577">
        <v>0.34395390212040783</v>
      </c>
    </row>
    <row r="749" spans="1:7" x14ac:dyDescent="0.25">
      <c r="A749" s="577" t="s">
        <v>3235</v>
      </c>
      <c r="B749" s="577">
        <v>0.38182512661773627</v>
      </c>
      <c r="C749" s="577">
        <v>0.3823456647471517</v>
      </c>
      <c r="D749" s="577">
        <v>0.38285808503908497</v>
      </c>
      <c r="E749" s="577">
        <v>0.38190162689531304</v>
      </c>
      <c r="F749" s="577">
        <v>0.37895093876256952</v>
      </c>
      <c r="G749" s="577">
        <v>0.37406326765453884</v>
      </c>
    </row>
    <row r="750" spans="1:7" x14ac:dyDescent="0.25">
      <c r="A750" s="577" t="s">
        <v>3236</v>
      </c>
      <c r="B750" s="577">
        <v>0.41603362099119173</v>
      </c>
      <c r="C750" s="577">
        <v>0.41657593496435857</v>
      </c>
      <c r="D750" s="577">
        <v>0.41557408178376265</v>
      </c>
      <c r="E750" s="577">
        <v>0.41311113952663014</v>
      </c>
      <c r="F750" s="577">
        <v>0.40906030429670037</v>
      </c>
      <c r="G750" s="577">
        <v>0.40311369284703641</v>
      </c>
    </row>
    <row r="751" spans="1:7" x14ac:dyDescent="0.25">
      <c r="A751" s="577" t="s">
        <v>3237</v>
      </c>
      <c r="B751" s="577">
        <v>0.45026389120839871</v>
      </c>
      <c r="C751" s="577">
        <v>0.44929193170903631</v>
      </c>
      <c r="D751" s="577">
        <v>0.44678359441507981</v>
      </c>
      <c r="E751" s="577">
        <v>0.44322050506076116</v>
      </c>
      <c r="F751" s="577">
        <v>0.43811072948919788</v>
      </c>
      <c r="G751" s="577">
        <v>0.43107351849689213</v>
      </c>
    </row>
    <row r="752" spans="1:7" x14ac:dyDescent="0.25">
      <c r="A752" s="577" t="s">
        <v>3238</v>
      </c>
      <c r="B752" s="577">
        <v>0.48297988795307628</v>
      </c>
      <c r="C752" s="577">
        <v>0.48050144434035347</v>
      </c>
      <c r="D752" s="577">
        <v>0.47689295994921072</v>
      </c>
      <c r="E752" s="577">
        <v>0.47227093025325856</v>
      </c>
      <c r="F752" s="577">
        <v>0.46607055513905365</v>
      </c>
      <c r="G752" s="577">
        <v>0.45808401917241226</v>
      </c>
    </row>
    <row r="753" spans="1:7" x14ac:dyDescent="0.25">
      <c r="A753" s="577" t="s">
        <v>3239</v>
      </c>
      <c r="B753" s="577">
        <v>0.51418940058439333</v>
      </c>
      <c r="C753" s="577">
        <v>0.51061080987448426</v>
      </c>
      <c r="D753" s="577">
        <v>0.50594338514170822</v>
      </c>
      <c r="E753" s="577">
        <v>0.50023075590311439</v>
      </c>
      <c r="F753" s="577">
        <v>0.49308105581457384</v>
      </c>
      <c r="G753" s="577">
        <v>0.48417933420853904</v>
      </c>
    </row>
    <row r="754" spans="1:7" x14ac:dyDescent="0.25">
      <c r="A754" s="577" t="s">
        <v>3240</v>
      </c>
      <c r="B754" s="577">
        <v>0.54429876611852446</v>
      </c>
      <c r="C754" s="577">
        <v>0.53966123506698183</v>
      </c>
      <c r="D754" s="577">
        <v>0.533903210791564</v>
      </c>
      <c r="E754" s="577">
        <v>0.52724125657863463</v>
      </c>
      <c r="F754" s="577">
        <v>0.51917637085070067</v>
      </c>
      <c r="G754" s="577">
        <v>0.5093922919466598</v>
      </c>
    </row>
    <row r="755" spans="1:7" x14ac:dyDescent="0.25">
      <c r="A755" s="577" t="s">
        <v>3241</v>
      </c>
      <c r="B755" s="577">
        <v>0.5733491913110218</v>
      </c>
      <c r="C755" s="577">
        <v>0.56762106071683771</v>
      </c>
      <c r="D755" s="577">
        <v>0.56091371146708435</v>
      </c>
      <c r="E755" s="577">
        <v>0.55333657161476135</v>
      </c>
      <c r="F755" s="577">
        <v>0.5443893285888215</v>
      </c>
      <c r="G755" s="577">
        <v>0.53375446352796163</v>
      </c>
    </row>
    <row r="756" spans="1:7" x14ac:dyDescent="0.25">
      <c r="A756" s="577" t="s">
        <v>3242</v>
      </c>
      <c r="B756" s="577">
        <v>0.60130901696087757</v>
      </c>
      <c r="C756" s="577">
        <v>0.59463156139235784</v>
      </c>
      <c r="D756" s="577">
        <v>0.58700902650321107</v>
      </c>
      <c r="E756" s="577">
        <v>0.57854952935288229</v>
      </c>
      <c r="F756" s="577">
        <v>0.5687515001701231</v>
      </c>
      <c r="G756" s="577">
        <v>0.55729621434515197</v>
      </c>
    </row>
    <row r="757" spans="1:7" x14ac:dyDescent="0.25">
      <c r="A757" s="577" t="s">
        <v>3243</v>
      </c>
      <c r="B757" s="577">
        <v>0.62831951763639782</v>
      </c>
      <c r="C757" s="577">
        <v>0.62072687642848445</v>
      </c>
      <c r="D757" s="577">
        <v>0.61222198424133178</v>
      </c>
      <c r="E757" s="577">
        <v>0.602911700934184</v>
      </c>
      <c r="F757" s="577">
        <v>0.59229325098731356</v>
      </c>
      <c r="G757" s="577">
        <v>0.58004675325940269</v>
      </c>
    </row>
    <row r="758" spans="1:7" x14ac:dyDescent="0.25">
      <c r="A758" s="577" t="s">
        <v>3244</v>
      </c>
      <c r="B758" s="577">
        <v>6.7405806169313687E-2</v>
      </c>
      <c r="C758" s="577">
        <v>6.739030481372324E-2</v>
      </c>
      <c r="D758" s="577">
        <v>6.7832655652510301E-2</v>
      </c>
      <c r="E758" s="577">
        <v>6.9157237406222274E-2</v>
      </c>
      <c r="F758" s="577">
        <v>6.9985372086876552E-2</v>
      </c>
      <c r="G758" s="577">
        <v>7.0878149152606165E-2</v>
      </c>
    </row>
    <row r="759" spans="1:7" x14ac:dyDescent="0.25">
      <c r="A759" s="577" t="s">
        <v>3245</v>
      </c>
      <c r="B759" s="577">
        <v>0.65441483267252465</v>
      </c>
      <c r="C759" s="577">
        <v>0.64593983416660572</v>
      </c>
      <c r="D759" s="577">
        <v>0.6365841558226335</v>
      </c>
      <c r="E759" s="577">
        <v>0.62645345175137424</v>
      </c>
      <c r="F759" s="577">
        <v>0.61504378990156428</v>
      </c>
      <c r="G759" s="577">
        <v>0.60203417968431328</v>
      </c>
    </row>
    <row r="760" spans="1:7" x14ac:dyDescent="0.25">
      <c r="A760" s="577" t="s">
        <v>3246</v>
      </c>
      <c r="B760" s="577">
        <v>0.67962779041064547</v>
      </c>
      <c r="C760" s="577">
        <v>0.67030200574790699</v>
      </c>
      <c r="D760" s="577">
        <v>0.66012590663982385</v>
      </c>
      <c r="E760" s="577">
        <v>0.64920399066562495</v>
      </c>
      <c r="F760" s="577">
        <v>0.63703121632647486</v>
      </c>
      <c r="G760" s="577">
        <v>0.6227868237852201</v>
      </c>
    </row>
    <row r="761" spans="1:7" x14ac:dyDescent="0.25">
      <c r="A761" s="577" t="s">
        <v>3247</v>
      </c>
      <c r="B761" s="577">
        <v>0.7039899619919473</v>
      </c>
      <c r="C761" s="577">
        <v>0.69384375656509745</v>
      </c>
      <c r="D761" s="577">
        <v>0.68287644555407445</v>
      </c>
      <c r="E761" s="577">
        <v>0.67119141709053542</v>
      </c>
      <c r="F761" s="577">
        <v>0.65778386042738146</v>
      </c>
      <c r="G761" s="577">
        <v>0.64237402916597186</v>
      </c>
    </row>
    <row r="762" spans="1:7" x14ac:dyDescent="0.25">
      <c r="A762" s="577" t="s">
        <v>3248</v>
      </c>
      <c r="B762" s="577">
        <v>0.72753171280913753</v>
      </c>
      <c r="C762" s="577">
        <v>0.71659429547934816</v>
      </c>
      <c r="D762" s="577">
        <v>0.70486387197898515</v>
      </c>
      <c r="E762" s="577">
        <v>0.69194406119144214</v>
      </c>
      <c r="F762" s="577">
        <v>0.67737106580813355</v>
      </c>
      <c r="G762" s="577">
        <v>0.66086124519310918</v>
      </c>
    </row>
    <row r="763" spans="1:7" x14ac:dyDescent="0.25">
      <c r="A763" s="577" t="s">
        <v>3249</v>
      </c>
      <c r="B763" s="577">
        <v>0.75028225172338836</v>
      </c>
      <c r="C763" s="577">
        <v>0.73858172190425864</v>
      </c>
      <c r="D763" s="577">
        <v>0.72561651607989175</v>
      </c>
      <c r="E763" s="577">
        <v>0.71153126657219423</v>
      </c>
      <c r="F763" s="577">
        <v>0.69585828183527054</v>
      </c>
      <c r="G763" s="577">
        <v>0.67831024569064313</v>
      </c>
    </row>
    <row r="764" spans="1:7" x14ac:dyDescent="0.25">
      <c r="A764" s="577" t="s">
        <v>3250</v>
      </c>
      <c r="B764" s="577">
        <v>0.77226967814829861</v>
      </c>
      <c r="C764" s="577">
        <v>0.75933436600516546</v>
      </c>
      <c r="D764" s="577">
        <v>0.74520372146064373</v>
      </c>
      <c r="E764" s="577">
        <v>0.73001848259933144</v>
      </c>
      <c r="F764" s="577">
        <v>0.71330728233280483</v>
      </c>
      <c r="G764" s="577">
        <v>0.69477933535325187</v>
      </c>
    </row>
    <row r="765" spans="1:7" x14ac:dyDescent="0.25">
      <c r="A765" s="577" t="s">
        <v>3251</v>
      </c>
      <c r="B765" s="577">
        <v>0.10107826105776327</v>
      </c>
      <c r="C765" s="577">
        <v>0.10155050557778397</v>
      </c>
      <c r="D765" s="577">
        <v>0.10282969229467191</v>
      </c>
      <c r="E765" s="577">
        <v>0.1041455728509373</v>
      </c>
      <c r="F765" s="577">
        <v>0.10587518579476769</v>
      </c>
      <c r="G765" s="577">
        <v>0.10658167889429235</v>
      </c>
    </row>
    <row r="766" spans="1:7" x14ac:dyDescent="0.25">
      <c r="A766" s="577" t="s">
        <v>3252</v>
      </c>
      <c r="B766" s="577">
        <v>0.13523846182182403</v>
      </c>
      <c r="C766" s="577">
        <v>0.13654754221994553</v>
      </c>
      <c r="D766" s="577">
        <v>0.13781802773938687</v>
      </c>
      <c r="E766" s="577">
        <v>0.14003538655882844</v>
      </c>
      <c r="F766" s="577">
        <v>0.14157871553645393</v>
      </c>
      <c r="G766" s="577">
        <v>0.14199112067697625</v>
      </c>
    </row>
    <row r="767" spans="1:7" x14ac:dyDescent="0.25">
      <c r="A767" s="577" t="s">
        <v>3253</v>
      </c>
      <c r="B767" s="577">
        <v>0.17023549846398559</v>
      </c>
      <c r="C767" s="577">
        <v>0.17153587766466052</v>
      </c>
      <c r="D767" s="577">
        <v>0.17370784144727805</v>
      </c>
      <c r="E767" s="577">
        <v>0.17573891630051464</v>
      </c>
      <c r="F767" s="577">
        <v>0.17698815731913781</v>
      </c>
      <c r="G767" s="577">
        <v>0.17706805147063187</v>
      </c>
    </row>
    <row r="768" spans="1:7" x14ac:dyDescent="0.25">
      <c r="A768" s="577" t="s">
        <v>3254</v>
      </c>
      <c r="B768" s="577">
        <v>0.20522383390870055</v>
      </c>
      <c r="C768" s="577">
        <v>0.20742569137255165</v>
      </c>
      <c r="D768" s="577">
        <v>0.20941137118896425</v>
      </c>
      <c r="E768" s="577">
        <v>0.21114835808319854</v>
      </c>
      <c r="F768" s="577">
        <v>0.21206508811279348</v>
      </c>
      <c r="G768" s="577">
        <v>0.21158962815375068</v>
      </c>
    </row>
    <row r="769" spans="1:7" x14ac:dyDescent="0.25">
      <c r="A769" s="577" t="s">
        <v>3255</v>
      </c>
      <c r="B769" s="577">
        <v>0.24111364761659171</v>
      </c>
      <c r="C769" s="577">
        <v>0.2431292211142379</v>
      </c>
      <c r="D769" s="577">
        <v>0.24482081297164804</v>
      </c>
      <c r="E769" s="577">
        <v>0.24622528887685416</v>
      </c>
      <c r="F769" s="577">
        <v>0.24658666479591218</v>
      </c>
      <c r="G769" s="577">
        <v>0.24579812252720615</v>
      </c>
    </row>
    <row r="770" spans="1:7" x14ac:dyDescent="0.25">
      <c r="A770" s="577" t="s">
        <v>3256</v>
      </c>
      <c r="B770" s="577">
        <v>0.27681717735827788</v>
      </c>
      <c r="C770" s="577">
        <v>0.27853866289692175</v>
      </c>
      <c r="D770" s="577">
        <v>0.2798977437653038</v>
      </c>
      <c r="E770" s="577">
        <v>0.28074686555997297</v>
      </c>
      <c r="F770" s="577">
        <v>0.28079515916936776</v>
      </c>
      <c r="G770" s="577">
        <v>0.28002839274441305</v>
      </c>
    </row>
    <row r="771" spans="1:7" x14ac:dyDescent="0.25">
      <c r="A771" s="577" t="s">
        <v>3257</v>
      </c>
      <c r="B771" s="577">
        <v>0.31222661914096178</v>
      </c>
      <c r="C771" s="577">
        <v>0.31361559369057745</v>
      </c>
      <c r="D771" s="577">
        <v>0.31441932044842252</v>
      </c>
      <c r="E771" s="577">
        <v>0.31495535993342844</v>
      </c>
      <c r="F771" s="577">
        <v>0.31502542938657468</v>
      </c>
      <c r="G771" s="577">
        <v>0.31274438948909072</v>
      </c>
    </row>
    <row r="772" spans="1:7" x14ac:dyDescent="0.25">
      <c r="A772" s="577" t="s">
        <v>3258</v>
      </c>
      <c r="B772" s="577">
        <v>0.36812535740232122</v>
      </c>
      <c r="C772" s="577">
        <v>0.36019536934428592</v>
      </c>
      <c r="D772" s="577">
        <v>0.35150234027811994</v>
      </c>
      <c r="E772" s="577">
        <v>0.34218821353156276</v>
      </c>
      <c r="F772" s="577">
        <v>0.33232424047602804</v>
      </c>
      <c r="G772" s="577">
        <v>0.32216483537421087</v>
      </c>
    </row>
    <row r="773" spans="1:7" x14ac:dyDescent="0.25">
      <c r="A773" s="577" t="s">
        <v>3259</v>
      </c>
      <c r="B773" s="577">
        <v>3.3642126884338625E-2</v>
      </c>
      <c r="C773" s="577">
        <v>3.3682164238705396E-2</v>
      </c>
      <c r="D773" s="577">
        <v>3.3646565942484233E-2</v>
      </c>
      <c r="E773" s="577">
        <v>3.4154419666460295E-2</v>
      </c>
      <c r="F773" s="577">
        <v>3.5006645404279141E-2</v>
      </c>
      <c r="G773" s="577">
        <v>3.5012777486289962E-2</v>
      </c>
    </row>
    <row r="774" spans="1:7" x14ac:dyDescent="0.25">
      <c r="A774" s="577" t="s">
        <v>3260</v>
      </c>
      <c r="B774" s="577">
        <v>0.34737486677795454</v>
      </c>
      <c r="C774" s="577">
        <v>0.34829441005661699</v>
      </c>
      <c r="D774" s="577">
        <v>0.34885519592636727</v>
      </c>
      <c r="E774" s="577">
        <v>0.3494643691617057</v>
      </c>
      <c r="F774" s="577">
        <v>0.34804968098878541</v>
      </c>
      <c r="G774" s="577">
        <v>0.34427428114617648</v>
      </c>
    </row>
    <row r="775" spans="1:7" x14ac:dyDescent="0.25">
      <c r="A775" s="577" t="s">
        <v>3261</v>
      </c>
      <c r="B775" s="577">
        <v>0.38193653694095564</v>
      </c>
      <c r="C775" s="577">
        <v>0.38253736016507262</v>
      </c>
      <c r="D775" s="577">
        <v>0.38311093510418998</v>
      </c>
      <c r="E775" s="577">
        <v>0.38220410065524574</v>
      </c>
      <c r="F775" s="577">
        <v>0.37928092655045548</v>
      </c>
      <c r="G775" s="577">
        <v>0.374401476969485</v>
      </c>
    </row>
    <row r="776" spans="1:7" x14ac:dyDescent="0.25">
      <c r="A776" s="577" t="s">
        <v>3262</v>
      </c>
      <c r="B776" s="577">
        <v>0.41617948704941138</v>
      </c>
      <c r="C776" s="577">
        <v>0.41679309934289527</v>
      </c>
      <c r="D776" s="577">
        <v>0.41585066659773001</v>
      </c>
      <c r="E776" s="577">
        <v>0.4134353462169158</v>
      </c>
      <c r="F776" s="577">
        <v>0.40940812237376412</v>
      </c>
      <c r="G776" s="577">
        <v>0.40346617435380761</v>
      </c>
    </row>
    <row r="777" spans="1:7" x14ac:dyDescent="0.25">
      <c r="A777" s="577" t="s">
        <v>3263</v>
      </c>
      <c r="B777" s="577">
        <v>0.45043522622723398</v>
      </c>
      <c r="C777" s="577">
        <v>0.44953283083643519</v>
      </c>
      <c r="D777" s="577">
        <v>0.44708191215940013</v>
      </c>
      <c r="E777" s="577">
        <v>0.44356254204022438</v>
      </c>
      <c r="F777" s="577">
        <v>0.43847281975808694</v>
      </c>
      <c r="G777" s="577">
        <v>0.43143763189974932</v>
      </c>
    </row>
    <row r="778" spans="1:7" x14ac:dyDescent="0.25">
      <c r="A778" s="577" t="s">
        <v>3264</v>
      </c>
      <c r="B778" s="577">
        <v>0.48317495772077396</v>
      </c>
      <c r="C778" s="577">
        <v>0.48076407639810537</v>
      </c>
      <c r="D778" s="577">
        <v>0.47720910798270877</v>
      </c>
      <c r="E778" s="577">
        <v>0.47262723942454704</v>
      </c>
      <c r="F778" s="577">
        <v>0.46644427730402843</v>
      </c>
      <c r="G778" s="577">
        <v>0.4584572060940349</v>
      </c>
    </row>
    <row r="779" spans="1:7" x14ac:dyDescent="0.25">
      <c r="A779" s="577" t="s">
        <v>3265</v>
      </c>
      <c r="B779" s="577">
        <v>0.51440620328244413</v>
      </c>
      <c r="C779" s="577">
        <v>0.51089127222141384</v>
      </c>
      <c r="D779" s="577">
        <v>0.50627380536703126</v>
      </c>
      <c r="E779" s="577">
        <v>0.50059869697048864</v>
      </c>
      <c r="F779" s="577">
        <v>0.49346385149831395</v>
      </c>
      <c r="G779" s="577">
        <v>0.4845592206833283</v>
      </c>
    </row>
    <row r="780" spans="1:7" x14ac:dyDescent="0.25">
      <c r="A780" s="577" t="s">
        <v>3266</v>
      </c>
      <c r="B780" s="577">
        <v>0.54453339910575249</v>
      </c>
      <c r="C780" s="577">
        <v>0.53995596960573666</v>
      </c>
      <c r="D780" s="577">
        <v>0.53424526291297292</v>
      </c>
      <c r="E780" s="577">
        <v>0.52761827116477433</v>
      </c>
      <c r="F780" s="577">
        <v>0.51956586608760746</v>
      </c>
      <c r="G780" s="577">
        <v>0.50977667758979428</v>
      </c>
    </row>
    <row r="781" spans="1:7" x14ac:dyDescent="0.25">
      <c r="A781" s="577" t="s">
        <v>3267</v>
      </c>
      <c r="B781" s="577">
        <v>0.5735980964900752</v>
      </c>
      <c r="C781" s="577">
        <v>0.56792742715167832</v>
      </c>
      <c r="D781" s="577">
        <v>0.56126483710725861</v>
      </c>
      <c r="E781" s="577">
        <v>0.55372028575406773</v>
      </c>
      <c r="F781" s="577">
        <v>0.54478332299407339</v>
      </c>
      <c r="G781" s="577">
        <v>0.53414131129199438</v>
      </c>
    </row>
    <row r="782" spans="1:7" x14ac:dyDescent="0.25">
      <c r="A782" s="577" t="s">
        <v>3268</v>
      </c>
      <c r="B782" s="577">
        <v>0.60156955403601686</v>
      </c>
      <c r="C782" s="577">
        <v>0.59494700134596357</v>
      </c>
      <c r="D782" s="577">
        <v>0.58736685169655189</v>
      </c>
      <c r="E782" s="577">
        <v>0.57893774266053355</v>
      </c>
      <c r="F782" s="577">
        <v>0.56914795669627349</v>
      </c>
      <c r="G782" s="577">
        <v>0.55768364083344701</v>
      </c>
    </row>
    <row r="783" spans="1:7" x14ac:dyDescent="0.25">
      <c r="A783" s="577" t="s">
        <v>3269</v>
      </c>
      <c r="B783" s="577">
        <v>0.62858912823030244</v>
      </c>
      <c r="C783" s="577">
        <v>0.62104901593525708</v>
      </c>
      <c r="D783" s="577">
        <v>0.61258430860301782</v>
      </c>
      <c r="E783" s="577">
        <v>0.60330237636273365</v>
      </c>
      <c r="F783" s="577">
        <v>0.59269028623772613</v>
      </c>
      <c r="G783" s="577">
        <v>0.58043301956727289</v>
      </c>
    </row>
    <row r="784" spans="1:7" x14ac:dyDescent="0.25">
      <c r="A784" s="577" t="s">
        <v>3270</v>
      </c>
      <c r="B784" s="577">
        <v>6.7324291123044028E-2</v>
      </c>
      <c r="C784" s="577">
        <v>6.7328730181189594E-2</v>
      </c>
      <c r="D784" s="577">
        <v>6.7800985608944528E-2</v>
      </c>
      <c r="E784" s="577">
        <v>6.9161065070739436E-2</v>
      </c>
      <c r="F784" s="577">
        <v>7.0019422890569089E-2</v>
      </c>
      <c r="G784" s="577">
        <v>7.0931653411999487E-2</v>
      </c>
    </row>
    <row r="785" spans="1:7" x14ac:dyDescent="0.25">
      <c r="A785" s="577" t="s">
        <v>3271</v>
      </c>
      <c r="B785" s="577">
        <v>0.65469114281959573</v>
      </c>
      <c r="C785" s="577">
        <v>0.64626647284172312</v>
      </c>
      <c r="D785" s="577">
        <v>0.63694894230521804</v>
      </c>
      <c r="E785" s="577">
        <v>0.62684470590418639</v>
      </c>
      <c r="F785" s="577">
        <v>0.615439664971552</v>
      </c>
      <c r="G785" s="577">
        <v>0.60241768274022744</v>
      </c>
    </row>
    <row r="786" spans="1:7" x14ac:dyDescent="0.25">
      <c r="A786" s="577" t="s">
        <v>3272</v>
      </c>
      <c r="B786" s="577">
        <v>0.67990859972606177</v>
      </c>
      <c r="C786" s="577">
        <v>0.67063110654392311</v>
      </c>
      <c r="D786" s="577">
        <v>0.66049127184667067</v>
      </c>
      <c r="E786" s="577">
        <v>0.64959408463801227</v>
      </c>
      <c r="F786" s="577">
        <v>0.63742432814450645</v>
      </c>
      <c r="G786" s="577">
        <v>0.62316771876944366</v>
      </c>
    </row>
    <row r="787" spans="1:7" x14ac:dyDescent="0.25">
      <c r="A787" s="577" t="s">
        <v>3273</v>
      </c>
      <c r="B787" s="577">
        <v>0.70427323342826198</v>
      </c>
      <c r="C787" s="577">
        <v>0.69417343608537596</v>
      </c>
      <c r="D787" s="577">
        <v>0.68324065058049643</v>
      </c>
      <c r="E787" s="577">
        <v>0.67157874781096683</v>
      </c>
      <c r="F787" s="577">
        <v>0.65817436417372266</v>
      </c>
      <c r="G787" s="577">
        <v>0.64275246254406959</v>
      </c>
    </row>
    <row r="788" spans="1:7" x14ac:dyDescent="0.25">
      <c r="A788" s="577" t="s">
        <v>3274</v>
      </c>
      <c r="B788" s="577">
        <v>0.72781556296971439</v>
      </c>
      <c r="C788" s="577">
        <v>0.71692281481920173</v>
      </c>
      <c r="D788" s="577">
        <v>0.7052253137534511</v>
      </c>
      <c r="E788" s="577">
        <v>0.69232878384018304</v>
      </c>
      <c r="F788" s="577">
        <v>0.6777591079483487</v>
      </c>
      <c r="G788" s="577">
        <v>0.66123735520534932</v>
      </c>
    </row>
    <row r="789" spans="1:7" x14ac:dyDescent="0.25">
      <c r="A789" s="577" t="s">
        <v>3275</v>
      </c>
      <c r="B789" s="577">
        <v>0.75056494170354016</v>
      </c>
      <c r="C789" s="577">
        <v>0.73890747799215606</v>
      </c>
      <c r="D789" s="577">
        <v>0.72597534978266731</v>
      </c>
      <c r="E789" s="577">
        <v>0.71191352761480897</v>
      </c>
      <c r="F789" s="577">
        <v>0.69624400060962865</v>
      </c>
      <c r="G789" s="577">
        <v>0.67868416281391952</v>
      </c>
    </row>
    <row r="790" spans="1:7" x14ac:dyDescent="0.25">
      <c r="A790" s="577" t="s">
        <v>3276</v>
      </c>
      <c r="B790" s="577">
        <v>0.77254960487649482</v>
      </c>
      <c r="C790" s="577">
        <v>0.75965751402137249</v>
      </c>
      <c r="D790" s="577">
        <v>0.74556009355729314</v>
      </c>
      <c r="E790" s="577">
        <v>0.73039842027608881</v>
      </c>
      <c r="F790" s="577">
        <v>0.71369080821819852</v>
      </c>
      <c r="G790" s="577">
        <v>0.69515118273706233</v>
      </c>
    </row>
    <row r="791" spans="1:7" x14ac:dyDescent="0.25">
      <c r="A791" s="577" t="s">
        <v>3277</v>
      </c>
      <c r="B791" s="577">
        <v>0.79329964090571115</v>
      </c>
      <c r="C791" s="577">
        <v>0.77924225779599843</v>
      </c>
      <c r="D791" s="577">
        <v>0.76404498621857309</v>
      </c>
      <c r="E791" s="577">
        <v>0.74784522788465879</v>
      </c>
      <c r="F791" s="577">
        <v>0.73015782814134156</v>
      </c>
      <c r="G791" s="577">
        <v>0.71069343844555022</v>
      </c>
    </row>
    <row r="792" spans="1:7" x14ac:dyDescent="0.25">
      <c r="A792" s="577" t="s">
        <v>3278</v>
      </c>
      <c r="B792" s="577">
        <v>0.81288438468033719</v>
      </c>
      <c r="C792" s="577">
        <v>0.79772715045727827</v>
      </c>
      <c r="D792" s="577">
        <v>0.78149179382714296</v>
      </c>
      <c r="E792" s="577">
        <v>0.76431224780780183</v>
      </c>
      <c r="F792" s="577">
        <v>0.74570008384982944</v>
      </c>
      <c r="G792" s="577">
        <v>0.72536286337097533</v>
      </c>
    </row>
    <row r="793" spans="1:7" x14ac:dyDescent="0.25">
      <c r="A793" s="577" t="s">
        <v>3279</v>
      </c>
      <c r="B793" s="577">
        <v>0.83136927734161703</v>
      </c>
      <c r="C793" s="577">
        <v>0.81517395806584825</v>
      </c>
      <c r="D793" s="577">
        <v>0.7979588137502861</v>
      </c>
      <c r="E793" s="577">
        <v>0.77985450351628982</v>
      </c>
      <c r="F793" s="577">
        <v>0.76036950877525455</v>
      </c>
      <c r="G793" s="577">
        <v>0.73920847443791748</v>
      </c>
    </row>
    <row r="794" spans="1:7" x14ac:dyDescent="0.25">
      <c r="A794" s="577" t="s">
        <v>3280</v>
      </c>
      <c r="B794" s="577">
        <v>0.8488160849501869</v>
      </c>
      <c r="C794" s="577">
        <v>0.83164097798899128</v>
      </c>
      <c r="D794" s="577">
        <v>0.81350106945877398</v>
      </c>
      <c r="E794" s="577">
        <v>0.79452392844171504</v>
      </c>
      <c r="F794" s="577">
        <v>0.77421511984219671</v>
      </c>
      <c r="G794" s="577">
        <v>0.75227653585079346</v>
      </c>
    </row>
    <row r="795" spans="1:7" x14ac:dyDescent="0.25">
      <c r="A795" s="577" t="s">
        <v>3281</v>
      </c>
      <c r="B795" s="577">
        <v>0.10097085706552822</v>
      </c>
      <c r="C795" s="577">
        <v>0.10148314984764982</v>
      </c>
      <c r="D795" s="577">
        <v>0.10280763101322364</v>
      </c>
      <c r="E795" s="577">
        <v>0.10417384255702938</v>
      </c>
      <c r="F795" s="577">
        <v>0.1059382988162786</v>
      </c>
      <c r="G795" s="577">
        <v>0.10667276067854461</v>
      </c>
    </row>
    <row r="796" spans="1:7" x14ac:dyDescent="0.25">
      <c r="A796" s="577" t="s">
        <v>3282</v>
      </c>
      <c r="B796" s="577">
        <v>0.86528310487332993</v>
      </c>
      <c r="C796" s="577">
        <v>0.84718323369747928</v>
      </c>
      <c r="D796" s="577">
        <v>0.82817049438419921</v>
      </c>
      <c r="E796" s="577">
        <v>0.80836953950865675</v>
      </c>
      <c r="F796" s="577">
        <v>0.78728318125507268</v>
      </c>
      <c r="G796" s="577">
        <v>0.76461071368267253</v>
      </c>
    </row>
    <row r="797" spans="1:7" x14ac:dyDescent="0.25">
      <c r="A797" s="577" t="s">
        <v>3283</v>
      </c>
      <c r="B797" s="577">
        <v>0.13512527673198846</v>
      </c>
      <c r="C797" s="577">
        <v>0.13648979525192889</v>
      </c>
      <c r="D797" s="577">
        <v>0.13782040849951363</v>
      </c>
      <c r="E797" s="577">
        <v>0.14009271848273891</v>
      </c>
      <c r="F797" s="577">
        <v>0.14167940608282376</v>
      </c>
      <c r="G797" s="577">
        <v>0.14212399324924369</v>
      </c>
    </row>
    <row r="798" spans="1:7" x14ac:dyDescent="0.25">
      <c r="A798" s="577" t="s">
        <v>3284</v>
      </c>
      <c r="B798" s="577">
        <v>0.17013192213626752</v>
      </c>
      <c r="C798" s="577">
        <v>0.17150257273821873</v>
      </c>
      <c r="D798" s="577">
        <v>0.17373928442522313</v>
      </c>
      <c r="E798" s="577">
        <v>0.17583382574928397</v>
      </c>
      <c r="F798" s="577">
        <v>0.17713063865352285</v>
      </c>
      <c r="G798" s="577">
        <v>0.17724294464168699</v>
      </c>
    </row>
    <row r="799" spans="1:7" x14ac:dyDescent="0.25">
      <c r="A799" s="577" t="s">
        <v>3285</v>
      </c>
      <c r="B799" s="577">
        <v>0.20514469962255735</v>
      </c>
      <c r="C799" s="577">
        <v>0.20742144866392834</v>
      </c>
      <c r="D799" s="577">
        <v>0.20948039169176827</v>
      </c>
      <c r="E799" s="577">
        <v>0.21128505831998315</v>
      </c>
      <c r="F799" s="577">
        <v>0.21224959004596614</v>
      </c>
      <c r="G799" s="577">
        <v>0.21180461480468793</v>
      </c>
    </row>
    <row r="800" spans="1:7" x14ac:dyDescent="0.25">
      <c r="A800" s="577" t="s">
        <v>3286</v>
      </c>
      <c r="B800" s="577">
        <v>0.24106357554826691</v>
      </c>
      <c r="C800" s="577">
        <v>0.24316255593047345</v>
      </c>
      <c r="D800" s="577">
        <v>0.24493162426246737</v>
      </c>
      <c r="E800" s="577">
        <v>0.24640400971242638</v>
      </c>
      <c r="F800" s="577">
        <v>0.24681126020896704</v>
      </c>
      <c r="G800" s="577">
        <v>0.24604756491314367</v>
      </c>
    </row>
    <row r="801" spans="1:7" x14ac:dyDescent="0.25">
      <c r="A801" s="577" t="s">
        <v>3287</v>
      </c>
      <c r="B801" s="577">
        <v>0.27680468281481213</v>
      </c>
      <c r="C801" s="577">
        <v>0.27861378850117258</v>
      </c>
      <c r="D801" s="577">
        <v>0.28005057565491065</v>
      </c>
      <c r="E801" s="577">
        <v>0.28096567987542748</v>
      </c>
      <c r="F801" s="577">
        <v>0.28105421031742273</v>
      </c>
      <c r="G801" s="577">
        <v>0.28030330409096632</v>
      </c>
    </row>
    <row r="802" spans="1:7" x14ac:dyDescent="0.25">
      <c r="A802" s="577" t="s">
        <v>3288</v>
      </c>
      <c r="B802" s="577">
        <v>0.31225591538551123</v>
      </c>
      <c r="C802" s="577">
        <v>0.31373273989361589</v>
      </c>
      <c r="D802" s="577">
        <v>0.31461224581791164</v>
      </c>
      <c r="E802" s="577">
        <v>0.31520862998388299</v>
      </c>
      <c r="F802" s="577">
        <v>0.31530994949524543</v>
      </c>
      <c r="G802" s="577">
        <v>0.3130430355845063</v>
      </c>
    </row>
    <row r="803" spans="1:7" x14ac:dyDescent="0.25">
      <c r="A803" s="577" t="s">
        <v>3289</v>
      </c>
      <c r="B803" s="577">
        <v>4.0238415609106792E-2</v>
      </c>
      <c r="C803" s="577">
        <v>4.0507741653339889E-2</v>
      </c>
      <c r="D803" s="577">
        <v>4.0676831631293209E-2</v>
      </c>
      <c r="E803" s="577">
        <v>4.1735894269171271E-2</v>
      </c>
      <c r="F803" s="577">
        <v>4.3114593208887275E-2</v>
      </c>
      <c r="G803" s="577">
        <v>4.3444190756547277E-2</v>
      </c>
    </row>
    <row r="804" spans="1:7" x14ac:dyDescent="0.25">
      <c r="A804" s="577" t="s">
        <v>3290</v>
      </c>
      <c r="B804" s="577">
        <v>0.42730912445516639</v>
      </c>
      <c r="C804" s="577">
        <v>0.43030184596024279</v>
      </c>
      <c r="D804" s="577">
        <v>0.4325121867287901</v>
      </c>
      <c r="E804" s="577">
        <v>0.43437397853950965</v>
      </c>
      <c r="F804" s="577">
        <v>0.43328095461642402</v>
      </c>
      <c r="G804" s="577">
        <v>0.42891688703883707</v>
      </c>
    </row>
    <row r="805" spans="1:7" x14ac:dyDescent="0.25">
      <c r="A805" s="577" t="s">
        <v>3291</v>
      </c>
      <c r="B805" s="577">
        <v>0.47054026156934958</v>
      </c>
      <c r="C805" s="577">
        <v>0.47301992838212992</v>
      </c>
      <c r="D805" s="577">
        <v>0.47505081017080281</v>
      </c>
      <c r="E805" s="577">
        <v>0.47501684888559531</v>
      </c>
      <c r="F805" s="577">
        <v>0.47203148024772412</v>
      </c>
      <c r="G805" s="577">
        <v>0.46622949242767298</v>
      </c>
    </row>
    <row r="806" spans="1:7" x14ac:dyDescent="0.25">
      <c r="A806" s="577" t="s">
        <v>3292</v>
      </c>
      <c r="B806" s="577">
        <v>0.51325834399123682</v>
      </c>
      <c r="C806" s="577">
        <v>0.51555855182414267</v>
      </c>
      <c r="D806" s="577">
        <v>0.51569368051688858</v>
      </c>
      <c r="E806" s="577">
        <v>0.51376737451689547</v>
      </c>
      <c r="F806" s="577">
        <v>0.50934408563656031</v>
      </c>
      <c r="G806" s="577">
        <v>0.50216258623087562</v>
      </c>
    </row>
    <row r="807" spans="1:7" x14ac:dyDescent="0.25">
      <c r="A807" s="577" t="s">
        <v>3293</v>
      </c>
      <c r="B807" s="577">
        <v>0.55579696743324936</v>
      </c>
      <c r="C807" s="577">
        <v>0.55620142217022828</v>
      </c>
      <c r="D807" s="577">
        <v>0.55444420614818868</v>
      </c>
      <c r="E807" s="577">
        <v>0.55107997990573143</v>
      </c>
      <c r="F807" s="577">
        <v>0.54527717943976295</v>
      </c>
      <c r="G807" s="577">
        <v>0.53669841884493941</v>
      </c>
    </row>
    <row r="808" spans="1:7" x14ac:dyDescent="0.25">
      <c r="A808" s="577" t="s">
        <v>3294</v>
      </c>
      <c r="B808" s="577">
        <v>0.59643983777933496</v>
      </c>
      <c r="C808" s="577">
        <v>0.5949519478015286</v>
      </c>
      <c r="D808" s="577">
        <v>0.59175681153702475</v>
      </c>
      <c r="E808" s="577">
        <v>0.58701307370893419</v>
      </c>
      <c r="F808" s="577">
        <v>0.57981301205382652</v>
      </c>
      <c r="G808" s="577">
        <v>0.5700120228173513</v>
      </c>
    </row>
    <row r="809" spans="1:7" x14ac:dyDescent="0.25">
      <c r="A809" s="577" t="s">
        <v>3295</v>
      </c>
      <c r="B809" s="577">
        <v>0.63519036341063528</v>
      </c>
      <c r="C809" s="577">
        <v>0.63226455319036456</v>
      </c>
      <c r="D809" s="577">
        <v>0.62768990534022739</v>
      </c>
      <c r="E809" s="577">
        <v>0.62154890632299797</v>
      </c>
      <c r="F809" s="577">
        <v>0.61312661602623852</v>
      </c>
      <c r="G809" s="577">
        <v>0.60214947132159358</v>
      </c>
    </row>
    <row r="810" spans="1:7" x14ac:dyDescent="0.25">
      <c r="A810" s="577" t="s">
        <v>3296</v>
      </c>
      <c r="B810" s="577">
        <v>0.67250296879947125</v>
      </c>
      <c r="C810" s="577">
        <v>0.6681976469935671</v>
      </c>
      <c r="D810" s="577">
        <v>0.66222573795429107</v>
      </c>
      <c r="E810" s="577">
        <v>0.65486251029540976</v>
      </c>
      <c r="F810" s="577">
        <v>0.64526406453048069</v>
      </c>
      <c r="G810" s="577">
        <v>0.63315498225748601</v>
      </c>
    </row>
    <row r="811" spans="1:7" x14ac:dyDescent="0.25">
      <c r="A811" s="577" t="s">
        <v>3297</v>
      </c>
      <c r="B811" s="577">
        <v>0.70843606260267378</v>
      </c>
      <c r="C811" s="577">
        <v>0.70273347960763066</v>
      </c>
      <c r="D811" s="577">
        <v>0.69553934192670297</v>
      </c>
      <c r="E811" s="577">
        <v>0.68699995879965203</v>
      </c>
      <c r="F811" s="577">
        <v>0.67626957546637323</v>
      </c>
      <c r="G811" s="577">
        <v>0.66307099766082334</v>
      </c>
    </row>
    <row r="812" spans="1:7" x14ac:dyDescent="0.25">
      <c r="A812" s="577" t="s">
        <v>3298</v>
      </c>
      <c r="B812" s="577">
        <v>0.74297189521673745</v>
      </c>
      <c r="C812" s="577">
        <v>0.73604708358004267</v>
      </c>
      <c r="D812" s="577">
        <v>0.72767679043094535</v>
      </c>
      <c r="E812" s="577">
        <v>0.71800546973554447</v>
      </c>
      <c r="F812" s="577">
        <v>0.70618559086971044</v>
      </c>
      <c r="G812" s="577">
        <v>0.69193825953859489</v>
      </c>
    </row>
    <row r="813" spans="1:7" x14ac:dyDescent="0.25">
      <c r="A813" s="577" t="s">
        <v>3299</v>
      </c>
      <c r="B813" s="577">
        <v>0.77628549918914946</v>
      </c>
      <c r="C813" s="577">
        <v>0.76818453208428472</v>
      </c>
      <c r="D813" s="577">
        <v>0.75868230136683779</v>
      </c>
      <c r="E813" s="577">
        <v>0.7479214851388819</v>
      </c>
      <c r="F813" s="577">
        <v>0.73505285274748222</v>
      </c>
      <c r="G813" s="577">
        <v>0.71979588229687996</v>
      </c>
    </row>
    <row r="814" spans="1:7" x14ac:dyDescent="0.25">
      <c r="A814" s="577" t="s">
        <v>3300</v>
      </c>
      <c r="B814" s="577">
        <v>8.0746157262446661E-2</v>
      </c>
      <c r="C814" s="577">
        <v>8.1184573284633049E-2</v>
      </c>
      <c r="D814" s="577">
        <v>8.2412725900464501E-2</v>
      </c>
      <c r="E814" s="577">
        <v>8.4850487478058539E-2</v>
      </c>
      <c r="F814" s="577">
        <v>8.6558783965434538E-2</v>
      </c>
      <c r="G814" s="577">
        <v>8.809926257893555E-2</v>
      </c>
    </row>
    <row r="815" spans="1:7" x14ac:dyDescent="0.25">
      <c r="A815" s="577" t="s">
        <v>3301</v>
      </c>
      <c r="B815" s="577">
        <v>0.80842294769339174</v>
      </c>
      <c r="C815" s="577">
        <v>0.79919004302017727</v>
      </c>
      <c r="D815" s="577">
        <v>0.78859831677017533</v>
      </c>
      <c r="E815" s="577">
        <v>0.77678874701665324</v>
      </c>
      <c r="F815" s="577">
        <v>0.7629104755057674</v>
      </c>
      <c r="G815" s="577">
        <v>0.74668142192048792</v>
      </c>
    </row>
    <row r="816" spans="1:7" x14ac:dyDescent="0.25">
      <c r="A816" s="577" t="s">
        <v>3302</v>
      </c>
      <c r="B816" s="577">
        <v>0.83942845862928406</v>
      </c>
      <c r="C816" s="577">
        <v>0.82910605842351448</v>
      </c>
      <c r="D816" s="577">
        <v>0.81746557864794656</v>
      </c>
      <c r="E816" s="577">
        <v>0.80464636977493853</v>
      </c>
      <c r="F816" s="577">
        <v>0.78979601512937525</v>
      </c>
      <c r="G816" s="577">
        <v>0.77205710820987739</v>
      </c>
    </row>
    <row r="817" spans="1:7" x14ac:dyDescent="0.25">
      <c r="A817" s="577" t="s">
        <v>3303</v>
      </c>
      <c r="B817" s="577">
        <v>0.86934447403262138</v>
      </c>
      <c r="C817" s="577">
        <v>0.85797332030128637</v>
      </c>
      <c r="D817" s="577">
        <v>0.84532320140623152</v>
      </c>
      <c r="E817" s="577">
        <v>0.83153190939854649</v>
      </c>
      <c r="F817" s="577">
        <v>0.81517170141876438</v>
      </c>
      <c r="G817" s="577">
        <v>0.79600773236220312</v>
      </c>
    </row>
    <row r="818" spans="1:7" x14ac:dyDescent="0.25">
      <c r="A818" s="577" t="s">
        <v>3304</v>
      </c>
      <c r="B818" s="577">
        <v>0.89821173591039305</v>
      </c>
      <c r="C818" s="577">
        <v>0.88583094305957144</v>
      </c>
      <c r="D818" s="577">
        <v>0.87220874102983981</v>
      </c>
      <c r="E818" s="577">
        <v>0.85690759568793595</v>
      </c>
      <c r="F818" s="577">
        <v>0.83912232557109057</v>
      </c>
      <c r="G818" s="577">
        <v>0.81861332382263352</v>
      </c>
    </row>
    <row r="819" spans="1:7" x14ac:dyDescent="0.25">
      <c r="A819" s="577" t="s">
        <v>3305</v>
      </c>
      <c r="B819" s="577">
        <v>0.92606935866867823</v>
      </c>
      <c r="C819" s="577">
        <v>0.91271648268317918</v>
      </c>
      <c r="D819" s="577">
        <v>0.89758442731922905</v>
      </c>
      <c r="E819" s="577">
        <v>0.88085821984026169</v>
      </c>
      <c r="F819" s="577">
        <v>0.86172791703152085</v>
      </c>
      <c r="G819" s="577">
        <v>0.83994941769750875</v>
      </c>
    </row>
    <row r="820" spans="1:7" x14ac:dyDescent="0.25">
      <c r="A820" s="577" t="s">
        <v>3306</v>
      </c>
      <c r="B820" s="577">
        <v>0.95295489829228619</v>
      </c>
      <c r="C820" s="577">
        <v>0.93809216897256864</v>
      </c>
      <c r="D820" s="577">
        <v>0.9215350514715549</v>
      </c>
      <c r="E820" s="577">
        <v>0.90346381130069209</v>
      </c>
      <c r="F820" s="577">
        <v>0.88306401090639619</v>
      </c>
      <c r="G820" s="577">
        <v>0.86008730714996295</v>
      </c>
    </row>
    <row r="821" spans="1:7" x14ac:dyDescent="0.25">
      <c r="A821" s="577" t="s">
        <v>3307</v>
      </c>
      <c r="B821" s="577">
        <v>0.97833058458167532</v>
      </c>
      <c r="C821" s="577">
        <v>0.96204279312489449</v>
      </c>
      <c r="D821" s="577">
        <v>0.94414064293198519</v>
      </c>
      <c r="E821" s="577">
        <v>0.92479990517556732</v>
      </c>
      <c r="F821" s="577">
        <v>0.90320190035885006</v>
      </c>
      <c r="G821" s="577">
        <v>0.87909428162136871</v>
      </c>
    </row>
    <row r="822" spans="1:7" x14ac:dyDescent="0.25">
      <c r="A822" s="577" t="s">
        <v>3308</v>
      </c>
      <c r="B822" s="577">
        <v>1.0022812087340012</v>
      </c>
      <c r="C822" s="577">
        <v>0.98464838458532522</v>
      </c>
      <c r="D822" s="577">
        <v>0.96547673680686064</v>
      </c>
      <c r="E822" s="577">
        <v>0.94493779462802152</v>
      </c>
      <c r="F822" s="577">
        <v>0.92220887483025549</v>
      </c>
      <c r="G822" s="577">
        <v>0.89703385167460636</v>
      </c>
    </row>
    <row r="823" spans="1:7" x14ac:dyDescent="0.25">
      <c r="A823" s="577" t="s">
        <v>3309</v>
      </c>
      <c r="B823" s="577">
        <v>1.0248868001944316</v>
      </c>
      <c r="C823" s="577">
        <v>1.0059844784602001</v>
      </c>
      <c r="D823" s="577">
        <v>0.98561462625931462</v>
      </c>
      <c r="E823" s="577">
        <v>0.96394476909942695</v>
      </c>
      <c r="F823" s="577">
        <v>0.94014844488349369</v>
      </c>
      <c r="G823" s="577">
        <v>0.91396596121046114</v>
      </c>
    </row>
    <row r="824" spans="1:7" x14ac:dyDescent="0.25">
      <c r="A824" s="577" t="s">
        <v>3310</v>
      </c>
      <c r="B824" s="577">
        <v>1.0462228940693068</v>
      </c>
      <c r="C824" s="577">
        <v>1.0261223679126543</v>
      </c>
      <c r="D824" s="577">
        <v>1.0046216007307203</v>
      </c>
      <c r="E824" s="577">
        <v>0.98188433915266504</v>
      </c>
      <c r="F824" s="577">
        <v>0.95708055441934847</v>
      </c>
      <c r="G824" s="577">
        <v>0.92994718776624641</v>
      </c>
    </row>
    <row r="825" spans="1:7" x14ac:dyDescent="0.25">
      <c r="A825" s="577" t="s">
        <v>3311</v>
      </c>
      <c r="B825" s="577">
        <v>0.12142298889373983</v>
      </c>
      <c r="C825" s="577">
        <v>0.1229204675538042</v>
      </c>
      <c r="D825" s="577">
        <v>0.12552731910935175</v>
      </c>
      <c r="E825" s="577">
        <v>0.1282946782346058</v>
      </c>
      <c r="F825" s="577">
        <v>0.1312138557878228</v>
      </c>
      <c r="G825" s="577">
        <v>0.13272134868453681</v>
      </c>
    </row>
    <row r="826" spans="1:7" x14ac:dyDescent="0.25">
      <c r="A826" s="577" t="s">
        <v>3312</v>
      </c>
      <c r="B826" s="577">
        <v>1.066360783521761</v>
      </c>
      <c r="C826" s="577">
        <v>1.04512934238406</v>
      </c>
      <c r="D826" s="577">
        <v>1.0225611707839584</v>
      </c>
      <c r="E826" s="577">
        <v>0.99881644868851949</v>
      </c>
      <c r="F826" s="577">
        <v>0.97306178097513374</v>
      </c>
      <c r="G826" s="577">
        <v>0.94503093156594964</v>
      </c>
    </row>
    <row r="827" spans="1:7" x14ac:dyDescent="0.25">
      <c r="A827" s="577" t="s">
        <v>3313</v>
      </c>
      <c r="B827" s="577">
        <v>0.16315888316291102</v>
      </c>
      <c r="C827" s="577">
        <v>0.16603506076269145</v>
      </c>
      <c r="D827" s="577">
        <v>0.16897150986589901</v>
      </c>
      <c r="E827" s="577">
        <v>0.17294975005699409</v>
      </c>
      <c r="F827" s="577">
        <v>0.17583594189342405</v>
      </c>
      <c r="G827" s="577">
        <v>0.17707963388330847</v>
      </c>
    </row>
    <row r="828" spans="1:7" x14ac:dyDescent="0.25">
      <c r="A828" s="577" t="s">
        <v>3314</v>
      </c>
      <c r="B828" s="577">
        <v>0.20627347637179821</v>
      </c>
      <c r="C828" s="577">
        <v>0.20947925151923863</v>
      </c>
      <c r="D828" s="577">
        <v>0.21362658168828733</v>
      </c>
      <c r="E828" s="577">
        <v>0.21757183616259529</v>
      </c>
      <c r="F828" s="577">
        <v>0.22019422709219577</v>
      </c>
      <c r="G828" s="577">
        <v>0.22103564808336817</v>
      </c>
    </row>
    <row r="829" spans="1:7" x14ac:dyDescent="0.25">
      <c r="A829" s="577" t="s">
        <v>3315</v>
      </c>
      <c r="B829" s="577">
        <v>0.24971766712834534</v>
      </c>
      <c r="C829" s="577">
        <v>0.25413432334162683</v>
      </c>
      <c r="D829" s="577">
        <v>0.25824866779388855</v>
      </c>
      <c r="E829" s="577">
        <v>0.26193012136136701</v>
      </c>
      <c r="F829" s="577">
        <v>0.26415024129225545</v>
      </c>
      <c r="G829" s="577">
        <v>0.26426678519755115</v>
      </c>
    </row>
    <row r="830" spans="1:7" x14ac:dyDescent="0.25">
      <c r="A830" s="577" t="s">
        <v>3316</v>
      </c>
      <c r="B830" s="577">
        <v>0.29437273895073368</v>
      </c>
      <c r="C830" s="577">
        <v>0.2987564094472282</v>
      </c>
      <c r="D830" s="577">
        <v>0.30260695299266022</v>
      </c>
      <c r="E830" s="577">
        <v>0.30588613556142674</v>
      </c>
      <c r="F830" s="577">
        <v>0.30738137840643842</v>
      </c>
      <c r="G830" s="577">
        <v>0.30698486761943855</v>
      </c>
    </row>
    <row r="831" spans="1:7" x14ac:dyDescent="0.25">
      <c r="A831" s="577" t="s">
        <v>3317</v>
      </c>
      <c r="B831" s="577">
        <v>0.33899482505633494</v>
      </c>
      <c r="C831" s="577">
        <v>0.34311469464599997</v>
      </c>
      <c r="D831" s="577">
        <v>0.3465629671927199</v>
      </c>
      <c r="E831" s="577">
        <v>0.34911727267560977</v>
      </c>
      <c r="F831" s="577">
        <v>0.35009946082832571</v>
      </c>
      <c r="G831" s="577">
        <v>0.34952349106145109</v>
      </c>
    </row>
    <row r="832" spans="1:7" x14ac:dyDescent="0.25">
      <c r="A832" s="577" t="s">
        <v>3318</v>
      </c>
      <c r="B832" s="577">
        <v>0.38335311025510665</v>
      </c>
      <c r="C832" s="577">
        <v>0.38707070884605971</v>
      </c>
      <c r="D832" s="577">
        <v>0.38979410430690292</v>
      </c>
      <c r="E832" s="577">
        <v>0.39183535509749701</v>
      </c>
      <c r="F832" s="577">
        <v>0.39263808427033831</v>
      </c>
      <c r="G832" s="577">
        <v>0.39016636140753685</v>
      </c>
    </row>
    <row r="833" spans="1:7" x14ac:dyDescent="0.25">
      <c r="A833" s="577" t="s">
        <v>3319</v>
      </c>
      <c r="B833" s="577">
        <v>3.3111544014171858E-2</v>
      </c>
      <c r="C833" s="577">
        <v>3.3061837364456552E-2</v>
      </c>
      <c r="D833" s="577">
        <v>3.2941619788421007E-2</v>
      </c>
      <c r="E833" s="577">
        <v>3.3259715227322087E-2</v>
      </c>
      <c r="F833" s="577">
        <v>3.3953878265273962E-2</v>
      </c>
      <c r="G833" s="577">
        <v>3.3830226629728219E-2</v>
      </c>
    </row>
    <row r="834" spans="1:7" x14ac:dyDescent="0.25">
      <c r="A834" s="577" t="s">
        <v>3320</v>
      </c>
      <c r="B834" s="577">
        <v>0.33713813320463493</v>
      </c>
      <c r="C834" s="577">
        <v>0.33728142971492575</v>
      </c>
      <c r="D834" s="577">
        <v>0.33721379628980003</v>
      </c>
      <c r="E834" s="577">
        <v>0.33735734250343091</v>
      </c>
      <c r="F834" s="577">
        <v>0.33572389458562846</v>
      </c>
      <c r="G834" s="577">
        <v>0.33194703688861693</v>
      </c>
    </row>
    <row r="835" spans="1:7" x14ac:dyDescent="0.25">
      <c r="A835" s="577" t="s">
        <v>3321</v>
      </c>
      <c r="B835" s="577">
        <v>0.37039297372909763</v>
      </c>
      <c r="C835" s="577">
        <v>0.37027563365425659</v>
      </c>
      <c r="D835" s="577">
        <v>0.37029896229185194</v>
      </c>
      <c r="E835" s="577">
        <v>0.36898360981295047</v>
      </c>
      <c r="F835" s="577">
        <v>0.36590091515389095</v>
      </c>
      <c r="G835" s="577">
        <v>0.36108466367295894</v>
      </c>
    </row>
    <row r="836" spans="1:7" x14ac:dyDescent="0.25">
      <c r="A836" s="577" t="s">
        <v>3322</v>
      </c>
      <c r="B836" s="577">
        <v>0.40338717766842863</v>
      </c>
      <c r="C836" s="577">
        <v>0.4033607996563085</v>
      </c>
      <c r="D836" s="577">
        <v>0.4019252296013715</v>
      </c>
      <c r="E836" s="577">
        <v>0.39916063038121297</v>
      </c>
      <c r="F836" s="577">
        <v>0.39503854193823279</v>
      </c>
      <c r="G836" s="577">
        <v>0.38922028740199688</v>
      </c>
    </row>
    <row r="837" spans="1:7" x14ac:dyDescent="0.25">
      <c r="A837" s="577" t="s">
        <v>3323</v>
      </c>
      <c r="B837" s="577">
        <v>0.43647234367048032</v>
      </c>
      <c r="C837" s="577">
        <v>0.43498706696582806</v>
      </c>
      <c r="D837" s="577">
        <v>0.43210225016963411</v>
      </c>
      <c r="E837" s="577">
        <v>0.42829825716555503</v>
      </c>
      <c r="F837" s="577">
        <v>0.4231741656672709</v>
      </c>
      <c r="G837" s="577">
        <v>0.41631599764030375</v>
      </c>
    </row>
    <row r="838" spans="1:7" x14ac:dyDescent="0.25">
      <c r="A838" s="577" t="s">
        <v>3324</v>
      </c>
      <c r="B838" s="577">
        <v>0.46809861097999994</v>
      </c>
      <c r="C838" s="577">
        <v>0.4651640875340905</v>
      </c>
      <c r="D838" s="577">
        <v>0.46123987695397595</v>
      </c>
      <c r="E838" s="577">
        <v>0.45643388089459291</v>
      </c>
      <c r="F838" s="577">
        <v>0.45026987590557765</v>
      </c>
      <c r="G838" s="577">
        <v>0.44250852304097849</v>
      </c>
    </row>
    <row r="839" spans="1:7" x14ac:dyDescent="0.25">
      <c r="A839" s="577" t="s">
        <v>3325</v>
      </c>
      <c r="B839" s="577">
        <v>0.49827563154826243</v>
      </c>
      <c r="C839" s="577">
        <v>0.49430171431843239</v>
      </c>
      <c r="D839" s="577">
        <v>0.48937550068301394</v>
      </c>
      <c r="E839" s="577">
        <v>0.48352959113289967</v>
      </c>
      <c r="F839" s="577">
        <v>0.4764624013062525</v>
      </c>
      <c r="G839" s="577">
        <v>0.46782962604480671</v>
      </c>
    </row>
    <row r="840" spans="1:7" x14ac:dyDescent="0.25">
      <c r="A840" s="577" t="s">
        <v>3326</v>
      </c>
      <c r="B840" s="577">
        <v>0.52741325833260433</v>
      </c>
      <c r="C840" s="577">
        <v>0.5224373380474705</v>
      </c>
      <c r="D840" s="577">
        <v>0.51647121092132076</v>
      </c>
      <c r="E840" s="577">
        <v>0.50972211653357458</v>
      </c>
      <c r="F840" s="577">
        <v>0.50178350431008079</v>
      </c>
      <c r="G840" s="577">
        <v>0.49230987849082442</v>
      </c>
    </row>
    <row r="841" spans="1:7" x14ac:dyDescent="0.25">
      <c r="A841" s="577" t="s">
        <v>3327</v>
      </c>
      <c r="B841" s="577">
        <v>0.55554888206164232</v>
      </c>
      <c r="C841" s="577">
        <v>0.54953304828577731</v>
      </c>
      <c r="D841" s="577">
        <v>0.54266373632199572</v>
      </c>
      <c r="E841" s="577">
        <v>0.53504321953740286</v>
      </c>
      <c r="F841" s="577">
        <v>0.52626375675609838</v>
      </c>
      <c r="G841" s="577">
        <v>0.51597870935824064</v>
      </c>
    </row>
    <row r="842" spans="1:7" x14ac:dyDescent="0.25">
      <c r="A842" s="577" t="s">
        <v>3328</v>
      </c>
      <c r="B842" s="577">
        <v>0.58264459229994925</v>
      </c>
      <c r="C842" s="577">
        <v>0.57572557368645205</v>
      </c>
      <c r="D842" s="577">
        <v>0.56798483932582389</v>
      </c>
      <c r="E842" s="577">
        <v>0.55952347198342045</v>
      </c>
      <c r="F842" s="577">
        <v>0.5499325876235146</v>
      </c>
      <c r="G842" s="577">
        <v>0.53886445046999887</v>
      </c>
    </row>
    <row r="843" spans="1:7" x14ac:dyDescent="0.25">
      <c r="A843" s="577" t="s">
        <v>3329</v>
      </c>
      <c r="B843" s="577">
        <v>0.6088371177006241</v>
      </c>
      <c r="C843" s="577">
        <v>0.60104667669028056</v>
      </c>
      <c r="D843" s="577">
        <v>0.59246509177184159</v>
      </c>
      <c r="E843" s="577">
        <v>0.58319230285083679</v>
      </c>
      <c r="F843" s="577">
        <v>0.57281832873527305</v>
      </c>
      <c r="G843" s="577">
        <v>0.56099438024963522</v>
      </c>
    </row>
    <row r="844" spans="1:7" x14ac:dyDescent="0.25">
      <c r="A844" s="577" t="s">
        <v>3330</v>
      </c>
      <c r="B844" s="577">
        <v>6.617338137862841E-2</v>
      </c>
      <c r="C844" s="577">
        <v>6.6003457152877559E-2</v>
      </c>
      <c r="D844" s="577">
        <v>6.6201335015743101E-2</v>
      </c>
      <c r="E844" s="577">
        <v>6.7213593492596063E-2</v>
      </c>
      <c r="F844" s="577">
        <v>6.7784104895002195E-2</v>
      </c>
      <c r="G844" s="577">
        <v>6.8501104164964646E-2</v>
      </c>
    </row>
    <row r="845" spans="1:7" x14ac:dyDescent="0.25">
      <c r="A845" s="577" t="s">
        <v>3331</v>
      </c>
      <c r="B845" s="577">
        <v>0.63415822070445216</v>
      </c>
      <c r="C845" s="577">
        <v>0.62552692913629793</v>
      </c>
      <c r="D845" s="577">
        <v>0.6161339226392577</v>
      </c>
      <c r="E845" s="577">
        <v>0.60607804396259501</v>
      </c>
      <c r="F845" s="577">
        <v>0.59494825851490929</v>
      </c>
      <c r="G845" s="577">
        <v>0.58239476561881054</v>
      </c>
    </row>
    <row r="846" spans="1:7" x14ac:dyDescent="0.25">
      <c r="A846" s="577" t="s">
        <v>3332</v>
      </c>
      <c r="B846" s="577">
        <v>0.65863847315046975</v>
      </c>
      <c r="C846" s="577">
        <v>0.64919576000371437</v>
      </c>
      <c r="D846" s="577">
        <v>0.63901966375101593</v>
      </c>
      <c r="E846" s="577">
        <v>0.62820797374223114</v>
      </c>
      <c r="F846" s="577">
        <v>0.61634864388408439</v>
      </c>
      <c r="G846" s="577">
        <v>0.60259333604747989</v>
      </c>
    </row>
    <row r="847" spans="1:7" x14ac:dyDescent="0.25">
      <c r="A847" s="577" t="s">
        <v>3333</v>
      </c>
      <c r="B847" s="577">
        <v>0.68230730401788631</v>
      </c>
      <c r="C847" s="577">
        <v>0.6720815011154726</v>
      </c>
      <c r="D847" s="577">
        <v>0.66114959353065228</v>
      </c>
      <c r="E847" s="577">
        <v>0.64960835911140657</v>
      </c>
      <c r="F847" s="577">
        <v>0.63654721431275385</v>
      </c>
      <c r="G847" s="577">
        <v>0.62165758373853175</v>
      </c>
    </row>
    <row r="848" spans="1:7" x14ac:dyDescent="0.25">
      <c r="A848" s="577" t="s">
        <v>3334</v>
      </c>
      <c r="B848" s="577">
        <v>0.70519304512964431</v>
      </c>
      <c r="C848" s="577">
        <v>0.69421143089510862</v>
      </c>
      <c r="D848" s="577">
        <v>0.68254997889982771</v>
      </c>
      <c r="E848" s="577">
        <v>0.66980692954007615</v>
      </c>
      <c r="F848" s="577">
        <v>0.6556114620038056</v>
      </c>
      <c r="G848" s="577">
        <v>0.6396512106295672</v>
      </c>
    </row>
    <row r="849" spans="1:7" x14ac:dyDescent="0.25">
      <c r="A849" s="577" t="s">
        <v>3335</v>
      </c>
      <c r="B849" s="577">
        <v>0.72732297490928066</v>
      </c>
      <c r="C849" s="577">
        <v>0.71561181626428405</v>
      </c>
      <c r="D849" s="577">
        <v>0.70274854932849729</v>
      </c>
      <c r="E849" s="577">
        <v>0.68887117723112801</v>
      </c>
      <c r="F849" s="577">
        <v>0.67360508889484105</v>
      </c>
      <c r="G849" s="577">
        <v>0.65663434124876041</v>
      </c>
    </row>
    <row r="850" spans="1:7" x14ac:dyDescent="0.25">
      <c r="A850" s="577" t="s">
        <v>3336</v>
      </c>
      <c r="B850" s="577">
        <v>0.74872336027845598</v>
      </c>
      <c r="C850" s="577">
        <v>0.73581038669295362</v>
      </c>
      <c r="D850" s="577">
        <v>0.72181279701954881</v>
      </c>
      <c r="E850" s="577">
        <v>0.70686480412216302</v>
      </c>
      <c r="F850" s="577">
        <v>0.69058821951403426</v>
      </c>
      <c r="G850" s="577">
        <v>0.67266372361704097</v>
      </c>
    </row>
    <row r="851" spans="1:7" x14ac:dyDescent="0.25">
      <c r="A851" s="577" t="s">
        <v>3337</v>
      </c>
      <c r="B851" s="577">
        <v>9.9115001167049438E-2</v>
      </c>
      <c r="C851" s="577">
        <v>9.9263172380199632E-2</v>
      </c>
      <c r="D851" s="577">
        <v>0.10015521328101706</v>
      </c>
      <c r="E851" s="577">
        <v>0.10104382012232425</v>
      </c>
      <c r="F851" s="577">
        <v>0.10245498243023865</v>
      </c>
      <c r="G851" s="577">
        <v>0.10292472554817378</v>
      </c>
    </row>
    <row r="852" spans="1:7" x14ac:dyDescent="0.25">
      <c r="A852" s="577" t="s">
        <v>3338</v>
      </c>
      <c r="B852" s="577">
        <v>0.13237471639437151</v>
      </c>
      <c r="C852" s="577">
        <v>0.13321705064547357</v>
      </c>
      <c r="D852" s="577">
        <v>0.1339854399107453</v>
      </c>
      <c r="E852" s="577">
        <v>0.13571469765756072</v>
      </c>
      <c r="F852" s="577">
        <v>0.13687860381344774</v>
      </c>
      <c r="G852" s="577">
        <v>0.1370296787618929</v>
      </c>
    </row>
    <row r="853" spans="1:7" x14ac:dyDescent="0.25">
      <c r="A853" s="577" t="s">
        <v>3339</v>
      </c>
      <c r="B853" s="577">
        <v>0.16632859465964545</v>
      </c>
      <c r="C853" s="577">
        <v>0.1670472772752018</v>
      </c>
      <c r="D853" s="577">
        <v>0.16865631744598175</v>
      </c>
      <c r="E853" s="577">
        <v>0.17013831904076981</v>
      </c>
      <c r="F853" s="577">
        <v>0.17098355702716683</v>
      </c>
      <c r="G853" s="577">
        <v>0.17080953854498937</v>
      </c>
    </row>
    <row r="854" spans="1:7" x14ac:dyDescent="0.25">
      <c r="A854" s="577" t="s">
        <v>3340</v>
      </c>
      <c r="B854" s="577">
        <v>0.20015882128937373</v>
      </c>
      <c r="C854" s="577">
        <v>0.20171815481043828</v>
      </c>
      <c r="D854" s="577">
        <v>0.2030799388291909</v>
      </c>
      <c r="E854" s="577">
        <v>0.20424327225448893</v>
      </c>
      <c r="F854" s="577">
        <v>0.20476341681026339</v>
      </c>
      <c r="G854" s="577">
        <v>0.20406437906945218</v>
      </c>
    </row>
    <row r="855" spans="1:7" x14ac:dyDescent="0.25">
      <c r="A855" s="577" t="s">
        <v>3341</v>
      </c>
      <c r="B855" s="577">
        <v>0.23482969882461013</v>
      </c>
      <c r="C855" s="577">
        <v>0.2361417761936474</v>
      </c>
      <c r="D855" s="577">
        <v>0.23718489204290993</v>
      </c>
      <c r="E855" s="577">
        <v>0.23802313203758543</v>
      </c>
      <c r="F855" s="577">
        <v>0.23801825733472615</v>
      </c>
      <c r="G855" s="577">
        <v>0.23705858300878302</v>
      </c>
    </row>
    <row r="856" spans="1:7" x14ac:dyDescent="0.25">
      <c r="A856" s="577" t="s">
        <v>3342</v>
      </c>
      <c r="B856" s="577">
        <v>0.26925332020781934</v>
      </c>
      <c r="C856" s="577">
        <v>0.27024672940736649</v>
      </c>
      <c r="D856" s="577">
        <v>0.27096475182600654</v>
      </c>
      <c r="E856" s="577">
        <v>0.27127797256204822</v>
      </c>
      <c r="F856" s="577">
        <v>0.27101246127405704</v>
      </c>
      <c r="G856" s="577">
        <v>0.27014374901083482</v>
      </c>
    </row>
    <row r="857" spans="1:7" x14ac:dyDescent="0.25">
      <c r="A857" s="577" t="s">
        <v>3343</v>
      </c>
      <c r="B857" s="577">
        <v>0.30335827342153832</v>
      </c>
      <c r="C857" s="577">
        <v>0.30402658919046305</v>
      </c>
      <c r="D857" s="577">
        <v>0.30421959235046925</v>
      </c>
      <c r="E857" s="577">
        <v>0.30427217650137905</v>
      </c>
      <c r="F857" s="577">
        <v>0.30409762727610889</v>
      </c>
      <c r="G857" s="577">
        <v>0.30177001632035449</v>
      </c>
    </row>
  </sheetData>
  <autoFilter ref="A3:G857"/>
  <mergeCells count="2">
    <mergeCell ref="A1:H1"/>
    <mergeCell ref="B2:G2"/>
  </mergeCells>
  <pageMargins left="0.7" right="0.7" top="0.75" bottom="0.75" header="0.3" footer="0.3"/>
  <pageSetup scale="2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view="pageBreakPreview" zoomScale="70" zoomScaleNormal="100" zoomScaleSheetLayoutView="70" workbookViewId="0"/>
  </sheetViews>
  <sheetFormatPr defaultRowHeight="15" x14ac:dyDescent="0.25"/>
  <cols>
    <col min="1" max="1" width="20.7109375" customWidth="1"/>
    <col min="2" max="2" width="14.140625" customWidth="1"/>
    <col min="3" max="5" width="20.7109375" customWidth="1"/>
    <col min="6" max="6" width="72.28515625" customWidth="1"/>
    <col min="7" max="7" width="3" customWidth="1"/>
  </cols>
  <sheetData>
    <row r="1" spans="1:13" x14ac:dyDescent="0.25">
      <c r="D1" s="2600"/>
      <c r="E1" s="2600"/>
      <c r="F1" s="2601"/>
      <c r="G1" s="2601"/>
    </row>
    <row r="3" spans="1:13" ht="46.5" x14ac:dyDescent="0.7">
      <c r="A3" s="2602" t="s">
        <v>0</v>
      </c>
      <c r="B3" s="2602"/>
      <c r="C3" s="2602"/>
      <c r="D3" s="2602"/>
      <c r="E3" s="2602"/>
      <c r="F3" s="2602"/>
      <c r="G3" s="1"/>
      <c r="H3" s="1"/>
      <c r="I3" s="1"/>
      <c r="J3" s="1"/>
      <c r="K3" s="1"/>
      <c r="L3" s="1"/>
      <c r="M3" s="1"/>
    </row>
    <row r="4" spans="1:13" ht="18.75" customHeight="1" thickBot="1" x14ac:dyDescent="0.6">
      <c r="D4" s="2603"/>
      <c r="E4" s="2603"/>
      <c r="F4" s="2604"/>
      <c r="G4" s="2604"/>
    </row>
    <row r="5" spans="1:13" ht="18.75" x14ac:dyDescent="0.25">
      <c r="A5" s="2605" t="s">
        <v>1</v>
      </c>
      <c r="B5" s="2605" t="s">
        <v>2</v>
      </c>
      <c r="C5" s="2609" t="s">
        <v>3</v>
      </c>
      <c r="D5" s="2610"/>
      <c r="E5" s="2611"/>
      <c r="F5" s="2605" t="s">
        <v>4</v>
      </c>
    </row>
    <row r="6" spans="1:13" ht="77.25" customHeight="1" x14ac:dyDescent="0.25">
      <c r="A6" s="2606"/>
      <c r="B6" s="2607"/>
      <c r="C6" s="2" t="s">
        <v>5</v>
      </c>
      <c r="D6" s="3" t="s">
        <v>6</v>
      </c>
      <c r="E6" s="4" t="s">
        <v>7</v>
      </c>
      <c r="F6" s="2607"/>
    </row>
    <row r="7" spans="1:13" ht="15.75" thickBot="1" x14ac:dyDescent="0.3">
      <c r="A7" s="5" t="s">
        <v>8</v>
      </c>
      <c r="B7" s="2608"/>
      <c r="C7" s="6" t="s">
        <v>8</v>
      </c>
      <c r="D7" s="7" t="s">
        <v>8</v>
      </c>
      <c r="E7" s="8" t="s">
        <v>8</v>
      </c>
      <c r="F7" s="2608"/>
    </row>
    <row r="8" spans="1:13" ht="35.1" customHeight="1" x14ac:dyDescent="0.25">
      <c r="A8" s="9">
        <v>1</v>
      </c>
      <c r="B8" s="10">
        <v>43250</v>
      </c>
      <c r="C8" s="11">
        <v>1</v>
      </c>
      <c r="D8" s="11">
        <v>1</v>
      </c>
      <c r="E8" s="11">
        <v>1</v>
      </c>
      <c r="F8" s="12" t="s">
        <v>9</v>
      </c>
    </row>
    <row r="9" spans="1:13" ht="47.25" customHeight="1" x14ac:dyDescent="0.25">
      <c r="A9" s="13">
        <v>2</v>
      </c>
      <c r="B9" s="2596">
        <v>43465</v>
      </c>
      <c r="C9" s="14">
        <v>1</v>
      </c>
      <c r="D9" s="14">
        <v>1</v>
      </c>
      <c r="E9" s="14">
        <v>2</v>
      </c>
      <c r="F9" s="15" t="s">
        <v>10</v>
      </c>
    </row>
    <row r="10" spans="1:13" ht="41.25" customHeight="1" x14ac:dyDescent="0.25">
      <c r="A10" s="13">
        <v>3</v>
      </c>
      <c r="B10" s="2596">
        <v>43831</v>
      </c>
      <c r="C10" s="14">
        <v>1</v>
      </c>
      <c r="D10" s="14">
        <v>1</v>
      </c>
      <c r="E10" s="14">
        <v>3</v>
      </c>
      <c r="F10" s="15" t="s">
        <v>3344</v>
      </c>
    </row>
    <row r="11" spans="1:13" ht="35.1" customHeight="1" x14ac:dyDescent="0.25">
      <c r="A11" s="2559">
        <v>3.1</v>
      </c>
      <c r="B11" s="2597">
        <v>43867</v>
      </c>
      <c r="C11" s="2560">
        <v>1</v>
      </c>
      <c r="D11" s="2560">
        <v>1</v>
      </c>
      <c r="E11" s="2560">
        <v>3</v>
      </c>
      <c r="F11" s="2561" t="s">
        <v>3535</v>
      </c>
    </row>
    <row r="12" spans="1:13" ht="35.1" customHeight="1" x14ac:dyDescent="0.25">
      <c r="A12" s="16"/>
      <c r="B12" s="17"/>
      <c r="C12" s="18"/>
      <c r="D12" s="18"/>
      <c r="E12" s="18"/>
      <c r="F12" s="19"/>
    </row>
    <row r="13" spans="1:13" ht="35.1" customHeight="1" x14ac:dyDescent="0.25">
      <c r="A13" s="16"/>
      <c r="B13" s="17"/>
      <c r="C13" s="18"/>
      <c r="D13" s="18"/>
      <c r="E13" s="18"/>
      <c r="F13" s="19"/>
    </row>
    <row r="14" spans="1:13" ht="35.1" customHeight="1" x14ac:dyDescent="0.25">
      <c r="A14" s="16"/>
      <c r="B14" s="17"/>
      <c r="C14" s="18"/>
      <c r="D14" s="18"/>
      <c r="E14" s="18"/>
      <c r="F14" s="19"/>
    </row>
    <row r="15" spans="1:13" ht="35.1" customHeight="1" x14ac:dyDescent="0.25">
      <c r="A15" s="16"/>
      <c r="B15" s="17"/>
      <c r="C15" s="18"/>
      <c r="D15" s="18"/>
      <c r="E15" s="18"/>
      <c r="F15" s="19"/>
    </row>
    <row r="16" spans="1:13" ht="35.1" customHeight="1" x14ac:dyDescent="0.25">
      <c r="A16" s="16"/>
      <c r="B16" s="17"/>
      <c r="C16" s="18"/>
      <c r="D16" s="18"/>
      <c r="E16" s="18"/>
      <c r="F16" s="19"/>
    </row>
    <row r="17" spans="1:6" ht="35.1" customHeight="1" x14ac:dyDescent="0.25">
      <c r="A17" s="16"/>
      <c r="B17" s="17"/>
      <c r="C17" s="18"/>
      <c r="D17" s="18"/>
      <c r="E17" s="18"/>
      <c r="F17" s="19"/>
    </row>
    <row r="18" spans="1:6" ht="35.1" customHeight="1" x14ac:dyDescent="0.25">
      <c r="A18" s="16"/>
      <c r="B18" s="17"/>
      <c r="C18" s="18"/>
      <c r="D18" s="18"/>
      <c r="E18" s="18"/>
      <c r="F18" s="19"/>
    </row>
    <row r="19" spans="1:6" ht="35.1" customHeight="1" x14ac:dyDescent="0.25">
      <c r="A19" s="16"/>
      <c r="B19" s="17"/>
      <c r="C19" s="18"/>
      <c r="D19" s="18"/>
      <c r="E19" s="18"/>
      <c r="F19" s="19"/>
    </row>
    <row r="20" spans="1:6" ht="35.1" customHeight="1" x14ac:dyDescent="0.25">
      <c r="A20" s="16"/>
      <c r="B20" s="17"/>
      <c r="C20" s="18"/>
      <c r="D20" s="18"/>
      <c r="E20" s="18"/>
      <c r="F20" s="19"/>
    </row>
    <row r="21" spans="1:6" ht="35.1" customHeight="1" x14ac:dyDescent="0.25">
      <c r="A21" s="16"/>
      <c r="B21" s="17"/>
      <c r="C21" s="18"/>
      <c r="D21" s="18"/>
      <c r="E21" s="18"/>
      <c r="F21" s="19"/>
    </row>
    <row r="22" spans="1:6" ht="35.1" customHeight="1" x14ac:dyDescent="0.25">
      <c r="A22" s="16"/>
      <c r="B22" s="17"/>
      <c r="C22" s="18"/>
      <c r="D22" s="18"/>
      <c r="E22" s="18"/>
      <c r="F22" s="19"/>
    </row>
    <row r="23" spans="1:6" ht="35.1" customHeight="1" x14ac:dyDescent="0.25">
      <c r="A23" s="16"/>
      <c r="B23" s="17"/>
      <c r="C23" s="18"/>
      <c r="D23" s="18"/>
      <c r="E23" s="18"/>
      <c r="F23" s="19"/>
    </row>
    <row r="24" spans="1:6" ht="35.1" customHeight="1" x14ac:dyDescent="0.25">
      <c r="A24" s="16"/>
      <c r="B24" s="17"/>
      <c r="C24" s="18"/>
      <c r="D24" s="18"/>
      <c r="E24" s="18"/>
      <c r="F24" s="19"/>
    </row>
    <row r="25" spans="1:6" ht="35.1" customHeight="1" x14ac:dyDescent="0.25">
      <c r="A25" s="16"/>
      <c r="B25" s="17"/>
      <c r="C25" s="18"/>
      <c r="D25" s="18"/>
      <c r="E25" s="18"/>
      <c r="F25" s="19"/>
    </row>
    <row r="26" spans="1:6" ht="35.1" customHeight="1" x14ac:dyDescent="0.25">
      <c r="A26" s="16"/>
      <c r="B26" s="17"/>
      <c r="C26" s="18"/>
      <c r="D26" s="18"/>
      <c r="E26" s="18"/>
      <c r="F26" s="19"/>
    </row>
    <row r="27" spans="1:6" ht="35.1" customHeight="1" x14ac:dyDescent="0.25">
      <c r="A27" s="16"/>
      <c r="B27" s="17"/>
      <c r="C27" s="18"/>
      <c r="D27" s="18"/>
      <c r="E27" s="18"/>
      <c r="F27" s="19"/>
    </row>
    <row r="28" spans="1:6" ht="35.1" customHeight="1" x14ac:dyDescent="0.25">
      <c r="A28" s="16"/>
      <c r="B28" s="17"/>
      <c r="C28" s="18"/>
      <c r="D28" s="18"/>
      <c r="E28" s="18"/>
      <c r="F28" s="19"/>
    </row>
    <row r="29" spans="1:6" ht="35.1" customHeight="1" x14ac:dyDescent="0.25">
      <c r="A29" s="16"/>
      <c r="B29" s="17"/>
      <c r="C29" s="18"/>
      <c r="D29" s="18"/>
      <c r="E29" s="18"/>
      <c r="F29" s="19"/>
    </row>
    <row r="30" spans="1:6" ht="35.1" customHeight="1" x14ac:dyDescent="0.25">
      <c r="A30" s="16"/>
      <c r="B30" s="17"/>
      <c r="C30" s="18"/>
      <c r="D30" s="18"/>
      <c r="E30" s="18"/>
      <c r="F30" s="19"/>
    </row>
    <row r="31" spans="1:6" ht="35.1" customHeight="1" x14ac:dyDescent="0.25">
      <c r="A31" s="16"/>
      <c r="B31" s="17"/>
      <c r="C31" s="18"/>
      <c r="D31" s="18"/>
      <c r="E31" s="18"/>
      <c r="F31" s="19"/>
    </row>
    <row r="32" spans="1:6" ht="35.1" customHeight="1" x14ac:dyDescent="0.25">
      <c r="A32" s="16"/>
      <c r="B32" s="17"/>
      <c r="C32" s="18"/>
      <c r="D32" s="18"/>
      <c r="E32" s="18"/>
      <c r="F32" s="19"/>
    </row>
    <row r="33" spans="1:6" ht="35.1" customHeight="1" x14ac:dyDescent="0.25">
      <c r="A33" s="16"/>
      <c r="B33" s="17"/>
      <c r="C33" s="18"/>
      <c r="D33" s="18"/>
      <c r="E33" s="18"/>
      <c r="F33" s="19"/>
    </row>
    <row r="34" spans="1:6" ht="35.1" customHeight="1" x14ac:dyDescent="0.25">
      <c r="A34" s="16"/>
      <c r="B34" s="17"/>
      <c r="C34" s="18"/>
      <c r="D34" s="18"/>
      <c r="E34" s="18"/>
      <c r="F34" s="19"/>
    </row>
    <row r="35" spans="1:6" ht="35.1" customHeight="1" x14ac:dyDescent="0.25">
      <c r="A35" s="16"/>
      <c r="B35" s="17"/>
      <c r="C35" s="18"/>
      <c r="D35" s="18"/>
      <c r="E35" s="18"/>
      <c r="F35" s="19"/>
    </row>
    <row r="36" spans="1:6" ht="35.1" customHeight="1" x14ac:dyDescent="0.25">
      <c r="A36" s="16"/>
      <c r="B36" s="17"/>
      <c r="C36" s="18"/>
      <c r="D36" s="18"/>
      <c r="E36" s="18"/>
      <c r="F36" s="19"/>
    </row>
    <row r="37" spans="1:6" ht="35.1" customHeight="1" x14ac:dyDescent="0.25">
      <c r="A37" s="16"/>
      <c r="B37" s="17"/>
      <c r="C37" s="18"/>
      <c r="D37" s="18"/>
      <c r="E37" s="18"/>
      <c r="F37" s="19"/>
    </row>
    <row r="38" spans="1:6" ht="35.1" customHeight="1" x14ac:dyDescent="0.25">
      <c r="A38" s="16"/>
      <c r="B38" s="17"/>
      <c r="C38" s="18"/>
      <c r="D38" s="18"/>
      <c r="E38" s="18"/>
      <c r="F38" s="19"/>
    </row>
    <row r="39" spans="1:6" ht="35.1" customHeight="1" thickBot="1" x14ac:dyDescent="0.3">
      <c r="A39" s="20"/>
      <c r="B39" s="21"/>
      <c r="C39" s="22"/>
      <c r="D39" s="22"/>
      <c r="E39" s="22"/>
      <c r="F39" s="23"/>
    </row>
  </sheetData>
  <mergeCells count="7">
    <mergeCell ref="D1:G1"/>
    <mergeCell ref="A3:F3"/>
    <mergeCell ref="D4:G4"/>
    <mergeCell ref="A5:A6"/>
    <mergeCell ref="B5:B7"/>
    <mergeCell ref="C5:E5"/>
    <mergeCell ref="F5:F7"/>
  </mergeCells>
  <printOptions horizontalCentered="1"/>
  <pageMargins left="0.7" right="0.7" top="0.75" bottom="0.75" header="0.3" footer="0.3"/>
  <pageSetup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2:E15"/>
  <sheetViews>
    <sheetView workbookViewId="0"/>
  </sheetViews>
  <sheetFormatPr defaultRowHeight="15" x14ac:dyDescent="0.25"/>
  <cols>
    <col min="1" max="1" width="3" style="148" customWidth="1"/>
    <col min="2" max="2" width="20.5703125" style="2370" customWidth="1"/>
    <col min="3" max="3" width="27.28515625" style="2370" customWidth="1"/>
    <col min="4" max="4" width="19.140625" style="2370" bestFit="1" customWidth="1"/>
    <col min="5" max="5" width="68.28515625" style="2434" customWidth="1"/>
  </cols>
  <sheetData>
    <row r="2" spans="1:5" x14ac:dyDescent="0.25">
      <c r="B2" s="2370" t="s">
        <v>3551</v>
      </c>
    </row>
    <row r="4" spans="1:5" x14ac:dyDescent="0.25">
      <c r="A4" s="2435" t="s">
        <v>3547</v>
      </c>
      <c r="B4" s="2569" t="s">
        <v>3415</v>
      </c>
      <c r="C4" s="2569" t="s">
        <v>3539</v>
      </c>
      <c r="D4" s="2569" t="s">
        <v>3453</v>
      </c>
      <c r="E4" s="2570" t="s">
        <v>4</v>
      </c>
    </row>
    <row r="5" spans="1:5" x14ac:dyDescent="0.25">
      <c r="A5" s="2579">
        <v>1</v>
      </c>
      <c r="B5" s="2568" t="s">
        <v>3454</v>
      </c>
      <c r="C5" s="2568" t="s">
        <v>3537</v>
      </c>
      <c r="D5" s="2568" t="s">
        <v>3455</v>
      </c>
      <c r="E5" s="2575" t="s">
        <v>3549</v>
      </c>
    </row>
    <row r="6" spans="1:5" x14ac:dyDescent="0.25">
      <c r="A6" s="2579">
        <v>2</v>
      </c>
      <c r="B6" s="2568" t="s">
        <v>257</v>
      </c>
      <c r="C6" s="2568" t="s">
        <v>3538</v>
      </c>
      <c r="D6" s="2568" t="s">
        <v>3530</v>
      </c>
      <c r="E6" s="2575" t="s">
        <v>3554</v>
      </c>
    </row>
    <row r="7" spans="1:5" x14ac:dyDescent="0.25">
      <c r="A7" s="2579">
        <v>3</v>
      </c>
      <c r="B7" s="2568" t="s">
        <v>257</v>
      </c>
      <c r="C7" s="2568" t="s">
        <v>3537</v>
      </c>
      <c r="D7" s="2568" t="s">
        <v>3534</v>
      </c>
      <c r="E7" s="2575" t="s">
        <v>3548</v>
      </c>
    </row>
    <row r="8" spans="1:5" ht="81.75" customHeight="1" x14ac:dyDescent="0.25">
      <c r="A8" s="2579">
        <v>4</v>
      </c>
      <c r="B8" s="2568" t="s">
        <v>257</v>
      </c>
      <c r="C8" s="2568" t="s">
        <v>3537</v>
      </c>
      <c r="D8" s="2568" t="s">
        <v>3536</v>
      </c>
      <c r="E8" s="2575" t="s">
        <v>3553</v>
      </c>
    </row>
    <row r="9" spans="1:5" x14ac:dyDescent="0.25">
      <c r="A9" s="2579">
        <v>5</v>
      </c>
      <c r="B9" s="2568" t="s">
        <v>3457</v>
      </c>
      <c r="C9" s="2568" t="s">
        <v>3537</v>
      </c>
      <c r="D9" s="2568" t="s">
        <v>3456</v>
      </c>
      <c r="E9" s="2575" t="s">
        <v>3548</v>
      </c>
    </row>
    <row r="10" spans="1:5" ht="30" x14ac:dyDescent="0.25">
      <c r="A10" s="2579">
        <v>6</v>
      </c>
      <c r="B10" s="2568" t="s">
        <v>3457</v>
      </c>
      <c r="C10" s="2568" t="s">
        <v>3538</v>
      </c>
      <c r="D10" s="2568" t="s">
        <v>3531</v>
      </c>
      <c r="E10" s="2575" t="s">
        <v>3532</v>
      </c>
    </row>
    <row r="11" spans="1:5" ht="30" x14ac:dyDescent="0.25">
      <c r="A11" s="2579">
        <v>7</v>
      </c>
      <c r="B11" s="2568" t="s">
        <v>3457</v>
      </c>
      <c r="C11" s="2568" t="s">
        <v>3537</v>
      </c>
      <c r="D11" s="2568" t="s">
        <v>3533</v>
      </c>
      <c r="E11" s="2575" t="s">
        <v>3550</v>
      </c>
    </row>
    <row r="12" spans="1:5" x14ac:dyDescent="0.25">
      <c r="A12" s="2579">
        <v>8</v>
      </c>
      <c r="B12" s="2568" t="s">
        <v>2272</v>
      </c>
      <c r="C12" s="2568" t="s">
        <v>3537</v>
      </c>
      <c r="D12" s="2568" t="s">
        <v>3458</v>
      </c>
      <c r="E12" s="2575" t="s">
        <v>3549</v>
      </c>
    </row>
    <row r="13" spans="1:5" x14ac:dyDescent="0.25">
      <c r="A13" s="2579">
        <v>9</v>
      </c>
      <c r="B13" s="2568" t="s">
        <v>2272</v>
      </c>
      <c r="C13" s="2568" t="s">
        <v>3537</v>
      </c>
      <c r="D13" s="2568" t="s">
        <v>3459</v>
      </c>
      <c r="E13" s="2575" t="s">
        <v>3548</v>
      </c>
    </row>
    <row r="14" spans="1:5" x14ac:dyDescent="0.25">
      <c r="B14" s="2369"/>
      <c r="C14" s="2369"/>
      <c r="D14" s="2369"/>
      <c r="E14" s="2464"/>
    </row>
    <row r="15" spans="1:5" x14ac:dyDescent="0.25">
      <c r="B15" s="2369"/>
      <c r="C15" s="2369"/>
      <c r="D15" s="2369"/>
      <c r="E15" s="2464"/>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DF751"/>
  <sheetViews>
    <sheetView showGridLines="0" view="pageBreakPreview" zoomScale="70" zoomScaleNormal="55" zoomScaleSheetLayoutView="70" workbookViewId="0"/>
  </sheetViews>
  <sheetFormatPr defaultRowHeight="15" outlineLevelRow="1" x14ac:dyDescent="0.25"/>
  <cols>
    <col min="1" max="1" width="2.7109375" style="26" customWidth="1"/>
    <col min="2" max="2" width="12.7109375" style="26" customWidth="1"/>
    <col min="3" max="3" width="17.140625" style="1716" customWidth="1"/>
    <col min="4" max="4" width="22.140625" style="1719" customWidth="1"/>
    <col min="5" max="5" width="72.28515625" style="1716" customWidth="1"/>
    <col min="6" max="6" width="19.5703125" style="1716" customWidth="1"/>
    <col min="7" max="7" width="29.140625" style="1769" customWidth="1"/>
    <col min="8" max="8" width="21.28515625" style="1796" customWidth="1"/>
    <col min="9" max="9" width="18.42578125" style="1716" customWidth="1"/>
    <col min="10" max="10" width="15.5703125" style="1716" customWidth="1"/>
    <col min="11" max="11" width="18.42578125" style="1716" customWidth="1"/>
    <col min="12" max="12" width="18.85546875" style="1716" customWidth="1"/>
    <col min="13" max="13" width="12.42578125" style="1716" customWidth="1"/>
    <col min="14" max="14" width="13.7109375" style="1716" customWidth="1"/>
    <col min="15" max="15" width="17.140625" style="1716" customWidth="1"/>
    <col min="16" max="16" width="9.7109375" style="1716" customWidth="1"/>
    <col min="17" max="18" width="18.42578125" style="1716" customWidth="1"/>
    <col min="19" max="19" width="16.42578125" style="1716" customWidth="1"/>
    <col min="20" max="20" width="14.28515625" style="1716" customWidth="1"/>
    <col min="21" max="21" width="17.28515625" style="1716" customWidth="1"/>
    <col min="22" max="22" width="104" style="26" customWidth="1"/>
    <col min="23" max="23" width="13.7109375" style="26" customWidth="1"/>
    <col min="24" max="24" width="18.140625" style="26" customWidth="1"/>
    <col min="25" max="25" width="17.28515625" style="26" customWidth="1"/>
    <col min="26" max="33" width="13.7109375" style="26" customWidth="1"/>
    <col min="34" max="34" width="9.140625" style="26" customWidth="1"/>
    <col min="35" max="35" width="41.42578125" style="26" customWidth="1"/>
    <col min="36" max="36" width="13.7109375" style="26" customWidth="1"/>
    <col min="37" max="37" width="16.5703125" style="26" customWidth="1"/>
    <col min="38" max="38" width="17.28515625" style="26" customWidth="1"/>
    <col min="39" max="45" width="13.7109375" style="26" customWidth="1"/>
    <col min="46" max="46" width="9.140625" style="26" customWidth="1"/>
    <col min="47" max="47" width="30.5703125" style="26" customWidth="1"/>
    <col min="48" max="48" width="17.28515625" style="26" customWidth="1"/>
    <col min="49" max="50" width="16.5703125" style="26" customWidth="1"/>
    <col min="51" max="57" width="13.7109375" style="26" customWidth="1"/>
    <col min="58" max="58" width="9.140625" style="26" customWidth="1"/>
    <col min="59" max="59" width="13.7109375" style="26" customWidth="1"/>
    <col min="60" max="60" width="17.28515625" style="26" customWidth="1"/>
    <col min="61" max="61" width="18" style="26" customWidth="1"/>
    <col min="62" max="62" width="17.28515625" style="26" customWidth="1"/>
    <col min="63" max="69" width="13.7109375" style="26" customWidth="1"/>
    <col min="70" max="70" width="9.140625" style="26" customWidth="1"/>
    <col min="71" max="71" width="20" style="26" customWidth="1"/>
    <col min="72" max="72" width="11" style="26" customWidth="1"/>
    <col min="73" max="73" width="18.140625" style="26" customWidth="1"/>
    <col min="74" max="81" width="11.7109375" style="26" customWidth="1"/>
    <col min="82" max="82" width="9.140625" style="26" customWidth="1"/>
    <col min="83" max="83" width="11" bestFit="1" customWidth="1"/>
    <col min="84" max="85" width="17.28515625" bestFit="1" customWidth="1"/>
    <col min="87" max="97" width="9.140625" style="26"/>
    <col min="102" max="105" width="9.140625" style="26"/>
    <col min="106" max="106" width="13.42578125" style="27" bestFit="1" customWidth="1"/>
    <col min="107" max="107" width="32.5703125" style="26" bestFit="1" customWidth="1"/>
    <col min="108" max="108" width="17.140625" style="26" bestFit="1" customWidth="1"/>
    <col min="109" max="109" width="25.28515625" style="26" bestFit="1" customWidth="1"/>
    <col min="110" max="16384" width="9.140625" style="26"/>
  </cols>
  <sheetData>
    <row r="1" spans="1:109" x14ac:dyDescent="0.25">
      <c r="A1" s="24" t="s">
        <v>11</v>
      </c>
      <c r="B1" s="25"/>
      <c r="C1" s="1715"/>
      <c r="D1" s="1715"/>
      <c r="E1" s="2617"/>
      <c r="F1" s="2618"/>
      <c r="G1" s="2618"/>
      <c r="H1" s="2618"/>
      <c r="I1" s="2618"/>
      <c r="J1" s="2618"/>
      <c r="K1" s="2618"/>
      <c r="L1" s="2618"/>
      <c r="M1" s="2618"/>
      <c r="N1" s="2618"/>
      <c r="O1" s="2618"/>
      <c r="P1" s="2618"/>
      <c r="Q1" s="2618"/>
    </row>
    <row r="2" spans="1:109" s="29" customFormat="1" ht="8.25" customHeight="1" x14ac:dyDescent="0.25">
      <c r="A2" s="28"/>
      <c r="C2" s="226"/>
      <c r="D2" s="226"/>
      <c r="E2" s="226"/>
      <c r="F2" s="1717"/>
      <c r="G2" s="1717"/>
      <c r="H2" s="1717"/>
      <c r="I2" s="1717"/>
      <c r="J2" s="1717"/>
      <c r="K2" s="1717"/>
      <c r="L2" s="1717"/>
      <c r="M2" s="1717"/>
      <c r="N2" s="1717"/>
      <c r="O2" s="1717"/>
      <c r="P2" s="1717"/>
      <c r="Q2" s="1717"/>
      <c r="R2" s="1157"/>
      <c r="S2" s="1157"/>
      <c r="T2" s="1157"/>
      <c r="U2" s="1157"/>
      <c r="DB2" s="30"/>
    </row>
    <row r="3" spans="1:109" ht="77.25" customHeight="1" x14ac:dyDescent="0.35">
      <c r="B3" s="31"/>
      <c r="C3" s="1718"/>
      <c r="E3" s="2619" t="s">
        <v>12</v>
      </c>
      <c r="F3" s="2620"/>
      <c r="G3" s="2620"/>
      <c r="H3" s="2621" t="s">
        <v>13</v>
      </c>
      <c r="I3" s="2621"/>
      <c r="J3" s="2621"/>
      <c r="K3" s="1156"/>
      <c r="L3" s="1156"/>
      <c r="V3" s="33"/>
      <c r="W3" s="34"/>
      <c r="X3" s="34"/>
      <c r="Y3" s="35"/>
      <c r="Z3" s="35"/>
      <c r="AA3" s="35"/>
      <c r="AB3" s="35"/>
      <c r="AC3" s="35"/>
      <c r="AD3" s="35"/>
      <c r="AE3" s="35"/>
      <c r="AF3" s="35"/>
      <c r="AG3" s="35"/>
      <c r="AH3" s="35"/>
      <c r="DD3" s="2393">
        <f>SUM(DD9:DD27,DD61:DD65,DD87:DD110,DD139:DD140,DD159:DD163,DD183:DD184,DD201,DD215,DD231:DD234,DD253:DD255,DD273,DD287:DD288,DD333:DD337,DD355:DD360,DD379,DD395:DD398,DD415:DD419,DD439:DD445,DD465:DD471,DD491,DD507:DD508,DD530:DD531,DD548:DD549,DD566,DD582,DD598,DD614:DD625,DD630,DD646,DD662:DD664,DD682,DD698:DD699,DD716:DD717,DD734)</f>
        <v>694835.13010273315</v>
      </c>
    </row>
    <row r="4" spans="1:109" ht="21" hidden="1" outlineLevel="1" x14ac:dyDescent="0.35">
      <c r="B4" s="31"/>
      <c r="C4" s="225"/>
      <c r="D4" s="2622" t="s">
        <v>3345</v>
      </c>
      <c r="E4" s="2622"/>
      <c r="F4" s="2622"/>
      <c r="G4" s="2622"/>
      <c r="H4" s="2622"/>
      <c r="I4" s="2622"/>
      <c r="J4" s="2622"/>
      <c r="K4" s="1156"/>
      <c r="L4" s="1156"/>
      <c r="V4" s="37"/>
      <c r="W4" s="38"/>
      <c r="X4" s="39"/>
      <c r="Y4" s="40"/>
      <c r="AJ4" s="29"/>
      <c r="AK4" s="29"/>
      <c r="AL4" s="29"/>
      <c r="AM4" s="29"/>
      <c r="AN4" s="29"/>
      <c r="AO4" s="29"/>
      <c r="AP4" s="29"/>
      <c r="AQ4" s="29"/>
      <c r="AR4" s="29"/>
      <c r="AS4" s="29"/>
      <c r="AT4" s="29"/>
      <c r="AU4" s="29"/>
    </row>
    <row r="5" spans="1:109" s="44" customFormat="1" ht="23.25" customHeight="1" collapsed="1" x14ac:dyDescent="0.35">
      <c r="A5" s="41"/>
      <c r="B5" s="31" t="s">
        <v>15</v>
      </c>
      <c r="C5" s="1718"/>
      <c r="D5" s="1720"/>
      <c r="E5" s="1721"/>
      <c r="F5" s="1721"/>
      <c r="G5" s="1721"/>
      <c r="H5" s="1722"/>
      <c r="I5" s="1723"/>
      <c r="J5" s="1723"/>
      <c r="K5" s="1723"/>
      <c r="L5" s="233"/>
      <c r="M5" s="233"/>
      <c r="N5" s="233"/>
      <c r="O5" s="233"/>
      <c r="P5" s="233"/>
      <c r="Q5" s="233"/>
      <c r="R5" s="233"/>
      <c r="S5" s="233"/>
      <c r="T5" s="233"/>
      <c r="U5" s="233"/>
      <c r="V5" s="29"/>
      <c r="W5" s="29"/>
      <c r="X5" s="29"/>
      <c r="Y5" s="29"/>
      <c r="Z5" s="29"/>
      <c r="AA5" s="29"/>
      <c r="AB5" s="29"/>
      <c r="AC5" s="29"/>
      <c r="AD5" s="29"/>
      <c r="AE5" s="29"/>
      <c r="AF5" s="29"/>
      <c r="AG5" s="29"/>
      <c r="AH5" s="29"/>
      <c r="AI5" s="29"/>
      <c r="AJ5" s="26"/>
      <c r="AK5" s="26"/>
      <c r="AL5" s="26"/>
      <c r="AM5" s="26"/>
      <c r="AN5" s="26"/>
      <c r="AO5" s="26"/>
      <c r="AP5" s="26"/>
      <c r="AQ5" s="26"/>
      <c r="AR5" s="26"/>
      <c r="AS5" s="26"/>
      <c r="AT5" s="26"/>
      <c r="AU5" s="26"/>
      <c r="DB5" s="45"/>
    </row>
    <row r="6" spans="1:109" s="46" customFormat="1" x14ac:dyDescent="0.25">
      <c r="B6" s="2612" t="s">
        <v>16</v>
      </c>
      <c r="C6" s="2613"/>
      <c r="D6" s="2613"/>
      <c r="E6" s="2613"/>
      <c r="F6" s="2613"/>
      <c r="G6" s="2613"/>
      <c r="H6" s="2613"/>
      <c r="I6" s="2614"/>
      <c r="J6" s="2614"/>
      <c r="K6" s="2614"/>
      <c r="L6" s="2614"/>
      <c r="M6" s="2615"/>
      <c r="N6" s="2615"/>
      <c r="O6" s="2616"/>
      <c r="V6" s="47" t="str">
        <f>B6</f>
        <v>Lighting</v>
      </c>
      <c r="W6" s="48"/>
      <c r="X6" s="48"/>
      <c r="Y6" s="48"/>
      <c r="Z6" s="48"/>
      <c r="AA6" s="48"/>
      <c r="AB6" s="48"/>
      <c r="AC6" s="48"/>
      <c r="AD6" s="48"/>
      <c r="AE6" s="48"/>
      <c r="AF6" s="48"/>
      <c r="AG6" s="48"/>
      <c r="AH6" s="48"/>
      <c r="AI6" s="49"/>
      <c r="AJ6" s="26"/>
      <c r="AK6" s="26"/>
      <c r="AL6" s="26"/>
      <c r="AM6" s="26"/>
      <c r="AN6" s="26"/>
      <c r="AO6" s="26"/>
      <c r="AP6" s="26"/>
      <c r="AQ6" s="26"/>
      <c r="AR6" s="26"/>
      <c r="AS6" s="26"/>
      <c r="AT6" s="26"/>
      <c r="AU6" s="26"/>
      <c r="CI6" s="44"/>
      <c r="DB6" s="45"/>
      <c r="DC6" s="44"/>
      <c r="DD6" s="44"/>
      <c r="DE6" s="44"/>
    </row>
    <row r="7" spans="1:109" x14ac:dyDescent="0.25">
      <c r="D7" s="1724"/>
      <c r="E7" s="1719"/>
      <c r="F7" s="1719"/>
      <c r="G7" s="1719"/>
      <c r="H7" s="1725"/>
      <c r="I7" s="1719"/>
      <c r="J7" s="1719"/>
      <c r="K7" s="1719"/>
      <c r="L7" s="1719"/>
      <c r="P7" s="1719"/>
      <c r="Q7" s="1719"/>
      <c r="R7" s="1719"/>
      <c r="S7" s="1719"/>
      <c r="T7" s="1719"/>
      <c r="U7" s="1719"/>
      <c r="V7"/>
      <c r="W7"/>
      <c r="X7"/>
      <c r="Y7"/>
      <c r="Z7"/>
      <c r="AA7"/>
      <c r="AB7"/>
      <c r="AC7"/>
      <c r="AD7"/>
      <c r="AE7"/>
      <c r="AF7"/>
      <c r="AG7"/>
      <c r="AH7"/>
      <c r="AI7"/>
      <c r="AJ7" s="44"/>
      <c r="AK7" s="44"/>
      <c r="AL7" s="44"/>
      <c r="AM7" s="44"/>
      <c r="AN7" s="44"/>
      <c r="AO7" s="44"/>
      <c r="AP7" s="44"/>
      <c r="AQ7" s="44"/>
      <c r="AR7" s="44"/>
      <c r="AS7" s="44"/>
      <c r="AT7" s="44"/>
      <c r="AU7" s="44"/>
      <c r="CI7" s="44"/>
      <c r="DB7" s="45"/>
      <c r="DC7" s="44"/>
      <c r="DD7" s="44"/>
      <c r="DE7" s="44"/>
    </row>
    <row r="8" spans="1:109" s="50" customFormat="1" ht="30" x14ac:dyDescent="0.25">
      <c r="B8" s="51"/>
      <c r="C8" s="52" t="s">
        <v>17</v>
      </c>
      <c r="D8" s="1678" t="s">
        <v>18</v>
      </c>
      <c r="E8" s="1678" t="s">
        <v>19</v>
      </c>
      <c r="F8" s="1678" t="s">
        <v>20</v>
      </c>
      <c r="G8" s="1678" t="s">
        <v>21</v>
      </c>
      <c r="H8" s="53" t="s">
        <v>22</v>
      </c>
      <c r="I8" s="1678" t="s">
        <v>23</v>
      </c>
      <c r="J8" s="1678" t="s">
        <v>24</v>
      </c>
      <c r="K8" s="54" t="s">
        <v>25</v>
      </c>
      <c r="L8" s="52" t="s">
        <v>26</v>
      </c>
      <c r="M8" s="1716"/>
      <c r="N8" s="1716"/>
      <c r="O8" s="1716"/>
      <c r="P8" s="1726"/>
      <c r="Q8" s="1726"/>
      <c r="R8" s="1726"/>
      <c r="S8" s="1726"/>
      <c r="T8" s="1726"/>
      <c r="U8" s="1726"/>
      <c r="V8" s="55" t="s">
        <v>27</v>
      </c>
      <c r="W8" s="56">
        <v>43252</v>
      </c>
      <c r="X8" s="56">
        <v>43465</v>
      </c>
      <c r="Y8" s="56">
        <v>43800</v>
      </c>
      <c r="Z8" s="56" t="s">
        <v>28</v>
      </c>
      <c r="AA8" s="56" t="s">
        <v>28</v>
      </c>
      <c r="AB8" s="56" t="s">
        <v>28</v>
      </c>
      <c r="AC8" s="56" t="s">
        <v>28</v>
      </c>
      <c r="AD8" s="56" t="s">
        <v>28</v>
      </c>
      <c r="AE8" s="56" t="s">
        <v>28</v>
      </c>
      <c r="AF8" s="56" t="s">
        <v>28</v>
      </c>
      <c r="AG8" s="56" t="s">
        <v>28</v>
      </c>
      <c r="AH8"/>
      <c r="AI8" s="55" t="s">
        <v>27</v>
      </c>
      <c r="AJ8" s="56">
        <f>W8</f>
        <v>43252</v>
      </c>
      <c r="AK8" s="56">
        <f t="shared" ref="AK8:AS8" si="0">X8</f>
        <v>43465</v>
      </c>
      <c r="AL8" s="56">
        <f t="shared" si="0"/>
        <v>43800</v>
      </c>
      <c r="AM8" s="56" t="str">
        <f t="shared" si="0"/>
        <v>-</v>
      </c>
      <c r="AN8" s="56" t="str">
        <f t="shared" si="0"/>
        <v>-</v>
      </c>
      <c r="AO8" s="56" t="str">
        <f t="shared" si="0"/>
        <v>-</v>
      </c>
      <c r="AP8" s="56" t="str">
        <f t="shared" si="0"/>
        <v>-</v>
      </c>
      <c r="AQ8" s="56" t="str">
        <f t="shared" si="0"/>
        <v>-</v>
      </c>
      <c r="AR8" s="56" t="str">
        <f t="shared" si="0"/>
        <v>-</v>
      </c>
      <c r="AS8" s="56" t="str">
        <f t="shared" si="0"/>
        <v>-</v>
      </c>
      <c r="AT8" s="29"/>
      <c r="AU8" s="55" t="s">
        <v>27</v>
      </c>
      <c r="AV8" s="56">
        <f>W8</f>
        <v>43252</v>
      </c>
      <c r="AW8" s="56">
        <f t="shared" ref="AW8:BE8" si="1">X8</f>
        <v>43465</v>
      </c>
      <c r="AX8" s="56">
        <f t="shared" si="1"/>
        <v>43800</v>
      </c>
      <c r="AY8" s="56" t="str">
        <f t="shared" si="1"/>
        <v>-</v>
      </c>
      <c r="AZ8" s="56" t="str">
        <f t="shared" si="1"/>
        <v>-</v>
      </c>
      <c r="BA8" s="56" t="str">
        <f t="shared" si="1"/>
        <v>-</v>
      </c>
      <c r="BB8" s="56" t="str">
        <f t="shared" si="1"/>
        <v>-</v>
      </c>
      <c r="BC8" s="56" t="str">
        <f t="shared" si="1"/>
        <v>-</v>
      </c>
      <c r="BD8" s="56" t="str">
        <f t="shared" si="1"/>
        <v>-</v>
      </c>
      <c r="BE8" s="56" t="str">
        <f t="shared" si="1"/>
        <v>-</v>
      </c>
      <c r="CI8" s="46"/>
      <c r="DB8" s="57" t="s">
        <v>29</v>
      </c>
      <c r="DC8" s="58" t="s">
        <v>30</v>
      </c>
      <c r="DD8" s="59" t="s">
        <v>31</v>
      </c>
      <c r="DE8" s="59" t="s">
        <v>32</v>
      </c>
    </row>
    <row r="9" spans="1:109" x14ac:dyDescent="0.25">
      <c r="C9" s="1727" t="s">
        <v>33</v>
      </c>
      <c r="D9" s="1728" t="s">
        <v>34</v>
      </c>
      <c r="E9" s="1729" t="s">
        <v>35</v>
      </c>
      <c r="F9" s="208">
        <f>ROUND(((F39-G39)/1000)*H39*I39*J39,2)</f>
        <v>88.56</v>
      </c>
      <c r="G9" s="1730" t="s">
        <v>36</v>
      </c>
      <c r="H9" s="1731">
        <f>VLOOKUP(G9,'CP FACTORS'!$A$26:$B$38,2,FALSE)</f>
        <v>1.899635E-4</v>
      </c>
      <c r="I9" s="1732">
        <f>ROUND(H9*F9,6)</f>
        <v>1.6823000000000001E-2</v>
      </c>
      <c r="J9" s="1625">
        <f>ROUND(50000/H39,0)</f>
        <v>21</v>
      </c>
      <c r="K9" s="1733">
        <v>15.64</v>
      </c>
      <c r="L9" s="1734" t="s">
        <v>37</v>
      </c>
      <c r="M9" s="1735"/>
      <c r="P9" s="1736"/>
      <c r="Q9" s="1737"/>
      <c r="R9" s="1738"/>
      <c r="S9" s="1738"/>
      <c r="T9" s="1739"/>
      <c r="V9" s="61" t="s">
        <v>20</v>
      </c>
      <c r="W9" s="62">
        <v>87.483200000000011</v>
      </c>
      <c r="X9" s="63">
        <v>88.562211839999989</v>
      </c>
      <c r="Y9" s="62">
        <v>88.56</v>
      </c>
      <c r="Z9" s="64"/>
      <c r="AA9" s="64"/>
      <c r="AB9" s="64"/>
      <c r="AC9" s="64"/>
      <c r="AD9" s="64"/>
      <c r="AE9" s="64"/>
      <c r="AF9" s="64"/>
      <c r="AG9" s="64"/>
      <c r="AH9" s="65"/>
      <c r="AI9" s="61" t="s">
        <v>24</v>
      </c>
      <c r="AJ9" s="66">
        <v>21</v>
      </c>
      <c r="AK9" s="66">
        <v>21</v>
      </c>
      <c r="AL9" s="64"/>
      <c r="AM9" s="64"/>
      <c r="AN9" s="64"/>
      <c r="AO9" s="64"/>
      <c r="AP9" s="64"/>
      <c r="AQ9" s="64"/>
      <c r="AR9" s="64"/>
      <c r="AS9" s="64"/>
      <c r="AT9" s="29"/>
      <c r="AU9" s="61" t="s">
        <v>25</v>
      </c>
      <c r="AV9" s="67">
        <v>15.64</v>
      </c>
      <c r="AW9" s="67">
        <v>15.64</v>
      </c>
      <c r="AX9" s="67">
        <v>15.64</v>
      </c>
      <c r="AY9" s="64"/>
      <c r="AZ9" s="64"/>
      <c r="BA9" s="64"/>
      <c r="BB9" s="64"/>
      <c r="BC9" s="64"/>
      <c r="BD9" s="64"/>
      <c r="BE9" s="64"/>
      <c r="DB9" s="68">
        <f>(DD9)/(DE9)</f>
        <v>4.5601069955079137</v>
      </c>
      <c r="DC9" s="69" t="str">
        <f t="shared" ref="DC9:DC27" si="2">CONCATENATE(G9," ",J9," Year EUL")</f>
        <v>Lighting BUS 21 Year EUL</v>
      </c>
      <c r="DD9" s="70">
        <f>(INDEX('Avoided Cost Benefits'!$C$4:$C$857,MATCH(DC9,'Avoided Cost Benefits'!$A$4:$A$857,0)))*F9</f>
        <v>67.314840405609971</v>
      </c>
      <c r="DE9" s="70">
        <f t="shared" ref="DE9:DE27" si="3">K9/(1.0595^(2020-2019))</f>
        <v>14.761680037753656</v>
      </c>
    </row>
    <row r="10" spans="1:109" x14ac:dyDescent="0.25">
      <c r="C10" s="1727" t="s">
        <v>38</v>
      </c>
      <c r="D10" s="1728" t="s">
        <v>34</v>
      </c>
      <c r="E10" s="1729" t="s">
        <v>39</v>
      </c>
      <c r="F10" s="208">
        <f t="shared" ref="F10:F11" si="4">ROUND(((F40-G40)/1000)*H40*I40*J40,2)</f>
        <v>153.1</v>
      </c>
      <c r="G10" s="1730" t="s">
        <v>36</v>
      </c>
      <c r="H10" s="1731">
        <f>VLOOKUP(G10,'CP FACTORS'!$A$26:$B$38,2,FALSE)</f>
        <v>1.899635E-4</v>
      </c>
      <c r="I10" s="1732">
        <f t="shared" ref="I10:I26" si="5">ROUND(H10*F10,6)</f>
        <v>2.9083000000000001E-2</v>
      </c>
      <c r="J10" s="1625">
        <f t="shared" ref="J10:J22" si="6">ROUND(50000/H40,0)</f>
        <v>17</v>
      </c>
      <c r="K10" s="1733">
        <v>19.64</v>
      </c>
      <c r="L10" s="1734" t="s">
        <v>37</v>
      </c>
      <c r="M10" s="1735"/>
      <c r="P10" s="1736"/>
      <c r="Q10" s="1737"/>
      <c r="R10" s="1738"/>
      <c r="S10" s="1738"/>
      <c r="T10" s="1739"/>
      <c r="V10" s="61" t="s">
        <v>20</v>
      </c>
      <c r="W10" s="62">
        <v>153.09560000000002</v>
      </c>
      <c r="X10" s="71">
        <v>153.09560000000002</v>
      </c>
      <c r="Y10" s="62">
        <v>153.09560000000002</v>
      </c>
      <c r="Z10" s="64"/>
      <c r="AA10" s="64"/>
      <c r="AB10" s="64"/>
      <c r="AC10" s="64"/>
      <c r="AD10" s="64"/>
      <c r="AE10" s="64"/>
      <c r="AF10" s="64"/>
      <c r="AG10" s="64"/>
      <c r="AH10" s="65"/>
      <c r="AI10" s="61" t="s">
        <v>24</v>
      </c>
      <c r="AJ10" s="66">
        <v>17</v>
      </c>
      <c r="AK10" s="66">
        <v>17</v>
      </c>
      <c r="AL10" s="64"/>
      <c r="AM10" s="64"/>
      <c r="AN10" s="64"/>
      <c r="AO10" s="64"/>
      <c r="AP10" s="64"/>
      <c r="AQ10" s="64"/>
      <c r="AR10" s="64"/>
      <c r="AS10" s="64"/>
      <c r="AT10" s="29"/>
      <c r="AU10" s="61" t="s">
        <v>25</v>
      </c>
      <c r="AV10" s="67">
        <v>19.64</v>
      </c>
      <c r="AW10" s="67">
        <v>19.64</v>
      </c>
      <c r="AX10" s="67">
        <v>19.64</v>
      </c>
      <c r="AY10" s="64"/>
      <c r="AZ10" s="64"/>
      <c r="BA10" s="64"/>
      <c r="BB10" s="64"/>
      <c r="BC10" s="64"/>
      <c r="BD10" s="64"/>
      <c r="BE10" s="64"/>
      <c r="DB10" s="72">
        <f t="shared" ref="DB10:DB27" si="7">(DD10)/(DE10)</f>
        <v>5.3190657841647591</v>
      </c>
      <c r="DC10" s="73" t="str">
        <f t="shared" si="2"/>
        <v>Lighting BUS 17 Year EUL</v>
      </c>
      <c r="DD10" s="74">
        <f>(INDEX('Avoided Cost Benefits'!$C$4:$C$857,MATCH(DC10,'Avoided Cost Benefits'!$A$4:$A$857,0)))*F10</f>
        <v>98.599765928264148</v>
      </c>
      <c r="DE10" s="74">
        <f t="shared" si="3"/>
        <v>18.537045776309579</v>
      </c>
    </row>
    <row r="11" spans="1:109" ht="15.75" customHeight="1" x14ac:dyDescent="0.25">
      <c r="C11" s="1727" t="s">
        <v>40</v>
      </c>
      <c r="D11" s="1728" t="s">
        <v>34</v>
      </c>
      <c r="E11" s="1729" t="s">
        <v>41</v>
      </c>
      <c r="F11" s="208">
        <f t="shared" si="4"/>
        <v>203.76</v>
      </c>
      <c r="G11" s="1730" t="s">
        <v>36</v>
      </c>
      <c r="H11" s="1731">
        <f>VLOOKUP(G11,'CP FACTORS'!$A$26:$B$38,2,FALSE)</f>
        <v>1.899635E-4</v>
      </c>
      <c r="I11" s="1732">
        <f t="shared" si="5"/>
        <v>3.8706999999999998E-2</v>
      </c>
      <c r="J11" s="1625">
        <f t="shared" si="6"/>
        <v>14</v>
      </c>
      <c r="K11" s="1733">
        <v>48.27</v>
      </c>
      <c r="L11" s="1734" t="s">
        <v>37</v>
      </c>
      <c r="M11" s="1735"/>
      <c r="P11" s="1736"/>
      <c r="Q11" s="1737"/>
      <c r="R11" s="1738"/>
      <c r="S11" s="1738"/>
      <c r="T11" s="1739"/>
      <c r="V11" s="61" t="s">
        <v>20</v>
      </c>
      <c r="W11" s="62">
        <v>201.52379999999999</v>
      </c>
      <c r="X11" s="63">
        <v>203.76008631000005</v>
      </c>
      <c r="Y11" s="62">
        <v>203.76008631000005</v>
      </c>
      <c r="Z11" s="64"/>
      <c r="AA11" s="64"/>
      <c r="AB11" s="64"/>
      <c r="AC11" s="64"/>
      <c r="AD11" s="64"/>
      <c r="AE11" s="64"/>
      <c r="AF11" s="64"/>
      <c r="AG11" s="64"/>
      <c r="AH11" s="65"/>
      <c r="AI11" s="61" t="s">
        <v>24</v>
      </c>
      <c r="AJ11" s="66">
        <v>14</v>
      </c>
      <c r="AK11" s="66">
        <v>14</v>
      </c>
      <c r="AL11" s="64"/>
      <c r="AM11" s="64"/>
      <c r="AN11" s="64"/>
      <c r="AO11" s="64"/>
      <c r="AP11" s="64"/>
      <c r="AQ11" s="64"/>
      <c r="AR11" s="64"/>
      <c r="AS11" s="64"/>
      <c r="AT11" s="29"/>
      <c r="AU11" s="61" t="s">
        <v>25</v>
      </c>
      <c r="AV11" s="67">
        <v>48.27</v>
      </c>
      <c r="AW11" s="67">
        <v>48.27</v>
      </c>
      <c r="AX11" s="67">
        <v>48.27</v>
      </c>
      <c r="AY11" s="64"/>
      <c r="AZ11" s="64"/>
      <c r="BA11" s="64"/>
      <c r="BB11" s="64"/>
      <c r="BC11" s="64"/>
      <c r="BD11" s="64"/>
      <c r="BE11" s="64"/>
      <c r="DB11" s="72">
        <f t="shared" si="7"/>
        <v>2.4384456205347109</v>
      </c>
      <c r="DC11" s="73" t="str">
        <f t="shared" si="2"/>
        <v>Lighting BUS 14 Year EUL</v>
      </c>
      <c r="DD11" s="74">
        <f>(INDEX('Avoided Cost Benefits'!$C$4:$C$857,MATCH(DC11,'Avoided Cost Benefits'!$A$4:$A$857,0)))*F11</f>
        <v>111.09369523663096</v>
      </c>
      <c r="DE11" s="74">
        <f t="shared" si="3"/>
        <v>45.559226050023597</v>
      </c>
    </row>
    <row r="12" spans="1:109" x14ac:dyDescent="0.25">
      <c r="C12" s="1727" t="s">
        <v>42</v>
      </c>
      <c r="D12" s="1728" t="s">
        <v>34</v>
      </c>
      <c r="E12" s="1729" t="s">
        <v>43</v>
      </c>
      <c r="F12" s="208">
        <f>ROUND(((F42-G42)/1000)*H42*I42*J42,2)</f>
        <v>164.59</v>
      </c>
      <c r="G12" s="1730" t="s">
        <v>36</v>
      </c>
      <c r="H12" s="1731">
        <f>VLOOKUP(G12,'CP FACTORS'!$A$26:$B$38,2,FALSE)</f>
        <v>1.899635E-4</v>
      </c>
      <c r="I12" s="1732">
        <f t="shared" si="5"/>
        <v>3.1266000000000002E-2</v>
      </c>
      <c r="J12" s="1625">
        <f t="shared" si="6"/>
        <v>12</v>
      </c>
      <c r="K12" s="1733">
        <v>36.64</v>
      </c>
      <c r="L12" s="1734" t="s">
        <v>37</v>
      </c>
      <c r="M12" s="1735"/>
      <c r="P12" s="1736"/>
      <c r="Q12" s="1737"/>
      <c r="R12" s="1738"/>
      <c r="S12" s="1738"/>
      <c r="T12" s="1739"/>
      <c r="V12" s="61" t="s">
        <v>20</v>
      </c>
      <c r="W12" s="62">
        <v>178.0908</v>
      </c>
      <c r="X12" s="63">
        <v>164.59091000000001</v>
      </c>
      <c r="Y12" s="62">
        <v>164.59091000000001</v>
      </c>
      <c r="Z12" s="64"/>
      <c r="AA12" s="64"/>
      <c r="AB12" s="64"/>
      <c r="AC12" s="64"/>
      <c r="AD12" s="64"/>
      <c r="AE12" s="64"/>
      <c r="AF12" s="64"/>
      <c r="AG12" s="64"/>
      <c r="AH12" s="65"/>
      <c r="AI12" s="61" t="s">
        <v>24</v>
      </c>
      <c r="AJ12" s="66">
        <v>12</v>
      </c>
      <c r="AK12" s="66">
        <v>12</v>
      </c>
      <c r="AL12" s="64"/>
      <c r="AM12" s="64"/>
      <c r="AN12" s="64"/>
      <c r="AO12" s="64"/>
      <c r="AP12" s="64"/>
      <c r="AQ12" s="64"/>
      <c r="AR12" s="64"/>
      <c r="AS12" s="64"/>
      <c r="AT12" s="29"/>
      <c r="AU12" s="61" t="s">
        <v>25</v>
      </c>
      <c r="AV12" s="67">
        <v>36.64</v>
      </c>
      <c r="AW12" s="67">
        <v>36.64</v>
      </c>
      <c r="AX12" s="67">
        <v>36.64</v>
      </c>
      <c r="AY12" s="64"/>
      <c r="AZ12" s="64"/>
      <c r="BA12" s="64"/>
      <c r="BB12" s="64"/>
      <c r="BC12" s="64"/>
      <c r="BD12" s="64"/>
      <c r="BE12" s="64"/>
      <c r="DB12" s="72">
        <f t="shared" si="7"/>
        <v>2.2490277369824176</v>
      </c>
      <c r="DC12" s="73" t="str">
        <f t="shared" si="2"/>
        <v>Lighting BUS 12 Year EUL</v>
      </c>
      <c r="DD12" s="74">
        <f>(INDEX('Avoided Cost Benefits'!$C$4:$C$857,MATCH(DC12,'Avoided Cost Benefits'!$A$4:$A$857,0)))*F12</f>
        <v>77.776664731510891</v>
      </c>
      <c r="DE12" s="74">
        <f t="shared" si="3"/>
        <v>34.582350165172251</v>
      </c>
    </row>
    <row r="13" spans="1:109" x14ac:dyDescent="0.25">
      <c r="C13" s="1727" t="s">
        <v>44</v>
      </c>
      <c r="D13" s="1728" t="s">
        <v>34</v>
      </c>
      <c r="E13" s="1729" t="s">
        <v>45</v>
      </c>
      <c r="F13" s="208">
        <f>ROUND(((F43-G43)/1000)*H43*I43*J43,2)</f>
        <v>255.72</v>
      </c>
      <c r="G13" s="1730" t="s">
        <v>36</v>
      </c>
      <c r="H13" s="1731">
        <f>VLOOKUP(G13,'CP FACTORS'!$A$26:$B$38,2,FALSE)</f>
        <v>1.899635E-4</v>
      </c>
      <c r="I13" s="1732">
        <f t="shared" si="5"/>
        <v>4.8577000000000002E-2</v>
      </c>
      <c r="J13" s="1625">
        <f t="shared" si="6"/>
        <v>12</v>
      </c>
      <c r="K13" s="1733">
        <v>74.64</v>
      </c>
      <c r="L13" s="1734" t="s">
        <v>37</v>
      </c>
      <c r="M13" s="1735"/>
      <c r="P13" s="1736"/>
      <c r="Q13" s="1737"/>
      <c r="R13" s="1738"/>
      <c r="S13" s="1738"/>
      <c r="T13" s="1739"/>
      <c r="V13" s="61" t="s">
        <v>20</v>
      </c>
      <c r="W13" s="62">
        <v>257.76300000000003</v>
      </c>
      <c r="X13" s="63">
        <v>255.72252816000005</v>
      </c>
      <c r="Y13" s="62">
        <v>255.72252816000005</v>
      </c>
      <c r="Z13" s="62"/>
      <c r="AA13" s="62"/>
      <c r="AB13" s="62"/>
      <c r="AC13" s="62"/>
      <c r="AD13" s="62"/>
      <c r="AE13" s="62"/>
      <c r="AF13" s="62"/>
      <c r="AG13" s="62"/>
      <c r="AH13" s="65"/>
      <c r="AI13" s="61" t="s">
        <v>24</v>
      </c>
      <c r="AJ13" s="66">
        <v>12</v>
      </c>
      <c r="AK13" s="66">
        <v>12</v>
      </c>
      <c r="AL13" s="62"/>
      <c r="AM13" s="62"/>
      <c r="AN13" s="62"/>
      <c r="AO13" s="62"/>
      <c r="AP13" s="62"/>
      <c r="AQ13" s="62"/>
      <c r="AR13" s="62"/>
      <c r="AS13" s="62"/>
      <c r="AT13" s="29"/>
      <c r="AU13" s="61" t="s">
        <v>25</v>
      </c>
      <c r="AV13" s="67">
        <v>74.64</v>
      </c>
      <c r="AW13" s="67">
        <v>74.64</v>
      </c>
      <c r="AX13" s="67">
        <v>74.64</v>
      </c>
      <c r="AY13" s="62"/>
      <c r="AZ13" s="62"/>
      <c r="BA13" s="62"/>
      <c r="BB13" s="62"/>
      <c r="BC13" s="62"/>
      <c r="BD13" s="62"/>
      <c r="BE13" s="62"/>
      <c r="DB13" s="72">
        <f t="shared" si="7"/>
        <v>1.715299244592275</v>
      </c>
      <c r="DC13" s="73" t="str">
        <f t="shared" si="2"/>
        <v>Lighting BUS 12 Year EUL</v>
      </c>
      <c r="DD13" s="74">
        <f>(INDEX('Avoided Cost Benefits'!$C$4:$C$857,MATCH(DC13,'Avoided Cost Benefits'!$A$4:$A$857,0)))*F13</f>
        <v>120.83995810888854</v>
      </c>
      <c r="DE13" s="74">
        <f t="shared" si="3"/>
        <v>70.448324681453514</v>
      </c>
    </row>
    <row r="14" spans="1:109" ht="30" x14ac:dyDescent="0.25">
      <c r="C14" s="1727" t="s">
        <v>46</v>
      </c>
      <c r="D14" s="1728" t="s">
        <v>34</v>
      </c>
      <c r="E14" s="1729" t="s">
        <v>47</v>
      </c>
      <c r="F14" s="208">
        <f t="shared" ref="F14" si="8">ROUND(((F44-G44)/1000)*H44*I44*J44,2)</f>
        <v>369.52</v>
      </c>
      <c r="G14" s="1730" t="s">
        <v>36</v>
      </c>
      <c r="H14" s="1731">
        <f>VLOOKUP(G14,'CP FACTORS'!$A$26:$B$38,2,FALSE)</f>
        <v>1.899635E-4</v>
      </c>
      <c r="I14" s="1732">
        <f t="shared" si="5"/>
        <v>7.0194999999999994E-2</v>
      </c>
      <c r="J14" s="1625">
        <f t="shared" si="6"/>
        <v>11</v>
      </c>
      <c r="K14" s="1733">
        <v>191.39</v>
      </c>
      <c r="L14" s="1734" t="s">
        <v>37</v>
      </c>
      <c r="M14" s="1735"/>
      <c r="V14" s="61" t="s">
        <v>20</v>
      </c>
      <c r="W14" s="62">
        <v>576.45180000000005</v>
      </c>
      <c r="X14" s="63">
        <v>369.51600000000002</v>
      </c>
      <c r="Y14" s="62">
        <v>369.51600000000002</v>
      </c>
      <c r="Z14" s="62"/>
      <c r="AA14" s="62"/>
      <c r="AB14" s="62"/>
      <c r="AC14" s="62"/>
      <c r="AD14" s="62"/>
      <c r="AE14" s="62"/>
      <c r="AF14" s="62"/>
      <c r="AG14" s="62"/>
      <c r="AI14" s="61" t="s">
        <v>24</v>
      </c>
      <c r="AJ14" s="66">
        <v>11</v>
      </c>
      <c r="AK14" s="66">
        <v>11</v>
      </c>
      <c r="AL14" s="62"/>
      <c r="AM14" s="62"/>
      <c r="AN14" s="62"/>
      <c r="AO14" s="62"/>
      <c r="AP14" s="62"/>
      <c r="AQ14" s="62"/>
      <c r="AR14" s="62"/>
      <c r="AS14" s="62"/>
      <c r="AT14" s="29"/>
      <c r="AU14" s="61" t="s">
        <v>25</v>
      </c>
      <c r="AV14" s="67">
        <v>191.39</v>
      </c>
      <c r="AW14" s="67">
        <v>191.39</v>
      </c>
      <c r="AX14" s="67">
        <v>191.39</v>
      </c>
      <c r="AY14" s="62"/>
      <c r="AZ14" s="62"/>
      <c r="BA14" s="62"/>
      <c r="BB14" s="62"/>
      <c r="BC14" s="62"/>
      <c r="BD14" s="62"/>
      <c r="BE14" s="62"/>
      <c r="DB14" s="72">
        <f t="shared" si="7"/>
        <v>0.88701218654042824</v>
      </c>
      <c r="DC14" s="73" t="str">
        <f t="shared" si="2"/>
        <v>Lighting BUS 11 Year EUL</v>
      </c>
      <c r="DD14" s="74">
        <f>(INDEX('Avoided Cost Benefits'!$C$4:$C$857,MATCH(DC14,'Avoided Cost Benefits'!$A$4:$A$857,0)))*F14</f>
        <v>160.23148879846391</v>
      </c>
      <c r="DE14" s="74">
        <f t="shared" si="3"/>
        <v>180.64181217555446</v>
      </c>
    </row>
    <row r="15" spans="1:109" ht="30" x14ac:dyDescent="0.25">
      <c r="C15" s="1727" t="s">
        <v>48</v>
      </c>
      <c r="D15" s="1728" t="s">
        <v>34</v>
      </c>
      <c r="E15" s="1729" t="s">
        <v>49</v>
      </c>
      <c r="F15" s="208">
        <f>ROUND(((F45-G45)/1000)*H45*I45*J45,2)</f>
        <v>884.37</v>
      </c>
      <c r="G15" s="1730" t="s">
        <v>36</v>
      </c>
      <c r="H15" s="1731">
        <f>VLOOKUP(G15,'CP FACTORS'!$A$26:$B$38,2,FALSE)</f>
        <v>1.899635E-4</v>
      </c>
      <c r="I15" s="1732">
        <f>ROUND(H15*F15,6)</f>
        <v>0.16799800000000001</v>
      </c>
      <c r="J15" s="1625">
        <f t="shared" si="6"/>
        <v>10</v>
      </c>
      <c r="K15" s="1733">
        <v>233.64</v>
      </c>
      <c r="L15" s="1734" t="s">
        <v>37</v>
      </c>
      <c r="M15" s="1735"/>
      <c r="V15" s="61" t="s">
        <v>20</v>
      </c>
      <c r="W15" s="62">
        <v>702.99</v>
      </c>
      <c r="X15" s="63">
        <v>884.37428794386449</v>
      </c>
      <c r="Y15" s="62">
        <v>884.37428794386449</v>
      </c>
      <c r="Z15" s="62"/>
      <c r="AA15" s="62"/>
      <c r="AB15" s="62"/>
      <c r="AC15" s="62"/>
      <c r="AD15" s="62"/>
      <c r="AE15" s="62"/>
      <c r="AF15" s="62"/>
      <c r="AG15" s="62"/>
      <c r="AI15" s="61" t="s">
        <v>24</v>
      </c>
      <c r="AJ15" s="66">
        <v>10</v>
      </c>
      <c r="AK15" s="66">
        <v>10</v>
      </c>
      <c r="AL15" s="62"/>
      <c r="AM15" s="62"/>
      <c r="AN15" s="62"/>
      <c r="AO15" s="62"/>
      <c r="AP15" s="62"/>
      <c r="AQ15" s="62"/>
      <c r="AR15" s="62"/>
      <c r="AS15" s="62"/>
      <c r="AT15" s="29"/>
      <c r="AU15" s="61" t="s">
        <v>25</v>
      </c>
      <c r="AV15" s="67">
        <v>233.64</v>
      </c>
      <c r="AW15" s="67">
        <v>233.64</v>
      </c>
      <c r="AX15" s="67">
        <v>233.64</v>
      </c>
      <c r="AY15" s="62"/>
      <c r="AZ15" s="62"/>
      <c r="BA15" s="62"/>
      <c r="BB15" s="62"/>
      <c r="BC15" s="62"/>
      <c r="BD15" s="62"/>
      <c r="BE15" s="62"/>
      <c r="DB15" s="72">
        <f t="shared" si="7"/>
        <v>1.5825144042371624</v>
      </c>
      <c r="DC15" s="73" t="str">
        <f t="shared" si="2"/>
        <v>Lighting BUS 10 Year EUL</v>
      </c>
      <c r="DD15" s="74">
        <f>(INDEX('Avoided Cost Benefits'!$C$4:$C$857,MATCH(DC15,'Avoided Cost Benefits'!$A$4:$A$857,0)))*F15</f>
        <v>348.9746723982733</v>
      </c>
      <c r="DE15" s="74">
        <f t="shared" si="3"/>
        <v>220.51911278905141</v>
      </c>
    </row>
    <row r="16" spans="1:109" ht="30" x14ac:dyDescent="0.25">
      <c r="C16" s="1727" t="s">
        <v>50</v>
      </c>
      <c r="D16" s="1728" t="s">
        <v>34</v>
      </c>
      <c r="E16" s="1729" t="s">
        <v>51</v>
      </c>
      <c r="F16" s="208">
        <f t="shared" ref="F16:F17" si="9">ROUND(((F46-G46)/1000)*H46*I46*J46,2)</f>
        <v>1471.98</v>
      </c>
      <c r="G16" s="1730" t="s">
        <v>36</v>
      </c>
      <c r="H16" s="1731">
        <f>VLOOKUP(G16,'CP FACTORS'!$A$26:$B$38,2,FALSE)</f>
        <v>1.899635E-4</v>
      </c>
      <c r="I16" s="1732">
        <f t="shared" si="5"/>
        <v>0.27962199999999998</v>
      </c>
      <c r="J16" s="1625">
        <f t="shared" si="6"/>
        <v>11</v>
      </c>
      <c r="K16" s="1733">
        <v>361.64</v>
      </c>
      <c r="L16" s="1734" t="s">
        <v>37</v>
      </c>
      <c r="M16" s="1735"/>
      <c r="V16" s="61" t="s">
        <v>20</v>
      </c>
      <c r="W16" s="62">
        <v>1209.1428000000001</v>
      </c>
      <c r="X16" s="63">
        <v>1471.9795478952801</v>
      </c>
      <c r="Y16" s="62">
        <v>1471.9795478952801</v>
      </c>
      <c r="Z16" s="62"/>
      <c r="AA16" s="62"/>
      <c r="AB16" s="62"/>
      <c r="AC16" s="62"/>
      <c r="AD16" s="62"/>
      <c r="AE16" s="62"/>
      <c r="AF16" s="62"/>
      <c r="AG16" s="62"/>
      <c r="AI16" s="61" t="s">
        <v>24</v>
      </c>
      <c r="AJ16" s="66">
        <v>11</v>
      </c>
      <c r="AK16" s="66">
        <v>11</v>
      </c>
      <c r="AL16" s="62"/>
      <c r="AM16" s="62"/>
      <c r="AN16" s="62"/>
      <c r="AO16" s="62"/>
      <c r="AP16" s="62"/>
      <c r="AQ16" s="62"/>
      <c r="AR16" s="62"/>
      <c r="AS16" s="62"/>
      <c r="AT16" s="29"/>
      <c r="AU16" s="61" t="s">
        <v>25</v>
      </c>
      <c r="AV16" s="67">
        <v>361.64</v>
      </c>
      <c r="AW16" s="67">
        <v>361.64</v>
      </c>
      <c r="AX16" s="67">
        <v>361.64</v>
      </c>
      <c r="AY16" s="62"/>
      <c r="AZ16" s="62"/>
      <c r="BA16" s="62"/>
      <c r="BB16" s="62"/>
      <c r="BC16" s="62"/>
      <c r="BD16" s="62"/>
      <c r="BE16" s="62"/>
      <c r="DB16" s="72">
        <f t="shared" si="7"/>
        <v>1.8699772735016957</v>
      </c>
      <c r="DC16" s="73" t="str">
        <f t="shared" si="2"/>
        <v>Lighting BUS 11 Year EUL</v>
      </c>
      <c r="DD16" s="74">
        <f>(INDEX('Avoided Cost Benefits'!$C$4:$C$857,MATCH(DC16,'Avoided Cost Benefits'!$A$4:$A$857,0)))*F16</f>
        <v>638.28086945649193</v>
      </c>
      <c r="DE16" s="74">
        <f t="shared" si="3"/>
        <v>341.33081642284094</v>
      </c>
    </row>
    <row r="17" spans="3:109" ht="30" x14ac:dyDescent="0.25">
      <c r="C17" s="1727" t="s">
        <v>52</v>
      </c>
      <c r="D17" s="1728" t="s">
        <v>34</v>
      </c>
      <c r="E17" s="1729" t="s">
        <v>53</v>
      </c>
      <c r="F17" s="208">
        <f t="shared" si="9"/>
        <v>446.2</v>
      </c>
      <c r="G17" s="1730" t="s">
        <v>54</v>
      </c>
      <c r="H17" s="1731">
        <f>VLOOKUP(G17,'CP FACTORS'!$A$26:$B$38,2,FALSE)</f>
        <v>5.6160000000000001E-6</v>
      </c>
      <c r="I17" s="1732">
        <f t="shared" si="5"/>
        <v>2.506E-3</v>
      </c>
      <c r="J17" s="1625">
        <f t="shared" si="6"/>
        <v>11</v>
      </c>
      <c r="K17" s="1733">
        <v>191.39</v>
      </c>
      <c r="L17" s="1734" t="s">
        <v>37</v>
      </c>
      <c r="M17" s="1735"/>
      <c r="V17" s="61" t="s">
        <v>20</v>
      </c>
      <c r="W17" s="62">
        <v>439.45</v>
      </c>
      <c r="X17" s="63">
        <v>455.12400000000002</v>
      </c>
      <c r="Y17" s="63">
        <v>446.2</v>
      </c>
      <c r="Z17" s="62"/>
      <c r="AA17" s="62"/>
      <c r="AB17" s="62"/>
      <c r="AC17" s="62"/>
      <c r="AD17" s="62"/>
      <c r="AE17" s="62"/>
      <c r="AF17" s="62"/>
      <c r="AG17" s="62"/>
      <c r="AI17" s="61" t="s">
        <v>24</v>
      </c>
      <c r="AJ17" s="66">
        <v>11</v>
      </c>
      <c r="AK17" s="66">
        <v>11</v>
      </c>
      <c r="AL17" s="62"/>
      <c r="AM17" s="62"/>
      <c r="AN17" s="62"/>
      <c r="AO17" s="62"/>
      <c r="AP17" s="62"/>
      <c r="AQ17" s="62"/>
      <c r="AR17" s="62"/>
      <c r="AS17" s="62"/>
      <c r="AT17" s="29"/>
      <c r="AU17" s="61" t="s">
        <v>25</v>
      </c>
      <c r="AV17" s="67">
        <v>191.39</v>
      </c>
      <c r="AW17" s="67">
        <v>191.39</v>
      </c>
      <c r="AX17" s="67">
        <v>191.39</v>
      </c>
      <c r="AY17" s="62"/>
      <c r="AZ17" s="62"/>
      <c r="BA17" s="62"/>
      <c r="BB17" s="62"/>
      <c r="BC17" s="62"/>
      <c r="BD17" s="62"/>
      <c r="BE17" s="62"/>
      <c r="DB17" s="72">
        <f t="shared" si="7"/>
        <v>0.6144868552357251</v>
      </c>
      <c r="DC17" s="73" t="str">
        <f t="shared" si="2"/>
        <v>Ext Lighting BUS 11 Year EUL</v>
      </c>
      <c r="DD17" s="74">
        <f>(INDEX('Avoided Cost Benefits'!$C$4:$C$857,MATCH(DC17,'Avoided Cost Benefits'!$A$4:$A$857,0)))*F17</f>
        <v>111.00201908783899</v>
      </c>
      <c r="DE17" s="74">
        <f t="shared" si="3"/>
        <v>180.64181217555446</v>
      </c>
    </row>
    <row r="18" spans="3:109" ht="30" x14ac:dyDescent="0.25">
      <c r="C18" s="1727" t="s">
        <v>55</v>
      </c>
      <c r="D18" s="1728" t="s">
        <v>34</v>
      </c>
      <c r="E18" s="1729" t="s">
        <v>56</v>
      </c>
      <c r="F18" s="208">
        <f>ROUND(((F48-G48)/1000)*H48*I48*J48,2)</f>
        <v>713.51</v>
      </c>
      <c r="G18" s="1730" t="s">
        <v>54</v>
      </c>
      <c r="H18" s="1731">
        <f>VLOOKUP(G18,'CP FACTORS'!$A$26:$B$38,2,FALSE)</f>
        <v>5.6160000000000001E-6</v>
      </c>
      <c r="I18" s="1732">
        <f t="shared" si="5"/>
        <v>4.0070000000000001E-3</v>
      </c>
      <c r="J18" s="1625">
        <f t="shared" si="6"/>
        <v>12</v>
      </c>
      <c r="K18" s="1733">
        <v>233.64</v>
      </c>
      <c r="L18" s="1734" t="s">
        <v>37</v>
      </c>
      <c r="M18" s="1735"/>
      <c r="V18" s="61" t="s">
        <v>20</v>
      </c>
      <c r="W18" s="62">
        <v>1047.5333333333335</v>
      </c>
      <c r="X18" s="63">
        <v>763.45076985983769</v>
      </c>
      <c r="Y18" s="63">
        <v>713.50539239237162</v>
      </c>
      <c r="Z18" s="62"/>
      <c r="AA18" s="62"/>
      <c r="AB18" s="62"/>
      <c r="AC18" s="62"/>
      <c r="AD18" s="62"/>
      <c r="AE18" s="62"/>
      <c r="AF18" s="62"/>
      <c r="AG18" s="62"/>
      <c r="AI18" s="61" t="s">
        <v>24</v>
      </c>
      <c r="AJ18" s="66">
        <v>12</v>
      </c>
      <c r="AK18" s="66">
        <v>12</v>
      </c>
      <c r="AL18" s="62"/>
      <c r="AM18" s="62"/>
      <c r="AN18" s="62"/>
      <c r="AO18" s="62"/>
      <c r="AP18" s="62"/>
      <c r="AQ18" s="62"/>
      <c r="AR18" s="62"/>
      <c r="AS18" s="62"/>
      <c r="AT18" s="29"/>
      <c r="AU18" s="61" t="s">
        <v>25</v>
      </c>
      <c r="AV18" s="67">
        <v>233.64</v>
      </c>
      <c r="AW18" s="67">
        <v>233.64</v>
      </c>
      <c r="AX18" s="67">
        <v>233.64</v>
      </c>
      <c r="AY18" s="62"/>
      <c r="AZ18" s="62"/>
      <c r="BA18" s="62"/>
      <c r="BB18" s="62"/>
      <c r="BC18" s="62"/>
      <c r="BD18" s="62"/>
      <c r="BE18" s="62"/>
      <c r="DB18" s="72">
        <f t="shared" si="7"/>
        <v>0.87600359206430567</v>
      </c>
      <c r="DC18" s="73" t="str">
        <f t="shared" si="2"/>
        <v>Ext Lighting BUS 12 Year EUL</v>
      </c>
      <c r="DD18" s="74">
        <f>(INDEX('Avoided Cost Benefits'!$C$4:$C$857,MATCH(DC18,'Avoided Cost Benefits'!$A$4:$A$857,0)))*F18</f>
        <v>193.1755349220428</v>
      </c>
      <c r="DE18" s="74">
        <f t="shared" si="3"/>
        <v>220.51911278905141</v>
      </c>
    </row>
    <row r="19" spans="3:109" ht="30" x14ac:dyDescent="0.25">
      <c r="C19" s="1727" t="s">
        <v>57</v>
      </c>
      <c r="D19" s="1728" t="s">
        <v>34</v>
      </c>
      <c r="E19" s="1729" t="s">
        <v>58</v>
      </c>
      <c r="F19" s="208">
        <f t="shared" ref="F19:F20" si="10">ROUND(((F49-G49)/1000)*H49*I49*J49,2)</f>
        <v>1003.93</v>
      </c>
      <c r="G19" s="1730" t="s">
        <v>54</v>
      </c>
      <c r="H19" s="1731">
        <f>VLOOKUP(G19,'CP FACTORS'!$A$26:$B$38,2,FALSE)</f>
        <v>5.6160000000000001E-6</v>
      </c>
      <c r="I19" s="1732">
        <f t="shared" si="5"/>
        <v>5.6379999999999998E-3</v>
      </c>
      <c r="J19" s="1625">
        <f t="shared" si="6"/>
        <v>12</v>
      </c>
      <c r="K19" s="1733">
        <v>361.64</v>
      </c>
      <c r="L19" s="1734" t="s">
        <v>37</v>
      </c>
      <c r="M19" s="1735"/>
      <c r="V19" s="61" t="s">
        <v>20</v>
      </c>
      <c r="W19" s="62">
        <v>956.14999999999975</v>
      </c>
      <c r="X19" s="63">
        <v>1074.2028039281829</v>
      </c>
      <c r="Y19" s="63">
        <v>1003.9278541384887</v>
      </c>
      <c r="Z19" s="62"/>
      <c r="AA19" s="62"/>
      <c r="AB19" s="62"/>
      <c r="AC19" s="62"/>
      <c r="AD19" s="62"/>
      <c r="AE19" s="62"/>
      <c r="AF19" s="62"/>
      <c r="AG19" s="62"/>
      <c r="AI19" s="61" t="s">
        <v>24</v>
      </c>
      <c r="AJ19" s="66">
        <v>12</v>
      </c>
      <c r="AK19" s="66">
        <v>12</v>
      </c>
      <c r="AL19" s="62"/>
      <c r="AM19" s="62"/>
      <c r="AN19" s="62"/>
      <c r="AO19" s="62"/>
      <c r="AP19" s="62"/>
      <c r="AQ19" s="62"/>
      <c r="AR19" s="62"/>
      <c r="AS19" s="62"/>
      <c r="AT19" s="29"/>
      <c r="AU19" s="61" t="s">
        <v>25</v>
      </c>
      <c r="AV19" s="67">
        <v>361.64</v>
      </c>
      <c r="AW19" s="67">
        <v>361.64</v>
      </c>
      <c r="AX19" s="67">
        <v>361.64</v>
      </c>
      <c r="AY19" s="62"/>
      <c r="AZ19" s="62"/>
      <c r="BA19" s="62"/>
      <c r="BB19" s="62"/>
      <c r="BC19" s="62"/>
      <c r="BD19" s="62"/>
      <c r="BE19" s="62"/>
      <c r="DB19" s="72">
        <f t="shared" si="7"/>
        <v>0.79630600728392331</v>
      </c>
      <c r="DC19" s="73" t="str">
        <f t="shared" si="2"/>
        <v>Ext Lighting BUS 12 Year EUL</v>
      </c>
      <c r="DD19" s="74">
        <f>(INDEX('Avoided Cost Benefits'!$C$4:$C$857,MATCH(DC19,'Avoided Cost Benefits'!$A$4:$A$857,0)))*F19</f>
        <v>271.80377958863426</v>
      </c>
      <c r="DE19" s="74">
        <f t="shared" si="3"/>
        <v>341.33081642284094</v>
      </c>
    </row>
    <row r="20" spans="3:109" ht="30" x14ac:dyDescent="0.25">
      <c r="C20" s="1727" t="s">
        <v>59</v>
      </c>
      <c r="D20" s="1728" t="s">
        <v>34</v>
      </c>
      <c r="E20" s="1729" t="s">
        <v>60</v>
      </c>
      <c r="F20" s="208">
        <f t="shared" si="10"/>
        <v>700.72</v>
      </c>
      <c r="G20" s="1730" t="s">
        <v>61</v>
      </c>
      <c r="H20" s="1731">
        <f>VLOOKUP(G20,'CP FACTORS'!$A$26:$B$38,2,FALSE)</f>
        <v>1.379439E-4</v>
      </c>
      <c r="I20" s="1732">
        <f t="shared" si="5"/>
        <v>9.6659999999999996E-2</v>
      </c>
      <c r="J20" s="1625">
        <f t="shared" si="6"/>
        <v>6</v>
      </c>
      <c r="K20" s="1733">
        <v>191.39</v>
      </c>
      <c r="L20" s="1734" t="s">
        <v>37</v>
      </c>
      <c r="M20" s="1735"/>
      <c r="V20" s="61" t="s">
        <v>20</v>
      </c>
      <c r="W20" s="62">
        <v>1077.48</v>
      </c>
      <c r="X20" s="63">
        <v>700.72</v>
      </c>
      <c r="Y20" s="62">
        <v>700.72</v>
      </c>
      <c r="Z20" s="62"/>
      <c r="AA20" s="62"/>
      <c r="AB20" s="62"/>
      <c r="AC20" s="62"/>
      <c r="AD20" s="62"/>
      <c r="AE20" s="62"/>
      <c r="AF20" s="62"/>
      <c r="AG20" s="62"/>
      <c r="AI20" s="61" t="s">
        <v>24</v>
      </c>
      <c r="AJ20" s="66">
        <v>6</v>
      </c>
      <c r="AK20" s="66">
        <v>6</v>
      </c>
      <c r="AL20" s="62"/>
      <c r="AM20" s="62"/>
      <c r="AN20" s="62"/>
      <c r="AO20" s="62"/>
      <c r="AP20" s="62"/>
      <c r="AQ20" s="62"/>
      <c r="AR20" s="62"/>
      <c r="AS20" s="62"/>
      <c r="AT20" s="29"/>
      <c r="AU20" s="61" t="s">
        <v>25</v>
      </c>
      <c r="AV20" s="67">
        <v>191.39</v>
      </c>
      <c r="AW20" s="67">
        <v>191.39</v>
      </c>
      <c r="AX20" s="67">
        <v>191.39</v>
      </c>
      <c r="AY20" s="62"/>
      <c r="AZ20" s="62"/>
      <c r="BA20" s="62"/>
      <c r="BB20" s="62"/>
      <c r="BC20" s="62"/>
      <c r="BD20" s="62"/>
      <c r="BE20" s="62"/>
      <c r="DB20" s="72">
        <f t="shared" si="7"/>
        <v>0.84227737200682895</v>
      </c>
      <c r="DC20" s="73" t="str">
        <f t="shared" si="2"/>
        <v>Miscellaneous BUS 6 Year EUL</v>
      </c>
      <c r="DD20" s="74">
        <f>(INDEX('Avoided Cost Benefits'!$C$4:$C$857,MATCH(DC20,'Avoided Cost Benefits'!$A$4:$A$857,0)))*F20</f>
        <v>152.15051083377722</v>
      </c>
      <c r="DE20" s="74">
        <f t="shared" si="3"/>
        <v>180.64181217555446</v>
      </c>
    </row>
    <row r="21" spans="3:109" ht="30" x14ac:dyDescent="0.25">
      <c r="C21" s="1727" t="s">
        <v>62</v>
      </c>
      <c r="D21" s="1728" t="s">
        <v>34</v>
      </c>
      <c r="E21" s="1729" t="s">
        <v>63</v>
      </c>
      <c r="F21" s="208">
        <f>ROUND(((F51-G51)/1000)*H51*I51*J51,2)</f>
        <v>1482.27</v>
      </c>
      <c r="G21" s="1730" t="s">
        <v>61</v>
      </c>
      <c r="H21" s="1731">
        <f>VLOOKUP(G21,'CP FACTORS'!$A$26:$B$38,2,FALSE)</f>
        <v>1.379439E-4</v>
      </c>
      <c r="I21" s="1732">
        <f>ROUND(H21*F21,6)</f>
        <v>0.20447000000000001</v>
      </c>
      <c r="J21" s="1625">
        <f t="shared" si="6"/>
        <v>6</v>
      </c>
      <c r="K21" s="1733">
        <v>233.64</v>
      </c>
      <c r="L21" s="1734" t="s">
        <v>37</v>
      </c>
      <c r="M21" s="1735"/>
      <c r="V21" s="61" t="s">
        <v>20</v>
      </c>
      <c r="W21" s="62">
        <v>1314</v>
      </c>
      <c r="X21" s="63">
        <v>1556.3830153584765</v>
      </c>
      <c r="Y21" s="63">
        <v>1482.2695384366443</v>
      </c>
      <c r="Z21" s="62"/>
      <c r="AA21" s="62"/>
      <c r="AB21" s="62"/>
      <c r="AC21" s="62"/>
      <c r="AD21" s="62"/>
      <c r="AE21" s="62"/>
      <c r="AF21" s="62"/>
      <c r="AG21" s="62"/>
      <c r="AI21" s="61" t="s">
        <v>24</v>
      </c>
      <c r="AJ21" s="66">
        <v>6</v>
      </c>
      <c r="AK21" s="66">
        <v>6</v>
      </c>
      <c r="AL21" s="62"/>
      <c r="AM21" s="62"/>
      <c r="AN21" s="62"/>
      <c r="AO21" s="62"/>
      <c r="AP21" s="62"/>
      <c r="AQ21" s="62"/>
      <c r="AR21" s="62"/>
      <c r="AS21" s="62"/>
      <c r="AT21" s="29"/>
      <c r="AU21" s="61" t="s">
        <v>25</v>
      </c>
      <c r="AV21" s="67">
        <v>233.64</v>
      </c>
      <c r="AW21" s="67">
        <v>233.64</v>
      </c>
      <c r="AX21" s="67">
        <v>233.64</v>
      </c>
      <c r="AY21" s="62"/>
      <c r="AZ21" s="62"/>
      <c r="BA21" s="62"/>
      <c r="BB21" s="62"/>
      <c r="BC21" s="62"/>
      <c r="BD21" s="62"/>
      <c r="BE21" s="62"/>
      <c r="DB21" s="72">
        <f t="shared" si="7"/>
        <v>1.4595197758580998</v>
      </c>
      <c r="DC21" s="73" t="str">
        <f t="shared" si="2"/>
        <v>Miscellaneous BUS 6 Year EUL</v>
      </c>
      <c r="DD21" s="74">
        <f>(INDEX('Avoided Cost Benefits'!$C$4:$C$857,MATCH(DC21,'Avoided Cost Benefits'!$A$4:$A$857,0)))*F21</f>
        <v>321.85200607030333</v>
      </c>
      <c r="DE21" s="74">
        <f t="shared" si="3"/>
        <v>220.51911278905141</v>
      </c>
    </row>
    <row r="22" spans="3:109" ht="30" x14ac:dyDescent="0.25">
      <c r="C22" s="1727" t="s">
        <v>64</v>
      </c>
      <c r="D22" s="1728" t="s">
        <v>34</v>
      </c>
      <c r="E22" s="1729" t="s">
        <v>65</v>
      </c>
      <c r="F22" s="208">
        <f t="shared" ref="F22:F23" si="11">ROUND(((F52-G52)/1000)*H52*I52*J52,2)</f>
        <v>2657.55</v>
      </c>
      <c r="G22" s="1730" t="s">
        <v>61</v>
      </c>
      <c r="H22" s="1731">
        <f>VLOOKUP(G22,'CP FACTORS'!$A$26:$B$38,2,FALSE)</f>
        <v>1.379439E-4</v>
      </c>
      <c r="I22" s="1732">
        <f t="shared" si="5"/>
        <v>0.366593</v>
      </c>
      <c r="J22" s="1625">
        <f t="shared" si="6"/>
        <v>6</v>
      </c>
      <c r="K22" s="1733">
        <v>361.64</v>
      </c>
      <c r="L22" s="1734" t="s">
        <v>37</v>
      </c>
      <c r="M22" s="1735"/>
      <c r="V22" s="61" t="s">
        <v>20</v>
      </c>
      <c r="W22" s="62">
        <v>2452.8000000000002</v>
      </c>
      <c r="X22" s="63">
        <v>2870.1497349058618</v>
      </c>
      <c r="Y22" s="63">
        <v>2657.5460508387609</v>
      </c>
      <c r="Z22" s="62"/>
      <c r="AA22" s="62"/>
      <c r="AB22" s="62"/>
      <c r="AC22" s="62"/>
      <c r="AD22" s="62"/>
      <c r="AE22" s="62"/>
      <c r="AF22" s="62"/>
      <c r="AG22" s="62"/>
      <c r="AI22" s="61" t="s">
        <v>24</v>
      </c>
      <c r="AJ22" s="66">
        <v>6</v>
      </c>
      <c r="AK22" s="66">
        <v>6</v>
      </c>
      <c r="AL22" s="62"/>
      <c r="AM22" s="62"/>
      <c r="AN22" s="62"/>
      <c r="AO22" s="62"/>
      <c r="AP22" s="62"/>
      <c r="AQ22" s="62"/>
      <c r="AR22" s="62"/>
      <c r="AS22" s="62"/>
      <c r="AT22" s="29"/>
      <c r="AU22" s="61" t="s">
        <v>25</v>
      </c>
      <c r="AV22" s="67">
        <v>361.64</v>
      </c>
      <c r="AW22" s="67">
        <v>361.64</v>
      </c>
      <c r="AX22" s="67">
        <v>361.64</v>
      </c>
      <c r="AY22" s="62"/>
      <c r="AZ22" s="62"/>
      <c r="BA22" s="62"/>
      <c r="BB22" s="62"/>
      <c r="BC22" s="62"/>
      <c r="BD22" s="62"/>
      <c r="BE22" s="62"/>
      <c r="DB22" s="72">
        <f t="shared" si="7"/>
        <v>1.6905765717881491</v>
      </c>
      <c r="DC22" s="73" t="str">
        <f t="shared" si="2"/>
        <v>Miscellaneous BUS 6 Year EUL</v>
      </c>
      <c r="DD22" s="74">
        <f>(INDEX('Avoided Cost Benefits'!$C$4:$C$857,MATCH(DC22,'Avoided Cost Benefits'!$A$4:$A$857,0)))*F22</f>
        <v>577.04588147377649</v>
      </c>
      <c r="DE22" s="74">
        <f t="shared" si="3"/>
        <v>341.33081642284094</v>
      </c>
    </row>
    <row r="23" spans="3:109" x14ac:dyDescent="0.25">
      <c r="C23" s="1727" t="s">
        <v>66</v>
      </c>
      <c r="D23" s="1728" t="s">
        <v>34</v>
      </c>
      <c r="E23" s="1633" t="s">
        <v>67</v>
      </c>
      <c r="F23" s="208">
        <f t="shared" si="11"/>
        <v>253.08</v>
      </c>
      <c r="G23" s="1730" t="s">
        <v>36</v>
      </c>
      <c r="H23" s="1731">
        <f>VLOOKUP(G23,'CP FACTORS'!$A$26:$B$38,2,FALSE)</f>
        <v>1.899635E-4</v>
      </c>
      <c r="I23" s="1732">
        <f t="shared" si="5"/>
        <v>4.8076000000000001E-2</v>
      </c>
      <c r="J23" s="1625">
        <v>16</v>
      </c>
      <c r="K23" s="1733">
        <v>45.25</v>
      </c>
      <c r="L23" s="1734" t="s">
        <v>37</v>
      </c>
      <c r="M23" s="1735"/>
      <c r="V23" s="61" t="s">
        <v>20</v>
      </c>
      <c r="W23" s="62">
        <v>253.07640000000004</v>
      </c>
      <c r="X23" s="71">
        <v>253.07640000000004</v>
      </c>
      <c r="Y23" s="62">
        <v>253.07640000000004</v>
      </c>
      <c r="Z23" s="62"/>
      <c r="AA23" s="62"/>
      <c r="AB23" s="62"/>
      <c r="AC23" s="62"/>
      <c r="AD23" s="62"/>
      <c r="AE23" s="62"/>
      <c r="AF23" s="62"/>
      <c r="AG23" s="62"/>
      <c r="AI23" s="61" t="s">
        <v>24</v>
      </c>
      <c r="AJ23" s="66">
        <v>16</v>
      </c>
      <c r="AK23" s="66">
        <v>16</v>
      </c>
      <c r="AL23" s="62"/>
      <c r="AM23" s="62"/>
      <c r="AN23" s="62"/>
      <c r="AO23" s="62"/>
      <c r="AP23" s="62"/>
      <c r="AQ23" s="62"/>
      <c r="AR23" s="62"/>
      <c r="AS23" s="62"/>
      <c r="AT23" s="29"/>
      <c r="AU23" s="61" t="s">
        <v>25</v>
      </c>
      <c r="AV23" s="67">
        <v>45.25</v>
      </c>
      <c r="AW23" s="67">
        <v>45.25</v>
      </c>
      <c r="AX23" s="67">
        <v>45.25</v>
      </c>
      <c r="AY23" s="62"/>
      <c r="AZ23" s="62"/>
      <c r="BA23" s="62"/>
      <c r="BB23" s="62"/>
      <c r="BC23" s="62"/>
      <c r="BD23" s="62"/>
      <c r="BE23" s="62"/>
      <c r="DB23" s="72">
        <f t="shared" si="7"/>
        <v>3.6285665232316582</v>
      </c>
      <c r="DC23" s="73" t="str">
        <f t="shared" si="2"/>
        <v>Lighting BUS 16 Year EUL</v>
      </c>
      <c r="DD23" s="74">
        <f>(INDEX('Avoided Cost Benefits'!$C$4:$C$857,MATCH(DC23,'Avoided Cost Benefits'!$A$4:$A$857,0)))*F23</f>
        <v>154.97181234189006</v>
      </c>
      <c r="DE23" s="74">
        <f t="shared" si="3"/>
        <v>42.708824917413871</v>
      </c>
    </row>
    <row r="24" spans="3:109" x14ac:dyDescent="0.25">
      <c r="C24" s="1727" t="s">
        <v>68</v>
      </c>
      <c r="D24" s="1728" t="s">
        <v>34</v>
      </c>
      <c r="E24" s="1729" t="s">
        <v>69</v>
      </c>
      <c r="F24" s="208">
        <f>ROUND(((F54-G54)/1000)*H54*I54*J54,2)</f>
        <v>222.56</v>
      </c>
      <c r="G24" s="1730" t="s">
        <v>36</v>
      </c>
      <c r="H24" s="1731">
        <f>VLOOKUP(G24,'CP FACTORS'!$A$26:$B$38,2,FALSE)</f>
        <v>1.899635E-4</v>
      </c>
      <c r="I24" s="1732">
        <f t="shared" si="5"/>
        <v>4.2278000000000003E-2</v>
      </c>
      <c r="J24" s="1625">
        <f>ROUND(50000/H54,0)</f>
        <v>8</v>
      </c>
      <c r="K24" s="1733">
        <v>29.64</v>
      </c>
      <c r="L24" s="1734" t="s">
        <v>37</v>
      </c>
      <c r="M24" s="1735"/>
      <c r="V24" s="61" t="s">
        <v>20</v>
      </c>
      <c r="W24" s="62">
        <v>222.56</v>
      </c>
      <c r="X24" s="71">
        <v>222.56</v>
      </c>
      <c r="Y24" s="62">
        <v>222.56</v>
      </c>
      <c r="Z24" s="62"/>
      <c r="AA24" s="62"/>
      <c r="AB24" s="62"/>
      <c r="AC24" s="62"/>
      <c r="AD24" s="62"/>
      <c r="AE24" s="62"/>
      <c r="AF24" s="62"/>
      <c r="AG24" s="62"/>
      <c r="AI24" s="61" t="s">
        <v>24</v>
      </c>
      <c r="AJ24" s="66">
        <v>8</v>
      </c>
      <c r="AK24" s="66">
        <v>8</v>
      </c>
      <c r="AL24" s="62"/>
      <c r="AM24" s="62"/>
      <c r="AN24" s="62"/>
      <c r="AO24" s="62"/>
      <c r="AP24" s="62"/>
      <c r="AQ24" s="62"/>
      <c r="AR24" s="62"/>
      <c r="AS24" s="62"/>
      <c r="AT24" s="29"/>
      <c r="AU24" s="61" t="s">
        <v>25</v>
      </c>
      <c r="AV24" s="67">
        <v>29.64</v>
      </c>
      <c r="AW24" s="67">
        <v>29.64</v>
      </c>
      <c r="AX24" s="67">
        <v>29.64</v>
      </c>
      <c r="AY24" s="62"/>
      <c r="AZ24" s="62"/>
      <c r="BA24" s="62"/>
      <c r="BB24" s="62"/>
      <c r="BC24" s="62"/>
      <c r="BD24" s="62"/>
      <c r="BE24" s="62"/>
      <c r="DB24" s="72">
        <f t="shared" si="7"/>
        <v>2.5065114361859493</v>
      </c>
      <c r="DC24" s="73" t="str">
        <f t="shared" si="2"/>
        <v>Lighting BUS 8 Year EUL</v>
      </c>
      <c r="DD24" s="74">
        <f>(INDEX('Avoided Cost Benefits'!$C$4:$C$857,MATCH(DC24,'Avoided Cost Benefits'!$A$4:$A$857,0)))*F24</f>
        <v>70.120810730109994</v>
      </c>
      <c r="DE24" s="74">
        <f t="shared" si="3"/>
        <v>27.975460122699385</v>
      </c>
    </row>
    <row r="25" spans="3:109" x14ac:dyDescent="0.25">
      <c r="C25" s="1727" t="s">
        <v>70</v>
      </c>
      <c r="D25" s="1728" t="s">
        <v>34</v>
      </c>
      <c r="E25" s="1729" t="s">
        <v>71</v>
      </c>
      <c r="F25" s="208">
        <f t="shared" ref="F25:F26" si="12">ROUND(((F55-G55)/1000)*H55*I55*J55,2)</f>
        <v>84.82</v>
      </c>
      <c r="G25" s="1730" t="s">
        <v>36</v>
      </c>
      <c r="H25" s="1731">
        <f>VLOOKUP(G25,'CP FACTORS'!$A$26:$B$38,2,FALSE)</f>
        <v>1.899635E-4</v>
      </c>
      <c r="I25" s="1732">
        <f t="shared" si="5"/>
        <v>1.6112999999999999E-2</v>
      </c>
      <c r="J25" s="1625">
        <f>ROUND(50000/H55,0)</f>
        <v>9</v>
      </c>
      <c r="K25" s="1733">
        <v>29.64</v>
      </c>
      <c r="L25" s="1734" t="s">
        <v>37</v>
      </c>
      <c r="M25" s="1735"/>
      <c r="V25" s="61" t="s">
        <v>20</v>
      </c>
      <c r="W25" s="62">
        <v>82.39</v>
      </c>
      <c r="X25" s="63">
        <v>84.819074273197472</v>
      </c>
      <c r="Y25" s="62">
        <v>84.819074273197472</v>
      </c>
      <c r="Z25" s="62"/>
      <c r="AA25" s="62"/>
      <c r="AB25" s="62"/>
      <c r="AC25" s="62"/>
      <c r="AD25" s="62"/>
      <c r="AE25" s="62"/>
      <c r="AF25" s="62"/>
      <c r="AG25" s="62"/>
      <c r="AI25" s="61" t="s">
        <v>24</v>
      </c>
      <c r="AJ25" s="66">
        <v>9</v>
      </c>
      <c r="AK25" s="66">
        <v>9</v>
      </c>
      <c r="AL25" s="62"/>
      <c r="AM25" s="62"/>
      <c r="AN25" s="62"/>
      <c r="AO25" s="62"/>
      <c r="AP25" s="62"/>
      <c r="AQ25" s="62"/>
      <c r="AR25" s="62"/>
      <c r="AS25" s="62"/>
      <c r="AT25" s="29"/>
      <c r="AU25" s="61" t="s">
        <v>25</v>
      </c>
      <c r="AV25" s="67">
        <v>29.64</v>
      </c>
      <c r="AW25" s="67">
        <v>29.64</v>
      </c>
      <c r="AX25" s="67">
        <v>29.64</v>
      </c>
      <c r="AY25" s="62"/>
      <c r="AZ25" s="62"/>
      <c r="BA25" s="62"/>
      <c r="BB25" s="62"/>
      <c r="BC25" s="62"/>
      <c r="BD25" s="62"/>
      <c r="BE25" s="62"/>
      <c r="DB25" s="72">
        <f t="shared" si="7"/>
        <v>1.0768222868757276</v>
      </c>
      <c r="DC25" s="73" t="str">
        <f t="shared" si="2"/>
        <v>Lighting BUS 9 Year EUL</v>
      </c>
      <c r="DD25" s="74">
        <f>(INDEX('Avoided Cost Benefits'!$C$4:$C$857,MATCH(DC25,'Avoided Cost Benefits'!$A$4:$A$857,0)))*F25</f>
        <v>30.124598945725875</v>
      </c>
      <c r="DE25" s="74">
        <f t="shared" si="3"/>
        <v>27.975460122699385</v>
      </c>
    </row>
    <row r="26" spans="3:109" x14ac:dyDescent="0.25">
      <c r="C26" s="1727" t="s">
        <v>72</v>
      </c>
      <c r="D26" s="1728" t="s">
        <v>34</v>
      </c>
      <c r="E26" s="1740" t="s">
        <v>73</v>
      </c>
      <c r="F26" s="208">
        <f t="shared" si="12"/>
        <v>92.56</v>
      </c>
      <c r="G26" s="1730" t="s">
        <v>36</v>
      </c>
      <c r="H26" s="1731">
        <f>VLOOKUP(G26,'CP FACTORS'!$A$26:$B$38,2,FALSE)</f>
        <v>1.899635E-4</v>
      </c>
      <c r="I26" s="1732">
        <f t="shared" si="5"/>
        <v>1.7583000000000001E-2</v>
      </c>
      <c r="J26" s="1625">
        <f>ROUND(50000/H56,0)</f>
        <v>14</v>
      </c>
      <c r="K26" s="1733">
        <v>29.64</v>
      </c>
      <c r="L26" s="1734" t="s">
        <v>37</v>
      </c>
      <c r="M26" s="1735"/>
      <c r="V26" s="61" t="s">
        <v>20</v>
      </c>
      <c r="W26" s="62">
        <v>124.6336</v>
      </c>
      <c r="X26" s="63">
        <v>92.556746382707516</v>
      </c>
      <c r="Y26" s="62">
        <v>92.556746382707516</v>
      </c>
      <c r="Z26" s="62"/>
      <c r="AA26" s="62"/>
      <c r="AB26" s="62"/>
      <c r="AC26" s="62"/>
      <c r="AD26" s="62"/>
      <c r="AE26" s="62"/>
      <c r="AF26" s="62"/>
      <c r="AG26" s="62"/>
      <c r="AI26" s="61" t="s">
        <v>24</v>
      </c>
      <c r="AJ26" s="66">
        <v>14</v>
      </c>
      <c r="AK26" s="66">
        <v>14</v>
      </c>
      <c r="AL26" s="62"/>
      <c r="AM26" s="62"/>
      <c r="AN26" s="62"/>
      <c r="AO26" s="62"/>
      <c r="AP26" s="62"/>
      <c r="AQ26" s="62"/>
      <c r="AR26" s="62"/>
      <c r="AS26" s="62"/>
      <c r="AT26" s="29"/>
      <c r="AU26" s="61" t="s">
        <v>25</v>
      </c>
      <c r="AV26" s="67">
        <v>29.64</v>
      </c>
      <c r="AW26" s="67">
        <v>29.64</v>
      </c>
      <c r="AX26" s="67">
        <v>29.64</v>
      </c>
      <c r="AY26" s="62"/>
      <c r="AZ26" s="62"/>
      <c r="BA26" s="62"/>
      <c r="BB26" s="62"/>
      <c r="BC26" s="62"/>
      <c r="BD26" s="62"/>
      <c r="BE26" s="62"/>
      <c r="DB26" s="72">
        <f t="shared" si="7"/>
        <v>1.8039171538558842</v>
      </c>
      <c r="DC26" s="73" t="str">
        <f t="shared" si="2"/>
        <v>Lighting BUS 14 Year EUL</v>
      </c>
      <c r="DD26" s="74">
        <f>(INDEX('Avoided Cost Benefits'!$C$4:$C$857,MATCH(DC26,'Avoided Cost Benefits'!$A$4:$A$857,0)))*F26</f>
        <v>50.465412402348662</v>
      </c>
      <c r="DE26" s="74">
        <f t="shared" si="3"/>
        <v>27.975460122699385</v>
      </c>
    </row>
    <row r="27" spans="3:109" x14ac:dyDescent="0.25">
      <c r="C27" s="1727" t="s">
        <v>74</v>
      </c>
      <c r="D27" s="1728" t="s">
        <v>34</v>
      </c>
      <c r="E27" s="1740" t="s">
        <v>75</v>
      </c>
      <c r="F27" s="208">
        <f>ROUND(((F57-G57)/1000)*H57*I57*J57,2)</f>
        <v>102.17</v>
      </c>
      <c r="G27" s="1730" t="s">
        <v>36</v>
      </c>
      <c r="H27" s="1731">
        <f>VLOOKUP(G27,'CP FACTORS'!$A$26:$B$38,2,FALSE)</f>
        <v>1.899635E-4</v>
      </c>
      <c r="I27" s="1732">
        <f>ROUND(H27*F27,6)</f>
        <v>1.9408999999999999E-2</v>
      </c>
      <c r="J27" s="1625">
        <f>ROUND(50000/H57,0)</f>
        <v>11</v>
      </c>
      <c r="K27" s="1733">
        <v>11.94</v>
      </c>
      <c r="L27" s="1734" t="s">
        <v>37</v>
      </c>
      <c r="M27" s="1735"/>
      <c r="V27" s="61" t="s">
        <v>20</v>
      </c>
      <c r="W27" s="62">
        <v>102.16788</v>
      </c>
      <c r="X27" s="71">
        <v>102.16788</v>
      </c>
      <c r="Y27" s="62">
        <v>102.16788</v>
      </c>
      <c r="Z27" s="62"/>
      <c r="AA27" s="62"/>
      <c r="AB27" s="62"/>
      <c r="AC27" s="62"/>
      <c r="AD27" s="62"/>
      <c r="AE27" s="62"/>
      <c r="AF27" s="62"/>
      <c r="AG27" s="62"/>
      <c r="AI27" s="61" t="s">
        <v>24</v>
      </c>
      <c r="AJ27" s="66">
        <v>11</v>
      </c>
      <c r="AK27" s="66">
        <v>11</v>
      </c>
      <c r="AL27" s="62"/>
      <c r="AM27" s="62"/>
      <c r="AN27" s="62"/>
      <c r="AO27" s="62"/>
      <c r="AP27" s="62"/>
      <c r="AQ27" s="62"/>
      <c r="AR27" s="62"/>
      <c r="AS27" s="62"/>
      <c r="AT27" s="29"/>
      <c r="AU27" s="61" t="s">
        <v>25</v>
      </c>
      <c r="AV27" s="67">
        <v>11.94</v>
      </c>
      <c r="AW27" s="67">
        <v>11.94</v>
      </c>
      <c r="AX27" s="67">
        <v>11.94</v>
      </c>
      <c r="AY27" s="62"/>
      <c r="AZ27" s="62"/>
      <c r="BA27" s="62"/>
      <c r="BB27" s="62"/>
      <c r="BC27" s="62"/>
      <c r="BD27" s="62"/>
      <c r="BE27" s="62"/>
      <c r="DB27" s="75">
        <f t="shared" si="7"/>
        <v>3.9312435149619915</v>
      </c>
      <c r="DC27" s="73" t="str">
        <f t="shared" si="2"/>
        <v>Lighting BUS 11 Year EUL</v>
      </c>
      <c r="DD27" s="76">
        <f>(INDEX('Avoided Cost Benefits'!$C$4:$C$857,MATCH(DC27,'Avoided Cost Benefits'!$A$4:$A$857,0)))*F27</f>
        <v>44.303017997778355</v>
      </c>
      <c r="DE27" s="76">
        <f t="shared" si="3"/>
        <v>11.269466729589427</v>
      </c>
    </row>
    <row r="28" spans="3:109" hidden="1" outlineLevel="1" x14ac:dyDescent="0.25">
      <c r="E28" s="1719"/>
      <c r="F28" s="1719"/>
      <c r="G28" s="1719"/>
      <c r="H28" s="1741"/>
      <c r="I28" s="1719"/>
      <c r="J28" s="1719"/>
      <c r="K28" s="1719"/>
    </row>
    <row r="29" spans="3:109" hidden="1" outlineLevel="1" x14ac:dyDescent="0.25">
      <c r="D29" s="1719" t="s">
        <v>76</v>
      </c>
      <c r="E29" s="1719"/>
      <c r="F29" s="1719"/>
      <c r="G29" s="1719"/>
      <c r="H29" s="1741"/>
      <c r="I29" s="1719"/>
      <c r="J29" s="1719"/>
      <c r="K29" s="1719"/>
    </row>
    <row r="30" spans="3:109" hidden="1" outlineLevel="1" x14ac:dyDescent="0.25">
      <c r="D30" s="1742"/>
      <c r="G30" s="1716"/>
      <c r="H30" s="1743"/>
      <c r="M30" s="1719"/>
    </row>
    <row r="31" spans="3:109" hidden="1" outlineLevel="1" x14ac:dyDescent="0.25">
      <c r="D31" s="1742"/>
      <c r="G31" s="1716"/>
      <c r="H31" s="1743"/>
      <c r="L31" s="1744"/>
      <c r="M31" s="1745"/>
      <c r="N31" s="780"/>
      <c r="O31" s="780"/>
    </row>
    <row r="32" spans="3:109" hidden="1" outlineLevel="1" x14ac:dyDescent="0.25">
      <c r="D32" s="1742"/>
      <c r="G32" s="1716"/>
      <c r="H32" s="1743"/>
      <c r="L32" s="1744"/>
      <c r="M32" s="1745"/>
      <c r="N32" s="780"/>
      <c r="O32" s="780"/>
    </row>
    <row r="33" spans="3:109" hidden="1" outlineLevel="1" x14ac:dyDescent="0.25">
      <c r="D33" s="1742"/>
      <c r="G33" s="1716"/>
      <c r="H33" s="1743"/>
      <c r="L33" s="1744"/>
      <c r="M33" s="1745"/>
      <c r="N33" s="780"/>
      <c r="O33" s="1746"/>
    </row>
    <row r="34" spans="3:109" hidden="1" outlineLevel="1" x14ac:dyDescent="0.25">
      <c r="D34" s="1742"/>
      <c r="G34" s="1716"/>
      <c r="H34" s="1743"/>
      <c r="L34" s="1744"/>
      <c r="M34" s="1745"/>
      <c r="N34" s="780"/>
      <c r="O34" s="1746"/>
    </row>
    <row r="35" spans="3:109" hidden="1" outlineLevel="1" x14ac:dyDescent="0.25">
      <c r="D35" s="1742"/>
      <c r="G35" s="1716"/>
      <c r="H35" s="1743"/>
      <c r="L35" s="780"/>
      <c r="M35" s="1745"/>
      <c r="N35" s="780"/>
      <c r="O35" s="780"/>
    </row>
    <row r="36" spans="3:109" hidden="1" outlineLevel="1" x14ac:dyDescent="0.25">
      <c r="D36" s="1742"/>
      <c r="G36" s="1716"/>
      <c r="H36" s="1743"/>
      <c r="M36" s="1719"/>
    </row>
    <row r="37" spans="3:109" hidden="1" outlineLevel="1" x14ac:dyDescent="0.25">
      <c r="D37" s="1742"/>
      <c r="G37" s="1716"/>
      <c r="H37" s="1743"/>
      <c r="V37" s="55" t="s">
        <v>27</v>
      </c>
      <c r="W37" s="56">
        <f>$W$8</f>
        <v>43252</v>
      </c>
      <c r="X37" s="56">
        <f>$X$8</f>
        <v>43465</v>
      </c>
      <c r="Y37" s="56">
        <f>$Y$8</f>
        <v>43800</v>
      </c>
      <c r="Z37" s="56" t="str">
        <f>$Z$8</f>
        <v>-</v>
      </c>
      <c r="AA37" s="56" t="str">
        <f>$AA$8</f>
        <v>-</v>
      </c>
      <c r="AB37" s="56" t="str">
        <f>$AB$8</f>
        <v>-</v>
      </c>
      <c r="AC37" s="56" t="str">
        <f>$AC$8</f>
        <v>-</v>
      </c>
      <c r="AD37" s="56" t="str">
        <f>$AD$8</f>
        <v>-</v>
      </c>
      <c r="AE37" s="56" t="str">
        <f>$AE$8</f>
        <v>-</v>
      </c>
      <c r="AF37" s="56" t="str">
        <f>$AF$8</f>
        <v>-</v>
      </c>
      <c r="AG37" s="56" t="str">
        <f>$AG$8</f>
        <v>-</v>
      </c>
      <c r="AI37" s="56">
        <f>$W$8</f>
        <v>43252</v>
      </c>
      <c r="AJ37" s="56">
        <f>$X$8</f>
        <v>43465</v>
      </c>
      <c r="AK37" s="56">
        <f>$Y$8</f>
        <v>43800</v>
      </c>
      <c r="AL37" s="56" t="str">
        <f>$Z$8</f>
        <v>-</v>
      </c>
      <c r="AM37" s="56" t="str">
        <f>$AA$8</f>
        <v>-</v>
      </c>
      <c r="AN37" s="56" t="str">
        <f>$AB$8</f>
        <v>-</v>
      </c>
      <c r="AO37" s="56" t="str">
        <f>$AC$8</f>
        <v>-</v>
      </c>
      <c r="AP37" s="56" t="str">
        <f>$AD$8</f>
        <v>-</v>
      </c>
      <c r="AQ37" s="56" t="str">
        <f>$AE$8</f>
        <v>-</v>
      </c>
      <c r="AR37" s="56" t="str">
        <f>$AF$8</f>
        <v>-</v>
      </c>
      <c r="AS37" s="56" t="str">
        <f>$AG$8</f>
        <v>-</v>
      </c>
      <c r="AU37" s="56">
        <f>$W$8</f>
        <v>43252</v>
      </c>
      <c r="AV37" s="56">
        <f>$X$8</f>
        <v>43465</v>
      </c>
      <c r="AW37" s="56">
        <f>$Y$8</f>
        <v>43800</v>
      </c>
      <c r="AX37" s="56" t="str">
        <f>$Z$8</f>
        <v>-</v>
      </c>
      <c r="AY37" s="56" t="str">
        <f>$AA$8</f>
        <v>-</v>
      </c>
      <c r="AZ37" s="56" t="str">
        <f>$AB$8</f>
        <v>-</v>
      </c>
      <c r="BA37" s="56" t="str">
        <f>$AC$8</f>
        <v>-</v>
      </c>
      <c r="BB37" s="56" t="str">
        <f>$AD$8</f>
        <v>-</v>
      </c>
      <c r="BC37" s="56" t="str">
        <f>$AE$8</f>
        <v>-</v>
      </c>
      <c r="BD37" s="56" t="str">
        <f>$AF$8</f>
        <v>-</v>
      </c>
      <c r="BE37" s="56" t="str">
        <f>$AG$8</f>
        <v>-</v>
      </c>
      <c r="BG37" s="56">
        <f>$W$8</f>
        <v>43252</v>
      </c>
      <c r="BH37" s="56">
        <f>$X$8</f>
        <v>43465</v>
      </c>
      <c r="BI37" s="56">
        <f>$Y$8</f>
        <v>43800</v>
      </c>
      <c r="BJ37" s="56" t="str">
        <f>$Z$8</f>
        <v>-</v>
      </c>
      <c r="BK37" s="56" t="str">
        <f>$AA$8</f>
        <v>-</v>
      </c>
      <c r="BL37" s="56" t="str">
        <f>$AB$8</f>
        <v>-</v>
      </c>
      <c r="BM37" s="56" t="str">
        <f>$AC$8</f>
        <v>-</v>
      </c>
      <c r="BN37" s="56" t="str">
        <f>$AD$8</f>
        <v>-</v>
      </c>
      <c r="BO37" s="56" t="str">
        <f>$AE$8</f>
        <v>-</v>
      </c>
      <c r="BP37" s="56" t="str">
        <f>$AF$8</f>
        <v>-</v>
      </c>
      <c r="BQ37" s="56" t="str">
        <f>$AG$8</f>
        <v>-</v>
      </c>
      <c r="BS37" s="56">
        <f>$W$8</f>
        <v>43252</v>
      </c>
      <c r="BT37" s="56">
        <f>$X$8</f>
        <v>43465</v>
      </c>
      <c r="BU37" s="56">
        <f>$Y$8</f>
        <v>43800</v>
      </c>
      <c r="BV37" s="56" t="str">
        <f>$Z$8</f>
        <v>-</v>
      </c>
      <c r="BW37" s="56" t="str">
        <f>$AA$8</f>
        <v>-</v>
      </c>
      <c r="BX37" s="56" t="str">
        <f>$AB$8</f>
        <v>-</v>
      </c>
      <c r="BY37" s="56" t="str">
        <f>$AC$8</f>
        <v>-</v>
      </c>
      <c r="BZ37" s="56" t="str">
        <f>$AD$8</f>
        <v>-</v>
      </c>
      <c r="CA37" s="56" t="str">
        <f>$AE$8</f>
        <v>-</v>
      </c>
      <c r="CB37" s="56" t="str">
        <f>$AF$8</f>
        <v>-</v>
      </c>
      <c r="CC37" s="56" t="str">
        <f>$AG$8</f>
        <v>-</v>
      </c>
      <c r="CE37" s="56">
        <f>$W$8</f>
        <v>43252</v>
      </c>
      <c r="CF37" s="56">
        <f>$X$8</f>
        <v>43465</v>
      </c>
      <c r="CG37" s="56">
        <f>$Y$8</f>
        <v>43800</v>
      </c>
      <c r="CH37" s="56" t="str">
        <f>$Z$8</f>
        <v>-</v>
      </c>
      <c r="CI37" s="56" t="str">
        <f>$AA$8</f>
        <v>-</v>
      </c>
      <c r="CJ37" s="56" t="str">
        <f>$AB$8</f>
        <v>-</v>
      </c>
      <c r="CK37" s="56" t="str">
        <f>$AC$8</f>
        <v>-</v>
      </c>
      <c r="CL37" s="56" t="str">
        <f>$AD$8</f>
        <v>-</v>
      </c>
      <c r="CM37" s="56" t="str">
        <f>$AE$8</f>
        <v>-</v>
      </c>
      <c r="CN37" s="56" t="str">
        <f>$AF$8</f>
        <v>-</v>
      </c>
      <c r="CO37" s="56" t="str">
        <f>$AG$8</f>
        <v>-</v>
      </c>
    </row>
    <row r="38" spans="3:109" s="78" customFormat="1" ht="30" hidden="1" outlineLevel="1" x14ac:dyDescent="0.25">
      <c r="C38" s="553"/>
      <c r="D38" s="52" t="s">
        <v>17</v>
      </c>
      <c r="E38" s="1678" t="s">
        <v>77</v>
      </c>
      <c r="F38" s="1678" t="s">
        <v>78</v>
      </c>
      <c r="G38" s="1678" t="s">
        <v>79</v>
      </c>
      <c r="H38" s="53" t="s">
        <v>80</v>
      </c>
      <c r="I38" s="1678" t="s">
        <v>81</v>
      </c>
      <c r="J38" s="1678" t="s">
        <v>82</v>
      </c>
      <c r="K38" s="1678" t="s">
        <v>24</v>
      </c>
      <c r="L38" s="233"/>
      <c r="M38" s="553"/>
      <c r="N38" s="553"/>
      <c r="O38" s="553"/>
      <c r="P38" s="553"/>
      <c r="Q38" s="553"/>
      <c r="R38" s="553"/>
      <c r="S38" s="553"/>
      <c r="T38" s="553"/>
      <c r="U38" s="553"/>
      <c r="V38" s="79"/>
      <c r="W38" s="80" t="str">
        <f>$F$38</f>
        <v>Watts Base</v>
      </c>
      <c r="X38" s="80" t="str">
        <f t="shared" ref="X38:AG38" si="13">$F$38</f>
        <v>Watts Base</v>
      </c>
      <c r="Y38" s="80" t="str">
        <f t="shared" si="13"/>
        <v>Watts Base</v>
      </c>
      <c r="Z38" s="80" t="str">
        <f t="shared" si="13"/>
        <v>Watts Base</v>
      </c>
      <c r="AA38" s="80" t="str">
        <f t="shared" si="13"/>
        <v>Watts Base</v>
      </c>
      <c r="AB38" s="80" t="str">
        <f t="shared" si="13"/>
        <v>Watts Base</v>
      </c>
      <c r="AC38" s="80" t="str">
        <f t="shared" si="13"/>
        <v>Watts Base</v>
      </c>
      <c r="AD38" s="80" t="str">
        <f t="shared" si="13"/>
        <v>Watts Base</v>
      </c>
      <c r="AE38" s="80" t="str">
        <f t="shared" si="13"/>
        <v>Watts Base</v>
      </c>
      <c r="AF38" s="80" t="str">
        <f t="shared" si="13"/>
        <v>Watts Base</v>
      </c>
      <c r="AG38" s="80" t="str">
        <f t="shared" si="13"/>
        <v>Watts Base</v>
      </c>
      <c r="AI38" s="80" t="str">
        <f>$G$38</f>
        <v>Watts EE</v>
      </c>
      <c r="AJ38" s="80" t="str">
        <f t="shared" ref="AJ38:AS38" si="14">$G$38</f>
        <v>Watts EE</v>
      </c>
      <c r="AK38" s="80" t="str">
        <f t="shared" si="14"/>
        <v>Watts EE</v>
      </c>
      <c r="AL38" s="80" t="str">
        <f t="shared" si="14"/>
        <v>Watts EE</v>
      </c>
      <c r="AM38" s="80" t="str">
        <f t="shared" si="14"/>
        <v>Watts EE</v>
      </c>
      <c r="AN38" s="80" t="str">
        <f t="shared" si="14"/>
        <v>Watts EE</v>
      </c>
      <c r="AO38" s="80" t="str">
        <f t="shared" si="14"/>
        <v>Watts EE</v>
      </c>
      <c r="AP38" s="80" t="str">
        <f t="shared" si="14"/>
        <v>Watts EE</v>
      </c>
      <c r="AQ38" s="80" t="str">
        <f t="shared" si="14"/>
        <v>Watts EE</v>
      </c>
      <c r="AR38" s="80" t="str">
        <f t="shared" si="14"/>
        <v>Watts EE</v>
      </c>
      <c r="AS38" s="80" t="str">
        <f t="shared" si="14"/>
        <v>Watts EE</v>
      </c>
      <c r="AU38" s="81" t="str">
        <f>$H$38</f>
        <v>HOU</v>
      </c>
      <c r="AV38" s="81" t="str">
        <f t="shared" ref="AV38:BE38" si="15">$H$38</f>
        <v>HOU</v>
      </c>
      <c r="AW38" s="81" t="str">
        <f t="shared" si="15"/>
        <v>HOU</v>
      </c>
      <c r="AX38" s="81" t="str">
        <f t="shared" si="15"/>
        <v>HOU</v>
      </c>
      <c r="AY38" s="81" t="str">
        <f t="shared" si="15"/>
        <v>HOU</v>
      </c>
      <c r="AZ38" s="81" t="str">
        <f t="shared" si="15"/>
        <v>HOU</v>
      </c>
      <c r="BA38" s="81" t="str">
        <f t="shared" si="15"/>
        <v>HOU</v>
      </c>
      <c r="BB38" s="81" t="str">
        <f t="shared" si="15"/>
        <v>HOU</v>
      </c>
      <c r="BC38" s="81" t="str">
        <f t="shared" si="15"/>
        <v>HOU</v>
      </c>
      <c r="BD38" s="81" t="str">
        <f t="shared" si="15"/>
        <v>HOU</v>
      </c>
      <c r="BE38" s="81" t="str">
        <f t="shared" si="15"/>
        <v>HOU</v>
      </c>
      <c r="BG38" s="81" t="str">
        <f>$I$38</f>
        <v>WHFe</v>
      </c>
      <c r="BH38" s="81" t="str">
        <f t="shared" ref="BH38:BQ38" si="16">$I$38</f>
        <v>WHFe</v>
      </c>
      <c r="BI38" s="81" t="str">
        <f t="shared" si="16"/>
        <v>WHFe</v>
      </c>
      <c r="BJ38" s="81" t="str">
        <f t="shared" si="16"/>
        <v>WHFe</v>
      </c>
      <c r="BK38" s="81" t="str">
        <f t="shared" si="16"/>
        <v>WHFe</v>
      </c>
      <c r="BL38" s="81" t="str">
        <f t="shared" si="16"/>
        <v>WHFe</v>
      </c>
      <c r="BM38" s="81" t="str">
        <f t="shared" si="16"/>
        <v>WHFe</v>
      </c>
      <c r="BN38" s="81" t="str">
        <f t="shared" si="16"/>
        <v>WHFe</v>
      </c>
      <c r="BO38" s="81" t="str">
        <f t="shared" si="16"/>
        <v>WHFe</v>
      </c>
      <c r="BP38" s="81" t="str">
        <f t="shared" si="16"/>
        <v>WHFe</v>
      </c>
      <c r="BQ38" s="81" t="str">
        <f t="shared" si="16"/>
        <v>WHFe</v>
      </c>
      <c r="BS38" s="81" t="str">
        <f>$J$38</f>
        <v>ISR</v>
      </c>
      <c r="BT38" s="81" t="str">
        <f t="shared" ref="BT38:CC38" si="17">$J$38</f>
        <v>ISR</v>
      </c>
      <c r="BU38" s="81" t="str">
        <f t="shared" si="17"/>
        <v>ISR</v>
      </c>
      <c r="BV38" s="81" t="str">
        <f t="shared" si="17"/>
        <v>ISR</v>
      </c>
      <c r="BW38" s="81" t="str">
        <f t="shared" si="17"/>
        <v>ISR</v>
      </c>
      <c r="BX38" s="81" t="str">
        <f t="shared" si="17"/>
        <v>ISR</v>
      </c>
      <c r="BY38" s="81" t="str">
        <f t="shared" si="17"/>
        <v>ISR</v>
      </c>
      <c r="BZ38" s="81" t="str">
        <f t="shared" si="17"/>
        <v>ISR</v>
      </c>
      <c r="CA38" s="81" t="str">
        <f t="shared" si="17"/>
        <v>ISR</v>
      </c>
      <c r="CB38" s="81" t="str">
        <f t="shared" si="17"/>
        <v>ISR</v>
      </c>
      <c r="CC38" s="81" t="str">
        <f t="shared" si="17"/>
        <v>ISR</v>
      </c>
      <c r="CE38" s="81" t="str">
        <f>$K$38</f>
        <v>EUL</v>
      </c>
      <c r="CF38" s="81" t="str">
        <f t="shared" ref="CF38:CO38" si="18">$K$38</f>
        <v>EUL</v>
      </c>
      <c r="CG38" s="81" t="str">
        <f t="shared" si="18"/>
        <v>EUL</v>
      </c>
      <c r="CH38" s="81" t="str">
        <f t="shared" si="18"/>
        <v>EUL</v>
      </c>
      <c r="CI38" s="81" t="str">
        <f t="shared" si="18"/>
        <v>EUL</v>
      </c>
      <c r="CJ38" s="81" t="str">
        <f t="shared" si="18"/>
        <v>EUL</v>
      </c>
      <c r="CK38" s="81" t="str">
        <f t="shared" si="18"/>
        <v>EUL</v>
      </c>
      <c r="CL38" s="81" t="str">
        <f t="shared" si="18"/>
        <v>EUL</v>
      </c>
      <c r="CM38" s="81" t="str">
        <f t="shared" si="18"/>
        <v>EUL</v>
      </c>
      <c r="CN38" s="81" t="str">
        <f t="shared" si="18"/>
        <v>EUL</v>
      </c>
      <c r="CO38" s="81" t="str">
        <f t="shared" si="18"/>
        <v>EUL</v>
      </c>
      <c r="DB38" s="27"/>
      <c r="DC38" s="26"/>
      <c r="DD38" s="26"/>
      <c r="DE38" s="26"/>
    </row>
    <row r="39" spans="3:109" s="78" customFormat="1" hidden="1" outlineLevel="1" x14ac:dyDescent="0.25">
      <c r="C39" s="553"/>
      <c r="D39" s="1747" t="str">
        <f>C9</f>
        <v>800050_2019_12_</v>
      </c>
      <c r="E39" s="1748" t="str">
        <f t="shared" ref="E39:E57" si="19">E9</f>
        <v>LED &lt;=11 Watt Lamp Replacing Interior Halogen A 28-52 Watt Lamp</v>
      </c>
      <c r="F39" s="82">
        <v>45</v>
      </c>
      <c r="G39" s="82">
        <v>9.1999999999999993</v>
      </c>
      <c r="H39" s="83">
        <v>2386</v>
      </c>
      <c r="I39" s="82">
        <v>1.08</v>
      </c>
      <c r="J39" s="82">
        <v>0.96</v>
      </c>
      <c r="K39" s="60">
        <v>21</v>
      </c>
      <c r="L39" s="233"/>
      <c r="M39" s="553"/>
      <c r="N39" s="553"/>
      <c r="O39" s="553"/>
      <c r="P39" s="553"/>
      <c r="Q39" s="553"/>
      <c r="R39" s="553"/>
      <c r="S39" s="553"/>
      <c r="T39" s="553"/>
      <c r="U39" s="1749"/>
      <c r="V39" s="84" t="str">
        <f>E39</f>
        <v>LED &lt;=11 Watt Lamp Replacing Interior Halogen A 28-52 Watt Lamp</v>
      </c>
      <c r="W39" s="85">
        <v>36</v>
      </c>
      <c r="X39" s="86">
        <v>45</v>
      </c>
      <c r="Y39" s="87">
        <v>45</v>
      </c>
      <c r="Z39" s="88"/>
      <c r="AA39" s="88"/>
      <c r="AB39" s="88"/>
      <c r="AC39" s="88"/>
      <c r="AD39" s="88"/>
      <c r="AE39" s="88"/>
      <c r="AF39" s="88"/>
      <c r="AG39" s="88"/>
      <c r="AH39" s="89"/>
      <c r="AI39" s="85">
        <v>8</v>
      </c>
      <c r="AJ39" s="86">
        <v>9.1999999999999993</v>
      </c>
      <c r="AK39" s="87">
        <v>9.1999999999999993</v>
      </c>
      <c r="AL39" s="88"/>
      <c r="AM39" s="88"/>
      <c r="AN39" s="88"/>
      <c r="AO39" s="88"/>
      <c r="AP39" s="88"/>
      <c r="AQ39" s="88"/>
      <c r="AR39" s="88"/>
      <c r="AS39" s="88"/>
      <c r="AT39" s="89"/>
      <c r="AU39" s="90">
        <v>2920</v>
      </c>
      <c r="AV39" s="91">
        <v>2386</v>
      </c>
      <c r="AW39" s="90">
        <v>2386</v>
      </c>
      <c r="AX39" s="88"/>
      <c r="AY39" s="88"/>
      <c r="AZ39" s="88"/>
      <c r="BA39" s="88"/>
      <c r="BB39" s="88"/>
      <c r="BC39" s="88"/>
      <c r="BD39" s="88"/>
      <c r="BE39" s="88"/>
      <c r="BF39" s="89"/>
      <c r="BG39" s="85">
        <v>1.07</v>
      </c>
      <c r="BH39" s="86">
        <v>1.08</v>
      </c>
      <c r="BI39" s="88">
        <v>1.08</v>
      </c>
      <c r="BJ39" s="92"/>
      <c r="BK39" s="88"/>
      <c r="BL39" s="88"/>
      <c r="BM39" s="88"/>
      <c r="BN39" s="88"/>
      <c r="BO39" s="88"/>
      <c r="BP39" s="88"/>
      <c r="BQ39" s="88"/>
      <c r="BR39" s="89"/>
      <c r="BS39" s="85">
        <v>1</v>
      </c>
      <c r="BT39" s="86">
        <v>0.96</v>
      </c>
      <c r="BU39" s="85">
        <v>0.96</v>
      </c>
      <c r="BV39" s="88"/>
      <c r="BW39" s="88"/>
      <c r="BX39" s="88"/>
      <c r="BY39" s="88"/>
      <c r="BZ39" s="88"/>
      <c r="CA39" s="88"/>
      <c r="CB39" s="88"/>
      <c r="CC39" s="88"/>
      <c r="CD39" s="89"/>
      <c r="CE39" s="93">
        <v>17</v>
      </c>
      <c r="CF39" s="94">
        <v>21</v>
      </c>
      <c r="CG39" s="88">
        <v>21</v>
      </c>
      <c r="CH39" s="88"/>
      <c r="CI39" s="88"/>
      <c r="CJ39" s="88"/>
      <c r="CK39" s="88"/>
      <c r="CL39" s="88"/>
      <c r="CM39" s="88"/>
      <c r="CN39" s="88"/>
      <c r="CO39" s="88"/>
      <c r="DB39" s="27"/>
      <c r="DC39" s="26"/>
      <c r="DD39" s="26"/>
      <c r="DE39" s="26"/>
    </row>
    <row r="40" spans="3:109" s="78" customFormat="1" hidden="1" outlineLevel="1" x14ac:dyDescent="0.25">
      <c r="C40" s="553"/>
      <c r="D40" s="1747" t="str">
        <f t="shared" ref="D40:D57" si="20">C10</f>
        <v>800100_2019_12_</v>
      </c>
      <c r="E40" s="1748" t="str">
        <f t="shared" si="19"/>
        <v>LED 7-20 Watt Lamp Replacing Interior Halogen 53-70 Watt Lamp</v>
      </c>
      <c r="F40" s="82">
        <v>63</v>
      </c>
      <c r="G40" s="82">
        <v>14</v>
      </c>
      <c r="H40" s="83">
        <v>2920</v>
      </c>
      <c r="I40" s="82">
        <v>1.07</v>
      </c>
      <c r="J40" s="82">
        <v>1</v>
      </c>
      <c r="K40" s="60">
        <v>17</v>
      </c>
      <c r="L40" s="233"/>
      <c r="M40" s="553"/>
      <c r="N40" s="553"/>
      <c r="O40" s="553"/>
      <c r="P40" s="553"/>
      <c r="Q40" s="553"/>
      <c r="R40" s="553"/>
      <c r="S40" s="553"/>
      <c r="T40" s="553"/>
      <c r="U40" s="1749"/>
      <c r="V40" s="84" t="str">
        <f t="shared" ref="V40:V57" si="21">E40</f>
        <v>LED 7-20 Watt Lamp Replacing Interior Halogen 53-70 Watt Lamp</v>
      </c>
      <c r="W40" s="85">
        <v>63</v>
      </c>
      <c r="X40" s="95">
        <v>63</v>
      </c>
      <c r="Y40" s="95">
        <v>63</v>
      </c>
      <c r="Z40" s="88"/>
      <c r="AA40" s="88"/>
      <c r="AB40" s="88"/>
      <c r="AC40" s="88"/>
      <c r="AD40" s="88"/>
      <c r="AE40" s="88"/>
      <c r="AF40" s="88"/>
      <c r="AG40" s="88"/>
      <c r="AH40" s="89"/>
      <c r="AI40" s="85">
        <v>14</v>
      </c>
      <c r="AJ40" s="95">
        <v>14</v>
      </c>
      <c r="AK40" s="95">
        <v>14</v>
      </c>
      <c r="AL40" s="88"/>
      <c r="AM40" s="88"/>
      <c r="AN40" s="88"/>
      <c r="AO40" s="88"/>
      <c r="AP40" s="88"/>
      <c r="AQ40" s="88"/>
      <c r="AR40" s="88"/>
      <c r="AS40" s="88"/>
      <c r="AT40" s="89"/>
      <c r="AU40" s="90">
        <v>2920</v>
      </c>
      <c r="AV40" s="96">
        <v>2920</v>
      </c>
      <c r="AW40" s="90">
        <v>2920</v>
      </c>
      <c r="AX40" s="88"/>
      <c r="AY40" s="88"/>
      <c r="AZ40" s="88"/>
      <c r="BA40" s="88"/>
      <c r="BB40" s="88"/>
      <c r="BC40" s="88"/>
      <c r="BD40" s="88"/>
      <c r="BE40" s="88"/>
      <c r="BF40" s="89"/>
      <c r="BG40" s="85">
        <v>1.07</v>
      </c>
      <c r="BH40" s="85">
        <v>1.07</v>
      </c>
      <c r="BI40" s="88">
        <v>1.07</v>
      </c>
      <c r="BJ40" s="92"/>
      <c r="BK40" s="88"/>
      <c r="BL40" s="88"/>
      <c r="BM40" s="88"/>
      <c r="BN40" s="88"/>
      <c r="BO40" s="88"/>
      <c r="BP40" s="88"/>
      <c r="BQ40" s="88"/>
      <c r="BR40" s="89"/>
      <c r="BS40" s="85">
        <v>1</v>
      </c>
      <c r="BT40" s="95">
        <v>1</v>
      </c>
      <c r="BU40" s="85">
        <v>1</v>
      </c>
      <c r="BV40" s="88"/>
      <c r="BW40" s="88"/>
      <c r="BX40" s="88"/>
      <c r="BY40" s="88"/>
      <c r="BZ40" s="88"/>
      <c r="CA40" s="88"/>
      <c r="CB40" s="88"/>
      <c r="CC40" s="88"/>
      <c r="CD40" s="89"/>
      <c r="CE40" s="93">
        <v>17</v>
      </c>
      <c r="CF40" s="97">
        <v>17</v>
      </c>
      <c r="CG40" s="88">
        <v>17</v>
      </c>
      <c r="CH40" s="88"/>
      <c r="CI40" s="88"/>
      <c r="CJ40" s="88"/>
      <c r="CK40" s="88"/>
      <c r="CL40" s="88"/>
      <c r="CM40" s="88"/>
      <c r="CN40" s="88"/>
      <c r="CO40" s="88"/>
      <c r="DB40" s="27"/>
      <c r="DC40" s="26"/>
      <c r="DD40" s="26"/>
      <c r="DE40" s="26"/>
    </row>
    <row r="41" spans="3:109" s="78" customFormat="1" hidden="1" outlineLevel="1" x14ac:dyDescent="0.25">
      <c r="C41" s="553"/>
      <c r="D41" s="1747" t="str">
        <f t="shared" si="20"/>
        <v>800150_2019_12_</v>
      </c>
      <c r="E41" s="1748" t="str">
        <f t="shared" si="19"/>
        <v>LED &lt;=14 Watt Lamp Replacing Interior Halogen BR/R 45-65 Watt Lamp</v>
      </c>
      <c r="F41" s="82">
        <v>62</v>
      </c>
      <c r="G41" s="82">
        <v>9.3000000000000007</v>
      </c>
      <c r="H41" s="98">
        <v>3583</v>
      </c>
      <c r="I41" s="82">
        <v>1.0900000000000001</v>
      </c>
      <c r="J41" s="82">
        <v>0.99</v>
      </c>
      <c r="K41" s="60">
        <v>14</v>
      </c>
      <c r="L41" s="233"/>
      <c r="M41" s="553"/>
      <c r="N41" s="553"/>
      <c r="O41" s="553"/>
      <c r="P41" s="553"/>
      <c r="Q41" s="553"/>
      <c r="R41" s="553"/>
      <c r="S41" s="553"/>
      <c r="T41" s="553"/>
      <c r="U41" s="1749"/>
      <c r="V41" s="84" t="str">
        <f t="shared" si="21"/>
        <v>LED &lt;=14 Watt Lamp Replacing Interior Halogen BR/R 45-65 Watt Lamp</v>
      </c>
      <c r="W41" s="85">
        <v>55</v>
      </c>
      <c r="X41" s="86">
        <v>62</v>
      </c>
      <c r="Y41" s="87">
        <v>62</v>
      </c>
      <c r="Z41" s="88"/>
      <c r="AA41" s="88"/>
      <c r="AB41" s="88"/>
      <c r="AC41" s="88"/>
      <c r="AD41" s="88"/>
      <c r="AE41" s="88"/>
      <c r="AF41" s="88"/>
      <c r="AG41" s="88"/>
      <c r="AH41" s="89"/>
      <c r="AI41" s="85">
        <v>12</v>
      </c>
      <c r="AJ41" s="86">
        <v>9.3000000000000007</v>
      </c>
      <c r="AK41" s="87">
        <v>9.3000000000000007</v>
      </c>
      <c r="AL41" s="88"/>
      <c r="AM41" s="88"/>
      <c r="AN41" s="88"/>
      <c r="AO41" s="88"/>
      <c r="AP41" s="88"/>
      <c r="AQ41" s="88"/>
      <c r="AR41" s="88"/>
      <c r="AS41" s="88"/>
      <c r="AT41" s="89"/>
      <c r="AU41" s="90">
        <v>4380</v>
      </c>
      <c r="AV41" s="99">
        <v>3583</v>
      </c>
      <c r="AW41" s="90">
        <v>3583</v>
      </c>
      <c r="AX41" s="88"/>
      <c r="AY41" s="88"/>
      <c r="AZ41" s="88"/>
      <c r="BA41" s="88"/>
      <c r="BB41" s="88"/>
      <c r="BC41" s="88"/>
      <c r="BD41" s="88"/>
      <c r="BE41" s="88"/>
      <c r="BF41" s="89"/>
      <c r="BG41" s="85">
        <v>1.07</v>
      </c>
      <c r="BH41" s="86">
        <v>1.0900000000000001</v>
      </c>
      <c r="BI41" s="88">
        <v>1.0900000000000001</v>
      </c>
      <c r="BJ41" s="92"/>
      <c r="BK41" s="88"/>
      <c r="BL41" s="88"/>
      <c r="BM41" s="88"/>
      <c r="BN41" s="88"/>
      <c r="BO41" s="88"/>
      <c r="BP41" s="88"/>
      <c r="BQ41" s="88"/>
      <c r="BR41" s="89"/>
      <c r="BS41" s="85">
        <v>1</v>
      </c>
      <c r="BT41" s="86">
        <v>0.99</v>
      </c>
      <c r="BU41" s="85">
        <v>0.99</v>
      </c>
      <c r="BV41" s="88"/>
      <c r="BW41" s="88"/>
      <c r="BX41" s="88"/>
      <c r="BY41" s="88"/>
      <c r="BZ41" s="88"/>
      <c r="CA41" s="88"/>
      <c r="CB41" s="88"/>
      <c r="CC41" s="88"/>
      <c r="CD41" s="89"/>
      <c r="CE41" s="93">
        <v>11</v>
      </c>
      <c r="CF41" s="94">
        <v>14</v>
      </c>
      <c r="CG41" s="88">
        <v>14</v>
      </c>
      <c r="CH41" s="88"/>
      <c r="CI41" s="88"/>
      <c r="CJ41" s="88"/>
      <c r="CK41" s="88"/>
      <c r="CL41" s="88"/>
      <c r="CM41" s="88"/>
      <c r="CN41" s="88"/>
      <c r="CO41" s="88"/>
      <c r="DB41" s="27"/>
      <c r="DC41" s="26"/>
      <c r="DD41" s="26"/>
      <c r="DE41" s="26"/>
    </row>
    <row r="42" spans="3:109" s="78" customFormat="1" hidden="1" outlineLevel="1" x14ac:dyDescent="0.25">
      <c r="C42" s="553"/>
      <c r="D42" s="1747" t="str">
        <f t="shared" si="20"/>
        <v>800200_2019_12_</v>
      </c>
      <c r="E42" s="1748" t="str">
        <f t="shared" si="19"/>
        <v>LED &lt;=13 Watt Lamp Replacing Interior Halogen MR-16 35-50 Watt Lamp</v>
      </c>
      <c r="F42" s="82">
        <v>45</v>
      </c>
      <c r="G42" s="82">
        <v>8.5</v>
      </c>
      <c r="H42" s="83">
        <v>4120</v>
      </c>
      <c r="I42" s="82">
        <v>1.1000000000000001</v>
      </c>
      <c r="J42" s="82">
        <v>0.995</v>
      </c>
      <c r="K42" s="60">
        <v>12</v>
      </c>
      <c r="L42" s="233"/>
      <c r="M42" s="553"/>
      <c r="N42" s="553"/>
      <c r="O42" s="553"/>
      <c r="P42" s="553"/>
      <c r="Q42" s="553"/>
      <c r="R42" s="553"/>
      <c r="S42" s="553"/>
      <c r="T42" s="553"/>
      <c r="U42" s="1750"/>
      <c r="V42" s="84" t="str">
        <f t="shared" si="21"/>
        <v>LED &lt;=13 Watt Lamp Replacing Interior Halogen MR-16 35-50 Watt Lamp</v>
      </c>
      <c r="W42" s="85">
        <v>50</v>
      </c>
      <c r="X42" s="86">
        <v>45</v>
      </c>
      <c r="Y42" s="87">
        <v>45</v>
      </c>
      <c r="Z42" s="88"/>
      <c r="AA42" s="88"/>
      <c r="AB42" s="88"/>
      <c r="AC42" s="88"/>
      <c r="AD42" s="88"/>
      <c r="AE42" s="88"/>
      <c r="AF42" s="88"/>
      <c r="AG42" s="88"/>
      <c r="AH42" s="89"/>
      <c r="AI42" s="85">
        <v>12</v>
      </c>
      <c r="AJ42" s="86">
        <v>8.5</v>
      </c>
      <c r="AK42" s="87">
        <v>8.5</v>
      </c>
      <c r="AL42" s="88"/>
      <c r="AM42" s="88"/>
      <c r="AN42" s="88"/>
      <c r="AO42" s="88"/>
      <c r="AP42" s="88"/>
      <c r="AQ42" s="88"/>
      <c r="AR42" s="88"/>
      <c r="AS42" s="88"/>
      <c r="AT42" s="89"/>
      <c r="AU42" s="90">
        <v>4380</v>
      </c>
      <c r="AV42" s="91">
        <v>4120</v>
      </c>
      <c r="AW42" s="90">
        <v>4120</v>
      </c>
      <c r="AX42" s="88"/>
      <c r="AY42" s="88"/>
      <c r="AZ42" s="88"/>
      <c r="BA42" s="88"/>
      <c r="BB42" s="88"/>
      <c r="BC42" s="88"/>
      <c r="BD42" s="88"/>
      <c r="BE42" s="88"/>
      <c r="BF42" s="89"/>
      <c r="BG42" s="85">
        <v>1.07</v>
      </c>
      <c r="BH42" s="86">
        <v>1.1000000000000001</v>
      </c>
      <c r="BI42" s="88">
        <v>1.1000000000000001</v>
      </c>
      <c r="BJ42" s="92"/>
      <c r="BK42" s="88"/>
      <c r="BL42" s="88"/>
      <c r="BM42" s="88"/>
      <c r="BN42" s="88"/>
      <c r="BO42" s="88"/>
      <c r="BP42" s="88"/>
      <c r="BQ42" s="88"/>
      <c r="BR42" s="89"/>
      <c r="BS42" s="85">
        <v>1</v>
      </c>
      <c r="BT42" s="86">
        <v>0.995</v>
      </c>
      <c r="BU42" s="85">
        <v>0.995</v>
      </c>
      <c r="BV42" s="88"/>
      <c r="BW42" s="88"/>
      <c r="BX42" s="88"/>
      <c r="BY42" s="88"/>
      <c r="BZ42" s="88"/>
      <c r="CA42" s="88"/>
      <c r="CB42" s="88"/>
      <c r="CC42" s="88"/>
      <c r="CD42" s="89"/>
      <c r="CE42" s="93">
        <v>11</v>
      </c>
      <c r="CF42" s="94">
        <v>12</v>
      </c>
      <c r="CG42" s="88">
        <v>12</v>
      </c>
      <c r="CH42" s="88"/>
      <c r="CI42" s="88"/>
      <c r="CJ42" s="88"/>
      <c r="CK42" s="88"/>
      <c r="CL42" s="88"/>
      <c r="CM42" s="88"/>
      <c r="CN42" s="88"/>
      <c r="CO42" s="88"/>
      <c r="DB42" s="27"/>
      <c r="DC42" s="26"/>
      <c r="DD42" s="26"/>
      <c r="DE42" s="26"/>
    </row>
    <row r="43" spans="3:109" hidden="1" outlineLevel="1" x14ac:dyDescent="0.25">
      <c r="D43" s="1747" t="str">
        <f t="shared" si="20"/>
        <v>800250_2019_12_</v>
      </c>
      <c r="E43" s="1748" t="str">
        <f t="shared" si="19"/>
        <v>LED &lt;=20 Watt Lamp Replacing Interior Halogen PAR 48-90 Watt Lamp</v>
      </c>
      <c r="F43" s="82">
        <v>72</v>
      </c>
      <c r="G43" s="82">
        <v>12.8</v>
      </c>
      <c r="H43" s="83">
        <v>4003</v>
      </c>
      <c r="I43" s="82">
        <v>1.0900000000000001</v>
      </c>
      <c r="J43" s="82">
        <v>0.99</v>
      </c>
      <c r="K43" s="60">
        <v>12</v>
      </c>
      <c r="U43" s="1751"/>
      <c r="V43" s="84" t="str">
        <f t="shared" si="21"/>
        <v>LED &lt;=20 Watt Lamp Replacing Interior Halogen PAR 48-90 Watt Lamp</v>
      </c>
      <c r="W43" s="85">
        <v>70</v>
      </c>
      <c r="X43" s="86">
        <v>72</v>
      </c>
      <c r="Y43" s="87">
        <v>72</v>
      </c>
      <c r="Z43" s="88"/>
      <c r="AA43" s="88"/>
      <c r="AB43" s="88"/>
      <c r="AC43" s="88"/>
      <c r="AD43" s="88"/>
      <c r="AE43" s="88"/>
      <c r="AF43" s="88"/>
      <c r="AG43" s="88"/>
      <c r="AH43" s="100"/>
      <c r="AI43" s="85">
        <v>15</v>
      </c>
      <c r="AJ43" s="86">
        <v>12.8</v>
      </c>
      <c r="AK43" s="87">
        <v>12.8</v>
      </c>
      <c r="AL43" s="88"/>
      <c r="AM43" s="88"/>
      <c r="AN43" s="88"/>
      <c r="AO43" s="88"/>
      <c r="AP43" s="88"/>
      <c r="AQ43" s="88"/>
      <c r="AR43" s="88"/>
      <c r="AS43" s="88"/>
      <c r="AT43" s="100"/>
      <c r="AU43" s="90">
        <v>4380</v>
      </c>
      <c r="AV43" s="91">
        <v>4003</v>
      </c>
      <c r="AW43" s="90">
        <v>4003</v>
      </c>
      <c r="AX43" s="88"/>
      <c r="AY43" s="88"/>
      <c r="AZ43" s="88"/>
      <c r="BA43" s="88"/>
      <c r="BB43" s="88"/>
      <c r="BC43" s="88"/>
      <c r="BD43" s="88"/>
      <c r="BE43" s="88"/>
      <c r="BF43" s="100"/>
      <c r="BG43" s="85">
        <v>1.07</v>
      </c>
      <c r="BH43" s="86">
        <v>1.0900000000000001</v>
      </c>
      <c r="BI43" s="88">
        <v>1.0900000000000001</v>
      </c>
      <c r="BJ43" s="92"/>
      <c r="BK43" s="88"/>
      <c r="BL43" s="88"/>
      <c r="BM43" s="88"/>
      <c r="BN43" s="88"/>
      <c r="BO43" s="88"/>
      <c r="BP43" s="88"/>
      <c r="BQ43" s="88"/>
      <c r="BR43" s="100"/>
      <c r="BS43" s="85">
        <v>1</v>
      </c>
      <c r="BT43" s="86">
        <v>0.99</v>
      </c>
      <c r="BU43" s="85">
        <v>0.99</v>
      </c>
      <c r="BV43" s="88"/>
      <c r="BW43" s="88"/>
      <c r="BX43" s="88"/>
      <c r="BY43" s="88"/>
      <c r="BZ43" s="88"/>
      <c r="CA43" s="88"/>
      <c r="CB43" s="88"/>
      <c r="CC43" s="88"/>
      <c r="CD43" s="100"/>
      <c r="CE43" s="93">
        <v>11</v>
      </c>
      <c r="CF43" s="94">
        <v>12</v>
      </c>
      <c r="CG43" s="88">
        <v>12</v>
      </c>
      <c r="CH43" s="88"/>
      <c r="CI43" s="88"/>
      <c r="CJ43" s="88"/>
      <c r="CK43" s="88"/>
      <c r="CL43" s="88"/>
      <c r="CM43" s="88"/>
      <c r="CN43" s="88"/>
      <c r="CO43" s="88"/>
    </row>
    <row r="44" spans="3:109" hidden="1" outlineLevel="1" x14ac:dyDescent="0.25">
      <c r="D44" s="1747" t="str">
        <f t="shared" si="20"/>
        <v>800300_2019_12_</v>
      </c>
      <c r="E44" s="1429" t="str">
        <f t="shared" si="19"/>
        <v>LED &lt;=80 Watt Lamp or Fixture Replacing Interior HID 100-175 Watt Lamp or Fixture</v>
      </c>
      <c r="F44" s="82">
        <v>132</v>
      </c>
      <c r="G44" s="82">
        <v>48</v>
      </c>
      <c r="H44" s="83">
        <v>4399</v>
      </c>
      <c r="I44" s="82">
        <v>1</v>
      </c>
      <c r="J44" s="82">
        <v>1</v>
      </c>
      <c r="K44" s="60">
        <v>11</v>
      </c>
      <c r="U44" s="1751"/>
      <c r="V44" s="84" t="str">
        <f t="shared" si="21"/>
        <v>LED &lt;=80 Watt Lamp or Fixture Replacing Interior HID 100-175 Watt Lamp or Fixture</v>
      </c>
      <c r="W44" s="85">
        <v>175</v>
      </c>
      <c r="X44" s="86">
        <v>132</v>
      </c>
      <c r="Y44" s="87">
        <v>132</v>
      </c>
      <c r="Z44" s="88"/>
      <c r="AA44" s="88"/>
      <c r="AB44" s="88"/>
      <c r="AC44" s="88"/>
      <c r="AD44" s="88"/>
      <c r="AE44" s="88"/>
      <c r="AF44" s="88"/>
      <c r="AG44" s="88"/>
      <c r="AH44" s="100"/>
      <c r="AI44" s="85">
        <v>52</v>
      </c>
      <c r="AJ44" s="86">
        <v>48</v>
      </c>
      <c r="AK44" s="87">
        <v>48</v>
      </c>
      <c r="AL44" s="88"/>
      <c r="AM44" s="88"/>
      <c r="AN44" s="88"/>
      <c r="AO44" s="88"/>
      <c r="AP44" s="88"/>
      <c r="AQ44" s="88"/>
      <c r="AR44" s="88"/>
      <c r="AS44" s="88"/>
      <c r="AT44" s="100"/>
      <c r="AU44" s="90">
        <v>4380</v>
      </c>
      <c r="AV44" s="91">
        <v>4399</v>
      </c>
      <c r="AW44" s="90">
        <v>4399</v>
      </c>
      <c r="AX44" s="88"/>
      <c r="AY44" s="88"/>
      <c r="AZ44" s="88"/>
      <c r="BA44" s="88"/>
      <c r="BB44" s="88"/>
      <c r="BC44" s="88"/>
      <c r="BD44" s="88"/>
      <c r="BE44" s="88"/>
      <c r="BF44" s="100"/>
      <c r="BG44" s="85">
        <v>1.07</v>
      </c>
      <c r="BH44" s="86">
        <v>1</v>
      </c>
      <c r="BI44" s="88">
        <v>1</v>
      </c>
      <c r="BJ44" s="92"/>
      <c r="BK44" s="88"/>
      <c r="BL44" s="88"/>
      <c r="BM44" s="88"/>
      <c r="BN44" s="88"/>
      <c r="BO44" s="88"/>
      <c r="BP44" s="88"/>
      <c r="BQ44" s="88"/>
      <c r="BR44" s="100"/>
      <c r="BS44" s="85">
        <v>1</v>
      </c>
      <c r="BT44" s="87">
        <v>1</v>
      </c>
      <c r="BU44" s="85">
        <v>1</v>
      </c>
      <c r="BV44" s="88"/>
      <c r="BW44" s="88"/>
      <c r="BX44" s="88"/>
      <c r="BY44" s="88"/>
      <c r="BZ44" s="88"/>
      <c r="CA44" s="88"/>
      <c r="CB44" s="88"/>
      <c r="CC44" s="88"/>
      <c r="CD44" s="100"/>
      <c r="CE44" s="93">
        <v>11</v>
      </c>
      <c r="CF44" s="101">
        <v>11</v>
      </c>
      <c r="CG44" s="88">
        <v>11</v>
      </c>
      <c r="CH44" s="88"/>
      <c r="CI44" s="88"/>
      <c r="CJ44" s="88"/>
      <c r="CK44" s="88"/>
      <c r="CL44" s="88"/>
      <c r="CM44" s="88"/>
      <c r="CN44" s="88"/>
      <c r="CO44" s="88"/>
    </row>
    <row r="45" spans="3:109" hidden="1" outlineLevel="1" x14ac:dyDescent="0.25">
      <c r="D45" s="1747" t="str">
        <f t="shared" si="20"/>
        <v>800350_2019_12_</v>
      </c>
      <c r="E45" s="1429" t="str">
        <f t="shared" si="19"/>
        <v>LED 62 - 130 Watt Lamp or Fixture Replacing Interior HID 176-300 Watt Lamp or Fixture</v>
      </c>
      <c r="F45" s="82">
        <v>262</v>
      </c>
      <c r="G45" s="82">
        <v>92</v>
      </c>
      <c r="H45" s="83">
        <v>4954.4778036070838</v>
      </c>
      <c r="I45" s="82">
        <v>1.05</v>
      </c>
      <c r="J45" s="82">
        <v>1</v>
      </c>
      <c r="K45" s="60">
        <v>10</v>
      </c>
      <c r="U45" s="1751"/>
      <c r="V45" s="84" t="str">
        <f t="shared" si="21"/>
        <v>LED 62 - 130 Watt Lamp or Fixture Replacing Interior HID 176-300 Watt Lamp or Fixture</v>
      </c>
      <c r="W45" s="85">
        <v>250</v>
      </c>
      <c r="X45" s="86">
        <v>262</v>
      </c>
      <c r="Y45" s="87">
        <v>262</v>
      </c>
      <c r="Z45" s="88"/>
      <c r="AA45" s="88"/>
      <c r="AB45" s="88"/>
      <c r="AC45" s="88"/>
      <c r="AD45" s="88"/>
      <c r="AE45" s="88"/>
      <c r="AF45" s="88"/>
      <c r="AG45" s="88"/>
      <c r="AH45" s="100"/>
      <c r="AI45" s="85">
        <v>100</v>
      </c>
      <c r="AJ45" s="86">
        <v>92</v>
      </c>
      <c r="AK45" s="87">
        <v>92</v>
      </c>
      <c r="AL45" s="88"/>
      <c r="AM45" s="88"/>
      <c r="AN45" s="88"/>
      <c r="AO45" s="88"/>
      <c r="AP45" s="88"/>
      <c r="AQ45" s="88"/>
      <c r="AR45" s="88"/>
      <c r="AS45" s="88"/>
      <c r="AT45" s="100"/>
      <c r="AU45" s="90">
        <v>4380</v>
      </c>
      <c r="AV45" s="91">
        <v>4954.4778036070838</v>
      </c>
      <c r="AW45" s="90">
        <v>4954.4778036070838</v>
      </c>
      <c r="AX45" s="88"/>
      <c r="AY45" s="88"/>
      <c r="AZ45" s="88"/>
      <c r="BA45" s="88"/>
      <c r="BB45" s="88"/>
      <c r="BC45" s="88"/>
      <c r="BD45" s="88"/>
      <c r="BE45" s="88"/>
      <c r="BF45" s="100"/>
      <c r="BG45" s="85">
        <v>1.07</v>
      </c>
      <c r="BH45" s="86">
        <v>1.05</v>
      </c>
      <c r="BI45" s="88">
        <v>1.05</v>
      </c>
      <c r="BJ45" s="92"/>
      <c r="BK45" s="88"/>
      <c r="BL45" s="88"/>
      <c r="BM45" s="88"/>
      <c r="BN45" s="88"/>
      <c r="BO45" s="88"/>
      <c r="BP45" s="88"/>
      <c r="BQ45" s="88"/>
      <c r="BR45" s="100"/>
      <c r="BS45" s="85">
        <v>1</v>
      </c>
      <c r="BT45" s="87">
        <v>1</v>
      </c>
      <c r="BU45" s="85">
        <v>1</v>
      </c>
      <c r="BV45" s="88"/>
      <c r="BW45" s="88"/>
      <c r="BX45" s="88"/>
      <c r="BY45" s="88"/>
      <c r="BZ45" s="88"/>
      <c r="CA45" s="88"/>
      <c r="CB45" s="88"/>
      <c r="CC45" s="88"/>
      <c r="CD45" s="100"/>
      <c r="CE45" s="93">
        <v>11</v>
      </c>
      <c r="CF45" s="94">
        <v>10</v>
      </c>
      <c r="CG45" s="88">
        <v>10</v>
      </c>
      <c r="CH45" s="88"/>
      <c r="CI45" s="88"/>
      <c r="CJ45" s="88"/>
      <c r="CK45" s="88"/>
      <c r="CL45" s="88"/>
      <c r="CM45" s="88"/>
      <c r="CN45" s="88"/>
      <c r="CO45" s="88"/>
    </row>
    <row r="46" spans="3:109" hidden="1" outlineLevel="1" x14ac:dyDescent="0.25">
      <c r="D46" s="1747" t="str">
        <f t="shared" si="20"/>
        <v>800400_2019_12_</v>
      </c>
      <c r="E46" s="1748" t="str">
        <f t="shared" si="19"/>
        <v>LED 85 - 225 Watt Lamp or Fixture Replacing Interior HID 301-500 Watt Lamp or Fixture</v>
      </c>
      <c r="F46" s="82">
        <v>444</v>
      </c>
      <c r="G46" s="82">
        <v>136</v>
      </c>
      <c r="H46" s="83">
        <v>4425.1429410031269</v>
      </c>
      <c r="I46" s="82">
        <v>1.08</v>
      </c>
      <c r="J46" s="82">
        <v>1</v>
      </c>
      <c r="K46" s="60">
        <v>11</v>
      </c>
      <c r="U46" s="1751"/>
      <c r="V46" s="84" t="str">
        <f t="shared" si="21"/>
        <v>LED 85 - 225 Watt Lamp or Fixture Replacing Interior HID 301-500 Watt Lamp or Fixture</v>
      </c>
      <c r="W46" s="85">
        <v>400</v>
      </c>
      <c r="X46" s="86">
        <v>444</v>
      </c>
      <c r="Y46" s="87">
        <v>444</v>
      </c>
      <c r="Z46" s="88"/>
      <c r="AA46" s="88"/>
      <c r="AB46" s="88"/>
      <c r="AC46" s="88"/>
      <c r="AD46" s="88"/>
      <c r="AE46" s="88"/>
      <c r="AF46" s="88"/>
      <c r="AG46" s="88"/>
      <c r="AH46" s="100"/>
      <c r="AI46" s="85">
        <v>142</v>
      </c>
      <c r="AJ46" s="86">
        <v>136</v>
      </c>
      <c r="AK46" s="87">
        <v>136</v>
      </c>
      <c r="AL46" s="88"/>
      <c r="AM46" s="88"/>
      <c r="AN46" s="88"/>
      <c r="AO46" s="88"/>
      <c r="AP46" s="88"/>
      <c r="AQ46" s="88"/>
      <c r="AR46" s="88"/>
      <c r="AS46" s="88"/>
      <c r="AT46" s="100"/>
      <c r="AU46" s="90">
        <v>4380</v>
      </c>
      <c r="AV46" s="91">
        <v>4425.1429410031269</v>
      </c>
      <c r="AW46" s="90">
        <v>4425.1429410031269</v>
      </c>
      <c r="AX46" s="88"/>
      <c r="AY46" s="88"/>
      <c r="AZ46" s="88"/>
      <c r="BA46" s="88"/>
      <c r="BB46" s="88"/>
      <c r="BC46" s="88"/>
      <c r="BD46" s="88"/>
      <c r="BE46" s="88"/>
      <c r="BF46" s="100"/>
      <c r="BG46" s="85">
        <v>1.07</v>
      </c>
      <c r="BH46" s="86">
        <v>1.08</v>
      </c>
      <c r="BI46" s="88">
        <v>1.08</v>
      </c>
      <c r="BJ46" s="92"/>
      <c r="BK46" s="88"/>
      <c r="BL46" s="88"/>
      <c r="BM46" s="88"/>
      <c r="BN46" s="88"/>
      <c r="BO46" s="88"/>
      <c r="BP46" s="88"/>
      <c r="BQ46" s="88"/>
      <c r="BR46" s="100"/>
      <c r="BS46" s="85">
        <v>1</v>
      </c>
      <c r="BT46" s="87">
        <v>1</v>
      </c>
      <c r="BU46" s="85">
        <v>1</v>
      </c>
      <c r="BV46" s="88"/>
      <c r="BW46" s="88"/>
      <c r="BX46" s="88"/>
      <c r="BY46" s="88"/>
      <c r="BZ46" s="88"/>
      <c r="CA46" s="88"/>
      <c r="CB46" s="88"/>
      <c r="CC46" s="88"/>
      <c r="CD46" s="100"/>
      <c r="CE46" s="93">
        <v>11</v>
      </c>
      <c r="CF46" s="101">
        <v>11</v>
      </c>
      <c r="CG46" s="88">
        <v>11</v>
      </c>
      <c r="CH46" s="88"/>
      <c r="CI46" s="88"/>
      <c r="CJ46" s="88"/>
      <c r="CK46" s="88"/>
      <c r="CL46" s="88"/>
      <c r="CM46" s="88"/>
      <c r="CN46" s="88"/>
      <c r="CO46" s="88"/>
    </row>
    <row r="47" spans="3:109" hidden="1" outlineLevel="1" x14ac:dyDescent="0.25">
      <c r="D47" s="1747" t="str">
        <f t="shared" si="20"/>
        <v>800450_2019_12_</v>
      </c>
      <c r="E47" s="1748" t="str">
        <f t="shared" si="19"/>
        <v>LED &lt;=80 Watt Lamp or Fixture Replacing Garage or Exterior &lt;24/7 HID 100-175 Watt Lamp or Fixture</v>
      </c>
      <c r="F47" s="82">
        <v>147</v>
      </c>
      <c r="G47" s="82">
        <v>50</v>
      </c>
      <c r="H47" s="83">
        <v>4600</v>
      </c>
      <c r="I47" s="82">
        <v>1</v>
      </c>
      <c r="J47" s="82">
        <v>1</v>
      </c>
      <c r="K47" s="60">
        <v>11</v>
      </c>
      <c r="U47" s="1751"/>
      <c r="V47" s="84" t="str">
        <f t="shared" si="21"/>
        <v>LED &lt;=80 Watt Lamp or Fixture Replacing Garage or Exterior &lt;24/7 HID 100-175 Watt Lamp or Fixture</v>
      </c>
      <c r="W47" s="85">
        <v>175</v>
      </c>
      <c r="X47" s="86">
        <v>147</v>
      </c>
      <c r="Y47" s="87">
        <v>147</v>
      </c>
      <c r="Z47" s="88"/>
      <c r="AA47" s="88"/>
      <c r="AB47" s="88"/>
      <c r="AC47" s="88"/>
      <c r="AD47" s="88"/>
      <c r="AE47" s="88"/>
      <c r="AF47" s="88"/>
      <c r="AG47" s="88"/>
      <c r="AH47" s="100"/>
      <c r="AI47" s="85">
        <v>52</v>
      </c>
      <c r="AJ47" s="86">
        <v>50</v>
      </c>
      <c r="AK47" s="87">
        <v>50</v>
      </c>
      <c r="AL47" s="88"/>
      <c r="AM47" s="88"/>
      <c r="AN47" s="88"/>
      <c r="AO47" s="88"/>
      <c r="AP47" s="88"/>
      <c r="AQ47" s="88"/>
      <c r="AR47" s="88"/>
      <c r="AS47" s="88"/>
      <c r="AT47" s="100"/>
      <c r="AU47" s="90">
        <v>3572.7642276422762</v>
      </c>
      <c r="AV47" s="91">
        <v>4600</v>
      </c>
      <c r="AW47" s="90">
        <v>4600</v>
      </c>
      <c r="AX47" s="88"/>
      <c r="AY47" s="88"/>
      <c r="AZ47" s="88"/>
      <c r="BA47" s="88"/>
      <c r="BB47" s="88"/>
      <c r="BC47" s="88"/>
      <c r="BD47" s="88"/>
      <c r="BE47" s="88"/>
      <c r="BF47" s="100"/>
      <c r="BG47" s="85">
        <v>1</v>
      </c>
      <c r="BH47" s="86">
        <v>1.02</v>
      </c>
      <c r="BI47" s="94">
        <v>1</v>
      </c>
      <c r="BJ47" s="101"/>
      <c r="BK47" s="88"/>
      <c r="BL47" s="88"/>
      <c r="BM47" s="88"/>
      <c r="BN47" s="88"/>
      <c r="BO47" s="88"/>
      <c r="BP47" s="88"/>
      <c r="BQ47" s="88"/>
      <c r="BR47" s="100"/>
      <c r="BS47" s="85">
        <v>1</v>
      </c>
      <c r="BT47" s="87">
        <v>1</v>
      </c>
      <c r="BU47" s="85">
        <v>1</v>
      </c>
      <c r="BV47" s="88"/>
      <c r="BW47" s="88"/>
      <c r="BX47" s="88"/>
      <c r="BY47" s="88"/>
      <c r="BZ47" s="88"/>
      <c r="CA47" s="88"/>
      <c r="CB47" s="88"/>
      <c r="CC47" s="88"/>
      <c r="CD47" s="100"/>
      <c r="CE47" s="93">
        <v>14</v>
      </c>
      <c r="CF47" s="94">
        <v>11</v>
      </c>
      <c r="CG47" s="88">
        <v>11</v>
      </c>
      <c r="CH47" s="88"/>
      <c r="CI47" s="88"/>
      <c r="CJ47" s="88"/>
      <c r="CK47" s="88"/>
      <c r="CL47" s="88"/>
      <c r="CM47" s="88"/>
      <c r="CN47" s="88"/>
      <c r="CO47" s="88"/>
    </row>
    <row r="48" spans="3:109" hidden="1" outlineLevel="1" x14ac:dyDescent="0.25">
      <c r="D48" s="1747" t="str">
        <f t="shared" si="20"/>
        <v>800500_2019_12_</v>
      </c>
      <c r="E48" s="1748" t="str">
        <f t="shared" si="19"/>
        <v>LED 62 - 130 Watt Lamp or Fixture Replacing Garage or Exterior &lt;24/7 HID 176-300 Watt Lamp or Fixture</v>
      </c>
      <c r="F48" s="82">
        <v>262</v>
      </c>
      <c r="G48" s="82">
        <v>95</v>
      </c>
      <c r="H48" s="83">
        <v>4315.6438177727669</v>
      </c>
      <c r="I48" s="82">
        <v>1</v>
      </c>
      <c r="J48" s="82">
        <v>0.99</v>
      </c>
      <c r="K48" s="60">
        <v>12</v>
      </c>
      <c r="U48" s="1751"/>
      <c r="V48" s="84" t="str">
        <f t="shared" si="21"/>
        <v>LED 62 - 130 Watt Lamp or Fixture Replacing Garage or Exterior &lt;24/7 HID 176-300 Watt Lamp or Fixture</v>
      </c>
      <c r="W48" s="85">
        <v>280</v>
      </c>
      <c r="X48" s="86">
        <v>262</v>
      </c>
      <c r="Y48" s="87">
        <v>262</v>
      </c>
      <c r="Z48" s="88"/>
      <c r="AA48" s="88"/>
      <c r="AB48" s="88"/>
      <c r="AC48" s="88"/>
      <c r="AD48" s="88"/>
      <c r="AE48" s="88"/>
      <c r="AF48" s="88"/>
      <c r="AG48" s="88"/>
      <c r="AH48" s="100"/>
      <c r="AI48" s="85">
        <v>90</v>
      </c>
      <c r="AJ48" s="86">
        <v>95</v>
      </c>
      <c r="AK48" s="87">
        <v>95</v>
      </c>
      <c r="AL48" s="88"/>
      <c r="AM48" s="88"/>
      <c r="AN48" s="88"/>
      <c r="AO48" s="88"/>
      <c r="AP48" s="88"/>
      <c r="AQ48" s="88"/>
      <c r="AR48" s="88"/>
      <c r="AS48" s="88"/>
      <c r="AT48" s="100"/>
      <c r="AU48" s="90">
        <v>5513.3333333333339</v>
      </c>
      <c r="AV48" s="91">
        <v>4315.6438177727669</v>
      </c>
      <c r="AW48" s="90">
        <v>4315.6438177727669</v>
      </c>
      <c r="AX48" s="88"/>
      <c r="AY48" s="88"/>
      <c r="AZ48" s="88"/>
      <c r="BA48" s="88"/>
      <c r="BB48" s="88"/>
      <c r="BC48" s="88"/>
      <c r="BD48" s="88"/>
      <c r="BE48" s="88"/>
      <c r="BF48" s="100"/>
      <c r="BG48" s="85">
        <v>1</v>
      </c>
      <c r="BH48" s="86">
        <v>1.07</v>
      </c>
      <c r="BI48" s="94">
        <v>1</v>
      </c>
      <c r="BJ48" s="101"/>
      <c r="BK48" s="88"/>
      <c r="BL48" s="88"/>
      <c r="BM48" s="88"/>
      <c r="BN48" s="88"/>
      <c r="BO48" s="88"/>
      <c r="BP48" s="88"/>
      <c r="BQ48" s="88"/>
      <c r="BR48" s="100"/>
      <c r="BS48" s="85">
        <v>1</v>
      </c>
      <c r="BT48" s="86">
        <v>0.99</v>
      </c>
      <c r="BU48" s="85">
        <v>0.99</v>
      </c>
      <c r="BV48" s="88"/>
      <c r="BW48" s="88"/>
      <c r="BX48" s="88"/>
      <c r="BY48" s="88"/>
      <c r="BZ48" s="88"/>
      <c r="CA48" s="88"/>
      <c r="CB48" s="88"/>
      <c r="CC48" s="88"/>
      <c r="CD48" s="100"/>
      <c r="CE48" s="93">
        <v>9</v>
      </c>
      <c r="CF48" s="94">
        <v>12</v>
      </c>
      <c r="CG48" s="88">
        <v>12</v>
      </c>
      <c r="CH48" s="88"/>
      <c r="CI48" s="88"/>
      <c r="CJ48" s="88"/>
      <c r="CK48" s="88"/>
      <c r="CL48" s="88"/>
      <c r="CM48" s="88"/>
      <c r="CN48" s="88"/>
      <c r="CO48" s="88"/>
    </row>
    <row r="49" spans="2:109" hidden="1" outlineLevel="1" x14ac:dyDescent="0.25">
      <c r="D49" s="1747" t="str">
        <f t="shared" si="20"/>
        <v>800550_2019_12_</v>
      </c>
      <c r="E49" s="1748" t="str">
        <f t="shared" si="19"/>
        <v>LED 85 - 225 Watt Lamp or Fixture Replacing Garage or Exterior &lt;24/7 HID 301-500 Watt Lamp or Fixture</v>
      </c>
      <c r="F49" s="82">
        <v>410</v>
      </c>
      <c r="G49" s="82">
        <v>178</v>
      </c>
      <c r="H49" s="83">
        <v>4327.2752333555545</v>
      </c>
      <c r="I49" s="82">
        <v>1</v>
      </c>
      <c r="J49" s="82">
        <v>1</v>
      </c>
      <c r="K49" s="60">
        <v>12</v>
      </c>
      <c r="U49" s="1751"/>
      <c r="V49" s="84" t="str">
        <f t="shared" si="21"/>
        <v>LED 85 - 225 Watt Lamp or Fixture Replacing Garage or Exterior &lt;24/7 HID 301-500 Watt Lamp or Fixture</v>
      </c>
      <c r="W49" s="85">
        <v>400</v>
      </c>
      <c r="X49" s="86">
        <v>410</v>
      </c>
      <c r="Y49" s="87">
        <v>410</v>
      </c>
      <c r="Z49" s="88"/>
      <c r="AA49" s="88"/>
      <c r="AB49" s="88"/>
      <c r="AC49" s="88"/>
      <c r="AD49" s="88"/>
      <c r="AE49" s="88"/>
      <c r="AF49" s="88"/>
      <c r="AG49" s="88"/>
      <c r="AH49" s="100"/>
      <c r="AI49" s="85">
        <v>120</v>
      </c>
      <c r="AJ49" s="86">
        <v>178</v>
      </c>
      <c r="AK49" s="87">
        <v>178</v>
      </c>
      <c r="AL49" s="88"/>
      <c r="AM49" s="88"/>
      <c r="AN49" s="88"/>
      <c r="AO49" s="88"/>
      <c r="AP49" s="88"/>
      <c r="AQ49" s="88"/>
      <c r="AR49" s="88"/>
      <c r="AS49" s="88"/>
      <c r="AT49" s="100"/>
      <c r="AU49" s="90">
        <v>3414.8214285714275</v>
      </c>
      <c r="AV49" s="91">
        <v>4327.2752333555545</v>
      </c>
      <c r="AW49" s="90">
        <v>4327.2752333555545</v>
      </c>
      <c r="AX49" s="88"/>
      <c r="AY49" s="88"/>
      <c r="AZ49" s="88"/>
      <c r="BA49" s="88"/>
      <c r="BB49" s="88"/>
      <c r="BC49" s="88"/>
      <c r="BD49" s="88"/>
      <c r="BE49" s="88"/>
      <c r="BF49" s="100"/>
      <c r="BG49" s="85">
        <v>1</v>
      </c>
      <c r="BH49" s="86">
        <v>1.07</v>
      </c>
      <c r="BI49" s="94">
        <v>1</v>
      </c>
      <c r="BJ49" s="101"/>
      <c r="BK49" s="88"/>
      <c r="BL49" s="88"/>
      <c r="BM49" s="88"/>
      <c r="BN49" s="88"/>
      <c r="BO49" s="88"/>
      <c r="BP49" s="88"/>
      <c r="BQ49" s="88"/>
      <c r="BR49" s="100"/>
      <c r="BS49" s="85">
        <v>1</v>
      </c>
      <c r="BT49" s="87">
        <v>1</v>
      </c>
      <c r="BU49" s="85">
        <v>1</v>
      </c>
      <c r="BV49" s="88"/>
      <c r="BW49" s="88"/>
      <c r="BX49" s="88"/>
      <c r="BY49" s="88"/>
      <c r="BZ49" s="88"/>
      <c r="CA49" s="88"/>
      <c r="CB49" s="88"/>
      <c r="CC49" s="88"/>
      <c r="CD49" s="100"/>
      <c r="CE49" s="93">
        <v>15</v>
      </c>
      <c r="CF49" s="94">
        <v>12</v>
      </c>
      <c r="CG49" s="88">
        <v>12</v>
      </c>
      <c r="CH49" s="88"/>
      <c r="CI49" s="88"/>
      <c r="CJ49" s="88"/>
      <c r="CK49" s="88"/>
      <c r="CL49" s="88"/>
      <c r="CM49" s="88"/>
      <c r="CN49" s="88"/>
      <c r="CO49" s="88"/>
    </row>
    <row r="50" spans="2:109" hidden="1" outlineLevel="1" x14ac:dyDescent="0.25">
      <c r="D50" s="1747" t="str">
        <f t="shared" si="20"/>
        <v>800600_2019_12_</v>
      </c>
      <c r="E50" s="1748" t="str">
        <f t="shared" si="19"/>
        <v>LED &lt;=80 Watt Lamp or Fixture Replacing Garage or Exterior 24/7 HID 100-175 Watt Lamp or Fixture Misc.</v>
      </c>
      <c r="F50" s="82">
        <v>125</v>
      </c>
      <c r="G50" s="82">
        <v>45</v>
      </c>
      <c r="H50" s="83">
        <v>8759</v>
      </c>
      <c r="I50" s="82">
        <v>1</v>
      </c>
      <c r="J50" s="82">
        <v>1</v>
      </c>
      <c r="K50" s="60">
        <v>6</v>
      </c>
      <c r="U50" s="1751"/>
      <c r="V50" s="84" t="str">
        <f t="shared" si="21"/>
        <v>LED &lt;=80 Watt Lamp or Fixture Replacing Garage or Exterior 24/7 HID 100-175 Watt Lamp or Fixture Misc.</v>
      </c>
      <c r="W50" s="85">
        <v>175</v>
      </c>
      <c r="X50" s="86">
        <v>125</v>
      </c>
      <c r="Y50" s="87">
        <v>125</v>
      </c>
      <c r="Z50" s="88"/>
      <c r="AA50" s="88"/>
      <c r="AB50" s="88"/>
      <c r="AC50" s="88"/>
      <c r="AD50" s="88"/>
      <c r="AE50" s="88"/>
      <c r="AF50" s="88"/>
      <c r="AG50" s="88"/>
      <c r="AH50" s="100"/>
      <c r="AI50" s="85">
        <v>52</v>
      </c>
      <c r="AJ50" s="86">
        <v>45</v>
      </c>
      <c r="AK50" s="87">
        <v>45</v>
      </c>
      <c r="AL50" s="88"/>
      <c r="AM50" s="88"/>
      <c r="AN50" s="88"/>
      <c r="AO50" s="88"/>
      <c r="AP50" s="88"/>
      <c r="AQ50" s="88"/>
      <c r="AR50" s="88"/>
      <c r="AS50" s="88"/>
      <c r="AT50" s="100"/>
      <c r="AU50" s="90">
        <v>8760</v>
      </c>
      <c r="AV50" s="91">
        <v>8759</v>
      </c>
      <c r="AW50" s="90">
        <v>8759</v>
      </c>
      <c r="AX50" s="88"/>
      <c r="AY50" s="88"/>
      <c r="AZ50" s="88"/>
      <c r="BA50" s="88"/>
      <c r="BB50" s="88"/>
      <c r="BC50" s="88"/>
      <c r="BD50" s="88"/>
      <c r="BE50" s="88"/>
      <c r="BF50" s="100"/>
      <c r="BG50" s="85">
        <v>1</v>
      </c>
      <c r="BH50" s="87">
        <v>1</v>
      </c>
      <c r="BI50" s="94">
        <v>1</v>
      </c>
      <c r="BJ50" s="101"/>
      <c r="BK50" s="88"/>
      <c r="BL50" s="88"/>
      <c r="BM50" s="88"/>
      <c r="BN50" s="88"/>
      <c r="BO50" s="88"/>
      <c r="BP50" s="88"/>
      <c r="BQ50" s="88"/>
      <c r="BR50" s="100"/>
      <c r="BS50" s="85">
        <v>1</v>
      </c>
      <c r="BT50" s="87">
        <v>1</v>
      </c>
      <c r="BU50" s="85">
        <v>1</v>
      </c>
      <c r="BV50" s="88"/>
      <c r="BW50" s="88"/>
      <c r="BX50" s="88"/>
      <c r="BY50" s="88"/>
      <c r="BZ50" s="88"/>
      <c r="CA50" s="88"/>
      <c r="CB50" s="88"/>
      <c r="CC50" s="88"/>
      <c r="CD50" s="100"/>
      <c r="CE50" s="93">
        <v>6</v>
      </c>
      <c r="CF50" s="101">
        <v>6</v>
      </c>
      <c r="CG50" s="88">
        <v>6</v>
      </c>
      <c r="CH50" s="88"/>
      <c r="CI50" s="88"/>
      <c r="CJ50" s="88"/>
      <c r="CK50" s="88"/>
      <c r="CL50" s="88"/>
      <c r="CM50" s="88"/>
      <c r="CN50" s="88"/>
      <c r="CO50" s="88"/>
    </row>
    <row r="51" spans="2:109" hidden="1" outlineLevel="1" x14ac:dyDescent="0.25">
      <c r="D51" s="1747" t="str">
        <f t="shared" si="20"/>
        <v>800650_2019_12_</v>
      </c>
      <c r="E51" s="1748" t="str">
        <f t="shared" si="19"/>
        <v>LED 62 - 130 Watt Lamp or Fixture Replacing Garage or Exterior 24/7 HID 176-300 Watt Lamp or Fixture Misc.</v>
      </c>
      <c r="F51" s="82">
        <v>262</v>
      </c>
      <c r="G51" s="82">
        <v>92</v>
      </c>
      <c r="H51" s="83">
        <v>8719.2325790390842</v>
      </c>
      <c r="I51" s="82">
        <v>1</v>
      </c>
      <c r="J51" s="82">
        <v>1</v>
      </c>
      <c r="K51" s="60">
        <v>6</v>
      </c>
      <c r="U51" s="1751"/>
      <c r="V51" s="84" t="str">
        <f t="shared" si="21"/>
        <v>LED 62 - 130 Watt Lamp or Fixture Replacing Garage or Exterior 24/7 HID 176-300 Watt Lamp or Fixture Misc.</v>
      </c>
      <c r="W51" s="85">
        <v>250</v>
      </c>
      <c r="X51" s="86">
        <v>262</v>
      </c>
      <c r="Y51" s="87">
        <v>262</v>
      </c>
      <c r="Z51" s="88"/>
      <c r="AA51" s="88"/>
      <c r="AB51" s="88"/>
      <c r="AC51" s="88"/>
      <c r="AD51" s="88"/>
      <c r="AE51" s="88"/>
      <c r="AF51" s="88"/>
      <c r="AG51" s="88"/>
      <c r="AH51" s="100"/>
      <c r="AI51" s="85">
        <v>100</v>
      </c>
      <c r="AJ51" s="86">
        <v>92</v>
      </c>
      <c r="AK51" s="87">
        <v>92</v>
      </c>
      <c r="AL51" s="88"/>
      <c r="AM51" s="88"/>
      <c r="AN51" s="88"/>
      <c r="AO51" s="88"/>
      <c r="AP51" s="88"/>
      <c r="AQ51" s="88"/>
      <c r="AR51" s="88"/>
      <c r="AS51" s="88"/>
      <c r="AT51" s="100"/>
      <c r="AU51" s="90">
        <v>8760</v>
      </c>
      <c r="AV51" s="91">
        <v>8719.2325790390842</v>
      </c>
      <c r="AW51" s="90">
        <v>8719.2325790390842</v>
      </c>
      <c r="AX51" s="88"/>
      <c r="AY51" s="88"/>
      <c r="AZ51" s="88"/>
      <c r="BA51" s="88"/>
      <c r="BB51" s="88"/>
      <c r="BC51" s="88"/>
      <c r="BD51" s="88"/>
      <c r="BE51" s="88"/>
      <c r="BF51" s="100"/>
      <c r="BG51" s="85">
        <v>1</v>
      </c>
      <c r="BH51" s="86">
        <v>1.05</v>
      </c>
      <c r="BI51" s="94">
        <v>1</v>
      </c>
      <c r="BJ51" s="101"/>
      <c r="BK51" s="88"/>
      <c r="BL51" s="88"/>
      <c r="BM51" s="88"/>
      <c r="BN51" s="88"/>
      <c r="BO51" s="88"/>
      <c r="BP51" s="88"/>
      <c r="BQ51" s="88"/>
      <c r="BR51" s="100"/>
      <c r="BS51" s="85">
        <v>1</v>
      </c>
      <c r="BT51" s="87">
        <v>1</v>
      </c>
      <c r="BU51" s="85">
        <v>1</v>
      </c>
      <c r="BV51" s="88"/>
      <c r="BW51" s="88"/>
      <c r="BX51" s="88"/>
      <c r="BY51" s="88"/>
      <c r="BZ51" s="88"/>
      <c r="CA51" s="88"/>
      <c r="CB51" s="88"/>
      <c r="CC51" s="88"/>
      <c r="CD51" s="100"/>
      <c r="CE51" s="93">
        <v>6</v>
      </c>
      <c r="CF51" s="101">
        <v>6</v>
      </c>
      <c r="CG51" s="88">
        <v>6</v>
      </c>
      <c r="CH51" s="88"/>
      <c r="CI51" s="88"/>
      <c r="CJ51" s="88"/>
      <c r="CK51" s="88"/>
      <c r="CL51" s="88"/>
      <c r="CM51" s="88"/>
      <c r="CN51" s="88"/>
      <c r="CO51" s="88"/>
    </row>
    <row r="52" spans="2:109" hidden="1" outlineLevel="1" x14ac:dyDescent="0.25">
      <c r="D52" s="1747" t="str">
        <f t="shared" si="20"/>
        <v>800700_2019_12_</v>
      </c>
      <c r="E52" s="1748" t="str">
        <f t="shared" si="19"/>
        <v xml:space="preserve">LED 85 - 225 Watt Lamp or Fixture Replacing Garage or Exterior 24/7 HID 301-500 Watt Lamp or Fixture Misc. </v>
      </c>
      <c r="F52" s="82">
        <v>444</v>
      </c>
      <c r="G52" s="82">
        <v>136</v>
      </c>
      <c r="H52" s="83">
        <v>8628.3962689570162</v>
      </c>
      <c r="I52" s="82">
        <v>1</v>
      </c>
      <c r="J52" s="82">
        <v>1</v>
      </c>
      <c r="K52" s="60">
        <v>6</v>
      </c>
      <c r="U52" s="1751"/>
      <c r="V52" s="84" t="str">
        <f t="shared" si="21"/>
        <v xml:space="preserve">LED 85 - 225 Watt Lamp or Fixture Replacing Garage or Exterior 24/7 HID 301-500 Watt Lamp or Fixture Misc. </v>
      </c>
      <c r="W52" s="85">
        <v>400</v>
      </c>
      <c r="X52" s="86">
        <v>444</v>
      </c>
      <c r="Y52" s="87">
        <v>444</v>
      </c>
      <c r="Z52" s="88"/>
      <c r="AA52" s="88"/>
      <c r="AB52" s="88"/>
      <c r="AC52" s="88"/>
      <c r="AD52" s="88"/>
      <c r="AE52" s="88"/>
      <c r="AF52" s="88"/>
      <c r="AG52" s="88"/>
      <c r="AH52" s="100"/>
      <c r="AI52" s="85">
        <v>120</v>
      </c>
      <c r="AJ52" s="86">
        <v>136</v>
      </c>
      <c r="AK52" s="87">
        <v>136</v>
      </c>
      <c r="AL52" s="88"/>
      <c r="AM52" s="88"/>
      <c r="AN52" s="88"/>
      <c r="AO52" s="88"/>
      <c r="AP52" s="88"/>
      <c r="AQ52" s="88"/>
      <c r="AR52" s="88"/>
      <c r="AS52" s="88"/>
      <c r="AT52" s="100"/>
      <c r="AU52" s="90">
        <v>8760</v>
      </c>
      <c r="AV52" s="91">
        <v>8628.3962689570162</v>
      </c>
      <c r="AW52" s="90">
        <v>8628.3962689570162</v>
      </c>
      <c r="AX52" s="88"/>
      <c r="AY52" s="88"/>
      <c r="AZ52" s="88"/>
      <c r="BA52" s="88"/>
      <c r="BB52" s="88"/>
      <c r="BC52" s="88"/>
      <c r="BD52" s="88"/>
      <c r="BE52" s="88"/>
      <c r="BF52" s="100"/>
      <c r="BG52" s="85">
        <v>1</v>
      </c>
      <c r="BH52" s="86">
        <v>1.08</v>
      </c>
      <c r="BI52" s="94">
        <v>1</v>
      </c>
      <c r="BJ52" s="101"/>
      <c r="BK52" s="88"/>
      <c r="BL52" s="88"/>
      <c r="BM52" s="88"/>
      <c r="BN52" s="88"/>
      <c r="BO52" s="88"/>
      <c r="BP52" s="88"/>
      <c r="BQ52" s="88"/>
      <c r="BR52" s="100"/>
      <c r="BS52" s="85">
        <v>1</v>
      </c>
      <c r="BT52" s="87">
        <v>1</v>
      </c>
      <c r="BU52" s="85">
        <v>1</v>
      </c>
      <c r="BV52" s="88"/>
      <c r="BW52" s="88"/>
      <c r="BX52" s="88"/>
      <c r="BY52" s="88"/>
      <c r="BZ52" s="88"/>
      <c r="CA52" s="88"/>
      <c r="CB52" s="88"/>
      <c r="CC52" s="88"/>
      <c r="CD52" s="100"/>
      <c r="CE52" s="93">
        <v>6</v>
      </c>
      <c r="CF52" s="101">
        <v>6</v>
      </c>
      <c r="CG52" s="88">
        <v>6</v>
      </c>
      <c r="CH52" s="88"/>
      <c r="CI52" s="88"/>
      <c r="CJ52" s="88"/>
      <c r="CK52" s="88"/>
      <c r="CL52" s="88"/>
      <c r="CM52" s="88"/>
      <c r="CN52" s="88"/>
      <c r="CO52" s="88"/>
    </row>
    <row r="53" spans="2:109" hidden="1" outlineLevel="1" x14ac:dyDescent="0.25">
      <c r="D53" s="1747" t="str">
        <f t="shared" si="20"/>
        <v>800750_2019_12_</v>
      </c>
      <c r="E53" s="1748" t="str">
        <f t="shared" si="19"/>
        <v>LED or Electroluminescent Replacing Interior Incandescent/CFL Exit Sign</v>
      </c>
      <c r="F53" s="82">
        <v>30</v>
      </c>
      <c r="G53" s="82">
        <v>3</v>
      </c>
      <c r="H53" s="83">
        <v>8760</v>
      </c>
      <c r="I53" s="82">
        <v>1.07</v>
      </c>
      <c r="J53" s="82">
        <v>1</v>
      </c>
      <c r="K53" s="60">
        <v>16</v>
      </c>
      <c r="U53" s="1751"/>
      <c r="V53" s="84" t="str">
        <f t="shared" si="21"/>
        <v>LED or Electroluminescent Replacing Interior Incandescent/CFL Exit Sign</v>
      </c>
      <c r="W53" s="85">
        <v>30</v>
      </c>
      <c r="X53" s="85">
        <v>30</v>
      </c>
      <c r="Y53" s="87">
        <v>30</v>
      </c>
      <c r="Z53" s="88"/>
      <c r="AA53" s="88"/>
      <c r="AB53" s="88"/>
      <c r="AC53" s="88"/>
      <c r="AD53" s="88"/>
      <c r="AE53" s="88"/>
      <c r="AF53" s="88"/>
      <c r="AG53" s="88"/>
      <c r="AH53" s="100"/>
      <c r="AI53" s="85">
        <v>3</v>
      </c>
      <c r="AJ53" s="87">
        <v>3</v>
      </c>
      <c r="AK53" s="87">
        <v>3</v>
      </c>
      <c r="AL53" s="88"/>
      <c r="AM53" s="88"/>
      <c r="AN53" s="88"/>
      <c r="AO53" s="88"/>
      <c r="AP53" s="88"/>
      <c r="AQ53" s="88"/>
      <c r="AR53" s="88"/>
      <c r="AS53" s="88"/>
      <c r="AT53" s="100"/>
      <c r="AU53" s="90">
        <v>8760</v>
      </c>
      <c r="AV53" s="102">
        <v>8760</v>
      </c>
      <c r="AW53" s="90">
        <v>8760</v>
      </c>
      <c r="AX53" s="88"/>
      <c r="AY53" s="88"/>
      <c r="AZ53" s="88"/>
      <c r="BA53" s="88"/>
      <c r="BB53" s="88"/>
      <c r="BC53" s="88"/>
      <c r="BD53" s="88"/>
      <c r="BE53" s="88"/>
      <c r="BF53" s="100"/>
      <c r="BG53" s="85">
        <v>1.07</v>
      </c>
      <c r="BH53" s="85">
        <v>1.07</v>
      </c>
      <c r="BI53" s="88">
        <v>1.07</v>
      </c>
      <c r="BJ53" s="92"/>
      <c r="BK53" s="88"/>
      <c r="BL53" s="88"/>
      <c r="BM53" s="88"/>
      <c r="BN53" s="88"/>
      <c r="BO53" s="88"/>
      <c r="BP53" s="88"/>
      <c r="BQ53" s="88"/>
      <c r="BR53" s="100"/>
      <c r="BS53" s="85">
        <v>1</v>
      </c>
      <c r="BT53" s="95">
        <v>1</v>
      </c>
      <c r="BU53" s="85">
        <v>1</v>
      </c>
      <c r="BV53" s="88"/>
      <c r="BW53" s="88"/>
      <c r="BX53" s="88"/>
      <c r="BY53" s="88"/>
      <c r="BZ53" s="88"/>
      <c r="CA53" s="88"/>
      <c r="CB53" s="88"/>
      <c r="CC53" s="88"/>
      <c r="CD53" s="100"/>
      <c r="CE53" s="93">
        <v>16</v>
      </c>
      <c r="CF53" s="97">
        <v>16</v>
      </c>
      <c r="CG53" s="88">
        <v>16</v>
      </c>
      <c r="CH53" s="88"/>
      <c r="CI53" s="88"/>
      <c r="CJ53" s="88"/>
      <c r="CK53" s="88"/>
      <c r="CL53" s="88"/>
      <c r="CM53" s="88"/>
      <c r="CN53" s="88"/>
      <c r="CO53" s="88"/>
    </row>
    <row r="54" spans="2:109" hidden="1" outlineLevel="1" x14ac:dyDescent="0.25">
      <c r="D54" s="1747" t="str">
        <f t="shared" si="20"/>
        <v>800800_2019_12_</v>
      </c>
      <c r="E54" s="1748" t="str">
        <f t="shared" si="19"/>
        <v>LED Replacing Interior T5 Fluorescent</v>
      </c>
      <c r="F54" s="82">
        <v>60</v>
      </c>
      <c r="G54" s="82">
        <v>28</v>
      </c>
      <c r="H54" s="83">
        <v>6500</v>
      </c>
      <c r="I54" s="82">
        <v>1.07</v>
      </c>
      <c r="J54" s="82">
        <v>1</v>
      </c>
      <c r="K54" s="60">
        <v>8</v>
      </c>
      <c r="U54" s="1751"/>
      <c r="V54" s="84" t="str">
        <f t="shared" si="21"/>
        <v>LED Replacing Interior T5 Fluorescent</v>
      </c>
      <c r="W54" s="85">
        <v>60</v>
      </c>
      <c r="X54" s="85">
        <v>60</v>
      </c>
      <c r="Y54" s="87">
        <v>60</v>
      </c>
      <c r="Z54" s="88"/>
      <c r="AA54" s="88"/>
      <c r="AB54" s="88"/>
      <c r="AC54" s="88"/>
      <c r="AD54" s="88"/>
      <c r="AE54" s="88"/>
      <c r="AF54" s="88"/>
      <c r="AG54" s="88"/>
      <c r="AH54" s="100"/>
      <c r="AI54" s="85">
        <v>28</v>
      </c>
      <c r="AJ54" s="87">
        <v>28</v>
      </c>
      <c r="AK54" s="87">
        <v>28</v>
      </c>
      <c r="AL54" s="88"/>
      <c r="AM54" s="88"/>
      <c r="AN54" s="88"/>
      <c r="AO54" s="88"/>
      <c r="AP54" s="88"/>
      <c r="AQ54" s="88"/>
      <c r="AR54" s="88"/>
      <c r="AS54" s="88"/>
      <c r="AT54" s="100"/>
      <c r="AU54" s="90">
        <v>6500</v>
      </c>
      <c r="AV54" s="102">
        <v>6500</v>
      </c>
      <c r="AW54" s="90">
        <v>6500</v>
      </c>
      <c r="AX54" s="88"/>
      <c r="AY54" s="88"/>
      <c r="AZ54" s="88"/>
      <c r="BA54" s="88"/>
      <c r="BB54" s="88"/>
      <c r="BC54" s="88"/>
      <c r="BD54" s="88"/>
      <c r="BE54" s="88"/>
      <c r="BF54" s="100"/>
      <c r="BG54" s="85">
        <v>1.07</v>
      </c>
      <c r="BH54" s="85">
        <v>1.07</v>
      </c>
      <c r="BI54" s="88">
        <v>1.07</v>
      </c>
      <c r="BJ54" s="92"/>
      <c r="BK54" s="88"/>
      <c r="BL54" s="88"/>
      <c r="BM54" s="88"/>
      <c r="BN54" s="88"/>
      <c r="BO54" s="88"/>
      <c r="BP54" s="88"/>
      <c r="BQ54" s="88"/>
      <c r="BR54" s="100"/>
      <c r="BS54" s="85">
        <v>1</v>
      </c>
      <c r="BT54" s="95">
        <v>1</v>
      </c>
      <c r="BU54" s="85">
        <v>1</v>
      </c>
      <c r="BV54" s="88"/>
      <c r="BW54" s="88"/>
      <c r="BX54" s="88"/>
      <c r="BY54" s="88"/>
      <c r="BZ54" s="88"/>
      <c r="CA54" s="88"/>
      <c r="CB54" s="88"/>
      <c r="CC54" s="88"/>
      <c r="CD54" s="100"/>
      <c r="CE54" s="93">
        <v>8</v>
      </c>
      <c r="CF54" s="97">
        <v>8</v>
      </c>
      <c r="CG54" s="88">
        <v>8</v>
      </c>
      <c r="CH54" s="88"/>
      <c r="CI54" s="88"/>
      <c r="CJ54" s="88"/>
      <c r="CK54" s="88"/>
      <c r="CL54" s="88"/>
      <c r="CM54" s="88"/>
      <c r="CN54" s="88"/>
      <c r="CO54" s="88"/>
    </row>
    <row r="55" spans="2:109" hidden="1" outlineLevel="1" x14ac:dyDescent="0.25">
      <c r="D55" s="1747" t="str">
        <f t="shared" si="20"/>
        <v>800850_2019_12_</v>
      </c>
      <c r="E55" s="1748" t="str">
        <f t="shared" si="19"/>
        <v>LED Replacting Interior T8 Fluorescent</v>
      </c>
      <c r="F55" s="82">
        <v>28.3</v>
      </c>
      <c r="G55" s="82">
        <v>13.7</v>
      </c>
      <c r="H55" s="83">
        <v>5400</v>
      </c>
      <c r="I55" s="82">
        <v>1.08</v>
      </c>
      <c r="J55" s="82">
        <v>0.99614637091058145</v>
      </c>
      <c r="K55" s="60">
        <v>9</v>
      </c>
      <c r="U55" s="1752"/>
      <c r="V55" s="84" t="str">
        <f t="shared" si="21"/>
        <v>LED Replacting Interior T8 Fluorescent</v>
      </c>
      <c r="W55" s="85">
        <v>28</v>
      </c>
      <c r="X55" s="86">
        <v>28.3</v>
      </c>
      <c r="Y55" s="87">
        <v>28.3</v>
      </c>
      <c r="Z55" s="88"/>
      <c r="AA55" s="88"/>
      <c r="AB55" s="88"/>
      <c r="AC55" s="88"/>
      <c r="AD55" s="88"/>
      <c r="AE55" s="88"/>
      <c r="AF55" s="88"/>
      <c r="AG55" s="88"/>
      <c r="AH55" s="100"/>
      <c r="AI55" s="85">
        <v>14</v>
      </c>
      <c r="AJ55" s="86">
        <v>13.7</v>
      </c>
      <c r="AK55" s="87">
        <v>13.7</v>
      </c>
      <c r="AL55" s="88"/>
      <c r="AM55" s="88"/>
      <c r="AN55" s="88"/>
      <c r="AO55" s="88"/>
      <c r="AP55" s="88"/>
      <c r="AQ55" s="88"/>
      <c r="AR55" s="88"/>
      <c r="AS55" s="88"/>
      <c r="AT55" s="100"/>
      <c r="AU55" s="90">
        <v>5500</v>
      </c>
      <c r="AV55" s="91">
        <v>5400</v>
      </c>
      <c r="AW55" s="90">
        <v>5400</v>
      </c>
      <c r="AX55" s="88"/>
      <c r="AY55" s="88"/>
      <c r="AZ55" s="88"/>
      <c r="BA55" s="88"/>
      <c r="BB55" s="88"/>
      <c r="BC55" s="88"/>
      <c r="BD55" s="88"/>
      <c r="BE55" s="88"/>
      <c r="BF55" s="100"/>
      <c r="BG55" s="85">
        <v>1.07</v>
      </c>
      <c r="BH55" s="86">
        <v>1.08</v>
      </c>
      <c r="BI55" s="88">
        <v>1.08</v>
      </c>
      <c r="BJ55" s="92"/>
      <c r="BK55" s="88"/>
      <c r="BL55" s="88"/>
      <c r="BM55" s="88"/>
      <c r="BN55" s="88"/>
      <c r="BO55" s="88"/>
      <c r="BP55" s="88"/>
      <c r="BQ55" s="88"/>
      <c r="BR55" s="100"/>
      <c r="BS55" s="85">
        <v>1</v>
      </c>
      <c r="BT55" s="86">
        <v>0.99614637091058145</v>
      </c>
      <c r="BU55" s="85">
        <v>0.99614637091058145</v>
      </c>
      <c r="BV55" s="88"/>
      <c r="BW55" s="88"/>
      <c r="BX55" s="88"/>
      <c r="BY55" s="88"/>
      <c r="BZ55" s="88"/>
      <c r="CA55" s="88"/>
      <c r="CB55" s="88"/>
      <c r="CC55" s="88"/>
      <c r="CD55" s="100"/>
      <c r="CE55" s="93">
        <v>9</v>
      </c>
      <c r="CF55" s="101">
        <v>9</v>
      </c>
      <c r="CG55" s="88">
        <v>9</v>
      </c>
      <c r="CH55" s="88"/>
      <c r="CI55" s="88"/>
      <c r="CJ55" s="88"/>
      <c r="CK55" s="88"/>
      <c r="CL55" s="88"/>
      <c r="CM55" s="88"/>
      <c r="CN55" s="88"/>
      <c r="CO55" s="88"/>
    </row>
    <row r="56" spans="2:109" hidden="1" outlineLevel="1" x14ac:dyDescent="0.25">
      <c r="D56" s="1747" t="str">
        <f t="shared" si="20"/>
        <v>800900_2019_12_</v>
      </c>
      <c r="E56" s="1429" t="str">
        <f t="shared" si="19"/>
        <v>LED Replacing Interior T12 Fluorescent</v>
      </c>
      <c r="F56" s="82">
        <v>39.659124009019756</v>
      </c>
      <c r="G56" s="82">
        <v>16.024798289519346</v>
      </c>
      <c r="H56" s="83">
        <v>3660</v>
      </c>
      <c r="I56" s="82">
        <v>1.07</v>
      </c>
      <c r="J56" s="82">
        <v>1</v>
      </c>
      <c r="K56" s="60">
        <v>14</v>
      </c>
      <c r="U56" s="1751"/>
      <c r="V56" s="84" t="str">
        <f t="shared" si="21"/>
        <v>LED Replacing Interior T12 Fluorescent</v>
      </c>
      <c r="W56" s="85">
        <v>40</v>
      </c>
      <c r="X56" s="86">
        <v>39.659124009019756</v>
      </c>
      <c r="Y56" s="87">
        <v>39.659124009019756</v>
      </c>
      <c r="Z56" s="88"/>
      <c r="AA56" s="88"/>
      <c r="AB56" s="88"/>
      <c r="AC56" s="88"/>
      <c r="AD56" s="88"/>
      <c r="AE56" s="88"/>
      <c r="AF56" s="88"/>
      <c r="AG56" s="88"/>
      <c r="AH56" s="100"/>
      <c r="AI56" s="85">
        <v>14</v>
      </c>
      <c r="AJ56" s="86">
        <v>16.024798289519346</v>
      </c>
      <c r="AK56" s="87">
        <v>16.024798289519346</v>
      </c>
      <c r="AL56" s="88"/>
      <c r="AM56" s="88"/>
      <c r="AN56" s="88"/>
      <c r="AO56" s="88"/>
      <c r="AP56" s="88"/>
      <c r="AQ56" s="88"/>
      <c r="AR56" s="88"/>
      <c r="AS56" s="88"/>
      <c r="AT56" s="100"/>
      <c r="AU56" s="90">
        <v>4480</v>
      </c>
      <c r="AV56" s="91">
        <v>3660</v>
      </c>
      <c r="AW56" s="90">
        <v>3660</v>
      </c>
      <c r="AX56" s="88"/>
      <c r="AY56" s="88"/>
      <c r="AZ56" s="88"/>
      <c r="BA56" s="88"/>
      <c r="BB56" s="88"/>
      <c r="BC56" s="88"/>
      <c r="BD56" s="88"/>
      <c r="BE56" s="88"/>
      <c r="BF56" s="100"/>
      <c r="BG56" s="85">
        <v>1.07</v>
      </c>
      <c r="BH56" s="87">
        <v>1.07</v>
      </c>
      <c r="BI56" s="88">
        <v>1.07</v>
      </c>
      <c r="BJ56" s="92"/>
      <c r="BK56" s="88"/>
      <c r="BL56" s="88"/>
      <c r="BM56" s="88"/>
      <c r="BN56" s="88"/>
      <c r="BO56" s="88"/>
      <c r="BP56" s="88"/>
      <c r="BQ56" s="88"/>
      <c r="BR56" s="100"/>
      <c r="BS56" s="85">
        <v>1</v>
      </c>
      <c r="BT56" s="87">
        <v>1</v>
      </c>
      <c r="BU56" s="85">
        <v>1</v>
      </c>
      <c r="BV56" s="88"/>
      <c r="BW56" s="88"/>
      <c r="BX56" s="88"/>
      <c r="BY56" s="88"/>
      <c r="BZ56" s="88"/>
      <c r="CA56" s="88"/>
      <c r="CB56" s="88"/>
      <c r="CC56" s="88"/>
      <c r="CD56" s="100"/>
      <c r="CE56" s="93">
        <v>11</v>
      </c>
      <c r="CF56" s="94">
        <v>14</v>
      </c>
      <c r="CG56" s="88">
        <v>14</v>
      </c>
      <c r="CH56" s="88"/>
      <c r="CI56" s="88"/>
      <c r="CJ56" s="88"/>
      <c r="CK56" s="88"/>
      <c r="CL56" s="88"/>
      <c r="CM56" s="88"/>
      <c r="CN56" s="88"/>
      <c r="CO56" s="88"/>
    </row>
    <row r="57" spans="2:109" hidden="1" outlineLevel="1" x14ac:dyDescent="0.25">
      <c r="D57" s="1747" t="str">
        <f t="shared" si="20"/>
        <v>800950_2019_12_</v>
      </c>
      <c r="E57" s="1429" t="str">
        <f t="shared" si="19"/>
        <v>LED Specialty Lamp</v>
      </c>
      <c r="F57" s="82">
        <v>25</v>
      </c>
      <c r="G57" s="82">
        <v>3.2</v>
      </c>
      <c r="H57" s="83">
        <v>4380</v>
      </c>
      <c r="I57" s="82">
        <v>1.07</v>
      </c>
      <c r="J57" s="82">
        <v>1</v>
      </c>
      <c r="K57" s="60">
        <v>11</v>
      </c>
      <c r="U57" s="1751"/>
      <c r="V57" s="84" t="str">
        <f t="shared" si="21"/>
        <v>LED Specialty Lamp</v>
      </c>
      <c r="W57" s="85">
        <v>25</v>
      </c>
      <c r="X57" s="85">
        <v>25</v>
      </c>
      <c r="Y57" s="87">
        <v>25</v>
      </c>
      <c r="Z57" s="88"/>
      <c r="AA57" s="88"/>
      <c r="AB57" s="88"/>
      <c r="AC57" s="88"/>
      <c r="AD57" s="88"/>
      <c r="AE57" s="88"/>
      <c r="AF57" s="88"/>
      <c r="AG57" s="88"/>
      <c r="AH57" s="100"/>
      <c r="AI57" s="85">
        <v>3.2</v>
      </c>
      <c r="AJ57" s="85">
        <v>3.2</v>
      </c>
      <c r="AK57" s="87">
        <v>3.2</v>
      </c>
      <c r="AL57" s="88"/>
      <c r="AM57" s="88"/>
      <c r="AN57" s="88"/>
      <c r="AO57" s="88"/>
      <c r="AP57" s="88"/>
      <c r="AQ57" s="88"/>
      <c r="AR57" s="88"/>
      <c r="AS57" s="88"/>
      <c r="AT57" s="100"/>
      <c r="AU57" s="90">
        <v>4380</v>
      </c>
      <c r="AV57" s="102">
        <v>4380</v>
      </c>
      <c r="AW57" s="90">
        <v>4380</v>
      </c>
      <c r="AX57" s="88"/>
      <c r="AY57" s="88"/>
      <c r="AZ57" s="88"/>
      <c r="BA57" s="88"/>
      <c r="BB57" s="88"/>
      <c r="BC57" s="88"/>
      <c r="BD57" s="88"/>
      <c r="BE57" s="88"/>
      <c r="BF57" s="100"/>
      <c r="BG57" s="85">
        <v>1.07</v>
      </c>
      <c r="BH57" s="85">
        <v>1.07</v>
      </c>
      <c r="BI57" s="88">
        <v>1.07</v>
      </c>
      <c r="BJ57" s="92"/>
      <c r="BK57" s="88"/>
      <c r="BL57" s="88"/>
      <c r="BM57" s="88"/>
      <c r="BN57" s="88"/>
      <c r="BO57" s="88"/>
      <c r="BP57" s="88"/>
      <c r="BQ57" s="88"/>
      <c r="BR57" s="100"/>
      <c r="BS57" s="85">
        <v>1</v>
      </c>
      <c r="BT57" s="95">
        <v>1</v>
      </c>
      <c r="BU57" s="85">
        <v>1</v>
      </c>
      <c r="BV57" s="88"/>
      <c r="BW57" s="88"/>
      <c r="BX57" s="88"/>
      <c r="BY57" s="88"/>
      <c r="BZ57" s="88"/>
      <c r="CA57" s="88"/>
      <c r="CB57" s="88"/>
      <c r="CC57" s="88"/>
      <c r="CD57" s="100"/>
      <c r="CE57" s="93">
        <v>11</v>
      </c>
      <c r="CF57" s="97">
        <v>11</v>
      </c>
      <c r="CG57" s="88">
        <v>11</v>
      </c>
      <c r="CH57" s="88"/>
      <c r="CI57" s="88"/>
      <c r="CJ57" s="88"/>
      <c r="CK57" s="88"/>
      <c r="CL57" s="88"/>
      <c r="CM57" s="88"/>
      <c r="CN57" s="88"/>
      <c r="CO57" s="88"/>
    </row>
    <row r="58" spans="2:109" ht="18.75" customHeight="1" collapsed="1" x14ac:dyDescent="0.25">
      <c r="D58" s="1753"/>
      <c r="G58" s="1716"/>
      <c r="H58" s="1743"/>
      <c r="V58" s="50"/>
    </row>
    <row r="59" spans="2:109" ht="18.75" customHeight="1" x14ac:dyDescent="0.25">
      <c r="D59" s="1753"/>
      <c r="G59" s="1716"/>
      <c r="H59" s="1743"/>
      <c r="V59" s="50"/>
    </row>
    <row r="60" spans="2:109" s="50" customFormat="1" ht="30" x14ac:dyDescent="0.25">
      <c r="B60" s="51"/>
      <c r="C60" s="52" t="s">
        <v>17</v>
      </c>
      <c r="D60" s="1678" t="s">
        <v>18</v>
      </c>
      <c r="E60" s="1678" t="s">
        <v>19</v>
      </c>
      <c r="F60" s="1678" t="s">
        <v>20</v>
      </c>
      <c r="G60" s="1678" t="s">
        <v>21</v>
      </c>
      <c r="H60" s="53" t="s">
        <v>22</v>
      </c>
      <c r="I60" s="1678" t="s">
        <v>23</v>
      </c>
      <c r="J60" s="1678" t="s">
        <v>24</v>
      </c>
      <c r="K60" s="52" t="s">
        <v>25</v>
      </c>
      <c r="L60" s="52" t="s">
        <v>26</v>
      </c>
      <c r="M60" s="1716"/>
      <c r="N60" s="1716"/>
      <c r="O60" s="1716"/>
      <c r="P60" s="1726"/>
      <c r="Q60" s="1726"/>
      <c r="R60" s="1726"/>
      <c r="S60" s="1726"/>
      <c r="T60" s="1726"/>
      <c r="U60" s="1726"/>
      <c r="V60" s="55" t="s">
        <v>27</v>
      </c>
      <c r="W60" s="56">
        <f>$W$8</f>
        <v>43252</v>
      </c>
      <c r="X60" s="56">
        <f>$X$8</f>
        <v>43465</v>
      </c>
      <c r="Y60" s="56">
        <f>$Y$8</f>
        <v>43800</v>
      </c>
      <c r="Z60" s="56" t="str">
        <f>$Z$8</f>
        <v>-</v>
      </c>
      <c r="AA60" s="56" t="str">
        <f>$AA$8</f>
        <v>-</v>
      </c>
      <c r="AB60" s="56" t="str">
        <f>$AB$8</f>
        <v>-</v>
      </c>
      <c r="AC60" s="56" t="str">
        <f>$AC$8</f>
        <v>-</v>
      </c>
      <c r="AD60" s="56" t="str">
        <f>$AD$8</f>
        <v>-</v>
      </c>
      <c r="AE60" s="56" t="str">
        <f>$AE$8</f>
        <v>-</v>
      </c>
      <c r="AF60" s="56" t="str">
        <f>$AF$8</f>
        <v>-</v>
      </c>
      <c r="AG60" s="56" t="str">
        <f>$AG$8</f>
        <v>-</v>
      </c>
      <c r="AI60" s="55" t="s">
        <v>27</v>
      </c>
      <c r="AJ60" s="56">
        <v>43252</v>
      </c>
      <c r="AK60" s="56">
        <v>43465</v>
      </c>
      <c r="AL60" s="56">
        <v>43466</v>
      </c>
      <c r="AM60" s="56">
        <v>43467</v>
      </c>
      <c r="AN60" s="56">
        <v>43468</v>
      </c>
      <c r="AO60" s="56">
        <v>43469</v>
      </c>
      <c r="AP60" s="56">
        <v>43470</v>
      </c>
      <c r="AQ60" s="56">
        <v>43471</v>
      </c>
      <c r="AR60" s="56">
        <v>43472</v>
      </c>
      <c r="AS60" s="56">
        <v>43473</v>
      </c>
      <c r="AT60" s="29"/>
      <c r="AU60" s="55" t="s">
        <v>27</v>
      </c>
      <c r="AV60" s="56">
        <v>43252</v>
      </c>
      <c r="AW60" s="56">
        <v>43465</v>
      </c>
      <c r="AX60" s="56">
        <v>43466</v>
      </c>
      <c r="AY60" s="56">
        <v>43467</v>
      </c>
      <c r="AZ60" s="56">
        <v>43468</v>
      </c>
      <c r="BA60" s="56">
        <v>43469</v>
      </c>
      <c r="BB60" s="56">
        <v>43470</v>
      </c>
      <c r="BC60" s="56">
        <v>43471</v>
      </c>
      <c r="BD60" s="56">
        <v>43472</v>
      </c>
      <c r="BE60" s="56">
        <v>43473</v>
      </c>
      <c r="DB60" s="57" t="str">
        <f>$DB$8</f>
        <v>TRC (2020)</v>
      </c>
      <c r="DC60" s="103" t="str">
        <f>$DC$8</f>
        <v>Benefit Lookup</v>
      </c>
      <c r="DD60" s="103" t="str">
        <f>$DD$8</f>
        <v>Benefits (2019 $)</v>
      </c>
      <c r="DE60" s="103" t="str">
        <f>$DE$8</f>
        <v>Incremental Cost (2019 $)</v>
      </c>
    </row>
    <row r="61" spans="2:109" x14ac:dyDescent="0.25">
      <c r="C61" s="1727" t="s">
        <v>83</v>
      </c>
      <c r="D61" s="1728" t="s">
        <v>34</v>
      </c>
      <c r="E61" s="1754" t="s">
        <v>84</v>
      </c>
      <c r="F61" s="210">
        <f>ROUND(F77*G77*H77*I77,2)</f>
        <v>107.57</v>
      </c>
      <c r="G61" s="1730" t="s">
        <v>36</v>
      </c>
      <c r="H61" s="1731">
        <f>VLOOKUP(G61,'CP FACTORS'!$A$26:$B$38,2,FALSE)</f>
        <v>1.899635E-4</v>
      </c>
      <c r="I61" s="1755">
        <f>ROUND(H61*F61,6)</f>
        <v>2.0434000000000001E-2</v>
      </c>
      <c r="J61" s="93">
        <v>10</v>
      </c>
      <c r="K61" s="1756">
        <v>116.33</v>
      </c>
      <c r="L61" s="1734" t="s">
        <v>37</v>
      </c>
      <c r="P61" s="1736"/>
      <c r="Q61" s="1737"/>
      <c r="R61" s="1738"/>
      <c r="S61" s="1738"/>
      <c r="T61" s="1739"/>
      <c r="V61" s="61" t="s">
        <v>20</v>
      </c>
      <c r="W61" s="62">
        <v>107.56710000000001</v>
      </c>
      <c r="X61" s="62">
        <v>107.56710000000001</v>
      </c>
      <c r="Y61" s="62">
        <v>107.56710000000001</v>
      </c>
      <c r="Z61" s="64"/>
      <c r="AA61" s="64"/>
      <c r="AB61" s="64"/>
      <c r="AC61" s="64"/>
      <c r="AD61" s="64"/>
      <c r="AE61" s="64"/>
      <c r="AF61" s="64"/>
      <c r="AG61" s="64"/>
      <c r="AI61" s="61" t="s">
        <v>24</v>
      </c>
      <c r="AJ61" s="66">
        <v>10</v>
      </c>
      <c r="AK61" s="66">
        <v>10</v>
      </c>
      <c r="AL61" s="66">
        <v>10</v>
      </c>
      <c r="AM61" s="64"/>
      <c r="AN61" s="64"/>
      <c r="AO61" s="64"/>
      <c r="AP61" s="64"/>
      <c r="AQ61" s="64"/>
      <c r="AR61" s="64"/>
      <c r="AS61" s="64"/>
      <c r="AT61" s="29"/>
      <c r="AU61" s="61" t="s">
        <v>25</v>
      </c>
      <c r="AV61" s="67">
        <v>116.33</v>
      </c>
      <c r="AW61" s="67">
        <v>116.33</v>
      </c>
      <c r="AX61" s="67">
        <v>116.33</v>
      </c>
      <c r="AY61" s="64"/>
      <c r="AZ61" s="64"/>
      <c r="BA61" s="64"/>
      <c r="BB61" s="64"/>
      <c r="BC61" s="64"/>
      <c r="BD61" s="64"/>
      <c r="BE61" s="64"/>
      <c r="DB61" s="68">
        <f>(DD61)/(DE61)</f>
        <v>0.38659862760654518</v>
      </c>
      <c r="DC61" s="69" t="str">
        <f>CONCATENATE(G61," ",J61," Year EUL")</f>
        <v>Lighting BUS 10 Year EUL</v>
      </c>
      <c r="DD61" s="105">
        <f>(INDEX('Avoided Cost Benefits'!$C$4:$C$857,MATCH(DC61,'Avoided Cost Benefits'!$A$4:$A$857,0)))*F61</f>
        <v>42.447398159008394</v>
      </c>
      <c r="DE61" s="70">
        <f>K61/(1.0595^(2020-2019))</f>
        <v>109.7970740915526</v>
      </c>
    </row>
    <row r="62" spans="2:109" x14ac:dyDescent="0.25">
      <c r="C62" s="1727" t="s">
        <v>85</v>
      </c>
      <c r="D62" s="1728" t="s">
        <v>34</v>
      </c>
      <c r="E62" s="1754" t="s">
        <v>86</v>
      </c>
      <c r="F62" s="210">
        <f t="shared" ref="F62:F65" si="22">ROUND(F78*G78*H78*I78,2)</f>
        <v>309.79000000000002</v>
      </c>
      <c r="G62" s="1730" t="s">
        <v>36</v>
      </c>
      <c r="H62" s="1731">
        <f>VLOOKUP(G62,'CP FACTORS'!$A$26:$B$38,2,FALSE)</f>
        <v>1.899635E-4</v>
      </c>
      <c r="I62" s="1755">
        <f>ROUND(H62*F62,6)</f>
        <v>5.8848999999999999E-2</v>
      </c>
      <c r="J62" s="93">
        <v>10</v>
      </c>
      <c r="K62" s="1756">
        <v>116.33</v>
      </c>
      <c r="L62" s="1734" t="s">
        <v>37</v>
      </c>
      <c r="P62" s="1736"/>
      <c r="Q62" s="1737"/>
      <c r="R62" s="1738"/>
      <c r="S62" s="1738"/>
      <c r="T62" s="1739"/>
      <c r="V62" s="61" t="s">
        <v>20</v>
      </c>
      <c r="W62" s="62">
        <v>309.79324800000001</v>
      </c>
      <c r="X62" s="62">
        <v>309.79324800000001</v>
      </c>
      <c r="Y62" s="62">
        <v>309.79324800000001</v>
      </c>
      <c r="Z62" s="64"/>
      <c r="AA62" s="64"/>
      <c r="AB62" s="64"/>
      <c r="AC62" s="64"/>
      <c r="AD62" s="64"/>
      <c r="AE62" s="64"/>
      <c r="AF62" s="64"/>
      <c r="AG62" s="64"/>
      <c r="AI62" s="61" t="s">
        <v>24</v>
      </c>
      <c r="AJ62" s="66">
        <v>10</v>
      </c>
      <c r="AK62" s="66">
        <v>10</v>
      </c>
      <c r="AL62" s="66">
        <v>10</v>
      </c>
      <c r="AM62" s="64"/>
      <c r="AN62" s="64"/>
      <c r="AO62" s="64"/>
      <c r="AP62" s="64"/>
      <c r="AQ62" s="64"/>
      <c r="AR62" s="64"/>
      <c r="AS62" s="64"/>
      <c r="AT62" s="29"/>
      <c r="AU62" s="61" t="s">
        <v>25</v>
      </c>
      <c r="AV62" s="67">
        <v>116.33</v>
      </c>
      <c r="AW62" s="67">
        <v>116.33</v>
      </c>
      <c r="AX62" s="67">
        <v>116.33</v>
      </c>
      <c r="AY62" s="64"/>
      <c r="AZ62" s="64"/>
      <c r="BA62" s="64"/>
      <c r="BB62" s="64"/>
      <c r="BC62" s="64"/>
      <c r="BD62" s="64"/>
      <c r="BE62" s="64"/>
      <c r="DB62" s="72">
        <f t="shared" ref="DB62:DB65" si="23">(DD62)/(DE62)</f>
        <v>1.1133623579644107</v>
      </c>
      <c r="DC62" s="73" t="str">
        <f>CONCATENATE(G62," ",J62," Year EUL")</f>
        <v>Lighting BUS 10 Year EUL</v>
      </c>
      <c r="DD62" s="106">
        <f>(INDEX('Avoided Cost Benefits'!$C$4:$C$857,MATCH(DC62,'Avoided Cost Benefits'!$A$4:$A$857,0)))*F62</f>
        <v>122.24392930816411</v>
      </c>
      <c r="DE62" s="74">
        <f>K62/(1.0595^(2020-2019))</f>
        <v>109.7970740915526</v>
      </c>
    </row>
    <row r="63" spans="2:109" x14ac:dyDescent="0.25">
      <c r="C63" s="1727" t="s">
        <v>87</v>
      </c>
      <c r="D63" s="1728" t="s">
        <v>34</v>
      </c>
      <c r="E63" s="1754" t="s">
        <v>88</v>
      </c>
      <c r="F63" s="210">
        <f t="shared" si="22"/>
        <v>86.05</v>
      </c>
      <c r="G63" s="1730" t="s">
        <v>36</v>
      </c>
      <c r="H63" s="1731">
        <f>VLOOKUP(G63,'CP FACTORS'!$A$26:$B$38,2,FALSE)</f>
        <v>1.899635E-4</v>
      </c>
      <c r="I63" s="1755">
        <f t="shared" ref="I63:I65" si="24">ROUND(H63*F63,6)</f>
        <v>1.6345999999999999E-2</v>
      </c>
      <c r="J63" s="93">
        <v>11</v>
      </c>
      <c r="K63" s="1756">
        <v>42.35</v>
      </c>
      <c r="L63" s="1734" t="s">
        <v>37</v>
      </c>
      <c r="P63" s="1736"/>
      <c r="Q63" s="1737"/>
      <c r="R63" s="1738"/>
      <c r="S63" s="1738"/>
      <c r="T63" s="1739"/>
      <c r="V63" s="61" t="s">
        <v>20</v>
      </c>
      <c r="W63" s="62">
        <v>86.053680000000014</v>
      </c>
      <c r="X63" s="62">
        <v>86.053680000000014</v>
      </c>
      <c r="Y63" s="62">
        <v>86.053680000000014</v>
      </c>
      <c r="Z63" s="64"/>
      <c r="AA63" s="64"/>
      <c r="AB63" s="64"/>
      <c r="AC63" s="64"/>
      <c r="AD63" s="64"/>
      <c r="AE63" s="64"/>
      <c r="AF63" s="64"/>
      <c r="AG63" s="64"/>
      <c r="AI63" s="61" t="s">
        <v>24</v>
      </c>
      <c r="AJ63" s="66">
        <v>11</v>
      </c>
      <c r="AK63" s="66">
        <v>11</v>
      </c>
      <c r="AL63" s="66">
        <v>11</v>
      </c>
      <c r="AM63" s="64"/>
      <c r="AN63" s="64"/>
      <c r="AO63" s="64"/>
      <c r="AP63" s="64"/>
      <c r="AQ63" s="64"/>
      <c r="AR63" s="64"/>
      <c r="AS63" s="64"/>
      <c r="AT63" s="29"/>
      <c r="AU63" s="61" t="s">
        <v>25</v>
      </c>
      <c r="AV63" s="67">
        <v>42.35</v>
      </c>
      <c r="AW63" s="67">
        <v>42.35</v>
      </c>
      <c r="AX63" s="67">
        <v>42.35</v>
      </c>
      <c r="AY63" s="64"/>
      <c r="AZ63" s="64"/>
      <c r="BA63" s="64"/>
      <c r="BB63" s="64"/>
      <c r="BC63" s="64"/>
      <c r="BD63" s="64"/>
      <c r="BE63" s="64"/>
      <c r="DB63" s="72">
        <f t="shared" si="23"/>
        <v>0.93348714091510621</v>
      </c>
      <c r="DC63" s="73" t="str">
        <f>CONCATENATE(G63," ",J63," Year EUL")</f>
        <v>Lighting BUS 11 Year EUL</v>
      </c>
      <c r="DD63" s="106">
        <f>(INDEX('Avoided Cost Benefits'!$C$4:$C$857,MATCH(DC63,'Avoided Cost Benefits'!$A$4:$A$857,0)))*F63</f>
        <v>37.313053721335294</v>
      </c>
      <c r="DE63" s="74">
        <f>K63/(1.0595^(2020-2019))</f>
        <v>39.971684756960826</v>
      </c>
    </row>
    <row r="64" spans="2:109" ht="15.75" customHeight="1" x14ac:dyDescent="0.25">
      <c r="C64" s="1727" t="s">
        <v>89</v>
      </c>
      <c r="D64" s="1728" t="s">
        <v>34</v>
      </c>
      <c r="E64" s="1754" t="s">
        <v>90</v>
      </c>
      <c r="F64" s="210">
        <f>ROUND(F80*G80*H80*I80,2)</f>
        <v>444.9</v>
      </c>
      <c r="G64" s="1730" t="s">
        <v>36</v>
      </c>
      <c r="H64" s="1731">
        <f>VLOOKUP(G64,'CP FACTORS'!$A$26:$B$38,2,FALSE)</f>
        <v>1.899635E-4</v>
      </c>
      <c r="I64" s="1755">
        <f t="shared" si="24"/>
        <v>8.4515000000000007E-2</v>
      </c>
      <c r="J64" s="93">
        <v>11</v>
      </c>
      <c r="K64" s="1756">
        <v>119.56</v>
      </c>
      <c r="L64" s="1734" t="s">
        <v>37</v>
      </c>
      <c r="P64" s="1736"/>
      <c r="Q64" s="1737"/>
      <c r="R64" s="1738"/>
      <c r="S64" s="1738"/>
      <c r="T64" s="1739"/>
      <c r="V64" s="61" t="s">
        <v>20</v>
      </c>
      <c r="W64" s="62">
        <v>444.89752560000005</v>
      </c>
      <c r="X64" s="62">
        <v>444.89752560000005</v>
      </c>
      <c r="Y64" s="62">
        <v>444.89752560000005</v>
      </c>
      <c r="Z64" s="64"/>
      <c r="AA64" s="64"/>
      <c r="AB64" s="64"/>
      <c r="AC64" s="64"/>
      <c r="AD64" s="64"/>
      <c r="AE64" s="64"/>
      <c r="AF64" s="64"/>
      <c r="AG64" s="64"/>
      <c r="AI64" s="61" t="s">
        <v>24</v>
      </c>
      <c r="AJ64" s="66">
        <v>11</v>
      </c>
      <c r="AK64" s="66">
        <v>11</v>
      </c>
      <c r="AL64" s="66">
        <v>11</v>
      </c>
      <c r="AM64" s="64"/>
      <c r="AN64" s="64"/>
      <c r="AO64" s="64"/>
      <c r="AP64" s="64"/>
      <c r="AQ64" s="64"/>
      <c r="AR64" s="64"/>
      <c r="AS64" s="64"/>
      <c r="AT64" s="29"/>
      <c r="AU64" s="61" t="s">
        <v>25</v>
      </c>
      <c r="AV64" s="67">
        <v>119.56</v>
      </c>
      <c r="AW64" s="67">
        <v>119.56</v>
      </c>
      <c r="AX64" s="67">
        <v>119.56</v>
      </c>
      <c r="AY64" s="64"/>
      <c r="AZ64" s="64"/>
      <c r="BA64" s="64"/>
      <c r="BB64" s="64"/>
      <c r="BC64" s="64"/>
      <c r="BD64" s="64"/>
      <c r="BE64" s="64"/>
      <c r="DB64" s="72">
        <f t="shared" si="23"/>
        <v>1.7095719330221939</v>
      </c>
      <c r="DC64" s="73" t="str">
        <f>CONCATENATE(G64," ",J64," Year EUL")</f>
        <v>Lighting BUS 11 Year EUL</v>
      </c>
      <c r="DD64" s="106">
        <f>(INDEX('Avoided Cost Benefits'!$C$4:$C$857,MATCH(DC64,'Avoided Cost Benefits'!$A$4:$A$857,0)))*F64</f>
        <v>192.91781058247616</v>
      </c>
      <c r="DE64" s="74">
        <f>K64/(1.0595^(2020-2019))</f>
        <v>112.84568192543652</v>
      </c>
    </row>
    <row r="65" spans="3:109" x14ac:dyDescent="0.25">
      <c r="C65" s="1727" t="s">
        <v>91</v>
      </c>
      <c r="D65" s="1728" t="s">
        <v>34</v>
      </c>
      <c r="E65" s="1754" t="s">
        <v>92</v>
      </c>
      <c r="F65" s="210">
        <f t="shared" si="22"/>
        <v>444.9</v>
      </c>
      <c r="G65" s="1730" t="s">
        <v>36</v>
      </c>
      <c r="H65" s="1731">
        <f>VLOOKUP(G65,'CP FACTORS'!$A$26:$B$38,2,FALSE)</f>
        <v>1.899635E-4</v>
      </c>
      <c r="I65" s="1755">
        <f t="shared" si="24"/>
        <v>8.4515000000000007E-2</v>
      </c>
      <c r="J65" s="93">
        <v>8</v>
      </c>
      <c r="K65" s="1756">
        <v>128</v>
      </c>
      <c r="L65" s="1734" t="s">
        <v>37</v>
      </c>
      <c r="P65" s="1736"/>
      <c r="Q65" s="1737"/>
      <c r="R65" s="1738"/>
      <c r="S65" s="1738"/>
      <c r="T65" s="1739"/>
      <c r="V65" s="61" t="s">
        <v>20</v>
      </c>
      <c r="W65" s="62">
        <v>444.89752560000005</v>
      </c>
      <c r="X65" s="62">
        <v>444.89752560000005</v>
      </c>
      <c r="Y65" s="62">
        <v>444.89752560000005</v>
      </c>
      <c r="Z65" s="62"/>
      <c r="AA65" s="62"/>
      <c r="AB65" s="62"/>
      <c r="AC65" s="62"/>
      <c r="AD65" s="62"/>
      <c r="AE65" s="62"/>
      <c r="AF65" s="62"/>
      <c r="AG65" s="62"/>
      <c r="AI65" s="61" t="s">
        <v>24</v>
      </c>
      <c r="AJ65" s="66">
        <v>8</v>
      </c>
      <c r="AK65" s="66">
        <v>8</v>
      </c>
      <c r="AL65" s="66">
        <v>8</v>
      </c>
      <c r="AM65" s="62"/>
      <c r="AN65" s="62"/>
      <c r="AO65" s="62"/>
      <c r="AP65" s="62"/>
      <c r="AQ65" s="62"/>
      <c r="AR65" s="62"/>
      <c r="AS65" s="62"/>
      <c r="AT65" s="29"/>
      <c r="AU65" s="61" t="s">
        <v>25</v>
      </c>
      <c r="AV65" s="67">
        <v>128</v>
      </c>
      <c r="AW65" s="67">
        <v>128</v>
      </c>
      <c r="AX65" s="67">
        <v>128</v>
      </c>
      <c r="AY65" s="62"/>
      <c r="AZ65" s="62"/>
      <c r="BA65" s="62"/>
      <c r="BB65" s="62"/>
      <c r="BC65" s="62"/>
      <c r="BD65" s="62"/>
      <c r="BE65" s="62"/>
      <c r="DB65" s="75">
        <f t="shared" si="23"/>
        <v>1.1602543710512259</v>
      </c>
      <c r="DC65" s="73" t="str">
        <f>CONCATENATE(G65," ",J65," Year EUL")</f>
        <v>Lighting BUS 8 Year EUL</v>
      </c>
      <c r="DD65" s="107">
        <f>(INDEX('Avoided Cost Benefits'!$C$4:$C$857,MATCH(DC65,'Avoided Cost Benefits'!$A$4:$A$857,0)))*F65</f>
        <v>140.17230721524953</v>
      </c>
      <c r="DE65" s="76">
        <f>K65/(1.0595^(2020-2019))</f>
        <v>120.81170363378951</v>
      </c>
    </row>
    <row r="66" spans="3:109" hidden="1" outlineLevel="1" x14ac:dyDescent="0.25">
      <c r="E66" s="1719"/>
      <c r="F66" s="1719"/>
      <c r="G66" s="1719"/>
      <c r="H66" s="1741"/>
      <c r="I66" s="1719"/>
      <c r="J66" s="1719"/>
      <c r="K66" s="1719"/>
    </row>
    <row r="67" spans="3:109" hidden="1" outlineLevel="1" x14ac:dyDescent="0.25">
      <c r="D67" s="1719" t="s">
        <v>76</v>
      </c>
      <c r="E67" s="1719"/>
      <c r="F67" s="1719"/>
      <c r="G67" s="1719"/>
      <c r="H67" s="1741"/>
      <c r="I67" s="1719"/>
      <c r="J67" s="1719"/>
      <c r="K67" s="1719"/>
    </row>
    <row r="68" spans="3:109" hidden="1" outlineLevel="1" x14ac:dyDescent="0.25">
      <c r="D68" s="1742"/>
      <c r="G68" s="1716"/>
      <c r="H68" s="1743"/>
      <c r="M68" s="1719"/>
    </row>
    <row r="69" spans="3:109" hidden="1" outlineLevel="1" x14ac:dyDescent="0.25">
      <c r="D69" s="1742"/>
      <c r="G69" s="1716"/>
      <c r="H69" s="1743"/>
      <c r="M69" s="1719"/>
    </row>
    <row r="70" spans="3:109" hidden="1" outlineLevel="1" x14ac:dyDescent="0.25">
      <c r="D70" s="1742"/>
      <c r="G70" s="1716"/>
      <c r="H70" s="1743"/>
      <c r="M70" s="1719"/>
    </row>
    <row r="71" spans="3:109" hidden="1" outlineLevel="1" x14ac:dyDescent="0.25">
      <c r="D71" s="1742"/>
      <c r="G71" s="1716"/>
      <c r="H71" s="1743"/>
      <c r="M71" s="1719"/>
    </row>
    <row r="72" spans="3:109" hidden="1" outlineLevel="1" x14ac:dyDescent="0.25">
      <c r="D72" s="1742"/>
      <c r="G72" s="1716"/>
      <c r="H72" s="1743"/>
      <c r="M72" s="1719"/>
    </row>
    <row r="73" spans="3:109" hidden="1" outlineLevel="1" x14ac:dyDescent="0.25">
      <c r="D73" s="1742"/>
      <c r="G73" s="1716"/>
      <c r="H73" s="1743"/>
      <c r="M73" s="1719"/>
    </row>
    <row r="74" spans="3:109" hidden="1" outlineLevel="1" x14ac:dyDescent="0.25">
      <c r="D74" s="1742"/>
      <c r="G74" s="1716"/>
      <c r="H74" s="1743"/>
      <c r="M74" s="1719"/>
    </row>
    <row r="75" spans="3:109" hidden="1" outlineLevel="1" x14ac:dyDescent="0.25">
      <c r="D75" s="1742"/>
      <c r="G75" s="1716"/>
      <c r="H75" s="1743"/>
      <c r="V75" s="55" t="s">
        <v>27</v>
      </c>
      <c r="W75" s="56">
        <f>$W$8</f>
        <v>43252</v>
      </c>
      <c r="X75" s="56">
        <f>$X$8</f>
        <v>43465</v>
      </c>
      <c r="Y75" s="56">
        <f>$Y$8</f>
        <v>43800</v>
      </c>
      <c r="Z75" s="56" t="str">
        <f>$Z$8</f>
        <v>-</v>
      </c>
      <c r="AA75" s="56" t="str">
        <f>$AA$8</f>
        <v>-</v>
      </c>
      <c r="AB75" s="56" t="str">
        <f>$AB$8</f>
        <v>-</v>
      </c>
      <c r="AC75" s="56" t="str">
        <f>$AC$8</f>
        <v>-</v>
      </c>
      <c r="AD75" s="56" t="str">
        <f>$AD$8</f>
        <v>-</v>
      </c>
      <c r="AE75" s="56" t="str">
        <f>$AE$8</f>
        <v>-</v>
      </c>
      <c r="AF75" s="56" t="str">
        <f>$AF$8</f>
        <v>-</v>
      </c>
      <c r="AG75" s="56" t="str">
        <f>$AG$8</f>
        <v>-</v>
      </c>
      <c r="AI75" s="56">
        <f>$W$8</f>
        <v>43252</v>
      </c>
      <c r="AJ75" s="56">
        <f>$X$8</f>
        <v>43465</v>
      </c>
      <c r="AK75" s="56">
        <f>$Y$8</f>
        <v>43800</v>
      </c>
      <c r="AL75" s="56" t="str">
        <f>$Z$8</f>
        <v>-</v>
      </c>
      <c r="AM75" s="56" t="str">
        <f>$AA$8</f>
        <v>-</v>
      </c>
      <c r="AN75" s="56" t="str">
        <f>$AB$8</f>
        <v>-</v>
      </c>
      <c r="AO75" s="56" t="str">
        <f>$AC$8</f>
        <v>-</v>
      </c>
      <c r="AP75" s="56" t="str">
        <f>$AD$8</f>
        <v>-</v>
      </c>
      <c r="AQ75" s="56" t="str">
        <f>$AE$8</f>
        <v>-</v>
      </c>
      <c r="AR75" s="56" t="str">
        <f>$AF$8</f>
        <v>-</v>
      </c>
      <c r="AS75" s="56" t="str">
        <f>$AG$8</f>
        <v>-</v>
      </c>
      <c r="AU75" s="56">
        <f>$W$8</f>
        <v>43252</v>
      </c>
      <c r="AV75" s="56">
        <f>$X$8</f>
        <v>43465</v>
      </c>
      <c r="AW75" s="56">
        <f>$X$8</f>
        <v>43465</v>
      </c>
      <c r="AX75" s="56">
        <f>$Y$8</f>
        <v>43800</v>
      </c>
      <c r="AY75" s="56" t="str">
        <f>$Z$8</f>
        <v>-</v>
      </c>
      <c r="AZ75" s="56" t="str">
        <f>$AA$8</f>
        <v>-</v>
      </c>
      <c r="BA75" s="56" t="str">
        <f>$AB$8</f>
        <v>-</v>
      </c>
      <c r="BB75" s="56" t="str">
        <f>$AC$8</f>
        <v>-</v>
      </c>
      <c r="BC75" s="56" t="str">
        <f>$AD$8</f>
        <v>-</v>
      </c>
      <c r="BD75" s="56" t="str">
        <f>$AE$8</f>
        <v>-</v>
      </c>
      <c r="BE75" s="56" t="str">
        <f>$AF$8</f>
        <v>-</v>
      </c>
      <c r="BG75" s="56">
        <f>$W$8</f>
        <v>43252</v>
      </c>
      <c r="BH75" s="56">
        <f>$X$8</f>
        <v>43465</v>
      </c>
      <c r="BI75" s="56">
        <f>$Y$8</f>
        <v>43800</v>
      </c>
      <c r="BJ75" s="56" t="str">
        <f>$Z$8</f>
        <v>-</v>
      </c>
      <c r="BK75" s="56" t="str">
        <f>$AA$8</f>
        <v>-</v>
      </c>
      <c r="BL75" s="56" t="str">
        <f>$AB$8</f>
        <v>-</v>
      </c>
      <c r="BM75" s="56" t="str">
        <f>$AC$8</f>
        <v>-</v>
      </c>
      <c r="BN75" s="56" t="str">
        <f>$AD$8</f>
        <v>-</v>
      </c>
      <c r="BO75" s="56" t="str">
        <f>$AE$8</f>
        <v>-</v>
      </c>
      <c r="BP75" s="56" t="str">
        <f>$AF$8</f>
        <v>-</v>
      </c>
      <c r="BQ75" s="56" t="str">
        <f>$AG$8</f>
        <v>-</v>
      </c>
    </row>
    <row r="76" spans="3:109" s="78" customFormat="1" ht="30" hidden="1" outlineLevel="1" x14ac:dyDescent="0.25">
      <c r="C76" s="553"/>
      <c r="D76" s="52" t="s">
        <v>17</v>
      </c>
      <c r="E76" s="1678" t="s">
        <v>77</v>
      </c>
      <c r="F76" s="1678" t="s">
        <v>93</v>
      </c>
      <c r="G76" s="1678" t="s">
        <v>94</v>
      </c>
      <c r="H76" s="53" t="s">
        <v>95</v>
      </c>
      <c r="I76" s="1678" t="s">
        <v>81</v>
      </c>
      <c r="J76" s="177"/>
      <c r="K76" s="177"/>
      <c r="L76" s="233"/>
      <c r="M76" s="553"/>
      <c r="N76" s="553"/>
      <c r="O76" s="553"/>
      <c r="P76" s="553"/>
      <c r="Q76" s="553"/>
      <c r="R76" s="553"/>
      <c r="S76" s="553"/>
      <c r="T76" s="553"/>
      <c r="U76" s="553"/>
      <c r="V76" s="79"/>
      <c r="W76" s="80" t="str">
        <f>$F$76</f>
        <v>kWControlled</v>
      </c>
      <c r="X76" s="80" t="str">
        <f t="shared" ref="X76:AG76" si="25">$F$76</f>
        <v>kWControlled</v>
      </c>
      <c r="Y76" s="80" t="str">
        <f t="shared" si="25"/>
        <v>kWControlled</v>
      </c>
      <c r="Z76" s="80" t="str">
        <f t="shared" si="25"/>
        <v>kWControlled</v>
      </c>
      <c r="AA76" s="80" t="str">
        <f t="shared" si="25"/>
        <v>kWControlled</v>
      </c>
      <c r="AB76" s="80" t="str">
        <f t="shared" si="25"/>
        <v>kWControlled</v>
      </c>
      <c r="AC76" s="80" t="str">
        <f t="shared" si="25"/>
        <v>kWControlled</v>
      </c>
      <c r="AD76" s="80" t="str">
        <f t="shared" si="25"/>
        <v>kWControlled</v>
      </c>
      <c r="AE76" s="80" t="str">
        <f t="shared" si="25"/>
        <v>kWControlled</v>
      </c>
      <c r="AF76" s="80" t="str">
        <f t="shared" si="25"/>
        <v>kWControlled</v>
      </c>
      <c r="AG76" s="80" t="str">
        <f t="shared" si="25"/>
        <v>kWControlled</v>
      </c>
      <c r="AI76" s="80" t="str">
        <f>$G$76</f>
        <v>Hours</v>
      </c>
      <c r="AJ76" s="80" t="str">
        <f t="shared" ref="AJ76:AS76" si="26">$G$76</f>
        <v>Hours</v>
      </c>
      <c r="AK76" s="80" t="str">
        <f t="shared" si="26"/>
        <v>Hours</v>
      </c>
      <c r="AL76" s="80" t="str">
        <f t="shared" si="26"/>
        <v>Hours</v>
      </c>
      <c r="AM76" s="80" t="str">
        <f t="shared" si="26"/>
        <v>Hours</v>
      </c>
      <c r="AN76" s="80" t="str">
        <f t="shared" si="26"/>
        <v>Hours</v>
      </c>
      <c r="AO76" s="80" t="str">
        <f t="shared" si="26"/>
        <v>Hours</v>
      </c>
      <c r="AP76" s="80" t="str">
        <f t="shared" si="26"/>
        <v>Hours</v>
      </c>
      <c r="AQ76" s="80" t="str">
        <f t="shared" si="26"/>
        <v>Hours</v>
      </c>
      <c r="AR76" s="80" t="str">
        <f t="shared" si="26"/>
        <v>Hours</v>
      </c>
      <c r="AS76" s="80" t="str">
        <f t="shared" si="26"/>
        <v>Hours</v>
      </c>
      <c r="AU76" s="81" t="str">
        <f>$H$76</f>
        <v>ESF</v>
      </c>
      <c r="AV76" s="81" t="str">
        <f t="shared" ref="AV76:BE76" si="27">$H$76</f>
        <v>ESF</v>
      </c>
      <c r="AW76" s="81" t="str">
        <f t="shared" si="27"/>
        <v>ESF</v>
      </c>
      <c r="AX76" s="81" t="str">
        <f t="shared" si="27"/>
        <v>ESF</v>
      </c>
      <c r="AY76" s="81" t="str">
        <f t="shared" si="27"/>
        <v>ESF</v>
      </c>
      <c r="AZ76" s="81" t="str">
        <f t="shared" si="27"/>
        <v>ESF</v>
      </c>
      <c r="BA76" s="81" t="str">
        <f t="shared" si="27"/>
        <v>ESF</v>
      </c>
      <c r="BB76" s="81" t="str">
        <f t="shared" si="27"/>
        <v>ESF</v>
      </c>
      <c r="BC76" s="81" t="str">
        <f t="shared" si="27"/>
        <v>ESF</v>
      </c>
      <c r="BD76" s="81" t="str">
        <f t="shared" si="27"/>
        <v>ESF</v>
      </c>
      <c r="BE76" s="81" t="str">
        <f t="shared" si="27"/>
        <v>ESF</v>
      </c>
      <c r="BG76" s="81" t="str">
        <f>$I$76</f>
        <v>WHFe</v>
      </c>
      <c r="BH76" s="81" t="str">
        <f t="shared" ref="BH76:BQ76" si="28">$I$76</f>
        <v>WHFe</v>
      </c>
      <c r="BI76" s="81" t="str">
        <f t="shared" si="28"/>
        <v>WHFe</v>
      </c>
      <c r="BJ76" s="81" t="str">
        <f t="shared" si="28"/>
        <v>WHFe</v>
      </c>
      <c r="BK76" s="81" t="str">
        <f t="shared" si="28"/>
        <v>WHFe</v>
      </c>
      <c r="BL76" s="81" t="str">
        <f t="shared" si="28"/>
        <v>WHFe</v>
      </c>
      <c r="BM76" s="81" t="str">
        <f t="shared" si="28"/>
        <v>WHFe</v>
      </c>
      <c r="BN76" s="81" t="str">
        <f t="shared" si="28"/>
        <v>WHFe</v>
      </c>
      <c r="BO76" s="81" t="str">
        <f t="shared" si="28"/>
        <v>WHFe</v>
      </c>
      <c r="BP76" s="81" t="str">
        <f t="shared" si="28"/>
        <v>WHFe</v>
      </c>
      <c r="BQ76" s="81" t="str">
        <f t="shared" si="28"/>
        <v>WHFe</v>
      </c>
      <c r="DB76" s="108"/>
    </row>
    <row r="77" spans="3:109" s="78" customFormat="1" hidden="1" outlineLevel="1" x14ac:dyDescent="0.25">
      <c r="C77" s="553"/>
      <c r="D77" s="1747"/>
      <c r="E77" s="1748" t="str">
        <f>E61</f>
        <v>Fixture Mounted Occupancy Sensor Controlling &gt;50 and &lt;=200 Watts</v>
      </c>
      <c r="F77" s="1757">
        <v>0.125</v>
      </c>
      <c r="G77" s="1758">
        <v>3351</v>
      </c>
      <c r="H77" s="1759">
        <v>0.24</v>
      </c>
      <c r="I77" s="1757">
        <v>1.07</v>
      </c>
      <c r="J77" s="177"/>
      <c r="K77" s="177"/>
      <c r="L77" s="233"/>
      <c r="M77" s="553"/>
      <c r="N77" s="553"/>
      <c r="O77" s="553"/>
      <c r="P77" s="553"/>
      <c r="Q77" s="553"/>
      <c r="R77" s="553"/>
      <c r="S77" s="553"/>
      <c r="T77" s="553"/>
      <c r="U77" s="553">
        <v>3077</v>
      </c>
      <c r="V77" s="84" t="str">
        <f>E77</f>
        <v>Fixture Mounted Occupancy Sensor Controlling &gt;50 and &lt;=200 Watts</v>
      </c>
      <c r="W77" s="62">
        <v>0.125</v>
      </c>
      <c r="X77" s="62">
        <v>0.125</v>
      </c>
      <c r="Y77" s="62">
        <v>0.125</v>
      </c>
      <c r="Z77" s="64"/>
      <c r="AA77" s="64"/>
      <c r="AB77" s="64"/>
      <c r="AC77" s="64"/>
      <c r="AD77" s="64"/>
      <c r="AE77" s="64"/>
      <c r="AF77" s="64"/>
      <c r="AG77" s="64"/>
      <c r="AI77" s="62">
        <v>3351</v>
      </c>
      <c r="AJ77" s="62">
        <v>3351</v>
      </c>
      <c r="AK77" s="62">
        <v>3351</v>
      </c>
      <c r="AL77" s="64"/>
      <c r="AM77" s="64"/>
      <c r="AN77" s="64"/>
      <c r="AO77" s="64"/>
      <c r="AP77" s="64"/>
      <c r="AQ77" s="64"/>
      <c r="AR77" s="64"/>
      <c r="AS77" s="64"/>
      <c r="AU77" s="62">
        <v>0.24</v>
      </c>
      <c r="AV77" s="62">
        <v>0.24</v>
      </c>
      <c r="AW77" s="62">
        <v>0.24</v>
      </c>
      <c r="AX77" s="64"/>
      <c r="AY77" s="64"/>
      <c r="AZ77" s="64"/>
      <c r="BA77" s="64"/>
      <c r="BB77" s="64"/>
      <c r="BC77" s="64"/>
      <c r="BD77" s="64"/>
      <c r="BE77" s="64"/>
      <c r="BG77" s="62">
        <v>1.07</v>
      </c>
      <c r="BH77" s="62">
        <v>1.07</v>
      </c>
      <c r="BI77" s="62">
        <v>1.07</v>
      </c>
      <c r="BJ77" s="64"/>
      <c r="BK77" s="64"/>
      <c r="BL77" s="64"/>
      <c r="BM77" s="64"/>
      <c r="BN77" s="64"/>
      <c r="BO77" s="64"/>
      <c r="BP77" s="64"/>
      <c r="BQ77" s="64"/>
      <c r="DB77" s="108"/>
    </row>
    <row r="78" spans="3:109" s="78" customFormat="1" hidden="1" outlineLevel="1" x14ac:dyDescent="0.25">
      <c r="C78" s="553"/>
      <c r="D78" s="1747"/>
      <c r="E78" s="1748" t="str">
        <f>E62</f>
        <v>Fixture Mounted Occupancy Sensor Controlling &gt;=201 and &lt;=500 Watts</v>
      </c>
      <c r="F78" s="1757">
        <v>0.36</v>
      </c>
      <c r="G78" s="1758">
        <v>3351</v>
      </c>
      <c r="H78" s="1759">
        <v>0.24</v>
      </c>
      <c r="I78" s="1757">
        <v>1.07</v>
      </c>
      <c r="J78" s="177"/>
      <c r="K78" s="177"/>
      <c r="L78" s="233"/>
      <c r="M78" s="553"/>
      <c r="N78" s="553"/>
      <c r="O78" s="553"/>
      <c r="P78" s="553"/>
      <c r="Q78" s="553"/>
      <c r="R78" s="553"/>
      <c r="S78" s="553"/>
      <c r="T78" s="553"/>
      <c r="U78" s="553">
        <v>3077</v>
      </c>
      <c r="V78" s="84" t="str">
        <f>E78</f>
        <v>Fixture Mounted Occupancy Sensor Controlling &gt;=201 and &lt;=500 Watts</v>
      </c>
      <c r="W78" s="62">
        <v>0.36</v>
      </c>
      <c r="X78" s="62">
        <v>0.36</v>
      </c>
      <c r="Y78" s="62">
        <v>0.36</v>
      </c>
      <c r="Z78" s="64"/>
      <c r="AA78" s="64"/>
      <c r="AB78" s="64"/>
      <c r="AC78" s="64"/>
      <c r="AD78" s="64"/>
      <c r="AE78" s="64"/>
      <c r="AF78" s="64"/>
      <c r="AG78" s="64"/>
      <c r="AI78" s="62">
        <v>3351</v>
      </c>
      <c r="AJ78" s="62">
        <v>3351</v>
      </c>
      <c r="AK78" s="62">
        <v>3351</v>
      </c>
      <c r="AL78" s="64"/>
      <c r="AM78" s="64"/>
      <c r="AN78" s="64"/>
      <c r="AO78" s="64"/>
      <c r="AP78" s="64"/>
      <c r="AQ78" s="64"/>
      <c r="AR78" s="64"/>
      <c r="AS78" s="64"/>
      <c r="AU78" s="62">
        <v>0.24</v>
      </c>
      <c r="AV78" s="62">
        <v>0.24</v>
      </c>
      <c r="AW78" s="62">
        <v>0.24</v>
      </c>
      <c r="AX78" s="64"/>
      <c r="AY78" s="64"/>
      <c r="AZ78" s="64"/>
      <c r="BA78" s="64"/>
      <c r="BB78" s="64"/>
      <c r="BC78" s="64"/>
      <c r="BD78" s="64"/>
      <c r="BE78" s="64"/>
      <c r="BG78" s="62">
        <v>1.07</v>
      </c>
      <c r="BH78" s="62">
        <v>1.07</v>
      </c>
      <c r="BI78" s="62">
        <v>1.07</v>
      </c>
      <c r="BJ78" s="64"/>
      <c r="BK78" s="64"/>
      <c r="BL78" s="64"/>
      <c r="BM78" s="64"/>
      <c r="BN78" s="64"/>
      <c r="BO78" s="64"/>
      <c r="BP78" s="64"/>
      <c r="BQ78" s="64"/>
      <c r="DB78" s="108"/>
    </row>
    <row r="79" spans="3:109" s="78" customFormat="1" hidden="1" outlineLevel="1" x14ac:dyDescent="0.25">
      <c r="C79" s="553"/>
      <c r="D79" s="1747"/>
      <c r="E79" s="1748" t="str">
        <f>E63</f>
        <v>Single Technology Occupancy Sensor Controlling Lighting Circuit &gt;50 and &lt;=120 Watts</v>
      </c>
      <c r="F79" s="1757">
        <v>0.1</v>
      </c>
      <c r="G79" s="1758">
        <v>3351</v>
      </c>
      <c r="H79" s="1759">
        <v>0.24</v>
      </c>
      <c r="I79" s="1757">
        <v>1.07</v>
      </c>
      <c r="J79" s="177"/>
      <c r="K79" s="177"/>
      <c r="L79" s="233"/>
      <c r="M79" s="553"/>
      <c r="N79" s="553"/>
      <c r="O79" s="553"/>
      <c r="P79" s="553"/>
      <c r="Q79" s="553"/>
      <c r="R79" s="553"/>
      <c r="S79" s="553"/>
      <c r="T79" s="553"/>
      <c r="U79" s="553">
        <v>3080</v>
      </c>
      <c r="V79" s="84" t="str">
        <f>E79</f>
        <v>Single Technology Occupancy Sensor Controlling Lighting Circuit &gt;50 and &lt;=120 Watts</v>
      </c>
      <c r="W79" s="62">
        <v>0.1</v>
      </c>
      <c r="X79" s="62">
        <v>0.1</v>
      </c>
      <c r="Y79" s="62">
        <v>0.1</v>
      </c>
      <c r="Z79" s="64"/>
      <c r="AA79" s="64"/>
      <c r="AB79" s="64"/>
      <c r="AC79" s="64"/>
      <c r="AD79" s="64"/>
      <c r="AE79" s="64"/>
      <c r="AF79" s="64"/>
      <c r="AG79" s="64"/>
      <c r="AI79" s="62">
        <v>3351</v>
      </c>
      <c r="AJ79" s="62">
        <v>3351</v>
      </c>
      <c r="AK79" s="62">
        <v>3351</v>
      </c>
      <c r="AL79" s="64"/>
      <c r="AM79" s="64"/>
      <c r="AN79" s="64"/>
      <c r="AO79" s="64"/>
      <c r="AP79" s="64"/>
      <c r="AQ79" s="64"/>
      <c r="AR79" s="64"/>
      <c r="AS79" s="64"/>
      <c r="AU79" s="62">
        <v>0.24</v>
      </c>
      <c r="AV79" s="62">
        <v>0.24</v>
      </c>
      <c r="AW79" s="62">
        <v>0.24</v>
      </c>
      <c r="AX79" s="64"/>
      <c r="AY79" s="64"/>
      <c r="AZ79" s="64"/>
      <c r="BA79" s="64"/>
      <c r="BB79" s="64"/>
      <c r="BC79" s="64"/>
      <c r="BD79" s="64"/>
      <c r="BE79" s="64"/>
      <c r="BG79" s="62">
        <v>1.07</v>
      </c>
      <c r="BH79" s="62">
        <v>1.07</v>
      </c>
      <c r="BI79" s="62">
        <v>1.07</v>
      </c>
      <c r="BJ79" s="64"/>
      <c r="BK79" s="64"/>
      <c r="BL79" s="64"/>
      <c r="BM79" s="64"/>
      <c r="BN79" s="64"/>
      <c r="BO79" s="64"/>
      <c r="BP79" s="64"/>
      <c r="BQ79" s="64"/>
      <c r="DB79" s="108"/>
    </row>
    <row r="80" spans="3:109" s="78" customFormat="1" hidden="1" outlineLevel="1" x14ac:dyDescent="0.25">
      <c r="C80" s="553"/>
      <c r="D80" s="1747"/>
      <c r="E80" s="1748" t="str">
        <f>E64</f>
        <v>Single Technology Occupancy Sensor Controlling Lighting Circuit &gt;120 Watts</v>
      </c>
      <c r="F80" s="1757">
        <v>0.51700000000000002</v>
      </c>
      <c r="G80" s="1758">
        <v>3351</v>
      </c>
      <c r="H80" s="1759">
        <v>0.24</v>
      </c>
      <c r="I80" s="1757">
        <v>1.07</v>
      </c>
      <c r="J80" s="177"/>
      <c r="K80" s="177"/>
      <c r="L80" s="233"/>
      <c r="M80" s="553"/>
      <c r="N80" s="553"/>
      <c r="O80" s="553"/>
      <c r="P80" s="553"/>
      <c r="Q80" s="553"/>
      <c r="R80" s="553"/>
      <c r="S80" s="553"/>
      <c r="T80" s="553"/>
      <c r="U80" s="553">
        <v>3079</v>
      </c>
      <c r="V80" s="84" t="str">
        <f>E80</f>
        <v>Single Technology Occupancy Sensor Controlling Lighting Circuit &gt;120 Watts</v>
      </c>
      <c r="W80" s="62">
        <v>0.51700000000000002</v>
      </c>
      <c r="X80" s="62">
        <v>0.51700000000000002</v>
      </c>
      <c r="Y80" s="62">
        <v>0.51700000000000002</v>
      </c>
      <c r="Z80" s="64"/>
      <c r="AA80" s="64"/>
      <c r="AB80" s="64"/>
      <c r="AC80" s="64"/>
      <c r="AD80" s="64"/>
      <c r="AE80" s="64"/>
      <c r="AF80" s="64"/>
      <c r="AG80" s="64"/>
      <c r="AI80" s="62">
        <v>3351</v>
      </c>
      <c r="AJ80" s="62">
        <v>3351</v>
      </c>
      <c r="AK80" s="62">
        <v>3351</v>
      </c>
      <c r="AL80" s="64"/>
      <c r="AM80" s="64"/>
      <c r="AN80" s="64"/>
      <c r="AO80" s="64"/>
      <c r="AP80" s="64"/>
      <c r="AQ80" s="64"/>
      <c r="AR80" s="64"/>
      <c r="AS80" s="64"/>
      <c r="AU80" s="62">
        <v>0.24</v>
      </c>
      <c r="AV80" s="62">
        <v>0.24</v>
      </c>
      <c r="AW80" s="62">
        <v>0.24</v>
      </c>
      <c r="AX80" s="64"/>
      <c r="AY80" s="64"/>
      <c r="AZ80" s="64"/>
      <c r="BA80" s="64"/>
      <c r="BB80" s="64"/>
      <c r="BC80" s="64"/>
      <c r="BD80" s="64"/>
      <c r="BE80" s="64"/>
      <c r="BG80" s="62">
        <v>1.07</v>
      </c>
      <c r="BH80" s="62">
        <v>1.07</v>
      </c>
      <c r="BI80" s="62">
        <v>1.07</v>
      </c>
      <c r="BJ80" s="64"/>
      <c r="BK80" s="64"/>
      <c r="BL80" s="64"/>
      <c r="BM80" s="64"/>
      <c r="BN80" s="64"/>
      <c r="BO80" s="64"/>
      <c r="BP80" s="64"/>
      <c r="BQ80" s="64"/>
      <c r="DB80" s="108"/>
    </row>
    <row r="81" spans="2:109" s="78" customFormat="1" hidden="1" outlineLevel="1" x14ac:dyDescent="0.25">
      <c r="C81" s="553"/>
      <c r="D81" s="1747"/>
      <c r="E81" s="1748" t="str">
        <f>E65</f>
        <v>Dual Technology Occupancy Sensor Controlling Lighting Circuit &gt;150 Watts</v>
      </c>
      <c r="F81" s="1757">
        <v>0.51700000000000002</v>
      </c>
      <c r="G81" s="1758">
        <v>3351</v>
      </c>
      <c r="H81" s="1759">
        <v>0.24</v>
      </c>
      <c r="I81" s="1757">
        <v>1.07</v>
      </c>
      <c r="J81" s="177"/>
      <c r="K81" s="177"/>
      <c r="L81" s="233"/>
      <c r="M81" s="553"/>
      <c r="N81" s="553"/>
      <c r="O81" s="553"/>
      <c r="P81" s="553"/>
      <c r="Q81" s="553"/>
      <c r="R81" s="553"/>
      <c r="S81" s="553"/>
      <c r="T81" s="553"/>
      <c r="U81" s="553">
        <v>3016</v>
      </c>
      <c r="V81" s="84" t="str">
        <f>E81</f>
        <v>Dual Technology Occupancy Sensor Controlling Lighting Circuit &gt;150 Watts</v>
      </c>
      <c r="W81" s="62">
        <v>0.51700000000000002</v>
      </c>
      <c r="X81" s="62">
        <v>0.51700000000000002</v>
      </c>
      <c r="Y81" s="62">
        <v>0.51700000000000002</v>
      </c>
      <c r="Z81" s="64"/>
      <c r="AA81" s="64"/>
      <c r="AB81" s="64"/>
      <c r="AC81" s="64"/>
      <c r="AD81" s="64"/>
      <c r="AE81" s="64"/>
      <c r="AF81" s="64"/>
      <c r="AG81" s="64"/>
      <c r="AH81" s="26"/>
      <c r="AI81" s="62">
        <v>3351</v>
      </c>
      <c r="AJ81" s="62">
        <v>3351</v>
      </c>
      <c r="AK81" s="62">
        <v>3351</v>
      </c>
      <c r="AL81" s="64"/>
      <c r="AM81" s="64"/>
      <c r="AN81" s="64"/>
      <c r="AO81" s="64"/>
      <c r="AP81" s="64"/>
      <c r="AQ81" s="64"/>
      <c r="AR81" s="64"/>
      <c r="AS81" s="64"/>
      <c r="AT81" s="26"/>
      <c r="AU81" s="62">
        <v>0.24</v>
      </c>
      <c r="AV81" s="62">
        <v>0.24</v>
      </c>
      <c r="AW81" s="62">
        <v>0.24</v>
      </c>
      <c r="AX81" s="64"/>
      <c r="AY81" s="64"/>
      <c r="AZ81" s="64"/>
      <c r="BA81" s="64"/>
      <c r="BB81" s="64"/>
      <c r="BC81" s="64"/>
      <c r="BD81" s="64"/>
      <c r="BE81" s="64"/>
      <c r="BF81" s="26"/>
      <c r="BG81" s="62">
        <v>1.07</v>
      </c>
      <c r="BH81" s="62">
        <v>1.07</v>
      </c>
      <c r="BI81" s="62">
        <v>1.07</v>
      </c>
      <c r="BJ81" s="64"/>
      <c r="BK81" s="64"/>
      <c r="BL81" s="64"/>
      <c r="BM81" s="64"/>
      <c r="BN81" s="64"/>
      <c r="BO81" s="64"/>
      <c r="BP81" s="64"/>
      <c r="BQ81" s="64"/>
      <c r="DB81" s="108"/>
    </row>
    <row r="82" spans="2:109" s="78" customFormat="1" collapsed="1" x14ac:dyDescent="0.25">
      <c r="C82" s="553"/>
      <c r="D82" s="1760" t="s">
        <v>96</v>
      </c>
      <c r="E82" s="1760"/>
      <c r="F82" s="1761"/>
      <c r="G82" s="1761"/>
      <c r="H82" s="1762"/>
      <c r="I82" s="1761"/>
      <c r="J82" s="1761"/>
      <c r="K82" s="553"/>
      <c r="L82" s="233"/>
      <c r="M82" s="553"/>
      <c r="N82" s="553"/>
      <c r="O82" s="553"/>
      <c r="P82" s="553"/>
      <c r="Q82" s="553"/>
      <c r="R82" s="553"/>
      <c r="S82" s="553"/>
      <c r="T82" s="553"/>
      <c r="U82" s="553"/>
      <c r="DB82" s="108"/>
    </row>
    <row r="83" spans="2:109" ht="18.75" customHeight="1" x14ac:dyDescent="0.25">
      <c r="D83" s="1753"/>
      <c r="G83" s="1716"/>
      <c r="H83" s="1743"/>
    </row>
    <row r="84" spans="2:109" s="46" customFormat="1" x14ac:dyDescent="0.25">
      <c r="B84" s="2612" t="s">
        <v>97</v>
      </c>
      <c r="C84" s="2613"/>
      <c r="D84" s="2613"/>
      <c r="E84" s="2613"/>
      <c r="F84" s="2613"/>
      <c r="G84" s="2613"/>
      <c r="H84" s="2613"/>
      <c r="I84" s="2614"/>
      <c r="J84" s="2614"/>
      <c r="K84" s="2614"/>
      <c r="L84" s="2614"/>
      <c r="M84" s="2615"/>
      <c r="N84" s="2615"/>
      <c r="O84" s="2616"/>
      <c r="V84" s="47" t="str">
        <f>B84</f>
        <v>Commercial Solid and Glass Door Refrigerators &amp; Freezers</v>
      </c>
      <c r="W84" s="48"/>
      <c r="X84" s="48"/>
      <c r="Y84" s="48"/>
      <c r="Z84" s="48"/>
      <c r="AA84" s="48"/>
      <c r="AB84" s="48"/>
      <c r="AC84" s="48"/>
      <c r="AD84" s="48"/>
      <c r="AE84" s="48"/>
      <c r="AF84" s="48"/>
      <c r="AG84" s="48"/>
      <c r="AH84" s="48"/>
      <c r="AI84" s="49"/>
      <c r="AJ84" s="26"/>
      <c r="AK84" s="26"/>
      <c r="AL84" s="26"/>
      <c r="AM84" s="26"/>
      <c r="AN84" s="26"/>
      <c r="AO84" s="26"/>
      <c r="AP84" s="26"/>
      <c r="AQ84" s="26"/>
      <c r="AR84" s="26"/>
      <c r="AS84" s="26"/>
      <c r="AT84" s="26"/>
      <c r="AU84" s="26"/>
      <c r="DB84" s="109"/>
    </row>
    <row r="85" spans="2:109" x14ac:dyDescent="0.25">
      <c r="D85" s="1724"/>
      <c r="E85" s="1719"/>
      <c r="F85" s="1719"/>
      <c r="G85" s="1719"/>
      <c r="H85" s="1725"/>
      <c r="I85" s="1719"/>
      <c r="J85" s="1719"/>
      <c r="K85" s="1719"/>
      <c r="L85" s="1719"/>
      <c r="P85" s="1719"/>
      <c r="Q85" s="1719"/>
      <c r="R85" s="1719"/>
      <c r="S85" s="1719"/>
      <c r="T85" s="1719"/>
      <c r="U85" s="1719"/>
      <c r="V85"/>
      <c r="W85"/>
      <c r="X85"/>
      <c r="Y85"/>
      <c r="Z85"/>
      <c r="AA85"/>
      <c r="AB85"/>
      <c r="AC85"/>
      <c r="AD85"/>
      <c r="AE85"/>
      <c r="AF85"/>
      <c r="AG85"/>
      <c r="AH85"/>
      <c r="AI85"/>
      <c r="AJ85" s="44"/>
      <c r="AK85" s="44"/>
      <c r="AL85" s="44"/>
      <c r="AM85" s="44"/>
      <c r="AN85" s="44"/>
      <c r="AO85" s="44"/>
      <c r="AP85" s="44"/>
      <c r="AQ85" s="44"/>
      <c r="AR85" s="44"/>
      <c r="AS85" s="44"/>
      <c r="AU85" s="44"/>
    </row>
    <row r="86" spans="2:109" s="50" customFormat="1" ht="30" x14ac:dyDescent="0.25">
      <c r="B86" s="51"/>
      <c r="C86" s="52" t="s">
        <v>17</v>
      </c>
      <c r="D86" s="1678" t="s">
        <v>18</v>
      </c>
      <c r="E86" s="1678" t="s">
        <v>19</v>
      </c>
      <c r="F86" s="1678" t="s">
        <v>20</v>
      </c>
      <c r="G86" s="1678" t="s">
        <v>21</v>
      </c>
      <c r="H86" s="53" t="s">
        <v>22</v>
      </c>
      <c r="I86" s="1678" t="s">
        <v>23</v>
      </c>
      <c r="J86" s="1678" t="s">
        <v>24</v>
      </c>
      <c r="K86" s="52" t="s">
        <v>25</v>
      </c>
      <c r="L86" s="52" t="s">
        <v>26</v>
      </c>
      <c r="M86" s="1716"/>
      <c r="N86" s="1716"/>
      <c r="O86" s="1716"/>
      <c r="P86" s="1726"/>
      <c r="Q86" s="1726"/>
      <c r="R86" s="1726"/>
      <c r="S86" s="1726"/>
      <c r="T86" s="1726"/>
      <c r="U86" s="1726"/>
      <c r="V86" s="55" t="s">
        <v>27</v>
      </c>
      <c r="W86" s="56">
        <f>$W$8</f>
        <v>43252</v>
      </c>
      <c r="X86" s="56">
        <f>$X$8</f>
        <v>43465</v>
      </c>
      <c r="Y86" s="56">
        <f>$Y$8</f>
        <v>43800</v>
      </c>
      <c r="Z86" s="56" t="str">
        <f>$Z$8</f>
        <v>-</v>
      </c>
      <c r="AA86" s="56" t="str">
        <f>$AA$8</f>
        <v>-</v>
      </c>
      <c r="AB86" s="56" t="str">
        <f>$AB$8</f>
        <v>-</v>
      </c>
      <c r="AC86" s="56" t="str">
        <f>$AC$8</f>
        <v>-</v>
      </c>
      <c r="AD86" s="56" t="str">
        <f>$AD$8</f>
        <v>-</v>
      </c>
      <c r="AE86" s="56" t="str">
        <f>$AE$8</f>
        <v>-</v>
      </c>
      <c r="AF86" s="56" t="str">
        <f>$AF$8</f>
        <v>-</v>
      </c>
      <c r="AG86" s="56" t="str">
        <f>$AG$8</f>
        <v>-</v>
      </c>
      <c r="AH86"/>
      <c r="AI86" s="55" t="s">
        <v>27</v>
      </c>
      <c r="AJ86" s="56">
        <v>43252</v>
      </c>
      <c r="AK86" s="56">
        <f>$X$8</f>
        <v>43465</v>
      </c>
      <c r="AL86" s="56">
        <f>$Y$8</f>
        <v>43800</v>
      </c>
      <c r="AM86" s="56" t="str">
        <f>$Z$8</f>
        <v>-</v>
      </c>
      <c r="AN86" s="56" t="str">
        <f>$AA$8</f>
        <v>-</v>
      </c>
      <c r="AO86" s="56" t="str">
        <f>$AB$8</f>
        <v>-</v>
      </c>
      <c r="AP86" s="56" t="str">
        <f>$AC$8</f>
        <v>-</v>
      </c>
      <c r="AQ86" s="56" t="str">
        <f>$AD$8</f>
        <v>-</v>
      </c>
      <c r="AR86" s="56" t="str">
        <f>$AE$8</f>
        <v>-</v>
      </c>
      <c r="AS86" s="56" t="str">
        <f>$AF$8</f>
        <v>-</v>
      </c>
      <c r="AT86" s="26"/>
      <c r="AU86" s="55" t="s">
        <v>27</v>
      </c>
      <c r="AV86" s="56">
        <v>43252</v>
      </c>
      <c r="AW86" s="56">
        <f>$X$8</f>
        <v>43465</v>
      </c>
      <c r="AX86" s="56">
        <f>$Y$8</f>
        <v>43800</v>
      </c>
      <c r="AY86" s="56" t="str">
        <f>$Z$8</f>
        <v>-</v>
      </c>
      <c r="AZ86" s="56" t="str">
        <f>$AA$8</f>
        <v>-</v>
      </c>
      <c r="BA86" s="56" t="str">
        <f>$AB$8</f>
        <v>-</v>
      </c>
      <c r="BB86" s="56" t="str">
        <f>$AC$8</f>
        <v>-</v>
      </c>
      <c r="BC86" s="56" t="str">
        <f>$AD$8</f>
        <v>-</v>
      </c>
      <c r="BD86" s="56" t="str">
        <f>$AE$8</f>
        <v>-</v>
      </c>
      <c r="BE86" s="56" t="str">
        <f>$AF$8</f>
        <v>-</v>
      </c>
      <c r="CD86" s="46"/>
      <c r="DB86" s="57" t="str">
        <f>$DB$8</f>
        <v>TRC (2020)</v>
      </c>
      <c r="DC86" s="103" t="str">
        <f>$DC$8</f>
        <v>Benefit Lookup</v>
      </c>
      <c r="DD86" s="103" t="str">
        <f>$DD$8</f>
        <v>Benefits (2019 $)</v>
      </c>
      <c r="DE86" s="103" t="str">
        <f>$DE$8</f>
        <v>Incremental Cost (2019 $)</v>
      </c>
    </row>
    <row r="87" spans="2:109" x14ac:dyDescent="0.25">
      <c r="C87" s="1763" t="s">
        <v>98</v>
      </c>
      <c r="D87" s="1728" t="s">
        <v>34</v>
      </c>
      <c r="E87" s="1754" t="s">
        <v>99</v>
      </c>
      <c r="F87" s="210">
        <f>ROUND(((G125*H$122+I$122)-(G125*H125+I125))*365.25,2)</f>
        <v>379.86</v>
      </c>
      <c r="G87" s="1730" t="s">
        <v>100</v>
      </c>
      <c r="H87" s="1731">
        <f>VLOOKUP(G87,'CP FACTORS'!$A$26:$B$38,2,FALSE)</f>
        <v>1.3573829999999999E-4</v>
      </c>
      <c r="I87" s="1755">
        <f t="shared" ref="I87:I110" si="29">ROUND(H87*F87,6)</f>
        <v>5.1561999999999997E-2</v>
      </c>
      <c r="J87" s="1764">
        <v>12</v>
      </c>
      <c r="K87" s="1756">
        <v>150</v>
      </c>
      <c r="L87" s="1734" t="s">
        <v>37</v>
      </c>
      <c r="V87" s="61" t="s">
        <v>20</v>
      </c>
      <c r="W87" s="71">
        <v>379.86</v>
      </c>
      <c r="X87" s="71">
        <v>379.86</v>
      </c>
      <c r="Y87" s="71">
        <v>379.86</v>
      </c>
      <c r="Z87" s="64"/>
      <c r="AA87" s="64"/>
      <c r="AB87" s="64"/>
      <c r="AC87" s="64"/>
      <c r="AD87" s="64"/>
      <c r="AE87" s="64"/>
      <c r="AF87" s="64"/>
      <c r="AG87" s="64"/>
      <c r="AH87" s="65"/>
      <c r="AI87" s="61" t="s">
        <v>24</v>
      </c>
      <c r="AJ87" s="66">
        <v>12</v>
      </c>
      <c r="AK87" s="66">
        <v>12</v>
      </c>
      <c r="AL87" s="66">
        <v>12</v>
      </c>
      <c r="AM87" s="64"/>
      <c r="AN87" s="64"/>
      <c r="AO87" s="64"/>
      <c r="AP87" s="64"/>
      <c r="AQ87" s="64"/>
      <c r="AR87" s="64"/>
      <c r="AS87" s="64"/>
      <c r="AT87" s="29"/>
      <c r="AU87" s="61" t="s">
        <v>25</v>
      </c>
      <c r="AV87" s="67">
        <v>150</v>
      </c>
      <c r="AW87" s="67">
        <v>150</v>
      </c>
      <c r="AX87" s="67">
        <v>150</v>
      </c>
      <c r="AY87" s="64"/>
      <c r="AZ87" s="64"/>
      <c r="BA87" s="64"/>
      <c r="BB87" s="64"/>
      <c r="BC87" s="64"/>
      <c r="BD87" s="64"/>
      <c r="BE87" s="64"/>
      <c r="DB87" s="68">
        <f>(DD87)/(DE87)</f>
        <v>1.1662829576096756</v>
      </c>
      <c r="DC87" s="69" t="str">
        <f>CONCATENATE(G87," ",J87," Year EUL")</f>
        <v>Refrigeration BUS 12 Year EUL</v>
      </c>
      <c r="DD87" s="105">
        <f>(INDEX('Avoided Cost Benefits'!$C$4:$C$857,MATCH(DC87,'Avoided Cost Benefits'!$A$4:$A$857,0)))*F87</f>
        <v>165.11792698579643</v>
      </c>
      <c r="DE87" s="70">
        <f>K87/(1.0595^(2020-2019))</f>
        <v>141.57621519584708</v>
      </c>
    </row>
    <row r="88" spans="2:109" x14ac:dyDescent="0.25">
      <c r="C88" s="1763" t="s">
        <v>101</v>
      </c>
      <c r="D88" s="1728" t="s">
        <v>34</v>
      </c>
      <c r="E88" s="1754" t="s">
        <v>102</v>
      </c>
      <c r="F88" s="210">
        <f t="shared" ref="F88:F90" si="30">ROUND(((G126*H$122+I$122)-(G126*H126+I126))*365.25,2)</f>
        <v>626.4</v>
      </c>
      <c r="G88" s="1730" t="s">
        <v>100</v>
      </c>
      <c r="H88" s="1731">
        <f>VLOOKUP(G88,'CP FACTORS'!$A$26:$B$38,2,FALSE)</f>
        <v>1.3573829999999999E-4</v>
      </c>
      <c r="I88" s="1755">
        <f t="shared" si="29"/>
        <v>8.5026000000000004E-2</v>
      </c>
      <c r="J88" s="1765">
        <f>$J$87</f>
        <v>12</v>
      </c>
      <c r="K88" s="1756">
        <v>400</v>
      </c>
      <c r="L88" s="1734" t="s">
        <v>37</v>
      </c>
      <c r="V88" s="61" t="s">
        <v>20</v>
      </c>
      <c r="W88" s="71">
        <v>626.40374999999995</v>
      </c>
      <c r="X88" s="71">
        <v>626.40374999999995</v>
      </c>
      <c r="Y88" s="71">
        <v>626.40374999999995</v>
      </c>
      <c r="Z88" s="64"/>
      <c r="AA88" s="64"/>
      <c r="AB88" s="64"/>
      <c r="AC88" s="64"/>
      <c r="AD88" s="64"/>
      <c r="AE88" s="64"/>
      <c r="AF88" s="64"/>
      <c r="AG88" s="64"/>
      <c r="AH88" s="65"/>
      <c r="AI88" s="61" t="s">
        <v>24</v>
      </c>
      <c r="AJ88" s="66">
        <v>12</v>
      </c>
      <c r="AK88" s="66">
        <v>12</v>
      </c>
      <c r="AL88" s="66">
        <v>12</v>
      </c>
      <c r="AM88" s="64"/>
      <c r="AN88" s="64"/>
      <c r="AO88" s="64"/>
      <c r="AP88" s="64"/>
      <c r="AQ88" s="64"/>
      <c r="AR88" s="64"/>
      <c r="AS88" s="64"/>
      <c r="AT88" s="29"/>
      <c r="AU88" s="61" t="s">
        <v>25</v>
      </c>
      <c r="AV88" s="67">
        <v>400</v>
      </c>
      <c r="AW88" s="67">
        <v>400</v>
      </c>
      <c r="AX88" s="67">
        <v>400</v>
      </c>
      <c r="AY88" s="64"/>
      <c r="AZ88" s="64"/>
      <c r="BA88" s="64"/>
      <c r="BB88" s="64"/>
      <c r="BC88" s="64"/>
      <c r="BD88" s="64"/>
      <c r="BE88" s="64"/>
      <c r="DB88" s="72">
        <f t="shared" ref="DB88:DB90" si="31">(DD88)/(DE88)</f>
        <v>0.72121272769576361</v>
      </c>
      <c r="DC88" s="73" t="str">
        <f>CONCATENATE(G88," ",J88," Year EUL")</f>
        <v>Refrigeration BUS 12 Year EUL</v>
      </c>
      <c r="DD88" s="106">
        <f>(INDEX('Avoided Cost Benefits'!$C$4:$C$857,MATCH(DC88,'Avoided Cost Benefits'!$A$4:$A$857,0)))*F88</f>
        <v>272.2841822353048</v>
      </c>
      <c r="DE88" s="74">
        <f>K88/(1.0595^(2020-2019))</f>
        <v>377.53657385559222</v>
      </c>
    </row>
    <row r="89" spans="2:109" x14ac:dyDescent="0.25">
      <c r="C89" s="1763" t="s">
        <v>103</v>
      </c>
      <c r="D89" s="1728" t="s">
        <v>34</v>
      </c>
      <c r="E89" s="1754" t="s">
        <v>104</v>
      </c>
      <c r="F89" s="210">
        <f t="shared" si="30"/>
        <v>982.52</v>
      </c>
      <c r="G89" s="1730" t="s">
        <v>100</v>
      </c>
      <c r="H89" s="1731">
        <f>VLOOKUP(G89,'CP FACTORS'!$A$26:$B$38,2,FALSE)</f>
        <v>1.3573829999999999E-4</v>
      </c>
      <c r="I89" s="1755">
        <f t="shared" si="29"/>
        <v>0.13336600000000001</v>
      </c>
      <c r="J89" s="1765">
        <f>$J$87</f>
        <v>12</v>
      </c>
      <c r="K89" s="1756">
        <v>550</v>
      </c>
      <c r="L89" s="1734" t="s">
        <v>37</v>
      </c>
      <c r="V89" s="61" t="s">
        <v>20</v>
      </c>
      <c r="W89" s="71">
        <v>982.52250000000004</v>
      </c>
      <c r="X89" s="71">
        <v>982.52250000000004</v>
      </c>
      <c r="Y89" s="71">
        <v>982.52250000000004</v>
      </c>
      <c r="Z89" s="64"/>
      <c r="AA89" s="64"/>
      <c r="AB89" s="64"/>
      <c r="AC89" s="64"/>
      <c r="AD89" s="64"/>
      <c r="AE89" s="64"/>
      <c r="AF89" s="64"/>
      <c r="AG89" s="64"/>
      <c r="AH89" s="65"/>
      <c r="AI89" s="61" t="s">
        <v>24</v>
      </c>
      <c r="AJ89" s="66">
        <v>12</v>
      </c>
      <c r="AK89" s="66">
        <v>12</v>
      </c>
      <c r="AL89" s="66">
        <v>12</v>
      </c>
      <c r="AM89" s="64"/>
      <c r="AN89" s="64"/>
      <c r="AO89" s="64"/>
      <c r="AP89" s="64"/>
      <c r="AQ89" s="64"/>
      <c r="AR89" s="64"/>
      <c r="AS89" s="64"/>
      <c r="AT89" s="29"/>
      <c r="AU89" s="61" t="s">
        <v>25</v>
      </c>
      <c r="AV89" s="67">
        <v>550</v>
      </c>
      <c r="AW89" s="67">
        <v>550</v>
      </c>
      <c r="AX89" s="67">
        <v>550</v>
      </c>
      <c r="AY89" s="64"/>
      <c r="AZ89" s="64"/>
      <c r="BA89" s="64"/>
      <c r="BB89" s="64"/>
      <c r="BC89" s="64"/>
      <c r="BD89" s="64"/>
      <c r="BE89" s="64"/>
      <c r="DB89" s="72">
        <f t="shared" si="31"/>
        <v>0.82271674122331551</v>
      </c>
      <c r="DC89" s="73" t="str">
        <f>CONCATENATE(G89," ",J89," Year EUL")</f>
        <v>Refrigeration BUS 12 Year EUL</v>
      </c>
      <c r="DD89" s="106">
        <f>(INDEX('Avoided Cost Benefits'!$C$4:$C$857,MATCH(DC89,'Avoided Cost Benefits'!$A$4:$A$857,0)))*F89</f>
        <v>427.08278213574658</v>
      </c>
      <c r="DE89" s="74">
        <f>K89/(1.0595^(2020-2019))</f>
        <v>519.11278905143934</v>
      </c>
    </row>
    <row r="90" spans="2:109" x14ac:dyDescent="0.25">
      <c r="C90" s="1763" t="s">
        <v>105</v>
      </c>
      <c r="D90" s="1728" t="s">
        <v>34</v>
      </c>
      <c r="E90" s="1754" t="s">
        <v>106</v>
      </c>
      <c r="F90" s="210">
        <f t="shared" si="30"/>
        <v>1311.25</v>
      </c>
      <c r="G90" s="1730" t="s">
        <v>100</v>
      </c>
      <c r="H90" s="1731">
        <f>VLOOKUP(G90,'CP FACTORS'!$A$26:$B$38,2,FALSE)</f>
        <v>1.3573829999999999E-4</v>
      </c>
      <c r="I90" s="1755">
        <f t="shared" si="29"/>
        <v>0.17798700000000001</v>
      </c>
      <c r="J90" s="1765">
        <f>$J$87</f>
        <v>12</v>
      </c>
      <c r="K90" s="1756">
        <v>700</v>
      </c>
      <c r="L90" s="1734" t="s">
        <v>37</v>
      </c>
      <c r="P90" s="1736"/>
      <c r="Q90" s="1737"/>
      <c r="R90" s="1738"/>
      <c r="S90" s="1738"/>
      <c r="T90" s="1739"/>
      <c r="V90" s="61" t="s">
        <v>20</v>
      </c>
      <c r="W90" s="71">
        <v>1311.2474999999999</v>
      </c>
      <c r="X90" s="71">
        <v>1311.2474999999999</v>
      </c>
      <c r="Y90" s="71">
        <v>1311.2474999999999</v>
      </c>
      <c r="Z90" s="64"/>
      <c r="AA90" s="64"/>
      <c r="AB90" s="64"/>
      <c r="AC90" s="64"/>
      <c r="AD90" s="64"/>
      <c r="AE90" s="64"/>
      <c r="AF90" s="64"/>
      <c r="AG90" s="64"/>
      <c r="AH90" s="65"/>
      <c r="AI90" s="61" t="s">
        <v>24</v>
      </c>
      <c r="AJ90" s="66">
        <v>12</v>
      </c>
      <c r="AK90" s="66">
        <v>12</v>
      </c>
      <c r="AL90" s="66">
        <v>12</v>
      </c>
      <c r="AM90" s="64"/>
      <c r="AN90" s="64"/>
      <c r="AO90" s="64"/>
      <c r="AP90" s="64"/>
      <c r="AQ90" s="64"/>
      <c r="AR90" s="64"/>
      <c r="AS90" s="64"/>
      <c r="AT90" s="29"/>
      <c r="AU90" s="61" t="s">
        <v>25</v>
      </c>
      <c r="AV90" s="67">
        <v>700</v>
      </c>
      <c r="AW90" s="67">
        <v>700</v>
      </c>
      <c r="AX90" s="67">
        <v>700</v>
      </c>
      <c r="AY90" s="64"/>
      <c r="AZ90" s="64"/>
      <c r="BA90" s="64"/>
      <c r="BB90" s="64"/>
      <c r="BC90" s="64"/>
      <c r="BD90" s="64"/>
      <c r="BE90" s="64"/>
      <c r="DB90" s="72">
        <f t="shared" si="31"/>
        <v>0.86269858528650811</v>
      </c>
      <c r="DC90" s="73" t="str">
        <f>CONCATENATE(G90," ",J90," Year EUL")</f>
        <v>Refrigeration BUS 12 Year EUL</v>
      </c>
      <c r="DD90" s="106">
        <f>(INDEX('Avoided Cost Benefits'!$C$4:$C$857,MATCH(DC90,'Avoided Cost Benefits'!$A$4:$A$857,0)))*F90</f>
        <v>569.97546927848566</v>
      </c>
      <c r="DE90" s="74">
        <f>K90/(1.0595^(2020-2019))</f>
        <v>660.68900424728633</v>
      </c>
    </row>
    <row r="91" spans="2:109" x14ac:dyDescent="0.25">
      <c r="C91" s="1763"/>
      <c r="D91" s="1747"/>
      <c r="E91" s="1754"/>
      <c r="F91" s="210"/>
      <c r="G91" s="1730"/>
      <c r="H91" s="1731"/>
      <c r="I91" s="1755"/>
      <c r="J91" s="1765"/>
      <c r="K91" s="1756"/>
      <c r="L91" s="1734" t="s">
        <v>37</v>
      </c>
      <c r="P91" s="1736"/>
      <c r="Q91" s="1737"/>
      <c r="R91" s="1738"/>
      <c r="S91" s="1738"/>
      <c r="T91" s="1739"/>
      <c r="V91" s="61" t="s">
        <v>20</v>
      </c>
      <c r="W91" s="71"/>
      <c r="X91" s="71"/>
      <c r="Y91" s="71"/>
      <c r="Z91" s="62"/>
      <c r="AA91" s="62"/>
      <c r="AB91" s="62"/>
      <c r="AC91" s="62"/>
      <c r="AD91" s="62"/>
      <c r="AE91" s="62"/>
      <c r="AF91" s="62"/>
      <c r="AG91" s="62"/>
      <c r="AH91" s="65"/>
      <c r="AI91" s="61" t="s">
        <v>24</v>
      </c>
      <c r="AJ91" s="66"/>
      <c r="AK91" s="66"/>
      <c r="AL91" s="66"/>
      <c r="AM91" s="62"/>
      <c r="AN91" s="62"/>
      <c r="AO91" s="62"/>
      <c r="AP91" s="62"/>
      <c r="AQ91" s="62"/>
      <c r="AR91" s="62"/>
      <c r="AS91" s="62"/>
      <c r="AT91" s="29"/>
      <c r="AU91" s="61" t="s">
        <v>25</v>
      </c>
      <c r="AV91" s="67"/>
      <c r="AW91" s="67"/>
      <c r="AX91" s="67"/>
      <c r="AY91" s="62"/>
      <c r="AZ91" s="62"/>
      <c r="BA91" s="62"/>
      <c r="BB91" s="62"/>
      <c r="BC91" s="62"/>
      <c r="BD91" s="62"/>
      <c r="BE91" s="62"/>
      <c r="DB91" s="112"/>
      <c r="DC91" s="73"/>
      <c r="DD91" s="106"/>
      <c r="DE91" s="74"/>
    </row>
    <row r="92" spans="2:109" x14ac:dyDescent="0.25">
      <c r="C92" s="1763" t="s">
        <v>107</v>
      </c>
      <c r="D92" s="1728" t="s">
        <v>34</v>
      </c>
      <c r="E92" s="1754" t="s">
        <v>108</v>
      </c>
      <c r="F92" s="210">
        <f>ROUND(((G129*H$122+I$122)-(G129*H129+I129))*365.25,2)</f>
        <v>354.29</v>
      </c>
      <c r="G92" s="1730" t="s">
        <v>100</v>
      </c>
      <c r="H92" s="1731">
        <f>VLOOKUP(G92,'CP FACTORS'!$A$26:$B$38,2,FALSE)</f>
        <v>1.3573829999999999E-4</v>
      </c>
      <c r="I92" s="1755">
        <f t="shared" si="29"/>
        <v>4.8091000000000002E-2</v>
      </c>
      <c r="J92" s="1765">
        <f>$J$87</f>
        <v>12</v>
      </c>
      <c r="K92" s="1756">
        <v>250</v>
      </c>
      <c r="L92" s="1734" t="s">
        <v>37</v>
      </c>
      <c r="M92" s="1766"/>
      <c r="P92" s="1736"/>
      <c r="Q92" s="1737"/>
      <c r="R92" s="1738"/>
      <c r="S92" s="1738"/>
      <c r="T92" s="1739"/>
      <c r="V92" s="61" t="s">
        <v>20</v>
      </c>
      <c r="W92" s="71">
        <v>354.29250000000002</v>
      </c>
      <c r="X92" s="71">
        <v>354.29250000000002</v>
      </c>
      <c r="Y92" s="71">
        <v>354.29250000000002</v>
      </c>
      <c r="Z92" s="62"/>
      <c r="AA92" s="62"/>
      <c r="AB92" s="62"/>
      <c r="AC92" s="62"/>
      <c r="AD92" s="62"/>
      <c r="AE92" s="62"/>
      <c r="AF92" s="62"/>
      <c r="AG92" s="62"/>
      <c r="AI92" s="61" t="s">
        <v>24</v>
      </c>
      <c r="AJ92" s="66">
        <v>12</v>
      </c>
      <c r="AK92" s="66">
        <v>12</v>
      </c>
      <c r="AL92" s="66">
        <v>12</v>
      </c>
      <c r="AM92" s="62"/>
      <c r="AN92" s="62"/>
      <c r="AO92" s="62"/>
      <c r="AP92" s="62"/>
      <c r="AQ92" s="62"/>
      <c r="AR92" s="62"/>
      <c r="AS92" s="62"/>
      <c r="AT92" s="29"/>
      <c r="AU92" s="61" t="s">
        <v>25</v>
      </c>
      <c r="AV92" s="67">
        <v>250</v>
      </c>
      <c r="AW92" s="67">
        <v>250</v>
      </c>
      <c r="AX92" s="67">
        <v>250</v>
      </c>
      <c r="AY92" s="62"/>
      <c r="AZ92" s="62"/>
      <c r="BA92" s="62"/>
      <c r="BB92" s="62"/>
      <c r="BC92" s="62"/>
      <c r="BD92" s="62"/>
      <c r="BE92" s="62"/>
      <c r="DB92" s="72">
        <f t="shared" ref="DB92:DB110" si="32">(DD92)/(DE92)</f>
        <v>0.652665280447847</v>
      </c>
      <c r="DC92" s="73" t="str">
        <f>CONCATENATE(G92," ",J92," Year EUL")</f>
        <v>Refrigeration BUS 12 Year EUL</v>
      </c>
      <c r="DD92" s="106">
        <f>(INDEX('Avoided Cost Benefits'!$C$4:$C$857,MATCH(DC92,'Avoided Cost Benefits'!$A$4:$A$857,0)))*F92</f>
        <v>154.00313365923714</v>
      </c>
      <c r="DE92" s="74">
        <f>K92/(1.0595^(2020-2019))</f>
        <v>235.96035865974514</v>
      </c>
    </row>
    <row r="93" spans="2:109" ht="15.75" customHeight="1" x14ac:dyDescent="0.25">
      <c r="C93" s="1763" t="s">
        <v>109</v>
      </c>
      <c r="D93" s="1728" t="s">
        <v>34</v>
      </c>
      <c r="E93" s="1754" t="s">
        <v>110</v>
      </c>
      <c r="F93" s="210">
        <f>ROUND(((G130*H$122+I$122)-(G130*H130+I130))*365.25,2)</f>
        <v>217.32</v>
      </c>
      <c r="G93" s="1730" t="s">
        <v>100</v>
      </c>
      <c r="H93" s="1731">
        <f>VLOOKUP(G93,'CP FACTORS'!$A$26:$B$38,2,FALSE)</f>
        <v>1.3573829999999999E-4</v>
      </c>
      <c r="I93" s="1755">
        <f t="shared" si="29"/>
        <v>2.9499000000000001E-2</v>
      </c>
      <c r="J93" s="1765">
        <f>$J$87</f>
        <v>12</v>
      </c>
      <c r="K93" s="1756">
        <v>500</v>
      </c>
      <c r="L93" s="1734" t="s">
        <v>37</v>
      </c>
      <c r="M93" s="1766"/>
      <c r="P93" s="1736"/>
      <c r="Q93" s="1737"/>
      <c r="R93" s="1738"/>
      <c r="S93" s="1738"/>
      <c r="T93" s="1739"/>
      <c r="V93" s="61" t="s">
        <v>20</v>
      </c>
      <c r="W93" s="71">
        <v>217.32375000000008</v>
      </c>
      <c r="X93" s="71">
        <v>217.32375000000008</v>
      </c>
      <c r="Y93" s="71">
        <v>217.32375000000008</v>
      </c>
      <c r="Z93" s="62"/>
      <c r="AA93" s="62"/>
      <c r="AB93" s="62"/>
      <c r="AC93" s="62"/>
      <c r="AD93" s="62"/>
      <c r="AE93" s="62"/>
      <c r="AF93" s="62"/>
      <c r="AG93" s="62"/>
      <c r="AI93" s="61" t="s">
        <v>24</v>
      </c>
      <c r="AJ93" s="66">
        <v>12</v>
      </c>
      <c r="AK93" s="66">
        <v>12</v>
      </c>
      <c r="AL93" s="66">
        <v>12</v>
      </c>
      <c r="AM93" s="62"/>
      <c r="AN93" s="62"/>
      <c r="AO93" s="62"/>
      <c r="AP93" s="62"/>
      <c r="AQ93" s="62"/>
      <c r="AR93" s="62"/>
      <c r="AS93" s="62"/>
      <c r="AT93" s="29"/>
      <c r="AU93" s="61" t="s">
        <v>25</v>
      </c>
      <c r="AV93" s="67">
        <v>500</v>
      </c>
      <c r="AW93" s="67">
        <v>500</v>
      </c>
      <c r="AX93" s="67">
        <v>500</v>
      </c>
      <c r="AY93" s="62"/>
      <c r="AZ93" s="62"/>
      <c r="BA93" s="62"/>
      <c r="BB93" s="62"/>
      <c r="BC93" s="62"/>
      <c r="BD93" s="62"/>
      <c r="BE93" s="62"/>
      <c r="DB93" s="72">
        <f t="shared" si="32"/>
        <v>0.20017107277502344</v>
      </c>
      <c r="DC93" s="73" t="str">
        <f>CONCATENATE(G93," ",J93," Year EUL")</f>
        <v>Refrigeration BUS 12 Year EUL</v>
      </c>
      <c r="DD93" s="106">
        <f>(INDEX('Avoided Cost Benefits'!$C$4:$C$857,MATCH(DC93,'Avoided Cost Benefits'!$A$4:$A$857,0)))*F93</f>
        <v>94.464876250600952</v>
      </c>
      <c r="DE93" s="74">
        <f>K93/(1.0595^(2020-2019))</f>
        <v>471.92071731949028</v>
      </c>
    </row>
    <row r="94" spans="2:109" x14ac:dyDescent="0.25">
      <c r="C94" s="1763" t="s">
        <v>111</v>
      </c>
      <c r="D94" s="1728" t="s">
        <v>34</v>
      </c>
      <c r="E94" s="1754" t="s">
        <v>112</v>
      </c>
      <c r="F94" s="210">
        <f>ROUND(((G131*H$122+I$122)-(G131*H131+I131))*365.25,2)</f>
        <v>226.46</v>
      </c>
      <c r="G94" s="1730" t="s">
        <v>100</v>
      </c>
      <c r="H94" s="1731">
        <f>VLOOKUP(G94,'CP FACTORS'!$A$26:$B$38,2,FALSE)</f>
        <v>1.3573829999999999E-4</v>
      </c>
      <c r="I94" s="1755">
        <f t="shared" si="29"/>
        <v>3.0738999999999999E-2</v>
      </c>
      <c r="J94" s="1765">
        <f>$J$87</f>
        <v>12</v>
      </c>
      <c r="K94" s="1756">
        <v>1307</v>
      </c>
      <c r="L94" s="1734" t="s">
        <v>37</v>
      </c>
      <c r="M94" s="1766"/>
      <c r="P94" s="1736"/>
      <c r="Q94" s="1737"/>
      <c r="R94" s="1738"/>
      <c r="S94" s="1738"/>
      <c r="T94" s="1739"/>
      <c r="V94" s="61" t="s">
        <v>20</v>
      </c>
      <c r="W94" s="71">
        <v>226.45500000000004</v>
      </c>
      <c r="X94" s="71">
        <v>226.45500000000004</v>
      </c>
      <c r="Y94" s="71">
        <v>226.45500000000004</v>
      </c>
      <c r="Z94" s="62"/>
      <c r="AA94" s="62"/>
      <c r="AB94" s="62"/>
      <c r="AC94" s="62"/>
      <c r="AD94" s="62"/>
      <c r="AE94" s="62"/>
      <c r="AF94" s="62"/>
      <c r="AG94" s="62"/>
      <c r="AI94" s="61" t="s">
        <v>24</v>
      </c>
      <c r="AJ94" s="66">
        <v>12</v>
      </c>
      <c r="AK94" s="66">
        <v>12</v>
      </c>
      <c r="AL94" s="66">
        <v>12</v>
      </c>
      <c r="AM94" s="62"/>
      <c r="AN94" s="62"/>
      <c r="AO94" s="62"/>
      <c r="AP94" s="62"/>
      <c r="AQ94" s="62"/>
      <c r="AR94" s="62"/>
      <c r="AS94" s="62"/>
      <c r="AT94" s="29"/>
      <c r="AU94" s="61" t="s">
        <v>25</v>
      </c>
      <c r="AV94" s="67">
        <v>1307</v>
      </c>
      <c r="AW94" s="67">
        <v>1307</v>
      </c>
      <c r="AX94" s="67">
        <v>1307</v>
      </c>
      <c r="AY94" s="62"/>
      <c r="AZ94" s="62"/>
      <c r="BA94" s="62"/>
      <c r="BB94" s="62"/>
      <c r="BC94" s="62"/>
      <c r="BD94" s="62"/>
      <c r="BE94" s="62"/>
      <c r="DB94" s="72">
        <f t="shared" si="32"/>
        <v>7.9797179307600316E-2</v>
      </c>
      <c r="DC94" s="73" t="str">
        <f>CONCATENATE(G94," ",J94," Year EUL")</f>
        <v>Refrigeration BUS 12 Year EUL</v>
      </c>
      <c r="DD94" s="106">
        <f>(INDEX('Avoided Cost Benefits'!$C$4:$C$857,MATCH(DC94,'Avoided Cost Benefits'!$A$4:$A$857,0)))*F94</f>
        <v>98.437860646563095</v>
      </c>
      <c r="DE94" s="74">
        <f>K94/(1.0595^(2020-2019))</f>
        <v>1233.6007550731476</v>
      </c>
    </row>
    <row r="95" spans="2:109" x14ac:dyDescent="0.25">
      <c r="C95" s="1763" t="s">
        <v>113</v>
      </c>
      <c r="D95" s="1728" t="s">
        <v>34</v>
      </c>
      <c r="E95" s="1754" t="s">
        <v>114</v>
      </c>
      <c r="F95" s="210">
        <f>ROUND(((G132*H$122+I$122)-(G132*H132+I132))*365.25,2)</f>
        <v>372.56</v>
      </c>
      <c r="G95" s="1730" t="s">
        <v>100</v>
      </c>
      <c r="H95" s="1731">
        <f>VLOOKUP(G95,'CP FACTORS'!$A$26:$B$38,2,FALSE)</f>
        <v>1.3573829999999999E-4</v>
      </c>
      <c r="I95" s="1755">
        <f t="shared" si="29"/>
        <v>5.0570999999999998E-2</v>
      </c>
      <c r="J95" s="1765">
        <f>$J$87</f>
        <v>12</v>
      </c>
      <c r="K95" s="1756">
        <v>2300</v>
      </c>
      <c r="L95" s="1734" t="s">
        <v>37</v>
      </c>
      <c r="M95" s="1766"/>
      <c r="P95" s="1736"/>
      <c r="Q95" s="1737"/>
      <c r="R95" s="1738"/>
      <c r="S95" s="1738"/>
      <c r="T95" s="1739"/>
      <c r="V95" s="61" t="s">
        <v>20</v>
      </c>
      <c r="W95" s="71">
        <v>372.55500000000018</v>
      </c>
      <c r="X95" s="71">
        <v>372.55500000000018</v>
      </c>
      <c r="Y95" s="71">
        <v>372.55500000000018</v>
      </c>
      <c r="Z95" s="62"/>
      <c r="AA95" s="62"/>
      <c r="AB95" s="62"/>
      <c r="AC95" s="62"/>
      <c r="AD95" s="62"/>
      <c r="AE95" s="62"/>
      <c r="AF95" s="62"/>
      <c r="AG95" s="62"/>
      <c r="AI95" s="61" t="s">
        <v>24</v>
      </c>
      <c r="AJ95" s="66">
        <v>12</v>
      </c>
      <c r="AK95" s="66">
        <v>12</v>
      </c>
      <c r="AL95" s="66">
        <v>12</v>
      </c>
      <c r="AM95" s="62"/>
      <c r="AN95" s="62"/>
      <c r="AO95" s="62"/>
      <c r="AP95" s="62"/>
      <c r="AQ95" s="62"/>
      <c r="AR95" s="62"/>
      <c r="AS95" s="62"/>
      <c r="AT95" s="29"/>
      <c r="AU95" s="61" t="s">
        <v>25</v>
      </c>
      <c r="AV95" s="67">
        <v>2300</v>
      </c>
      <c r="AW95" s="67">
        <v>2300</v>
      </c>
      <c r="AX95" s="67">
        <v>2300</v>
      </c>
      <c r="AY95" s="62"/>
      <c r="AZ95" s="62"/>
      <c r="BA95" s="62"/>
      <c r="BB95" s="62"/>
      <c r="BC95" s="62"/>
      <c r="BD95" s="62"/>
      <c r="BE95" s="62"/>
      <c r="DB95" s="72">
        <f t="shared" si="32"/>
        <v>7.4600203739889417E-2</v>
      </c>
      <c r="DC95" s="73" t="str">
        <f>CONCATENATE(G95," ",J95," Year EUL")</f>
        <v>Refrigeration BUS 12 Year EUL</v>
      </c>
      <c r="DD95" s="106">
        <f>(INDEX('Avoided Cost Benefits'!$C$4:$C$857,MATCH(DC95,'Avoided Cost Benefits'!$A$4:$A$857,0)))*F95</f>
        <v>161.94475564110019</v>
      </c>
      <c r="DE95" s="74">
        <f>K95/(1.0595^(2020-2019))</f>
        <v>2170.8352996696553</v>
      </c>
    </row>
    <row r="96" spans="2:109" x14ac:dyDescent="0.25">
      <c r="C96" s="1763"/>
      <c r="D96" s="1747"/>
      <c r="E96" s="1754"/>
      <c r="F96" s="210"/>
      <c r="G96" s="1730"/>
      <c r="H96" s="1731"/>
      <c r="I96" s="1755"/>
      <c r="J96" s="1765"/>
      <c r="K96" s="1756"/>
      <c r="L96" s="1734" t="s">
        <v>37</v>
      </c>
      <c r="M96" s="1766"/>
      <c r="P96" s="1736"/>
      <c r="Q96" s="1737"/>
      <c r="R96" s="1738"/>
      <c r="S96" s="1738"/>
      <c r="T96" s="1739"/>
      <c r="V96" s="61" t="s">
        <v>20</v>
      </c>
      <c r="W96" s="71"/>
      <c r="X96" s="71"/>
      <c r="Y96" s="71"/>
      <c r="Z96" s="62"/>
      <c r="AA96" s="62"/>
      <c r="AB96" s="62"/>
      <c r="AC96" s="62"/>
      <c r="AD96" s="62"/>
      <c r="AE96" s="62"/>
      <c r="AF96" s="62"/>
      <c r="AG96" s="62"/>
      <c r="AI96" s="61" t="s">
        <v>24</v>
      </c>
      <c r="AJ96" s="66"/>
      <c r="AK96" s="66"/>
      <c r="AL96" s="66"/>
      <c r="AM96" s="62"/>
      <c r="AN96" s="62"/>
      <c r="AO96" s="62"/>
      <c r="AP96" s="62"/>
      <c r="AQ96" s="62"/>
      <c r="AR96" s="62"/>
      <c r="AS96" s="62"/>
      <c r="AT96" s="29"/>
      <c r="AU96" s="61" t="s">
        <v>25</v>
      </c>
      <c r="AV96" s="67"/>
      <c r="AW96" s="67"/>
      <c r="AX96" s="67"/>
      <c r="AY96" s="62"/>
      <c r="AZ96" s="62"/>
      <c r="BA96" s="62"/>
      <c r="BB96" s="62"/>
      <c r="BC96" s="62"/>
      <c r="BD96" s="62"/>
      <c r="BE96" s="62"/>
      <c r="DB96" s="112"/>
      <c r="DC96" s="73"/>
      <c r="DD96" s="106"/>
      <c r="DE96" s="74"/>
    </row>
    <row r="97" spans="3:109" x14ac:dyDescent="0.25">
      <c r="C97" s="1763" t="s">
        <v>115</v>
      </c>
      <c r="D97" s="1728" t="s">
        <v>34</v>
      </c>
      <c r="E97" s="1767" t="s">
        <v>116</v>
      </c>
      <c r="F97" s="210">
        <f>ROUND(((G133*AVERAGE(H$122,H$123)+AVERAGE(I$122,I$123))-(G133*H133+I133))*365.25,2)</f>
        <v>1219.94</v>
      </c>
      <c r="G97" s="1730" t="s">
        <v>100</v>
      </c>
      <c r="H97" s="1731">
        <f>VLOOKUP(G97,'CP FACTORS'!$A$26:$B$38,2,FALSE)</f>
        <v>1.3573829999999999E-4</v>
      </c>
      <c r="I97" s="1755">
        <f t="shared" si="29"/>
        <v>0.16559299999999999</v>
      </c>
      <c r="J97" s="1765">
        <v>12</v>
      </c>
      <c r="K97" s="1756">
        <v>525</v>
      </c>
      <c r="L97" s="1734" t="s">
        <v>37</v>
      </c>
      <c r="M97" s="1766"/>
      <c r="P97" s="1736"/>
      <c r="Q97" s="1737"/>
      <c r="R97" s="1738"/>
      <c r="S97" s="1738"/>
      <c r="T97" s="1739"/>
      <c r="V97" s="61" t="s">
        <v>20</v>
      </c>
      <c r="W97" s="71">
        <v>1219.9349999999997</v>
      </c>
      <c r="X97" s="71">
        <v>1219.9349999999997</v>
      </c>
      <c r="Y97" s="71">
        <v>1219.9349999999997</v>
      </c>
      <c r="Z97" s="62"/>
      <c r="AA97" s="62"/>
      <c r="AB97" s="62"/>
      <c r="AC97" s="62"/>
      <c r="AD97" s="62"/>
      <c r="AE97" s="62"/>
      <c r="AF97" s="62"/>
      <c r="AG97" s="62"/>
      <c r="AI97" s="61" t="s">
        <v>24</v>
      </c>
      <c r="AJ97" s="66">
        <v>12</v>
      </c>
      <c r="AK97" s="66">
        <v>12</v>
      </c>
      <c r="AL97" s="66">
        <v>12</v>
      </c>
      <c r="AM97" s="62"/>
      <c r="AN97" s="62"/>
      <c r="AO97" s="62"/>
      <c r="AP97" s="62"/>
      <c r="AQ97" s="62"/>
      <c r="AR97" s="62"/>
      <c r="AS97" s="62"/>
      <c r="AT97" s="29"/>
      <c r="AU97" s="61" t="s">
        <v>25</v>
      </c>
      <c r="AV97" s="67">
        <v>525</v>
      </c>
      <c r="AW97" s="67">
        <v>525</v>
      </c>
      <c r="AX97" s="67">
        <v>525</v>
      </c>
      <c r="AY97" s="62"/>
      <c r="AZ97" s="62"/>
      <c r="BA97" s="62"/>
      <c r="BB97" s="62"/>
      <c r="BC97" s="62"/>
      <c r="BD97" s="62"/>
      <c r="BE97" s="62"/>
      <c r="DB97" s="72">
        <f t="shared" si="32"/>
        <v>1.070165121967001</v>
      </c>
      <c r="DC97" s="73" t="str">
        <f>CONCATENATE(G97," ",J97," Year EUL")</f>
        <v>Refrigeration BUS 12 Year EUL</v>
      </c>
      <c r="DD97" s="106">
        <f>(INDEX('Avoided Cost Benefits'!$C$4:$C$857,MATCH(DC97,'Avoided Cost Benefits'!$A$4:$A$857,0)))*F97</f>
        <v>530.28474660941527</v>
      </c>
      <c r="DE97" s="74">
        <f>K97/(1.0595^(2020-2019))</f>
        <v>495.51675318546478</v>
      </c>
    </row>
    <row r="98" spans="3:109" x14ac:dyDescent="0.25">
      <c r="C98" s="1763"/>
      <c r="D98" s="1747"/>
      <c r="E98" s="1754"/>
      <c r="F98" s="210"/>
      <c r="G98" s="1730"/>
      <c r="H98" s="1731"/>
      <c r="I98" s="1755"/>
      <c r="J98" s="1765"/>
      <c r="K98" s="1756"/>
      <c r="L98" s="1734" t="s">
        <v>37</v>
      </c>
      <c r="M98" s="1766"/>
      <c r="V98" s="61" t="s">
        <v>20</v>
      </c>
      <c r="W98" s="71"/>
      <c r="X98" s="71"/>
      <c r="Y98" s="71"/>
      <c r="Z98" s="62"/>
      <c r="AA98" s="62"/>
      <c r="AB98" s="62"/>
      <c r="AC98" s="62"/>
      <c r="AD98" s="62"/>
      <c r="AE98" s="62"/>
      <c r="AF98" s="62"/>
      <c r="AG98" s="62"/>
      <c r="AI98" s="61" t="s">
        <v>24</v>
      </c>
      <c r="AJ98" s="66"/>
      <c r="AK98" s="66"/>
      <c r="AL98" s="66"/>
      <c r="AM98" s="62"/>
      <c r="AN98" s="62"/>
      <c r="AO98" s="62"/>
      <c r="AP98" s="62"/>
      <c r="AQ98" s="62"/>
      <c r="AR98" s="62"/>
      <c r="AS98" s="62"/>
      <c r="AT98" s="29"/>
      <c r="AU98" s="61" t="s">
        <v>25</v>
      </c>
      <c r="AV98" s="67"/>
      <c r="AW98" s="67"/>
      <c r="AX98" s="67"/>
      <c r="AY98" s="62"/>
      <c r="AZ98" s="62"/>
      <c r="BA98" s="62"/>
      <c r="BB98" s="62"/>
      <c r="BC98" s="62"/>
      <c r="BD98" s="62"/>
      <c r="BE98" s="62"/>
      <c r="DB98" s="112"/>
      <c r="DC98" s="73"/>
      <c r="DD98" s="106"/>
      <c r="DE98" s="74"/>
    </row>
    <row r="99" spans="3:109" x14ac:dyDescent="0.25">
      <c r="C99" s="1763"/>
      <c r="D99" s="1768"/>
      <c r="E99" s="1754"/>
      <c r="F99" s="210"/>
      <c r="G99" s="1730"/>
      <c r="H99" s="1731"/>
      <c r="I99" s="1755"/>
      <c r="J99" s="1765"/>
      <c r="K99" s="1756"/>
      <c r="L99" s="1734" t="s">
        <v>37</v>
      </c>
      <c r="M99" s="1766"/>
      <c r="V99" s="61" t="s">
        <v>20</v>
      </c>
      <c r="W99" s="71"/>
      <c r="X99" s="71"/>
      <c r="Y99" s="71"/>
      <c r="Z99" s="62"/>
      <c r="AA99" s="62"/>
      <c r="AB99" s="62"/>
      <c r="AC99" s="62"/>
      <c r="AD99" s="62"/>
      <c r="AE99" s="62"/>
      <c r="AF99" s="62"/>
      <c r="AG99" s="62"/>
      <c r="AI99" s="61" t="s">
        <v>24</v>
      </c>
      <c r="AJ99" s="66"/>
      <c r="AK99" s="66"/>
      <c r="AL99" s="66"/>
      <c r="AM99" s="62"/>
      <c r="AN99" s="62"/>
      <c r="AO99" s="62"/>
      <c r="AP99" s="62"/>
      <c r="AQ99" s="62"/>
      <c r="AR99" s="62"/>
      <c r="AS99" s="62"/>
      <c r="AT99" s="29"/>
      <c r="AU99" s="61" t="s">
        <v>25</v>
      </c>
      <c r="AV99" s="67"/>
      <c r="AW99" s="67"/>
      <c r="AX99" s="67"/>
      <c r="AY99" s="62"/>
      <c r="AZ99" s="62"/>
      <c r="BA99" s="62"/>
      <c r="BB99" s="62"/>
      <c r="BC99" s="62"/>
      <c r="BD99" s="62"/>
      <c r="BE99" s="62"/>
      <c r="DB99" s="112"/>
      <c r="DC99" s="73"/>
      <c r="DD99" s="106"/>
      <c r="DE99" s="74"/>
    </row>
    <row r="100" spans="3:109" x14ac:dyDescent="0.25">
      <c r="C100" s="1763" t="s">
        <v>117</v>
      </c>
      <c r="D100" s="1728" t="s">
        <v>34</v>
      </c>
      <c r="E100" s="1754" t="s">
        <v>118</v>
      </c>
      <c r="F100" s="210">
        <f>ROUND(((G125*J$122+K$122)-(G125*J125+K125))*365.25,2)</f>
        <v>348.81</v>
      </c>
      <c r="G100" s="1730" t="s">
        <v>100</v>
      </c>
      <c r="H100" s="1731">
        <f>VLOOKUP(G100,'CP FACTORS'!$A$26:$B$38,2,FALSE)</f>
        <v>1.3573829999999999E-4</v>
      </c>
      <c r="I100" s="1755">
        <f t="shared" si="29"/>
        <v>4.7347E-2</v>
      </c>
      <c r="J100" s="1765">
        <v>12</v>
      </c>
      <c r="K100" s="1756">
        <v>150</v>
      </c>
      <c r="L100" s="1734" t="s">
        <v>37</v>
      </c>
      <c r="M100" s="1766"/>
      <c r="N100" s="1769"/>
      <c r="O100" s="1769"/>
      <c r="P100" s="1736"/>
      <c r="Q100" s="1737"/>
      <c r="R100" s="1738"/>
      <c r="S100" s="1738"/>
      <c r="T100" s="1739"/>
      <c r="V100" s="61" t="s">
        <v>20</v>
      </c>
      <c r="W100" s="71">
        <v>348.81375000000003</v>
      </c>
      <c r="X100" s="71">
        <v>348.81375000000003</v>
      </c>
      <c r="Y100" s="71">
        <v>348.81375000000003</v>
      </c>
      <c r="Z100" s="62"/>
      <c r="AA100" s="62"/>
      <c r="AB100" s="62"/>
      <c r="AC100" s="62"/>
      <c r="AD100" s="62"/>
      <c r="AE100" s="62"/>
      <c r="AF100" s="62"/>
      <c r="AG100" s="62"/>
      <c r="AI100" s="61" t="s">
        <v>24</v>
      </c>
      <c r="AJ100" s="66">
        <v>12</v>
      </c>
      <c r="AK100" s="66">
        <v>12</v>
      </c>
      <c r="AL100" s="66">
        <v>12</v>
      </c>
      <c r="AM100" s="62"/>
      <c r="AN100" s="62"/>
      <c r="AO100" s="62"/>
      <c r="AP100" s="62"/>
      <c r="AQ100" s="62"/>
      <c r="AR100" s="62"/>
      <c r="AS100" s="62"/>
      <c r="AT100" s="29"/>
      <c r="AU100" s="61" t="s">
        <v>25</v>
      </c>
      <c r="AV100" s="67">
        <v>150</v>
      </c>
      <c r="AW100" s="67">
        <v>150</v>
      </c>
      <c r="AX100" s="67">
        <v>150</v>
      </c>
      <c r="AY100" s="62"/>
      <c r="AZ100" s="62"/>
      <c r="BA100" s="62"/>
      <c r="BB100" s="62"/>
      <c r="BC100" s="62"/>
      <c r="BD100" s="62"/>
      <c r="BE100" s="62"/>
      <c r="DB100" s="72">
        <f t="shared" si="32"/>
        <v>1.0709502407303504</v>
      </c>
      <c r="DC100" s="73" t="str">
        <f>CONCATENATE(G100," ",J100," Year EUL")</f>
        <v>Refrigeration BUS 12 Year EUL</v>
      </c>
      <c r="DD100" s="106">
        <f>(INDEX('Avoided Cost Benefits'!$C$4:$C$857,MATCH(DC100,'Avoided Cost Benefits'!$A$4:$A$857,0)))*F100</f>
        <v>151.62108174568434</v>
      </c>
      <c r="DE100" s="74">
        <f>K100/(1.0595^(2020-2019))</f>
        <v>141.57621519584708</v>
      </c>
    </row>
    <row r="101" spans="3:109" x14ac:dyDescent="0.25">
      <c r="C101" s="1763" t="s">
        <v>119</v>
      </c>
      <c r="D101" s="1728" t="s">
        <v>34</v>
      </c>
      <c r="E101" s="1754" t="s">
        <v>120</v>
      </c>
      <c r="F101" s="210">
        <f t="shared" ref="F101:F103" si="33">ROUND(((G126*J$122+K$122)-(G126*J126+K126))*365.25,2)</f>
        <v>1307.5999999999999</v>
      </c>
      <c r="G101" s="1730" t="s">
        <v>100</v>
      </c>
      <c r="H101" s="1731">
        <f>VLOOKUP(G101,'CP FACTORS'!$A$26:$B$38,2,FALSE)</f>
        <v>1.3573829999999999E-4</v>
      </c>
      <c r="I101" s="1755">
        <f t="shared" si="29"/>
        <v>0.17749100000000001</v>
      </c>
      <c r="J101" s="1765">
        <v>12</v>
      </c>
      <c r="K101" s="1756">
        <v>400</v>
      </c>
      <c r="L101" s="1734" t="s">
        <v>37</v>
      </c>
      <c r="M101" s="1766"/>
      <c r="N101" s="1769"/>
      <c r="O101" s="1769"/>
      <c r="P101" s="1736"/>
      <c r="Q101" s="1737"/>
      <c r="R101" s="1738"/>
      <c r="S101" s="1738"/>
      <c r="T101" s="1739"/>
      <c r="V101" s="61" t="s">
        <v>20</v>
      </c>
      <c r="W101" s="71">
        <v>1307.5949999999998</v>
      </c>
      <c r="X101" s="71">
        <v>1307.5949999999998</v>
      </c>
      <c r="Y101" s="71">
        <v>1307.5949999999998</v>
      </c>
      <c r="Z101" s="62"/>
      <c r="AA101" s="62"/>
      <c r="AB101" s="62"/>
      <c r="AC101" s="62"/>
      <c r="AD101" s="62"/>
      <c r="AE101" s="62"/>
      <c r="AF101" s="62"/>
      <c r="AG101" s="62"/>
      <c r="AI101" s="61" t="s">
        <v>24</v>
      </c>
      <c r="AJ101" s="66">
        <v>12</v>
      </c>
      <c r="AK101" s="66">
        <v>12</v>
      </c>
      <c r="AL101" s="66">
        <v>12</v>
      </c>
      <c r="AM101" s="62"/>
      <c r="AN101" s="62"/>
      <c r="AO101" s="62"/>
      <c r="AP101" s="62"/>
      <c r="AQ101" s="62"/>
      <c r="AR101" s="62"/>
      <c r="AS101" s="62"/>
      <c r="AT101" s="29"/>
      <c r="AU101" s="61" t="s">
        <v>25</v>
      </c>
      <c r="AV101" s="67">
        <v>400</v>
      </c>
      <c r="AW101" s="67">
        <v>400</v>
      </c>
      <c r="AX101" s="67">
        <v>400</v>
      </c>
      <c r="AY101" s="62"/>
      <c r="AZ101" s="62"/>
      <c r="BA101" s="62"/>
      <c r="BB101" s="62"/>
      <c r="BC101" s="62"/>
      <c r="BD101" s="62"/>
      <c r="BE101" s="62"/>
      <c r="DB101" s="72">
        <f t="shared" si="32"/>
        <v>1.5055200554517567</v>
      </c>
      <c r="DC101" s="73" t="str">
        <f>CONCATENATE(G101," ",J101," Year EUL")</f>
        <v>Refrigeration BUS 12 Year EUL</v>
      </c>
      <c r="DD101" s="106">
        <f>(INDEX('Avoided Cost Benefits'!$C$4:$C$857,MATCH(DC101,'Avoided Cost Benefits'!$A$4:$A$857,0)))*F101</f>
        <v>568.38888360613748</v>
      </c>
      <c r="DE101" s="74">
        <f>K101/(1.0595^(2020-2019))</f>
        <v>377.53657385559222</v>
      </c>
    </row>
    <row r="102" spans="3:109" x14ac:dyDescent="0.25">
      <c r="C102" s="1763" t="s">
        <v>121</v>
      </c>
      <c r="D102" s="1728" t="s">
        <v>34</v>
      </c>
      <c r="E102" s="1754" t="s">
        <v>122</v>
      </c>
      <c r="F102" s="210">
        <f t="shared" si="33"/>
        <v>2403.35</v>
      </c>
      <c r="G102" s="1730" t="s">
        <v>100</v>
      </c>
      <c r="H102" s="1731">
        <f>VLOOKUP(G102,'CP FACTORS'!$A$26:$B$38,2,FALSE)</f>
        <v>1.3573829999999999E-4</v>
      </c>
      <c r="I102" s="1755">
        <f t="shared" si="29"/>
        <v>0.32622699999999999</v>
      </c>
      <c r="J102" s="1765">
        <v>12</v>
      </c>
      <c r="K102" s="1756">
        <v>550</v>
      </c>
      <c r="L102" s="1734" t="s">
        <v>37</v>
      </c>
      <c r="M102" s="1766"/>
      <c r="N102" s="1769"/>
      <c r="O102" s="1769"/>
      <c r="P102" s="1736"/>
      <c r="Q102" s="1737"/>
      <c r="R102" s="1738"/>
      <c r="S102" s="1738"/>
      <c r="T102" s="1739"/>
      <c r="V102" s="61" t="s">
        <v>20</v>
      </c>
      <c r="W102" s="71">
        <v>2403.3449999999993</v>
      </c>
      <c r="X102" s="71">
        <v>2403.3449999999993</v>
      </c>
      <c r="Y102" s="71">
        <v>2403.3449999999993</v>
      </c>
      <c r="Z102" s="62"/>
      <c r="AA102" s="62"/>
      <c r="AB102" s="62"/>
      <c r="AC102" s="62"/>
      <c r="AD102" s="62"/>
      <c r="AE102" s="62"/>
      <c r="AF102" s="62"/>
      <c r="AG102" s="62"/>
      <c r="AI102" s="61" t="s">
        <v>24</v>
      </c>
      <c r="AJ102" s="66">
        <v>12</v>
      </c>
      <c r="AK102" s="66">
        <v>12</v>
      </c>
      <c r="AL102" s="66">
        <v>12</v>
      </c>
      <c r="AM102" s="62"/>
      <c r="AN102" s="62"/>
      <c r="AO102" s="62"/>
      <c r="AP102" s="62"/>
      <c r="AQ102" s="62"/>
      <c r="AR102" s="62"/>
      <c r="AS102" s="62"/>
      <c r="AT102" s="29"/>
      <c r="AU102" s="61" t="s">
        <v>25</v>
      </c>
      <c r="AV102" s="67">
        <v>550</v>
      </c>
      <c r="AW102" s="67">
        <v>550</v>
      </c>
      <c r="AX102" s="67">
        <v>550</v>
      </c>
      <c r="AY102" s="62"/>
      <c r="AZ102" s="62"/>
      <c r="BA102" s="62"/>
      <c r="BB102" s="62"/>
      <c r="BC102" s="62"/>
      <c r="BD102" s="62"/>
      <c r="BE102" s="62"/>
      <c r="DB102" s="72">
        <f t="shared" si="32"/>
        <v>2.0124539755109874</v>
      </c>
      <c r="DC102" s="73" t="str">
        <f>CONCATENATE(G102," ",J102," Year EUL")</f>
        <v>Refrigeration BUS 12 Year EUL</v>
      </c>
      <c r="DD102" s="106">
        <f>(INDEX('Avoided Cost Benefits'!$C$4:$C$857,MATCH(DC102,'Avoided Cost Benefits'!$A$4:$A$857,0)))*F102</f>
        <v>1044.6905960651657</v>
      </c>
      <c r="DE102" s="74">
        <f>K102/(1.0595^(2020-2019))</f>
        <v>519.11278905143934</v>
      </c>
    </row>
    <row r="103" spans="3:109" ht="15.75" customHeight="1" x14ac:dyDescent="0.25">
      <c r="C103" s="1763" t="s">
        <v>123</v>
      </c>
      <c r="D103" s="1728" t="s">
        <v>34</v>
      </c>
      <c r="E103" s="1754" t="s">
        <v>124</v>
      </c>
      <c r="F103" s="210">
        <f t="shared" si="33"/>
        <v>2951.22</v>
      </c>
      <c r="G103" s="1730" t="s">
        <v>100</v>
      </c>
      <c r="H103" s="1731">
        <f>VLOOKUP(G103,'CP FACTORS'!$A$26:$B$38,2,FALSE)</f>
        <v>1.3573829999999999E-4</v>
      </c>
      <c r="I103" s="1755">
        <f t="shared" si="29"/>
        <v>0.40059400000000001</v>
      </c>
      <c r="J103" s="1765">
        <v>12</v>
      </c>
      <c r="K103" s="1756">
        <v>700</v>
      </c>
      <c r="L103" s="1734" t="s">
        <v>37</v>
      </c>
      <c r="M103" s="1766"/>
      <c r="P103" s="1736"/>
      <c r="Q103" s="1737"/>
      <c r="R103" s="1738"/>
      <c r="S103" s="1738"/>
      <c r="T103" s="1739"/>
      <c r="V103" s="61" t="s">
        <v>20</v>
      </c>
      <c r="W103" s="71">
        <v>2951.2199999999993</v>
      </c>
      <c r="X103" s="71">
        <v>2951.2199999999993</v>
      </c>
      <c r="Y103" s="71">
        <v>2951.2199999999993</v>
      </c>
      <c r="Z103" s="62"/>
      <c r="AA103" s="62"/>
      <c r="AB103" s="62"/>
      <c r="AC103" s="62"/>
      <c r="AD103" s="62"/>
      <c r="AE103" s="62"/>
      <c r="AF103" s="62"/>
      <c r="AG103" s="62"/>
      <c r="AI103" s="61" t="s">
        <v>24</v>
      </c>
      <c r="AJ103" s="66">
        <v>12</v>
      </c>
      <c r="AK103" s="66">
        <v>12</v>
      </c>
      <c r="AL103" s="66">
        <v>12</v>
      </c>
      <c r="AM103" s="62"/>
      <c r="AN103" s="62"/>
      <c r="AO103" s="62"/>
      <c r="AP103" s="62"/>
      <c r="AQ103" s="62"/>
      <c r="AR103" s="62"/>
      <c r="AS103" s="62"/>
      <c r="AT103" s="29"/>
      <c r="AU103" s="61" t="s">
        <v>25</v>
      </c>
      <c r="AV103" s="67">
        <v>700</v>
      </c>
      <c r="AW103" s="67">
        <v>700</v>
      </c>
      <c r="AX103" s="67">
        <v>700</v>
      </c>
      <c r="AY103" s="62"/>
      <c r="AZ103" s="62"/>
      <c r="BA103" s="62"/>
      <c r="BB103" s="62"/>
      <c r="BC103" s="62"/>
      <c r="BD103" s="62"/>
      <c r="BE103" s="62"/>
      <c r="DB103" s="72">
        <f t="shared" si="32"/>
        <v>1.9416688799765476</v>
      </c>
      <c r="DC103" s="73" t="str">
        <f>CONCATENATE(G103," ",J103," Year EUL")</f>
        <v>Refrigeration BUS 12 Year EUL</v>
      </c>
      <c r="DD103" s="106">
        <f>(INDEX('Avoided Cost Benefits'!$C$4:$C$857,MATCH(DC103,'Avoided Cost Benefits'!$A$4:$A$857,0)))*F103</f>
        <v>1282.839278889649</v>
      </c>
      <c r="DE103" s="74">
        <f>K103/(1.0595^(2020-2019))</f>
        <v>660.68900424728633</v>
      </c>
    </row>
    <row r="104" spans="3:109" ht="15.75" customHeight="1" x14ac:dyDescent="0.25">
      <c r="C104" s="1763"/>
      <c r="D104" s="1747"/>
      <c r="E104" s="1754"/>
      <c r="F104" s="210"/>
      <c r="G104" s="1730"/>
      <c r="H104" s="1731"/>
      <c r="I104" s="1755"/>
      <c r="J104" s="1765"/>
      <c r="K104" s="1756"/>
      <c r="L104" s="1734" t="s">
        <v>37</v>
      </c>
      <c r="M104" s="1766"/>
      <c r="P104" s="1736"/>
      <c r="Q104" s="1737"/>
      <c r="R104" s="1738"/>
      <c r="S104" s="1738"/>
      <c r="T104" s="1739"/>
      <c r="V104" s="61" t="s">
        <v>20</v>
      </c>
      <c r="W104" s="71"/>
      <c r="X104" s="71"/>
      <c r="Y104" s="71"/>
      <c r="Z104" s="62"/>
      <c r="AA104" s="62"/>
      <c r="AB104" s="62"/>
      <c r="AC104" s="62"/>
      <c r="AD104" s="62"/>
      <c r="AE104" s="62"/>
      <c r="AF104" s="62"/>
      <c r="AG104" s="62"/>
      <c r="AI104" s="61" t="s">
        <v>24</v>
      </c>
      <c r="AJ104" s="66"/>
      <c r="AK104" s="66"/>
      <c r="AL104" s="66"/>
      <c r="AM104" s="62"/>
      <c r="AN104" s="62"/>
      <c r="AO104" s="62"/>
      <c r="AP104" s="62"/>
      <c r="AQ104" s="62"/>
      <c r="AR104" s="62"/>
      <c r="AS104" s="62"/>
      <c r="AT104" s="29"/>
      <c r="AU104" s="61" t="s">
        <v>25</v>
      </c>
      <c r="AV104" s="67"/>
      <c r="AW104" s="67"/>
      <c r="AX104" s="67"/>
      <c r="AY104" s="62"/>
      <c r="AZ104" s="62"/>
      <c r="BA104" s="62"/>
      <c r="BB104" s="62"/>
      <c r="BC104" s="62"/>
      <c r="BD104" s="62"/>
      <c r="BE104" s="62"/>
      <c r="DB104" s="112"/>
      <c r="DC104" s="73"/>
      <c r="DD104" s="106"/>
      <c r="DE104" s="74"/>
    </row>
    <row r="105" spans="3:109" x14ac:dyDescent="0.25">
      <c r="C105" s="1763" t="s">
        <v>125</v>
      </c>
      <c r="D105" s="1728" t="s">
        <v>34</v>
      </c>
      <c r="E105" s="1754" t="s">
        <v>126</v>
      </c>
      <c r="F105" s="210">
        <f>ROUND(((G129*J$123+K$123)-(G129*J129+K129))*365.25,2)</f>
        <v>1429.95</v>
      </c>
      <c r="G105" s="1730" t="s">
        <v>100</v>
      </c>
      <c r="H105" s="1731">
        <f>VLOOKUP(G105,'CP FACTORS'!$A$26:$B$38,2,FALSE)</f>
        <v>1.3573829999999999E-4</v>
      </c>
      <c r="I105" s="1755">
        <f t="shared" si="29"/>
        <v>0.19409899999999999</v>
      </c>
      <c r="J105" s="1765">
        <v>12</v>
      </c>
      <c r="K105" s="1756">
        <v>220</v>
      </c>
      <c r="L105" s="1734" t="s">
        <v>37</v>
      </c>
      <c r="M105" s="1766"/>
      <c r="P105" s="1736"/>
      <c r="Q105" s="1737"/>
      <c r="R105" s="1738"/>
      <c r="S105" s="1738"/>
      <c r="T105" s="1739"/>
      <c r="V105" s="61" t="s">
        <v>20</v>
      </c>
      <c r="W105" s="71">
        <v>1429.9537499999997</v>
      </c>
      <c r="X105" s="71">
        <v>1429.9537499999997</v>
      </c>
      <c r="Y105" s="71">
        <v>1429.9537499999997</v>
      </c>
      <c r="Z105" s="62"/>
      <c r="AA105" s="62"/>
      <c r="AB105" s="62"/>
      <c r="AC105" s="62"/>
      <c r="AD105" s="62"/>
      <c r="AE105" s="62"/>
      <c r="AF105" s="62"/>
      <c r="AG105" s="62"/>
      <c r="AI105" s="61" t="s">
        <v>24</v>
      </c>
      <c r="AJ105" s="66">
        <v>12</v>
      </c>
      <c r="AK105" s="66">
        <v>12</v>
      </c>
      <c r="AL105" s="66">
        <v>12</v>
      </c>
      <c r="AM105" s="62"/>
      <c r="AN105" s="62"/>
      <c r="AO105" s="62"/>
      <c r="AP105" s="62"/>
      <c r="AQ105" s="62"/>
      <c r="AR105" s="62"/>
      <c r="AS105" s="62"/>
      <c r="AT105" s="29"/>
      <c r="AU105" s="61" t="s">
        <v>25</v>
      </c>
      <c r="AV105" s="67">
        <v>220</v>
      </c>
      <c r="AW105" s="67">
        <v>220</v>
      </c>
      <c r="AX105" s="67">
        <v>220</v>
      </c>
      <c r="AY105" s="62"/>
      <c r="AZ105" s="62"/>
      <c r="BA105" s="62"/>
      <c r="BB105" s="62"/>
      <c r="BC105" s="62"/>
      <c r="BD105" s="62"/>
      <c r="BE105" s="62"/>
      <c r="DB105" s="72">
        <f t="shared" si="32"/>
        <v>2.9934347497055533</v>
      </c>
      <c r="DC105" s="73" t="str">
        <f>CONCATENATE(G105," ",J105," Year EUL")</f>
        <v>Refrigeration BUS 12 Year EUL</v>
      </c>
      <c r="DD105" s="106">
        <f>(INDEX('Avoided Cost Benefits'!$C$4:$C$857,MATCH(DC105,'Avoided Cost Benefits'!$A$4:$A$857,0)))*F105</f>
        <v>621.57210470525877</v>
      </c>
      <c r="DE105" s="74">
        <f>K105/(1.0595^(2020-2019))</f>
        <v>207.64511562057572</v>
      </c>
    </row>
    <row r="106" spans="3:109" x14ac:dyDescent="0.25">
      <c r="C106" s="1763" t="s">
        <v>127</v>
      </c>
      <c r="D106" s="1728" t="s">
        <v>34</v>
      </c>
      <c r="E106" s="1754" t="s">
        <v>128</v>
      </c>
      <c r="F106" s="210">
        <f t="shared" ref="F106:F108" si="34">ROUND(((G130*J$123+K$123)-(G130*J130+K130))*365.25,2)</f>
        <v>3186.81</v>
      </c>
      <c r="G106" s="1730" t="s">
        <v>100</v>
      </c>
      <c r="H106" s="1731">
        <f>VLOOKUP(G106,'CP FACTORS'!$A$26:$B$38,2,FALSE)</f>
        <v>1.3573829999999999E-4</v>
      </c>
      <c r="I106" s="1755">
        <f t="shared" si="29"/>
        <v>0.43257200000000001</v>
      </c>
      <c r="J106" s="1765">
        <v>12</v>
      </c>
      <c r="K106" s="1756">
        <v>950</v>
      </c>
      <c r="L106" s="1734" t="s">
        <v>37</v>
      </c>
      <c r="M106" s="1766"/>
      <c r="P106" s="1736"/>
      <c r="Q106" s="1737"/>
      <c r="R106" s="1738"/>
      <c r="S106" s="1738"/>
      <c r="T106" s="1739"/>
      <c r="V106" s="61" t="s">
        <v>20</v>
      </c>
      <c r="W106" s="71">
        <v>3186.8062500000005</v>
      </c>
      <c r="X106" s="71">
        <v>3186.8062500000005</v>
      </c>
      <c r="Y106" s="71">
        <v>3186.8062500000005</v>
      </c>
      <c r="Z106" s="62"/>
      <c r="AA106" s="62"/>
      <c r="AB106" s="62"/>
      <c r="AC106" s="62"/>
      <c r="AD106" s="62"/>
      <c r="AE106" s="62"/>
      <c r="AF106" s="62"/>
      <c r="AG106" s="62"/>
      <c r="AI106" s="61" t="s">
        <v>24</v>
      </c>
      <c r="AJ106" s="66">
        <v>12</v>
      </c>
      <c r="AK106" s="66">
        <v>12</v>
      </c>
      <c r="AL106" s="66">
        <v>12</v>
      </c>
      <c r="AM106" s="62"/>
      <c r="AN106" s="62"/>
      <c r="AO106" s="62"/>
      <c r="AP106" s="62"/>
      <c r="AQ106" s="62"/>
      <c r="AR106" s="62"/>
      <c r="AS106" s="62"/>
      <c r="AT106" s="29"/>
      <c r="AU106" s="61" t="s">
        <v>25</v>
      </c>
      <c r="AV106" s="67">
        <v>950</v>
      </c>
      <c r="AW106" s="67">
        <v>950</v>
      </c>
      <c r="AX106" s="67">
        <v>950</v>
      </c>
      <c r="AY106" s="62"/>
      <c r="AZ106" s="62"/>
      <c r="BA106" s="62"/>
      <c r="BB106" s="62"/>
      <c r="BC106" s="62"/>
      <c r="BD106" s="62"/>
      <c r="BE106" s="62"/>
      <c r="DB106" s="72">
        <f t="shared" si="32"/>
        <v>1.5449135798535569</v>
      </c>
      <c r="DC106" s="73" t="str">
        <f>CONCATENATE(G106," ",J106," Year EUL")</f>
        <v>Refrigeration BUS 12 Year EUL</v>
      </c>
      <c r="DD106" s="106">
        <f>(INDEX('Avoided Cost Benefits'!$C$4:$C$857,MATCH(DC106,'Avoided Cost Benefits'!$A$4:$A$857,0)))*F106</f>
        <v>1385.2457771221132</v>
      </c>
      <c r="DE106" s="74">
        <f>K106/(1.0595^(2020-2019))</f>
        <v>896.64936290703156</v>
      </c>
    </row>
    <row r="107" spans="3:109" x14ac:dyDescent="0.25">
      <c r="C107" s="1763" t="s">
        <v>129</v>
      </c>
      <c r="D107" s="1728" t="s">
        <v>34</v>
      </c>
      <c r="E107" s="1754" t="s">
        <v>130</v>
      </c>
      <c r="F107" s="210">
        <f t="shared" si="34"/>
        <v>5150.03</v>
      </c>
      <c r="G107" s="1730" t="s">
        <v>100</v>
      </c>
      <c r="H107" s="1731">
        <f>VLOOKUP(G107,'CP FACTORS'!$A$26:$B$38,2,FALSE)</f>
        <v>1.3573829999999999E-4</v>
      </c>
      <c r="I107" s="1755">
        <f t="shared" si="29"/>
        <v>0.69905600000000001</v>
      </c>
      <c r="J107" s="1765">
        <v>12</v>
      </c>
      <c r="K107" s="1756">
        <v>1307</v>
      </c>
      <c r="L107" s="1734" t="s">
        <v>37</v>
      </c>
      <c r="M107" s="1766"/>
      <c r="P107" s="1736"/>
      <c r="Q107" s="1737"/>
      <c r="R107" s="1738"/>
      <c r="S107" s="1738"/>
      <c r="T107" s="1739"/>
      <c r="V107" s="61" t="s">
        <v>20</v>
      </c>
      <c r="W107" s="71">
        <v>5150.0250000000005</v>
      </c>
      <c r="X107" s="71">
        <v>5150.0250000000005</v>
      </c>
      <c r="Y107" s="71">
        <v>5150.0250000000005</v>
      </c>
      <c r="Z107" s="62"/>
      <c r="AA107" s="62"/>
      <c r="AB107" s="62"/>
      <c r="AC107" s="62"/>
      <c r="AD107" s="62"/>
      <c r="AE107" s="62"/>
      <c r="AF107" s="62"/>
      <c r="AG107" s="62"/>
      <c r="AI107" s="61" t="s">
        <v>24</v>
      </c>
      <c r="AJ107" s="66">
        <v>12</v>
      </c>
      <c r="AK107" s="66">
        <v>12</v>
      </c>
      <c r="AL107" s="66">
        <v>12</v>
      </c>
      <c r="AM107" s="62"/>
      <c r="AN107" s="62"/>
      <c r="AO107" s="62"/>
      <c r="AP107" s="62"/>
      <c r="AQ107" s="62"/>
      <c r="AR107" s="62"/>
      <c r="AS107" s="62"/>
      <c r="AT107" s="29"/>
      <c r="AU107" s="61" t="s">
        <v>25</v>
      </c>
      <c r="AV107" s="67">
        <v>1307</v>
      </c>
      <c r="AW107" s="67">
        <v>1307</v>
      </c>
      <c r="AX107" s="67">
        <v>1307</v>
      </c>
      <c r="AY107" s="62"/>
      <c r="AZ107" s="62"/>
      <c r="BA107" s="62"/>
      <c r="BB107" s="62"/>
      <c r="BC107" s="62"/>
      <c r="BD107" s="62"/>
      <c r="BE107" s="62"/>
      <c r="DB107" s="72">
        <f t="shared" si="32"/>
        <v>1.8147039978341466</v>
      </c>
      <c r="DC107" s="73" t="str">
        <f>CONCATENATE(G107," ",J107," Year EUL")</f>
        <v>Refrigeration BUS 12 Year EUL</v>
      </c>
      <c r="DD107" s="106">
        <f>(INDEX('Avoided Cost Benefits'!$C$4:$C$857,MATCH(DC107,'Avoided Cost Benefits'!$A$4:$A$857,0)))*F107</f>
        <v>2238.6202219624629</v>
      </c>
      <c r="DE107" s="74">
        <f>K107/(1.0595^(2020-2019))</f>
        <v>1233.6007550731476</v>
      </c>
    </row>
    <row r="108" spans="3:109" x14ac:dyDescent="0.25">
      <c r="C108" s="1763" t="s">
        <v>131</v>
      </c>
      <c r="D108" s="1728" t="s">
        <v>34</v>
      </c>
      <c r="E108" s="1754" t="s">
        <v>132</v>
      </c>
      <c r="F108" s="210">
        <f t="shared" si="34"/>
        <v>5884.18</v>
      </c>
      <c r="G108" s="1730" t="s">
        <v>100</v>
      </c>
      <c r="H108" s="1731">
        <f>VLOOKUP(G108,'CP FACTORS'!$A$26:$B$38,2,FALSE)</f>
        <v>1.3573829999999999E-4</v>
      </c>
      <c r="I108" s="1755">
        <f t="shared" si="29"/>
        <v>0.798709</v>
      </c>
      <c r="J108" s="1765">
        <v>12</v>
      </c>
      <c r="K108" s="1756">
        <v>2300</v>
      </c>
      <c r="L108" s="1734" t="s">
        <v>37</v>
      </c>
      <c r="M108" s="1766"/>
      <c r="V108" s="61" t="s">
        <v>20</v>
      </c>
      <c r="W108" s="71">
        <v>5884.1774999999998</v>
      </c>
      <c r="X108" s="71">
        <v>5884.1774999999998</v>
      </c>
      <c r="Y108" s="71">
        <v>5884.1774999999998</v>
      </c>
      <c r="Z108" s="62"/>
      <c r="AA108" s="62"/>
      <c r="AB108" s="62"/>
      <c r="AC108" s="62"/>
      <c r="AD108" s="62"/>
      <c r="AE108" s="62"/>
      <c r="AF108" s="62"/>
      <c r="AG108" s="62"/>
      <c r="AI108" s="61" t="s">
        <v>24</v>
      </c>
      <c r="AJ108" s="66">
        <v>12</v>
      </c>
      <c r="AK108" s="66">
        <v>12</v>
      </c>
      <c r="AL108" s="66">
        <v>12</v>
      </c>
      <c r="AM108" s="62"/>
      <c r="AN108" s="62"/>
      <c r="AO108" s="62"/>
      <c r="AP108" s="62"/>
      <c r="AQ108" s="62"/>
      <c r="AR108" s="62"/>
      <c r="AS108" s="62"/>
      <c r="AT108" s="29"/>
      <c r="AU108" s="61" t="s">
        <v>25</v>
      </c>
      <c r="AV108" s="67">
        <v>2300</v>
      </c>
      <c r="AW108" s="67">
        <v>2300</v>
      </c>
      <c r="AX108" s="67">
        <v>2300</v>
      </c>
      <c r="AY108" s="62"/>
      <c r="AZ108" s="62"/>
      <c r="BA108" s="62"/>
      <c r="BB108" s="62"/>
      <c r="BC108" s="62"/>
      <c r="BD108" s="62"/>
      <c r="BE108" s="62"/>
      <c r="DB108" s="72">
        <f t="shared" si="32"/>
        <v>1.1782290821402794</v>
      </c>
      <c r="DC108" s="73" t="str">
        <f>CONCATENATE(G108," ",J108," Year EUL")</f>
        <v>Refrigeration BUS 12 Year EUL</v>
      </c>
      <c r="DD108" s="106">
        <f>(INDEX('Avoided Cost Benefits'!$C$4:$C$857,MATCH(DC108,'Avoided Cost Benefits'!$A$4:$A$857,0)))*F108</f>
        <v>2557.7412826074965</v>
      </c>
      <c r="DE108" s="74">
        <f>K108/(1.0595^(2020-2019))</f>
        <v>2170.8352996696553</v>
      </c>
    </row>
    <row r="109" spans="3:109" x14ac:dyDescent="0.25">
      <c r="C109" s="1770"/>
      <c r="D109" s="1747"/>
      <c r="E109" s="1754"/>
      <c r="F109" s="210"/>
      <c r="G109" s="1730"/>
      <c r="H109" s="1731"/>
      <c r="I109" s="1755"/>
      <c r="J109" s="1765"/>
      <c r="K109" s="1756"/>
      <c r="L109" s="1734" t="s">
        <v>37</v>
      </c>
      <c r="V109" s="61" t="s">
        <v>20</v>
      </c>
      <c r="W109" s="71"/>
      <c r="X109" s="71"/>
      <c r="Y109" s="71"/>
      <c r="Z109" s="62"/>
      <c r="AA109" s="62"/>
      <c r="AB109" s="62"/>
      <c r="AC109" s="62"/>
      <c r="AD109" s="62"/>
      <c r="AE109" s="62"/>
      <c r="AF109" s="62"/>
      <c r="AG109" s="62"/>
      <c r="AI109" s="61" t="s">
        <v>24</v>
      </c>
      <c r="AJ109" s="66"/>
      <c r="AK109" s="66"/>
      <c r="AL109" s="66"/>
      <c r="AM109" s="62"/>
      <c r="AN109" s="62"/>
      <c r="AO109" s="62"/>
      <c r="AP109" s="62"/>
      <c r="AQ109" s="62"/>
      <c r="AR109" s="62"/>
      <c r="AS109" s="62"/>
      <c r="AT109" s="29"/>
      <c r="AU109" s="61" t="s">
        <v>25</v>
      </c>
      <c r="AV109" s="67"/>
      <c r="AW109" s="67"/>
      <c r="AX109" s="67"/>
      <c r="AY109" s="62"/>
      <c r="AZ109" s="62"/>
      <c r="BA109" s="62"/>
      <c r="BB109" s="62"/>
      <c r="BC109" s="62"/>
      <c r="BD109" s="62"/>
      <c r="BE109" s="62"/>
      <c r="DB109" s="112"/>
      <c r="DC109" s="73"/>
      <c r="DD109" s="106"/>
      <c r="DE109" s="74"/>
    </row>
    <row r="110" spans="3:109" x14ac:dyDescent="0.25">
      <c r="C110" s="1770" t="s">
        <v>133</v>
      </c>
      <c r="D110" s="1728" t="s">
        <v>34</v>
      </c>
      <c r="E110" s="1754" t="s">
        <v>134</v>
      </c>
      <c r="F110" s="210">
        <f>ROUND(((G133*AVERAGE(J$122,J$123)+AVERAGE(K$122,K$123))-(G133*J133+K133))*365.25,2)</f>
        <v>5265.08</v>
      </c>
      <c r="G110" s="1730" t="s">
        <v>100</v>
      </c>
      <c r="H110" s="1731">
        <f>VLOOKUP(G110,'CP FACTORS'!$A$26:$B$38,2,FALSE)</f>
        <v>1.3573829999999999E-4</v>
      </c>
      <c r="I110" s="1755">
        <f t="shared" si="29"/>
        <v>0.714673</v>
      </c>
      <c r="J110" s="1765">
        <v>12</v>
      </c>
      <c r="K110" s="1756">
        <v>595</v>
      </c>
      <c r="L110" s="1734" t="s">
        <v>37</v>
      </c>
      <c r="V110" s="61" t="s">
        <v>20</v>
      </c>
      <c r="W110" s="71">
        <v>5265.0787499999997</v>
      </c>
      <c r="X110" s="71">
        <v>5265.0787499999997</v>
      </c>
      <c r="Y110" s="71">
        <v>5265.0787499999997</v>
      </c>
      <c r="Z110" s="62"/>
      <c r="AA110" s="62"/>
      <c r="AB110" s="62"/>
      <c r="AC110" s="62"/>
      <c r="AD110" s="62"/>
      <c r="AE110" s="62"/>
      <c r="AF110" s="62"/>
      <c r="AG110" s="62"/>
      <c r="AI110" s="61" t="s">
        <v>24</v>
      </c>
      <c r="AJ110" s="66">
        <v>12</v>
      </c>
      <c r="AK110" s="66">
        <v>12</v>
      </c>
      <c r="AL110" s="66">
        <v>12</v>
      </c>
      <c r="AM110" s="62"/>
      <c r="AN110" s="62"/>
      <c r="AO110" s="62"/>
      <c r="AP110" s="62"/>
      <c r="AQ110" s="62"/>
      <c r="AR110" s="62"/>
      <c r="AS110" s="62"/>
      <c r="AT110" s="29"/>
      <c r="AU110" s="61" t="s">
        <v>25</v>
      </c>
      <c r="AV110" s="67">
        <v>595</v>
      </c>
      <c r="AW110" s="67">
        <v>595</v>
      </c>
      <c r="AX110" s="67">
        <v>595</v>
      </c>
      <c r="AY110" s="62"/>
      <c r="AZ110" s="62"/>
      <c r="BA110" s="62"/>
      <c r="BB110" s="62"/>
      <c r="BC110" s="62"/>
      <c r="BD110" s="62"/>
      <c r="BE110" s="62"/>
      <c r="DB110" s="75">
        <f t="shared" si="32"/>
        <v>4.0753004586286439</v>
      </c>
      <c r="DC110" s="73" t="str">
        <f>CONCATENATE(G110," ",J110," Year EUL")</f>
        <v>Refrigeration BUS 12 Year EUL</v>
      </c>
      <c r="DD110" s="107">
        <f>(INDEX('Avoided Cost Benefits'!$C$4:$C$857,MATCH(DC110,'Avoided Cost Benefits'!$A$4:$A$857,0)))*F110</f>
        <v>2288.6302717168878</v>
      </c>
      <c r="DE110" s="76">
        <f>K110/(1.0595^(2020-2019))</f>
        <v>561.58565361019339</v>
      </c>
    </row>
    <row r="111" spans="3:109" hidden="1" outlineLevel="1" x14ac:dyDescent="0.25">
      <c r="E111" s="1719"/>
      <c r="F111" s="1719"/>
      <c r="G111" s="1719"/>
      <c r="H111" s="1741"/>
      <c r="I111" s="1719"/>
      <c r="J111" s="1719"/>
      <c r="K111" s="1719"/>
    </row>
    <row r="112" spans="3:109" hidden="1" outlineLevel="1" x14ac:dyDescent="0.25">
      <c r="D112" s="1719" t="s">
        <v>76</v>
      </c>
      <c r="E112" s="1719"/>
      <c r="F112" s="1719"/>
      <c r="G112" s="1719"/>
      <c r="H112" s="1741"/>
      <c r="I112" s="1719"/>
      <c r="J112" s="1719"/>
      <c r="K112" s="1719"/>
    </row>
    <row r="113" spans="3:106" hidden="1" outlineLevel="1" x14ac:dyDescent="0.25">
      <c r="D113" s="1742"/>
      <c r="G113" s="1771"/>
      <c r="H113" s="1772"/>
    </row>
    <row r="114" spans="3:106" hidden="1" outlineLevel="1" x14ac:dyDescent="0.25">
      <c r="D114" s="1742"/>
      <c r="G114" s="1771"/>
      <c r="H114" s="1772"/>
    </row>
    <row r="115" spans="3:106" hidden="1" outlineLevel="1" x14ac:dyDescent="0.25">
      <c r="D115" s="1742"/>
      <c r="G115" s="1716"/>
      <c r="H115" s="1743"/>
      <c r="M115" s="1719"/>
    </row>
    <row r="116" spans="3:106" hidden="1" outlineLevel="1" x14ac:dyDescent="0.25">
      <c r="D116" s="1742"/>
      <c r="G116" s="1716"/>
      <c r="H116" s="1743"/>
      <c r="M116" s="1719"/>
    </row>
    <row r="117" spans="3:106" hidden="1" outlineLevel="1" x14ac:dyDescent="0.25">
      <c r="D117" s="1742"/>
      <c r="G117" s="1716"/>
      <c r="H117" s="1743"/>
      <c r="M117" s="1719"/>
    </row>
    <row r="118" spans="3:106" hidden="1" outlineLevel="1" x14ac:dyDescent="0.25">
      <c r="D118" s="1742"/>
      <c r="G118" s="1716"/>
      <c r="H118" s="1743"/>
    </row>
    <row r="119" spans="3:106" s="78" customFormat="1" ht="17.25" hidden="1" outlineLevel="1" x14ac:dyDescent="0.25">
      <c r="C119" s="553"/>
      <c r="D119" s="1638" t="s">
        <v>135</v>
      </c>
      <c r="E119" s="1638" t="s">
        <v>136</v>
      </c>
      <c r="F119" s="1638" t="s">
        <v>137</v>
      </c>
      <c r="G119" s="1638" t="s">
        <v>138</v>
      </c>
      <c r="H119" s="2623" t="s">
        <v>139</v>
      </c>
      <c r="I119" s="2624"/>
      <c r="J119" s="2623" t="s">
        <v>140</v>
      </c>
      <c r="K119" s="2624"/>
      <c r="L119" s="553"/>
      <c r="M119" s="553"/>
      <c r="N119" s="553"/>
      <c r="O119" s="233"/>
      <c r="P119" s="553"/>
      <c r="Q119" s="553"/>
      <c r="R119" s="553"/>
      <c r="S119" s="553"/>
      <c r="T119" s="553"/>
      <c r="U119" s="553"/>
      <c r="DB119" s="108"/>
    </row>
    <row r="120" spans="3:106" s="78" customFormat="1" hidden="1" outlineLevel="1" x14ac:dyDescent="0.25">
      <c r="C120" s="553"/>
      <c r="D120" s="113"/>
      <c r="E120" s="113"/>
      <c r="F120" s="113"/>
      <c r="G120" s="113"/>
      <c r="H120" s="2625" t="s">
        <v>141</v>
      </c>
      <c r="I120" s="2626"/>
      <c r="J120" s="2625" t="s">
        <v>142</v>
      </c>
      <c r="K120" s="2626"/>
      <c r="L120" s="553"/>
      <c r="M120" s="553"/>
      <c r="N120" s="553"/>
      <c r="O120" s="233"/>
      <c r="P120" s="553"/>
      <c r="Q120" s="553"/>
      <c r="R120" s="553"/>
      <c r="S120" s="553"/>
      <c r="T120" s="553"/>
      <c r="U120" s="553"/>
      <c r="DB120" s="108"/>
    </row>
    <row r="121" spans="3:106" s="78" customFormat="1" hidden="1" outlineLevel="1" x14ac:dyDescent="0.25">
      <c r="C121" s="553"/>
      <c r="D121" s="114"/>
      <c r="E121" s="114"/>
      <c r="F121" s="114"/>
      <c r="G121" s="1678" t="s">
        <v>143</v>
      </c>
      <c r="H121" s="1678" t="s">
        <v>144</v>
      </c>
      <c r="I121" s="1678" t="s">
        <v>145</v>
      </c>
      <c r="J121" s="1678" t="s">
        <v>146</v>
      </c>
      <c r="K121" s="1678" t="s">
        <v>147</v>
      </c>
      <c r="L121" s="553"/>
      <c r="M121" s="553"/>
      <c r="N121" s="553"/>
      <c r="O121" s="233"/>
      <c r="P121" s="553"/>
      <c r="Q121" s="553"/>
      <c r="R121" s="553"/>
      <c r="S121" s="553"/>
      <c r="T121" s="553"/>
      <c r="U121" s="553"/>
      <c r="DB121" s="108"/>
    </row>
    <row r="122" spans="3:106" hidden="1" outlineLevel="1" x14ac:dyDescent="0.25">
      <c r="D122" s="1747" t="s">
        <v>148</v>
      </c>
      <c r="E122" s="1747" t="s">
        <v>149</v>
      </c>
      <c r="F122" s="1747" t="s">
        <v>150</v>
      </c>
      <c r="G122" s="1773" t="s">
        <v>151</v>
      </c>
      <c r="H122" s="1774">
        <v>0.1</v>
      </c>
      <c r="I122" s="1774">
        <v>2.04</v>
      </c>
      <c r="J122" s="1775">
        <v>0.4</v>
      </c>
      <c r="K122" s="1776">
        <v>1.38</v>
      </c>
      <c r="L122" s="1769"/>
      <c r="M122" s="1769"/>
    </row>
    <row r="123" spans="3:106" hidden="1" outlineLevel="1" x14ac:dyDescent="0.25">
      <c r="D123" s="1747" t="s">
        <v>148</v>
      </c>
      <c r="E123" s="1747" t="s">
        <v>152</v>
      </c>
      <c r="F123" s="1747" t="s">
        <v>150</v>
      </c>
      <c r="G123" s="1773" t="s">
        <v>151</v>
      </c>
      <c r="H123" s="1774">
        <v>0.12</v>
      </c>
      <c r="I123" s="1774">
        <v>3.34</v>
      </c>
      <c r="J123" s="1775">
        <v>0.75</v>
      </c>
      <c r="K123" s="1776">
        <v>4.0999999999999996</v>
      </c>
      <c r="L123" s="1769"/>
      <c r="M123" s="1769"/>
    </row>
    <row r="124" spans="3:106" hidden="1" outlineLevel="1" x14ac:dyDescent="0.25">
      <c r="D124" s="1777"/>
      <c r="E124" s="1777"/>
      <c r="F124" s="1777"/>
      <c r="G124" s="1778"/>
      <c r="H124" s="1774"/>
      <c r="I124" s="1775"/>
      <c r="J124" s="1775"/>
      <c r="K124" s="1776"/>
      <c r="L124" s="1769"/>
      <c r="M124" s="1769"/>
    </row>
    <row r="125" spans="3:106" hidden="1" outlineLevel="1" x14ac:dyDescent="0.25">
      <c r="D125" s="1747" t="s">
        <v>153</v>
      </c>
      <c r="E125" s="1747" t="s">
        <v>154</v>
      </c>
      <c r="F125" s="1747" t="s">
        <v>155</v>
      </c>
      <c r="G125" s="1773">
        <v>7.5</v>
      </c>
      <c r="H125" s="1774">
        <v>0.02</v>
      </c>
      <c r="I125" s="1775">
        <v>1.6</v>
      </c>
      <c r="J125" s="1775">
        <v>0.25</v>
      </c>
      <c r="K125" s="1779">
        <v>1.55</v>
      </c>
      <c r="L125" s="1769"/>
      <c r="M125" s="1769"/>
    </row>
    <row r="126" spans="3:106" hidden="1" outlineLevel="1" x14ac:dyDescent="0.25">
      <c r="D126" s="1747" t="s">
        <v>153</v>
      </c>
      <c r="E126" s="1747" t="s">
        <v>154</v>
      </c>
      <c r="F126" s="1747" t="s">
        <v>156</v>
      </c>
      <c r="G126" s="1773">
        <v>22.5</v>
      </c>
      <c r="H126" s="1774">
        <v>0.09</v>
      </c>
      <c r="I126" s="1775">
        <v>0.55000000000000004</v>
      </c>
      <c r="J126" s="1775">
        <v>0.2</v>
      </c>
      <c r="K126" s="1779">
        <v>2.2999999999999998</v>
      </c>
      <c r="L126" s="1769"/>
      <c r="M126" s="1769"/>
    </row>
    <row r="127" spans="3:106" hidden="1" outlineLevel="1" x14ac:dyDescent="0.25">
      <c r="D127" s="1747" t="s">
        <v>153</v>
      </c>
      <c r="E127" s="1747" t="s">
        <v>154</v>
      </c>
      <c r="F127" s="1747" t="s">
        <v>157</v>
      </c>
      <c r="G127" s="1773">
        <v>40</v>
      </c>
      <c r="H127" s="1774">
        <v>0.01</v>
      </c>
      <c r="I127" s="1775">
        <v>2.95</v>
      </c>
      <c r="J127" s="1775">
        <v>0.25</v>
      </c>
      <c r="K127" s="1779">
        <v>0.8</v>
      </c>
      <c r="L127" s="1769"/>
      <c r="M127" s="1769"/>
    </row>
    <row r="128" spans="3:106" hidden="1" outlineLevel="1" x14ac:dyDescent="0.25">
      <c r="D128" s="1747" t="s">
        <v>153</v>
      </c>
      <c r="E128" s="1747" t="s">
        <v>154</v>
      </c>
      <c r="F128" s="1747" t="s">
        <v>158</v>
      </c>
      <c r="G128" s="1773">
        <v>50</v>
      </c>
      <c r="H128" s="1774">
        <v>0.06</v>
      </c>
      <c r="I128" s="1775">
        <v>0.45</v>
      </c>
      <c r="J128" s="1775">
        <v>0.14000000000000001</v>
      </c>
      <c r="K128" s="1779">
        <v>6.3</v>
      </c>
      <c r="L128" s="1769"/>
      <c r="M128" s="1769"/>
    </row>
    <row r="129" spans="2:109" hidden="1" outlineLevel="1" x14ac:dyDescent="0.25">
      <c r="D129" s="1747" t="s">
        <v>153</v>
      </c>
      <c r="E129" s="1747" t="s">
        <v>159</v>
      </c>
      <c r="F129" s="1747" t="s">
        <v>155</v>
      </c>
      <c r="G129" s="1773">
        <v>7.5</v>
      </c>
      <c r="H129" s="1774">
        <v>0.1</v>
      </c>
      <c r="I129" s="1775">
        <v>1.07</v>
      </c>
      <c r="J129" s="1775">
        <v>0.56000000000000005</v>
      </c>
      <c r="K129" s="1779">
        <v>1.61</v>
      </c>
      <c r="L129" s="1769"/>
      <c r="M129" s="1769"/>
    </row>
    <row r="130" spans="2:109" hidden="1" outlineLevel="1" x14ac:dyDescent="0.25">
      <c r="D130" s="1747" t="s">
        <v>153</v>
      </c>
      <c r="E130" s="1747" t="s">
        <v>159</v>
      </c>
      <c r="F130" s="1747" t="s">
        <v>156</v>
      </c>
      <c r="G130" s="1773">
        <v>22.5</v>
      </c>
      <c r="H130" s="1774">
        <v>0.15</v>
      </c>
      <c r="I130" s="1775">
        <v>0.32</v>
      </c>
      <c r="J130" s="1775">
        <v>0.3</v>
      </c>
      <c r="K130" s="1776">
        <v>5.5</v>
      </c>
      <c r="L130" s="2627"/>
      <c r="M130" s="2627"/>
      <c r="N130" s="2627"/>
    </row>
    <row r="131" spans="2:109" hidden="1" outlineLevel="1" x14ac:dyDescent="0.25">
      <c r="D131" s="1747" t="s">
        <v>153</v>
      </c>
      <c r="E131" s="1747" t="s">
        <v>159</v>
      </c>
      <c r="F131" s="1747" t="s">
        <v>157</v>
      </c>
      <c r="G131" s="1773">
        <v>40</v>
      </c>
      <c r="H131" s="1774">
        <v>0.06</v>
      </c>
      <c r="I131" s="1775">
        <v>3.02</v>
      </c>
      <c r="J131" s="1775">
        <v>0.55000000000000004</v>
      </c>
      <c r="K131" s="1776">
        <v>-2</v>
      </c>
      <c r="L131" s="2627"/>
      <c r="M131" s="2627"/>
      <c r="N131" s="2627"/>
    </row>
    <row r="132" spans="2:109" hidden="1" outlineLevel="1" x14ac:dyDescent="0.25">
      <c r="D132" s="1747" t="s">
        <v>153</v>
      </c>
      <c r="E132" s="1747" t="s">
        <v>159</v>
      </c>
      <c r="F132" s="1747" t="s">
        <v>158</v>
      </c>
      <c r="G132" s="1773">
        <v>50</v>
      </c>
      <c r="H132" s="1774">
        <v>0.08</v>
      </c>
      <c r="I132" s="1775">
        <v>2.02</v>
      </c>
      <c r="J132" s="1775">
        <v>0.32</v>
      </c>
      <c r="K132" s="1776">
        <v>9.49</v>
      </c>
      <c r="L132" s="2627"/>
      <c r="M132" s="2627"/>
      <c r="N132" s="2627"/>
    </row>
    <row r="133" spans="2:109" hidden="1" outlineLevel="1" x14ac:dyDescent="0.25">
      <c r="D133" s="1747" t="s">
        <v>153</v>
      </c>
      <c r="E133" s="1747" t="s">
        <v>160</v>
      </c>
      <c r="F133" s="1747" t="s">
        <v>161</v>
      </c>
      <c r="G133" s="1773">
        <v>25</v>
      </c>
      <c r="H133" s="1774">
        <v>0.06</v>
      </c>
      <c r="I133" s="1775">
        <v>0.6</v>
      </c>
      <c r="J133" s="1775">
        <v>0.1</v>
      </c>
      <c r="K133" s="1776">
        <v>0.2</v>
      </c>
      <c r="L133" s="2627"/>
      <c r="M133" s="2627"/>
      <c r="N133" s="2627"/>
    </row>
    <row r="134" spans="2:109" collapsed="1" x14ac:dyDescent="0.25"/>
    <row r="136" spans="2:109" s="46" customFormat="1" x14ac:dyDescent="0.25">
      <c r="B136" s="2612" t="s">
        <v>162</v>
      </c>
      <c r="C136" s="2613"/>
      <c r="D136" s="2613"/>
      <c r="E136" s="2613"/>
      <c r="F136" s="2613"/>
      <c r="G136" s="2613"/>
      <c r="H136" s="2613"/>
      <c r="I136" s="2614"/>
      <c r="J136" s="2614"/>
      <c r="K136" s="2614"/>
      <c r="L136" s="2614"/>
      <c r="M136" s="2615"/>
      <c r="N136" s="2615"/>
      <c r="O136" s="2616"/>
      <c r="V136" s="47" t="str">
        <f>B136</f>
        <v>Refrigerators &amp; Freezers Controls</v>
      </c>
      <c r="W136" s="48"/>
      <c r="X136" s="48"/>
      <c r="Y136" s="48"/>
      <c r="Z136" s="48"/>
      <c r="AA136" s="48"/>
      <c r="AB136" s="48"/>
      <c r="AC136" s="48"/>
      <c r="AD136" s="48"/>
      <c r="AE136" s="48"/>
      <c r="AF136" s="48"/>
      <c r="AG136" s="48"/>
      <c r="AH136" s="48"/>
      <c r="AI136" s="49"/>
      <c r="AJ136" s="26"/>
      <c r="AK136" s="26"/>
      <c r="AL136" s="26"/>
      <c r="AM136" s="26"/>
      <c r="AN136" s="26"/>
      <c r="AO136" s="26"/>
      <c r="AP136" s="26"/>
      <c r="AQ136" s="26"/>
      <c r="AR136" s="26"/>
      <c r="AS136" s="26"/>
      <c r="AT136" s="26"/>
      <c r="AU136" s="26"/>
      <c r="DB136" s="109"/>
    </row>
    <row r="137" spans="2:109" x14ac:dyDescent="0.25">
      <c r="D137" s="1724"/>
      <c r="E137" s="1719"/>
      <c r="F137" s="1719"/>
      <c r="G137" s="1719"/>
      <c r="H137" s="1725"/>
      <c r="I137" s="1719"/>
      <c r="J137" s="1719"/>
      <c r="K137" s="1719"/>
      <c r="L137" s="1719"/>
      <c r="P137" s="1719"/>
      <c r="Q137" s="1719"/>
      <c r="R137" s="1719"/>
      <c r="S137" s="1719"/>
      <c r="T137" s="1719"/>
      <c r="U137" s="1719"/>
      <c r="V137"/>
      <c r="W137"/>
      <c r="X137"/>
      <c r="Y137"/>
      <c r="Z137"/>
      <c r="AA137"/>
      <c r="AB137"/>
      <c r="AC137"/>
      <c r="AD137"/>
      <c r="AE137"/>
      <c r="AF137"/>
      <c r="AG137"/>
      <c r="AH137"/>
      <c r="AI137"/>
      <c r="AJ137" s="44"/>
      <c r="AK137" s="44"/>
      <c r="AL137" s="44"/>
      <c r="AM137" s="44"/>
      <c r="AN137" s="44"/>
      <c r="AO137" s="44"/>
      <c r="AP137" s="44"/>
      <c r="AQ137" s="44"/>
      <c r="AR137" s="44"/>
      <c r="AS137" s="44"/>
      <c r="AT137" s="44"/>
      <c r="AU137" s="44"/>
    </row>
    <row r="138" spans="2:109" s="50" customFormat="1" ht="30" x14ac:dyDescent="0.25">
      <c r="B138" s="51"/>
      <c r="C138" s="52" t="s">
        <v>17</v>
      </c>
      <c r="D138" s="1678" t="s">
        <v>18</v>
      </c>
      <c r="E138" s="1678" t="s">
        <v>19</v>
      </c>
      <c r="F138" s="1678" t="s">
        <v>163</v>
      </c>
      <c r="G138" s="1678" t="s">
        <v>21</v>
      </c>
      <c r="H138" s="1678" t="s">
        <v>22</v>
      </c>
      <c r="I138" s="1678" t="s">
        <v>23</v>
      </c>
      <c r="J138" s="1678" t="s">
        <v>24</v>
      </c>
      <c r="K138" s="1678" t="s">
        <v>164</v>
      </c>
      <c r="L138" s="52" t="s">
        <v>26</v>
      </c>
      <c r="M138" s="1716"/>
      <c r="N138" s="1716"/>
      <c r="O138" s="1716"/>
      <c r="P138" s="1726"/>
      <c r="Q138" s="1726"/>
      <c r="R138" s="1726"/>
      <c r="S138" s="1726"/>
      <c r="T138" s="1726"/>
      <c r="U138" s="1726"/>
      <c r="V138" s="55" t="s">
        <v>27</v>
      </c>
      <c r="W138" s="56">
        <f>$W$8</f>
        <v>43252</v>
      </c>
      <c r="X138" s="56">
        <f>$X$8</f>
        <v>43465</v>
      </c>
      <c r="Y138" s="56">
        <f>$Y$8</f>
        <v>43800</v>
      </c>
      <c r="Z138" s="56" t="str">
        <f>$Z$8</f>
        <v>-</v>
      </c>
      <c r="AA138" s="56" t="str">
        <f>$AA$8</f>
        <v>-</v>
      </c>
      <c r="AB138" s="56" t="str">
        <f>$AB$8</f>
        <v>-</v>
      </c>
      <c r="AC138" s="56" t="str">
        <f>$AC$8</f>
        <v>-</v>
      </c>
      <c r="AD138" s="56" t="str">
        <f>$AD$8</f>
        <v>-</v>
      </c>
      <c r="AE138" s="56" t="str">
        <f>$AE$8</f>
        <v>-</v>
      </c>
      <c r="AF138" s="56" t="str">
        <f>$AF$8</f>
        <v>-</v>
      </c>
      <c r="AG138" s="56" t="str">
        <f>$AG$8</f>
        <v>-</v>
      </c>
      <c r="AH138"/>
      <c r="AI138" s="55" t="s">
        <v>27</v>
      </c>
      <c r="AJ138" s="56">
        <v>43252</v>
      </c>
      <c r="AK138" s="56">
        <f>$X$8</f>
        <v>43465</v>
      </c>
      <c r="AL138" s="56">
        <f>$Y$8</f>
        <v>43800</v>
      </c>
      <c r="AM138" s="56" t="str">
        <f>$Z$8</f>
        <v>-</v>
      </c>
      <c r="AN138" s="56" t="str">
        <f>$AA$8</f>
        <v>-</v>
      </c>
      <c r="AO138" s="56" t="str">
        <f>$AB$8</f>
        <v>-</v>
      </c>
      <c r="AP138" s="56" t="str">
        <f>$AC$8</f>
        <v>-</v>
      </c>
      <c r="AQ138" s="56" t="str">
        <f>$AD$8</f>
        <v>-</v>
      </c>
      <c r="AR138" s="56" t="str">
        <f>$AE$8</f>
        <v>-</v>
      </c>
      <c r="AS138" s="56" t="str">
        <f>$AF$8</f>
        <v>-</v>
      </c>
      <c r="AT138" s="29"/>
      <c r="AU138" s="55" t="s">
        <v>27</v>
      </c>
      <c r="AV138" s="56">
        <v>43252</v>
      </c>
      <c r="AW138" s="56">
        <f>$X$8</f>
        <v>43465</v>
      </c>
      <c r="AX138" s="56">
        <f>$Y$8</f>
        <v>43800</v>
      </c>
      <c r="AY138" s="56" t="str">
        <f>$Z$8</f>
        <v>-</v>
      </c>
      <c r="AZ138" s="56" t="str">
        <f>$AA$8</f>
        <v>-</v>
      </c>
      <c r="BA138" s="56" t="str">
        <f>$AB$8</f>
        <v>-</v>
      </c>
      <c r="BB138" s="56" t="str">
        <f>$AC$8</f>
        <v>-</v>
      </c>
      <c r="BC138" s="56" t="str">
        <f>$AD$8</f>
        <v>-</v>
      </c>
      <c r="BD138" s="56" t="str">
        <f>$AE$8</f>
        <v>-</v>
      </c>
      <c r="BE138" s="56" t="str">
        <f>$AF$8</f>
        <v>-</v>
      </c>
      <c r="DB138" s="57" t="str">
        <f>$DB$8</f>
        <v>TRC (2020)</v>
      </c>
      <c r="DC138" s="103" t="str">
        <f>$DC$8</f>
        <v>Benefit Lookup</v>
      </c>
      <c r="DD138" s="103" t="str">
        <f>$DD$8</f>
        <v>Benefits (2019 $)</v>
      </c>
      <c r="DE138" s="103" t="str">
        <f>$DE$8</f>
        <v>Incremental Cost (2019 $)</v>
      </c>
    </row>
    <row r="139" spans="2:109" ht="15" customHeight="1" x14ac:dyDescent="0.25">
      <c r="C139" s="1763" t="s">
        <v>165</v>
      </c>
      <c r="D139" s="1728" t="s">
        <v>34</v>
      </c>
      <c r="E139" s="1754" t="s">
        <v>166</v>
      </c>
      <c r="F139" s="210">
        <f>ROUND(F$150*G$150*(H$150-H152)*I$150*J152,2)</f>
        <v>668.14</v>
      </c>
      <c r="G139" s="1730" t="s">
        <v>100</v>
      </c>
      <c r="H139" s="1731">
        <f>VLOOKUP(G139,'CP FACTORS'!$A$26:$B$38,2,FALSE)</f>
        <v>1.3573829999999999E-4</v>
      </c>
      <c r="I139" s="1755">
        <f t="shared" ref="I139:I140" si="35">ROUND(H139*F139,6)</f>
        <v>9.0691999999999995E-2</v>
      </c>
      <c r="J139" s="1764">
        <v>12</v>
      </c>
      <c r="K139" s="1780">
        <v>151</v>
      </c>
      <c r="L139" s="1516" t="s">
        <v>167</v>
      </c>
      <c r="M139" s="2629"/>
      <c r="N139" s="2629"/>
      <c r="O139" s="2629"/>
      <c r="V139" s="61" t="str">
        <f>F138</f>
        <v>kWh Annual Savings (per door)</v>
      </c>
      <c r="W139" s="71">
        <v>668.13575400000013</v>
      </c>
      <c r="X139" s="71">
        <v>668.13575400000013</v>
      </c>
      <c r="Y139" s="71">
        <v>668.13575400000013</v>
      </c>
      <c r="Z139" s="64"/>
      <c r="AA139" s="64"/>
      <c r="AB139" s="64"/>
      <c r="AC139" s="64"/>
      <c r="AD139" s="64"/>
      <c r="AE139" s="64"/>
      <c r="AF139" s="64"/>
      <c r="AG139" s="64"/>
      <c r="AH139" s="65"/>
      <c r="AI139" s="61" t="s">
        <v>24</v>
      </c>
      <c r="AJ139" s="66">
        <v>12</v>
      </c>
      <c r="AK139" s="66">
        <v>12</v>
      </c>
      <c r="AL139" s="66">
        <v>12</v>
      </c>
      <c r="AM139" s="64"/>
      <c r="AN139" s="64"/>
      <c r="AO139" s="64"/>
      <c r="AP139" s="64"/>
      <c r="AQ139" s="64"/>
      <c r="AR139" s="64"/>
      <c r="AS139" s="64"/>
      <c r="AT139" s="29"/>
      <c r="AU139" s="61" t="str">
        <f>K138</f>
        <v>Inc. Cost (per door)</v>
      </c>
      <c r="AV139" s="67">
        <v>151</v>
      </c>
      <c r="AW139" s="67">
        <v>151</v>
      </c>
      <c r="AX139" s="67">
        <v>151</v>
      </c>
      <c r="AY139" s="64"/>
      <c r="AZ139" s="64"/>
      <c r="BA139" s="64"/>
      <c r="BB139" s="64"/>
      <c r="BC139" s="64"/>
      <c r="BD139" s="64"/>
      <c r="BE139" s="64"/>
      <c r="DB139" s="68">
        <f t="shared" ref="DB139:DB140" si="36">(DD139)/(DE139)</f>
        <v>2.0378027787616295</v>
      </c>
      <c r="DC139" s="69" t="str">
        <f>CONCATENATE(G139," ",J139," Year EUL")</f>
        <v>Refrigeration BUS 12 Year EUL</v>
      </c>
      <c r="DD139" s="105">
        <f>(INDEX('Avoided Cost Benefits'!$C$4:$C$857,MATCH(DC139,'Avoided Cost Benefits'!$A$4:$A$857,0)))*F139</f>
        <v>290.42776743086932</v>
      </c>
      <c r="DE139" s="70">
        <f>K139/(1.0595^(2020-2019))</f>
        <v>142.52005663048607</v>
      </c>
    </row>
    <row r="140" spans="2:109" x14ac:dyDescent="0.25">
      <c r="C140" s="1763" t="s">
        <v>168</v>
      </c>
      <c r="D140" s="1728" t="s">
        <v>34</v>
      </c>
      <c r="E140" s="1767" t="s">
        <v>169</v>
      </c>
      <c r="F140" s="210">
        <f>ROUND(F$150*G$150*(H$150-H153)*I$150*J153,2)</f>
        <v>770.93</v>
      </c>
      <c r="G140" s="1730" t="s">
        <v>100</v>
      </c>
      <c r="H140" s="1731">
        <f>VLOOKUP(G140,'CP FACTORS'!$A$26:$B$38,2,FALSE)</f>
        <v>1.3573829999999999E-4</v>
      </c>
      <c r="I140" s="1755">
        <f t="shared" si="35"/>
        <v>0.104645</v>
      </c>
      <c r="J140" s="1765">
        <v>12</v>
      </c>
      <c r="K140" s="1780">
        <v>151</v>
      </c>
      <c r="L140" s="1516" t="s">
        <v>167</v>
      </c>
      <c r="M140" s="2629"/>
      <c r="N140" s="2629"/>
      <c r="O140" s="2629"/>
      <c r="V140" s="61" t="str">
        <f>V139</f>
        <v>kWh Annual Savings (per door)</v>
      </c>
      <c r="W140" s="71">
        <v>770.92587000000003</v>
      </c>
      <c r="X140" s="71">
        <v>770.92587000000003</v>
      </c>
      <c r="Y140" s="71">
        <v>770.92587000000003</v>
      </c>
      <c r="Z140" s="64"/>
      <c r="AA140" s="64"/>
      <c r="AB140" s="64"/>
      <c r="AC140" s="64"/>
      <c r="AD140" s="64"/>
      <c r="AE140" s="64"/>
      <c r="AF140" s="64"/>
      <c r="AG140" s="64"/>
      <c r="AH140" s="65"/>
      <c r="AI140" s="61" t="s">
        <v>24</v>
      </c>
      <c r="AJ140" s="66">
        <v>12</v>
      </c>
      <c r="AK140" s="66">
        <v>12</v>
      </c>
      <c r="AL140" s="66">
        <v>12</v>
      </c>
      <c r="AM140" s="64"/>
      <c r="AN140" s="64"/>
      <c r="AO140" s="64"/>
      <c r="AP140" s="64"/>
      <c r="AQ140" s="64"/>
      <c r="AR140" s="64"/>
      <c r="AS140" s="64"/>
      <c r="AT140" s="29"/>
      <c r="AU140" s="61" t="str">
        <f>AU139</f>
        <v>Inc. Cost (per door)</v>
      </c>
      <c r="AV140" s="67">
        <v>151</v>
      </c>
      <c r="AW140" s="67">
        <v>151</v>
      </c>
      <c r="AX140" s="67">
        <v>151</v>
      </c>
      <c r="AY140" s="64"/>
      <c r="AZ140" s="64"/>
      <c r="BA140" s="64"/>
      <c r="BB140" s="64"/>
      <c r="BC140" s="64"/>
      <c r="BD140" s="64"/>
      <c r="BE140" s="64"/>
      <c r="DB140" s="75">
        <f t="shared" si="36"/>
        <v>2.3513085524451509</v>
      </c>
      <c r="DC140" s="73" t="str">
        <f>CONCATENATE(G140," ",J140," Year EUL")</f>
        <v>Refrigeration BUS 12 Year EUL</v>
      </c>
      <c r="DD140" s="107">
        <f>(INDEX('Avoided Cost Benefits'!$C$4:$C$857,MATCH(DC140,'Avoided Cost Benefits'!$A$4:$A$857,0)))*F140</f>
        <v>335.10862805022913</v>
      </c>
      <c r="DE140" s="76">
        <f>K140/(1.0595^(2020-2019))</f>
        <v>142.52005663048607</v>
      </c>
    </row>
    <row r="141" spans="2:109" hidden="1" outlineLevel="1" x14ac:dyDescent="0.25">
      <c r="E141" s="1719"/>
      <c r="F141" s="1719"/>
      <c r="G141" s="1719"/>
      <c r="H141" s="1741"/>
      <c r="I141" s="1719"/>
      <c r="J141" s="1719"/>
      <c r="K141" s="1719"/>
      <c r="M141" s="2629"/>
      <c r="N141" s="2629"/>
      <c r="O141" s="2629"/>
    </row>
    <row r="142" spans="2:109" hidden="1" outlineLevel="1" x14ac:dyDescent="0.25">
      <c r="D142" s="1719" t="s">
        <v>76</v>
      </c>
      <c r="E142" s="1719"/>
      <c r="F142" s="1719"/>
      <c r="G142" s="1719"/>
      <c r="H142" s="1741"/>
      <c r="I142" s="1719"/>
      <c r="J142" s="1719"/>
      <c r="K142" s="1719"/>
      <c r="M142" s="2629"/>
      <c r="N142" s="2629"/>
      <c r="O142" s="2629"/>
    </row>
    <row r="143" spans="2:109" hidden="1" outlineLevel="1" x14ac:dyDescent="0.25">
      <c r="D143" s="1742"/>
      <c r="G143" s="1771"/>
      <c r="H143" s="1772"/>
      <c r="M143" s="2629"/>
      <c r="N143" s="2629"/>
      <c r="O143" s="2629"/>
    </row>
    <row r="144" spans="2:109" hidden="1" outlineLevel="1" x14ac:dyDescent="0.25">
      <c r="D144" s="1742"/>
      <c r="G144" s="1771"/>
      <c r="H144" s="1772"/>
    </row>
    <row r="145" spans="2:110" hidden="1" outlineLevel="1" x14ac:dyDescent="0.25">
      <c r="D145" s="1742"/>
      <c r="G145" s="1716"/>
      <c r="H145" s="1743"/>
      <c r="M145" s="1719"/>
    </row>
    <row r="146" spans="2:110" hidden="1" outlineLevel="1" x14ac:dyDescent="0.25">
      <c r="D146" s="1742"/>
      <c r="G146" s="1716"/>
      <c r="H146" s="1743"/>
      <c r="M146" s="1719"/>
    </row>
    <row r="147" spans="2:110" hidden="1" outlineLevel="1" x14ac:dyDescent="0.25">
      <c r="D147" s="1742"/>
      <c r="G147" s="1716"/>
      <c r="H147" s="1743"/>
      <c r="M147" s="1719"/>
    </row>
    <row r="148" spans="2:110" hidden="1" outlineLevel="1" x14ac:dyDescent="0.25">
      <c r="D148" s="1742"/>
      <c r="G148" s="1716"/>
      <c r="H148" s="1743"/>
    </row>
    <row r="149" spans="2:110" s="78" customFormat="1" ht="60" hidden="1" outlineLevel="1" x14ac:dyDescent="0.25">
      <c r="C149" s="553"/>
      <c r="D149" s="1638"/>
      <c r="E149" s="1638" t="s">
        <v>136</v>
      </c>
      <c r="F149" s="1638" t="s">
        <v>170</v>
      </c>
      <c r="G149" s="1638" t="s">
        <v>171</v>
      </c>
      <c r="H149" s="115" t="s">
        <v>172</v>
      </c>
      <c r="I149" s="115" t="s">
        <v>94</v>
      </c>
      <c r="J149" s="1632" t="s">
        <v>173</v>
      </c>
      <c r="K149" s="553"/>
      <c r="L149" s="553"/>
      <c r="M149" s="233"/>
      <c r="N149" s="553"/>
      <c r="O149" s="553"/>
      <c r="P149" s="553"/>
      <c r="Q149" s="553"/>
      <c r="R149" s="553"/>
      <c r="S149" s="553"/>
      <c r="T149" s="553"/>
      <c r="U149" s="553"/>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DB149" s="27"/>
      <c r="DC149" s="26"/>
      <c r="DD149" s="26"/>
      <c r="DE149" s="26"/>
      <c r="DF149" s="26"/>
    </row>
    <row r="150" spans="2:110" hidden="1" outlineLevel="1" x14ac:dyDescent="0.25">
      <c r="D150" s="1747"/>
      <c r="E150" s="1747" t="s">
        <v>174</v>
      </c>
      <c r="F150" s="1781">
        <v>0.13</v>
      </c>
      <c r="G150" s="1782">
        <v>1</v>
      </c>
      <c r="H150" s="1783">
        <v>0.90700000000000003</v>
      </c>
      <c r="I150" s="1784">
        <v>8766</v>
      </c>
      <c r="J150" s="1785"/>
      <c r="K150" s="1769"/>
    </row>
    <row r="151" spans="2:110" hidden="1" outlineLevel="1" x14ac:dyDescent="0.25">
      <c r="D151" s="1777"/>
      <c r="E151" s="1777"/>
      <c r="F151" s="1786"/>
      <c r="G151" s="1787"/>
      <c r="H151" s="1788"/>
      <c r="I151" s="1784"/>
      <c r="J151" s="1785"/>
      <c r="K151" s="1769"/>
    </row>
    <row r="152" spans="2:110" hidden="1" outlineLevel="1" x14ac:dyDescent="0.25">
      <c r="D152" s="1747"/>
      <c r="E152" s="1747" t="str">
        <f>E139</f>
        <v>Anti-Sweat Heater Controls Refrigerator</v>
      </c>
      <c r="F152" s="1781">
        <v>0.13</v>
      </c>
      <c r="G152" s="1782">
        <v>1</v>
      </c>
      <c r="H152" s="1783">
        <v>0.45600000000000002</v>
      </c>
      <c r="I152" s="1784">
        <v>8766</v>
      </c>
      <c r="J152" s="1785">
        <v>1.3</v>
      </c>
      <c r="K152" s="1769"/>
    </row>
    <row r="153" spans="2:110" hidden="1" outlineLevel="1" x14ac:dyDescent="0.25">
      <c r="D153" s="1747"/>
      <c r="E153" s="1747" t="str">
        <f>E140</f>
        <v>Anti-Sweat Heater Controls Freezer</v>
      </c>
      <c r="F153" s="1781">
        <v>0.13</v>
      </c>
      <c r="G153" s="1782">
        <v>1</v>
      </c>
      <c r="H153" s="1783">
        <v>0.45600000000000002</v>
      </c>
      <c r="I153" s="1784">
        <v>8766</v>
      </c>
      <c r="J153" s="1785">
        <v>1.5</v>
      </c>
      <c r="K153" s="1769"/>
    </row>
    <row r="154" spans="2:110" collapsed="1" x14ac:dyDescent="0.25"/>
    <row r="156" spans="2:110" s="46" customFormat="1" x14ac:dyDescent="0.25">
      <c r="B156" s="2612" t="s">
        <v>175</v>
      </c>
      <c r="C156" s="2613"/>
      <c r="D156" s="2613"/>
      <c r="E156" s="2613"/>
      <c r="F156" s="2613"/>
      <c r="G156" s="2613"/>
      <c r="H156" s="2613"/>
      <c r="I156" s="2614"/>
      <c r="J156" s="2614"/>
      <c r="K156" s="2614"/>
      <c r="L156" s="2614"/>
      <c r="M156" s="2615"/>
      <c r="N156" s="2615"/>
      <c r="O156" s="2616"/>
      <c r="V156" s="47" t="str">
        <f>B156</f>
        <v>Heat Pump Water Heaters</v>
      </c>
      <c r="W156" s="48"/>
      <c r="X156" s="48"/>
      <c r="Y156" s="48"/>
      <c r="Z156" s="48"/>
      <c r="AA156" s="48"/>
      <c r="AB156" s="48"/>
      <c r="AC156" s="48"/>
      <c r="AD156" s="48"/>
      <c r="AE156" s="48"/>
      <c r="AF156" s="48"/>
      <c r="AG156" s="48"/>
      <c r="AH156" s="48"/>
      <c r="AI156" s="49"/>
      <c r="AJ156" s="26"/>
      <c r="AK156" s="26"/>
      <c r="AL156" s="26"/>
      <c r="AM156" s="26"/>
      <c r="AN156" s="26"/>
      <c r="AO156" s="26"/>
      <c r="AP156" s="26"/>
      <c r="AQ156" s="26"/>
      <c r="AR156" s="26"/>
      <c r="AS156" s="26"/>
      <c r="AT156" s="26"/>
      <c r="AU156" s="26"/>
      <c r="DB156" s="109"/>
    </row>
    <row r="157" spans="2:110" x14ac:dyDescent="0.25">
      <c r="D157" s="1724"/>
      <c r="E157" s="1719"/>
      <c r="F157" s="1719"/>
      <c r="G157" s="1719"/>
      <c r="H157" s="1725"/>
      <c r="I157" s="1719"/>
      <c r="J157" s="1719"/>
      <c r="K157" s="1719"/>
      <c r="L157" s="1719"/>
      <c r="P157" s="1719"/>
      <c r="Q157" s="1719"/>
      <c r="R157" s="1719"/>
      <c r="S157" s="1719"/>
      <c r="T157" s="1719"/>
      <c r="U157" s="1719"/>
      <c r="V157"/>
      <c r="W157"/>
      <c r="X157"/>
      <c r="Y157"/>
      <c r="Z157"/>
      <c r="AA157"/>
      <c r="AB157"/>
      <c r="AC157"/>
      <c r="AD157"/>
      <c r="AE157"/>
      <c r="AF157"/>
      <c r="AG157"/>
      <c r="AH157"/>
      <c r="AI157"/>
      <c r="AJ157" s="44"/>
      <c r="AK157" s="44"/>
      <c r="AL157" s="44"/>
      <c r="AM157" s="44"/>
      <c r="AN157" s="44"/>
      <c r="AO157" s="44"/>
      <c r="AP157" s="44"/>
      <c r="AQ157" s="44"/>
      <c r="AR157" s="44"/>
      <c r="AS157" s="44"/>
      <c r="AT157" s="44"/>
      <c r="AU157" s="44"/>
    </row>
    <row r="158" spans="2:110" s="50" customFormat="1" ht="30" x14ac:dyDescent="0.25">
      <c r="B158" s="51"/>
      <c r="C158" s="52" t="s">
        <v>17</v>
      </c>
      <c r="D158" s="1678" t="s">
        <v>18</v>
      </c>
      <c r="E158" s="1678" t="s">
        <v>19</v>
      </c>
      <c r="F158" s="1678" t="s">
        <v>20</v>
      </c>
      <c r="G158" s="1678" t="s">
        <v>21</v>
      </c>
      <c r="H158" s="53" t="s">
        <v>22</v>
      </c>
      <c r="I158" s="1678" t="s">
        <v>23</v>
      </c>
      <c r="J158" s="1678" t="s">
        <v>24</v>
      </c>
      <c r="K158" s="52" t="s">
        <v>25</v>
      </c>
      <c r="L158" s="52" t="s">
        <v>26</v>
      </c>
      <c r="M158" s="1716"/>
      <c r="N158" s="1716"/>
      <c r="O158" s="1716"/>
      <c r="P158" s="1726"/>
      <c r="Q158" s="1726"/>
      <c r="R158" s="1726"/>
      <c r="S158" s="1726"/>
      <c r="T158" s="1726"/>
      <c r="U158" s="1726"/>
      <c r="V158" s="55" t="s">
        <v>27</v>
      </c>
      <c r="W158" s="56">
        <f>$W$8</f>
        <v>43252</v>
      </c>
      <c r="X158" s="56">
        <f>$X$8</f>
        <v>43465</v>
      </c>
      <c r="Y158" s="56">
        <f>$Y$8</f>
        <v>43800</v>
      </c>
      <c r="Z158" s="56" t="str">
        <f>$Z$8</f>
        <v>-</v>
      </c>
      <c r="AA158" s="56" t="str">
        <f>$AA$8</f>
        <v>-</v>
      </c>
      <c r="AB158" s="56" t="str">
        <f>$AB$8</f>
        <v>-</v>
      </c>
      <c r="AC158" s="56" t="str">
        <f>$AC$8</f>
        <v>-</v>
      </c>
      <c r="AD158" s="56" t="str">
        <f>$AD$8</f>
        <v>-</v>
      </c>
      <c r="AE158" s="56" t="str">
        <f>$AE$8</f>
        <v>-</v>
      </c>
      <c r="AF158" s="56" t="str">
        <f>$AF$8</f>
        <v>-</v>
      </c>
      <c r="AG158" s="56" t="str">
        <f>$AG$8</f>
        <v>-</v>
      </c>
      <c r="AH158"/>
      <c r="AI158" s="55" t="s">
        <v>27</v>
      </c>
      <c r="AJ158" s="56">
        <v>43252</v>
      </c>
      <c r="AK158" s="56">
        <f>$X$8</f>
        <v>43465</v>
      </c>
      <c r="AL158" s="56">
        <f>$Y$8</f>
        <v>43800</v>
      </c>
      <c r="AM158" s="56" t="str">
        <f>$Z$8</f>
        <v>-</v>
      </c>
      <c r="AN158" s="56" t="str">
        <f>$AA$8</f>
        <v>-</v>
      </c>
      <c r="AO158" s="56" t="str">
        <f>$AB$8</f>
        <v>-</v>
      </c>
      <c r="AP158" s="56" t="str">
        <f>$AC$8</f>
        <v>-</v>
      </c>
      <c r="AQ158" s="56" t="str">
        <f>$AD$8</f>
        <v>-</v>
      </c>
      <c r="AR158" s="56" t="str">
        <f>$AE$8</f>
        <v>-</v>
      </c>
      <c r="AS158" s="56" t="str">
        <f>$AF$8</f>
        <v>-</v>
      </c>
      <c r="AT158" s="29"/>
      <c r="AU158" s="55" t="s">
        <v>27</v>
      </c>
      <c r="AV158" s="56">
        <v>43252</v>
      </c>
      <c r="AW158" s="56">
        <f>$X$8</f>
        <v>43465</v>
      </c>
      <c r="AX158" s="56">
        <f>$Y$8</f>
        <v>43800</v>
      </c>
      <c r="AY158" s="56" t="str">
        <f>$Z$8</f>
        <v>-</v>
      </c>
      <c r="AZ158" s="56" t="str">
        <f>$AA$8</f>
        <v>-</v>
      </c>
      <c r="BA158" s="56" t="str">
        <f>$AB$8</f>
        <v>-</v>
      </c>
      <c r="BB158" s="56" t="str">
        <f>$AC$8</f>
        <v>-</v>
      </c>
      <c r="BC158" s="56" t="str">
        <f>$AD$8</f>
        <v>-</v>
      </c>
      <c r="BD158" s="56" t="str">
        <f>$AE$8</f>
        <v>-</v>
      </c>
      <c r="BE158" s="56" t="str">
        <f>$AF$8</f>
        <v>-</v>
      </c>
      <c r="DB158" s="57" t="str">
        <f>$DB$8</f>
        <v>TRC (2020)</v>
      </c>
      <c r="DC158" s="103" t="str">
        <f>$DC$8</f>
        <v>Benefit Lookup</v>
      </c>
      <c r="DD158" s="103" t="str">
        <f>$DD$8</f>
        <v>Benefits (2019 $)</v>
      </c>
      <c r="DE158" s="103" t="str">
        <f>$DE$8</f>
        <v>Incremental Cost (2019 $)</v>
      </c>
    </row>
    <row r="159" spans="2:110" x14ac:dyDescent="0.25">
      <c r="C159" s="1727" t="s">
        <v>176</v>
      </c>
      <c r="D159" s="1728" t="s">
        <v>34</v>
      </c>
      <c r="E159" s="1754" t="s">
        <v>177</v>
      </c>
      <c r="F159" s="210">
        <f>ROUND((((1/F173-1/G173)*H173*J173*(K173-L173)*1)/3412)+M173-N173,2)</f>
        <v>21156</v>
      </c>
      <c r="G159" s="1730" t="s">
        <v>178</v>
      </c>
      <c r="H159" s="1731">
        <f>VLOOKUP(G159,'CP FACTORS'!$A$26:$B$38,2,FALSE)</f>
        <v>1.811545E-4</v>
      </c>
      <c r="I159" s="1755">
        <f t="shared" ref="I159:I163" si="37">ROUND(H159*F159,6)</f>
        <v>3.8325049999999998</v>
      </c>
      <c r="J159" s="1764">
        <v>15</v>
      </c>
      <c r="K159" s="1780">
        <v>4000</v>
      </c>
      <c r="L159" s="1734" t="s">
        <v>37</v>
      </c>
      <c r="V159" s="61" t="s">
        <v>20</v>
      </c>
      <c r="W159" s="71">
        <v>21156</v>
      </c>
      <c r="X159" s="71">
        <v>21156</v>
      </c>
      <c r="Y159" s="71">
        <v>21156</v>
      </c>
      <c r="Z159" s="64"/>
      <c r="AA159" s="64"/>
      <c r="AB159" s="64"/>
      <c r="AC159" s="64"/>
      <c r="AD159" s="64"/>
      <c r="AE159" s="64"/>
      <c r="AF159" s="64"/>
      <c r="AG159" s="64"/>
      <c r="AH159" s="65"/>
      <c r="AI159" s="61" t="s">
        <v>24</v>
      </c>
      <c r="AJ159" s="110">
        <v>15</v>
      </c>
      <c r="AK159" s="110">
        <v>15</v>
      </c>
      <c r="AL159" s="110">
        <v>15</v>
      </c>
      <c r="AM159" s="64"/>
      <c r="AN159" s="64"/>
      <c r="AO159" s="64"/>
      <c r="AP159" s="64"/>
      <c r="AQ159" s="64"/>
      <c r="AR159" s="64"/>
      <c r="AS159" s="64"/>
      <c r="AT159" s="29"/>
      <c r="AU159" s="61" t="s">
        <v>25</v>
      </c>
      <c r="AV159" s="116">
        <v>4000</v>
      </c>
      <c r="AW159" s="116">
        <v>4000</v>
      </c>
      <c r="AX159" s="116">
        <v>4000</v>
      </c>
      <c r="AY159" s="64"/>
      <c r="AZ159" s="64"/>
      <c r="BA159" s="64"/>
      <c r="BB159" s="64"/>
      <c r="BC159" s="64"/>
      <c r="BD159" s="64"/>
      <c r="BE159" s="64"/>
      <c r="DB159" s="68">
        <f t="shared" ref="DB159:DB163" si="38">(DD159)/(DE159)</f>
        <v>3.5430180315223572</v>
      </c>
      <c r="DC159" s="69" t="str">
        <f>CONCATENATE(G159," ",J159," Year EUL")</f>
        <v>Water Heating BUS 15 Year EUL</v>
      </c>
      <c r="DD159" s="105">
        <f>(INDEX('Avoided Cost Benefits'!$C$4:$C$857,MATCH(DC159,'Avoided Cost Benefits'!$A$4:$A$857,0)))*F159</f>
        <v>13376.188887295353</v>
      </c>
      <c r="DE159" s="70">
        <f>K159/(1.0595^(2020-2019))</f>
        <v>3775.3657385559222</v>
      </c>
    </row>
    <row r="160" spans="2:110" x14ac:dyDescent="0.25">
      <c r="C160" s="1727" t="s">
        <v>179</v>
      </c>
      <c r="D160" s="1728" t="s">
        <v>34</v>
      </c>
      <c r="E160" s="1767" t="s">
        <v>180</v>
      </c>
      <c r="F160" s="210">
        <f t="shared" ref="F160:F163" si="39">ROUND((((1/F174-1/G174)*H174*J174*(K174-L174)*1)/3412)+M174-N174,2)</f>
        <v>52890</v>
      </c>
      <c r="G160" s="1730" t="s">
        <v>178</v>
      </c>
      <c r="H160" s="1731">
        <f>VLOOKUP(G160,'CP FACTORS'!$A$26:$B$38,2,FALSE)</f>
        <v>1.811545E-4</v>
      </c>
      <c r="I160" s="1755">
        <f t="shared" si="37"/>
        <v>9.5812620000000006</v>
      </c>
      <c r="J160" s="1765">
        <v>15</v>
      </c>
      <c r="K160" s="1780">
        <v>7000</v>
      </c>
      <c r="L160" s="1734" t="s">
        <v>37</v>
      </c>
      <c r="V160" s="61" t="s">
        <v>20</v>
      </c>
      <c r="W160" s="71">
        <v>52890.000000000015</v>
      </c>
      <c r="X160" s="71">
        <v>52890.000000000015</v>
      </c>
      <c r="Y160" s="71">
        <v>52890.000000000015</v>
      </c>
      <c r="Z160" s="64"/>
      <c r="AA160" s="64"/>
      <c r="AB160" s="64"/>
      <c r="AC160" s="64"/>
      <c r="AD160" s="64"/>
      <c r="AE160" s="64"/>
      <c r="AF160" s="64"/>
      <c r="AG160" s="64"/>
      <c r="AH160" s="65"/>
      <c r="AI160" s="61" t="s">
        <v>24</v>
      </c>
      <c r="AJ160" s="111">
        <v>15</v>
      </c>
      <c r="AK160" s="111">
        <v>15</v>
      </c>
      <c r="AL160" s="111">
        <v>15</v>
      </c>
      <c r="AM160" s="64"/>
      <c r="AN160" s="64"/>
      <c r="AO160" s="64"/>
      <c r="AP160" s="64"/>
      <c r="AQ160" s="64"/>
      <c r="AR160" s="64"/>
      <c r="AS160" s="64"/>
      <c r="AT160" s="29"/>
      <c r="AU160" s="61" t="s">
        <v>25</v>
      </c>
      <c r="AV160" s="116">
        <v>7000</v>
      </c>
      <c r="AW160" s="116">
        <v>7000</v>
      </c>
      <c r="AX160" s="116">
        <v>7000</v>
      </c>
      <c r="AY160" s="64"/>
      <c r="AZ160" s="64"/>
      <c r="BA160" s="64"/>
      <c r="BB160" s="64"/>
      <c r="BC160" s="64"/>
      <c r="BD160" s="64"/>
      <c r="BE160" s="64"/>
      <c r="DB160" s="72">
        <f t="shared" si="38"/>
        <v>5.0614543307462245</v>
      </c>
      <c r="DC160" s="73" t="str">
        <f>CONCATENATE(G160," ",J160," Year EUL")</f>
        <v>Water Heating BUS 15 Year EUL</v>
      </c>
      <c r="DD160" s="106">
        <f>(INDEX('Avoided Cost Benefits'!$C$4:$C$857,MATCH(DC160,'Avoided Cost Benefits'!$A$4:$A$857,0)))*F160</f>
        <v>33440.472218238385</v>
      </c>
      <c r="DE160" s="74">
        <f>K160/(1.0595^(2020-2019))</f>
        <v>6606.8900424728636</v>
      </c>
    </row>
    <row r="161" spans="3:109" x14ac:dyDescent="0.25">
      <c r="C161" s="1727" t="s">
        <v>181</v>
      </c>
      <c r="D161" s="1728" t="s">
        <v>34</v>
      </c>
      <c r="E161" s="1767" t="s">
        <v>182</v>
      </c>
      <c r="F161" s="210">
        <f t="shared" si="39"/>
        <v>141041</v>
      </c>
      <c r="G161" s="1730" t="s">
        <v>178</v>
      </c>
      <c r="H161" s="1731">
        <f>VLOOKUP(G161,'CP FACTORS'!$A$26:$B$38,2,FALSE)</f>
        <v>1.811545E-4</v>
      </c>
      <c r="I161" s="1755">
        <f t="shared" si="37"/>
        <v>25.550211999999998</v>
      </c>
      <c r="J161" s="1765">
        <v>15</v>
      </c>
      <c r="K161" s="1780">
        <v>10000</v>
      </c>
      <c r="L161" s="1734" t="s">
        <v>37</v>
      </c>
      <c r="V161" s="61" t="s">
        <v>20</v>
      </c>
      <c r="W161" s="71">
        <v>141040.99999999997</v>
      </c>
      <c r="X161" s="71">
        <v>141040.99999999997</v>
      </c>
      <c r="Y161" s="71">
        <v>141040.99999999997</v>
      </c>
      <c r="Z161" s="64"/>
      <c r="AA161" s="64"/>
      <c r="AB161" s="64"/>
      <c r="AC161" s="64"/>
      <c r="AD161" s="64"/>
      <c r="AE161" s="64"/>
      <c r="AF161" s="64"/>
      <c r="AG161" s="64"/>
      <c r="AH161" s="65"/>
      <c r="AI161" s="61" t="s">
        <v>24</v>
      </c>
      <c r="AJ161" s="111">
        <v>15</v>
      </c>
      <c r="AK161" s="111">
        <v>15</v>
      </c>
      <c r="AL161" s="111">
        <v>15</v>
      </c>
      <c r="AM161" s="64"/>
      <c r="AN161" s="64"/>
      <c r="AO161" s="64"/>
      <c r="AP161" s="64"/>
      <c r="AQ161" s="64"/>
      <c r="AR161" s="64"/>
      <c r="AS161" s="64"/>
      <c r="AT161" s="29"/>
      <c r="AU161" s="61" t="s">
        <v>25</v>
      </c>
      <c r="AV161" s="116">
        <v>10000</v>
      </c>
      <c r="AW161" s="116">
        <v>10000</v>
      </c>
      <c r="AX161" s="116">
        <v>10000</v>
      </c>
      <c r="AY161" s="64"/>
      <c r="AZ161" s="64"/>
      <c r="BA161" s="64"/>
      <c r="BB161" s="64"/>
      <c r="BC161" s="64"/>
      <c r="BD161" s="64"/>
      <c r="BE161" s="64"/>
      <c r="DB161" s="72">
        <f t="shared" si="38"/>
        <v>9.4481150724890295</v>
      </c>
      <c r="DC161" s="73" t="str">
        <f>CONCATENATE(G161," ",J161," Year EUL")</f>
        <v>Water Heating BUS 15 Year EUL</v>
      </c>
      <c r="DD161" s="106">
        <f>(INDEX('Avoided Cost Benefits'!$C$4:$C$857,MATCH(DC161,'Avoided Cost Benefits'!$A$4:$A$857,0)))*F161</f>
        <v>89175.224846522207</v>
      </c>
      <c r="DE161" s="74">
        <f>K161/(1.0595^(2020-2019))</f>
        <v>9438.4143463898054</v>
      </c>
    </row>
    <row r="162" spans="3:109" x14ac:dyDescent="0.25">
      <c r="C162" s="1727" t="s">
        <v>183</v>
      </c>
      <c r="D162" s="1728" t="s">
        <v>34</v>
      </c>
      <c r="E162" s="1767" t="s">
        <v>184</v>
      </c>
      <c r="F162" s="210">
        <f t="shared" si="39"/>
        <v>282081</v>
      </c>
      <c r="G162" s="1730" t="s">
        <v>178</v>
      </c>
      <c r="H162" s="1731">
        <f>VLOOKUP(G162,'CP FACTORS'!$A$26:$B$38,2,FALSE)</f>
        <v>1.811545E-4</v>
      </c>
      <c r="I162" s="1755">
        <f t="shared" si="37"/>
        <v>51.100242999999999</v>
      </c>
      <c r="J162" s="1765">
        <v>15</v>
      </c>
      <c r="K162" s="1780">
        <v>14000</v>
      </c>
      <c r="L162" s="1734" t="s">
        <v>37</v>
      </c>
      <c r="V162" s="61" t="s">
        <v>20</v>
      </c>
      <c r="W162" s="71">
        <v>282081.00000000006</v>
      </c>
      <c r="X162" s="71">
        <v>282081.00000000006</v>
      </c>
      <c r="Y162" s="71">
        <v>282081.00000000006</v>
      </c>
      <c r="Z162" s="64"/>
      <c r="AA162" s="64"/>
      <c r="AB162" s="64"/>
      <c r="AC162" s="64"/>
      <c r="AD162" s="64"/>
      <c r="AE162" s="64"/>
      <c r="AF162" s="64"/>
      <c r="AG162" s="64"/>
      <c r="AH162" s="65"/>
      <c r="AI162" s="61" t="s">
        <v>24</v>
      </c>
      <c r="AJ162" s="111">
        <v>15</v>
      </c>
      <c r="AK162" s="111">
        <v>15</v>
      </c>
      <c r="AL162" s="111">
        <v>15</v>
      </c>
      <c r="AM162" s="64"/>
      <c r="AN162" s="64"/>
      <c r="AO162" s="64"/>
      <c r="AP162" s="64"/>
      <c r="AQ162" s="64"/>
      <c r="AR162" s="64"/>
      <c r="AS162" s="64"/>
      <c r="AT162" s="29"/>
      <c r="AU162" s="61" t="s">
        <v>25</v>
      </c>
      <c r="AV162" s="116">
        <v>14000</v>
      </c>
      <c r="AW162" s="116">
        <v>14000</v>
      </c>
      <c r="AX162" s="116">
        <v>14000</v>
      </c>
      <c r="AY162" s="64"/>
      <c r="AZ162" s="64"/>
      <c r="BA162" s="64"/>
      <c r="BB162" s="64"/>
      <c r="BC162" s="64"/>
      <c r="BD162" s="64"/>
      <c r="BE162" s="64"/>
      <c r="DB162" s="72">
        <f t="shared" si="38"/>
        <v>13.497259397534748</v>
      </c>
      <c r="DC162" s="73" t="str">
        <f>CONCATENATE(G162," ",J162," Year EUL")</f>
        <v>Water Heating BUS 15 Year EUL</v>
      </c>
      <c r="DD162" s="106">
        <f>(INDEX('Avoided Cost Benefits'!$C$4:$C$857,MATCH(DC162,'Avoided Cost Benefits'!$A$4:$A$857,0)))*F162</f>
        <v>178349.81742849122</v>
      </c>
      <c r="DE162" s="74">
        <f>K162/(1.0595^(2020-2019))</f>
        <v>13213.780084945727</v>
      </c>
    </row>
    <row r="163" spans="3:109" x14ac:dyDescent="0.25">
      <c r="C163" s="1727" t="s">
        <v>185</v>
      </c>
      <c r="D163" s="1728" t="s">
        <v>34</v>
      </c>
      <c r="E163" s="1767" t="s">
        <v>186</v>
      </c>
      <c r="F163" s="210">
        <f t="shared" si="39"/>
        <v>423122</v>
      </c>
      <c r="G163" s="1730" t="s">
        <v>178</v>
      </c>
      <c r="H163" s="1731">
        <f>VLOOKUP(G163,'CP FACTORS'!$A$26:$B$38,2,FALSE)</f>
        <v>1.811545E-4</v>
      </c>
      <c r="I163" s="1755">
        <f t="shared" si="37"/>
        <v>76.650453999999996</v>
      </c>
      <c r="J163" s="1765">
        <v>15</v>
      </c>
      <c r="K163" s="1780">
        <v>18000</v>
      </c>
      <c r="L163" s="1734" t="s">
        <v>37</v>
      </c>
      <c r="N163" s="1771"/>
      <c r="O163" s="1771"/>
      <c r="P163" s="1771"/>
      <c r="Q163" s="1771"/>
      <c r="R163" s="1771"/>
      <c r="V163" s="61" t="s">
        <v>20</v>
      </c>
      <c r="W163" s="71">
        <v>423122.00000000012</v>
      </c>
      <c r="X163" s="71">
        <v>423122.00000000012</v>
      </c>
      <c r="Y163" s="71">
        <v>423122.00000000012</v>
      </c>
      <c r="Z163" s="64"/>
      <c r="AA163" s="64"/>
      <c r="AB163" s="64"/>
      <c r="AC163" s="64"/>
      <c r="AD163" s="64"/>
      <c r="AE163" s="64"/>
      <c r="AF163" s="64"/>
      <c r="AG163" s="64"/>
      <c r="AH163" s="65"/>
      <c r="AI163" s="61" t="s">
        <v>24</v>
      </c>
      <c r="AJ163" s="111">
        <v>15</v>
      </c>
      <c r="AK163" s="111">
        <v>15</v>
      </c>
      <c r="AL163" s="111">
        <v>15</v>
      </c>
      <c r="AM163" s="64"/>
      <c r="AN163" s="64"/>
      <c r="AO163" s="64"/>
      <c r="AP163" s="64"/>
      <c r="AQ163" s="64"/>
      <c r="AR163" s="64"/>
      <c r="AS163" s="64"/>
      <c r="AT163" s="29"/>
      <c r="AU163" s="61" t="s">
        <v>25</v>
      </c>
      <c r="AV163" s="116">
        <v>18000</v>
      </c>
      <c r="AW163" s="116">
        <v>18000</v>
      </c>
      <c r="AX163" s="116">
        <v>18000</v>
      </c>
      <c r="AY163" s="64"/>
      <c r="AZ163" s="64"/>
      <c r="BA163" s="64"/>
      <c r="BB163" s="64"/>
      <c r="BC163" s="64"/>
      <c r="BD163" s="64"/>
      <c r="BE163" s="64"/>
      <c r="DB163" s="75">
        <f t="shared" si="38"/>
        <v>15.746821238354265</v>
      </c>
      <c r="DC163" s="73" t="str">
        <f>CONCATENATE(G163," ",J163," Year EUL")</f>
        <v>Water Heating BUS 15 Year EUL</v>
      </c>
      <c r="DD163" s="107">
        <f>(INDEX('Avoided Cost Benefits'!$C$4:$C$857,MATCH(DC163,'Avoided Cost Benefits'!$A$4:$A$857,0)))*F163</f>
        <v>267525.04227501346</v>
      </c>
      <c r="DE163" s="76">
        <f>K163/(1.0595^(2020-2019))</f>
        <v>16989.145823501651</v>
      </c>
    </row>
    <row r="164" spans="3:109" hidden="1" outlineLevel="1" x14ac:dyDescent="0.25">
      <c r="E164" s="1719"/>
      <c r="F164" s="1719"/>
      <c r="G164" s="1719"/>
      <c r="H164" s="1741"/>
      <c r="I164" s="1719"/>
      <c r="J164" s="1719"/>
      <c r="K164" s="1719"/>
      <c r="N164" s="1771"/>
      <c r="O164" s="1771"/>
      <c r="P164" s="1771"/>
      <c r="Q164" s="1771"/>
      <c r="R164" s="1771"/>
    </row>
    <row r="165" spans="3:109" hidden="1" outlineLevel="1" x14ac:dyDescent="0.25">
      <c r="D165" s="1719" t="s">
        <v>76</v>
      </c>
      <c r="E165" s="233"/>
      <c r="F165" s="1719"/>
      <c r="G165" s="1719"/>
      <c r="H165" s="1741"/>
      <c r="I165" s="1719"/>
      <c r="J165" s="1719"/>
      <c r="K165" s="233"/>
      <c r="N165" s="1771"/>
      <c r="O165" s="1771"/>
      <c r="P165" s="1771"/>
      <c r="Q165" s="1771"/>
      <c r="R165" s="1771"/>
    </row>
    <row r="166" spans="3:109" hidden="1" outlineLevel="1" x14ac:dyDescent="0.25">
      <c r="D166" s="1742"/>
      <c r="F166" s="233"/>
      <c r="G166" s="1771"/>
      <c r="H166" s="1772"/>
      <c r="N166" s="1771"/>
      <c r="O166" s="1771"/>
      <c r="P166" s="1771"/>
      <c r="Q166" s="1771"/>
      <c r="R166" s="1771"/>
    </row>
    <row r="167" spans="3:109" hidden="1" outlineLevel="1" x14ac:dyDescent="0.25">
      <c r="D167" s="1742"/>
      <c r="G167" s="1771"/>
      <c r="H167" s="1772"/>
      <c r="N167" s="1771"/>
      <c r="O167" s="1771"/>
      <c r="P167" s="1771"/>
      <c r="Q167" s="1771"/>
      <c r="R167" s="1771"/>
    </row>
    <row r="168" spans="3:109" hidden="1" outlineLevel="1" x14ac:dyDescent="0.25">
      <c r="D168" s="1742"/>
      <c r="G168" s="1716"/>
      <c r="H168" s="1743"/>
      <c r="M168" s="1719"/>
      <c r="N168" s="1771"/>
      <c r="O168" s="1771"/>
      <c r="P168" s="1771"/>
      <c r="Q168" s="1771"/>
      <c r="R168" s="1771"/>
    </row>
    <row r="169" spans="3:109" hidden="1" outlineLevel="1" x14ac:dyDescent="0.25">
      <c r="D169" s="1742"/>
      <c r="G169" s="1716"/>
      <c r="H169" s="1743"/>
      <c r="M169" s="1719"/>
      <c r="N169" s="1771"/>
      <c r="O169" s="1771"/>
      <c r="P169" s="1771"/>
      <c r="Q169" s="1771"/>
      <c r="R169" s="1771"/>
    </row>
    <row r="170" spans="3:109" hidden="1" outlineLevel="1" x14ac:dyDescent="0.25">
      <c r="D170" s="1742"/>
      <c r="G170" s="1716"/>
      <c r="H170" s="1743"/>
      <c r="M170" s="1719"/>
      <c r="N170" s="1771"/>
      <c r="O170" s="1771"/>
      <c r="P170" s="1771"/>
      <c r="Q170" s="1771"/>
      <c r="R170" s="1771"/>
    </row>
    <row r="171" spans="3:109" hidden="1" outlineLevel="1" x14ac:dyDescent="0.25">
      <c r="D171" s="1742"/>
      <c r="G171" s="1716"/>
      <c r="H171" s="1743"/>
      <c r="N171" s="1771"/>
      <c r="O171" s="1771"/>
      <c r="P171" s="1771"/>
      <c r="Q171" s="1771"/>
      <c r="R171" s="1771"/>
    </row>
    <row r="172" spans="3:109" s="78" customFormat="1" ht="30" hidden="1" outlineLevel="1" x14ac:dyDescent="0.2">
      <c r="C172" s="553"/>
      <c r="D172" s="52" t="s">
        <v>17</v>
      </c>
      <c r="E172" s="1638" t="s">
        <v>136</v>
      </c>
      <c r="F172" s="1638" t="s">
        <v>187</v>
      </c>
      <c r="G172" s="1638" t="s">
        <v>188</v>
      </c>
      <c r="H172" s="1632" t="s">
        <v>189</v>
      </c>
      <c r="I172" s="1632" t="s">
        <v>190</v>
      </c>
      <c r="J172" s="1632" t="s">
        <v>191</v>
      </c>
      <c r="K172" s="1632" t="s">
        <v>192</v>
      </c>
      <c r="L172" s="1632" t="s">
        <v>193</v>
      </c>
      <c r="M172" s="1678" t="s">
        <v>194</v>
      </c>
      <c r="N172" s="1678" t="s">
        <v>195</v>
      </c>
      <c r="O172" s="1678" t="s">
        <v>196</v>
      </c>
      <c r="P172" s="1678" t="s">
        <v>197</v>
      </c>
      <c r="Q172" s="1678" t="s">
        <v>198</v>
      </c>
      <c r="R172" s="1678" t="s">
        <v>199</v>
      </c>
      <c r="S172" s="1678" t="s">
        <v>200</v>
      </c>
      <c r="T172" s="553"/>
      <c r="U172" s="553"/>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DB172" s="108"/>
    </row>
    <row r="173" spans="3:109" hidden="1" outlineLevel="1" x14ac:dyDescent="0.25">
      <c r="D173" s="1747" t="str">
        <f>C159</f>
        <v>802250_2019_12_</v>
      </c>
      <c r="E173" s="1747" t="str">
        <f>E159</f>
        <v>Heat Pump Water Heater w/ 98% Efficiency 2.9-14.6 kW (10 to 50 MBH)</v>
      </c>
      <c r="F173" s="1789">
        <f>0.96-(0.0003*40)</f>
        <v>0.94799999999999995</v>
      </c>
      <c r="G173" s="1789">
        <v>4</v>
      </c>
      <c r="H173" s="1790">
        <f>558*I173</f>
        <v>149421.71926647448</v>
      </c>
      <c r="I173" s="1791">
        <v>267.78085890049192</v>
      </c>
      <c r="J173" s="1775">
        <v>8.33</v>
      </c>
      <c r="K173" s="1792">
        <v>125</v>
      </c>
      <c r="L173" s="1793">
        <v>57.898000000000003</v>
      </c>
      <c r="M173" s="1794">
        <f>((((1-1/G173)*H173*J173*(K173-L173)*1)*Q173*0.53*3)/(O173*3412))*R173</f>
        <v>10425.227215592167</v>
      </c>
      <c r="N173" s="1794">
        <f>((((1-1/G173)*H173*J173*(K173-L173)*1)*Q173*0.43)/(P173*3412))*S173</f>
        <v>8970.821589174504</v>
      </c>
      <c r="O173" s="1782">
        <v>2.8</v>
      </c>
      <c r="P173" s="1773">
        <v>0.88</v>
      </c>
      <c r="Q173" s="1782">
        <v>1</v>
      </c>
      <c r="R173" s="1789">
        <v>1</v>
      </c>
      <c r="S173" s="1789">
        <v>1</v>
      </c>
    </row>
    <row r="174" spans="3:109" hidden="1" outlineLevel="1" x14ac:dyDescent="0.25">
      <c r="D174" s="1747" t="str">
        <f t="shared" ref="D174:D177" si="40">C160</f>
        <v>802300_2019_12_</v>
      </c>
      <c r="E174" s="1747" t="str">
        <f>E160</f>
        <v>Heat Pump Water Heater w/ 98% Efficiency 14.7-29.3 kW (50 to 100 MBH)</v>
      </c>
      <c r="F174" s="1795">
        <v>0.98</v>
      </c>
      <c r="G174" s="1789">
        <v>4</v>
      </c>
      <c r="H174" s="1790">
        <f>558*I174</f>
        <v>389059.7149286035</v>
      </c>
      <c r="I174" s="1791">
        <v>697.2396324885367</v>
      </c>
      <c r="J174" s="1775">
        <v>8.33</v>
      </c>
      <c r="K174" s="1792">
        <v>125</v>
      </c>
      <c r="L174" s="1793">
        <v>57.898000000000003</v>
      </c>
      <c r="M174" s="1794">
        <f>((((1-1/G174)*H174*J174*(K174-L174)*1)*1*0.53*3)/(O174*3412))*1</f>
        <v>27144.88863115534</v>
      </c>
      <c r="N174" s="1794">
        <f>((((1-1/G174)*H174*J174*(K174-L174)*1)*Q174*0.43)/(P174*3412))*S174</f>
        <v>23357.95162372143</v>
      </c>
      <c r="O174" s="1782">
        <v>2.8</v>
      </c>
      <c r="P174" s="1773">
        <v>0.88</v>
      </c>
      <c r="Q174" s="1782">
        <v>1</v>
      </c>
      <c r="R174" s="1789">
        <v>1</v>
      </c>
      <c r="S174" s="1789">
        <v>1</v>
      </c>
    </row>
    <row r="175" spans="3:109" hidden="1" outlineLevel="1" x14ac:dyDescent="0.25">
      <c r="D175" s="1747" t="str">
        <f t="shared" si="40"/>
        <v>802350_2019_12_</v>
      </c>
      <c r="E175" s="1747" t="str">
        <f>E161</f>
        <v>Heat Pump Water Heater w/ 98% Efficiency 29.4-87.9 kW (100 to 300 MBH)</v>
      </c>
      <c r="F175" s="1795">
        <v>0.98</v>
      </c>
      <c r="G175" s="1789">
        <v>4</v>
      </c>
      <c r="H175" s="1790">
        <f>558*I175</f>
        <v>1037499.9291594848</v>
      </c>
      <c r="I175" s="1791">
        <v>1859.3188694614423</v>
      </c>
      <c r="J175" s="1775">
        <v>8.33</v>
      </c>
      <c r="K175" s="1792">
        <v>125</v>
      </c>
      <c r="L175" s="1793">
        <v>57.898000000000003</v>
      </c>
      <c r="M175" s="1794">
        <f>((((1-1/G175)*H175*J175*(K175-L175)*1)*1*0.53*3)/(O175*3412))*1</f>
        <v>72386.882915991271</v>
      </c>
      <c r="N175" s="1794">
        <f>((((1-1/G175)*H175*J175*(K175-L175)*1)*Q175*0.43)/(P175*3412))*S175</f>
        <v>62288.312629254913</v>
      </c>
      <c r="O175" s="1782">
        <v>2.8</v>
      </c>
      <c r="P175" s="1773">
        <v>0.88</v>
      </c>
      <c r="Q175" s="1782">
        <v>1</v>
      </c>
      <c r="R175" s="1789">
        <v>1</v>
      </c>
      <c r="S175" s="1789">
        <v>1</v>
      </c>
    </row>
    <row r="176" spans="3:109" hidden="1" outlineLevel="1" x14ac:dyDescent="0.25">
      <c r="D176" s="1747" t="str">
        <f t="shared" si="40"/>
        <v>802400_2019_12_</v>
      </c>
      <c r="E176" s="1747" t="str">
        <f>E162</f>
        <v>Heat Pump Water Heater w/ 98% Efficiency 88-146.5 kW (300 to 500 MBH)</v>
      </c>
      <c r="F176" s="1795">
        <v>0.98</v>
      </c>
      <c r="G176" s="1789">
        <v>4</v>
      </c>
      <c r="H176" s="1790">
        <f>558*I176</f>
        <v>2074992.5023024278</v>
      </c>
      <c r="I176" s="1791">
        <v>3718.6245560975408</v>
      </c>
      <c r="J176" s="1775">
        <v>8.33</v>
      </c>
      <c r="K176" s="1792">
        <v>125</v>
      </c>
      <c r="L176" s="1793">
        <v>57.898000000000003</v>
      </c>
      <c r="M176" s="1794">
        <f>((((1-1/G176)*H176*J176*(K176-L176)*1)*1*0.53*3)/(O176*3412))*1</f>
        <v>144773.25259907221</v>
      </c>
      <c r="N176" s="1794">
        <f>((((1-1/G176)*H176*J176*(K176-L176)*1)*Q176*0.43)/(P176*3412))*S176</f>
        <v>124576.1836258454</v>
      </c>
      <c r="O176" s="1782">
        <v>2.8</v>
      </c>
      <c r="P176" s="1773">
        <v>0.88</v>
      </c>
      <c r="Q176" s="1782">
        <v>1</v>
      </c>
      <c r="R176" s="1789">
        <v>1</v>
      </c>
      <c r="S176" s="1789">
        <v>1</v>
      </c>
    </row>
    <row r="177" spans="2:109" hidden="1" outlineLevel="1" x14ac:dyDescent="0.25">
      <c r="D177" s="1747" t="str">
        <f t="shared" si="40"/>
        <v>802450_2019_12_</v>
      </c>
      <c r="E177" s="1747" t="str">
        <f>E163</f>
        <v>Heat Pump Water Heater w/ 98% Efficiency &gt;146.6 kW (above 500 MBH)</v>
      </c>
      <c r="F177" s="1795">
        <v>0.98</v>
      </c>
      <c r="G177" s="1789">
        <v>4</v>
      </c>
      <c r="H177" s="1790">
        <f>558*I177</f>
        <v>3112492.431461913</v>
      </c>
      <c r="I177" s="1791">
        <v>5577.943425558984</v>
      </c>
      <c r="J177" s="1775">
        <v>8.33</v>
      </c>
      <c r="K177" s="1792">
        <v>125</v>
      </c>
      <c r="L177" s="1793">
        <v>57.898000000000003</v>
      </c>
      <c r="M177" s="1794">
        <f>((((1-1/G177)*H177*J177*(K177-L177)*1)*1*0.53*3)/(O177*3412))*1</f>
        <v>217160.13551506354</v>
      </c>
      <c r="N177" s="1794">
        <f>((((1-1/G177)*H177*J177*(K177-L177)*1)*Q177*0.43)/(P177*3412))*S177</f>
        <v>186864.49625510038</v>
      </c>
      <c r="O177" s="1782">
        <v>2.8</v>
      </c>
      <c r="P177" s="1773">
        <v>0.88</v>
      </c>
      <c r="Q177" s="1782">
        <v>1</v>
      </c>
      <c r="R177" s="1789">
        <v>1</v>
      </c>
      <c r="S177" s="1789">
        <v>1</v>
      </c>
    </row>
    <row r="178" spans="2:109" collapsed="1" x14ac:dyDescent="0.25">
      <c r="N178" s="1797"/>
      <c r="O178" s="1797"/>
      <c r="P178" s="1797"/>
      <c r="Q178" s="1797"/>
      <c r="R178" s="1797"/>
    </row>
    <row r="179" spans="2:109" x14ac:dyDescent="0.25">
      <c r="N179" s="1771"/>
      <c r="O179" s="1771"/>
      <c r="P179" s="1771"/>
      <c r="Q179" s="1771"/>
      <c r="R179" s="1771"/>
    </row>
    <row r="180" spans="2:109" s="46" customFormat="1" x14ac:dyDescent="0.25">
      <c r="B180" s="2612" t="s">
        <v>201</v>
      </c>
      <c r="C180" s="2613"/>
      <c r="D180" s="2613"/>
      <c r="E180" s="2613"/>
      <c r="F180" s="2613"/>
      <c r="G180" s="2613"/>
      <c r="H180" s="2613"/>
      <c r="I180" s="2614"/>
      <c r="J180" s="2614"/>
      <c r="K180" s="2614"/>
      <c r="L180" s="2614"/>
      <c r="M180" s="2615"/>
      <c r="N180" s="2615"/>
      <c r="O180" s="2616"/>
      <c r="V180" s="47" t="str">
        <f>B180</f>
        <v>Heat Pump Pool Heater</v>
      </c>
      <c r="W180" s="48"/>
      <c r="X180" s="48"/>
      <c r="Y180" s="48"/>
      <c r="Z180" s="48"/>
      <c r="AA180" s="48"/>
      <c r="AB180" s="48"/>
      <c r="AC180" s="48"/>
      <c r="AD180" s="48"/>
      <c r="AE180" s="48"/>
      <c r="AF180" s="48"/>
      <c r="AG180" s="48"/>
      <c r="AH180" s="48"/>
      <c r="AI180" s="49"/>
      <c r="AJ180" s="26"/>
      <c r="AK180" s="26"/>
      <c r="AL180" s="26"/>
      <c r="AM180" s="26"/>
      <c r="AN180" s="26"/>
      <c r="AO180" s="26"/>
      <c r="AP180" s="26"/>
      <c r="AQ180" s="26"/>
      <c r="AR180" s="26"/>
      <c r="AS180" s="26"/>
      <c r="AT180" s="26"/>
      <c r="AU180" s="26"/>
      <c r="DB180" s="109"/>
    </row>
    <row r="181" spans="2:109" x14ac:dyDescent="0.25">
      <c r="D181" s="1724"/>
      <c r="E181" s="1719"/>
      <c r="F181" s="1719"/>
      <c r="G181" s="1719"/>
      <c r="H181" s="1725"/>
      <c r="I181" s="1719"/>
      <c r="J181" s="1719"/>
      <c r="K181" s="1719"/>
      <c r="L181" s="1719"/>
      <c r="N181" s="1771"/>
      <c r="O181" s="1771"/>
      <c r="P181" s="1798"/>
      <c r="Q181" s="1798"/>
      <c r="R181" s="1798"/>
      <c r="S181" s="1719"/>
      <c r="T181" s="1719"/>
      <c r="U181" s="1719"/>
      <c r="V181"/>
      <c r="W181"/>
      <c r="X181"/>
      <c r="Y181"/>
      <c r="Z181"/>
      <c r="AA181"/>
      <c r="AB181"/>
      <c r="AC181"/>
      <c r="AD181"/>
      <c r="AE181"/>
      <c r="AF181"/>
      <c r="AG181"/>
      <c r="AH181"/>
      <c r="AI181"/>
      <c r="AJ181" s="44"/>
      <c r="AK181" s="44"/>
      <c r="AL181" s="44"/>
      <c r="AM181" s="44"/>
      <c r="AN181" s="44"/>
      <c r="AO181" s="44"/>
      <c r="AP181" s="44"/>
      <c r="AQ181" s="44"/>
      <c r="AR181" s="44"/>
      <c r="AS181" s="44"/>
      <c r="AT181" s="44"/>
      <c r="AU181" s="44"/>
    </row>
    <row r="182" spans="2:109" s="50" customFormat="1" ht="30" x14ac:dyDescent="0.25">
      <c r="B182" s="51"/>
      <c r="C182" s="52" t="s">
        <v>17</v>
      </c>
      <c r="D182" s="1678" t="s">
        <v>18</v>
      </c>
      <c r="E182" s="1678" t="s">
        <v>19</v>
      </c>
      <c r="F182" s="1678" t="s">
        <v>20</v>
      </c>
      <c r="G182" s="1678" t="s">
        <v>21</v>
      </c>
      <c r="H182" s="1678" t="s">
        <v>22</v>
      </c>
      <c r="I182" s="1678" t="s">
        <v>23</v>
      </c>
      <c r="J182" s="1678" t="s">
        <v>24</v>
      </c>
      <c r="K182" s="1678" t="s">
        <v>202</v>
      </c>
      <c r="L182" s="52" t="s">
        <v>26</v>
      </c>
      <c r="M182" s="1716"/>
      <c r="N182" s="1716"/>
      <c r="O182" s="1716"/>
      <c r="P182" s="1726"/>
      <c r="Q182" s="1726"/>
      <c r="R182" s="1726"/>
      <c r="S182" s="1726"/>
      <c r="T182" s="1726"/>
      <c r="U182" s="1726"/>
      <c r="V182" s="55" t="s">
        <v>27</v>
      </c>
      <c r="W182" s="56">
        <f>$W$8</f>
        <v>43252</v>
      </c>
      <c r="X182" s="56">
        <f>$X$8</f>
        <v>43465</v>
      </c>
      <c r="Y182" s="56">
        <f>$Y$8</f>
        <v>43800</v>
      </c>
      <c r="Z182" s="56" t="str">
        <f>$Z$8</f>
        <v>-</v>
      </c>
      <c r="AA182" s="56" t="str">
        <f>$AA$8</f>
        <v>-</v>
      </c>
      <c r="AB182" s="56" t="str">
        <f>$AB$8</f>
        <v>-</v>
      </c>
      <c r="AC182" s="56" t="str">
        <f>$AC$8</f>
        <v>-</v>
      </c>
      <c r="AD182" s="56" t="str">
        <f>$AD$8</f>
        <v>-</v>
      </c>
      <c r="AE182" s="56" t="str">
        <f>$AE$8</f>
        <v>-</v>
      </c>
      <c r="AF182" s="56" t="str">
        <f>$AF$8</f>
        <v>-</v>
      </c>
      <c r="AG182" s="56" t="str">
        <f>$AG$8</f>
        <v>-</v>
      </c>
      <c r="AH182"/>
      <c r="AI182" s="55" t="s">
        <v>27</v>
      </c>
      <c r="AJ182" s="56">
        <v>43252</v>
      </c>
      <c r="AK182" s="56">
        <f>$X$8</f>
        <v>43465</v>
      </c>
      <c r="AL182" s="56">
        <f>$Y$8</f>
        <v>43800</v>
      </c>
      <c r="AM182" s="56" t="str">
        <f>$Z$8</f>
        <v>-</v>
      </c>
      <c r="AN182" s="56" t="str">
        <f>$AA$8</f>
        <v>-</v>
      </c>
      <c r="AO182" s="56" t="str">
        <f>$AB$8</f>
        <v>-</v>
      </c>
      <c r="AP182" s="56" t="str">
        <f>$AC$8</f>
        <v>-</v>
      </c>
      <c r="AQ182" s="56" t="str">
        <f>$AD$8</f>
        <v>-</v>
      </c>
      <c r="AR182" s="56" t="str">
        <f>$AE$8</f>
        <v>-</v>
      </c>
      <c r="AS182" s="56" t="str">
        <f>$AF$8</f>
        <v>-</v>
      </c>
      <c r="AT182" s="29"/>
      <c r="AU182" s="55" t="s">
        <v>27</v>
      </c>
      <c r="AV182" s="56">
        <v>43252</v>
      </c>
      <c r="AW182" s="56">
        <f>$X$8</f>
        <v>43465</v>
      </c>
      <c r="AX182" s="56">
        <f>$Y$8</f>
        <v>43800</v>
      </c>
      <c r="AY182" s="56" t="str">
        <f>$Z$8</f>
        <v>-</v>
      </c>
      <c r="AZ182" s="56" t="str">
        <f>$AA$8</f>
        <v>-</v>
      </c>
      <c r="BA182" s="56" t="str">
        <f>$AB$8</f>
        <v>-</v>
      </c>
      <c r="BB182" s="56" t="str">
        <f>$AC$8</f>
        <v>-</v>
      </c>
      <c r="BC182" s="56" t="str">
        <f>$AD$8</f>
        <v>-</v>
      </c>
      <c r="BD182" s="56" t="str">
        <f>$AE$8</f>
        <v>-</v>
      </c>
      <c r="BE182" s="56" t="str">
        <f>$AF$8</f>
        <v>-</v>
      </c>
      <c r="DB182" s="57" t="str">
        <f>$DB$8</f>
        <v>TRC (2020)</v>
      </c>
      <c r="DC182" s="103" t="str">
        <f>$DC$8</f>
        <v>Benefit Lookup</v>
      </c>
      <c r="DD182" s="103" t="str">
        <f>$DD$8</f>
        <v>Benefits (2019 $)</v>
      </c>
      <c r="DE182" s="103" t="str">
        <f>$DE$8</f>
        <v>Incremental Cost (2019 $)</v>
      </c>
    </row>
    <row r="183" spans="2:109" x14ac:dyDescent="0.25">
      <c r="C183" s="1763" t="s">
        <v>203</v>
      </c>
      <c r="D183" s="1728" t="s">
        <v>34</v>
      </c>
      <c r="E183" s="1754" t="s">
        <v>204</v>
      </c>
      <c r="F183" s="210">
        <f>ROUND(F194*(1/H194-1/I194),2)</f>
        <v>35272.879999999997</v>
      </c>
      <c r="G183" s="1730" t="s">
        <v>178</v>
      </c>
      <c r="H183" s="1731">
        <f>VLOOKUP(G183,'CP FACTORS'!$A$26:$B$38,2,FALSE)</f>
        <v>1.811545E-4</v>
      </c>
      <c r="I183" s="1755">
        <f t="shared" ref="I183:I184" si="41">ROUND(H183*F183,6)</f>
        <v>6.3898409999999997</v>
      </c>
      <c r="J183" s="1799">
        <v>15</v>
      </c>
      <c r="K183" s="1756">
        <v>1000</v>
      </c>
      <c r="L183" s="1734" t="s">
        <v>37</v>
      </c>
      <c r="M183" s="2629"/>
      <c r="N183" s="2629"/>
      <c r="O183" s="2629"/>
      <c r="V183" s="61" t="s">
        <v>20</v>
      </c>
      <c r="W183" s="118">
        <v>35272.879999999997</v>
      </c>
      <c r="X183" s="71">
        <v>35272.879999999997</v>
      </c>
      <c r="Y183" s="71">
        <v>35272.879999999997</v>
      </c>
      <c r="Z183" s="64"/>
      <c r="AA183" s="64"/>
      <c r="AB183" s="64"/>
      <c r="AC183" s="64"/>
      <c r="AD183" s="64"/>
      <c r="AE183" s="64"/>
      <c r="AF183" s="64"/>
      <c r="AG183" s="64"/>
      <c r="AH183" s="65"/>
      <c r="AI183" s="61" t="s">
        <v>24</v>
      </c>
      <c r="AJ183" s="66">
        <v>15</v>
      </c>
      <c r="AK183" s="66">
        <v>15</v>
      </c>
      <c r="AL183" s="66">
        <v>15</v>
      </c>
      <c r="AM183" s="64"/>
      <c r="AN183" s="64"/>
      <c r="AO183" s="64"/>
      <c r="AP183" s="64"/>
      <c r="AQ183" s="64"/>
      <c r="AR183" s="64"/>
      <c r="AS183" s="64"/>
      <c r="AT183" s="29"/>
      <c r="AU183" s="61" t="str">
        <f>K182</f>
        <v>Inc. Cost (per unit)</v>
      </c>
      <c r="AV183" s="67">
        <v>1000</v>
      </c>
      <c r="AW183" s="67">
        <v>1000</v>
      </c>
      <c r="AX183" s="67">
        <v>1000</v>
      </c>
      <c r="AY183" s="64"/>
      <c r="AZ183" s="64"/>
      <c r="BA183" s="64"/>
      <c r="BB183" s="64"/>
      <c r="BC183" s="64"/>
      <c r="BD183" s="64"/>
      <c r="BE183" s="64"/>
      <c r="DB183" s="68">
        <f>(DD183)/(DE183)</f>
        <v>23.62874831985712</v>
      </c>
      <c r="DC183" s="69" t="str">
        <f>CONCATENATE(G183," ",J183," Year EUL")</f>
        <v>Water Heating BUS 15 Year EUL</v>
      </c>
      <c r="DD183" s="105">
        <f>(INDEX('Avoided Cost Benefits'!$C$4:$C$857,MATCH(DC183,'Avoided Cost Benefits'!$A$4:$A$857,0)))*F183</f>
        <v>22301.791712937345</v>
      </c>
      <c r="DE183" s="70">
        <f>K183/(1.0595^(2020-2019))</f>
        <v>943.84143463898056</v>
      </c>
    </row>
    <row r="184" spans="2:109" x14ac:dyDescent="0.25">
      <c r="C184" s="1763" t="s">
        <v>205</v>
      </c>
      <c r="D184" s="1728" t="s">
        <v>34</v>
      </c>
      <c r="E184" s="1754" t="s">
        <v>206</v>
      </c>
      <c r="F184" s="210">
        <f>ROUND(F195*(1/H195-1/I195),2)</f>
        <v>6206.88</v>
      </c>
      <c r="G184" s="1730" t="s">
        <v>178</v>
      </c>
      <c r="H184" s="1731">
        <f>VLOOKUP(G184,'CP FACTORS'!$A$26:$B$38,2,FALSE)</f>
        <v>1.811545E-4</v>
      </c>
      <c r="I184" s="1755">
        <f t="shared" si="41"/>
        <v>1.124404</v>
      </c>
      <c r="J184" s="1799">
        <v>15</v>
      </c>
      <c r="K184" s="1756">
        <v>1000</v>
      </c>
      <c r="L184" s="1734" t="s">
        <v>37</v>
      </c>
      <c r="M184" s="2629"/>
      <c r="N184" s="2629"/>
      <c r="O184" s="2629"/>
      <c r="V184" s="61" t="s">
        <v>20</v>
      </c>
      <c r="W184" s="118">
        <v>6206.880000000001</v>
      </c>
      <c r="X184" s="71">
        <v>6206.880000000001</v>
      </c>
      <c r="Y184" s="71">
        <v>6206.880000000001</v>
      </c>
      <c r="Z184" s="64"/>
      <c r="AA184" s="64"/>
      <c r="AB184" s="64"/>
      <c r="AC184" s="64"/>
      <c r="AD184" s="64"/>
      <c r="AE184" s="64"/>
      <c r="AF184" s="64"/>
      <c r="AG184" s="64"/>
      <c r="AH184" s="65"/>
      <c r="AI184" s="61" t="s">
        <v>24</v>
      </c>
      <c r="AJ184" s="66">
        <v>15</v>
      </c>
      <c r="AK184" s="66">
        <v>15</v>
      </c>
      <c r="AL184" s="66">
        <v>15</v>
      </c>
      <c r="AM184" s="64"/>
      <c r="AN184" s="64"/>
      <c r="AO184" s="64"/>
      <c r="AP184" s="64"/>
      <c r="AQ184" s="64"/>
      <c r="AR184" s="64"/>
      <c r="AS184" s="64"/>
      <c r="AT184" s="29"/>
      <c r="AU184" s="61" t="str">
        <f>AU183</f>
        <v>Inc. Cost (per unit)</v>
      </c>
      <c r="AV184" s="67">
        <v>1000</v>
      </c>
      <c r="AW184" s="67">
        <v>1000</v>
      </c>
      <c r="AX184" s="67">
        <v>1000</v>
      </c>
      <c r="AY184" s="64"/>
      <c r="AZ184" s="64"/>
      <c r="BA184" s="64"/>
      <c r="BB184" s="64"/>
      <c r="BC184" s="64"/>
      <c r="BD184" s="64"/>
      <c r="BE184" s="64"/>
      <c r="DB184" s="75">
        <f t="shared" ref="DB184" si="42">(DD184)/(DE184)</f>
        <v>4.1578914273956302</v>
      </c>
      <c r="DC184" s="73" t="str">
        <f>CONCATENATE(G184," ",J184," Year EUL")</f>
        <v>Water Heating BUS 15 Year EUL</v>
      </c>
      <c r="DD184" s="107">
        <f>(INDEX('Avoided Cost Benefits'!$C$4:$C$857,MATCH(DC184,'Avoided Cost Benefits'!$A$4:$A$857,0)))*F184</f>
        <v>3924.3902099062102</v>
      </c>
      <c r="DE184" s="76">
        <f>K184/(1.0595^(2020-2019))</f>
        <v>943.84143463898056</v>
      </c>
    </row>
    <row r="185" spans="2:109" hidden="1" outlineLevel="1" x14ac:dyDescent="0.25">
      <c r="E185" s="1719"/>
      <c r="F185" s="1719"/>
      <c r="G185" s="1719"/>
      <c r="H185" s="1741"/>
      <c r="I185" s="1719"/>
      <c r="J185" s="1719"/>
      <c r="K185" s="1719"/>
      <c r="M185" s="2629"/>
      <c r="N185" s="2629"/>
      <c r="O185" s="2629"/>
    </row>
    <row r="186" spans="2:109" hidden="1" outlineLevel="1" x14ac:dyDescent="0.25">
      <c r="D186" s="1719" t="s">
        <v>76</v>
      </c>
      <c r="E186" s="1719"/>
      <c r="F186" s="1719"/>
      <c r="G186" s="1719"/>
      <c r="H186" s="1741"/>
      <c r="I186" s="1719"/>
      <c r="J186" s="1719"/>
      <c r="K186" s="1719"/>
      <c r="M186" s="2629"/>
      <c r="N186" s="2629"/>
      <c r="O186" s="2629"/>
    </row>
    <row r="187" spans="2:109" hidden="1" outlineLevel="1" x14ac:dyDescent="0.25">
      <c r="D187" s="1742"/>
      <c r="F187" s="1800" t="s">
        <v>207</v>
      </c>
      <c r="G187" s="1771"/>
      <c r="H187" s="1800" t="s">
        <v>208</v>
      </c>
      <c r="M187" s="2629"/>
      <c r="N187" s="2629"/>
      <c r="O187" s="2629"/>
    </row>
    <row r="188" spans="2:109" hidden="1" outlineLevel="1" x14ac:dyDescent="0.25">
      <c r="D188" s="1742"/>
      <c r="G188" s="1771"/>
      <c r="H188" s="1772"/>
    </row>
    <row r="189" spans="2:109" hidden="1" outlineLevel="1" x14ac:dyDescent="0.25">
      <c r="D189" s="1742"/>
      <c r="G189" s="1716"/>
      <c r="H189" s="1743"/>
      <c r="M189" s="1719"/>
    </row>
    <row r="190" spans="2:109" hidden="1" outlineLevel="1" x14ac:dyDescent="0.25">
      <c r="D190" s="1742"/>
      <c r="G190" s="1716"/>
      <c r="H190" s="1743"/>
      <c r="M190" s="1719"/>
    </row>
    <row r="191" spans="2:109" hidden="1" outlineLevel="1" x14ac:dyDescent="0.25">
      <c r="D191" s="1742"/>
      <c r="G191" s="1716"/>
      <c r="H191" s="1743"/>
      <c r="M191" s="1719"/>
    </row>
    <row r="192" spans="2:109" hidden="1" outlineLevel="1" x14ac:dyDescent="0.25">
      <c r="D192" s="1742"/>
      <c r="G192" s="1716"/>
      <c r="H192" s="1743"/>
    </row>
    <row r="193" spans="2:109" s="78" customFormat="1" ht="30" hidden="1" outlineLevel="1" x14ac:dyDescent="0.25">
      <c r="C193" s="553"/>
      <c r="D193" s="52" t="s">
        <v>17</v>
      </c>
      <c r="E193" s="1638" t="s">
        <v>136</v>
      </c>
      <c r="F193" s="1638" t="s">
        <v>209</v>
      </c>
      <c r="G193" s="1638" t="s">
        <v>210</v>
      </c>
      <c r="H193" s="115" t="s">
        <v>211</v>
      </c>
      <c r="I193" s="119" t="s">
        <v>212</v>
      </c>
      <c r="J193" s="553"/>
      <c r="K193" s="553"/>
      <c r="L193" s="233"/>
      <c r="M193" s="553"/>
      <c r="N193" s="553"/>
      <c r="O193" s="553"/>
      <c r="P193" s="553"/>
      <c r="Q193" s="553"/>
      <c r="R193" s="553"/>
      <c r="S193" s="553"/>
      <c r="T193" s="553"/>
      <c r="U193" s="553"/>
      <c r="DB193" s="108"/>
    </row>
    <row r="194" spans="2:109" hidden="1" outlineLevel="1" x14ac:dyDescent="0.25">
      <c r="D194" s="1747" t="str">
        <f>C183</f>
        <v>802500_2019_12_</v>
      </c>
      <c r="E194" s="1747" t="str">
        <f>E183</f>
        <v>Pool Heater Heat Pump (Uncovered)</v>
      </c>
      <c r="F194" s="1801">
        <f>(53.075*G194)+1631.1</f>
        <v>44091.1</v>
      </c>
      <c r="G194" s="1782">
        <v>800</v>
      </c>
      <c r="H194" s="1802">
        <v>1</v>
      </c>
      <c r="I194" s="1803">
        <v>5</v>
      </c>
      <c r="J194" s="1769"/>
    </row>
    <row r="195" spans="2:109" hidden="1" outlineLevel="1" x14ac:dyDescent="0.25">
      <c r="D195" s="1747" t="str">
        <f>C184</f>
        <v>802550_2019_12_</v>
      </c>
      <c r="E195" s="1747" t="str">
        <f>E184</f>
        <v>Pool Heater Heat Pump (Covered)</v>
      </c>
      <c r="F195" s="1801">
        <f>(8.079*G195)+1295.4</f>
        <v>7758.6</v>
      </c>
      <c r="G195" s="1782">
        <v>800</v>
      </c>
      <c r="H195" s="1802">
        <v>1</v>
      </c>
      <c r="I195" s="1803">
        <v>5</v>
      </c>
      <c r="J195" s="1769"/>
    </row>
    <row r="196" spans="2:109" collapsed="1" x14ac:dyDescent="0.25"/>
    <row r="198" spans="2:109" s="46" customFormat="1" x14ac:dyDescent="0.25">
      <c r="B198" s="2612" t="s">
        <v>213</v>
      </c>
      <c r="C198" s="2613"/>
      <c r="D198" s="2613"/>
      <c r="E198" s="2613"/>
      <c r="F198" s="2613"/>
      <c r="G198" s="2613"/>
      <c r="H198" s="2613"/>
      <c r="I198" s="2614"/>
      <c r="J198" s="2614"/>
      <c r="K198" s="2614"/>
      <c r="L198" s="2614"/>
      <c r="M198" s="2615"/>
      <c r="N198" s="2615"/>
      <c r="O198" s="2616"/>
      <c r="V198" s="47" t="str">
        <f>B198</f>
        <v>Pool Pump</v>
      </c>
      <c r="W198" s="48"/>
      <c r="X198" s="48"/>
      <c r="Y198" s="48"/>
      <c r="Z198" s="48"/>
      <c r="AA198" s="48"/>
      <c r="AB198" s="48"/>
      <c r="AC198" s="48"/>
      <c r="AD198" s="48"/>
      <c r="AE198" s="48"/>
      <c r="AF198" s="48"/>
      <c r="AG198" s="48"/>
      <c r="AH198" s="48"/>
      <c r="AI198" s="49"/>
      <c r="AJ198" s="26"/>
      <c r="AK198" s="26"/>
      <c r="AL198" s="26"/>
      <c r="AM198" s="26"/>
      <c r="AN198" s="26"/>
      <c r="AO198" s="26"/>
      <c r="AP198" s="26"/>
      <c r="AQ198" s="26"/>
      <c r="AR198" s="26"/>
      <c r="AS198" s="26"/>
      <c r="AT198" s="26"/>
      <c r="AU198" s="26"/>
      <c r="DB198" s="109"/>
    </row>
    <row r="199" spans="2:109" x14ac:dyDescent="0.25">
      <c r="D199" s="1724"/>
      <c r="E199" s="1719"/>
      <c r="F199" s="1719"/>
      <c r="G199" s="1719"/>
      <c r="H199" s="1725"/>
      <c r="I199" s="1719"/>
      <c r="J199" s="1719"/>
      <c r="K199" s="1719"/>
      <c r="L199" s="1719"/>
      <c r="P199" s="1719"/>
      <c r="Q199" s="1719"/>
      <c r="R199" s="1719"/>
      <c r="S199" s="1719"/>
      <c r="T199" s="1719"/>
      <c r="U199" s="1719"/>
      <c r="V199"/>
      <c r="W199"/>
      <c r="X199"/>
      <c r="Y199"/>
      <c r="Z199"/>
      <c r="AA199"/>
      <c r="AB199"/>
      <c r="AC199"/>
      <c r="AD199"/>
      <c r="AE199"/>
      <c r="AF199"/>
      <c r="AG199"/>
      <c r="AH199"/>
      <c r="AI199"/>
      <c r="AJ199" s="44"/>
      <c r="AK199" s="44"/>
      <c r="AL199" s="44"/>
      <c r="AM199" s="44"/>
      <c r="AN199" s="44"/>
      <c r="AO199" s="44"/>
      <c r="AP199" s="44"/>
      <c r="AQ199" s="44"/>
      <c r="AR199" s="44"/>
      <c r="AS199" s="44"/>
      <c r="AT199" s="44"/>
      <c r="AU199" s="44"/>
    </row>
    <row r="200" spans="2:109" s="50" customFormat="1" ht="30" x14ac:dyDescent="0.25">
      <c r="B200" s="51"/>
      <c r="C200" s="52" t="s">
        <v>17</v>
      </c>
      <c r="D200" s="1678" t="s">
        <v>18</v>
      </c>
      <c r="E200" s="1678" t="s">
        <v>19</v>
      </c>
      <c r="F200" s="1678" t="s">
        <v>214</v>
      </c>
      <c r="G200" s="1678" t="s">
        <v>21</v>
      </c>
      <c r="H200" s="53" t="s">
        <v>22</v>
      </c>
      <c r="I200" s="1678" t="s">
        <v>23</v>
      </c>
      <c r="J200" s="1678" t="s">
        <v>24</v>
      </c>
      <c r="K200" s="52" t="s">
        <v>25</v>
      </c>
      <c r="L200" s="52" t="s">
        <v>26</v>
      </c>
      <c r="M200" s="1716"/>
      <c r="N200" s="1716"/>
      <c r="O200" s="1716"/>
      <c r="P200" s="1726"/>
      <c r="Q200" s="1726"/>
      <c r="R200" s="1726"/>
      <c r="S200" s="1726"/>
      <c r="T200" s="1726"/>
      <c r="U200" s="1726"/>
      <c r="V200" s="55" t="s">
        <v>27</v>
      </c>
      <c r="W200" s="56">
        <f>$W$8</f>
        <v>43252</v>
      </c>
      <c r="X200" s="56">
        <f>$X$8</f>
        <v>43465</v>
      </c>
      <c r="Y200" s="56">
        <f>$Y$8</f>
        <v>43800</v>
      </c>
      <c r="Z200" s="56" t="str">
        <f>$Z$8</f>
        <v>-</v>
      </c>
      <c r="AA200" s="56" t="str">
        <f>$AA$8</f>
        <v>-</v>
      </c>
      <c r="AB200" s="56" t="str">
        <f>$AB$8</f>
        <v>-</v>
      </c>
      <c r="AC200" s="56" t="str">
        <f>$AC$8</f>
        <v>-</v>
      </c>
      <c r="AD200" s="56" t="str">
        <f>$AD$8</f>
        <v>-</v>
      </c>
      <c r="AE200" s="56" t="str">
        <f>$AE$8</f>
        <v>-</v>
      </c>
      <c r="AF200" s="56" t="str">
        <f>$AF$8</f>
        <v>-</v>
      </c>
      <c r="AG200" s="56" t="str">
        <f>$AG$8</f>
        <v>-</v>
      </c>
      <c r="AH200"/>
      <c r="AI200" s="55" t="s">
        <v>27</v>
      </c>
      <c r="AJ200" s="56">
        <v>43252</v>
      </c>
      <c r="AK200" s="56">
        <f>$X$8</f>
        <v>43465</v>
      </c>
      <c r="AL200" s="56">
        <f>$Y$8</f>
        <v>43800</v>
      </c>
      <c r="AM200" s="56" t="str">
        <f>$Z$8</f>
        <v>-</v>
      </c>
      <c r="AN200" s="56" t="str">
        <f>$AA$8</f>
        <v>-</v>
      </c>
      <c r="AO200" s="56" t="str">
        <f>$AB$8</f>
        <v>-</v>
      </c>
      <c r="AP200" s="56" t="str">
        <f>$AC$8</f>
        <v>-</v>
      </c>
      <c r="AQ200" s="56" t="str">
        <f>$AD$8</f>
        <v>-</v>
      </c>
      <c r="AR200" s="56" t="str">
        <f>$AE$8</f>
        <v>-</v>
      </c>
      <c r="AS200" s="56" t="str">
        <f>$AF$8</f>
        <v>-</v>
      </c>
      <c r="AT200" s="29"/>
      <c r="AU200" s="55" t="s">
        <v>27</v>
      </c>
      <c r="AV200" s="56">
        <v>43252</v>
      </c>
      <c r="AW200" s="56">
        <f>$X$8</f>
        <v>43465</v>
      </c>
      <c r="AX200" s="56">
        <f>$Y$8</f>
        <v>43800</v>
      </c>
      <c r="AY200" s="56" t="str">
        <f>$Z$8</f>
        <v>-</v>
      </c>
      <c r="AZ200" s="56" t="str">
        <f>$AA$8</f>
        <v>-</v>
      </c>
      <c r="BA200" s="56" t="str">
        <f>$AB$8</f>
        <v>-</v>
      </c>
      <c r="BB200" s="56" t="str">
        <f>$AC$8</f>
        <v>-</v>
      </c>
      <c r="BC200" s="56" t="str">
        <f>$AD$8</f>
        <v>-</v>
      </c>
      <c r="BD200" s="56" t="str">
        <f>$AE$8</f>
        <v>-</v>
      </c>
      <c r="BE200" s="56" t="str">
        <f>$AF$8</f>
        <v>-</v>
      </c>
      <c r="DB200" s="57" t="str">
        <f>$DB$8</f>
        <v>TRC (2020)</v>
      </c>
      <c r="DC200" s="103" t="str">
        <f>$DC$8</f>
        <v>Benefit Lookup</v>
      </c>
      <c r="DD200" s="103" t="str">
        <f>$DD$8</f>
        <v>Benefits (2019 $)</v>
      </c>
      <c r="DE200" s="103" t="str">
        <f>$DE$8</f>
        <v>Incremental Cost (2019 $)</v>
      </c>
    </row>
    <row r="201" spans="2:109" x14ac:dyDescent="0.25">
      <c r="C201" s="1763" t="s">
        <v>215</v>
      </c>
      <c r="D201" s="1728" t="s">
        <v>34</v>
      </c>
      <c r="E201" s="1754" t="s">
        <v>216</v>
      </c>
      <c r="F201" s="210">
        <f>ROUND(1747*F211,2)</f>
        <v>1747</v>
      </c>
      <c r="G201" s="1730" t="s">
        <v>217</v>
      </c>
      <c r="H201" s="1731">
        <f>VLOOKUP(G201,'CP FACTORS'!$A$26:$B$38,2,FALSE)</f>
        <v>1.379439E-4</v>
      </c>
      <c r="I201" s="1755">
        <f t="shared" ref="I201" si="43">ROUND(H201*F201,6)</f>
        <v>0.24098800000000001</v>
      </c>
      <c r="J201" s="1799">
        <v>15</v>
      </c>
      <c r="K201" s="1780">
        <f>200*F211+46</f>
        <v>246</v>
      </c>
      <c r="L201" s="1734" t="s">
        <v>37</v>
      </c>
      <c r="M201" s="2629"/>
      <c r="N201" s="2629"/>
      <c r="O201" s="2629"/>
      <c r="V201" s="61" t="s">
        <v>20</v>
      </c>
      <c r="W201" s="71">
        <v>1747</v>
      </c>
      <c r="X201" s="71">
        <v>1747</v>
      </c>
      <c r="Y201" s="71">
        <v>1747</v>
      </c>
      <c r="Z201" s="64"/>
      <c r="AA201" s="64"/>
      <c r="AB201" s="64"/>
      <c r="AC201" s="64"/>
      <c r="AD201" s="64"/>
      <c r="AE201" s="64"/>
      <c r="AF201" s="64"/>
      <c r="AG201" s="64"/>
      <c r="AH201" s="65"/>
      <c r="AI201" s="61" t="s">
        <v>24</v>
      </c>
      <c r="AJ201" s="117">
        <v>15</v>
      </c>
      <c r="AK201" s="117">
        <v>15</v>
      </c>
      <c r="AL201" s="117">
        <v>15</v>
      </c>
      <c r="AM201" s="64"/>
      <c r="AN201" s="64"/>
      <c r="AO201" s="64"/>
      <c r="AP201" s="64"/>
      <c r="AQ201" s="64"/>
      <c r="AR201" s="64"/>
      <c r="AS201" s="64"/>
      <c r="AT201" s="29"/>
      <c r="AU201" s="61" t="s">
        <v>25</v>
      </c>
      <c r="AV201" s="67">
        <v>246</v>
      </c>
      <c r="AW201" s="67">
        <v>246</v>
      </c>
      <c r="AX201" s="67">
        <v>246</v>
      </c>
      <c r="AY201" s="64"/>
      <c r="AZ201" s="64"/>
      <c r="BA201" s="64"/>
      <c r="BB201" s="64"/>
      <c r="BC201" s="64"/>
      <c r="BD201" s="64"/>
      <c r="BE201" s="64"/>
      <c r="DB201" s="120">
        <f>(DD201)/(DE201)</f>
        <v>4.0338615402565363</v>
      </c>
      <c r="DC201" s="69" t="str">
        <f>CONCATENATE(G201," ",J201," Year EUL")</f>
        <v>Motors BUS 15 Year EUL</v>
      </c>
      <c r="DD201" s="121">
        <f>(INDEX('Avoided Cost Benefits'!$C$4:$C$857,MATCH(DC201,'Avoided Cost Benefits'!$A$4:$A$857,0)))*F201</f>
        <v>936.6021131695212</v>
      </c>
      <c r="DE201" s="122">
        <f>K201/(1.0595^(2020-2019))</f>
        <v>232.18499292118921</v>
      </c>
    </row>
    <row r="202" spans="2:109" hidden="1" outlineLevel="1" x14ac:dyDescent="0.25">
      <c r="E202" s="1719"/>
      <c r="F202" s="1719"/>
      <c r="G202" s="1719"/>
      <c r="H202" s="1741"/>
      <c r="I202" s="1719"/>
      <c r="J202" s="1719"/>
      <c r="K202" s="1719"/>
      <c r="M202" s="2629"/>
      <c r="N202" s="2629"/>
      <c r="O202" s="2629"/>
    </row>
    <row r="203" spans="2:109" hidden="1" outlineLevel="1" x14ac:dyDescent="0.25">
      <c r="D203" s="1719" t="s">
        <v>76</v>
      </c>
      <c r="E203" s="1719"/>
      <c r="F203" s="1719"/>
      <c r="G203" s="1719"/>
      <c r="H203" s="1741"/>
      <c r="I203" s="1719"/>
      <c r="J203" s="1719"/>
      <c r="K203" s="1719"/>
      <c r="M203" s="2629"/>
      <c r="N203" s="2629"/>
      <c r="O203" s="2629"/>
    </row>
    <row r="204" spans="2:109" hidden="1" outlineLevel="1" x14ac:dyDescent="0.25">
      <c r="D204" s="1742"/>
      <c r="G204" s="1771"/>
      <c r="H204" s="1772"/>
      <c r="M204" s="2629"/>
      <c r="N204" s="2629"/>
      <c r="O204" s="2629"/>
    </row>
    <row r="205" spans="2:109" hidden="1" outlineLevel="1" x14ac:dyDescent="0.25">
      <c r="D205" s="1742"/>
      <c r="G205" s="1771"/>
      <c r="H205" s="1772"/>
      <c r="M205" s="2629"/>
      <c r="N205" s="2629"/>
      <c r="O205" s="2629"/>
    </row>
    <row r="206" spans="2:109" hidden="1" outlineLevel="1" x14ac:dyDescent="0.25">
      <c r="D206" s="1742"/>
      <c r="G206" s="1716"/>
      <c r="H206" s="1743"/>
      <c r="M206" s="1719"/>
    </row>
    <row r="207" spans="2:109" hidden="1" outlineLevel="1" x14ac:dyDescent="0.25">
      <c r="D207" s="1742"/>
      <c r="G207" s="1716"/>
      <c r="H207" s="1743"/>
      <c r="M207" s="1719"/>
    </row>
    <row r="208" spans="2:109" hidden="1" outlineLevel="1" x14ac:dyDescent="0.25">
      <c r="D208" s="1742"/>
      <c r="G208" s="1716"/>
      <c r="H208" s="1743"/>
      <c r="M208" s="1719"/>
    </row>
    <row r="209" spans="2:109" hidden="1" outlineLevel="1" x14ac:dyDescent="0.25">
      <c r="D209" s="1742"/>
      <c r="G209" s="1716"/>
      <c r="H209" s="1743"/>
    </row>
    <row r="210" spans="2:109" s="78" customFormat="1" ht="30" hidden="1" outlineLevel="1" x14ac:dyDescent="0.25">
      <c r="C210" s="553"/>
      <c r="D210" s="52" t="s">
        <v>17</v>
      </c>
      <c r="E210" s="1638" t="s">
        <v>136</v>
      </c>
      <c r="F210" s="1638" t="s">
        <v>218</v>
      </c>
      <c r="G210" s="553"/>
      <c r="H210" s="553"/>
      <c r="I210" s="233"/>
      <c r="J210" s="553"/>
      <c r="K210" s="553"/>
      <c r="L210" s="553"/>
      <c r="M210" s="553"/>
      <c r="N210" s="553"/>
      <c r="O210" s="553"/>
      <c r="P210" s="553"/>
      <c r="Q210" s="553"/>
      <c r="R210" s="553"/>
      <c r="S210" s="553"/>
      <c r="T210" s="553"/>
      <c r="U210" s="553"/>
      <c r="DB210" s="108"/>
    </row>
    <row r="211" spans="2:109" hidden="1" outlineLevel="1" x14ac:dyDescent="0.25">
      <c r="D211" s="1747" t="str">
        <f>C201</f>
        <v>802600_2019_12_</v>
      </c>
      <c r="E211" s="1747" t="str">
        <f>E201</f>
        <v>Pool Pump w/ Variable Frequency Drive</v>
      </c>
      <c r="F211" s="1804">
        <v>1</v>
      </c>
      <c r="H211" s="1716"/>
    </row>
    <row r="212" spans="2:109" collapsed="1" x14ac:dyDescent="0.25"/>
    <row r="214" spans="2:109" s="50" customFormat="1" ht="30" x14ac:dyDescent="0.25">
      <c r="B214" s="51"/>
      <c r="C214" s="52" t="s">
        <v>17</v>
      </c>
      <c r="D214" s="1678" t="s">
        <v>18</v>
      </c>
      <c r="E214" s="1678" t="s">
        <v>19</v>
      </c>
      <c r="F214" s="1678" t="s">
        <v>20</v>
      </c>
      <c r="G214" s="1678" t="s">
        <v>21</v>
      </c>
      <c r="H214" s="53" t="s">
        <v>22</v>
      </c>
      <c r="I214" s="1678" t="s">
        <v>23</v>
      </c>
      <c r="J214" s="1678" t="s">
        <v>24</v>
      </c>
      <c r="K214" s="52" t="s">
        <v>25</v>
      </c>
      <c r="L214" s="52" t="s">
        <v>26</v>
      </c>
      <c r="M214" s="1716"/>
      <c r="N214" s="1716"/>
      <c r="O214" s="1716"/>
      <c r="P214" s="1726"/>
      <c r="Q214" s="1726"/>
      <c r="R214" s="1726"/>
      <c r="S214" s="1726"/>
      <c r="T214" s="1726"/>
      <c r="U214" s="1726"/>
      <c r="V214" s="55" t="s">
        <v>27</v>
      </c>
      <c r="W214" s="56">
        <f>$W$8</f>
        <v>43252</v>
      </c>
      <c r="X214" s="56">
        <f>$X$8</f>
        <v>43465</v>
      </c>
      <c r="Y214" s="56">
        <f>$Y$8</f>
        <v>43800</v>
      </c>
      <c r="Z214" s="56" t="str">
        <f>$Z$8</f>
        <v>-</v>
      </c>
      <c r="AA214" s="56" t="str">
        <f>$AA$8</f>
        <v>-</v>
      </c>
      <c r="AB214" s="56" t="str">
        <f>$AB$8</f>
        <v>-</v>
      </c>
      <c r="AC214" s="56" t="str">
        <f>$AC$8</f>
        <v>-</v>
      </c>
      <c r="AD214" s="56" t="str">
        <f>$AD$8</f>
        <v>-</v>
      </c>
      <c r="AE214" s="56" t="str">
        <f>$AE$8</f>
        <v>-</v>
      </c>
      <c r="AF214" s="56" t="str">
        <f>$AF$8</f>
        <v>-</v>
      </c>
      <c r="AG214" s="56" t="str">
        <f>$AG$8</f>
        <v>-</v>
      </c>
      <c r="AH214"/>
      <c r="AI214" s="55" t="s">
        <v>27</v>
      </c>
      <c r="AJ214" s="56">
        <v>43252</v>
      </c>
      <c r="AK214" s="56">
        <f>$X$8</f>
        <v>43465</v>
      </c>
      <c r="AL214" s="56">
        <f>$Y$8</f>
        <v>43800</v>
      </c>
      <c r="AM214" s="56" t="str">
        <f>$Z$8</f>
        <v>-</v>
      </c>
      <c r="AN214" s="56" t="str">
        <f>$AA$8</f>
        <v>-</v>
      </c>
      <c r="AO214" s="56" t="str">
        <f>$AB$8</f>
        <v>-</v>
      </c>
      <c r="AP214" s="56" t="str">
        <f>$AC$8</f>
        <v>-</v>
      </c>
      <c r="AQ214" s="56" t="str">
        <f>$AD$8</f>
        <v>-</v>
      </c>
      <c r="AR214" s="56" t="str">
        <f>$AE$8</f>
        <v>-</v>
      </c>
      <c r="AS214" s="56" t="str">
        <f>$AF$8</f>
        <v>-</v>
      </c>
      <c r="AT214" s="29"/>
      <c r="AU214" s="55" t="s">
        <v>27</v>
      </c>
      <c r="AV214" s="56">
        <v>43252</v>
      </c>
      <c r="AW214" s="56">
        <f>$X$8</f>
        <v>43465</v>
      </c>
      <c r="AX214" s="56">
        <f>$Y$8</f>
        <v>43800</v>
      </c>
      <c r="AY214" s="56" t="str">
        <f>$Z$8</f>
        <v>-</v>
      </c>
      <c r="AZ214" s="56" t="str">
        <f>$AA$8</f>
        <v>-</v>
      </c>
      <c r="BA214" s="56" t="str">
        <f>$AB$8</f>
        <v>-</v>
      </c>
      <c r="BB214" s="56" t="str">
        <f>$AC$8</f>
        <v>-</v>
      </c>
      <c r="BC214" s="56" t="str">
        <f>$AD$8</f>
        <v>-</v>
      </c>
      <c r="BD214" s="56" t="str">
        <f>$AE$8</f>
        <v>-</v>
      </c>
      <c r="BE214" s="56" t="str">
        <f>$AF$8</f>
        <v>-</v>
      </c>
      <c r="DB214" s="57" t="str">
        <f>$DB$8</f>
        <v>TRC (2020)</v>
      </c>
      <c r="DC214" s="103" t="str">
        <f>$DC$8</f>
        <v>Benefit Lookup</v>
      </c>
      <c r="DD214" s="103" t="str">
        <f>$DD$8</f>
        <v>Benefits (2019 $)</v>
      </c>
      <c r="DE214" s="103" t="str">
        <f>$DE$8</f>
        <v>Incremental Cost (2019 $)</v>
      </c>
    </row>
    <row r="215" spans="2:109" x14ac:dyDescent="0.25">
      <c r="C215" s="1763" t="s">
        <v>219</v>
      </c>
      <c r="D215" s="1728" t="s">
        <v>34</v>
      </c>
      <c r="E215" s="1754" t="s">
        <v>220</v>
      </c>
      <c r="F215" s="210">
        <f>ROUND(0.746*F225*G225,2)</f>
        <v>601.28</v>
      </c>
      <c r="G215" s="1730" t="s">
        <v>217</v>
      </c>
      <c r="H215" s="1731">
        <f>VLOOKUP(G215,'CP FACTORS'!$A$26:$B$38,2,FALSE)</f>
        <v>1.379439E-4</v>
      </c>
      <c r="I215" s="1755">
        <f t="shared" ref="I215" si="44">ROUND(H215*F215,6)</f>
        <v>8.2943000000000003E-2</v>
      </c>
      <c r="J215" s="1805">
        <v>10</v>
      </c>
      <c r="K215" s="1780">
        <v>100</v>
      </c>
      <c r="L215" s="1734" t="s">
        <v>37</v>
      </c>
      <c r="M215" s="2629"/>
      <c r="N215" s="2629"/>
      <c r="O215" s="2629"/>
      <c r="V215" s="61" t="s">
        <v>20</v>
      </c>
      <c r="W215" s="71">
        <v>601.27599999999995</v>
      </c>
      <c r="X215" s="71">
        <v>601.27599999999995</v>
      </c>
      <c r="Y215" s="71">
        <v>601.27599999999995</v>
      </c>
      <c r="Z215" s="64"/>
      <c r="AA215" s="64"/>
      <c r="AB215" s="64"/>
      <c r="AC215" s="64"/>
      <c r="AD215" s="64"/>
      <c r="AE215" s="64"/>
      <c r="AF215" s="64"/>
      <c r="AG215" s="64"/>
      <c r="AH215" s="65"/>
      <c r="AI215" s="61" t="s">
        <v>24</v>
      </c>
      <c r="AJ215" s="66">
        <v>10</v>
      </c>
      <c r="AK215" s="66">
        <v>10</v>
      </c>
      <c r="AL215" s="66">
        <v>10</v>
      </c>
      <c r="AM215" s="64"/>
      <c r="AN215" s="64"/>
      <c r="AO215" s="64"/>
      <c r="AP215" s="64"/>
      <c r="AQ215" s="64"/>
      <c r="AR215" s="64"/>
      <c r="AS215" s="64"/>
      <c r="AT215" s="29"/>
      <c r="AU215" s="61" t="s">
        <v>25</v>
      </c>
      <c r="AV215" s="67">
        <v>100</v>
      </c>
      <c r="AW215" s="67">
        <v>100</v>
      </c>
      <c r="AX215" s="67">
        <v>100</v>
      </c>
      <c r="AY215" s="64"/>
      <c r="AZ215" s="64"/>
      <c r="BA215" s="64"/>
      <c r="BB215" s="64"/>
      <c r="BC215" s="64"/>
      <c r="BD215" s="64"/>
      <c r="BE215" s="64"/>
      <c r="DB215" s="120">
        <f>(DD215)/(DE215)</f>
        <v>2.3274313914795477</v>
      </c>
      <c r="DC215" s="69" t="str">
        <f>CONCATENATE(G215," ",J215," Year EUL")</f>
        <v>Motors BUS 10 Year EUL</v>
      </c>
      <c r="DD215" s="121">
        <f>(INDEX('Avoided Cost Benefits'!$C$4:$C$857,MATCH(DC215,'Avoided Cost Benefits'!$A$4:$A$857,0)))*F215</f>
        <v>219.67261835578549</v>
      </c>
      <c r="DE215" s="122">
        <f>K215/(1.0595^(2020-2019))</f>
        <v>94.384143463898056</v>
      </c>
    </row>
    <row r="216" spans="2:109" hidden="1" outlineLevel="1" x14ac:dyDescent="0.25">
      <c r="E216" s="1719"/>
      <c r="F216" s="1719"/>
      <c r="G216" s="1719"/>
      <c r="H216" s="1741"/>
      <c r="I216" s="1719"/>
      <c r="J216" s="1719"/>
      <c r="K216" s="1719"/>
      <c r="M216" s="2629"/>
      <c r="N216" s="2629"/>
      <c r="O216" s="2629"/>
    </row>
    <row r="217" spans="2:109" hidden="1" outlineLevel="1" x14ac:dyDescent="0.25">
      <c r="D217" s="1719" t="s">
        <v>76</v>
      </c>
      <c r="E217" s="1719"/>
      <c r="F217" s="1719"/>
      <c r="G217" s="1719"/>
      <c r="H217" s="1741"/>
      <c r="I217" s="1719"/>
      <c r="J217" s="1719"/>
      <c r="K217" s="1719"/>
      <c r="M217" s="2629"/>
      <c r="N217" s="2629"/>
      <c r="O217" s="2629"/>
    </row>
    <row r="218" spans="2:109" hidden="1" outlineLevel="1" x14ac:dyDescent="0.25">
      <c r="D218" s="1806"/>
      <c r="E218" s="1157"/>
      <c r="G218" s="1771"/>
      <c r="H218" s="1772"/>
      <c r="M218" s="2629"/>
      <c r="N218" s="2629"/>
      <c r="O218" s="2629"/>
    </row>
    <row r="219" spans="2:109" hidden="1" outlineLevel="1" x14ac:dyDescent="0.25">
      <c r="D219" s="1806"/>
      <c r="E219" s="1157"/>
      <c r="G219" s="1771"/>
      <c r="H219" s="1772"/>
      <c r="M219" s="2629"/>
      <c r="N219" s="2629"/>
      <c r="O219" s="2629"/>
    </row>
    <row r="220" spans="2:109" hidden="1" outlineLevel="1" x14ac:dyDescent="0.25">
      <c r="D220" s="1806"/>
      <c r="E220" s="1157"/>
      <c r="G220" s="1716"/>
      <c r="H220" s="1743"/>
      <c r="M220" s="1719"/>
    </row>
    <row r="221" spans="2:109" hidden="1" outlineLevel="1" x14ac:dyDescent="0.25">
      <c r="D221" s="1742"/>
      <c r="G221" s="1716"/>
      <c r="H221" s="1743"/>
      <c r="M221" s="1719"/>
    </row>
    <row r="222" spans="2:109" hidden="1" outlineLevel="1" x14ac:dyDescent="0.25">
      <c r="D222" s="1742"/>
      <c r="G222" s="1716"/>
      <c r="H222" s="1743"/>
      <c r="M222" s="1719"/>
    </row>
    <row r="223" spans="2:109" hidden="1" outlineLevel="1" x14ac:dyDescent="0.25">
      <c r="D223" s="1742"/>
      <c r="G223" s="1716"/>
      <c r="H223" s="1743"/>
    </row>
    <row r="224" spans="2:109" s="78" customFormat="1" ht="30" hidden="1" outlineLevel="1" x14ac:dyDescent="0.25">
      <c r="C224" s="553"/>
      <c r="D224" s="52" t="s">
        <v>17</v>
      </c>
      <c r="E224" s="1638" t="s">
        <v>136</v>
      </c>
      <c r="F224" s="1638" t="s">
        <v>221</v>
      </c>
      <c r="G224" s="1638" t="s">
        <v>222</v>
      </c>
      <c r="H224" s="553"/>
      <c r="I224" s="233"/>
      <c r="J224" s="553"/>
      <c r="K224" s="553"/>
      <c r="L224" s="553"/>
      <c r="M224" s="553"/>
      <c r="N224" s="553"/>
      <c r="O224" s="553"/>
      <c r="P224" s="553"/>
      <c r="Q224" s="553"/>
      <c r="R224" s="553"/>
      <c r="S224" s="553"/>
      <c r="T224" s="553"/>
      <c r="U224" s="553"/>
      <c r="DB224" s="108"/>
    </row>
    <row r="225" spans="2:109" hidden="1" outlineLevel="1" x14ac:dyDescent="0.25">
      <c r="D225" s="1747" t="str">
        <f>C215</f>
        <v>802650_2019_12_</v>
      </c>
      <c r="E225" s="1747" t="str">
        <f>E215</f>
        <v>Pool Pump Timer</v>
      </c>
      <c r="F225" s="1807">
        <v>403</v>
      </c>
      <c r="G225" s="1808">
        <v>2</v>
      </c>
      <c r="H225" s="1716"/>
    </row>
    <row r="226" spans="2:109" collapsed="1" x14ac:dyDescent="0.25"/>
    <row r="228" spans="2:109" s="46" customFormat="1" x14ac:dyDescent="0.25">
      <c r="B228" s="2612" t="s">
        <v>223</v>
      </c>
      <c r="C228" s="2613"/>
      <c r="D228" s="2613"/>
      <c r="E228" s="2613"/>
      <c r="F228" s="2613"/>
      <c r="G228" s="2613"/>
      <c r="H228" s="2613"/>
      <c r="I228" s="2614"/>
      <c r="J228" s="2614"/>
      <c r="K228" s="2614"/>
      <c r="L228" s="2614"/>
      <c r="M228" s="2615"/>
      <c r="N228" s="2615"/>
      <c r="O228" s="2616"/>
      <c r="V228" s="47" t="str">
        <f>B228</f>
        <v>Steam Cookers</v>
      </c>
      <c r="W228" s="48"/>
      <c r="X228" s="48"/>
      <c r="Y228" s="48"/>
      <c r="Z228" s="48"/>
      <c r="AA228" s="48"/>
      <c r="AB228" s="48"/>
      <c r="AC228" s="48"/>
      <c r="AD228" s="48"/>
      <c r="AE228" s="48"/>
      <c r="AF228" s="48"/>
      <c r="AG228" s="48"/>
      <c r="AH228" s="48"/>
      <c r="AI228" s="49"/>
      <c r="AJ228" s="26"/>
      <c r="AK228" s="26"/>
      <c r="AL228" s="26"/>
      <c r="AM228" s="26"/>
      <c r="AN228" s="26"/>
      <c r="AO228" s="26"/>
      <c r="AP228" s="26"/>
      <c r="AQ228" s="26"/>
      <c r="AR228" s="26"/>
      <c r="AS228" s="26"/>
      <c r="AT228" s="26"/>
      <c r="AU228" s="26"/>
      <c r="DB228" s="109"/>
    </row>
    <row r="229" spans="2:109" x14ac:dyDescent="0.25">
      <c r="D229" s="1724"/>
      <c r="E229" s="1719"/>
      <c r="F229" s="1719"/>
      <c r="G229" s="1719"/>
      <c r="H229" s="1725"/>
      <c r="I229" s="1719"/>
      <c r="J229" s="1719"/>
      <c r="K229" s="1719"/>
      <c r="L229" s="1719"/>
      <c r="P229" s="1719"/>
      <c r="Q229" s="1719"/>
      <c r="R229" s="1719"/>
      <c r="S229" s="1719"/>
      <c r="T229" s="1719"/>
      <c r="U229" s="1719"/>
      <c r="V229"/>
      <c r="W229"/>
      <c r="X229"/>
      <c r="Y229"/>
      <c r="Z229"/>
      <c r="AA229"/>
      <c r="AB229"/>
      <c r="AC229"/>
      <c r="AD229"/>
      <c r="AE229"/>
      <c r="AF229"/>
      <c r="AG229"/>
      <c r="AH229"/>
      <c r="AI229"/>
      <c r="AJ229" s="44"/>
      <c r="AK229" s="44"/>
      <c r="AL229" s="44"/>
      <c r="AM229" s="44"/>
      <c r="AN229" s="44"/>
      <c r="AO229" s="44"/>
      <c r="AP229" s="44"/>
      <c r="AQ229" s="44"/>
      <c r="AR229" s="44"/>
      <c r="AS229" s="44"/>
      <c r="AT229" s="44"/>
      <c r="AU229" s="44"/>
    </row>
    <row r="230" spans="2:109" s="50" customFormat="1" ht="30" x14ac:dyDescent="0.25">
      <c r="B230" s="51"/>
      <c r="C230" s="52" t="s">
        <v>17</v>
      </c>
      <c r="D230" s="1678" t="s">
        <v>18</v>
      </c>
      <c r="E230" s="1678" t="s">
        <v>19</v>
      </c>
      <c r="F230" s="1678" t="s">
        <v>20</v>
      </c>
      <c r="G230" s="1678" t="s">
        <v>21</v>
      </c>
      <c r="H230" s="53" t="s">
        <v>22</v>
      </c>
      <c r="I230" s="1678" t="s">
        <v>23</v>
      </c>
      <c r="J230" s="1678" t="s">
        <v>24</v>
      </c>
      <c r="K230" s="52" t="s">
        <v>25</v>
      </c>
      <c r="L230" s="52" t="s">
        <v>26</v>
      </c>
      <c r="M230" s="1716"/>
      <c r="N230" s="1716"/>
      <c r="O230" s="1716"/>
      <c r="P230" s="1726"/>
      <c r="Q230" s="1726"/>
      <c r="R230" s="1726"/>
      <c r="S230" s="1726"/>
      <c r="T230" s="1726"/>
      <c r="U230" s="1726"/>
      <c r="V230" s="55" t="s">
        <v>27</v>
      </c>
      <c r="W230" s="56">
        <f>$W$8</f>
        <v>43252</v>
      </c>
      <c r="X230" s="56">
        <f>$X$8</f>
        <v>43465</v>
      </c>
      <c r="Y230" s="56">
        <f>$Y$8</f>
        <v>43800</v>
      </c>
      <c r="Z230" s="56" t="str">
        <f>$Z$8</f>
        <v>-</v>
      </c>
      <c r="AA230" s="56" t="str">
        <f>$AA$8</f>
        <v>-</v>
      </c>
      <c r="AB230" s="56" t="str">
        <f>$AB$8</f>
        <v>-</v>
      </c>
      <c r="AC230" s="56" t="str">
        <f>$AC$8</f>
        <v>-</v>
      </c>
      <c r="AD230" s="56" t="str">
        <f>$AD$8</f>
        <v>-</v>
      </c>
      <c r="AE230" s="56" t="str">
        <f>$AE$8</f>
        <v>-</v>
      </c>
      <c r="AF230" s="56" t="str">
        <f>$AF$8</f>
        <v>-</v>
      </c>
      <c r="AG230" s="56" t="str">
        <f>$AG$8</f>
        <v>-</v>
      </c>
      <c r="AH230"/>
      <c r="AI230" s="55" t="s">
        <v>27</v>
      </c>
      <c r="AJ230" s="56">
        <v>43252</v>
      </c>
      <c r="AK230" s="56">
        <f>$X$8</f>
        <v>43465</v>
      </c>
      <c r="AL230" s="56">
        <f>$Y$8</f>
        <v>43800</v>
      </c>
      <c r="AM230" s="56" t="str">
        <f>$Z$8</f>
        <v>-</v>
      </c>
      <c r="AN230" s="56" t="str">
        <f>$AA$8</f>
        <v>-</v>
      </c>
      <c r="AO230" s="56" t="str">
        <f>$AB$8</f>
        <v>-</v>
      </c>
      <c r="AP230" s="56" t="str">
        <f>$AC$8</f>
        <v>-</v>
      </c>
      <c r="AQ230" s="56" t="str">
        <f>$AD$8</f>
        <v>-</v>
      </c>
      <c r="AR230" s="56" t="str">
        <f>$AE$8</f>
        <v>-</v>
      </c>
      <c r="AS230" s="56" t="str">
        <f>$AF$8</f>
        <v>-</v>
      </c>
      <c r="AT230" s="29"/>
      <c r="AU230" s="55" t="s">
        <v>27</v>
      </c>
      <c r="AV230" s="56">
        <v>43252</v>
      </c>
      <c r="AW230" s="56">
        <f>$X$8</f>
        <v>43465</v>
      </c>
      <c r="AX230" s="56">
        <f>$Y$8</f>
        <v>43800</v>
      </c>
      <c r="AY230" s="56" t="str">
        <f>$Z$8</f>
        <v>-</v>
      </c>
      <c r="AZ230" s="56" t="str">
        <f>$AA$8</f>
        <v>-</v>
      </c>
      <c r="BA230" s="56" t="str">
        <f>$AB$8</f>
        <v>-</v>
      </c>
      <c r="BB230" s="56" t="str">
        <f>$AC$8</f>
        <v>-</v>
      </c>
      <c r="BC230" s="56" t="str">
        <f>$AD$8</f>
        <v>-</v>
      </c>
      <c r="BD230" s="56" t="str">
        <f>$AE$8</f>
        <v>-</v>
      </c>
      <c r="BE230" s="56" t="str">
        <f>$AF$8</f>
        <v>-</v>
      </c>
      <c r="DB230" s="57" t="str">
        <f>$DB$8</f>
        <v>TRC (2020)</v>
      </c>
      <c r="DC230" s="103" t="str">
        <f>$DC$8</f>
        <v>Benefit Lookup</v>
      </c>
      <c r="DD230" s="103" t="str">
        <f>$DD$8</f>
        <v>Benefits (2019 $)</v>
      </c>
      <c r="DE230" s="103" t="str">
        <f>$DE$8</f>
        <v>Incremental Cost (2019 $)</v>
      </c>
    </row>
    <row r="231" spans="2:109" x14ac:dyDescent="0.25">
      <c r="C231" s="1727" t="s">
        <v>224</v>
      </c>
      <c r="D231" s="1728" t="s">
        <v>34</v>
      </c>
      <c r="E231" s="1754" t="s">
        <v>225</v>
      </c>
      <c r="F231" s="210">
        <f>ROUND((F244+G244)*H244/1000,2)</f>
        <v>7856.31</v>
      </c>
      <c r="G231" s="1730" t="s">
        <v>226</v>
      </c>
      <c r="H231" s="1731">
        <f>VLOOKUP(G231,'CP FACTORS'!$A$26:$B$38,2,FALSE)</f>
        <v>1.998949E-4</v>
      </c>
      <c r="I231" s="1755">
        <f t="shared" ref="I231:I234" si="45">ROUND(H231*F231,6)</f>
        <v>1.5704359999999999</v>
      </c>
      <c r="J231" s="1809">
        <v>12</v>
      </c>
      <c r="K231" s="1780">
        <v>4150</v>
      </c>
      <c r="L231" s="1734" t="s">
        <v>37</v>
      </c>
      <c r="V231" s="61" t="s">
        <v>20</v>
      </c>
      <c r="W231" s="71">
        <v>7856.3138680450465</v>
      </c>
      <c r="X231" s="71">
        <v>7856.3138680450465</v>
      </c>
      <c r="Y231" s="71">
        <v>7856.3138680450465</v>
      </c>
      <c r="Z231" s="64"/>
      <c r="AA231" s="64"/>
      <c r="AB231" s="64"/>
      <c r="AC231" s="64"/>
      <c r="AD231" s="64"/>
      <c r="AE231" s="64"/>
      <c r="AF231" s="64"/>
      <c r="AG231" s="64"/>
      <c r="AH231" s="65"/>
      <c r="AI231" s="61" t="s">
        <v>24</v>
      </c>
      <c r="AJ231" s="66">
        <v>12</v>
      </c>
      <c r="AK231" s="66">
        <v>12</v>
      </c>
      <c r="AL231" s="66">
        <v>12</v>
      </c>
      <c r="AM231" s="64"/>
      <c r="AN231" s="64"/>
      <c r="AO231" s="64"/>
      <c r="AP231" s="64"/>
      <c r="AQ231" s="64"/>
      <c r="AR231" s="64"/>
      <c r="AS231" s="64"/>
      <c r="AT231" s="29"/>
      <c r="AU231" s="61" t="s">
        <v>25</v>
      </c>
      <c r="AV231" s="67">
        <v>4150</v>
      </c>
      <c r="AW231" s="67">
        <v>4150</v>
      </c>
      <c r="AX231" s="67">
        <v>4150</v>
      </c>
      <c r="AY231" s="64"/>
      <c r="AZ231" s="64"/>
      <c r="BA231" s="64"/>
      <c r="BB231" s="64"/>
      <c r="BC231" s="64"/>
      <c r="BD231" s="64"/>
      <c r="BE231" s="64"/>
      <c r="DB231" s="68">
        <f>(DD231)/(DE231)</f>
        <v>1.0172947267638794</v>
      </c>
      <c r="DC231" s="69" t="str">
        <f>CONCATENATE(G231," ",J231," Year EUL")</f>
        <v>Cooking BUS 12 Year EUL</v>
      </c>
      <c r="DD231" s="105">
        <f>(INDEX('Avoided Cost Benefits'!$C$4:$C$857,MATCH(DC231,'Avoided Cost Benefits'!$A$4:$A$857,0)))*F231</f>
        <v>3984.6843945918822</v>
      </c>
      <c r="DE231" s="70">
        <f>K231/(1.0595^(2020-2019))</f>
        <v>3916.9419537517692</v>
      </c>
    </row>
    <row r="232" spans="2:109" x14ac:dyDescent="0.25">
      <c r="C232" s="1727" t="s">
        <v>227</v>
      </c>
      <c r="D232" s="1728" t="s">
        <v>34</v>
      </c>
      <c r="E232" s="1767" t="s">
        <v>228</v>
      </c>
      <c r="F232" s="210">
        <f t="shared" ref="F232:F234" si="46">ROUND((F245+G245)*H245/1000,2)</f>
        <v>9213.5</v>
      </c>
      <c r="G232" s="1730" t="s">
        <v>226</v>
      </c>
      <c r="H232" s="1731">
        <f>VLOOKUP(G232,'CP FACTORS'!$A$26:$B$38,2,FALSE)</f>
        <v>1.998949E-4</v>
      </c>
      <c r="I232" s="1755">
        <f t="shared" si="45"/>
        <v>1.8417319999999999</v>
      </c>
      <c r="J232" s="1765">
        <v>12</v>
      </c>
      <c r="K232" s="1780">
        <v>4150</v>
      </c>
      <c r="L232" s="1734" t="s">
        <v>37</v>
      </c>
      <c r="V232" s="61" t="s">
        <v>20</v>
      </c>
      <c r="W232" s="71">
        <v>9213.5039339295909</v>
      </c>
      <c r="X232" s="71">
        <v>9213.5039339295909</v>
      </c>
      <c r="Y232" s="71">
        <v>9213.5039339295909</v>
      </c>
      <c r="Z232" s="64"/>
      <c r="AA232" s="64"/>
      <c r="AB232" s="64"/>
      <c r="AC232" s="64"/>
      <c r="AD232" s="64"/>
      <c r="AE232" s="64"/>
      <c r="AF232" s="64"/>
      <c r="AG232" s="64"/>
      <c r="AH232" s="65"/>
      <c r="AI232" s="61" t="s">
        <v>24</v>
      </c>
      <c r="AJ232" s="66">
        <v>12</v>
      </c>
      <c r="AK232" s="66">
        <v>12</v>
      </c>
      <c r="AL232" s="66">
        <v>12</v>
      </c>
      <c r="AM232" s="64"/>
      <c r="AN232" s="64"/>
      <c r="AO232" s="64"/>
      <c r="AP232" s="64"/>
      <c r="AQ232" s="64"/>
      <c r="AR232" s="64"/>
      <c r="AS232" s="64"/>
      <c r="AT232" s="29"/>
      <c r="AU232" s="61" t="s">
        <v>25</v>
      </c>
      <c r="AV232" s="67">
        <v>4150</v>
      </c>
      <c r="AW232" s="67">
        <v>4150</v>
      </c>
      <c r="AX232" s="67">
        <v>4150</v>
      </c>
      <c r="AY232" s="64"/>
      <c r="AZ232" s="64"/>
      <c r="BA232" s="64"/>
      <c r="BB232" s="64"/>
      <c r="BC232" s="64"/>
      <c r="BD232" s="64"/>
      <c r="BE232" s="64"/>
      <c r="DB232" s="72">
        <f t="shared" ref="DB232:DB234" si="47">(DD232)/(DE232)</f>
        <v>1.1930340026092405</v>
      </c>
      <c r="DC232" s="73" t="str">
        <f>CONCATENATE(G232," ",J232," Year EUL")</f>
        <v>Cooking BUS 12 Year EUL</v>
      </c>
      <c r="DD232" s="106">
        <f>(INDEX('Avoided Cost Benefits'!$C$4:$C$857,MATCH(DC232,'Avoided Cost Benefits'!$A$4:$A$857,0)))*F232</f>
        <v>4673.0449370725319</v>
      </c>
      <c r="DE232" s="74">
        <f>K232/(1.0595^(2020-2019))</f>
        <v>3916.9419537517692</v>
      </c>
    </row>
    <row r="233" spans="2:109" x14ac:dyDescent="0.25">
      <c r="C233" s="1727" t="s">
        <v>229</v>
      </c>
      <c r="D233" s="1728" t="s">
        <v>34</v>
      </c>
      <c r="E233" s="1767" t="s">
        <v>230</v>
      </c>
      <c r="F233" s="210">
        <f t="shared" si="46"/>
        <v>10512.97</v>
      </c>
      <c r="G233" s="1730" t="s">
        <v>226</v>
      </c>
      <c r="H233" s="1731">
        <f>VLOOKUP(G233,'CP FACTORS'!$A$26:$B$38,2,FALSE)</f>
        <v>1.998949E-4</v>
      </c>
      <c r="I233" s="1755">
        <f t="shared" si="45"/>
        <v>2.1014889999999999</v>
      </c>
      <c r="J233" s="1765">
        <v>12</v>
      </c>
      <c r="K233" s="1780">
        <v>4150</v>
      </c>
      <c r="L233" s="1734" t="s">
        <v>37</v>
      </c>
      <c r="V233" s="61" t="s">
        <v>20</v>
      </c>
      <c r="W233" s="71">
        <v>10512.970851398522</v>
      </c>
      <c r="X233" s="71">
        <v>10512.970851398522</v>
      </c>
      <c r="Y233" s="71">
        <v>10512.970851398522</v>
      </c>
      <c r="Z233" s="64"/>
      <c r="AA233" s="64"/>
      <c r="AB233" s="64"/>
      <c r="AC233" s="64"/>
      <c r="AD233" s="64"/>
      <c r="AE233" s="64"/>
      <c r="AF233" s="64"/>
      <c r="AG233" s="64"/>
      <c r="AH233" s="65"/>
      <c r="AI233" s="61" t="s">
        <v>24</v>
      </c>
      <c r="AJ233" s="66">
        <v>12</v>
      </c>
      <c r="AK233" s="66">
        <v>12</v>
      </c>
      <c r="AL233" s="66">
        <v>12</v>
      </c>
      <c r="AM233" s="64"/>
      <c r="AN233" s="64"/>
      <c r="AO233" s="64"/>
      <c r="AP233" s="64"/>
      <c r="AQ233" s="64"/>
      <c r="AR233" s="64"/>
      <c r="AS233" s="64"/>
      <c r="AT233" s="29"/>
      <c r="AU233" s="61" t="s">
        <v>25</v>
      </c>
      <c r="AV233" s="67">
        <v>4150</v>
      </c>
      <c r="AW233" s="67">
        <v>4150</v>
      </c>
      <c r="AX233" s="67">
        <v>4150</v>
      </c>
      <c r="AY233" s="64"/>
      <c r="AZ233" s="64"/>
      <c r="BA233" s="64"/>
      <c r="BB233" s="64"/>
      <c r="BC233" s="64"/>
      <c r="BD233" s="64"/>
      <c r="BE233" s="64"/>
      <c r="DB233" s="72">
        <f t="shared" si="47"/>
        <v>1.3612992541825437</v>
      </c>
      <c r="DC233" s="73" t="str">
        <f>CONCATENATE(G233," ",J233," Year EUL")</f>
        <v>Cooking BUS 12 Year EUL</v>
      </c>
      <c r="DD233" s="106">
        <f>(INDEX('Avoided Cost Benefits'!$C$4:$C$857,MATCH(DC233,'Avoided Cost Benefits'!$A$4:$A$857,0)))*F233</f>
        <v>5332.1301603185993</v>
      </c>
      <c r="DE233" s="74">
        <f>K233/(1.0595^(2020-2019))</f>
        <v>3916.9419537517692</v>
      </c>
    </row>
    <row r="234" spans="2:109" x14ac:dyDescent="0.25">
      <c r="C234" s="1727" t="s">
        <v>231</v>
      </c>
      <c r="D234" s="1728" t="s">
        <v>34</v>
      </c>
      <c r="E234" s="1767" t="s">
        <v>232</v>
      </c>
      <c r="F234" s="210">
        <f t="shared" si="46"/>
        <v>11818.65</v>
      </c>
      <c r="G234" s="1730" t="s">
        <v>226</v>
      </c>
      <c r="H234" s="1731">
        <f>VLOOKUP(G234,'CP FACTORS'!$A$26:$B$38,2,FALSE)</f>
        <v>1.998949E-4</v>
      </c>
      <c r="I234" s="1755">
        <f t="shared" si="45"/>
        <v>2.3624879999999999</v>
      </c>
      <c r="J234" s="1765">
        <v>12</v>
      </c>
      <c r="K234" s="1780">
        <v>4150</v>
      </c>
      <c r="L234" s="1734" t="s">
        <v>37</v>
      </c>
      <c r="V234" s="61" t="s">
        <v>20</v>
      </c>
      <c r="W234" s="71">
        <v>11818.648943162641</v>
      </c>
      <c r="X234" s="71">
        <v>11818.648943162641</v>
      </c>
      <c r="Y234" s="71">
        <v>11818.648943162641</v>
      </c>
      <c r="Z234" s="64"/>
      <c r="AA234" s="64"/>
      <c r="AB234" s="64"/>
      <c r="AC234" s="64"/>
      <c r="AD234" s="64"/>
      <c r="AE234" s="64"/>
      <c r="AF234" s="64"/>
      <c r="AG234" s="64"/>
      <c r="AH234" s="65"/>
      <c r="AI234" s="61" t="s">
        <v>24</v>
      </c>
      <c r="AJ234" s="66">
        <v>12</v>
      </c>
      <c r="AK234" s="66">
        <v>12</v>
      </c>
      <c r="AL234" s="66">
        <v>12</v>
      </c>
      <c r="AM234" s="64"/>
      <c r="AN234" s="64"/>
      <c r="AO234" s="64"/>
      <c r="AP234" s="64"/>
      <c r="AQ234" s="64"/>
      <c r="AR234" s="64"/>
      <c r="AS234" s="64"/>
      <c r="AT234" s="29"/>
      <c r="AU234" s="61" t="s">
        <v>25</v>
      </c>
      <c r="AV234" s="67">
        <v>4150</v>
      </c>
      <c r="AW234" s="67">
        <v>4150</v>
      </c>
      <c r="AX234" s="67">
        <v>4150</v>
      </c>
      <c r="AY234" s="64"/>
      <c r="AZ234" s="64"/>
      <c r="BA234" s="64"/>
      <c r="BB234" s="64"/>
      <c r="BC234" s="64"/>
      <c r="BD234" s="64"/>
      <c r="BE234" s="64"/>
      <c r="DB234" s="75">
        <f t="shared" si="47"/>
        <v>1.5303686237518535</v>
      </c>
      <c r="DC234" s="73" t="str">
        <f>CONCATENATE(G234," ",J234," Year EUL")</f>
        <v>Cooking BUS 12 Year EUL</v>
      </c>
      <c r="DD234" s="107">
        <f>(INDEX('Avoided Cost Benefits'!$C$4:$C$857,MATCH(DC234,'Avoided Cost Benefits'!$A$4:$A$857,0)))*F234</f>
        <v>5994.3650670789912</v>
      </c>
      <c r="DE234" s="76">
        <f>K234/(1.0595^(2020-2019))</f>
        <v>3916.9419537517692</v>
      </c>
    </row>
    <row r="235" spans="2:109" hidden="1" outlineLevel="1" x14ac:dyDescent="0.25">
      <c r="E235" s="1719"/>
      <c r="F235" s="1719"/>
      <c r="G235" s="1719"/>
      <c r="H235" s="1741"/>
      <c r="I235" s="1719"/>
      <c r="J235" s="1719"/>
      <c r="K235" s="1719"/>
    </row>
    <row r="236" spans="2:109" hidden="1" outlineLevel="1" x14ac:dyDescent="0.25">
      <c r="D236" s="1719" t="s">
        <v>76</v>
      </c>
      <c r="E236" s="233"/>
      <c r="F236" s="1719"/>
      <c r="G236" s="1719"/>
      <c r="H236" s="1741"/>
      <c r="I236" s="1719"/>
      <c r="J236" s="1719"/>
      <c r="K236" s="233"/>
    </row>
    <row r="237" spans="2:109" hidden="1" outlineLevel="1" x14ac:dyDescent="0.25">
      <c r="D237" s="1742"/>
      <c r="E237" s="233"/>
      <c r="F237" s="233"/>
      <c r="G237" s="1771"/>
      <c r="H237" s="1772"/>
    </row>
    <row r="238" spans="2:109" hidden="1" outlineLevel="1" x14ac:dyDescent="0.25">
      <c r="D238" s="1742"/>
      <c r="G238" s="1771"/>
      <c r="H238" s="1772"/>
      <c r="P238" s="2630"/>
      <c r="Q238" s="2630"/>
    </row>
    <row r="239" spans="2:109" hidden="1" outlineLevel="1" x14ac:dyDescent="0.25">
      <c r="D239" s="1742"/>
      <c r="G239" s="1716"/>
      <c r="H239" s="1743"/>
      <c r="M239" s="1719"/>
      <c r="P239" s="2630"/>
      <c r="Q239" s="2630"/>
    </row>
    <row r="240" spans="2:109" hidden="1" outlineLevel="1" x14ac:dyDescent="0.25">
      <c r="D240" s="1742"/>
      <c r="G240" s="1716"/>
      <c r="H240" s="1743"/>
      <c r="M240" s="1719"/>
      <c r="P240" s="2630"/>
      <c r="Q240" s="2630"/>
    </row>
    <row r="241" spans="2:109" hidden="1" outlineLevel="1" x14ac:dyDescent="0.25">
      <c r="D241" s="1742"/>
      <c r="G241" s="1716"/>
      <c r="H241" s="1743"/>
      <c r="M241" s="1719"/>
    </row>
    <row r="242" spans="2:109" hidden="1" outlineLevel="1" x14ac:dyDescent="0.25">
      <c r="D242" s="1742"/>
      <c r="G242" s="1716"/>
      <c r="H242" s="1743"/>
    </row>
    <row r="243" spans="2:109" s="78" customFormat="1" ht="45" hidden="1" outlineLevel="1" x14ac:dyDescent="0.2">
      <c r="C243" s="553"/>
      <c r="D243" s="1638" t="s">
        <v>17</v>
      </c>
      <c r="E243" s="1638" t="s">
        <v>136</v>
      </c>
      <c r="F243" s="123" t="s">
        <v>233</v>
      </c>
      <c r="G243" s="1638" t="s">
        <v>234</v>
      </c>
      <c r="H243" s="1638" t="s">
        <v>235</v>
      </c>
      <c r="I243" s="1638" t="s">
        <v>236</v>
      </c>
      <c r="J243" s="1632" t="s">
        <v>237</v>
      </c>
      <c r="K243" s="1632" t="s">
        <v>238</v>
      </c>
      <c r="L243" s="1632" t="s">
        <v>239</v>
      </c>
      <c r="M243" s="1632" t="s">
        <v>240</v>
      </c>
      <c r="N243" s="1632" t="s">
        <v>241</v>
      </c>
      <c r="O243" s="1632" t="s">
        <v>242</v>
      </c>
      <c r="P243" s="1632" t="s">
        <v>211</v>
      </c>
      <c r="Q243" s="1632" t="s">
        <v>243</v>
      </c>
      <c r="R243" s="1632" t="s">
        <v>94</v>
      </c>
      <c r="S243" s="1678" t="s">
        <v>244</v>
      </c>
      <c r="T243" s="553"/>
      <c r="U243" s="553"/>
      <c r="DB243" s="108"/>
    </row>
    <row r="244" spans="2:109" hidden="1" outlineLevel="1" x14ac:dyDescent="0.25">
      <c r="D244" s="1747" t="str">
        <f>C231</f>
        <v>802700_2019_12_</v>
      </c>
      <c r="E244" s="1747" t="str">
        <f>E231</f>
        <v>3 Pan ENERGY STAR Steam Cooker</v>
      </c>
      <c r="F244" s="1810">
        <f>((1-I244)*(J244+I244*L244*N244*(O244/P244))*(R244-S244/(L244*N244)))-((1-I244)*(K244+I244*M244*N244*(O244/Q244))*(R244-S244/(M244*N244)))</f>
        <v>16669.415107583976</v>
      </c>
      <c r="G244" s="1811">
        <f>(S244*(O244/P244))-(S244*(O244/Q244))</f>
        <v>4839.9999999999982</v>
      </c>
      <c r="H244" s="1812">
        <v>365.25</v>
      </c>
      <c r="I244" s="1789">
        <v>0.4</v>
      </c>
      <c r="J244" s="1813">
        <v>1100</v>
      </c>
      <c r="K244" s="1792">
        <v>400</v>
      </c>
      <c r="L244" s="1785">
        <v>23.3</v>
      </c>
      <c r="M244" s="1814">
        <v>16.7</v>
      </c>
      <c r="N244" s="1792">
        <v>3</v>
      </c>
      <c r="O244" s="1785">
        <v>30.8</v>
      </c>
      <c r="P244" s="1795">
        <v>0.28000000000000003</v>
      </c>
      <c r="Q244" s="1789">
        <v>0.5</v>
      </c>
      <c r="R244" s="1782">
        <v>12</v>
      </c>
      <c r="S244" s="1791">
        <v>100</v>
      </c>
    </row>
    <row r="245" spans="2:109" hidden="1" outlineLevel="1" x14ac:dyDescent="0.25">
      <c r="D245" s="1747" t="str">
        <f t="shared" ref="D245:D247" si="48">C232</f>
        <v>802750_2019_12_</v>
      </c>
      <c r="E245" s="1747" t="str">
        <f>E232</f>
        <v>4 Pan ENERGY STAR Steam Cooker</v>
      </c>
      <c r="F245" s="1810">
        <f>((1-I245)*(J245+I245*L245*N245*(O245/P245))*(R245-S245/(L245*N245)))-((1-I245)*(K245+I245*M245*N245*(O245/Q245))*(R245-S245/(M245*N245)))</f>
        <v>20385.19899775384</v>
      </c>
      <c r="G245" s="1811">
        <f>(S245*(O245/P245))-(S245*(O245/Q245))</f>
        <v>4839.9999999999982</v>
      </c>
      <c r="H245" s="1812">
        <v>365.25</v>
      </c>
      <c r="I245" s="1789">
        <v>0.4</v>
      </c>
      <c r="J245" s="1813">
        <v>1100</v>
      </c>
      <c r="K245" s="1792">
        <v>530</v>
      </c>
      <c r="L245" s="1785">
        <v>23.3</v>
      </c>
      <c r="M245" s="1814">
        <v>16.7</v>
      </c>
      <c r="N245" s="1792">
        <v>4</v>
      </c>
      <c r="O245" s="1785">
        <v>30.8</v>
      </c>
      <c r="P245" s="1795">
        <v>0.28000000000000003</v>
      </c>
      <c r="Q245" s="1789">
        <v>0.5</v>
      </c>
      <c r="R245" s="1782">
        <v>12</v>
      </c>
      <c r="S245" s="1791">
        <v>100</v>
      </c>
    </row>
    <row r="246" spans="2:109" hidden="1" outlineLevel="1" x14ac:dyDescent="0.25">
      <c r="D246" s="1747" t="str">
        <f t="shared" si="48"/>
        <v>802800_2019_12_</v>
      </c>
      <c r="E246" s="1747" t="str">
        <f>E233</f>
        <v>5 Pan ENERGY STAR Steam Cooker</v>
      </c>
      <c r="F246" s="1810">
        <f>((1-I246)*(J246+I246*L246*N246*(O246/P246))*(R246-S246/(L246*N246)))-((1-I246)*(K246+I246*M246*N246*(O246/Q246))*(R246-S246/(M246*N246)))</f>
        <v>23942.945520598285</v>
      </c>
      <c r="G246" s="1811">
        <f>(S246*(O246/P246))-(S246*(O246/Q246))</f>
        <v>4839.9999999999982</v>
      </c>
      <c r="H246" s="1812">
        <v>365.25</v>
      </c>
      <c r="I246" s="1789">
        <v>0.4</v>
      </c>
      <c r="J246" s="1813">
        <v>1100</v>
      </c>
      <c r="K246" s="1792">
        <v>670</v>
      </c>
      <c r="L246" s="1785">
        <v>23.3</v>
      </c>
      <c r="M246" s="1814">
        <v>16.7</v>
      </c>
      <c r="N246" s="1792">
        <v>5</v>
      </c>
      <c r="O246" s="1785">
        <v>30.8</v>
      </c>
      <c r="P246" s="1795">
        <v>0.28000000000000003</v>
      </c>
      <c r="Q246" s="1789">
        <v>0.5</v>
      </c>
      <c r="R246" s="1782">
        <v>12</v>
      </c>
      <c r="S246" s="1791">
        <v>100</v>
      </c>
    </row>
    <row r="247" spans="2:109" hidden="1" outlineLevel="1" x14ac:dyDescent="0.25">
      <c r="D247" s="1747" t="str">
        <f t="shared" si="48"/>
        <v>802850_2019_12_</v>
      </c>
      <c r="E247" s="1747" t="str">
        <f>E234</f>
        <v>6 Pan ENERGY STAR Steam Cooker</v>
      </c>
      <c r="F247" s="1810">
        <f>((1-I247)*(J247+I247*L247*N247*(O247/P247))*(R247-S247/(L247*N247)))-((1-I247)*(K247+I247*M247*N247*(O247/Q247))*(R247-S247/(M247*N247)))</f>
        <v>27517.697311875811</v>
      </c>
      <c r="G247" s="1811">
        <f>(S247*(O247/P247))-(S247*(O247/Q247))</f>
        <v>4839.9999999999982</v>
      </c>
      <c r="H247" s="1812">
        <v>365.25</v>
      </c>
      <c r="I247" s="1789">
        <v>0.4</v>
      </c>
      <c r="J247" s="1813">
        <v>1100</v>
      </c>
      <c r="K247" s="1792">
        <v>800</v>
      </c>
      <c r="L247" s="1785">
        <v>23.3</v>
      </c>
      <c r="M247" s="1814">
        <v>16.7</v>
      </c>
      <c r="N247" s="1792">
        <v>6</v>
      </c>
      <c r="O247" s="1785">
        <v>30.8</v>
      </c>
      <c r="P247" s="1795">
        <v>0.28000000000000003</v>
      </c>
      <c r="Q247" s="1789">
        <v>0.5</v>
      </c>
      <c r="R247" s="1782">
        <v>12</v>
      </c>
      <c r="S247" s="1791">
        <v>100</v>
      </c>
    </row>
    <row r="248" spans="2:109" collapsed="1" x14ac:dyDescent="0.25"/>
    <row r="250" spans="2:109" s="46" customFormat="1" x14ac:dyDescent="0.25">
      <c r="B250" s="2612" t="s">
        <v>245</v>
      </c>
      <c r="C250" s="2613"/>
      <c r="D250" s="2613"/>
      <c r="E250" s="2613"/>
      <c r="F250" s="2613"/>
      <c r="G250" s="2613"/>
      <c r="H250" s="2613"/>
      <c r="I250" s="2614"/>
      <c r="J250" s="2614"/>
      <c r="K250" s="2614"/>
      <c r="L250" s="2614"/>
      <c r="M250" s="2615"/>
      <c r="N250" s="2615"/>
      <c r="O250" s="2616"/>
      <c r="V250" s="47" t="str">
        <f>B250</f>
        <v>Holding Cabinet</v>
      </c>
      <c r="W250" s="48"/>
      <c r="X250" s="48"/>
      <c r="Y250" s="48"/>
      <c r="Z250" s="48"/>
      <c r="AA250" s="48"/>
      <c r="AB250" s="48"/>
      <c r="AC250" s="48"/>
      <c r="AD250" s="48"/>
      <c r="AE250" s="48"/>
      <c r="AF250" s="48"/>
      <c r="AG250" s="48"/>
      <c r="AH250" s="48"/>
      <c r="AI250" s="49"/>
      <c r="AJ250" s="26"/>
      <c r="AK250" s="26"/>
      <c r="AL250" s="26"/>
      <c r="AM250" s="26"/>
      <c r="AN250" s="26"/>
      <c r="AO250" s="26"/>
      <c r="AP250" s="26"/>
      <c r="AQ250" s="26"/>
      <c r="AR250" s="26"/>
      <c r="AS250" s="26"/>
      <c r="AT250" s="26"/>
      <c r="AU250" s="26"/>
      <c r="DB250" s="109"/>
    </row>
    <row r="251" spans="2:109" x14ac:dyDescent="0.25">
      <c r="D251" s="1724"/>
      <c r="E251" s="1719"/>
      <c r="F251" s="1719"/>
      <c r="G251" s="1719"/>
      <c r="H251" s="1725"/>
      <c r="I251" s="1719"/>
      <c r="J251" s="1719"/>
      <c r="K251" s="1719"/>
      <c r="L251" s="1719"/>
      <c r="P251" s="1719"/>
      <c r="Q251" s="1719"/>
      <c r="R251" s="1719"/>
      <c r="S251" s="1719"/>
      <c r="T251" s="1719"/>
      <c r="U251" s="1719"/>
      <c r="V251"/>
      <c r="W251"/>
      <c r="X251"/>
      <c r="Y251"/>
      <c r="Z251"/>
      <c r="AA251"/>
      <c r="AB251"/>
      <c r="AC251"/>
      <c r="AD251"/>
      <c r="AE251"/>
      <c r="AF251"/>
      <c r="AG251"/>
      <c r="AH251"/>
      <c r="AI251"/>
      <c r="AJ251" s="44"/>
      <c r="AK251" s="44"/>
      <c r="AL251" s="44"/>
      <c r="AM251" s="44"/>
      <c r="AN251" s="44"/>
      <c r="AO251" s="44"/>
      <c r="AP251" s="44"/>
      <c r="AQ251" s="44"/>
      <c r="AR251" s="44"/>
      <c r="AS251" s="44"/>
      <c r="AT251" s="44"/>
      <c r="AU251" s="44"/>
    </row>
    <row r="252" spans="2:109" s="50" customFormat="1" ht="30" x14ac:dyDescent="0.25">
      <c r="B252" s="51"/>
      <c r="C252" s="52" t="s">
        <v>17</v>
      </c>
      <c r="D252" s="52" t="s">
        <v>18</v>
      </c>
      <c r="E252" s="1678" t="s">
        <v>19</v>
      </c>
      <c r="F252" s="1678" t="s">
        <v>20</v>
      </c>
      <c r="G252" s="1678" t="s">
        <v>21</v>
      </c>
      <c r="H252" s="53" t="s">
        <v>22</v>
      </c>
      <c r="I252" s="1678" t="s">
        <v>23</v>
      </c>
      <c r="J252" s="1678" t="s">
        <v>24</v>
      </c>
      <c r="K252" s="52" t="s">
        <v>25</v>
      </c>
      <c r="L252" s="52" t="s">
        <v>26</v>
      </c>
      <c r="M252" s="1716"/>
      <c r="N252" s="1716"/>
      <c r="O252" s="1716"/>
      <c r="P252" s="1726"/>
      <c r="Q252" s="1726"/>
      <c r="R252" s="1726"/>
      <c r="S252" s="1726"/>
      <c r="T252" s="1726"/>
      <c r="U252" s="1726"/>
      <c r="V252" s="55" t="s">
        <v>27</v>
      </c>
      <c r="W252" s="56">
        <f>$W$8</f>
        <v>43252</v>
      </c>
      <c r="X252" s="56">
        <f>$X$8</f>
        <v>43465</v>
      </c>
      <c r="Y252" s="56">
        <f>$Y$8</f>
        <v>43800</v>
      </c>
      <c r="Z252" s="56" t="str">
        <f>$Z$8</f>
        <v>-</v>
      </c>
      <c r="AA252" s="56" t="str">
        <f>$AA$8</f>
        <v>-</v>
      </c>
      <c r="AB252" s="56" t="str">
        <f>$AB$8</f>
        <v>-</v>
      </c>
      <c r="AC252" s="56" t="str">
        <f>$AC$8</f>
        <v>-</v>
      </c>
      <c r="AD252" s="56" t="str">
        <f>$AD$8</f>
        <v>-</v>
      </c>
      <c r="AE252" s="56" t="str">
        <f>$AE$8</f>
        <v>-</v>
      </c>
      <c r="AF252" s="56" t="str">
        <f>$AF$8</f>
        <v>-</v>
      </c>
      <c r="AG252" s="56" t="str">
        <f>$AG$8</f>
        <v>-</v>
      </c>
      <c r="AH252"/>
      <c r="AI252" s="55" t="s">
        <v>27</v>
      </c>
      <c r="AJ252" s="56">
        <v>43252</v>
      </c>
      <c r="AK252" s="56">
        <f>$X$8</f>
        <v>43465</v>
      </c>
      <c r="AL252" s="56">
        <f>$Y$8</f>
        <v>43800</v>
      </c>
      <c r="AM252" s="56" t="str">
        <f>$Z$8</f>
        <v>-</v>
      </c>
      <c r="AN252" s="56" t="str">
        <f>$AA$8</f>
        <v>-</v>
      </c>
      <c r="AO252" s="56" t="str">
        <f>$AB$8</f>
        <v>-</v>
      </c>
      <c r="AP252" s="56" t="str">
        <f>$AC$8</f>
        <v>-</v>
      </c>
      <c r="AQ252" s="56" t="str">
        <f>$AD$8</f>
        <v>-</v>
      </c>
      <c r="AR252" s="56" t="str">
        <f>$AE$8</f>
        <v>-</v>
      </c>
      <c r="AS252" s="56" t="str">
        <f>$AF$8</f>
        <v>-</v>
      </c>
      <c r="AT252" s="29"/>
      <c r="AU252" s="55" t="s">
        <v>27</v>
      </c>
      <c r="AV252" s="56">
        <v>43252</v>
      </c>
      <c r="AW252" s="56">
        <f>$X$8</f>
        <v>43465</v>
      </c>
      <c r="AX252" s="56">
        <f>$Y$8</f>
        <v>43800</v>
      </c>
      <c r="AY252" s="56" t="str">
        <f>$Z$8</f>
        <v>-</v>
      </c>
      <c r="AZ252" s="56" t="str">
        <f>$AA$8</f>
        <v>-</v>
      </c>
      <c r="BA252" s="56" t="str">
        <f>$AB$8</f>
        <v>-</v>
      </c>
      <c r="BB252" s="56" t="str">
        <f>$AC$8</f>
        <v>-</v>
      </c>
      <c r="BC252" s="56" t="str">
        <f>$AD$8</f>
        <v>-</v>
      </c>
      <c r="BD252" s="56" t="str">
        <f>$AE$8</f>
        <v>-</v>
      </c>
      <c r="BE252" s="56" t="str">
        <f>$AF$8</f>
        <v>-</v>
      </c>
      <c r="DB252" s="57" t="str">
        <f>$DB$8</f>
        <v>TRC (2020)</v>
      </c>
      <c r="DC252" s="103" t="str">
        <f>$DC$8</f>
        <v>Benefit Lookup</v>
      </c>
      <c r="DD252" s="103" t="str">
        <f>$DD$8</f>
        <v>Benefits (2019 $)</v>
      </c>
      <c r="DE252" s="103" t="str">
        <f>$DE$8</f>
        <v>Incremental Cost (2019 $)</v>
      </c>
    </row>
    <row r="253" spans="2:109" x14ac:dyDescent="0.25">
      <c r="C253" s="1763" t="s">
        <v>246</v>
      </c>
      <c r="D253" s="1815" t="s">
        <v>34</v>
      </c>
      <c r="E253" s="1754" t="s">
        <v>247</v>
      </c>
      <c r="F253" s="210">
        <f>ROUND((H265-I265)*J265*K265/1000,2)</f>
        <v>709.5</v>
      </c>
      <c r="G253" s="1730" t="s">
        <v>226</v>
      </c>
      <c r="H253" s="1731">
        <f>VLOOKUP(G253,'CP FACTORS'!$A$26:$B$38,2,FALSE)</f>
        <v>1.998949E-4</v>
      </c>
      <c r="I253" s="1755">
        <f t="shared" ref="I253:I255" si="49">ROUND(H253*F253,6)</f>
        <v>0.14182500000000001</v>
      </c>
      <c r="J253" s="1805">
        <v>12</v>
      </c>
      <c r="K253" s="1756">
        <v>1783</v>
      </c>
      <c r="L253" s="1734" t="s">
        <v>37</v>
      </c>
      <c r="V253" s="61" t="s">
        <v>20</v>
      </c>
      <c r="W253" s="71">
        <v>709.49812499999996</v>
      </c>
      <c r="X253" s="71">
        <v>709.49812499999996</v>
      </c>
      <c r="Y253" s="71">
        <v>709.49812499999996</v>
      </c>
      <c r="Z253" s="64"/>
      <c r="AA253" s="64"/>
      <c r="AB253" s="64"/>
      <c r="AC253" s="64"/>
      <c r="AD253" s="64"/>
      <c r="AE253" s="64"/>
      <c r="AF253" s="64"/>
      <c r="AG253" s="64"/>
      <c r="AH253" s="65"/>
      <c r="AI253" s="61" t="s">
        <v>24</v>
      </c>
      <c r="AJ253" s="66">
        <v>12</v>
      </c>
      <c r="AK253" s="66">
        <v>12</v>
      </c>
      <c r="AL253" s="66">
        <v>12</v>
      </c>
      <c r="AM253" s="64"/>
      <c r="AN253" s="64"/>
      <c r="AO253" s="64"/>
      <c r="AP253" s="64"/>
      <c r="AQ253" s="64"/>
      <c r="AR253" s="64"/>
      <c r="AS253" s="64"/>
      <c r="AT253" s="29"/>
      <c r="AU253" s="61" t="s">
        <v>25</v>
      </c>
      <c r="AV253" s="67">
        <v>1783</v>
      </c>
      <c r="AW253" s="67">
        <v>1783</v>
      </c>
      <c r="AX253" s="67">
        <v>1783</v>
      </c>
      <c r="AY253" s="64"/>
      <c r="AZ253" s="64"/>
      <c r="BA253" s="64"/>
      <c r="BB253" s="64"/>
      <c r="BC253" s="64"/>
      <c r="BD253" s="64"/>
      <c r="BE253" s="64"/>
      <c r="DB253" s="68">
        <f t="shared" ref="DB253:DB255" si="50">(DD253)/(DE253)</f>
        <v>0.21383428302465121</v>
      </c>
      <c r="DC253" s="69" t="str">
        <f>CONCATENATE(G253," ",J253," Year EUL")</f>
        <v>Cooking BUS 12 Year EUL</v>
      </c>
      <c r="DD253" s="105">
        <f>(INDEX('Avoided Cost Benefits'!$C$4:$C$857,MATCH(DC253,'Avoided Cost Benefits'!$A$4:$A$857,0)))*F253</f>
        <v>359.85514547706754</v>
      </c>
      <c r="DE253" s="70">
        <f>K253/(1.0595^(2020-2019))</f>
        <v>1682.8692779613023</v>
      </c>
    </row>
    <row r="254" spans="2:109" x14ac:dyDescent="0.25">
      <c r="C254" s="1763" t="s">
        <v>248</v>
      </c>
      <c r="D254" s="1815" t="s">
        <v>34</v>
      </c>
      <c r="E254" s="1754" t="s">
        <v>249</v>
      </c>
      <c r="F254" s="210">
        <f t="shared" ref="F254:F255" si="51">ROUND((H266-I266)*J266*K266/1000,2)</f>
        <v>2772.25</v>
      </c>
      <c r="G254" s="1730" t="s">
        <v>226</v>
      </c>
      <c r="H254" s="1731">
        <f>VLOOKUP(G254,'CP FACTORS'!$A$26:$B$38,2,FALSE)</f>
        <v>1.998949E-4</v>
      </c>
      <c r="I254" s="1755">
        <f t="shared" si="49"/>
        <v>0.55415899999999996</v>
      </c>
      <c r="J254" s="1805">
        <v>12</v>
      </c>
      <c r="K254" s="1756">
        <v>1783</v>
      </c>
      <c r="L254" s="1734" t="s">
        <v>37</v>
      </c>
      <c r="V254" s="61" t="s">
        <v>20</v>
      </c>
      <c r="W254" s="71">
        <v>2772.2474999999999</v>
      </c>
      <c r="X254" s="71">
        <v>2772.2474999999999</v>
      </c>
      <c r="Y254" s="71">
        <v>2772.2474999999999</v>
      </c>
      <c r="Z254" s="64"/>
      <c r="AA254" s="64"/>
      <c r="AB254" s="64"/>
      <c r="AC254" s="64"/>
      <c r="AD254" s="64"/>
      <c r="AE254" s="64"/>
      <c r="AF254" s="64"/>
      <c r="AG254" s="64"/>
      <c r="AH254" s="65"/>
      <c r="AI254" s="61" t="s">
        <v>24</v>
      </c>
      <c r="AJ254" s="66">
        <v>12</v>
      </c>
      <c r="AK254" s="66">
        <v>12</v>
      </c>
      <c r="AL254" s="66">
        <v>12</v>
      </c>
      <c r="AM254" s="64"/>
      <c r="AN254" s="64"/>
      <c r="AO254" s="64"/>
      <c r="AP254" s="64"/>
      <c r="AQ254" s="64"/>
      <c r="AR254" s="64"/>
      <c r="AS254" s="64"/>
      <c r="AT254" s="29"/>
      <c r="AU254" s="61" t="s">
        <v>25</v>
      </c>
      <c r="AV254" s="67">
        <v>1783</v>
      </c>
      <c r="AW254" s="67">
        <v>1783</v>
      </c>
      <c r="AX254" s="67">
        <v>1783</v>
      </c>
      <c r="AY254" s="64"/>
      <c r="AZ254" s="64"/>
      <c r="BA254" s="64"/>
      <c r="BB254" s="64"/>
      <c r="BC254" s="64"/>
      <c r="BD254" s="64"/>
      <c r="BE254" s="64"/>
      <c r="DB254" s="72">
        <f t="shared" si="50"/>
        <v>0.83552091770978054</v>
      </c>
      <c r="DC254" s="73" t="str">
        <f>CONCATENATE(G254," ",J254," Year EUL")</f>
        <v>Cooking BUS 12 Year EUL</v>
      </c>
      <c r="DD254" s="106">
        <f>(INDEX('Avoided Cost Benefits'!$C$4:$C$857,MATCH(DC254,'Avoided Cost Benefits'!$A$4:$A$857,0)))*F254</f>
        <v>1406.0724835078231</v>
      </c>
      <c r="DE254" s="74">
        <f>K254/(1.0595^(2020-2019))</f>
        <v>1682.8692779613023</v>
      </c>
    </row>
    <row r="255" spans="2:109" x14ac:dyDescent="0.25">
      <c r="C255" s="1763" t="s">
        <v>250</v>
      </c>
      <c r="D255" s="1815" t="s">
        <v>34</v>
      </c>
      <c r="E255" s="1754" t="s">
        <v>251</v>
      </c>
      <c r="F255" s="210">
        <f t="shared" si="51"/>
        <v>4438.34</v>
      </c>
      <c r="G255" s="1730" t="s">
        <v>226</v>
      </c>
      <c r="H255" s="1731">
        <f>VLOOKUP(G255,'CP FACTORS'!$A$26:$B$38,2,FALSE)</f>
        <v>1.998949E-4</v>
      </c>
      <c r="I255" s="1755">
        <f t="shared" si="49"/>
        <v>0.88720200000000005</v>
      </c>
      <c r="J255" s="1805">
        <v>12</v>
      </c>
      <c r="K255" s="1756">
        <v>1783</v>
      </c>
      <c r="L255" s="1734" t="s">
        <v>37</v>
      </c>
      <c r="V255" s="61" t="s">
        <v>20</v>
      </c>
      <c r="W255" s="71">
        <v>4438.3353749999997</v>
      </c>
      <c r="X255" s="71">
        <v>4438.3353749999997</v>
      </c>
      <c r="Y255" s="71">
        <v>4438.3353749999997</v>
      </c>
      <c r="Z255" s="64"/>
      <c r="AA255" s="64"/>
      <c r="AB255" s="64"/>
      <c r="AC255" s="64"/>
      <c r="AD255" s="64"/>
      <c r="AE255" s="64"/>
      <c r="AF255" s="64"/>
      <c r="AG255" s="64"/>
      <c r="AH255" s="65"/>
      <c r="AI255" s="61" t="s">
        <v>24</v>
      </c>
      <c r="AJ255" s="66">
        <v>12</v>
      </c>
      <c r="AK255" s="66">
        <v>12</v>
      </c>
      <c r="AL255" s="66">
        <v>12</v>
      </c>
      <c r="AM255" s="64"/>
      <c r="AN255" s="64"/>
      <c r="AO255" s="64"/>
      <c r="AP255" s="64"/>
      <c r="AQ255" s="64"/>
      <c r="AR255" s="64"/>
      <c r="AS255" s="64"/>
      <c r="AT255" s="29"/>
      <c r="AU255" s="61" t="s">
        <v>25</v>
      </c>
      <c r="AV255" s="67">
        <v>1783</v>
      </c>
      <c r="AW255" s="67">
        <v>1783</v>
      </c>
      <c r="AX255" s="67">
        <v>1783</v>
      </c>
      <c r="AY255" s="64"/>
      <c r="AZ255" s="64"/>
      <c r="BA255" s="64"/>
      <c r="BB255" s="64"/>
      <c r="BC255" s="64"/>
      <c r="BD255" s="64"/>
      <c r="BE255" s="64"/>
      <c r="DB255" s="75">
        <f t="shared" si="50"/>
        <v>1.3376592695132212</v>
      </c>
      <c r="DC255" s="73" t="str">
        <f>CONCATENATE(G255," ",J255," Year EUL")</f>
        <v>Cooking BUS 12 Year EUL</v>
      </c>
      <c r="DD255" s="107">
        <f>(INDEX('Avoided Cost Benefits'!$C$4:$C$857,MATCH(DC255,'Avoided Cost Benefits'!$A$4:$A$857,0)))*F255</f>
        <v>2251.1056890439577</v>
      </c>
      <c r="DE255" s="76">
        <f>K255/(1.0595^(2020-2019))</f>
        <v>1682.8692779613023</v>
      </c>
    </row>
    <row r="256" spans="2:109" hidden="1" outlineLevel="1" x14ac:dyDescent="0.25">
      <c r="E256" s="1719"/>
      <c r="F256" s="1719"/>
      <c r="G256" s="1719"/>
      <c r="H256" s="1741"/>
      <c r="I256" s="1719"/>
      <c r="J256" s="1719"/>
      <c r="K256" s="1719"/>
    </row>
    <row r="257" spans="2:109" hidden="1" outlineLevel="1" x14ac:dyDescent="0.25">
      <c r="D257" s="1719" t="s">
        <v>76</v>
      </c>
      <c r="E257" s="1719"/>
      <c r="F257" s="1719"/>
      <c r="G257" s="1719"/>
      <c r="H257" s="1741"/>
      <c r="I257" s="1719"/>
      <c r="J257" s="1719"/>
      <c r="K257" s="1719"/>
    </row>
    <row r="258" spans="2:109" hidden="1" outlineLevel="1" x14ac:dyDescent="0.25">
      <c r="D258" s="1742"/>
      <c r="G258" s="1771"/>
      <c r="H258" s="1772"/>
    </row>
    <row r="259" spans="2:109" hidden="1" outlineLevel="1" x14ac:dyDescent="0.25">
      <c r="D259" s="233"/>
      <c r="G259" s="1771"/>
      <c r="H259" s="1772"/>
    </row>
    <row r="260" spans="2:109" hidden="1" outlineLevel="1" x14ac:dyDescent="0.25">
      <c r="D260" s="1742"/>
      <c r="G260" s="1716"/>
      <c r="H260" s="1743"/>
      <c r="M260" s="1719"/>
    </row>
    <row r="261" spans="2:109" hidden="1" outlineLevel="1" x14ac:dyDescent="0.25">
      <c r="D261" s="1742"/>
      <c r="G261" s="1716"/>
      <c r="H261" s="1743"/>
      <c r="M261" s="1719"/>
    </row>
    <row r="262" spans="2:109" hidden="1" outlineLevel="1" x14ac:dyDescent="0.25">
      <c r="D262" s="1742"/>
      <c r="G262" s="1716"/>
      <c r="H262" s="1743"/>
      <c r="M262" s="1719"/>
    </row>
    <row r="263" spans="2:109" hidden="1" outlineLevel="1" x14ac:dyDescent="0.25">
      <c r="D263" s="1742"/>
      <c r="G263" s="1716"/>
      <c r="H263" s="1743"/>
    </row>
    <row r="264" spans="2:109" s="78" customFormat="1" ht="30" hidden="1" outlineLevel="1" x14ac:dyDescent="0.25">
      <c r="C264" s="553"/>
      <c r="D264" s="1638" t="s">
        <v>17</v>
      </c>
      <c r="E264" s="1638" t="s">
        <v>136</v>
      </c>
      <c r="F264" s="1638" t="s">
        <v>137</v>
      </c>
      <c r="G264" s="1638" t="s">
        <v>138</v>
      </c>
      <c r="H264" s="115" t="s">
        <v>252</v>
      </c>
      <c r="I264" s="119" t="s">
        <v>253</v>
      </c>
      <c r="J264" s="119" t="s">
        <v>94</v>
      </c>
      <c r="K264" s="119" t="s">
        <v>235</v>
      </c>
      <c r="L264" s="233"/>
      <c r="M264" s="553"/>
      <c r="N264" s="553"/>
      <c r="O264" s="553"/>
      <c r="P264" s="553"/>
      <c r="Q264" s="553"/>
      <c r="R264" s="553"/>
      <c r="S264" s="553"/>
      <c r="T264" s="553"/>
      <c r="U264" s="553"/>
      <c r="DB264" s="108"/>
    </row>
    <row r="265" spans="2:109" hidden="1" outlineLevel="1" x14ac:dyDescent="0.25">
      <c r="D265" s="1747" t="str">
        <f>C253</f>
        <v>802900_2019_12_</v>
      </c>
      <c r="E265" s="1747" t="str">
        <f>E253</f>
        <v>ENERGY STAR Hot Holding Cabinet (0 &lt; V &lt;13)</v>
      </c>
      <c r="F265" s="1781" t="s">
        <v>254</v>
      </c>
      <c r="G265" s="1782">
        <v>7</v>
      </c>
      <c r="H265" s="1816">
        <f>40*G265</f>
        <v>280</v>
      </c>
      <c r="I265" s="1817">
        <f>21.5*G265</f>
        <v>150.5</v>
      </c>
      <c r="J265" s="1818">
        <v>15</v>
      </c>
      <c r="K265" s="1756">
        <v>365.25</v>
      </c>
      <c r="L265" s="1716" t="s">
        <v>255</v>
      </c>
    </row>
    <row r="266" spans="2:109" hidden="1" outlineLevel="1" x14ac:dyDescent="0.25">
      <c r="D266" s="1747" t="str">
        <f t="shared" ref="D266:D267" si="52">C254</f>
        <v>802950_2019_12_</v>
      </c>
      <c r="E266" s="1747" t="str">
        <f>E254</f>
        <v>ENERGY STAR Hot Holding Cabinet (13 ≤ V &lt;28)</v>
      </c>
      <c r="F266" s="1781" t="s">
        <v>3346</v>
      </c>
      <c r="G266" s="1782">
        <v>20</v>
      </c>
      <c r="H266" s="1816">
        <f>40*G266</f>
        <v>800</v>
      </c>
      <c r="I266" s="1817">
        <f>(2*G266)+254</f>
        <v>294</v>
      </c>
      <c r="J266" s="1818">
        <v>15</v>
      </c>
      <c r="K266" s="1756">
        <v>365.25</v>
      </c>
    </row>
    <row r="267" spans="2:109" hidden="1" outlineLevel="1" x14ac:dyDescent="0.25">
      <c r="D267" s="1747" t="str">
        <f t="shared" si="52"/>
        <v>803000_2019_12_</v>
      </c>
      <c r="E267" s="1747" t="str">
        <f>E255</f>
        <v>ENERGY STAR Hot Holding Cabinet (28 ≤ V)</v>
      </c>
      <c r="F267" s="1781" t="s">
        <v>256</v>
      </c>
      <c r="G267" s="1782">
        <v>28</v>
      </c>
      <c r="H267" s="1816">
        <f>40*G267</f>
        <v>1120</v>
      </c>
      <c r="I267" s="1817">
        <f>(3.8*G267)+203.5</f>
        <v>309.89999999999998</v>
      </c>
      <c r="J267" s="1818">
        <v>15</v>
      </c>
      <c r="K267" s="1756">
        <v>365.25</v>
      </c>
    </row>
    <row r="268" spans="2:109" collapsed="1" x14ac:dyDescent="0.25"/>
    <row r="270" spans="2:109" s="46" customFormat="1" x14ac:dyDescent="0.25">
      <c r="B270" s="2612" t="s">
        <v>257</v>
      </c>
      <c r="C270" s="2613"/>
      <c r="D270" s="2613"/>
      <c r="E270" s="2613"/>
      <c r="F270" s="2613"/>
      <c r="G270" s="2613"/>
      <c r="H270" s="2613"/>
      <c r="I270" s="2614"/>
      <c r="J270" s="2614"/>
      <c r="K270" s="2614"/>
      <c r="L270" s="2614"/>
      <c r="M270" s="2615"/>
      <c r="N270" s="2615"/>
      <c r="O270" s="2616"/>
      <c r="V270" s="47" t="str">
        <f>B270</f>
        <v>HVAC</v>
      </c>
      <c r="W270" s="48"/>
      <c r="X270" s="48"/>
      <c r="Y270" s="48"/>
      <c r="Z270" s="48"/>
      <c r="AA270" s="48"/>
      <c r="AB270" s="48"/>
      <c r="AC270" s="48"/>
      <c r="AD270" s="48"/>
      <c r="AE270" s="48"/>
      <c r="AF270" s="48"/>
      <c r="AG270" s="48"/>
      <c r="AH270" s="48"/>
      <c r="AI270" s="49"/>
      <c r="AJ270" s="26"/>
      <c r="AK270" s="26"/>
      <c r="AL270" s="26"/>
      <c r="AM270" s="26"/>
      <c r="AN270" s="26"/>
      <c r="AO270" s="26"/>
      <c r="AP270" s="26"/>
      <c r="AQ270" s="26"/>
      <c r="AR270" s="26"/>
      <c r="AS270" s="26"/>
      <c r="AT270" s="26"/>
      <c r="AU270" s="26"/>
      <c r="DB270" s="109"/>
    </row>
    <row r="271" spans="2:109" x14ac:dyDescent="0.25">
      <c r="D271" s="1724"/>
      <c r="E271" s="1719"/>
      <c r="F271" s="1719"/>
      <c r="G271" s="1719"/>
      <c r="H271" s="1725"/>
      <c r="I271" s="1719"/>
      <c r="J271" s="1719"/>
      <c r="K271" s="1719"/>
      <c r="L271" s="1719"/>
      <c r="P271" s="1719"/>
      <c r="Q271" s="1719"/>
      <c r="R271" s="1719"/>
      <c r="S271" s="1719"/>
      <c r="T271" s="1719"/>
      <c r="U271" s="1719"/>
      <c r="V271"/>
      <c r="W271"/>
      <c r="X271"/>
      <c r="Y271"/>
      <c r="Z271"/>
      <c r="AA271"/>
      <c r="AB271"/>
      <c r="AC271"/>
      <c r="AD271"/>
      <c r="AE271"/>
      <c r="AF271"/>
      <c r="AG271"/>
      <c r="AH271"/>
      <c r="AI271"/>
      <c r="AJ271" s="44"/>
      <c r="AK271" s="44"/>
      <c r="AL271" s="44"/>
      <c r="AM271" s="44"/>
      <c r="AN271" s="44"/>
      <c r="AO271" s="44"/>
      <c r="AP271" s="44"/>
      <c r="AQ271" s="44"/>
      <c r="AR271" s="44"/>
      <c r="AS271" s="44"/>
      <c r="AT271" s="44"/>
      <c r="AU271" s="44"/>
    </row>
    <row r="272" spans="2:109" s="50" customFormat="1" ht="30" x14ac:dyDescent="0.25">
      <c r="B272" s="51"/>
      <c r="C272" s="52" t="s">
        <v>17</v>
      </c>
      <c r="D272" s="52" t="s">
        <v>18</v>
      </c>
      <c r="E272" s="1678" t="s">
        <v>19</v>
      </c>
      <c r="F272" s="1678" t="s">
        <v>258</v>
      </c>
      <c r="G272" s="1678" t="s">
        <v>259</v>
      </c>
      <c r="H272" s="1678" t="s">
        <v>260</v>
      </c>
      <c r="I272" s="1678" t="s">
        <v>21</v>
      </c>
      <c r="J272" s="1678" t="s">
        <v>21</v>
      </c>
      <c r="K272" s="53" t="s">
        <v>22</v>
      </c>
      <c r="L272" s="1678" t="s">
        <v>23</v>
      </c>
      <c r="M272" s="1678" t="s">
        <v>24</v>
      </c>
      <c r="N272" s="52" t="s">
        <v>25</v>
      </c>
      <c r="O272" s="52" t="s">
        <v>26</v>
      </c>
      <c r="P272" s="1819"/>
      <c r="Q272" s="1820"/>
      <c r="R272" s="1726"/>
      <c r="S272" s="1726"/>
      <c r="T272" s="1726"/>
      <c r="U272" s="1726"/>
      <c r="V272" s="55" t="s">
        <v>27</v>
      </c>
      <c r="W272" s="56">
        <f>$W$8</f>
        <v>43252</v>
      </c>
      <c r="X272" s="56">
        <f>$X$8</f>
        <v>43465</v>
      </c>
      <c r="Y272" s="56">
        <f>$Y$8</f>
        <v>43800</v>
      </c>
      <c r="Z272" s="56" t="str">
        <f>$Z$8</f>
        <v>-</v>
      </c>
      <c r="AA272" s="56" t="str">
        <f>$AA$8</f>
        <v>-</v>
      </c>
      <c r="AB272" s="56" t="str">
        <f>$AB$8</f>
        <v>-</v>
      </c>
      <c r="AC272" s="56" t="str">
        <f>$AC$8</f>
        <v>-</v>
      </c>
      <c r="AD272" s="56" t="str">
        <f>$AD$8</f>
        <v>-</v>
      </c>
      <c r="AE272" s="56" t="str">
        <f>$AE$8</f>
        <v>-</v>
      </c>
      <c r="AF272" s="56" t="str">
        <f>$AF$8</f>
        <v>-</v>
      </c>
      <c r="AG272" s="56" t="str">
        <f>$AG$8</f>
        <v>-</v>
      </c>
      <c r="AH272"/>
      <c r="AI272" s="55" t="s">
        <v>27</v>
      </c>
      <c r="AJ272" s="56">
        <v>43252</v>
      </c>
      <c r="AK272" s="56">
        <f>$X$8</f>
        <v>43465</v>
      </c>
      <c r="AL272" s="56">
        <f>$Y$8</f>
        <v>43800</v>
      </c>
      <c r="AM272" s="56" t="str">
        <f>$Z$8</f>
        <v>-</v>
      </c>
      <c r="AN272" s="56" t="str">
        <f>$AA$8</f>
        <v>-</v>
      </c>
      <c r="AO272" s="56" t="str">
        <f>$AB$8</f>
        <v>-</v>
      </c>
      <c r="AP272" s="56" t="str">
        <f>$AC$8</f>
        <v>-</v>
      </c>
      <c r="AQ272" s="56" t="str">
        <f>$AD$8</f>
        <v>-</v>
      </c>
      <c r="AR272" s="56" t="str">
        <f>$AE$8</f>
        <v>-</v>
      </c>
      <c r="AS272" s="56" t="str">
        <f>$AF$8</f>
        <v>-</v>
      </c>
      <c r="AT272"/>
      <c r="AU272" s="55" t="s">
        <v>27</v>
      </c>
      <c r="AV272" s="56">
        <v>43252</v>
      </c>
      <c r="AW272" s="56">
        <f>$X$8</f>
        <v>43465</v>
      </c>
      <c r="AX272" s="56">
        <f>$Y$8</f>
        <v>43800</v>
      </c>
      <c r="AY272" s="56" t="str">
        <f>$Z$8</f>
        <v>-</v>
      </c>
      <c r="AZ272" s="56" t="str">
        <f>$AA$8</f>
        <v>-</v>
      </c>
      <c r="BA272" s="56" t="str">
        <f>$AB$8</f>
        <v>-</v>
      </c>
      <c r="BB272" s="56" t="str">
        <f>$AC$8</f>
        <v>-</v>
      </c>
      <c r="BC272" s="56" t="str">
        <f>$AD$8</f>
        <v>-</v>
      </c>
      <c r="BD272" s="56" t="str">
        <f>$AE$8</f>
        <v>-</v>
      </c>
      <c r="BE272" s="56" t="str">
        <f>$AF$8</f>
        <v>-</v>
      </c>
      <c r="BF272"/>
      <c r="BG272" s="55" t="s">
        <v>27</v>
      </c>
      <c r="BH272" s="56">
        <v>43252</v>
      </c>
      <c r="BI272" s="56">
        <f>$X$8</f>
        <v>43465</v>
      </c>
      <c r="BJ272" s="56">
        <f>$Y$8</f>
        <v>43800</v>
      </c>
      <c r="BK272" s="56" t="str">
        <f>$Z$8</f>
        <v>-</v>
      </c>
      <c r="BL272" s="56" t="str">
        <f>$AA$8</f>
        <v>-</v>
      </c>
      <c r="BM272" s="56" t="str">
        <f>$AB$8</f>
        <v>-</v>
      </c>
      <c r="BN272" s="56" t="str">
        <f>$AC$8</f>
        <v>-</v>
      </c>
      <c r="BO272" s="56" t="str">
        <f>$AD$8</f>
        <v>-</v>
      </c>
      <c r="BP272" s="56" t="str">
        <f>$AE$8</f>
        <v>-</v>
      </c>
      <c r="BQ272" s="56" t="str">
        <f>$AF$8</f>
        <v>-</v>
      </c>
      <c r="BR272" s="29"/>
      <c r="BS272" s="55" t="s">
        <v>27</v>
      </c>
      <c r="BT272" s="56">
        <v>43252</v>
      </c>
      <c r="BU272" s="56">
        <f>$X$8</f>
        <v>43465</v>
      </c>
      <c r="BV272" s="56">
        <f>$Y$8</f>
        <v>43800</v>
      </c>
      <c r="BW272" s="56" t="str">
        <f>$Z$8</f>
        <v>-</v>
      </c>
      <c r="BX272" s="56" t="str">
        <f>$AA$8</f>
        <v>-</v>
      </c>
      <c r="BY272" s="56" t="str">
        <f>$AB$8</f>
        <v>-</v>
      </c>
      <c r="BZ272" s="56" t="str">
        <f>$AC$8</f>
        <v>-</v>
      </c>
      <c r="CA272" s="56" t="str">
        <f>$AD$8</f>
        <v>-</v>
      </c>
      <c r="CB272" s="56" t="str">
        <f>$AE$8</f>
        <v>-</v>
      </c>
      <c r="CC272" s="56" t="str">
        <f>$AF$8</f>
        <v>-</v>
      </c>
      <c r="DB272" s="57" t="str">
        <f>$DB$8</f>
        <v>TRC (2020)</v>
      </c>
      <c r="DC272" s="103" t="str">
        <f>$DC$8</f>
        <v>Benefit Lookup</v>
      </c>
      <c r="DD272" s="103" t="str">
        <f>$DD$8</f>
        <v>Benefits (2019 $)</v>
      </c>
      <c r="DE272" s="103" t="str">
        <f>$DE$8</f>
        <v>Incremental Cost (2019 $)</v>
      </c>
    </row>
    <row r="273" spans="2:109" x14ac:dyDescent="0.25">
      <c r="C273" s="1763" t="s">
        <v>261</v>
      </c>
      <c r="D273" s="1815" t="s">
        <v>34</v>
      </c>
      <c r="E273" s="1821" t="s">
        <v>262</v>
      </c>
      <c r="F273" s="210">
        <f>ROUND((1/F283)*G283*(H283/1000)*I283,2)</f>
        <v>205.34</v>
      </c>
      <c r="G273" s="93">
        <f>J283*(L283/(K283*3412))*M283</f>
        <v>233.00117233294256</v>
      </c>
      <c r="H273" s="93">
        <f>SUM(F273:G273)</f>
        <v>438.34117233294256</v>
      </c>
      <c r="I273" s="1730" t="s">
        <v>263</v>
      </c>
      <c r="J273" s="1730" t="s">
        <v>264</v>
      </c>
      <c r="K273" s="1731">
        <v>9.1068395835808389E-4</v>
      </c>
      <c r="L273" s="1822">
        <f>ROUND(K273*F273,6)</f>
        <v>0.187</v>
      </c>
      <c r="M273" s="1805">
        <v>10</v>
      </c>
      <c r="N273" s="1780">
        <v>224</v>
      </c>
      <c r="O273" s="1734" t="s">
        <v>37</v>
      </c>
      <c r="V273" s="61" t="str">
        <f>F272</f>
        <v>Cooling kWh Annual Savings (per Ton)</v>
      </c>
      <c r="W273" s="71">
        <v>205.33500000000004</v>
      </c>
      <c r="X273" s="71">
        <v>205.33500000000004</v>
      </c>
      <c r="Y273" s="71">
        <v>205.33500000000004</v>
      </c>
      <c r="Z273" s="64"/>
      <c r="AA273" s="64"/>
      <c r="AB273" s="64"/>
      <c r="AC273" s="64"/>
      <c r="AD273" s="64"/>
      <c r="AE273" s="64"/>
      <c r="AF273" s="64"/>
      <c r="AG273" s="64"/>
      <c r="AH273" s="65"/>
      <c r="AI273" s="61" t="str">
        <f>G272</f>
        <v>Heating kWh Annual Savings (per ton)</v>
      </c>
      <c r="AJ273" s="71">
        <v>233.00117233294256</v>
      </c>
      <c r="AK273" s="71">
        <v>233.00117233294256</v>
      </c>
      <c r="AL273" s="71">
        <v>233.00117233294256</v>
      </c>
      <c r="AM273" s="64"/>
      <c r="AN273" s="64"/>
      <c r="AO273" s="64"/>
      <c r="AP273" s="64"/>
      <c r="AQ273" s="64"/>
      <c r="AR273" s="64"/>
      <c r="AS273" s="64"/>
      <c r="AT273" s="65"/>
      <c r="AU273" s="61" t="str">
        <f>H272</f>
        <v>Total kWh Annual Savings</v>
      </c>
      <c r="AV273" s="71">
        <v>438.33617233294262</v>
      </c>
      <c r="AW273" s="71">
        <v>438.33617233294262</v>
      </c>
      <c r="AX273" s="71">
        <v>438.33617233294262</v>
      </c>
      <c r="AY273" s="64"/>
      <c r="AZ273" s="64"/>
      <c r="BA273" s="64"/>
      <c r="BB273" s="64"/>
      <c r="BC273" s="64"/>
      <c r="BD273" s="64"/>
      <c r="BE273" s="64"/>
      <c r="BF273" s="65"/>
      <c r="BG273" s="61" t="s">
        <v>24</v>
      </c>
      <c r="BH273" s="66">
        <v>10</v>
      </c>
      <c r="BI273" s="66">
        <v>10</v>
      </c>
      <c r="BJ273" s="66">
        <v>10</v>
      </c>
      <c r="BK273" s="64"/>
      <c r="BL273" s="64"/>
      <c r="BM273" s="64"/>
      <c r="BN273" s="64"/>
      <c r="BO273" s="64"/>
      <c r="BP273" s="64"/>
      <c r="BQ273" s="64"/>
      <c r="BR273" s="29"/>
      <c r="BS273" s="61" t="str">
        <f>N272</f>
        <v>Inc. Cost</v>
      </c>
      <c r="BT273" s="67">
        <v>224</v>
      </c>
      <c r="BU273" s="67">
        <v>224</v>
      </c>
      <c r="BV273" s="67">
        <v>224</v>
      </c>
      <c r="BW273" s="64"/>
      <c r="BX273" s="64"/>
      <c r="BY273" s="64"/>
      <c r="BZ273" s="64"/>
      <c r="CA273" s="64"/>
      <c r="CB273" s="64"/>
      <c r="CC273" s="64"/>
      <c r="DB273" s="120">
        <f t="shared" ref="DB273" si="53">(DD273)/(DE273)</f>
        <v>0.93461733145643167</v>
      </c>
      <c r="DC273" s="69" t="str">
        <f>CONCATENATE(I273," ",M273," Year EUL")</f>
        <v>Cooling BUS 10 Year EUL</v>
      </c>
      <c r="DD273" s="121">
        <f>(INDEX('Avoided Cost Benefits'!$C$4:$C$857,MATCH(DC273,'Avoided Cost Benefits'!$A$4:$A$857,0)))*F273</f>
        <v>197.59724610310587</v>
      </c>
      <c r="DE273" s="122">
        <f>N273/(1.0595^(2020-2019))</f>
        <v>211.42048135913166</v>
      </c>
    </row>
    <row r="274" spans="2:109" hidden="1" outlineLevel="1" x14ac:dyDescent="0.25">
      <c r="E274" s="1719"/>
      <c r="F274" s="1719"/>
      <c r="G274" s="1719"/>
      <c r="H274" s="1741"/>
      <c r="I274" s="1719"/>
      <c r="J274" s="1719"/>
      <c r="K274" s="1719"/>
    </row>
    <row r="275" spans="2:109" hidden="1" outlineLevel="1" x14ac:dyDescent="0.25">
      <c r="D275" s="1719" t="s">
        <v>76</v>
      </c>
      <c r="E275" s="1719"/>
      <c r="F275" s="1719"/>
      <c r="G275" s="1719"/>
      <c r="H275" s="1741"/>
      <c r="I275" s="1719"/>
      <c r="J275" s="1719"/>
      <c r="K275" s="1719"/>
    </row>
    <row r="276" spans="2:109" hidden="1" outlineLevel="1" x14ac:dyDescent="0.25">
      <c r="D276" s="1742"/>
      <c r="G276" s="1771"/>
      <c r="H276" s="1772"/>
    </row>
    <row r="277" spans="2:109" hidden="1" outlineLevel="1" x14ac:dyDescent="0.25">
      <c r="D277" s="1806"/>
      <c r="E277" s="1157"/>
      <c r="G277" s="1771"/>
      <c r="H277" s="1772"/>
    </row>
    <row r="278" spans="2:109" hidden="1" outlineLevel="1" x14ac:dyDescent="0.25">
      <c r="D278" s="1806"/>
      <c r="E278" s="1157"/>
      <c r="G278" s="1716"/>
      <c r="H278" s="1743"/>
      <c r="M278" s="1719"/>
    </row>
    <row r="279" spans="2:109" hidden="1" outlineLevel="1" x14ac:dyDescent="0.25">
      <c r="D279" s="1742"/>
      <c r="G279" s="1716"/>
      <c r="H279" s="1743"/>
      <c r="M279" s="1719"/>
    </row>
    <row r="280" spans="2:109" hidden="1" outlineLevel="1" x14ac:dyDescent="0.25">
      <c r="D280" s="1742"/>
      <c r="G280" s="1716"/>
      <c r="H280" s="1743"/>
      <c r="M280" s="1719"/>
    </row>
    <row r="281" spans="2:109" hidden="1" outlineLevel="1" x14ac:dyDescent="0.25">
      <c r="D281" s="1742"/>
      <c r="G281" s="1716"/>
      <c r="H281" s="1743"/>
    </row>
    <row r="282" spans="2:109" s="78" customFormat="1" ht="30" hidden="1" outlineLevel="1" x14ac:dyDescent="0.2">
      <c r="C282" s="553"/>
      <c r="D282" s="1638" t="s">
        <v>17</v>
      </c>
      <c r="E282" s="1638" t="s">
        <v>136</v>
      </c>
      <c r="F282" s="125" t="s">
        <v>265</v>
      </c>
      <c r="G282" s="1638" t="s">
        <v>266</v>
      </c>
      <c r="H282" s="1638" t="s">
        <v>267</v>
      </c>
      <c r="I282" s="1638" t="s">
        <v>268</v>
      </c>
      <c r="J282" s="125" t="s">
        <v>269</v>
      </c>
      <c r="K282" s="125" t="s">
        <v>270</v>
      </c>
      <c r="L282" s="1638" t="s">
        <v>271</v>
      </c>
      <c r="M282" s="1638" t="s">
        <v>272</v>
      </c>
      <c r="N282" s="553"/>
      <c r="O282" s="553"/>
      <c r="P282" s="553"/>
      <c r="Q282" s="553"/>
      <c r="R282" s="553"/>
      <c r="S282" s="553"/>
      <c r="T282" s="553"/>
      <c r="U282" s="553"/>
      <c r="DB282" s="108"/>
    </row>
    <row r="283" spans="2:109" hidden="1" outlineLevel="1" x14ac:dyDescent="0.25">
      <c r="D283" s="1747" t="str">
        <f>C273</f>
        <v>803050_2019_12_</v>
      </c>
      <c r="E283" s="1747" t="str">
        <f>E273</f>
        <v>Learning Thermostat</v>
      </c>
      <c r="F283" s="1823">
        <v>10</v>
      </c>
      <c r="G283" s="1808">
        <v>1053</v>
      </c>
      <c r="H283" s="1824">
        <v>12000</v>
      </c>
      <c r="I283" s="1825">
        <v>0.16250000000000001</v>
      </c>
      <c r="J283" s="1808">
        <v>1060</v>
      </c>
      <c r="K283" s="1804">
        <v>2</v>
      </c>
      <c r="L283" s="1824">
        <v>12000</v>
      </c>
      <c r="M283" s="1825">
        <v>0.125</v>
      </c>
    </row>
    <row r="284" spans="2:109" collapsed="1" x14ac:dyDescent="0.25"/>
    <row r="286" spans="2:109" s="50" customFormat="1" ht="30" x14ac:dyDescent="0.25">
      <c r="B286" s="51"/>
      <c r="C286" s="52" t="s">
        <v>17</v>
      </c>
      <c r="D286" s="52" t="s">
        <v>18</v>
      </c>
      <c r="E286" s="1678" t="s">
        <v>19</v>
      </c>
      <c r="F286" s="1678" t="s">
        <v>214</v>
      </c>
      <c r="G286" s="1678" t="s">
        <v>21</v>
      </c>
      <c r="H286" s="1678" t="s">
        <v>22</v>
      </c>
      <c r="I286" s="1678" t="s">
        <v>23</v>
      </c>
      <c r="J286" s="1678" t="s">
        <v>24</v>
      </c>
      <c r="K286" s="1678" t="s">
        <v>273</v>
      </c>
      <c r="L286" s="52" t="s">
        <v>26</v>
      </c>
      <c r="M286" s="1716"/>
      <c r="N286" s="1716"/>
      <c r="O286" s="1716"/>
      <c r="P286" s="1726"/>
      <c r="Q286" s="1726"/>
      <c r="R286" s="1726"/>
      <c r="S286" s="1726"/>
      <c r="T286" s="1726"/>
      <c r="U286" s="1726"/>
      <c r="V286" s="55" t="s">
        <v>27</v>
      </c>
      <c r="W286" s="56">
        <f>$W$8</f>
        <v>43252</v>
      </c>
      <c r="X286" s="56">
        <f>$X$8</f>
        <v>43465</v>
      </c>
      <c r="Y286" s="56">
        <f>$Y$8</f>
        <v>43800</v>
      </c>
      <c r="Z286" s="56" t="str">
        <f>$Z$8</f>
        <v>-</v>
      </c>
      <c r="AA286" s="56" t="str">
        <f>$AA$8</f>
        <v>-</v>
      </c>
      <c r="AB286" s="56" t="str">
        <f>$AB$8</f>
        <v>-</v>
      </c>
      <c r="AC286" s="56" t="str">
        <f>$AC$8</f>
        <v>-</v>
      </c>
      <c r="AD286" s="56" t="str">
        <f>$AD$8</f>
        <v>-</v>
      </c>
      <c r="AE286" s="56" t="str">
        <f>$AE$8</f>
        <v>-</v>
      </c>
      <c r="AF286" s="56" t="str">
        <f>$AF$8</f>
        <v>-</v>
      </c>
      <c r="AG286" s="56" t="str">
        <f>$AG$8</f>
        <v>-</v>
      </c>
      <c r="AH286"/>
      <c r="AI286" s="55" t="s">
        <v>27</v>
      </c>
      <c r="AJ286" s="56">
        <v>43252</v>
      </c>
      <c r="AK286" s="56">
        <f>$X$8</f>
        <v>43465</v>
      </c>
      <c r="AL286" s="56">
        <f>$Y$8</f>
        <v>43800</v>
      </c>
      <c r="AM286" s="56" t="str">
        <f>$Z$8</f>
        <v>-</v>
      </c>
      <c r="AN286" s="56" t="str">
        <f>$AA$8</f>
        <v>-</v>
      </c>
      <c r="AO286" s="56" t="str">
        <f>$AB$8</f>
        <v>-</v>
      </c>
      <c r="AP286" s="56" t="str">
        <f>$AC$8</f>
        <v>-</v>
      </c>
      <c r="AQ286" s="56" t="str">
        <f>$AD$8</f>
        <v>-</v>
      </c>
      <c r="AR286" s="56" t="str">
        <f>$AE$8</f>
        <v>-</v>
      </c>
      <c r="AS286" s="56" t="str">
        <f>$AF$8</f>
        <v>-</v>
      </c>
      <c r="AT286" s="29"/>
      <c r="AU286" s="55" t="s">
        <v>27</v>
      </c>
      <c r="AV286" s="56">
        <v>43252</v>
      </c>
      <c r="AW286" s="56">
        <f>$X$8</f>
        <v>43465</v>
      </c>
      <c r="AX286" s="56">
        <f>$Y$8</f>
        <v>43800</v>
      </c>
      <c r="AY286" s="56" t="str">
        <f>$Z$8</f>
        <v>-</v>
      </c>
      <c r="AZ286" s="56" t="str">
        <f>$AA$8</f>
        <v>-</v>
      </c>
      <c r="BA286" s="56" t="str">
        <f>$AB$8</f>
        <v>-</v>
      </c>
      <c r="BB286" s="56" t="str">
        <f>$AC$8</f>
        <v>-</v>
      </c>
      <c r="BC286" s="56" t="str">
        <f>$AD$8</f>
        <v>-</v>
      </c>
      <c r="BD286" s="56" t="str">
        <f>$AE$8</f>
        <v>-</v>
      </c>
      <c r="BE286" s="56" t="str">
        <f>$AF$8</f>
        <v>-</v>
      </c>
      <c r="DB286" s="57" t="str">
        <f>$DB$8</f>
        <v>TRC (2020)</v>
      </c>
      <c r="DC286" s="103" t="str">
        <f>$DC$8</f>
        <v>Benefit Lookup</v>
      </c>
      <c r="DD286" s="103" t="str">
        <f>$DD$8</f>
        <v>Benefits (2019 $)</v>
      </c>
      <c r="DE286" s="103" t="str">
        <f>$DE$8</f>
        <v>Incremental Cost (2019 $)</v>
      </c>
    </row>
    <row r="287" spans="2:109" x14ac:dyDescent="0.25">
      <c r="C287" s="1763" t="s">
        <v>274</v>
      </c>
      <c r="D287" s="1815" t="s">
        <v>34</v>
      </c>
      <c r="E287" s="1826" t="s">
        <v>275</v>
      </c>
      <c r="F287" s="93">
        <f>ROUND((F298/G298)*H298*I298,2)</f>
        <v>1289.6400000000001</v>
      </c>
      <c r="G287" s="1730" t="s">
        <v>263</v>
      </c>
      <c r="H287" s="1731">
        <f>VLOOKUP(G287,'CP FACTORS'!$A$26:$B$38,2,FALSE)</f>
        <v>9.1068400000000004E-4</v>
      </c>
      <c r="I287" s="1755">
        <f t="shared" ref="I287:I288" si="54">ROUND(H287*F287,6)</f>
        <v>1.174455</v>
      </c>
      <c r="J287" s="1805">
        <v>15</v>
      </c>
      <c r="K287" s="1756">
        <v>179</v>
      </c>
      <c r="L287" s="1827" t="s">
        <v>276</v>
      </c>
      <c r="V287" s="61" t="str">
        <f>F286</f>
        <v>kWh Annual Savings (per HP)</v>
      </c>
      <c r="W287" s="71">
        <v>1289.6420430107526</v>
      </c>
      <c r="X287" s="71">
        <v>1289.6420430107526</v>
      </c>
      <c r="Y287" s="71">
        <v>1289.6420430107526</v>
      </c>
      <c r="Z287" s="64"/>
      <c r="AA287" s="64"/>
      <c r="AB287" s="64"/>
      <c r="AC287" s="64"/>
      <c r="AD287" s="64"/>
      <c r="AE287" s="64"/>
      <c r="AF287" s="64"/>
      <c r="AG287" s="64"/>
      <c r="AH287" s="65"/>
      <c r="AI287" s="61" t="s">
        <v>24</v>
      </c>
      <c r="AJ287" s="66">
        <v>15</v>
      </c>
      <c r="AK287" s="66">
        <v>15</v>
      </c>
      <c r="AL287" s="66">
        <v>15</v>
      </c>
      <c r="AM287" s="64"/>
      <c r="AN287" s="64"/>
      <c r="AO287" s="64"/>
      <c r="AP287" s="64"/>
      <c r="AQ287" s="64"/>
      <c r="AR287" s="64"/>
      <c r="AS287" s="64"/>
      <c r="AT287" s="29"/>
      <c r="AU287" s="61" t="str">
        <f>K286</f>
        <v>Inc. Cost (per HP)</v>
      </c>
      <c r="AV287" s="126">
        <v>179</v>
      </c>
      <c r="AW287" s="126">
        <v>179</v>
      </c>
      <c r="AX287" s="126">
        <v>179</v>
      </c>
      <c r="AY287" s="64"/>
      <c r="AZ287" s="64"/>
      <c r="BA287" s="64"/>
      <c r="BB287" s="64"/>
      <c r="BC287" s="64"/>
      <c r="BD287" s="64"/>
      <c r="BE287" s="64"/>
      <c r="DB287" s="68">
        <f t="shared" ref="DB287:DB288" si="55">(DD287)/(DE287)</f>
        <v>10.881786166946494</v>
      </c>
      <c r="DC287" s="69" t="str">
        <f>CONCATENATE(G287," ",J287," Year EUL")</f>
        <v>Cooling BUS 15 Year EUL</v>
      </c>
      <c r="DD287" s="105">
        <f>(INDEX('Avoided Cost Benefits'!$C$4:$C$857,MATCH(DC287,'Avoided Cost Benefits'!$A$4:$A$857,0)))*F287</f>
        <v>1838.4518394369252</v>
      </c>
      <c r="DE287" s="70">
        <f>K287/(1.0595^(2020-2019))</f>
        <v>168.94761680037752</v>
      </c>
    </row>
    <row r="288" spans="2:109" x14ac:dyDescent="0.25">
      <c r="C288" s="1763" t="s">
        <v>277</v>
      </c>
      <c r="D288" s="1815" t="s">
        <v>34</v>
      </c>
      <c r="E288" s="1826" t="s">
        <v>278</v>
      </c>
      <c r="F288" s="93">
        <f>ROUND((F299/G299)*H299*I299,2)</f>
        <v>1696.57</v>
      </c>
      <c r="G288" s="1730" t="s">
        <v>279</v>
      </c>
      <c r="H288" s="1731">
        <f>VLOOKUP(G288,'CP FACTORS'!$A$26:$B$38,2,FALSE)</f>
        <v>4.4398300000000001E-4</v>
      </c>
      <c r="I288" s="1755">
        <f t="shared" si="54"/>
        <v>0.75324800000000003</v>
      </c>
      <c r="J288" s="1805">
        <v>15</v>
      </c>
      <c r="K288" s="1756">
        <f>K287</f>
        <v>179</v>
      </c>
      <c r="L288" s="1827" t="s">
        <v>276</v>
      </c>
      <c r="V288" s="61" t="str">
        <f>V287</f>
        <v>kWh Annual Savings (per HP)</v>
      </c>
      <c r="W288" s="71">
        <v>1696.5749462365593</v>
      </c>
      <c r="X288" s="71">
        <v>1696.5749462365593</v>
      </c>
      <c r="Y288" s="71">
        <v>1696.5749462365593</v>
      </c>
      <c r="Z288" s="64"/>
      <c r="AA288" s="64"/>
      <c r="AB288" s="64"/>
      <c r="AC288" s="64"/>
      <c r="AD288" s="64"/>
      <c r="AE288" s="64"/>
      <c r="AF288" s="64"/>
      <c r="AG288" s="64"/>
      <c r="AH288" s="65"/>
      <c r="AI288" s="61" t="s">
        <v>24</v>
      </c>
      <c r="AJ288" s="66">
        <v>15</v>
      </c>
      <c r="AK288" s="66">
        <v>15</v>
      </c>
      <c r="AL288" s="66">
        <v>15</v>
      </c>
      <c r="AM288" s="64"/>
      <c r="AN288" s="64"/>
      <c r="AO288" s="64"/>
      <c r="AP288" s="64"/>
      <c r="AQ288" s="64"/>
      <c r="AR288" s="64"/>
      <c r="AS288" s="64"/>
      <c r="AT288" s="29"/>
      <c r="AU288" s="61" t="str">
        <f>AU287</f>
        <v>Inc. Cost (per HP)</v>
      </c>
      <c r="AV288" s="126">
        <f t="shared" ref="AV288:AW288" si="56">AV287</f>
        <v>179</v>
      </c>
      <c r="AW288" s="126">
        <f t="shared" si="56"/>
        <v>179</v>
      </c>
      <c r="AX288" s="126">
        <v>179</v>
      </c>
      <c r="AY288" s="64"/>
      <c r="AZ288" s="64"/>
      <c r="BA288" s="64"/>
      <c r="BB288" s="64"/>
      <c r="BC288" s="64"/>
      <c r="BD288" s="64"/>
      <c r="BE288" s="64"/>
      <c r="DB288" s="75">
        <f t="shared" si="55"/>
        <v>9.0833950189584112</v>
      </c>
      <c r="DC288" s="73" t="str">
        <f>CONCATENATE(G288," ",J288," Year EUL")</f>
        <v>HVAC BUS 15 Year EUL</v>
      </c>
      <c r="DD288" s="107">
        <f>(INDEX('Avoided Cost Benefits'!$C$4:$C$857,MATCH(DC288,'Avoided Cost Benefits'!$A$4:$A$857,0)))*F288</f>
        <v>1534.6179409094434</v>
      </c>
      <c r="DE288" s="76">
        <f>K288/(1.0595^(2020-2019))</f>
        <v>168.94761680037752</v>
      </c>
    </row>
    <row r="289" spans="2:106" hidden="1" outlineLevel="1" x14ac:dyDescent="0.25">
      <c r="E289" s="1719"/>
      <c r="F289" s="1719"/>
      <c r="G289" s="1719"/>
      <c r="H289" s="1741"/>
      <c r="I289" s="1719"/>
      <c r="J289" s="1719"/>
      <c r="K289" s="1719"/>
      <c r="L289" s="1719"/>
    </row>
    <row r="290" spans="2:106" hidden="1" outlineLevel="1" x14ac:dyDescent="0.25">
      <c r="D290" s="1719" t="s">
        <v>76</v>
      </c>
      <c r="E290" s="1719"/>
      <c r="F290" s="1719"/>
      <c r="G290" s="1719"/>
      <c r="H290" s="1741"/>
      <c r="I290" s="1719"/>
      <c r="J290" s="1719"/>
      <c r="K290" s="1828"/>
      <c r="L290" s="1719"/>
    </row>
    <row r="291" spans="2:106" hidden="1" outlineLevel="1" x14ac:dyDescent="0.25">
      <c r="D291" s="1742"/>
      <c r="G291" s="1771"/>
      <c r="H291" s="1772"/>
      <c r="L291" s="1719"/>
    </row>
    <row r="292" spans="2:106" hidden="1" outlineLevel="1" x14ac:dyDescent="0.25">
      <c r="D292" s="1806"/>
      <c r="E292" s="1157"/>
      <c r="G292" s="1771"/>
      <c r="H292" s="1772"/>
      <c r="L292" s="1719"/>
    </row>
    <row r="293" spans="2:106" hidden="1" outlineLevel="1" x14ac:dyDescent="0.25">
      <c r="D293" s="1806"/>
      <c r="E293" s="1157"/>
      <c r="G293" s="1716"/>
      <c r="H293" s="1743"/>
      <c r="L293" s="1719"/>
      <c r="M293" s="1719"/>
    </row>
    <row r="294" spans="2:106" hidden="1" outlineLevel="1" x14ac:dyDescent="0.25">
      <c r="D294" s="1742"/>
      <c r="G294" s="1716"/>
      <c r="H294" s="1743"/>
      <c r="L294" s="1719"/>
      <c r="M294" s="1719"/>
    </row>
    <row r="295" spans="2:106" hidden="1" outlineLevel="1" x14ac:dyDescent="0.25">
      <c r="D295" s="1742"/>
      <c r="G295" s="1716"/>
      <c r="H295" s="1743"/>
      <c r="L295" s="1719"/>
      <c r="M295" s="1719"/>
    </row>
    <row r="296" spans="2:106" hidden="1" outlineLevel="1" x14ac:dyDescent="0.25">
      <c r="D296" s="1742"/>
      <c r="G296" s="1716"/>
      <c r="H296" s="1743"/>
      <c r="L296" s="1719"/>
    </row>
    <row r="297" spans="2:106" s="78" customFormat="1" ht="30" hidden="1" outlineLevel="1" x14ac:dyDescent="0.25">
      <c r="C297" s="553"/>
      <c r="D297" s="1638" t="s">
        <v>17</v>
      </c>
      <c r="E297" s="1638" t="s">
        <v>136</v>
      </c>
      <c r="F297" s="1638" t="s">
        <v>280</v>
      </c>
      <c r="G297" s="1638" t="s">
        <v>281</v>
      </c>
      <c r="H297" s="1638" t="s">
        <v>94</v>
      </c>
      <c r="I297" s="1638" t="s">
        <v>95</v>
      </c>
      <c r="J297" s="553"/>
      <c r="K297" s="553"/>
      <c r="L297" s="1719"/>
      <c r="M297" s="553"/>
      <c r="N297" s="553"/>
      <c r="O297" s="553"/>
      <c r="P297" s="553"/>
      <c r="Q297" s="553"/>
      <c r="R297" s="553"/>
      <c r="S297" s="553"/>
      <c r="T297" s="553"/>
      <c r="U297" s="553"/>
      <c r="DB297" s="108"/>
    </row>
    <row r="298" spans="2:106" hidden="1" outlineLevel="1" x14ac:dyDescent="0.25">
      <c r="D298" s="1747" t="str">
        <f>C287</f>
        <v>803100_2019_12_</v>
      </c>
      <c r="E298" s="1747" t="str">
        <f>E287</f>
        <v>VFD on Chilled Water Pump 1-75HP</v>
      </c>
      <c r="F298" s="1804">
        <v>1</v>
      </c>
      <c r="G298" s="1829">
        <v>0.93</v>
      </c>
      <c r="H298" s="1808">
        <v>3539</v>
      </c>
      <c r="I298" s="1825">
        <v>0.33889999999999998</v>
      </c>
      <c r="L298" s="1719"/>
    </row>
    <row r="299" spans="2:106" hidden="1" outlineLevel="1" x14ac:dyDescent="0.25">
      <c r="D299" s="1747" t="str">
        <f>C288</f>
        <v>803150_2019_12_</v>
      </c>
      <c r="E299" s="1747" t="str">
        <f>E288</f>
        <v>VFD on Hot Water Pump 1-75HP</v>
      </c>
      <c r="F299" s="1804">
        <v>1</v>
      </c>
      <c r="G299" s="1829">
        <v>0.93</v>
      </c>
      <c r="H299" s="1808">
        <v>4411</v>
      </c>
      <c r="I299" s="1825">
        <v>0.35770000000000002</v>
      </c>
      <c r="L299" s="1719"/>
    </row>
    <row r="300" spans="2:106" collapsed="1" x14ac:dyDescent="0.25"/>
    <row r="302" spans="2:106" s="50" customFormat="1" ht="30" x14ac:dyDescent="0.25">
      <c r="B302" s="51"/>
      <c r="C302" s="52" t="s">
        <v>17</v>
      </c>
      <c r="D302" s="52" t="s">
        <v>18</v>
      </c>
      <c r="E302" s="1678" t="s">
        <v>19</v>
      </c>
      <c r="F302" s="1678" t="s">
        <v>214</v>
      </c>
      <c r="G302" s="1678" t="s">
        <v>21</v>
      </c>
      <c r="H302" s="1678" t="s">
        <v>22</v>
      </c>
      <c r="I302" s="1678" t="s">
        <v>23</v>
      </c>
      <c r="J302" s="1678" t="s">
        <v>24</v>
      </c>
      <c r="K302" s="1678" t="s">
        <v>273</v>
      </c>
      <c r="L302" s="52" t="s">
        <v>26</v>
      </c>
      <c r="M302" s="1716"/>
      <c r="N302" s="1716"/>
      <c r="O302" s="1716"/>
      <c r="P302" s="1726"/>
      <c r="Q302" s="1726"/>
      <c r="R302" s="1726"/>
      <c r="S302" s="1726"/>
      <c r="T302" s="1726"/>
      <c r="U302" s="1726"/>
      <c r="V302" s="55" t="s">
        <v>27</v>
      </c>
      <c r="W302" s="56">
        <f>$W$8</f>
        <v>43252</v>
      </c>
      <c r="X302" s="56">
        <f>$X$8</f>
        <v>43465</v>
      </c>
      <c r="Y302" s="56">
        <f>$Y$8</f>
        <v>43800</v>
      </c>
      <c r="Z302" s="56" t="str">
        <f>$Z$8</f>
        <v>-</v>
      </c>
      <c r="AA302" s="56" t="str">
        <f>$AA$8</f>
        <v>-</v>
      </c>
      <c r="AB302" s="56" t="str">
        <f>$AB$8</f>
        <v>-</v>
      </c>
      <c r="AC302" s="56" t="str">
        <f>$AC$8</f>
        <v>-</v>
      </c>
      <c r="AD302" s="56" t="str">
        <f>$AD$8</f>
        <v>-</v>
      </c>
      <c r="AE302" s="56" t="str">
        <f>$AE$8</f>
        <v>-</v>
      </c>
      <c r="AF302" s="56" t="str">
        <f>$AF$8</f>
        <v>-</v>
      </c>
      <c r="AG302" s="56" t="str">
        <f>$AG$8</f>
        <v>-</v>
      </c>
      <c r="AH302"/>
      <c r="AI302" s="55" t="s">
        <v>27</v>
      </c>
      <c r="AJ302" s="56">
        <v>43252</v>
      </c>
      <c r="AK302" s="56">
        <f>$X$8</f>
        <v>43465</v>
      </c>
      <c r="AL302" s="56">
        <f>$Y$8</f>
        <v>43800</v>
      </c>
      <c r="AM302" s="56" t="str">
        <f>$Z$8</f>
        <v>-</v>
      </c>
      <c r="AN302" s="56" t="str">
        <f>$AA$8</f>
        <v>-</v>
      </c>
      <c r="AO302" s="56" t="str">
        <f>$AB$8</f>
        <v>-</v>
      </c>
      <c r="AP302" s="56" t="str">
        <f>$AC$8</f>
        <v>-</v>
      </c>
      <c r="AQ302" s="56" t="str">
        <f>$AD$8</f>
        <v>-</v>
      </c>
      <c r="AR302" s="56" t="str">
        <f>$AE$8</f>
        <v>-</v>
      </c>
      <c r="AS302" s="56" t="str">
        <f>$AF$8</f>
        <v>-</v>
      </c>
      <c r="AT302" s="29"/>
      <c r="AU302" s="55" t="s">
        <v>27</v>
      </c>
      <c r="AV302" s="56">
        <v>43252</v>
      </c>
      <c r="AW302" s="56">
        <f>$X$8</f>
        <v>43465</v>
      </c>
      <c r="AX302" s="56">
        <f>$Y$8</f>
        <v>43800</v>
      </c>
      <c r="AY302" s="56" t="str">
        <f>$Z$8</f>
        <v>-</v>
      </c>
      <c r="AZ302" s="56" t="str">
        <f>$AA$8</f>
        <v>-</v>
      </c>
      <c r="BA302" s="56" t="str">
        <f>$AB$8</f>
        <v>-</v>
      </c>
      <c r="BB302" s="56" t="str">
        <f>$AC$8</f>
        <v>-</v>
      </c>
      <c r="BC302" s="56" t="str">
        <f>$AD$8</f>
        <v>-</v>
      </c>
      <c r="BD302" s="56" t="str">
        <f>$AE$8</f>
        <v>-</v>
      </c>
      <c r="BE302" s="56" t="str">
        <f>$AF$8</f>
        <v>-</v>
      </c>
      <c r="DB302" s="127"/>
    </row>
    <row r="303" spans="2:106" x14ac:dyDescent="0.25">
      <c r="C303" s="1763" t="s">
        <v>282</v>
      </c>
      <c r="D303" s="1815" t="s">
        <v>34</v>
      </c>
      <c r="E303" s="1767" t="s">
        <v>283</v>
      </c>
      <c r="F303" s="210">
        <f>ROUND((((0.746*F329*(G329/H329))*I329*J329)-((0.746*F329*(G329/H329))*I329*K329))*(1+L329),2)</f>
        <v>939.75</v>
      </c>
      <c r="G303" s="1730" t="s">
        <v>279</v>
      </c>
      <c r="H303" s="1731">
        <f>VLOOKUP(G303,'CP FACTORS'!$A$26:$B$38,2,FALSE)</f>
        <v>4.4398300000000001E-4</v>
      </c>
      <c r="I303" s="1755">
        <f t="shared" ref="I303" si="57">ROUND(H303*F303,6)</f>
        <v>0.41723300000000002</v>
      </c>
      <c r="J303" s="1805">
        <v>15</v>
      </c>
      <c r="K303" s="1756">
        <v>168</v>
      </c>
      <c r="L303" s="1827" t="s">
        <v>276</v>
      </c>
      <c r="V303" s="61" t="str">
        <f>F302</f>
        <v>kWh Annual Savings (per HP)</v>
      </c>
      <c r="W303" s="118">
        <v>939.74820779247341</v>
      </c>
      <c r="X303" s="118">
        <v>939.74820779247341</v>
      </c>
      <c r="Y303" s="118">
        <v>939.74820779247341</v>
      </c>
      <c r="Z303" s="64"/>
      <c r="AA303" s="64"/>
      <c r="AB303" s="64"/>
      <c r="AC303" s="64"/>
      <c r="AD303" s="64"/>
      <c r="AE303" s="64"/>
      <c r="AF303" s="64"/>
      <c r="AG303" s="64"/>
      <c r="AH303" s="65"/>
      <c r="AI303" s="61" t="s">
        <v>24</v>
      </c>
      <c r="AJ303" s="66">
        <v>15</v>
      </c>
      <c r="AK303" s="66">
        <v>15</v>
      </c>
      <c r="AL303" s="66">
        <v>15</v>
      </c>
      <c r="AM303" s="64"/>
      <c r="AN303" s="64"/>
      <c r="AO303" s="64"/>
      <c r="AP303" s="64"/>
      <c r="AQ303" s="64"/>
      <c r="AR303" s="64"/>
      <c r="AS303" s="64"/>
      <c r="AT303" s="29"/>
      <c r="AU303" s="61" t="str">
        <f>K302</f>
        <v>Inc. Cost (per HP)</v>
      </c>
      <c r="AV303" s="67">
        <v>168</v>
      </c>
      <c r="AW303" s="67">
        <v>168</v>
      </c>
      <c r="AX303" s="67">
        <v>168</v>
      </c>
      <c r="AY303" s="64"/>
      <c r="AZ303" s="64"/>
      <c r="BA303" s="64"/>
      <c r="BB303" s="64"/>
      <c r="BC303" s="64"/>
      <c r="BD303" s="64"/>
      <c r="BE303" s="64"/>
    </row>
    <row r="304" spans="2:106" hidden="1" outlineLevel="1" x14ac:dyDescent="0.25">
      <c r="E304" s="1719"/>
      <c r="F304" s="1719"/>
      <c r="G304" s="1719"/>
      <c r="H304" s="1741"/>
      <c r="I304" s="1719"/>
      <c r="J304" s="1719"/>
      <c r="M304" s="2628"/>
      <c r="N304" s="2628"/>
      <c r="O304" s="2628"/>
      <c r="P304" s="2628"/>
    </row>
    <row r="305" spans="4:16" hidden="1" outlineLevel="1" x14ac:dyDescent="0.25">
      <c r="D305" s="1719" t="s">
        <v>76</v>
      </c>
      <c r="E305" s="1719"/>
      <c r="F305" s="1719"/>
      <c r="G305" s="1719"/>
      <c r="H305" s="1741"/>
      <c r="I305" s="1719"/>
      <c r="J305" s="1719"/>
      <c r="K305" s="1719"/>
      <c r="M305" s="2628"/>
      <c r="N305" s="2628"/>
      <c r="O305" s="2628"/>
      <c r="P305" s="2628"/>
    </row>
    <row r="306" spans="4:16" hidden="1" outlineLevel="1" x14ac:dyDescent="0.25">
      <c r="D306" s="1742"/>
      <c r="G306" s="1771"/>
      <c r="H306" s="1772"/>
      <c r="M306" s="2628"/>
      <c r="N306" s="2628"/>
      <c r="O306" s="2628"/>
      <c r="P306" s="2628"/>
    </row>
    <row r="307" spans="4:16" hidden="1" outlineLevel="1" x14ac:dyDescent="0.25">
      <c r="D307" s="1806"/>
      <c r="E307" s="1157"/>
      <c r="G307" s="1771"/>
      <c r="H307" s="1772"/>
      <c r="M307" s="2628"/>
      <c r="N307" s="2628"/>
      <c r="O307" s="2628"/>
      <c r="P307" s="2628"/>
    </row>
    <row r="308" spans="4:16" hidden="1" outlineLevel="1" x14ac:dyDescent="0.25">
      <c r="D308" s="1806"/>
      <c r="E308" s="1157"/>
      <c r="G308" s="1716"/>
      <c r="H308" s="1743"/>
      <c r="M308" s="2628"/>
      <c r="N308" s="2628"/>
      <c r="O308" s="2628"/>
      <c r="P308" s="2628"/>
    </row>
    <row r="309" spans="4:16" hidden="1" outlineLevel="1" x14ac:dyDescent="0.25">
      <c r="D309" s="1742"/>
      <c r="G309" s="1716"/>
      <c r="H309" s="1743"/>
      <c r="M309" s="1719"/>
    </row>
    <row r="310" spans="4:16" hidden="1" outlineLevel="1" x14ac:dyDescent="0.25">
      <c r="D310" s="1742"/>
      <c r="G310" s="1716"/>
      <c r="H310" s="1743"/>
      <c r="M310" s="1719"/>
    </row>
    <row r="311" spans="4:16" ht="15.75" hidden="1" outlineLevel="1" thickBot="1" x14ac:dyDescent="0.3">
      <c r="D311" s="1742"/>
      <c r="G311" s="1716"/>
      <c r="H311" s="1743"/>
      <c r="M311" s="1719"/>
    </row>
    <row r="312" spans="4:16" hidden="1" outlineLevel="1" x14ac:dyDescent="0.25">
      <c r="D312" s="1742"/>
      <c r="E312" s="1830" t="s">
        <v>284</v>
      </c>
      <c r="F312" s="1831"/>
      <c r="G312" s="1716"/>
      <c r="H312" s="1743"/>
      <c r="M312" s="1719"/>
    </row>
    <row r="313" spans="4:16" hidden="1" outlineLevel="1" x14ac:dyDescent="0.25">
      <c r="D313" s="1742"/>
      <c r="E313" s="1832"/>
      <c r="F313" s="1833"/>
      <c r="G313" s="1716"/>
      <c r="H313" s="1743"/>
      <c r="M313" s="1719"/>
    </row>
    <row r="314" spans="4:16" hidden="1" outlineLevel="1" x14ac:dyDescent="0.25">
      <c r="D314" s="1742"/>
      <c r="E314" s="1834" t="s">
        <v>285</v>
      </c>
      <c r="F314" s="1833">
        <v>1</v>
      </c>
      <c r="G314" s="1716"/>
      <c r="H314" s="1743"/>
      <c r="M314" s="1719"/>
    </row>
    <row r="315" spans="4:16" hidden="1" outlineLevel="1" x14ac:dyDescent="0.25">
      <c r="D315" s="1742"/>
      <c r="E315" s="1834" t="s">
        <v>286</v>
      </c>
      <c r="F315" s="1833">
        <v>0.8</v>
      </c>
      <c r="G315" s="1716"/>
      <c r="H315" s="1743"/>
      <c r="M315" s="1719"/>
    </row>
    <row r="316" spans="4:16" hidden="1" outlineLevel="1" x14ac:dyDescent="0.25">
      <c r="D316" s="1742"/>
      <c r="E316" s="1834" t="s">
        <v>287</v>
      </c>
      <c r="F316" s="1833">
        <v>0.78</v>
      </c>
      <c r="G316" s="1716"/>
      <c r="H316" s="1743"/>
      <c r="M316" s="1719"/>
    </row>
    <row r="317" spans="4:16" hidden="1" outlineLevel="1" x14ac:dyDescent="0.25">
      <c r="D317" s="1742"/>
      <c r="E317" s="1834" t="s">
        <v>288</v>
      </c>
      <c r="F317" s="1833">
        <v>0.69</v>
      </c>
      <c r="G317" s="1716"/>
      <c r="H317" s="1743"/>
      <c r="M317" s="1719"/>
    </row>
    <row r="318" spans="4:16" hidden="1" outlineLevel="1" x14ac:dyDescent="0.25">
      <c r="D318" s="1742"/>
      <c r="E318" s="1834" t="s">
        <v>289</v>
      </c>
      <c r="F318" s="1833">
        <v>0.63</v>
      </c>
      <c r="G318" s="1716"/>
      <c r="H318" s="1743"/>
      <c r="M318" s="1719"/>
    </row>
    <row r="319" spans="4:16" hidden="1" outlineLevel="1" x14ac:dyDescent="0.25">
      <c r="D319" s="1742"/>
      <c r="E319" s="1834" t="s">
        <v>290</v>
      </c>
      <c r="F319" s="1833">
        <v>0.53</v>
      </c>
      <c r="G319" s="1716"/>
      <c r="H319" s="1743"/>
      <c r="M319" s="1719"/>
    </row>
    <row r="320" spans="4:16" hidden="1" outlineLevel="1" x14ac:dyDescent="0.25">
      <c r="D320" s="1742"/>
      <c r="E320" s="1834" t="s">
        <v>291</v>
      </c>
      <c r="F320" s="1833">
        <v>0.53</v>
      </c>
      <c r="G320" s="1716"/>
      <c r="H320" s="1743"/>
      <c r="M320" s="1719"/>
    </row>
    <row r="321" spans="2:109" hidden="1" outlineLevel="1" x14ac:dyDescent="0.25">
      <c r="D321" s="1742"/>
      <c r="E321" s="1834" t="s">
        <v>292</v>
      </c>
      <c r="F321" s="1833">
        <v>0.49</v>
      </c>
      <c r="G321" s="1716"/>
      <c r="H321" s="1743"/>
      <c r="M321" s="1719"/>
    </row>
    <row r="322" spans="2:109" hidden="1" outlineLevel="1" x14ac:dyDescent="0.25">
      <c r="D322" s="1742"/>
      <c r="E322" s="1834" t="s">
        <v>293</v>
      </c>
      <c r="F322" s="1833">
        <v>0.39</v>
      </c>
      <c r="G322" s="1716"/>
      <c r="H322" s="1743"/>
      <c r="M322" s="1719"/>
    </row>
    <row r="323" spans="2:109" hidden="1" outlineLevel="1" x14ac:dyDescent="0.25">
      <c r="D323" s="1742"/>
      <c r="E323" s="1834" t="s">
        <v>294</v>
      </c>
      <c r="F323" s="1833">
        <v>0.3</v>
      </c>
      <c r="G323" s="1716"/>
      <c r="H323" s="1743"/>
      <c r="M323" s="1719"/>
    </row>
    <row r="324" spans="2:109" ht="15.75" hidden="1" outlineLevel="1" thickBot="1" x14ac:dyDescent="0.3">
      <c r="D324" s="1742"/>
      <c r="E324" s="1835" t="s">
        <v>295</v>
      </c>
      <c r="F324" s="1836">
        <v>0.27</v>
      </c>
      <c r="G324" s="1716"/>
      <c r="H324" s="1743"/>
      <c r="M324" s="1719"/>
    </row>
    <row r="325" spans="2:109" hidden="1" outlineLevel="1" x14ac:dyDescent="0.25">
      <c r="D325" s="1742"/>
      <c r="G325" s="1716"/>
      <c r="H325" s="1743"/>
      <c r="M325" s="1719"/>
    </row>
    <row r="326" spans="2:109" hidden="1" outlineLevel="1" x14ac:dyDescent="0.25">
      <c r="D326" s="1742"/>
      <c r="G326" s="1716"/>
      <c r="H326" s="1743"/>
      <c r="M326" s="1719"/>
    </row>
    <row r="327" spans="2:109" hidden="1" outlineLevel="1" x14ac:dyDescent="0.25">
      <c r="D327" s="1742"/>
      <c r="G327" s="1716"/>
      <c r="H327" s="1743"/>
    </row>
    <row r="328" spans="2:109" s="78" customFormat="1" ht="30" hidden="1" outlineLevel="1" x14ac:dyDescent="0.2">
      <c r="C328" s="553"/>
      <c r="D328" s="1638" t="s">
        <v>17</v>
      </c>
      <c r="E328" s="1638" t="s">
        <v>136</v>
      </c>
      <c r="F328" s="1638" t="s">
        <v>296</v>
      </c>
      <c r="G328" s="1638" t="s">
        <v>297</v>
      </c>
      <c r="H328" s="1638" t="s">
        <v>298</v>
      </c>
      <c r="I328" s="1638" t="s">
        <v>299</v>
      </c>
      <c r="J328" s="1638" t="s">
        <v>300</v>
      </c>
      <c r="K328" s="1638" t="s">
        <v>301</v>
      </c>
      <c r="L328" s="1638" t="s">
        <v>302</v>
      </c>
      <c r="M328" s="553"/>
      <c r="N328" s="553"/>
      <c r="O328" s="553"/>
      <c r="P328" s="553"/>
      <c r="Q328" s="553"/>
      <c r="R328" s="553"/>
      <c r="S328" s="553"/>
      <c r="T328" s="553"/>
      <c r="U328" s="553"/>
      <c r="DB328" s="108"/>
    </row>
    <row r="329" spans="2:109" hidden="1" outlineLevel="1" x14ac:dyDescent="0.25">
      <c r="D329" s="1747" t="str">
        <f>C303</f>
        <v>803200_2019_12_</v>
      </c>
      <c r="E329" s="1747" t="str">
        <f>E303</f>
        <v>VFD on HVAC Fans 1-100HP</v>
      </c>
      <c r="F329" s="1804">
        <v>1</v>
      </c>
      <c r="G329" s="132">
        <v>0.65</v>
      </c>
      <c r="H329" s="1804">
        <v>0.93</v>
      </c>
      <c r="I329" s="1804">
        <v>6773</v>
      </c>
      <c r="J329" s="1804">
        <v>0.53</v>
      </c>
      <c r="K329" s="1804">
        <v>0.3</v>
      </c>
      <c r="L329" s="1837">
        <v>0.157</v>
      </c>
    </row>
    <row r="330" spans="2:109" collapsed="1" x14ac:dyDescent="0.25"/>
    <row r="332" spans="2:109" s="50" customFormat="1" ht="30" x14ac:dyDescent="0.25">
      <c r="B332" s="51"/>
      <c r="C332" s="52" t="s">
        <v>17</v>
      </c>
      <c r="D332" s="52" t="s">
        <v>18</v>
      </c>
      <c r="E332" s="1678" t="s">
        <v>19</v>
      </c>
      <c r="F332" s="1678" t="s">
        <v>303</v>
      </c>
      <c r="G332" s="1678" t="s">
        <v>21</v>
      </c>
      <c r="H332" s="1678" t="s">
        <v>22</v>
      </c>
      <c r="I332" s="1678" t="s">
        <v>23</v>
      </c>
      <c r="J332" s="1678" t="s">
        <v>24</v>
      </c>
      <c r="K332" s="1678" t="s">
        <v>25</v>
      </c>
      <c r="L332" s="52" t="s">
        <v>26</v>
      </c>
      <c r="M332" s="1716"/>
      <c r="N332" s="1716"/>
      <c r="O332" s="1716"/>
      <c r="P332" s="1726"/>
      <c r="Q332" s="1726"/>
      <c r="R332" s="1726"/>
      <c r="S332" s="1726"/>
      <c r="T332" s="1726"/>
      <c r="U332" s="1726"/>
      <c r="V332" s="55" t="s">
        <v>27</v>
      </c>
      <c r="W332" s="56">
        <f>$W$8</f>
        <v>43252</v>
      </c>
      <c r="X332" s="56">
        <f>$X$8</f>
        <v>43465</v>
      </c>
      <c r="Y332" s="56">
        <f>$Y$8</f>
        <v>43800</v>
      </c>
      <c r="Z332" s="56" t="str">
        <f>$Z$8</f>
        <v>-</v>
      </c>
      <c r="AA332" s="56" t="str">
        <f>$AA$8</f>
        <v>-</v>
      </c>
      <c r="AB332" s="56" t="str">
        <f>$AB$8</f>
        <v>-</v>
      </c>
      <c r="AC332" s="56" t="str">
        <f>$AC$8</f>
        <v>-</v>
      </c>
      <c r="AD332" s="56" t="str">
        <f>$AD$8</f>
        <v>-</v>
      </c>
      <c r="AE332" s="56" t="str">
        <f>$AE$8</f>
        <v>-</v>
      </c>
      <c r="AF332" s="56" t="str">
        <f>$AF$8</f>
        <v>-</v>
      </c>
      <c r="AG332" s="56" t="str">
        <f>$AG$8</f>
        <v>-</v>
      </c>
      <c r="AH332"/>
      <c r="AI332" s="55" t="s">
        <v>27</v>
      </c>
      <c r="AJ332" s="56">
        <v>43252</v>
      </c>
      <c r="AK332" s="56">
        <f>$X$8</f>
        <v>43465</v>
      </c>
      <c r="AL332" s="56">
        <f>$Y$8</f>
        <v>43800</v>
      </c>
      <c r="AM332" s="56" t="str">
        <f>$Z$8</f>
        <v>-</v>
      </c>
      <c r="AN332" s="56" t="str">
        <f>$AA$8</f>
        <v>-</v>
      </c>
      <c r="AO332" s="56" t="str">
        <f>$AB$8</f>
        <v>-</v>
      </c>
      <c r="AP332" s="56" t="str">
        <f>$AC$8</f>
        <v>-</v>
      </c>
      <c r="AQ332" s="56" t="str">
        <f>$AD$8</f>
        <v>-</v>
      </c>
      <c r="AR332" s="56" t="str">
        <f>$AE$8</f>
        <v>-</v>
      </c>
      <c r="AS332" s="56" t="str">
        <f>$AF$8</f>
        <v>-</v>
      </c>
      <c r="AT332" s="29"/>
      <c r="AU332" s="55" t="s">
        <v>27</v>
      </c>
      <c r="AV332" s="56">
        <v>43252</v>
      </c>
      <c r="AW332" s="56">
        <f>$X$8</f>
        <v>43465</v>
      </c>
      <c r="AX332" s="56">
        <f>$Y$8</f>
        <v>43800</v>
      </c>
      <c r="AY332" s="56" t="str">
        <f>$Z$8</f>
        <v>-</v>
      </c>
      <c r="AZ332" s="56" t="str">
        <f>$AA$8</f>
        <v>-</v>
      </c>
      <c r="BA332" s="56" t="str">
        <f>$AB$8</f>
        <v>-</v>
      </c>
      <c r="BB332" s="56" t="str">
        <f>$AC$8</f>
        <v>-</v>
      </c>
      <c r="BC332" s="56" t="str">
        <f>$AD$8</f>
        <v>-</v>
      </c>
      <c r="BD332" s="56" t="str">
        <f>$AE$8</f>
        <v>-</v>
      </c>
      <c r="BE332" s="56" t="str">
        <f>$AF$8</f>
        <v>-</v>
      </c>
      <c r="DB332" s="57" t="str">
        <f>$DB$8</f>
        <v>TRC (2020)</v>
      </c>
      <c r="DC332" s="103" t="str">
        <f>$DC$8</f>
        <v>Benefit Lookup</v>
      </c>
      <c r="DD332" s="103" t="str">
        <f>$DD$8</f>
        <v>Benefits (2019 $)</v>
      </c>
      <c r="DE332" s="103" t="str">
        <f>$DE$8</f>
        <v>Incremental Cost (2019 $)</v>
      </c>
    </row>
    <row r="333" spans="2:109" x14ac:dyDescent="0.25">
      <c r="C333" s="1727" t="s">
        <v>304</v>
      </c>
      <c r="D333" s="1815" t="s">
        <v>34</v>
      </c>
      <c r="E333" s="1754" t="s">
        <v>305</v>
      </c>
      <c r="F333" s="210">
        <f>ROUND(F347*((1/G347)-(1/H347))*K347,2)</f>
        <v>153.94999999999999</v>
      </c>
      <c r="G333" s="1730" t="s">
        <v>263</v>
      </c>
      <c r="H333" s="1731">
        <f>VLOOKUP(G333,'CP FACTORS'!$A$26:$B$38,2,FALSE)</f>
        <v>9.1068400000000004E-4</v>
      </c>
      <c r="I333" s="1755">
        <f t="shared" ref="I333:I337" si="58">ROUND(H333*F333,6)</f>
        <v>0.14019999999999999</v>
      </c>
      <c r="J333" s="1764">
        <v>15</v>
      </c>
      <c r="K333" s="1756">
        <v>100</v>
      </c>
      <c r="L333" s="1827" t="s">
        <v>306</v>
      </c>
      <c r="V333" s="61" t="str">
        <f>F332</f>
        <v>kWh Annual Savings (per ton)</v>
      </c>
      <c r="W333" s="71">
        <v>153.95313964386136</v>
      </c>
      <c r="X333" s="71">
        <v>153.95313964386136</v>
      </c>
      <c r="Y333" s="71">
        <v>153.95313964386136</v>
      </c>
      <c r="Z333" s="64"/>
      <c r="AA333" s="64"/>
      <c r="AB333" s="64"/>
      <c r="AC333" s="64"/>
      <c r="AD333" s="64"/>
      <c r="AE333" s="64"/>
      <c r="AF333" s="64"/>
      <c r="AG333" s="64"/>
      <c r="AH333" s="65"/>
      <c r="AI333" s="61" t="s">
        <v>24</v>
      </c>
      <c r="AJ333" s="66">
        <v>15</v>
      </c>
      <c r="AK333" s="66">
        <v>15</v>
      </c>
      <c r="AL333" s="66">
        <v>15</v>
      </c>
      <c r="AM333" s="64"/>
      <c r="AN333" s="64"/>
      <c r="AO333" s="64"/>
      <c r="AP333" s="64"/>
      <c r="AQ333" s="64"/>
      <c r="AR333" s="64"/>
      <c r="AS333" s="64"/>
      <c r="AT333" s="29"/>
      <c r="AU333" s="61" t="s">
        <v>25</v>
      </c>
      <c r="AV333" s="67">
        <v>100</v>
      </c>
      <c r="AW333" s="67">
        <v>100</v>
      </c>
      <c r="AX333" s="67">
        <v>100</v>
      </c>
      <c r="AY333" s="64"/>
      <c r="AZ333" s="64"/>
      <c r="BA333" s="64"/>
      <c r="BB333" s="64"/>
      <c r="BC333" s="64"/>
      <c r="BD333" s="64"/>
      <c r="BE333" s="64"/>
      <c r="DB333" s="68">
        <f t="shared" ref="DB333:DB337" si="59">(DD333)/(DE333)</f>
        <v>2.3252219649813348</v>
      </c>
      <c r="DC333" s="69" t="str">
        <f>CONCATENATE(G333," ",J333," Year EUL")</f>
        <v>Cooling BUS 15 Year EUL</v>
      </c>
      <c r="DD333" s="105">
        <f>(INDEX('Avoided Cost Benefits'!$C$4:$C$857,MATCH(DC333,'Avoided Cost Benefits'!$A$4:$A$857,0)))*F333</f>
        <v>219.46408352820524</v>
      </c>
      <c r="DE333" s="70">
        <f>K333/(1.0595^(2020-2019))</f>
        <v>94.384143463898056</v>
      </c>
    </row>
    <row r="334" spans="2:109" x14ac:dyDescent="0.25">
      <c r="C334" s="1727" t="s">
        <v>307</v>
      </c>
      <c r="D334" s="1815" t="s">
        <v>34</v>
      </c>
      <c r="E334" s="1767" t="s">
        <v>308</v>
      </c>
      <c r="F334" s="210">
        <f t="shared" ref="F334:F336" si="60">ROUND(F348*((1/G348)-(1/H348))*K348,2)</f>
        <v>66.510000000000005</v>
      </c>
      <c r="G334" s="1730" t="s">
        <v>263</v>
      </c>
      <c r="H334" s="1731">
        <f>VLOOKUP(G334,'CP FACTORS'!$A$26:$B$38,2,FALSE)</f>
        <v>9.1068400000000004E-4</v>
      </c>
      <c r="I334" s="1755">
        <f t="shared" si="58"/>
        <v>6.0569999999999999E-2</v>
      </c>
      <c r="J334" s="1765">
        <v>15</v>
      </c>
      <c r="K334" s="1756">
        <v>100</v>
      </c>
      <c r="L334" s="1827" t="s">
        <v>306</v>
      </c>
      <c r="V334" s="61" t="str">
        <f>V333</f>
        <v>kWh Annual Savings (per ton)</v>
      </c>
      <c r="W334" s="71">
        <v>66.505263157894589</v>
      </c>
      <c r="X334" s="71">
        <v>66.505263157894589</v>
      </c>
      <c r="Y334" s="71">
        <v>66.505263157894589</v>
      </c>
      <c r="Z334" s="64"/>
      <c r="AA334" s="64"/>
      <c r="AB334" s="64"/>
      <c r="AC334" s="64"/>
      <c r="AD334" s="64"/>
      <c r="AE334" s="64"/>
      <c r="AF334" s="64"/>
      <c r="AG334" s="64"/>
      <c r="AH334" s="65"/>
      <c r="AI334" s="61" t="s">
        <v>24</v>
      </c>
      <c r="AJ334" s="66">
        <v>15</v>
      </c>
      <c r="AK334" s="66">
        <v>15</v>
      </c>
      <c r="AL334" s="66">
        <v>15</v>
      </c>
      <c r="AM334" s="64"/>
      <c r="AN334" s="64"/>
      <c r="AO334" s="64"/>
      <c r="AP334" s="64"/>
      <c r="AQ334" s="64"/>
      <c r="AR334" s="64"/>
      <c r="AS334" s="64"/>
      <c r="AT334" s="29"/>
      <c r="AU334" s="61" t="s">
        <v>25</v>
      </c>
      <c r="AV334" s="67">
        <v>100</v>
      </c>
      <c r="AW334" s="67">
        <v>100</v>
      </c>
      <c r="AX334" s="67">
        <v>100</v>
      </c>
      <c r="AY334" s="64"/>
      <c r="AZ334" s="64"/>
      <c r="BA334" s="64"/>
      <c r="BB334" s="64"/>
      <c r="BC334" s="64"/>
      <c r="BD334" s="64"/>
      <c r="BE334" s="64"/>
      <c r="DB334" s="72">
        <f t="shared" si="59"/>
        <v>1.0045502623638103</v>
      </c>
      <c r="DC334" s="73" t="str">
        <f>CONCATENATE(G334," ",J334," Year EUL")</f>
        <v>Cooling BUS 15 Year EUL</v>
      </c>
      <c r="DD334" s="106">
        <f>(INDEX('Avoided Cost Benefits'!$C$4:$C$857,MATCH(DC334,'Avoided Cost Benefits'!$A$4:$A$857,0)))*F334</f>
        <v>94.813616079642301</v>
      </c>
      <c r="DE334" s="74">
        <f>K334/(1.0595^(2020-2019))</f>
        <v>94.384143463898056</v>
      </c>
    </row>
    <row r="335" spans="2:109" x14ac:dyDescent="0.25">
      <c r="C335" s="1727" t="s">
        <v>309</v>
      </c>
      <c r="D335" s="1815" t="s">
        <v>34</v>
      </c>
      <c r="E335" s="1767" t="s">
        <v>310</v>
      </c>
      <c r="F335" s="210">
        <f t="shared" si="60"/>
        <v>98.58</v>
      </c>
      <c r="G335" s="1730" t="s">
        <v>263</v>
      </c>
      <c r="H335" s="1731">
        <f>VLOOKUP(G335,'CP FACTORS'!$A$26:$B$38,2,FALSE)</f>
        <v>9.1068400000000004E-4</v>
      </c>
      <c r="I335" s="1755">
        <f t="shared" si="58"/>
        <v>8.9774999999999994E-2</v>
      </c>
      <c r="J335" s="1765">
        <v>15</v>
      </c>
      <c r="K335" s="1756">
        <v>100</v>
      </c>
      <c r="L335" s="1827" t="s">
        <v>306</v>
      </c>
      <c r="M335" s="2628"/>
      <c r="N335" s="2628"/>
      <c r="O335" s="2628"/>
      <c r="P335" s="2628"/>
      <c r="V335" s="61" t="str">
        <f t="shared" ref="V335:V337" si="61">V334</f>
        <v>kWh Annual Savings (per ton)</v>
      </c>
      <c r="W335" s="71">
        <v>98.581830790568617</v>
      </c>
      <c r="X335" s="71">
        <v>98.581830790568617</v>
      </c>
      <c r="Y335" s="71">
        <v>98.581830790568617</v>
      </c>
      <c r="Z335" s="64"/>
      <c r="AA335" s="64"/>
      <c r="AB335" s="64"/>
      <c r="AC335" s="64"/>
      <c r="AD335" s="64"/>
      <c r="AE335" s="64"/>
      <c r="AF335" s="64"/>
      <c r="AG335" s="64"/>
      <c r="AH335" s="65"/>
      <c r="AI335" s="61" t="s">
        <v>24</v>
      </c>
      <c r="AJ335" s="66">
        <v>15</v>
      </c>
      <c r="AK335" s="66">
        <v>15</v>
      </c>
      <c r="AL335" s="66">
        <v>15</v>
      </c>
      <c r="AM335" s="64"/>
      <c r="AN335" s="64"/>
      <c r="AO335" s="64"/>
      <c r="AP335" s="64"/>
      <c r="AQ335" s="64"/>
      <c r="AR335" s="64"/>
      <c r="AS335" s="64"/>
      <c r="AT335" s="29"/>
      <c r="AU335" s="61" t="s">
        <v>25</v>
      </c>
      <c r="AV335" s="67">
        <v>100</v>
      </c>
      <c r="AW335" s="67">
        <v>100</v>
      </c>
      <c r="AX335" s="67">
        <v>100</v>
      </c>
      <c r="AY335" s="64"/>
      <c r="AZ335" s="64"/>
      <c r="BA335" s="64"/>
      <c r="BB335" s="64"/>
      <c r="BC335" s="64"/>
      <c r="BD335" s="64"/>
      <c r="BE335" s="64"/>
      <c r="DB335" s="72">
        <f t="shared" si="59"/>
        <v>1.4889274524706724</v>
      </c>
      <c r="DC335" s="73" t="str">
        <f>CONCATENATE(G335," ",J335," Year EUL")</f>
        <v>Cooling BUS 15 Year EUL</v>
      </c>
      <c r="DD335" s="106">
        <f>(INDEX('Avoided Cost Benefits'!$C$4:$C$857,MATCH(DC335,'Avoided Cost Benefits'!$A$4:$A$857,0)))*F335</f>
        <v>140.53114228132819</v>
      </c>
      <c r="DE335" s="74">
        <f>K335/(1.0595^(2020-2019))</f>
        <v>94.384143463898056</v>
      </c>
    </row>
    <row r="336" spans="2:109" ht="15.75" customHeight="1" x14ac:dyDescent="0.25">
      <c r="C336" s="1727" t="s">
        <v>311</v>
      </c>
      <c r="D336" s="1815" t="s">
        <v>34</v>
      </c>
      <c r="E336" s="1767" t="s">
        <v>312</v>
      </c>
      <c r="F336" s="210">
        <f t="shared" si="60"/>
        <v>70.8</v>
      </c>
      <c r="G336" s="1730" t="s">
        <v>263</v>
      </c>
      <c r="H336" s="1731">
        <f>VLOOKUP(G336,'CP FACTORS'!$A$26:$B$38,2,FALSE)</f>
        <v>9.1068400000000004E-4</v>
      </c>
      <c r="I336" s="1755">
        <f t="shared" si="58"/>
        <v>6.4476000000000006E-2</v>
      </c>
      <c r="J336" s="1765">
        <v>15</v>
      </c>
      <c r="K336" s="1756">
        <v>100</v>
      </c>
      <c r="L336" s="1827" t="s">
        <v>306</v>
      </c>
      <c r="M336" s="2628"/>
      <c r="N336" s="2628"/>
      <c r="O336" s="2628"/>
      <c r="P336" s="2628"/>
      <c r="V336" s="61" t="str">
        <f t="shared" si="61"/>
        <v>kWh Annual Savings (per ton)</v>
      </c>
      <c r="W336" s="71">
        <v>70.797848498431222</v>
      </c>
      <c r="X336" s="71">
        <v>70.797848498431222</v>
      </c>
      <c r="Y336" s="71">
        <v>70.797848498431222</v>
      </c>
      <c r="Z336" s="64"/>
      <c r="AA336" s="64"/>
      <c r="AB336" s="64"/>
      <c r="AC336" s="64"/>
      <c r="AD336" s="64"/>
      <c r="AE336" s="64"/>
      <c r="AF336" s="64"/>
      <c r="AG336" s="64"/>
      <c r="AH336" s="65"/>
      <c r="AI336" s="61" t="s">
        <v>24</v>
      </c>
      <c r="AJ336" s="66">
        <v>15</v>
      </c>
      <c r="AK336" s="66">
        <v>15</v>
      </c>
      <c r="AL336" s="66">
        <v>15</v>
      </c>
      <c r="AM336" s="64"/>
      <c r="AN336" s="64"/>
      <c r="AO336" s="64"/>
      <c r="AP336" s="64"/>
      <c r="AQ336" s="64"/>
      <c r="AR336" s="64"/>
      <c r="AS336" s="64"/>
      <c r="AT336" s="29"/>
      <c r="AU336" s="61" t="s">
        <v>25</v>
      </c>
      <c r="AV336" s="67">
        <v>100</v>
      </c>
      <c r="AW336" s="67">
        <v>100</v>
      </c>
      <c r="AX336" s="67">
        <v>100</v>
      </c>
      <c r="AY336" s="64"/>
      <c r="AZ336" s="64"/>
      <c r="BA336" s="64"/>
      <c r="BB336" s="64"/>
      <c r="BC336" s="64"/>
      <c r="BD336" s="64"/>
      <c r="BE336" s="64"/>
      <c r="DB336" s="72">
        <f t="shared" si="59"/>
        <v>1.0693453401797888</v>
      </c>
      <c r="DC336" s="73" t="str">
        <f>CONCATENATE(G336," ",J336," Year EUL")</f>
        <v>Cooling BUS 15 Year EUL</v>
      </c>
      <c r="DD336" s="106">
        <f>(INDEX('Avoided Cost Benefits'!$C$4:$C$857,MATCH(DC336,'Avoided Cost Benefits'!$A$4:$A$857,0)))*F336</f>
        <v>100.92924399998006</v>
      </c>
      <c r="DE336" s="74">
        <f>K336/(1.0595^(2020-2019))</f>
        <v>94.384143463898056</v>
      </c>
    </row>
    <row r="337" spans="3:109" x14ac:dyDescent="0.25">
      <c r="C337" s="1727" t="s">
        <v>313</v>
      </c>
      <c r="D337" s="1815" t="s">
        <v>34</v>
      </c>
      <c r="E337" s="1767" t="s">
        <v>314</v>
      </c>
      <c r="F337" s="210">
        <f>ROUND(F351*((1/I351)-(1/J351))*K351,2)</f>
        <v>69.430000000000007</v>
      </c>
      <c r="G337" s="1730" t="s">
        <v>263</v>
      </c>
      <c r="H337" s="1731">
        <f>VLOOKUP(G337,'CP FACTORS'!$A$26:$B$38,2,FALSE)</f>
        <v>9.1068400000000004E-4</v>
      </c>
      <c r="I337" s="1755">
        <f t="shared" si="58"/>
        <v>6.3228999999999994E-2</v>
      </c>
      <c r="J337" s="1765">
        <v>15</v>
      </c>
      <c r="K337" s="1756">
        <v>100</v>
      </c>
      <c r="L337" s="1827" t="s">
        <v>306</v>
      </c>
      <c r="M337" s="2628"/>
      <c r="N337" s="2628"/>
      <c r="O337" s="2628"/>
      <c r="P337" s="2628"/>
      <c r="V337" s="61" t="str">
        <f t="shared" si="61"/>
        <v>kWh Annual Savings (per ton)</v>
      </c>
      <c r="W337" s="71">
        <v>69.42857142857153</v>
      </c>
      <c r="X337" s="71">
        <v>69.42857142857153</v>
      </c>
      <c r="Y337" s="71">
        <v>69.42857142857153</v>
      </c>
      <c r="Z337" s="64"/>
      <c r="AA337" s="64"/>
      <c r="AB337" s="64"/>
      <c r="AC337" s="64"/>
      <c r="AD337" s="64"/>
      <c r="AE337" s="64"/>
      <c r="AF337" s="64"/>
      <c r="AG337" s="64"/>
      <c r="AH337" s="65"/>
      <c r="AI337" s="61" t="s">
        <v>24</v>
      </c>
      <c r="AJ337" s="66">
        <v>15</v>
      </c>
      <c r="AK337" s="66">
        <v>15</v>
      </c>
      <c r="AL337" s="66">
        <v>15</v>
      </c>
      <c r="AM337" s="64"/>
      <c r="AN337" s="64"/>
      <c r="AO337" s="64"/>
      <c r="AP337" s="64"/>
      <c r="AQ337" s="64"/>
      <c r="AR337" s="64"/>
      <c r="AS337" s="64"/>
      <c r="AT337" s="29"/>
      <c r="AU337" s="61" t="s">
        <v>25</v>
      </c>
      <c r="AV337" s="67">
        <v>100</v>
      </c>
      <c r="AW337" s="67">
        <v>100</v>
      </c>
      <c r="AX337" s="67">
        <v>100</v>
      </c>
      <c r="AY337" s="64"/>
      <c r="AZ337" s="64"/>
      <c r="BA337" s="64"/>
      <c r="BB337" s="64"/>
      <c r="BC337" s="64"/>
      <c r="BD337" s="64"/>
      <c r="BE337" s="64"/>
      <c r="DB337" s="75">
        <f t="shared" si="59"/>
        <v>1.0486532057723552</v>
      </c>
      <c r="DC337" s="73" t="str">
        <f>CONCATENATE(G337," ",J337," Year EUL")</f>
        <v>Cooling BUS 15 Year EUL</v>
      </c>
      <c r="DD337" s="107">
        <f>(INDEX('Avoided Cost Benefits'!$C$4:$C$857,MATCH(DC337,'Avoided Cost Benefits'!$A$4:$A$857,0)))*F337</f>
        <v>98.976234617494583</v>
      </c>
      <c r="DE337" s="76">
        <f>K337/(1.0595^(2020-2019))</f>
        <v>94.384143463898056</v>
      </c>
    </row>
    <row r="338" spans="3:109" hidden="1" outlineLevel="1" x14ac:dyDescent="0.25">
      <c r="E338" s="1719"/>
      <c r="F338" s="1719"/>
      <c r="G338" s="1719"/>
      <c r="H338" s="1741"/>
      <c r="I338" s="1719"/>
      <c r="J338" s="1719"/>
      <c r="K338" s="1719"/>
      <c r="M338" s="2628"/>
      <c r="N338" s="2628"/>
      <c r="O338" s="2628"/>
      <c r="P338" s="2628"/>
    </row>
    <row r="339" spans="3:109" hidden="1" outlineLevel="1" x14ac:dyDescent="0.25">
      <c r="D339" s="1719" t="s">
        <v>76</v>
      </c>
      <c r="E339" s="233"/>
      <c r="F339" s="1719"/>
      <c r="G339" s="1719"/>
      <c r="H339" s="1741"/>
      <c r="I339" s="1719"/>
      <c r="J339" s="1719"/>
      <c r="K339" s="233"/>
      <c r="M339" s="2628"/>
      <c r="N339" s="2628"/>
      <c r="O339" s="2628"/>
      <c r="P339" s="2628"/>
    </row>
    <row r="340" spans="3:109" hidden="1" outlineLevel="1" x14ac:dyDescent="0.25">
      <c r="D340" s="1742" t="s">
        <v>315</v>
      </c>
      <c r="E340" s="233"/>
      <c r="F340" s="1800" t="s">
        <v>3347</v>
      </c>
      <c r="G340" s="1771"/>
      <c r="H340" s="1772"/>
    </row>
    <row r="341" spans="3:109" hidden="1" outlineLevel="1" x14ac:dyDescent="0.25">
      <c r="D341" s="1742"/>
      <c r="G341" s="1771"/>
      <c r="H341" s="1772"/>
    </row>
    <row r="342" spans="3:109" hidden="1" outlineLevel="1" x14ac:dyDescent="0.25">
      <c r="D342" s="1742"/>
      <c r="G342" s="1716"/>
      <c r="H342" s="1743"/>
      <c r="M342" s="1719"/>
    </row>
    <row r="343" spans="3:109" hidden="1" outlineLevel="1" x14ac:dyDescent="0.25">
      <c r="D343" s="1742"/>
      <c r="G343" s="1716"/>
      <c r="H343" s="1743"/>
      <c r="M343" s="1719"/>
    </row>
    <row r="344" spans="3:109" hidden="1" outlineLevel="1" x14ac:dyDescent="0.25">
      <c r="D344" s="1742"/>
      <c r="G344" s="1716"/>
      <c r="H344" s="1743"/>
      <c r="M344" s="1719"/>
    </row>
    <row r="345" spans="3:109" hidden="1" outlineLevel="1" x14ac:dyDescent="0.25">
      <c r="D345" s="1742"/>
      <c r="G345" s="1716"/>
      <c r="H345" s="1743"/>
    </row>
    <row r="346" spans="3:109" s="78" customFormat="1" ht="30" hidden="1" outlineLevel="1" x14ac:dyDescent="0.2">
      <c r="C346" s="553"/>
      <c r="D346" s="1638" t="s">
        <v>17</v>
      </c>
      <c r="E346" s="1638" t="s">
        <v>136</v>
      </c>
      <c r="F346" s="123" t="s">
        <v>316</v>
      </c>
      <c r="G346" s="1638" t="s">
        <v>317</v>
      </c>
      <c r="H346" s="1638" t="s">
        <v>318</v>
      </c>
      <c r="I346" s="1638" t="s">
        <v>319</v>
      </c>
      <c r="J346" s="1632" t="s">
        <v>320</v>
      </c>
      <c r="K346" s="1678" t="s">
        <v>321</v>
      </c>
      <c r="L346" s="553"/>
      <c r="M346" s="553"/>
      <c r="N346" s="553"/>
      <c r="O346" s="553"/>
      <c r="P346" s="553"/>
      <c r="Q346" s="553"/>
      <c r="R346" s="553"/>
      <c r="S346" s="553"/>
      <c r="T346" s="553"/>
      <c r="U346" s="553"/>
      <c r="DB346" s="108"/>
    </row>
    <row r="347" spans="3:109" hidden="1" outlineLevel="1" x14ac:dyDescent="0.25">
      <c r="D347" s="1747" t="str">
        <f>C333</f>
        <v>803250_2019_12_</v>
      </c>
      <c r="E347" s="1747" t="str">
        <f>E333</f>
        <v>Single Packag or Split Sytem Unitary AC_DX 135 - 240kbtu</v>
      </c>
      <c r="F347" s="1786">
        <v>12</v>
      </c>
      <c r="G347" s="1812">
        <v>9.6999999999999993</v>
      </c>
      <c r="H347" s="1812">
        <v>11</v>
      </c>
      <c r="I347" s="1812"/>
      <c r="J347" s="1812"/>
      <c r="K347" s="1792">
        <v>1053</v>
      </c>
    </row>
    <row r="348" spans="3:109" hidden="1" outlineLevel="1" x14ac:dyDescent="0.25">
      <c r="D348" s="1747" t="str">
        <f t="shared" ref="D348:D351" si="62">C334</f>
        <v>803300_2019_12_</v>
      </c>
      <c r="E348" s="1747" t="str">
        <f>E334</f>
        <v>Single Packag or Split Sytem Unitary AC_DX 240 - 760kbtu</v>
      </c>
      <c r="F348" s="1786">
        <v>12</v>
      </c>
      <c r="G348" s="1812">
        <v>9.5</v>
      </c>
      <c r="H348" s="1812">
        <v>10</v>
      </c>
      <c r="I348" s="1812"/>
      <c r="J348" s="1812"/>
      <c r="K348" s="1792">
        <v>1053</v>
      </c>
    </row>
    <row r="349" spans="3:109" hidden="1" outlineLevel="1" x14ac:dyDescent="0.25">
      <c r="D349" s="1747" t="str">
        <f t="shared" si="62"/>
        <v>803350_2019_12_</v>
      </c>
      <c r="E349" s="1747" t="str">
        <f>E335</f>
        <v>Single Packag or Split Sytem Unitary AC_DX 65 -135kbtu</v>
      </c>
      <c r="F349" s="1786">
        <v>12</v>
      </c>
      <c r="G349" s="1812">
        <v>10.3</v>
      </c>
      <c r="H349" s="1812">
        <v>11.2</v>
      </c>
      <c r="I349" s="1812"/>
      <c r="J349" s="1812"/>
      <c r="K349" s="1792">
        <v>1053</v>
      </c>
    </row>
    <row r="350" spans="3:109" hidden="1" outlineLevel="1" x14ac:dyDescent="0.25">
      <c r="D350" s="1747" t="str">
        <f t="shared" si="62"/>
        <v>803400_2019_12_</v>
      </c>
      <c r="E350" s="1747" t="str">
        <f>E336</f>
        <v>Single Packag or Split Sytem Unitary AC_DX &gt;760kbtu</v>
      </c>
      <c r="F350" s="1786">
        <v>12</v>
      </c>
      <c r="G350" s="1812">
        <v>9.1999999999999993</v>
      </c>
      <c r="H350" s="1812">
        <v>9.6999999999999993</v>
      </c>
      <c r="I350" s="1812"/>
      <c r="J350" s="1812"/>
      <c r="K350" s="1792">
        <v>1053</v>
      </c>
    </row>
    <row r="351" spans="3:109" hidden="1" outlineLevel="1" x14ac:dyDescent="0.25">
      <c r="D351" s="1747" t="str">
        <f t="shared" si="62"/>
        <v>803450_2019_12_</v>
      </c>
      <c r="E351" s="1747" t="str">
        <f>E337</f>
        <v>Single Packag or Split Sytem Unitary AC_DX &lt;65kbtu</v>
      </c>
      <c r="F351" s="1786">
        <v>12</v>
      </c>
      <c r="G351" s="1812"/>
      <c r="H351" s="1812"/>
      <c r="I351" s="1812">
        <v>13</v>
      </c>
      <c r="J351" s="1812">
        <v>14</v>
      </c>
      <c r="K351" s="1792">
        <v>1053</v>
      </c>
    </row>
    <row r="352" spans="3:109" collapsed="1" x14ac:dyDescent="0.25"/>
    <row r="354" spans="2:109" s="50" customFormat="1" ht="30" x14ac:dyDescent="0.25">
      <c r="B354" s="128"/>
      <c r="C354" s="52" t="s">
        <v>17</v>
      </c>
      <c r="D354" s="52" t="s">
        <v>18</v>
      </c>
      <c r="E354" s="1678" t="s">
        <v>19</v>
      </c>
      <c r="F354" s="1678" t="s">
        <v>322</v>
      </c>
      <c r="G354" s="1678" t="s">
        <v>259</v>
      </c>
      <c r="H354" s="1678" t="s">
        <v>260</v>
      </c>
      <c r="I354" s="1678" t="s">
        <v>21</v>
      </c>
      <c r="J354" s="1678" t="s">
        <v>21</v>
      </c>
      <c r="K354" s="53" t="s">
        <v>22</v>
      </c>
      <c r="L354" s="1678" t="s">
        <v>23</v>
      </c>
      <c r="M354" s="1678" t="s">
        <v>24</v>
      </c>
      <c r="N354" s="52" t="s">
        <v>323</v>
      </c>
      <c r="O354" s="52" t="s">
        <v>26</v>
      </c>
      <c r="P354" s="1838"/>
      <c r="Q354" s="1839"/>
      <c r="R354" s="1726"/>
      <c r="S354" s="1726"/>
      <c r="T354" s="1726"/>
      <c r="U354" s="1726"/>
      <c r="V354" s="55" t="s">
        <v>27</v>
      </c>
      <c r="W354" s="56">
        <f>$W$8</f>
        <v>43252</v>
      </c>
      <c r="X354" s="56">
        <f>$X$8</f>
        <v>43465</v>
      </c>
      <c r="Y354" s="56">
        <f>$Y$8</f>
        <v>43800</v>
      </c>
      <c r="Z354" s="56" t="str">
        <f>$Z$8</f>
        <v>-</v>
      </c>
      <c r="AA354" s="56" t="str">
        <f>$AA$8</f>
        <v>-</v>
      </c>
      <c r="AB354" s="56" t="str">
        <f>$AB$8</f>
        <v>-</v>
      </c>
      <c r="AC354" s="56" t="str">
        <f>$AC$8</f>
        <v>-</v>
      </c>
      <c r="AD354" s="56" t="str">
        <f>$AD$8</f>
        <v>-</v>
      </c>
      <c r="AE354" s="56" t="str">
        <f>$AE$8</f>
        <v>-</v>
      </c>
      <c r="AF354" s="56" t="str">
        <f>$AF$8</f>
        <v>-</v>
      </c>
      <c r="AG354" s="56" t="str">
        <f>$AG$8</f>
        <v>-</v>
      </c>
      <c r="AH354"/>
      <c r="AI354" s="55" t="s">
        <v>27</v>
      </c>
      <c r="AJ354" s="56">
        <v>43252</v>
      </c>
      <c r="AK354" s="56">
        <f>$X$8</f>
        <v>43465</v>
      </c>
      <c r="AL354" s="56">
        <f>$Y$8</f>
        <v>43800</v>
      </c>
      <c r="AM354" s="56" t="str">
        <f>$Z$8</f>
        <v>-</v>
      </c>
      <c r="AN354" s="56" t="str">
        <f>$AA$8</f>
        <v>-</v>
      </c>
      <c r="AO354" s="56" t="str">
        <f>$AB$8</f>
        <v>-</v>
      </c>
      <c r="AP354" s="56" t="str">
        <f>$AC$8</f>
        <v>-</v>
      </c>
      <c r="AQ354" s="56" t="str">
        <f>$AD$8</f>
        <v>-</v>
      </c>
      <c r="AR354" s="56" t="str">
        <f>$AE$8</f>
        <v>-</v>
      </c>
      <c r="AS354" s="56" t="str">
        <f>$AF$8</f>
        <v>-</v>
      </c>
      <c r="AT354"/>
      <c r="AU354" s="55" t="s">
        <v>27</v>
      </c>
      <c r="AV354" s="56">
        <v>43252</v>
      </c>
      <c r="AW354" s="56">
        <f>$X$8</f>
        <v>43465</v>
      </c>
      <c r="AX354" s="56">
        <f>$Y$8</f>
        <v>43800</v>
      </c>
      <c r="AY354" s="56" t="str">
        <f>$Z$8</f>
        <v>-</v>
      </c>
      <c r="AZ354" s="56" t="str">
        <f>$AA$8</f>
        <v>-</v>
      </c>
      <c r="BA354" s="56" t="str">
        <f>$AB$8</f>
        <v>-</v>
      </c>
      <c r="BB354" s="56" t="str">
        <f>$AC$8</f>
        <v>-</v>
      </c>
      <c r="BC354" s="56" t="str">
        <f>$AD$8</f>
        <v>-</v>
      </c>
      <c r="BD354" s="56" t="str">
        <f>$AE$8</f>
        <v>-</v>
      </c>
      <c r="BE354" s="56" t="str">
        <f>$AF$8</f>
        <v>-</v>
      </c>
      <c r="BF354"/>
      <c r="BG354" s="55" t="s">
        <v>27</v>
      </c>
      <c r="BH354" s="56">
        <v>43252</v>
      </c>
      <c r="BI354" s="56">
        <f>$X$8</f>
        <v>43465</v>
      </c>
      <c r="BJ354" s="56">
        <f>$Y$8</f>
        <v>43800</v>
      </c>
      <c r="BK354" s="56" t="str">
        <f>$Z$8</f>
        <v>-</v>
      </c>
      <c r="BL354" s="56" t="str">
        <f>$AA$8</f>
        <v>-</v>
      </c>
      <c r="BM354" s="56" t="str">
        <f>$AB$8</f>
        <v>-</v>
      </c>
      <c r="BN354" s="56" t="str">
        <f>$AC$8</f>
        <v>-</v>
      </c>
      <c r="BO354" s="56" t="str">
        <f>$AD$8</f>
        <v>-</v>
      </c>
      <c r="BP354" s="56" t="str">
        <f>$AE$8</f>
        <v>-</v>
      </c>
      <c r="BQ354" s="56" t="str">
        <f>$AF$8</f>
        <v>-</v>
      </c>
      <c r="BR354" s="29"/>
      <c r="BS354" s="55" t="s">
        <v>27</v>
      </c>
      <c r="BT354" s="56">
        <v>43252</v>
      </c>
      <c r="BU354" s="56">
        <f>$X$8</f>
        <v>43465</v>
      </c>
      <c r="BV354" s="56">
        <f>$Y$8</f>
        <v>43800</v>
      </c>
      <c r="BW354" s="56" t="str">
        <f>$Z$8</f>
        <v>-</v>
      </c>
      <c r="BX354" s="56" t="str">
        <f>$AA$8</f>
        <v>-</v>
      </c>
      <c r="BY354" s="56" t="str">
        <f>$AB$8</f>
        <v>-</v>
      </c>
      <c r="BZ354" s="56" t="str">
        <f>$AC$8</f>
        <v>-</v>
      </c>
      <c r="CA354" s="56" t="str">
        <f>$AD$8</f>
        <v>-</v>
      </c>
      <c r="CB354" s="56" t="str">
        <f>$AE$8</f>
        <v>-</v>
      </c>
      <c r="CC354" s="56" t="str">
        <f>$AF$8</f>
        <v>-</v>
      </c>
      <c r="DB354" s="57" t="str">
        <f>$DB$8</f>
        <v>TRC (2020)</v>
      </c>
      <c r="DC354" s="103" t="str">
        <f>$DC$8</f>
        <v>Benefit Lookup</v>
      </c>
      <c r="DD354" s="103" t="str">
        <f>$DD$8</f>
        <v>Benefits (2019 $)</v>
      </c>
      <c r="DE354" s="103" t="str">
        <f>$DE$8</f>
        <v>Incremental Cost (2019 $)</v>
      </c>
    </row>
    <row r="355" spans="2:109" x14ac:dyDescent="0.25">
      <c r="B355" s="77"/>
      <c r="C355" s="1727" t="s">
        <v>324</v>
      </c>
      <c r="D355" s="1815" t="s">
        <v>34</v>
      </c>
      <c r="E355" s="1754" t="s">
        <v>325</v>
      </c>
      <c r="F355" s="210">
        <f>ROUND(F370*((1/G370)-(1/H370))*K370,2)</f>
        <v>36.71</v>
      </c>
      <c r="G355" s="93">
        <f>(P370/3.412*((1/L370)-(1/M370))*Q370)</f>
        <v>27.988128808762067</v>
      </c>
      <c r="H355" s="93">
        <f t="shared" ref="H355:H360" si="63">SUM(F355:G355)</f>
        <v>64.698128808762064</v>
      </c>
      <c r="I355" s="1730" t="s">
        <v>263</v>
      </c>
      <c r="J355" s="1730" t="s">
        <v>264</v>
      </c>
      <c r="K355" s="1731">
        <v>9.1068395835808389E-4</v>
      </c>
      <c r="L355" s="1822">
        <f t="shared" ref="L355:L360" si="64">ROUND(K355*F355,6)</f>
        <v>3.3431000000000002E-2</v>
      </c>
      <c r="M355" s="452">
        <v>15</v>
      </c>
      <c r="N355" s="1756">
        <v>180</v>
      </c>
      <c r="O355" s="1827" t="s">
        <v>306</v>
      </c>
      <c r="P355" s="1838"/>
      <c r="Q355" s="1838"/>
      <c r="V355" s="61" t="str">
        <f>F354</f>
        <v>Cooling kWh Annual Savings (per ton)</v>
      </c>
      <c r="W355" s="71">
        <v>36.705882352941231</v>
      </c>
      <c r="X355" s="71">
        <v>36.705882352941231</v>
      </c>
      <c r="Y355" s="64">
        <v>36.705882352941231</v>
      </c>
      <c r="Z355" s="64"/>
      <c r="AA355" s="64"/>
      <c r="AB355" s="64"/>
      <c r="AC355" s="64"/>
      <c r="AD355" s="64"/>
      <c r="AE355" s="64"/>
      <c r="AF355" s="64"/>
      <c r="AG355" s="64"/>
      <c r="AH355" s="65"/>
      <c r="AI355" s="61" t="str">
        <f>G354</f>
        <v>Heating kWh Annual Savings (per ton)</v>
      </c>
      <c r="AJ355" s="71">
        <v>27.988128808762067</v>
      </c>
      <c r="AK355" s="71">
        <v>27.988128808762067</v>
      </c>
      <c r="AL355" s="71">
        <v>27.988128808762067</v>
      </c>
      <c r="AM355" s="64"/>
      <c r="AN355" s="64"/>
      <c r="AO355" s="64"/>
      <c r="AP355" s="64"/>
      <c r="AQ355" s="64"/>
      <c r="AR355" s="64"/>
      <c r="AS355" s="64"/>
      <c r="AT355" s="65"/>
      <c r="AU355" s="61" t="str">
        <f>H354</f>
        <v>Total kWh Annual Savings</v>
      </c>
      <c r="AV355" s="71">
        <v>64.694011161703301</v>
      </c>
      <c r="AW355" s="71">
        <v>64.694011161703301</v>
      </c>
      <c r="AX355" s="64">
        <v>64.694011161703301</v>
      </c>
      <c r="AY355" s="64"/>
      <c r="AZ355" s="64"/>
      <c r="BA355" s="64"/>
      <c r="BB355" s="64"/>
      <c r="BC355" s="64"/>
      <c r="BD355" s="64"/>
      <c r="BE355" s="64"/>
      <c r="BF355" s="65"/>
      <c r="BG355" s="61" t="s">
        <v>24</v>
      </c>
      <c r="BH355" s="66">
        <v>15</v>
      </c>
      <c r="BI355" s="66">
        <v>15</v>
      </c>
      <c r="BJ355" s="64"/>
      <c r="BK355" s="64"/>
      <c r="BL355" s="64"/>
      <c r="BM355" s="64"/>
      <c r="BN355" s="64"/>
      <c r="BO355" s="64"/>
      <c r="BP355" s="64"/>
      <c r="BQ355" s="64"/>
      <c r="BR355" s="29"/>
      <c r="BS355" s="61" t="str">
        <f>N354</f>
        <v>Inc. Cost (per ton)</v>
      </c>
      <c r="BT355" s="67">
        <v>180</v>
      </c>
      <c r="BU355" s="67">
        <v>180</v>
      </c>
      <c r="BV355" s="64"/>
      <c r="BW355" s="64"/>
      <c r="BX355" s="64"/>
      <c r="BY355" s="64"/>
      <c r="BZ355" s="64"/>
      <c r="CA355" s="64"/>
      <c r="CB355" s="64"/>
      <c r="CC355" s="64"/>
      <c r="DB355" s="68">
        <f t="shared" ref="DB355:DB360" si="65">(DD355)/(DE355)</f>
        <v>0.30803254424042725</v>
      </c>
      <c r="DC355" s="69" t="str">
        <f t="shared" ref="DC355:DC360" si="66">CONCATENATE(I355," ",M355," Year EUL")</f>
        <v>Cooling BUS 15 Year EUL</v>
      </c>
      <c r="DD355" s="105">
        <f>(INDEX('Avoided Cost Benefits'!$C$4:$C$857,MATCH(DC355,'Avoided Cost Benefits'!$A$4:$A$857,0)))*F355</f>
        <v>52.332098124848422</v>
      </c>
      <c r="DE355" s="70">
        <f t="shared" ref="DE355:DE360" si="67">N355/(1.0595^(2020-2019))</f>
        <v>169.8914582350165</v>
      </c>
    </row>
    <row r="356" spans="2:109" x14ac:dyDescent="0.25">
      <c r="B356" s="77"/>
      <c r="C356" s="1727" t="s">
        <v>326</v>
      </c>
      <c r="D356" s="1815" t="s">
        <v>34</v>
      </c>
      <c r="E356" s="1767" t="s">
        <v>327</v>
      </c>
      <c r="F356" s="210">
        <f t="shared" ref="F356:F359" si="68">ROUND(F371*((1/G371)-(1/H371))*K371,2)</f>
        <v>114.95</v>
      </c>
      <c r="G356" s="93">
        <f>(P371/3.412*((1/L371)-(1/M371))*Q371)</f>
        <v>27.988128808762067</v>
      </c>
      <c r="H356" s="93">
        <f t="shared" si="63"/>
        <v>142.93812880876206</v>
      </c>
      <c r="I356" s="1730" t="s">
        <v>263</v>
      </c>
      <c r="J356" s="1730" t="s">
        <v>264</v>
      </c>
      <c r="K356" s="1731">
        <v>9.1068395835808389E-4</v>
      </c>
      <c r="L356" s="1822">
        <f t="shared" si="64"/>
        <v>0.104683</v>
      </c>
      <c r="M356" s="1765">
        <v>15</v>
      </c>
      <c r="N356" s="1756">
        <v>180</v>
      </c>
      <c r="O356" s="1827" t="s">
        <v>306</v>
      </c>
      <c r="P356" s="1838"/>
      <c r="Q356" s="1838"/>
      <c r="V356" s="61" t="str">
        <f>V355</f>
        <v>Cooling kWh Annual Savings (per ton)</v>
      </c>
      <c r="W356" s="71">
        <v>114.94736842105272</v>
      </c>
      <c r="X356" s="71">
        <v>114.94736842105272</v>
      </c>
      <c r="Y356" s="64">
        <v>114.94736842105272</v>
      </c>
      <c r="Z356" s="64"/>
      <c r="AA356" s="64"/>
      <c r="AB356" s="64"/>
      <c r="AC356" s="64"/>
      <c r="AD356" s="64"/>
      <c r="AE356" s="64"/>
      <c r="AF356" s="64"/>
      <c r="AG356" s="64"/>
      <c r="AH356" s="65"/>
      <c r="AI356" s="61" t="str">
        <f>AI355</f>
        <v>Heating kWh Annual Savings (per ton)</v>
      </c>
      <c r="AJ356" s="71">
        <v>27.988128808762067</v>
      </c>
      <c r="AK356" s="71">
        <v>27.988128808762067</v>
      </c>
      <c r="AL356" s="71">
        <v>27.988128808762067</v>
      </c>
      <c r="AM356" s="64"/>
      <c r="AN356" s="64"/>
      <c r="AO356" s="64"/>
      <c r="AP356" s="64"/>
      <c r="AQ356" s="64"/>
      <c r="AR356" s="64"/>
      <c r="AS356" s="64"/>
      <c r="AT356" s="65"/>
      <c r="AU356" s="61" t="str">
        <f>AU355</f>
        <v>Total kWh Annual Savings</v>
      </c>
      <c r="AV356" s="71">
        <v>142.93549722981479</v>
      </c>
      <c r="AW356" s="71">
        <v>142.93549722981479</v>
      </c>
      <c r="AX356" s="64">
        <v>142.93549722981479</v>
      </c>
      <c r="AY356" s="64"/>
      <c r="AZ356" s="64"/>
      <c r="BA356" s="64"/>
      <c r="BB356" s="64"/>
      <c r="BC356" s="64"/>
      <c r="BD356" s="64"/>
      <c r="BE356" s="64"/>
      <c r="BF356" s="65"/>
      <c r="BG356" s="61" t="s">
        <v>24</v>
      </c>
      <c r="BH356" s="66">
        <v>15</v>
      </c>
      <c r="BI356" s="66">
        <v>15</v>
      </c>
      <c r="BJ356" s="64"/>
      <c r="BK356" s="64"/>
      <c r="BL356" s="64"/>
      <c r="BM356" s="64"/>
      <c r="BN356" s="64"/>
      <c r="BO356" s="64"/>
      <c r="BP356" s="64"/>
      <c r="BQ356" s="64"/>
      <c r="BR356" s="29"/>
      <c r="BS356" s="61" t="str">
        <f>BS355</f>
        <v>Inc. Cost (per ton)</v>
      </c>
      <c r="BT356" s="67">
        <v>180</v>
      </c>
      <c r="BU356" s="67">
        <v>180</v>
      </c>
      <c r="BV356" s="64"/>
      <c r="BW356" s="64"/>
      <c r="BX356" s="64"/>
      <c r="BY356" s="64"/>
      <c r="BZ356" s="64"/>
      <c r="CA356" s="64"/>
      <c r="CB356" s="64"/>
      <c r="CC356" s="64"/>
      <c r="DB356" s="72">
        <f t="shared" si="65"/>
        <v>0.96454211278771762</v>
      </c>
      <c r="DC356" s="73" t="str">
        <f t="shared" si="66"/>
        <v>Cooling BUS 15 Year EUL</v>
      </c>
      <c r="DD356" s="106">
        <f>(INDEX('Avoided Cost Benefits'!$C$4:$C$857,MATCH(DC356,'Avoided Cost Benefits'!$A$4:$A$857,0)))*F356</f>
        <v>163.8674660705891</v>
      </c>
      <c r="DE356" s="74">
        <f t="shared" si="67"/>
        <v>169.8914582350165</v>
      </c>
    </row>
    <row r="357" spans="2:109" x14ac:dyDescent="0.25">
      <c r="B357" s="77"/>
      <c r="C357" s="1727" t="s">
        <v>328</v>
      </c>
      <c r="D357" s="1815" t="s">
        <v>34</v>
      </c>
      <c r="E357" s="1767" t="s">
        <v>329</v>
      </c>
      <c r="F357" s="210">
        <f t="shared" si="68"/>
        <v>95.73</v>
      </c>
      <c r="G357" s="93">
        <f>(P372/3.412*((1/L372)-(1/M372))*Q372)</f>
        <v>64.554437356313187</v>
      </c>
      <c r="H357" s="93">
        <f t="shared" si="63"/>
        <v>160.28443735631319</v>
      </c>
      <c r="I357" s="1730" t="s">
        <v>263</v>
      </c>
      <c r="J357" s="1730" t="s">
        <v>264</v>
      </c>
      <c r="K357" s="1731">
        <v>9.1068395835808389E-4</v>
      </c>
      <c r="L357" s="1822">
        <f t="shared" si="64"/>
        <v>8.7179999999999994E-2</v>
      </c>
      <c r="M357" s="1765">
        <v>15</v>
      </c>
      <c r="N357" s="1756">
        <v>100</v>
      </c>
      <c r="O357" s="1827" t="s">
        <v>306</v>
      </c>
      <c r="P357" s="1838"/>
      <c r="Q357" s="1838"/>
      <c r="V357" s="61" t="str">
        <f t="shared" ref="V357:V360" si="69">V356</f>
        <v>Cooling kWh Annual Savings (per ton)</v>
      </c>
      <c r="W357" s="71">
        <v>95.727272727272819</v>
      </c>
      <c r="X357" s="71">
        <v>95.727272727272819</v>
      </c>
      <c r="Y357" s="64">
        <v>95.727272727272819</v>
      </c>
      <c r="Z357" s="64"/>
      <c r="AA357" s="64"/>
      <c r="AB357" s="64"/>
      <c r="AC357" s="64"/>
      <c r="AD357" s="64"/>
      <c r="AE357" s="64"/>
      <c r="AF357" s="64"/>
      <c r="AG357" s="64"/>
      <c r="AH357" s="65"/>
      <c r="AI357" s="61" t="str">
        <f t="shared" ref="AI357:AI360" si="70">AI356</f>
        <v>Heating kWh Annual Savings (per ton)</v>
      </c>
      <c r="AJ357" s="71">
        <v>64.554437356313187</v>
      </c>
      <c r="AK357" s="71">
        <v>64.554437356313187</v>
      </c>
      <c r="AL357" s="71">
        <v>64.554437356313187</v>
      </c>
      <c r="AM357" s="64"/>
      <c r="AN357" s="64"/>
      <c r="AO357" s="64"/>
      <c r="AP357" s="64"/>
      <c r="AQ357" s="64"/>
      <c r="AR357" s="64"/>
      <c r="AS357" s="64"/>
      <c r="AT357" s="65"/>
      <c r="AU357" s="61" t="str">
        <f t="shared" ref="AU357:AU360" si="71">AU356</f>
        <v>Total kWh Annual Savings</v>
      </c>
      <c r="AV357" s="71">
        <v>160.28171008358601</v>
      </c>
      <c r="AW357" s="71">
        <v>160.28171008358601</v>
      </c>
      <c r="AX357" s="64">
        <v>160.28171008358601</v>
      </c>
      <c r="AY357" s="64"/>
      <c r="AZ357" s="64"/>
      <c r="BA357" s="64"/>
      <c r="BB357" s="64"/>
      <c r="BC357" s="64"/>
      <c r="BD357" s="64"/>
      <c r="BE357" s="64"/>
      <c r="BF357" s="65"/>
      <c r="BG357" s="61" t="s">
        <v>24</v>
      </c>
      <c r="BH357" s="66">
        <v>15</v>
      </c>
      <c r="BI357" s="66">
        <v>15</v>
      </c>
      <c r="BJ357" s="64"/>
      <c r="BK357" s="64"/>
      <c r="BL357" s="64"/>
      <c r="BM357" s="64"/>
      <c r="BN357" s="64"/>
      <c r="BO357" s="64"/>
      <c r="BP357" s="64"/>
      <c r="BQ357" s="64"/>
      <c r="BR357" s="29"/>
      <c r="BS357" s="61" t="str">
        <f t="shared" ref="BS357:BS360" si="72">BS356</f>
        <v>Inc. Cost (per ton)</v>
      </c>
      <c r="BT357" s="67">
        <v>100</v>
      </c>
      <c r="BU357" s="67">
        <v>100</v>
      </c>
      <c r="BV357" s="64"/>
      <c r="BW357" s="64"/>
      <c r="BX357" s="64"/>
      <c r="BY357" s="64"/>
      <c r="BZ357" s="64"/>
      <c r="CA357" s="64"/>
      <c r="CB357" s="64"/>
      <c r="CC357" s="64"/>
      <c r="DB357" s="72">
        <f t="shared" si="65"/>
        <v>1.445881771404113</v>
      </c>
      <c r="DC357" s="73" t="str">
        <f t="shared" si="66"/>
        <v>Cooling BUS 15 Year EUL</v>
      </c>
      <c r="DD357" s="106">
        <f>(INDEX('Avoided Cost Benefits'!$C$4:$C$857,MATCH(DC357,'Avoided Cost Benefits'!$A$4:$A$857,0)))*F357</f>
        <v>136.46831254404086</v>
      </c>
      <c r="DE357" s="74">
        <f t="shared" si="67"/>
        <v>94.384143463898056</v>
      </c>
    </row>
    <row r="358" spans="2:109" x14ac:dyDescent="0.25">
      <c r="B358" s="77"/>
      <c r="C358" s="1727" t="s">
        <v>330</v>
      </c>
      <c r="D358" s="1815" t="s">
        <v>34</v>
      </c>
      <c r="E358" s="1754" t="s">
        <v>331</v>
      </c>
      <c r="F358" s="210">
        <f t="shared" si="68"/>
        <v>43.35</v>
      </c>
      <c r="G358" s="93">
        <f>(P373/3.412*((1/L373)-(1/M373))*Q373)</f>
        <v>183.94829394705997</v>
      </c>
      <c r="H358" s="93">
        <f t="shared" si="63"/>
        <v>227.29829394705996</v>
      </c>
      <c r="I358" s="1730" t="s">
        <v>263</v>
      </c>
      <c r="J358" s="1730" t="s">
        <v>264</v>
      </c>
      <c r="K358" s="1731">
        <v>9.1068395835808389E-4</v>
      </c>
      <c r="L358" s="1822">
        <f t="shared" si="64"/>
        <v>3.9477999999999999E-2</v>
      </c>
      <c r="M358" s="452">
        <v>15</v>
      </c>
      <c r="N358" s="1756">
        <v>100</v>
      </c>
      <c r="O358" s="1827" t="s">
        <v>306</v>
      </c>
      <c r="P358" s="1840"/>
      <c r="Q358" s="1840"/>
      <c r="V358" s="61" t="str">
        <f t="shared" si="69"/>
        <v>Cooling kWh Annual Savings (per ton)</v>
      </c>
      <c r="W358" s="71">
        <v>43.348198970840535</v>
      </c>
      <c r="X358" s="71">
        <v>43.348198970840535</v>
      </c>
      <c r="Y358" s="64">
        <v>43.348198970840535</v>
      </c>
      <c r="Z358" s="64"/>
      <c r="AA358" s="64"/>
      <c r="AB358" s="64"/>
      <c r="AC358" s="64"/>
      <c r="AD358" s="64"/>
      <c r="AE358" s="64"/>
      <c r="AF358" s="64"/>
      <c r="AG358" s="64"/>
      <c r="AH358" s="65"/>
      <c r="AI358" s="61" t="str">
        <f t="shared" si="70"/>
        <v>Heating kWh Annual Savings (per ton)</v>
      </c>
      <c r="AJ358" s="71">
        <v>183.94829394705997</v>
      </c>
      <c r="AK358" s="71">
        <v>183.94829394705997</v>
      </c>
      <c r="AL358" s="71">
        <v>183.94829394705997</v>
      </c>
      <c r="AM358" s="64"/>
      <c r="AN358" s="64"/>
      <c r="AO358" s="64"/>
      <c r="AP358" s="64"/>
      <c r="AQ358" s="64"/>
      <c r="AR358" s="64"/>
      <c r="AS358" s="64"/>
      <c r="AT358" s="65"/>
      <c r="AU358" s="61" t="str">
        <f t="shared" si="71"/>
        <v>Total kWh Annual Savings</v>
      </c>
      <c r="AV358" s="71">
        <v>227.29649291790051</v>
      </c>
      <c r="AW358" s="71">
        <v>227.29649291790051</v>
      </c>
      <c r="AX358" s="64">
        <v>227.29649291790051</v>
      </c>
      <c r="AY358" s="64"/>
      <c r="AZ358" s="64"/>
      <c r="BA358" s="64"/>
      <c r="BB358" s="64"/>
      <c r="BC358" s="64"/>
      <c r="BD358" s="64"/>
      <c r="BE358" s="64"/>
      <c r="BF358" s="65"/>
      <c r="BG358" s="61" t="s">
        <v>24</v>
      </c>
      <c r="BH358" s="66">
        <v>15</v>
      </c>
      <c r="BI358" s="66">
        <v>15</v>
      </c>
      <c r="BJ358" s="64"/>
      <c r="BK358" s="64"/>
      <c r="BL358" s="64"/>
      <c r="BM358" s="64"/>
      <c r="BN358" s="64"/>
      <c r="BO358" s="64"/>
      <c r="BP358" s="64"/>
      <c r="BQ358" s="64"/>
      <c r="BR358" s="29"/>
      <c r="BS358" s="61" t="str">
        <f t="shared" si="72"/>
        <v>Inc. Cost (per ton)</v>
      </c>
      <c r="BT358" s="67">
        <v>100</v>
      </c>
      <c r="BU358" s="67">
        <v>100</v>
      </c>
      <c r="BV358" s="64"/>
      <c r="BW358" s="64"/>
      <c r="BX358" s="64"/>
      <c r="BY358" s="64"/>
      <c r="BZ358" s="64"/>
      <c r="CA358" s="64"/>
      <c r="CB358" s="64"/>
      <c r="CC358" s="64"/>
      <c r="DB358" s="72">
        <f t="shared" si="65"/>
        <v>0.65474746464398093</v>
      </c>
      <c r="DC358" s="73" t="str">
        <f t="shared" si="66"/>
        <v>Cooling BUS 15 Year EUL</v>
      </c>
      <c r="DD358" s="106">
        <f>(INDEX('Avoided Cost Benefits'!$C$4:$C$857,MATCH(DC358,'Avoided Cost Benefits'!$A$4:$A$857,0)))*F358</f>
        <v>61.797778635581018</v>
      </c>
      <c r="DE358" s="74">
        <f t="shared" si="67"/>
        <v>94.384143463898056</v>
      </c>
    </row>
    <row r="359" spans="2:109" x14ac:dyDescent="0.25">
      <c r="B359" s="77"/>
      <c r="C359" s="1727" t="s">
        <v>332</v>
      </c>
      <c r="D359" s="1815" t="s">
        <v>34</v>
      </c>
      <c r="E359" s="1767" t="s">
        <v>333</v>
      </c>
      <c r="F359" s="210">
        <f t="shared" si="68"/>
        <v>138.03</v>
      </c>
      <c r="G359" s="93">
        <f>(P374/3.412*((1/L374)-(1/M374))*Q374)</f>
        <v>129.44509574052361</v>
      </c>
      <c r="H359" s="93">
        <f t="shared" si="63"/>
        <v>267.47509574052361</v>
      </c>
      <c r="I359" s="1730" t="s">
        <v>263</v>
      </c>
      <c r="J359" s="1730" t="s">
        <v>264</v>
      </c>
      <c r="K359" s="1731">
        <v>9.1068395835808389E-4</v>
      </c>
      <c r="L359" s="1822">
        <f t="shared" si="64"/>
        <v>0.12570200000000001</v>
      </c>
      <c r="M359" s="1765">
        <v>15</v>
      </c>
      <c r="N359" s="1756">
        <v>100</v>
      </c>
      <c r="O359" s="1827" t="s">
        <v>306</v>
      </c>
      <c r="P359" s="1840"/>
      <c r="Q359" s="1840"/>
      <c r="V359" s="61" t="str">
        <f t="shared" si="69"/>
        <v>Cooling kWh Annual Savings (per ton)</v>
      </c>
      <c r="W359" s="71">
        <v>138.02979145978136</v>
      </c>
      <c r="X359" s="71">
        <v>138.02979145978136</v>
      </c>
      <c r="Y359" s="64">
        <v>138.02979145978136</v>
      </c>
      <c r="Z359" s="64"/>
      <c r="AA359" s="64"/>
      <c r="AB359" s="64"/>
      <c r="AC359" s="64"/>
      <c r="AD359" s="64"/>
      <c r="AE359" s="64"/>
      <c r="AF359" s="64"/>
      <c r="AG359" s="64"/>
      <c r="AH359" s="65"/>
      <c r="AI359" s="61" t="str">
        <f t="shared" si="70"/>
        <v>Heating kWh Annual Savings (per ton)</v>
      </c>
      <c r="AJ359" s="71">
        <v>129.44509574052361</v>
      </c>
      <c r="AK359" s="71">
        <v>129.44509574052361</v>
      </c>
      <c r="AL359" s="71">
        <v>129.44509574052361</v>
      </c>
      <c r="AM359" s="64"/>
      <c r="AN359" s="64"/>
      <c r="AO359" s="64"/>
      <c r="AP359" s="64"/>
      <c r="AQ359" s="64"/>
      <c r="AR359" s="64"/>
      <c r="AS359" s="64"/>
      <c r="AT359" s="65"/>
      <c r="AU359" s="61" t="str">
        <f t="shared" si="71"/>
        <v>Total kWh Annual Savings</v>
      </c>
      <c r="AV359" s="71">
        <v>267.47488720030498</v>
      </c>
      <c r="AW359" s="71">
        <v>267.47488720030498</v>
      </c>
      <c r="AX359" s="64">
        <v>267.47488720030498</v>
      </c>
      <c r="AY359" s="64"/>
      <c r="AZ359" s="64"/>
      <c r="BA359" s="64"/>
      <c r="BB359" s="64"/>
      <c r="BC359" s="64"/>
      <c r="BD359" s="64"/>
      <c r="BE359" s="64"/>
      <c r="BF359" s="65"/>
      <c r="BG359" s="61" t="s">
        <v>24</v>
      </c>
      <c r="BH359" s="66">
        <v>15</v>
      </c>
      <c r="BI359" s="66">
        <v>15</v>
      </c>
      <c r="BJ359" s="64"/>
      <c r="BK359" s="64"/>
      <c r="BL359" s="64"/>
      <c r="BM359" s="64"/>
      <c r="BN359" s="64"/>
      <c r="BO359" s="64"/>
      <c r="BP359" s="64"/>
      <c r="BQ359" s="64"/>
      <c r="BR359" s="29"/>
      <c r="BS359" s="61" t="str">
        <f t="shared" si="72"/>
        <v>Inc. Cost (per ton)</v>
      </c>
      <c r="BT359" s="67">
        <v>100</v>
      </c>
      <c r="BU359" s="67">
        <v>100</v>
      </c>
      <c r="BV359" s="64"/>
      <c r="BW359" s="64"/>
      <c r="BX359" s="64"/>
      <c r="BY359" s="64"/>
      <c r="BZ359" s="64"/>
      <c r="CA359" s="64"/>
      <c r="CB359" s="64"/>
      <c r="CC359" s="64"/>
      <c r="DB359" s="72">
        <f t="shared" si="65"/>
        <v>2.0847703009183087</v>
      </c>
      <c r="DC359" s="73" t="str">
        <f t="shared" si="66"/>
        <v>Cooling BUS 15 Year EUL</v>
      </c>
      <c r="DD359" s="106">
        <f>(INDEX('Avoided Cost Benefits'!$C$4:$C$857,MATCH(DC359,'Avoided Cost Benefits'!$A$4:$A$857,0)))*F359</f>
        <v>196.76925917114758</v>
      </c>
      <c r="DE359" s="74">
        <f t="shared" si="67"/>
        <v>94.384143463898056</v>
      </c>
    </row>
    <row r="360" spans="2:109" x14ac:dyDescent="0.25">
      <c r="B360" s="77"/>
      <c r="C360" s="1727" t="s">
        <v>334</v>
      </c>
      <c r="D360" s="1815" t="s">
        <v>34</v>
      </c>
      <c r="E360" s="1767" t="s">
        <v>335</v>
      </c>
      <c r="F360" s="210">
        <f>ROUND((F375*((1/I375)-(1/J375))*K375),2)</f>
        <v>69.430000000000007</v>
      </c>
      <c r="G360" s="93">
        <f>(P375*((1/N375)-(1/O375))*Q375)</f>
        <v>61.948051948051791</v>
      </c>
      <c r="H360" s="93">
        <f t="shared" si="63"/>
        <v>131.37805194805179</v>
      </c>
      <c r="I360" s="1730" t="s">
        <v>263</v>
      </c>
      <c r="J360" s="1730" t="s">
        <v>264</v>
      </c>
      <c r="K360" s="1731">
        <v>9.1068395835808389E-4</v>
      </c>
      <c r="L360" s="1822">
        <f t="shared" si="64"/>
        <v>6.3228999999999994E-2</v>
      </c>
      <c r="M360" s="1765">
        <v>15</v>
      </c>
      <c r="N360" s="1756">
        <v>100</v>
      </c>
      <c r="O360" s="1827" t="s">
        <v>306</v>
      </c>
      <c r="P360" s="1840"/>
      <c r="Q360" s="1840"/>
      <c r="V360" s="61" t="str">
        <f t="shared" si="69"/>
        <v>Cooling kWh Annual Savings (per ton)</v>
      </c>
      <c r="W360" s="71">
        <v>69.42857142857153</v>
      </c>
      <c r="X360" s="71">
        <v>69.42857142857153</v>
      </c>
      <c r="Y360" s="64">
        <v>69.42857142857153</v>
      </c>
      <c r="Z360" s="64"/>
      <c r="AA360" s="64"/>
      <c r="AB360" s="64"/>
      <c r="AC360" s="64"/>
      <c r="AD360" s="64"/>
      <c r="AE360" s="64"/>
      <c r="AF360" s="64"/>
      <c r="AG360" s="64"/>
      <c r="AH360" s="65"/>
      <c r="AI360" s="61" t="str">
        <f t="shared" si="70"/>
        <v>Heating kWh Annual Savings (per ton)</v>
      </c>
      <c r="AJ360" s="71">
        <v>61.948051948051791</v>
      </c>
      <c r="AK360" s="71">
        <v>61.948051948051791</v>
      </c>
      <c r="AL360" s="71">
        <v>61.948051948051791</v>
      </c>
      <c r="AM360" s="64"/>
      <c r="AN360" s="64"/>
      <c r="AO360" s="64"/>
      <c r="AP360" s="64"/>
      <c r="AQ360" s="64"/>
      <c r="AR360" s="64"/>
      <c r="AS360" s="64"/>
      <c r="AT360" s="65"/>
      <c r="AU360" s="61" t="str">
        <f t="shared" si="71"/>
        <v>Total kWh Annual Savings</v>
      </c>
      <c r="AV360" s="71">
        <v>131.37662337662331</v>
      </c>
      <c r="AW360" s="71">
        <v>131.37662337662331</v>
      </c>
      <c r="AX360" s="64">
        <v>131.37662337662331</v>
      </c>
      <c r="AY360" s="64"/>
      <c r="AZ360" s="64"/>
      <c r="BA360" s="64"/>
      <c r="BB360" s="64"/>
      <c r="BC360" s="64"/>
      <c r="BD360" s="64"/>
      <c r="BE360" s="64"/>
      <c r="BF360" s="65"/>
      <c r="BG360" s="61" t="s">
        <v>24</v>
      </c>
      <c r="BH360" s="66">
        <v>15</v>
      </c>
      <c r="BI360" s="66">
        <v>15</v>
      </c>
      <c r="BJ360" s="64"/>
      <c r="BK360" s="64"/>
      <c r="BL360" s="64"/>
      <c r="BM360" s="64"/>
      <c r="BN360" s="64"/>
      <c r="BO360" s="64"/>
      <c r="BP360" s="64"/>
      <c r="BQ360" s="64"/>
      <c r="BR360" s="29"/>
      <c r="BS360" s="61" t="str">
        <f t="shared" si="72"/>
        <v>Inc. Cost (per ton)</v>
      </c>
      <c r="BT360" s="67">
        <v>100</v>
      </c>
      <c r="BU360" s="67">
        <v>100</v>
      </c>
      <c r="BV360" s="64"/>
      <c r="BW360" s="64"/>
      <c r="BX360" s="64"/>
      <c r="BY360" s="64"/>
      <c r="BZ360" s="64"/>
      <c r="CA360" s="64"/>
      <c r="CB360" s="64"/>
      <c r="CC360" s="64"/>
      <c r="DB360" s="75">
        <f t="shared" si="65"/>
        <v>1.0486532057723552</v>
      </c>
      <c r="DC360" s="73" t="str">
        <f t="shared" si="66"/>
        <v>Cooling BUS 15 Year EUL</v>
      </c>
      <c r="DD360" s="107">
        <f>(INDEX('Avoided Cost Benefits'!$C$4:$C$857,MATCH(DC360,'Avoided Cost Benefits'!$A$4:$A$857,0)))*F360</f>
        <v>98.976234617494583</v>
      </c>
      <c r="DE360" s="76">
        <f t="shared" si="67"/>
        <v>94.384143463898056</v>
      </c>
    </row>
    <row r="361" spans="2:109" hidden="1" outlineLevel="1" x14ac:dyDescent="0.25">
      <c r="E361" s="1719"/>
      <c r="F361" s="1719"/>
      <c r="G361" s="1719"/>
      <c r="H361" s="1741"/>
      <c r="I361" s="1719"/>
      <c r="J361" s="1719"/>
      <c r="K361" s="1719"/>
      <c r="M361" s="1840"/>
      <c r="N361" s="1840"/>
      <c r="O361" s="1840"/>
      <c r="P361" s="1840"/>
    </row>
    <row r="362" spans="2:109" hidden="1" outlineLevel="1" x14ac:dyDescent="0.25">
      <c r="D362" s="1719" t="s">
        <v>76</v>
      </c>
      <c r="E362" s="233"/>
      <c r="F362" s="1719"/>
      <c r="G362" s="1719"/>
      <c r="H362" s="1741"/>
      <c r="I362" s="1719"/>
      <c r="J362" s="1719"/>
      <c r="K362" s="233"/>
      <c r="M362" s="1840"/>
      <c r="N362" s="1840"/>
      <c r="O362" s="1840"/>
      <c r="P362" s="1840"/>
    </row>
    <row r="363" spans="2:109" hidden="1" outlineLevel="1" x14ac:dyDescent="0.25">
      <c r="E363" s="233"/>
      <c r="F363" s="1800" t="s">
        <v>315</v>
      </c>
      <c r="G363" s="1771"/>
      <c r="H363" s="1772"/>
      <c r="J363" s="1800" t="s">
        <v>3347</v>
      </c>
    </row>
    <row r="364" spans="2:109" hidden="1" outlineLevel="1" x14ac:dyDescent="0.25">
      <c r="D364" s="1742"/>
      <c r="G364" s="1771"/>
      <c r="H364" s="1772"/>
    </row>
    <row r="365" spans="2:109" hidden="1" outlineLevel="1" x14ac:dyDescent="0.25">
      <c r="D365" s="1742"/>
      <c r="G365" s="1716"/>
      <c r="H365" s="1743"/>
      <c r="M365" s="1719"/>
    </row>
    <row r="366" spans="2:109" hidden="1" outlineLevel="1" x14ac:dyDescent="0.25">
      <c r="D366" s="1742"/>
      <c r="G366" s="1716"/>
      <c r="H366" s="1743"/>
      <c r="M366" s="1719"/>
    </row>
    <row r="367" spans="2:109" hidden="1" outlineLevel="1" x14ac:dyDescent="0.25">
      <c r="D367" s="1742"/>
      <c r="G367" s="1716"/>
      <c r="H367" s="1743"/>
      <c r="M367" s="1719"/>
    </row>
    <row r="368" spans="2:109" hidden="1" outlineLevel="1" x14ac:dyDescent="0.25">
      <c r="D368" s="1742"/>
      <c r="G368" s="1716"/>
      <c r="H368" s="1743"/>
    </row>
    <row r="369" spans="2:109" s="78" customFormat="1" ht="30" hidden="1" outlineLevel="1" x14ac:dyDescent="0.2">
      <c r="C369" s="553"/>
      <c r="D369" s="1638" t="s">
        <v>17</v>
      </c>
      <c r="E369" s="1638" t="s">
        <v>136</v>
      </c>
      <c r="F369" s="123" t="s">
        <v>316</v>
      </c>
      <c r="G369" s="1638" t="s">
        <v>317</v>
      </c>
      <c r="H369" s="1638" t="s">
        <v>318</v>
      </c>
      <c r="I369" s="1638" t="s">
        <v>319</v>
      </c>
      <c r="J369" s="1632" t="s">
        <v>320</v>
      </c>
      <c r="K369" s="1632" t="s">
        <v>266</v>
      </c>
      <c r="L369" s="1632" t="s">
        <v>336</v>
      </c>
      <c r="M369" s="1632" t="s">
        <v>337</v>
      </c>
      <c r="N369" s="1632" t="s">
        <v>338</v>
      </c>
      <c r="O369" s="1632" t="s">
        <v>339</v>
      </c>
      <c r="P369" s="123" t="s">
        <v>340</v>
      </c>
      <c r="Q369" s="1632" t="s">
        <v>341</v>
      </c>
      <c r="R369" s="1632" t="s">
        <v>342</v>
      </c>
      <c r="S369" s="1678"/>
      <c r="T369" s="553"/>
      <c r="U369" s="553"/>
      <c r="AU369" s="26"/>
      <c r="BR369" s="26"/>
      <c r="BS369" s="26"/>
      <c r="DB369" s="108"/>
    </row>
    <row r="370" spans="2:109" hidden="1" outlineLevel="1" x14ac:dyDescent="0.25">
      <c r="B370" s="29"/>
      <c r="D370" s="1747" t="str">
        <f>C355</f>
        <v>803500_2019_12_</v>
      </c>
      <c r="E370" s="1747" t="str">
        <f t="shared" ref="E370:E375" si="73">E355</f>
        <v>GSHP &lt;135kbtu; ≥17EER</v>
      </c>
      <c r="F370" s="1786">
        <v>12</v>
      </c>
      <c r="G370" s="1812">
        <v>16.2</v>
      </c>
      <c r="H370" s="1812">
        <v>17</v>
      </c>
      <c r="I370" s="1812"/>
      <c r="J370" s="1812"/>
      <c r="K370" s="1792">
        <v>1053</v>
      </c>
      <c r="L370" s="1814">
        <v>3.6</v>
      </c>
      <c r="M370" s="1814">
        <v>3.7</v>
      </c>
      <c r="N370" s="1814"/>
      <c r="O370" s="1841"/>
      <c r="P370" s="1784">
        <v>12</v>
      </c>
      <c r="Q370" s="1814">
        <v>1060</v>
      </c>
      <c r="R370" s="1842" t="s">
        <v>343</v>
      </c>
      <c r="S370" s="1813"/>
    </row>
    <row r="371" spans="2:109" hidden="1" outlineLevel="1" x14ac:dyDescent="0.25">
      <c r="B371" s="29"/>
      <c r="D371" s="1747" t="str">
        <f t="shared" ref="D371:D375" si="74">C356</f>
        <v>803550_2019_12_</v>
      </c>
      <c r="E371" s="1747" t="str">
        <f t="shared" si="73"/>
        <v>GSHP &lt;135kbtu; ≥19EER</v>
      </c>
      <c r="F371" s="1786">
        <v>12</v>
      </c>
      <c r="G371" s="1812">
        <v>16.2</v>
      </c>
      <c r="H371" s="1812">
        <v>19</v>
      </c>
      <c r="I371" s="1812"/>
      <c r="J371" s="1812"/>
      <c r="K371" s="1792">
        <v>1053</v>
      </c>
      <c r="L371" s="1814">
        <v>3.6</v>
      </c>
      <c r="M371" s="1814">
        <v>3.7</v>
      </c>
      <c r="N371" s="1814"/>
      <c r="O371" s="1841"/>
      <c r="P371" s="1784">
        <v>12</v>
      </c>
      <c r="Q371" s="1814">
        <v>1060</v>
      </c>
      <c r="R371" s="1842" t="s">
        <v>343</v>
      </c>
      <c r="S371" s="1813"/>
    </row>
    <row r="372" spans="2:109" hidden="1" outlineLevel="1" x14ac:dyDescent="0.25">
      <c r="B372" s="29"/>
      <c r="D372" s="1747" t="str">
        <f t="shared" si="74"/>
        <v>803600_2019_12_</v>
      </c>
      <c r="E372" s="1747" t="str">
        <f t="shared" si="73"/>
        <v>ASHP 65 - 135kbtu</v>
      </c>
      <c r="F372" s="1786">
        <v>12</v>
      </c>
      <c r="G372" s="1812">
        <v>11</v>
      </c>
      <c r="H372" s="1812">
        <v>12</v>
      </c>
      <c r="I372" s="1812"/>
      <c r="J372" s="1812"/>
      <c r="K372" s="1792">
        <v>1053</v>
      </c>
      <c r="L372" s="1814">
        <v>3.3</v>
      </c>
      <c r="M372" s="1814">
        <v>3.5</v>
      </c>
      <c r="N372" s="1814"/>
      <c r="O372" s="1841"/>
      <c r="P372" s="1784">
        <v>12</v>
      </c>
      <c r="Q372" s="1814">
        <v>1060</v>
      </c>
      <c r="R372" s="1842" t="s">
        <v>343</v>
      </c>
      <c r="S372" s="1813"/>
    </row>
    <row r="373" spans="2:109" hidden="1" outlineLevel="1" x14ac:dyDescent="0.25">
      <c r="B373" s="29"/>
      <c r="D373" s="1747" t="str">
        <f t="shared" si="74"/>
        <v>803650_2019_12_</v>
      </c>
      <c r="E373" s="1747" t="str">
        <f t="shared" si="73"/>
        <v>ASHP 135 - 240kbtu</v>
      </c>
      <c r="F373" s="1786">
        <v>12</v>
      </c>
      <c r="G373" s="1812">
        <v>10.6</v>
      </c>
      <c r="H373" s="1812">
        <v>11</v>
      </c>
      <c r="I373" s="1812"/>
      <c r="J373" s="1812"/>
      <c r="K373" s="1792">
        <v>1053</v>
      </c>
      <c r="L373" s="1814">
        <v>3.2</v>
      </c>
      <c r="M373" s="1814">
        <v>3.8</v>
      </c>
      <c r="N373" s="1814"/>
      <c r="O373" s="1841"/>
      <c r="P373" s="1784">
        <v>12</v>
      </c>
      <c r="Q373" s="1814">
        <v>1060</v>
      </c>
      <c r="R373" s="1842" t="s">
        <v>343</v>
      </c>
      <c r="S373" s="1813"/>
    </row>
    <row r="374" spans="2:109" hidden="1" outlineLevel="1" x14ac:dyDescent="0.25">
      <c r="B374" s="29"/>
      <c r="D374" s="1747" t="str">
        <f t="shared" si="74"/>
        <v>803700_2019_12_</v>
      </c>
      <c r="E374" s="1747" t="str">
        <f t="shared" si="73"/>
        <v>ASHP &gt;240kbtu</v>
      </c>
      <c r="F374" s="1786">
        <v>12</v>
      </c>
      <c r="G374" s="1812">
        <v>9.5</v>
      </c>
      <c r="H374" s="1812">
        <v>10.6</v>
      </c>
      <c r="I374" s="1812"/>
      <c r="J374" s="1812"/>
      <c r="K374" s="1792">
        <v>1053</v>
      </c>
      <c r="L374" s="1814">
        <v>3.2</v>
      </c>
      <c r="M374" s="1814">
        <v>3.6</v>
      </c>
      <c r="N374" s="1814"/>
      <c r="O374" s="1841"/>
      <c r="P374" s="1784">
        <v>12</v>
      </c>
      <c r="Q374" s="1814">
        <v>1060</v>
      </c>
      <c r="R374" s="1842" t="s">
        <v>343</v>
      </c>
      <c r="S374" s="1813"/>
    </row>
    <row r="375" spans="2:109" hidden="1" outlineLevel="1" x14ac:dyDescent="0.25">
      <c r="B375" s="29"/>
      <c r="D375" s="1747" t="str">
        <f t="shared" si="74"/>
        <v>803750_2019_12_</v>
      </c>
      <c r="E375" s="1747" t="str">
        <f t="shared" si="73"/>
        <v>ASHP &lt;65kbtu</v>
      </c>
      <c r="F375" s="1786">
        <v>12</v>
      </c>
      <c r="G375" s="1812"/>
      <c r="H375" s="1812"/>
      <c r="I375" s="1812">
        <v>13</v>
      </c>
      <c r="J375" s="1812">
        <v>14</v>
      </c>
      <c r="K375" s="1792">
        <v>1053</v>
      </c>
      <c r="L375" s="1792"/>
      <c r="M375" s="1792"/>
      <c r="N375" s="1814">
        <v>7.7</v>
      </c>
      <c r="O375" s="1841">
        <v>8</v>
      </c>
      <c r="P375" s="1784">
        <v>12</v>
      </c>
      <c r="Q375" s="1814">
        <v>1060</v>
      </c>
      <c r="R375" s="1842" t="s">
        <v>344</v>
      </c>
      <c r="S375" s="1813"/>
    </row>
    <row r="376" spans="2:109" collapsed="1" x14ac:dyDescent="0.25"/>
    <row r="378" spans="2:109" s="50" customFormat="1" ht="30" x14ac:dyDescent="0.25">
      <c r="B378" s="51"/>
      <c r="C378" s="52" t="s">
        <v>17</v>
      </c>
      <c r="D378" s="52" t="s">
        <v>18</v>
      </c>
      <c r="E378" s="1678" t="s">
        <v>19</v>
      </c>
      <c r="F378" s="1678" t="s">
        <v>303</v>
      </c>
      <c r="G378" s="1678" t="s">
        <v>21</v>
      </c>
      <c r="H378" s="53" t="s">
        <v>22</v>
      </c>
      <c r="I378" s="1678" t="s">
        <v>23</v>
      </c>
      <c r="J378" s="1678" t="s">
        <v>24</v>
      </c>
      <c r="K378" s="52" t="s">
        <v>323</v>
      </c>
      <c r="L378" s="52" t="s">
        <v>26</v>
      </c>
      <c r="M378" s="1716"/>
      <c r="N378" s="1716"/>
      <c r="O378" s="1716"/>
      <c r="P378" s="1726"/>
      <c r="Q378" s="1726"/>
      <c r="R378" s="1726"/>
      <c r="S378" s="1726"/>
      <c r="T378" s="1726"/>
      <c r="U378" s="1726"/>
      <c r="V378" s="55" t="s">
        <v>27</v>
      </c>
      <c r="W378" s="56">
        <f>$W$8</f>
        <v>43252</v>
      </c>
      <c r="X378" s="56">
        <f>$X$8</f>
        <v>43465</v>
      </c>
      <c r="Y378" s="56">
        <f>$Y$8</f>
        <v>43800</v>
      </c>
      <c r="Z378" s="56" t="str">
        <f>$Z$8</f>
        <v>-</v>
      </c>
      <c r="AA378" s="56" t="str">
        <f>$AA$8</f>
        <v>-</v>
      </c>
      <c r="AB378" s="56" t="str">
        <f>$AB$8</f>
        <v>-</v>
      </c>
      <c r="AC378" s="56" t="str">
        <f>$AC$8</f>
        <v>-</v>
      </c>
      <c r="AD378" s="56" t="str">
        <f>$AD$8</f>
        <v>-</v>
      </c>
      <c r="AE378" s="56" t="str">
        <f>$AE$8</f>
        <v>-</v>
      </c>
      <c r="AF378" s="56" t="str">
        <f>$AF$8</f>
        <v>-</v>
      </c>
      <c r="AG378" s="56" t="str">
        <f>$AG$8</f>
        <v>-</v>
      </c>
      <c r="AH378"/>
      <c r="AI378" s="55" t="s">
        <v>27</v>
      </c>
      <c r="AJ378" s="56">
        <v>43252</v>
      </c>
      <c r="AK378" s="56">
        <f>$X$8</f>
        <v>43465</v>
      </c>
      <c r="AL378" s="56">
        <f>$Y$8</f>
        <v>43800</v>
      </c>
      <c r="AM378" s="56" t="str">
        <f>$Z$8</f>
        <v>-</v>
      </c>
      <c r="AN378" s="56" t="str">
        <f>$AA$8</f>
        <v>-</v>
      </c>
      <c r="AO378" s="56" t="str">
        <f>$AB$8</f>
        <v>-</v>
      </c>
      <c r="AP378" s="56" t="str">
        <f>$AC$8</f>
        <v>-</v>
      </c>
      <c r="AQ378" s="56" t="str">
        <f>$AD$8</f>
        <v>-</v>
      </c>
      <c r="AR378" s="56" t="str">
        <f>$AE$8</f>
        <v>-</v>
      </c>
      <c r="AS378" s="56" t="str">
        <f>$AF$8</f>
        <v>-</v>
      </c>
      <c r="AT378" s="29"/>
      <c r="AU378" s="55" t="s">
        <v>27</v>
      </c>
      <c r="AV378" s="56">
        <v>43252</v>
      </c>
      <c r="AW378" s="56">
        <f>$X$8</f>
        <v>43465</v>
      </c>
      <c r="AX378" s="56">
        <f>$Y$8</f>
        <v>43800</v>
      </c>
      <c r="AY378" s="56" t="str">
        <f>$Z$8</f>
        <v>-</v>
      </c>
      <c r="AZ378" s="56" t="str">
        <f>$AA$8</f>
        <v>-</v>
      </c>
      <c r="BA378" s="56" t="str">
        <f>$AB$8</f>
        <v>-</v>
      </c>
      <c r="BB378" s="56" t="str">
        <f>$AC$8</f>
        <v>-</v>
      </c>
      <c r="BC378" s="56" t="str">
        <f>$AD$8</f>
        <v>-</v>
      </c>
      <c r="BD378" s="56" t="str">
        <f>$AE$8</f>
        <v>-</v>
      </c>
      <c r="BE378" s="56" t="str">
        <f>$AF$8</f>
        <v>-</v>
      </c>
      <c r="DB378" s="57" t="str">
        <f>$DB$8</f>
        <v>TRC (2020)</v>
      </c>
      <c r="DC378" s="103" t="str">
        <f>$DC$8</f>
        <v>Benefit Lookup</v>
      </c>
      <c r="DD378" s="103" t="str">
        <f>$DD$8</f>
        <v>Benefits (2019 $)</v>
      </c>
      <c r="DE378" s="103" t="str">
        <f>$DE$8</f>
        <v>Incremental Cost (2019 $)</v>
      </c>
    </row>
    <row r="379" spans="2:109" x14ac:dyDescent="0.25">
      <c r="C379" s="1727" t="s">
        <v>345</v>
      </c>
      <c r="D379" s="1815" t="s">
        <v>34</v>
      </c>
      <c r="E379" s="1767" t="s">
        <v>346</v>
      </c>
      <c r="F379" s="210">
        <f>ROUND(F389*(G389-H389)*I389,2)</f>
        <v>411</v>
      </c>
      <c r="G379" s="1730" t="s">
        <v>263</v>
      </c>
      <c r="H379" s="1731">
        <f>VLOOKUP(G379,'CP FACTORS'!$A$26:$B$38,2,FALSE)</f>
        <v>9.1068400000000004E-4</v>
      </c>
      <c r="I379" s="1755">
        <f t="shared" ref="I379" si="75">ROUND(H379*F379,6)</f>
        <v>0.37429099999999998</v>
      </c>
      <c r="J379" s="452">
        <v>20</v>
      </c>
      <c r="K379" s="1756">
        <v>106.23</v>
      </c>
      <c r="L379" s="1827" t="s">
        <v>306</v>
      </c>
      <c r="M379" s="2631"/>
      <c r="N379" s="2631"/>
      <c r="O379" s="2631"/>
      <c r="V379" s="61" t="str">
        <f>F378</f>
        <v>kWh Annual Savings (per ton)</v>
      </c>
      <c r="W379" s="71">
        <v>411</v>
      </c>
      <c r="X379" s="71">
        <v>411</v>
      </c>
      <c r="Y379" s="71">
        <v>411</v>
      </c>
      <c r="Z379" s="64"/>
      <c r="AA379" s="64"/>
      <c r="AB379" s="64"/>
      <c r="AC379" s="64"/>
      <c r="AD379" s="64"/>
      <c r="AE379" s="64"/>
      <c r="AF379" s="64"/>
      <c r="AG379" s="64"/>
      <c r="AH379" s="65"/>
      <c r="AI379" s="61" t="s">
        <v>24</v>
      </c>
      <c r="AJ379" s="66">
        <v>20</v>
      </c>
      <c r="AK379" s="66">
        <v>20</v>
      </c>
      <c r="AL379" s="66">
        <v>20</v>
      </c>
      <c r="AM379" s="64"/>
      <c r="AN379" s="64"/>
      <c r="AO379" s="64"/>
      <c r="AP379" s="64"/>
      <c r="AQ379" s="64"/>
      <c r="AR379" s="64"/>
      <c r="AS379" s="64"/>
      <c r="AT379" s="29"/>
      <c r="AU379" s="61" t="str">
        <f>K378</f>
        <v>Inc. Cost (per ton)</v>
      </c>
      <c r="AV379" s="67">
        <v>106.23</v>
      </c>
      <c r="AW379" s="67">
        <v>106.23</v>
      </c>
      <c r="AX379" s="64">
        <v>106.23</v>
      </c>
      <c r="AY379" s="64"/>
      <c r="AZ379" s="64"/>
      <c r="BA379" s="64"/>
      <c r="BB379" s="64"/>
      <c r="BC379" s="64"/>
      <c r="BD379" s="64"/>
      <c r="BE379" s="64"/>
      <c r="DB379" s="120">
        <f t="shared" ref="DB379" si="76">(DD379)/(DE379)</f>
        <v>7.3595302367685331</v>
      </c>
      <c r="DC379" s="69" t="str">
        <f>CONCATENATE(G379," ",J379," Year EUL")</f>
        <v>Cooling BUS 20 Year EUL</v>
      </c>
      <c r="DD379" s="121">
        <f>(INDEX('Avoided Cost Benefits'!$C$4:$C$857,MATCH(DC379,'Avoided Cost Benefits'!$A$4:$A$857,0)))*F379</f>
        <v>737.89796795839663</v>
      </c>
      <c r="DE379" s="122">
        <f>K379/(1.0595^(2020-2019))</f>
        <v>100.26427560169891</v>
      </c>
    </row>
    <row r="380" spans="2:109" hidden="1" outlineLevel="1" x14ac:dyDescent="0.25">
      <c r="E380" s="1719"/>
      <c r="F380" s="1719"/>
      <c r="G380" s="1719"/>
      <c r="H380" s="1741"/>
      <c r="I380" s="1719"/>
      <c r="J380" s="1719"/>
      <c r="K380" s="1719"/>
      <c r="M380" s="2631"/>
      <c r="N380" s="2631"/>
      <c r="O380" s="2631"/>
    </row>
    <row r="381" spans="2:109" hidden="1" outlineLevel="1" x14ac:dyDescent="0.25">
      <c r="D381" s="1719" t="s">
        <v>76</v>
      </c>
      <c r="E381" s="233"/>
      <c r="F381" s="1719"/>
      <c r="G381" s="1719"/>
      <c r="H381" s="1741"/>
      <c r="I381" s="1719"/>
      <c r="J381" s="1719"/>
      <c r="K381" s="1719"/>
      <c r="M381" s="2631"/>
      <c r="N381" s="2631"/>
      <c r="O381" s="2631"/>
    </row>
    <row r="382" spans="2:109" hidden="1" outlineLevel="1" x14ac:dyDescent="0.25">
      <c r="D382" s="1742"/>
      <c r="E382" s="233"/>
      <c r="F382" s="1800"/>
      <c r="G382" s="1771"/>
      <c r="H382" s="1772"/>
    </row>
    <row r="383" spans="2:109" hidden="1" outlineLevel="1" x14ac:dyDescent="0.25">
      <c r="D383" s="1742"/>
      <c r="G383" s="1771"/>
      <c r="H383" s="1772"/>
    </row>
    <row r="384" spans="2:109" hidden="1" outlineLevel="1" x14ac:dyDescent="0.25">
      <c r="D384" s="1742"/>
      <c r="G384" s="1716"/>
      <c r="H384" s="1743"/>
    </row>
    <row r="385" spans="2:109" hidden="1" outlineLevel="1" x14ac:dyDescent="0.25">
      <c r="D385" s="1742"/>
      <c r="G385" s="1716"/>
      <c r="H385" s="1743"/>
    </row>
    <row r="386" spans="2:109" hidden="1" outlineLevel="1" x14ac:dyDescent="0.25">
      <c r="D386" s="1742"/>
      <c r="G386" s="1716"/>
      <c r="H386" s="1743"/>
    </row>
    <row r="387" spans="2:109" hidden="1" outlineLevel="1" x14ac:dyDescent="0.25">
      <c r="D387" s="1742"/>
      <c r="G387" s="1716"/>
      <c r="H387" s="1743"/>
    </row>
    <row r="388" spans="2:109" s="78" customFormat="1" ht="30" hidden="1" outlineLevel="1" x14ac:dyDescent="0.2">
      <c r="C388" s="553"/>
      <c r="D388" s="1638" t="s">
        <v>17</v>
      </c>
      <c r="E388" s="1638" t="s">
        <v>136</v>
      </c>
      <c r="F388" s="123" t="s">
        <v>347</v>
      </c>
      <c r="G388" s="1638" t="s">
        <v>348</v>
      </c>
      <c r="H388" s="1638" t="s">
        <v>349</v>
      </c>
      <c r="I388" s="1638" t="s">
        <v>321</v>
      </c>
      <c r="J388" s="553"/>
      <c r="K388" s="553"/>
      <c r="L388" s="553"/>
      <c r="M388" s="553"/>
      <c r="N388" s="553"/>
      <c r="O388" s="553"/>
      <c r="P388" s="553"/>
      <c r="Q388" s="553"/>
      <c r="R388" s="553"/>
      <c r="S388" s="553"/>
      <c r="T388" s="553"/>
      <c r="U388" s="553"/>
      <c r="DB388" s="108"/>
    </row>
    <row r="389" spans="2:109" hidden="1" outlineLevel="1" x14ac:dyDescent="0.25">
      <c r="D389" s="1747" t="str">
        <f>C379</f>
        <v>803800_2019_12_</v>
      </c>
      <c r="E389" s="1747" t="str">
        <f>E379</f>
        <v>Air Cooled Chiller</v>
      </c>
      <c r="F389" s="1843">
        <v>1</v>
      </c>
      <c r="G389" s="1844">
        <f>12/(3.66*3.412)</f>
        <v>0.96092864143908663</v>
      </c>
      <c r="H389" s="1812">
        <v>0.57061525112569633</v>
      </c>
      <c r="I389" s="1812">
        <v>1053</v>
      </c>
    </row>
    <row r="390" spans="2:109" collapsed="1" x14ac:dyDescent="0.25"/>
    <row r="392" spans="2:109" s="46" customFormat="1" x14ac:dyDescent="0.25">
      <c r="B392" s="2612" t="s">
        <v>350</v>
      </c>
      <c r="C392" s="2613"/>
      <c r="D392" s="2613"/>
      <c r="E392" s="2613"/>
      <c r="F392" s="2613"/>
      <c r="G392" s="2613"/>
      <c r="H392" s="2613"/>
      <c r="I392" s="2614"/>
      <c r="J392" s="2614"/>
      <c r="K392" s="2614"/>
      <c r="L392" s="2614"/>
      <c r="M392" s="2615"/>
      <c r="N392" s="2615"/>
      <c r="O392" s="2616"/>
      <c r="V392" s="47" t="str">
        <f>B392</f>
        <v>Appliances</v>
      </c>
      <c r="W392" s="48"/>
      <c r="X392" s="48"/>
      <c r="Y392" s="48"/>
      <c r="Z392" s="48"/>
      <c r="AA392" s="48"/>
      <c r="AB392" s="48"/>
      <c r="AC392" s="48"/>
      <c r="AD392" s="48"/>
      <c r="AE392" s="48"/>
      <c r="AF392" s="48"/>
      <c r="AG392" s="48"/>
      <c r="AH392" s="48"/>
      <c r="AI392" s="49"/>
      <c r="AJ392" s="26"/>
      <c r="AK392" s="26"/>
      <c r="AL392" s="26"/>
      <c r="AM392" s="26"/>
      <c r="AN392" s="26"/>
      <c r="AO392" s="26"/>
      <c r="AP392" s="26"/>
      <c r="AQ392" s="26"/>
      <c r="AR392" s="26"/>
      <c r="AS392" s="26"/>
      <c r="AT392" s="26"/>
      <c r="AU392" s="26"/>
      <c r="DB392" s="109"/>
    </row>
    <row r="393" spans="2:109" x14ac:dyDescent="0.25">
      <c r="D393" s="1724"/>
      <c r="E393" s="1719"/>
      <c r="F393" s="1719"/>
      <c r="G393" s="1719"/>
      <c r="H393" s="1725"/>
      <c r="I393" s="1719"/>
      <c r="J393" s="1719"/>
      <c r="K393" s="1719"/>
      <c r="L393" s="1719"/>
      <c r="P393" s="1719"/>
      <c r="Q393" s="1719"/>
      <c r="R393" s="1719"/>
      <c r="S393" s="1719"/>
      <c r="T393" s="1719"/>
      <c r="U393" s="1719"/>
      <c r="V393"/>
      <c r="W393"/>
      <c r="X393"/>
      <c r="Y393"/>
      <c r="Z393"/>
      <c r="AA393"/>
      <c r="AB393"/>
      <c r="AC393"/>
      <c r="AD393"/>
      <c r="AE393"/>
      <c r="AF393"/>
      <c r="AG393"/>
      <c r="AH393"/>
      <c r="AI393"/>
      <c r="AJ393" s="44"/>
      <c r="AK393" s="44"/>
      <c r="AL393" s="44"/>
      <c r="AM393" s="44"/>
      <c r="AN393" s="44"/>
      <c r="AO393" s="44"/>
      <c r="AP393" s="44"/>
      <c r="AQ393" s="44"/>
      <c r="AR393" s="44"/>
      <c r="AS393" s="44"/>
      <c r="AT393" s="44"/>
      <c r="AU393" s="44"/>
    </row>
    <row r="394" spans="2:109" s="50" customFormat="1" ht="30" x14ac:dyDescent="0.25">
      <c r="B394" s="51"/>
      <c r="C394" s="52" t="s">
        <v>17</v>
      </c>
      <c r="D394" s="52" t="s">
        <v>18</v>
      </c>
      <c r="E394" s="1678" t="s">
        <v>19</v>
      </c>
      <c r="F394" s="1678" t="s">
        <v>20</v>
      </c>
      <c r="G394" s="1678" t="s">
        <v>21</v>
      </c>
      <c r="H394" s="53" t="s">
        <v>22</v>
      </c>
      <c r="I394" s="1678" t="s">
        <v>23</v>
      </c>
      <c r="J394" s="1678" t="s">
        <v>24</v>
      </c>
      <c r="K394" s="52" t="s">
        <v>25</v>
      </c>
      <c r="L394" s="52" t="s">
        <v>26</v>
      </c>
      <c r="M394" s="1716"/>
      <c r="N394" s="1845"/>
      <c r="O394" s="1819"/>
      <c r="P394" s="1820"/>
      <c r="Q394" s="1726"/>
      <c r="R394" s="1726"/>
      <c r="S394" s="1726"/>
      <c r="T394" s="1726"/>
      <c r="U394" s="1726"/>
      <c r="V394" s="55" t="s">
        <v>27</v>
      </c>
      <c r="W394" s="56">
        <f>$W$8</f>
        <v>43252</v>
      </c>
      <c r="X394" s="56">
        <f>$X$8</f>
        <v>43465</v>
      </c>
      <c r="Y394" s="56">
        <f>$Y$8</f>
        <v>43800</v>
      </c>
      <c r="Z394" s="56" t="str">
        <f>$Z$8</f>
        <v>-</v>
      </c>
      <c r="AA394" s="56" t="str">
        <f>$AA$8</f>
        <v>-</v>
      </c>
      <c r="AB394" s="56" t="str">
        <f>$AB$8</f>
        <v>-</v>
      </c>
      <c r="AC394" s="56" t="str">
        <f>$AC$8</f>
        <v>-</v>
      </c>
      <c r="AD394" s="56" t="str">
        <f>$AD$8</f>
        <v>-</v>
      </c>
      <c r="AE394" s="56" t="str">
        <f>$AE$8</f>
        <v>-</v>
      </c>
      <c r="AF394" s="56" t="str">
        <f>$AF$8</f>
        <v>-</v>
      </c>
      <c r="AG394" s="56" t="str">
        <f>$AG$8</f>
        <v>-</v>
      </c>
      <c r="AH394"/>
      <c r="AI394" s="55" t="s">
        <v>27</v>
      </c>
      <c r="AJ394" s="56">
        <v>43252</v>
      </c>
      <c r="AK394" s="56">
        <f>$X$8</f>
        <v>43465</v>
      </c>
      <c r="AL394" s="56">
        <f>$Y$8</f>
        <v>43800</v>
      </c>
      <c r="AM394" s="56" t="str">
        <f>$Z$8</f>
        <v>-</v>
      </c>
      <c r="AN394" s="56" t="str">
        <f>$AA$8</f>
        <v>-</v>
      </c>
      <c r="AO394" s="56" t="str">
        <f>$AB$8</f>
        <v>-</v>
      </c>
      <c r="AP394" s="56" t="str">
        <f>$AC$8</f>
        <v>-</v>
      </c>
      <c r="AQ394" s="56" t="str">
        <f>$AD$8</f>
        <v>-</v>
      </c>
      <c r="AR394" s="56" t="str">
        <f>$AE$8</f>
        <v>-</v>
      </c>
      <c r="AS394" s="56" t="str">
        <f>$AF$8</f>
        <v>-</v>
      </c>
      <c r="AT394" s="29"/>
      <c r="AU394" s="55" t="s">
        <v>27</v>
      </c>
      <c r="AV394" s="56">
        <v>43252</v>
      </c>
      <c r="AW394" s="56">
        <f>$X$8</f>
        <v>43465</v>
      </c>
      <c r="AX394" s="56">
        <f>$Y$8</f>
        <v>43800</v>
      </c>
      <c r="AY394" s="56" t="str">
        <f>$Z$8</f>
        <v>-</v>
      </c>
      <c r="AZ394" s="56" t="str">
        <f>$AA$8</f>
        <v>-</v>
      </c>
      <c r="BA394" s="56" t="str">
        <f>$AB$8</f>
        <v>-</v>
      </c>
      <c r="BB394" s="56" t="str">
        <f>$AC$8</f>
        <v>-</v>
      </c>
      <c r="BC394" s="56" t="str">
        <f>$AD$8</f>
        <v>-</v>
      </c>
      <c r="BD394" s="56" t="str">
        <f>$AE$8</f>
        <v>-</v>
      </c>
      <c r="BE394" s="56" t="str">
        <f>$AF$8</f>
        <v>-</v>
      </c>
      <c r="DB394" s="57" t="str">
        <f>$DB$8</f>
        <v>TRC (2020)</v>
      </c>
      <c r="DC394" s="103" t="str">
        <f>$DC$8</f>
        <v>Benefit Lookup</v>
      </c>
      <c r="DD394" s="103" t="str">
        <f>$DD$8</f>
        <v>Benefits (2019 $)</v>
      </c>
      <c r="DE394" s="103" t="str">
        <f>$DE$8</f>
        <v>Incremental Cost (2019 $)</v>
      </c>
    </row>
    <row r="395" spans="2:109" x14ac:dyDescent="0.25">
      <c r="C395" s="1763" t="s">
        <v>351</v>
      </c>
      <c r="D395" s="1815" t="s">
        <v>34</v>
      </c>
      <c r="E395" s="1754" t="s">
        <v>352</v>
      </c>
      <c r="F395" s="210">
        <f>ROUND(((F408*(1/G408)*I408)*(J408+(L408*P408)+(N408*Q408)))-((F408*(1/H408)*I408)*(K408+(M408*P408)+(O408*Q408))),2)</f>
        <v>907.62</v>
      </c>
      <c r="G395" s="1730" t="s">
        <v>61</v>
      </c>
      <c r="H395" s="1731">
        <f>VLOOKUP(G395,'CP FACTORS'!$A$26:$B$38,2,FALSE)</f>
        <v>1.379439E-4</v>
      </c>
      <c r="I395" s="1755">
        <f t="shared" ref="I395:I398" si="77">ROUND(H395*F395,6)</f>
        <v>0.12520100000000001</v>
      </c>
      <c r="J395" s="1805">
        <v>11</v>
      </c>
      <c r="K395" s="1756">
        <v>200</v>
      </c>
      <c r="L395" s="1827" t="s">
        <v>37</v>
      </c>
      <c r="V395" s="61" t="s">
        <v>20</v>
      </c>
      <c r="W395" s="71">
        <v>907.62032085561532</v>
      </c>
      <c r="X395" s="71">
        <v>907.62032085561532</v>
      </c>
      <c r="Y395" s="71">
        <v>907.62032085561532</v>
      </c>
      <c r="Z395" s="64"/>
      <c r="AA395" s="64"/>
      <c r="AB395" s="64"/>
      <c r="AC395" s="64"/>
      <c r="AD395" s="64"/>
      <c r="AE395" s="64"/>
      <c r="AF395" s="64"/>
      <c r="AG395" s="64"/>
      <c r="AH395" s="65"/>
      <c r="AI395" s="61" t="s">
        <v>24</v>
      </c>
      <c r="AJ395" s="66">
        <v>11</v>
      </c>
      <c r="AK395" s="66">
        <v>11</v>
      </c>
      <c r="AL395" s="66">
        <v>11</v>
      </c>
      <c r="AM395" s="64"/>
      <c r="AN395" s="64"/>
      <c r="AO395" s="64"/>
      <c r="AP395" s="64"/>
      <c r="AQ395" s="64"/>
      <c r="AR395" s="64"/>
      <c r="AS395" s="64"/>
      <c r="AT395" s="29"/>
      <c r="AU395" s="61" t="s">
        <v>25</v>
      </c>
      <c r="AV395" s="67">
        <v>200</v>
      </c>
      <c r="AW395" s="67">
        <v>200</v>
      </c>
      <c r="AX395" s="64">
        <v>200</v>
      </c>
      <c r="AY395" s="64"/>
      <c r="AZ395" s="64"/>
      <c r="BA395" s="64"/>
      <c r="BB395" s="64"/>
      <c r="BC395" s="64"/>
      <c r="BD395" s="64"/>
      <c r="BE395" s="64"/>
      <c r="DB395" s="68">
        <f t="shared" ref="DB395:DB398" si="78">(DD395)/(DE395)</f>
        <v>1.9297176618985081</v>
      </c>
      <c r="DC395" s="69" t="str">
        <f>CONCATENATE(G395," ",J395," Year EUL")</f>
        <v>Miscellaneous BUS 11 Year EUL</v>
      </c>
      <c r="DD395" s="105">
        <f>(INDEX('Avoided Cost Benefits'!$C$4:$C$857,MATCH(DC395,'Avoided Cost Benefits'!$A$4:$A$857,0)))*F395</f>
        <v>364.26949729089341</v>
      </c>
      <c r="DE395" s="70">
        <f>K395/(1.0595^(2020-2019))</f>
        <v>188.76828692779611</v>
      </c>
    </row>
    <row r="396" spans="2:109" x14ac:dyDescent="0.25">
      <c r="C396" s="1763" t="s">
        <v>353</v>
      </c>
      <c r="D396" s="1815" t="s">
        <v>34</v>
      </c>
      <c r="E396" s="1754" t="s">
        <v>354</v>
      </c>
      <c r="F396" s="210">
        <f t="shared" ref="F396:F398" si="79">ROUND(((F409*(1/G409)*I409)*(J409+(L409*P409)+(N409*Q409)))-((F409*(1/H409)*I409)*(K409+(M409*P409)+(O409*Q409))),2)</f>
        <v>308.41000000000003</v>
      </c>
      <c r="G396" s="1730" t="s">
        <v>61</v>
      </c>
      <c r="H396" s="1731">
        <f>VLOOKUP(G396,'CP FACTORS'!$A$26:$B$38,2,FALSE)</f>
        <v>1.379439E-4</v>
      </c>
      <c r="I396" s="1755">
        <f t="shared" si="77"/>
        <v>4.2542999999999997E-2</v>
      </c>
      <c r="J396" s="1805">
        <v>11</v>
      </c>
      <c r="K396" s="1756">
        <v>200</v>
      </c>
      <c r="L396" s="1827" t="s">
        <v>37</v>
      </c>
      <c r="V396" s="61" t="s">
        <v>20</v>
      </c>
      <c r="W396" s="71">
        <v>308.40938502673907</v>
      </c>
      <c r="X396" s="71">
        <v>308.40938502673907</v>
      </c>
      <c r="Y396" s="71">
        <v>308.40938502673907</v>
      </c>
      <c r="Z396" s="64"/>
      <c r="AA396" s="64"/>
      <c r="AB396" s="64"/>
      <c r="AC396" s="64"/>
      <c r="AD396" s="64"/>
      <c r="AE396" s="64"/>
      <c r="AF396" s="64"/>
      <c r="AG396" s="64"/>
      <c r="AH396" s="65"/>
      <c r="AI396" s="61" t="s">
        <v>24</v>
      </c>
      <c r="AJ396" s="66">
        <v>11</v>
      </c>
      <c r="AK396" s="66">
        <v>11</v>
      </c>
      <c r="AL396" s="66">
        <v>11</v>
      </c>
      <c r="AM396" s="64"/>
      <c r="AN396" s="64"/>
      <c r="AO396" s="64"/>
      <c r="AP396" s="64"/>
      <c r="AQ396" s="64"/>
      <c r="AR396" s="64"/>
      <c r="AS396" s="64"/>
      <c r="AT396" s="29"/>
      <c r="AU396" s="61" t="s">
        <v>25</v>
      </c>
      <c r="AV396" s="67">
        <v>200</v>
      </c>
      <c r="AW396" s="67">
        <v>200</v>
      </c>
      <c r="AX396" s="64">
        <v>200</v>
      </c>
      <c r="AY396" s="64"/>
      <c r="AZ396" s="64"/>
      <c r="BA396" s="64"/>
      <c r="BB396" s="64"/>
      <c r="BC396" s="64"/>
      <c r="BD396" s="64"/>
      <c r="BE396" s="64"/>
      <c r="DB396" s="72">
        <f t="shared" si="78"/>
        <v>0.65571960083087522</v>
      </c>
      <c r="DC396" s="73" t="str">
        <f>CONCATENATE(G396," ",J396," Year EUL")</f>
        <v>Miscellaneous BUS 11 Year EUL</v>
      </c>
      <c r="DD396" s="106">
        <f>(INDEX('Avoided Cost Benefits'!$C$4:$C$857,MATCH(DC396,'Avoided Cost Benefits'!$A$4:$A$857,0)))*F396</f>
        <v>123.77906575382258</v>
      </c>
      <c r="DE396" s="74">
        <f>K396/(1.0595^(2020-2019))</f>
        <v>188.76828692779611</v>
      </c>
    </row>
    <row r="397" spans="2:109" x14ac:dyDescent="0.25">
      <c r="C397" s="1763" t="s">
        <v>355</v>
      </c>
      <c r="D397" s="1815" t="s">
        <v>34</v>
      </c>
      <c r="E397" s="1754" t="s">
        <v>356</v>
      </c>
      <c r="F397" s="210">
        <f t="shared" si="79"/>
        <v>750.78</v>
      </c>
      <c r="G397" s="1730" t="s">
        <v>61</v>
      </c>
      <c r="H397" s="1731">
        <f>VLOOKUP(G397,'CP FACTORS'!$A$26:$B$38,2,FALSE)</f>
        <v>1.379439E-4</v>
      </c>
      <c r="I397" s="1755">
        <f t="shared" si="77"/>
        <v>0.10356600000000001</v>
      </c>
      <c r="J397" s="1805">
        <v>11</v>
      </c>
      <c r="K397" s="1756">
        <v>200</v>
      </c>
      <c r="L397" s="1827" t="s">
        <v>37</v>
      </c>
      <c r="V397" s="61" t="s">
        <v>20</v>
      </c>
      <c r="W397" s="71">
        <v>750.78352941176479</v>
      </c>
      <c r="X397" s="71">
        <v>750.78352941176479</v>
      </c>
      <c r="Y397" s="71">
        <v>750.78352941176479</v>
      </c>
      <c r="Z397" s="64"/>
      <c r="AA397" s="64"/>
      <c r="AB397" s="64"/>
      <c r="AC397" s="64"/>
      <c r="AD397" s="64"/>
      <c r="AE397" s="64"/>
      <c r="AF397" s="64"/>
      <c r="AG397" s="64"/>
      <c r="AH397" s="65"/>
      <c r="AI397" s="61" t="s">
        <v>24</v>
      </c>
      <c r="AJ397" s="66">
        <v>11</v>
      </c>
      <c r="AK397" s="66">
        <v>11</v>
      </c>
      <c r="AL397" s="66">
        <v>11</v>
      </c>
      <c r="AM397" s="64"/>
      <c r="AN397" s="64"/>
      <c r="AO397" s="64"/>
      <c r="AP397" s="64"/>
      <c r="AQ397" s="64"/>
      <c r="AR397" s="64"/>
      <c r="AS397" s="64"/>
      <c r="AT397" s="29"/>
      <c r="AU397" s="61" t="s">
        <v>25</v>
      </c>
      <c r="AV397" s="67">
        <v>200</v>
      </c>
      <c r="AW397" s="67">
        <v>200</v>
      </c>
      <c r="AX397" s="64">
        <v>200</v>
      </c>
      <c r="AY397" s="64"/>
      <c r="AZ397" s="64"/>
      <c r="BA397" s="64"/>
      <c r="BB397" s="64"/>
      <c r="BC397" s="64"/>
      <c r="BD397" s="64"/>
      <c r="BE397" s="64"/>
      <c r="DB397" s="72">
        <f t="shared" si="78"/>
        <v>1.5962555102357394</v>
      </c>
      <c r="DC397" s="73" t="str">
        <f>CONCATENATE(G397," ",J397," Year EUL")</f>
        <v>Miscellaneous BUS 11 Year EUL</v>
      </c>
      <c r="DD397" s="106">
        <f>(INDEX('Avoided Cost Benefits'!$C$4:$C$857,MATCH(DC397,'Avoided Cost Benefits'!$A$4:$A$857,0)))*F397</f>
        <v>301.32241816625566</v>
      </c>
      <c r="DE397" s="74">
        <f>K397/(1.0595^(2020-2019))</f>
        <v>188.76828692779611</v>
      </c>
    </row>
    <row r="398" spans="2:109" x14ac:dyDescent="0.25">
      <c r="C398" s="1763" t="s">
        <v>357</v>
      </c>
      <c r="D398" s="1815" t="s">
        <v>34</v>
      </c>
      <c r="E398" s="1754" t="s">
        <v>358</v>
      </c>
      <c r="F398" s="210">
        <f t="shared" si="79"/>
        <v>151.57</v>
      </c>
      <c r="G398" s="1730" t="s">
        <v>61</v>
      </c>
      <c r="H398" s="1731">
        <f>VLOOKUP(G398,'CP FACTORS'!$A$26:$B$38,2,FALSE)</f>
        <v>1.379439E-4</v>
      </c>
      <c r="I398" s="1755">
        <f t="shared" si="77"/>
        <v>2.0908E-2</v>
      </c>
      <c r="J398" s="1805">
        <v>11</v>
      </c>
      <c r="K398" s="1756">
        <v>200</v>
      </c>
      <c r="L398" s="1827" t="s">
        <v>37</v>
      </c>
      <c r="V398" s="61" t="s">
        <v>20</v>
      </c>
      <c r="W398" s="71">
        <v>151.57259358288775</v>
      </c>
      <c r="X398" s="71">
        <v>151.57259358288775</v>
      </c>
      <c r="Y398" s="71">
        <v>151.57259358288775</v>
      </c>
      <c r="Z398" s="64"/>
      <c r="AA398" s="64"/>
      <c r="AB398" s="64"/>
      <c r="AC398" s="64"/>
      <c r="AD398" s="64"/>
      <c r="AE398" s="64"/>
      <c r="AF398" s="64"/>
      <c r="AG398" s="64"/>
      <c r="AH398" s="65"/>
      <c r="AI398" s="61" t="s">
        <v>24</v>
      </c>
      <c r="AJ398" s="66">
        <v>11</v>
      </c>
      <c r="AK398" s="66">
        <v>11</v>
      </c>
      <c r="AL398" s="66">
        <v>11</v>
      </c>
      <c r="AM398" s="64"/>
      <c r="AN398" s="64"/>
      <c r="AO398" s="64"/>
      <c r="AP398" s="64"/>
      <c r="AQ398" s="64"/>
      <c r="AR398" s="64"/>
      <c r="AS398" s="64"/>
      <c r="AT398" s="29"/>
      <c r="AU398" s="61" t="s">
        <v>25</v>
      </c>
      <c r="AV398" s="67">
        <v>200</v>
      </c>
      <c r="AW398" s="67">
        <v>200</v>
      </c>
      <c r="AX398" s="64">
        <v>200</v>
      </c>
      <c r="AY398" s="64"/>
      <c r="AZ398" s="64"/>
      <c r="BA398" s="64"/>
      <c r="BB398" s="64"/>
      <c r="BC398" s="64"/>
      <c r="BD398" s="64"/>
      <c r="BE398" s="64"/>
      <c r="DB398" s="75">
        <f t="shared" si="78"/>
        <v>0.32225744916810656</v>
      </c>
      <c r="DC398" s="73" t="str">
        <f>CONCATENATE(G398," ",J398," Year EUL")</f>
        <v>Miscellaneous BUS 11 Year EUL</v>
      </c>
      <c r="DD398" s="107">
        <f>(INDEX('Avoided Cost Benefits'!$C$4:$C$857,MATCH(DC398,'Avoided Cost Benefits'!$A$4:$A$857,0)))*F398</f>
        <v>60.831986629184811</v>
      </c>
      <c r="DE398" s="76">
        <f>K398/(1.0595^(2020-2019))</f>
        <v>188.76828692779611</v>
      </c>
    </row>
    <row r="399" spans="2:109" hidden="1" outlineLevel="1" x14ac:dyDescent="0.25">
      <c r="E399" s="1719"/>
      <c r="F399" s="1719"/>
      <c r="G399" s="1719"/>
      <c r="H399" s="1741"/>
      <c r="I399" s="1719"/>
      <c r="J399" s="1719"/>
      <c r="K399" s="1719"/>
    </row>
    <row r="400" spans="2:109" hidden="1" outlineLevel="1" x14ac:dyDescent="0.25">
      <c r="D400" s="1719" t="s">
        <v>76</v>
      </c>
      <c r="E400" s="1719"/>
      <c r="F400" s="1719"/>
      <c r="G400" s="1719"/>
      <c r="H400" s="1741"/>
      <c r="I400" s="1719"/>
      <c r="J400" s="1719"/>
      <c r="K400" s="1719"/>
    </row>
    <row r="401" spans="2:109" hidden="1" outlineLevel="1" x14ac:dyDescent="0.25">
      <c r="D401" s="1742"/>
      <c r="G401" s="1771"/>
      <c r="H401" s="1772"/>
    </row>
    <row r="402" spans="2:109" hidden="1" outlineLevel="1" x14ac:dyDescent="0.25">
      <c r="D402" s="1806"/>
      <c r="E402" s="1157"/>
      <c r="G402" s="1771"/>
      <c r="H402" s="1772"/>
    </row>
    <row r="403" spans="2:109" hidden="1" outlineLevel="1" x14ac:dyDescent="0.25">
      <c r="D403" s="1806"/>
      <c r="E403" s="1157"/>
      <c r="G403" s="1716"/>
      <c r="H403" s="1743"/>
      <c r="M403" s="1719"/>
    </row>
    <row r="404" spans="2:109" hidden="1" outlineLevel="1" x14ac:dyDescent="0.25">
      <c r="D404" s="1742"/>
      <c r="G404" s="1716"/>
      <c r="H404" s="1743"/>
      <c r="M404" s="1719"/>
    </row>
    <row r="405" spans="2:109" hidden="1" outlineLevel="1" x14ac:dyDescent="0.25">
      <c r="D405" s="1742"/>
      <c r="G405" s="1716"/>
      <c r="H405" s="1743"/>
      <c r="M405" s="1719"/>
    </row>
    <row r="406" spans="2:109" hidden="1" outlineLevel="1" x14ac:dyDescent="0.25">
      <c r="D406" s="1742"/>
      <c r="G406" s="1716"/>
      <c r="H406" s="1743"/>
    </row>
    <row r="407" spans="2:109" s="78" customFormat="1" ht="30" hidden="1" outlineLevel="1" x14ac:dyDescent="0.2">
      <c r="C407" s="553"/>
      <c r="D407" s="1638" t="s">
        <v>17</v>
      </c>
      <c r="E407" s="1638" t="s">
        <v>136</v>
      </c>
      <c r="F407" s="125" t="s">
        <v>359</v>
      </c>
      <c r="G407" s="1638" t="s">
        <v>360</v>
      </c>
      <c r="H407" s="1638" t="s">
        <v>361</v>
      </c>
      <c r="I407" s="1638" t="s">
        <v>362</v>
      </c>
      <c r="J407" s="1638" t="s">
        <v>363</v>
      </c>
      <c r="K407" s="1638" t="s">
        <v>364</v>
      </c>
      <c r="L407" s="1638" t="s">
        <v>365</v>
      </c>
      <c r="M407" s="1638" t="s">
        <v>366</v>
      </c>
      <c r="N407" s="1638" t="s">
        <v>367</v>
      </c>
      <c r="O407" s="1638" t="s">
        <v>368</v>
      </c>
      <c r="P407" s="1638" t="s">
        <v>369</v>
      </c>
      <c r="Q407" s="1638" t="s">
        <v>370</v>
      </c>
      <c r="R407" s="553"/>
      <c r="S407" s="553"/>
      <c r="T407" s="553"/>
      <c r="U407" s="553"/>
      <c r="DB407" s="108"/>
    </row>
    <row r="408" spans="2:109" hidden="1" outlineLevel="1" x14ac:dyDescent="0.25">
      <c r="D408" s="1747" t="str">
        <f>C395</f>
        <v>803850_2019_12_</v>
      </c>
      <c r="E408" s="1747" t="str">
        <f>E395</f>
        <v>Clothes Washer (Electric DHW; Electric Dryer)</v>
      </c>
      <c r="F408" s="1823">
        <v>3.1</v>
      </c>
      <c r="G408" s="130">
        <v>1.7</v>
      </c>
      <c r="H408" s="1846">
        <v>2.2000000000000002</v>
      </c>
      <c r="I408" s="1807">
        <v>2190</v>
      </c>
      <c r="J408" s="1837">
        <v>6.5000000000000002E-2</v>
      </c>
      <c r="K408" s="1837">
        <v>3.5000000000000003E-2</v>
      </c>
      <c r="L408" s="1837">
        <v>0.25900000000000001</v>
      </c>
      <c r="M408" s="1837">
        <v>0.14099999999999999</v>
      </c>
      <c r="N408" s="1837">
        <v>0.67600000000000005</v>
      </c>
      <c r="O408" s="1837">
        <v>0.82399999999999995</v>
      </c>
      <c r="P408" s="1837">
        <v>1</v>
      </c>
      <c r="Q408" s="1837">
        <v>1</v>
      </c>
    </row>
    <row r="409" spans="2:109" hidden="1" outlineLevel="1" x14ac:dyDescent="0.25">
      <c r="D409" s="1747" t="str">
        <f t="shared" ref="D409:D411" si="80">C396</f>
        <v>803900_2019_12_</v>
      </c>
      <c r="E409" s="1747" t="str">
        <f>E396</f>
        <v>Clothes Washer (Gas DHW; Electric Dryer)</v>
      </c>
      <c r="F409" s="1823">
        <v>3.1</v>
      </c>
      <c r="G409" s="130">
        <v>1.7</v>
      </c>
      <c r="H409" s="1846">
        <v>2.2000000000000002</v>
      </c>
      <c r="I409" s="1807">
        <v>2190</v>
      </c>
      <c r="J409" s="1837">
        <v>6.5000000000000002E-2</v>
      </c>
      <c r="K409" s="1837">
        <v>3.5000000000000003E-2</v>
      </c>
      <c r="L409" s="1837">
        <v>0.25900000000000001</v>
      </c>
      <c r="M409" s="1837">
        <v>0.14099999999999999</v>
      </c>
      <c r="N409" s="1837">
        <v>0.67600000000000005</v>
      </c>
      <c r="O409" s="1837">
        <v>0.82399999999999995</v>
      </c>
      <c r="P409" s="1837">
        <v>0</v>
      </c>
      <c r="Q409" s="1837">
        <v>1</v>
      </c>
    </row>
    <row r="410" spans="2:109" hidden="1" outlineLevel="1" x14ac:dyDescent="0.25">
      <c r="D410" s="1747" t="str">
        <f t="shared" si="80"/>
        <v>803950_2019_12_</v>
      </c>
      <c r="E410" s="1747" t="str">
        <f>E397</f>
        <v>Clothes Washer (Electric DHW; Gas Dryer)</v>
      </c>
      <c r="F410" s="1823">
        <v>3.1</v>
      </c>
      <c r="G410" s="130">
        <v>1.7</v>
      </c>
      <c r="H410" s="1846">
        <v>2.2000000000000002</v>
      </c>
      <c r="I410" s="1807">
        <v>2190</v>
      </c>
      <c r="J410" s="1837">
        <v>6.5000000000000002E-2</v>
      </c>
      <c r="K410" s="1837">
        <v>3.5000000000000003E-2</v>
      </c>
      <c r="L410" s="1837">
        <v>0.25900000000000001</v>
      </c>
      <c r="M410" s="1837">
        <v>0.14099999999999999</v>
      </c>
      <c r="N410" s="1837">
        <v>0.67600000000000005</v>
      </c>
      <c r="O410" s="1837">
        <v>0.82399999999999995</v>
      </c>
      <c r="P410" s="1837">
        <v>1</v>
      </c>
      <c r="Q410" s="1837">
        <v>0</v>
      </c>
    </row>
    <row r="411" spans="2:109" hidden="1" outlineLevel="1" x14ac:dyDescent="0.25">
      <c r="D411" s="1747" t="str">
        <f t="shared" si="80"/>
        <v>804000_2019_12_</v>
      </c>
      <c r="E411" s="1747" t="str">
        <f>E398</f>
        <v>Clothes Washer (Gas DHW; Gas Dryer)</v>
      </c>
      <c r="F411" s="1823">
        <v>3.1</v>
      </c>
      <c r="G411" s="130">
        <v>1.7</v>
      </c>
      <c r="H411" s="1846">
        <v>2.2000000000000002</v>
      </c>
      <c r="I411" s="1807">
        <v>2190</v>
      </c>
      <c r="J411" s="1837">
        <v>6.5000000000000002E-2</v>
      </c>
      <c r="K411" s="1837">
        <v>3.5000000000000003E-2</v>
      </c>
      <c r="L411" s="1837">
        <v>0.25900000000000001</v>
      </c>
      <c r="M411" s="1837">
        <v>0.14099999999999999</v>
      </c>
      <c r="N411" s="1837">
        <v>0.67600000000000005</v>
      </c>
      <c r="O411" s="1837">
        <v>0.82399999999999995</v>
      </c>
      <c r="P411" s="1837">
        <v>0</v>
      </c>
      <c r="Q411" s="1837">
        <v>0</v>
      </c>
    </row>
    <row r="412" spans="2:109" collapsed="1" x14ac:dyDescent="0.25"/>
    <row r="414" spans="2:109" s="50" customFormat="1" ht="30" x14ac:dyDescent="0.25">
      <c r="B414" s="51"/>
      <c r="C414" s="52" t="s">
        <v>17</v>
      </c>
      <c r="D414" s="52" t="s">
        <v>18</v>
      </c>
      <c r="E414" s="1678" t="s">
        <v>19</v>
      </c>
      <c r="F414" s="1678" t="s">
        <v>20</v>
      </c>
      <c r="G414" s="1678" t="s">
        <v>21</v>
      </c>
      <c r="H414" s="53" t="s">
        <v>22</v>
      </c>
      <c r="I414" s="1678" t="s">
        <v>23</v>
      </c>
      <c r="J414" s="1678" t="s">
        <v>24</v>
      </c>
      <c r="K414" s="52" t="s">
        <v>25</v>
      </c>
      <c r="L414" s="52" t="s">
        <v>26</v>
      </c>
      <c r="M414" s="1716"/>
      <c r="N414" s="1845"/>
      <c r="O414" s="1819"/>
      <c r="P414" s="1820"/>
      <c r="Q414" s="1726"/>
      <c r="R414" s="1726"/>
      <c r="S414" s="1726"/>
      <c r="T414" s="1726"/>
      <c r="U414" s="1726"/>
      <c r="V414" s="55" t="s">
        <v>27</v>
      </c>
      <c r="W414" s="56">
        <f>$W$8</f>
        <v>43252</v>
      </c>
      <c r="X414" s="56">
        <f>$X$8</f>
        <v>43465</v>
      </c>
      <c r="Y414" s="56">
        <f>$Y$8</f>
        <v>43800</v>
      </c>
      <c r="Z414" s="56" t="str">
        <f>$Z$8</f>
        <v>-</v>
      </c>
      <c r="AA414" s="56" t="str">
        <f>$AA$8</f>
        <v>-</v>
      </c>
      <c r="AB414" s="56" t="str">
        <f>$AB$8</f>
        <v>-</v>
      </c>
      <c r="AC414" s="56" t="str">
        <f>$AC$8</f>
        <v>-</v>
      </c>
      <c r="AD414" s="56" t="str">
        <f>$AD$8</f>
        <v>-</v>
      </c>
      <c r="AE414" s="56" t="str">
        <f>$AE$8</f>
        <v>-</v>
      </c>
      <c r="AF414" s="56" t="str">
        <f>$AF$8</f>
        <v>-</v>
      </c>
      <c r="AG414" s="56" t="str">
        <f>$AG$8</f>
        <v>-</v>
      </c>
      <c r="AH414"/>
      <c r="AI414" s="55" t="s">
        <v>27</v>
      </c>
      <c r="AJ414" s="56">
        <v>43252</v>
      </c>
      <c r="AK414" s="56">
        <f>$X$8</f>
        <v>43465</v>
      </c>
      <c r="AL414" s="56">
        <f>$Y$8</f>
        <v>43800</v>
      </c>
      <c r="AM414" s="56" t="str">
        <f>$Z$8</f>
        <v>-</v>
      </c>
      <c r="AN414" s="56" t="str">
        <f>$AA$8</f>
        <v>-</v>
      </c>
      <c r="AO414" s="56" t="str">
        <f>$AB$8</f>
        <v>-</v>
      </c>
      <c r="AP414" s="56" t="str">
        <f>$AC$8</f>
        <v>-</v>
      </c>
      <c r="AQ414" s="56" t="str">
        <f>$AD$8</f>
        <v>-</v>
      </c>
      <c r="AR414" s="56" t="str">
        <f>$AE$8</f>
        <v>-</v>
      </c>
      <c r="AS414" s="56" t="str">
        <f>$AF$8</f>
        <v>-</v>
      </c>
      <c r="AT414" s="29"/>
      <c r="AU414" s="55" t="s">
        <v>27</v>
      </c>
      <c r="AV414" s="56">
        <v>43252</v>
      </c>
      <c r="AW414" s="56">
        <f>$X$8</f>
        <v>43465</v>
      </c>
      <c r="AX414" s="56">
        <f>$Y$8</f>
        <v>43800</v>
      </c>
      <c r="AY414" s="56" t="str">
        <f>$Z$8</f>
        <v>-</v>
      </c>
      <c r="AZ414" s="56" t="str">
        <f>$AA$8</f>
        <v>-</v>
      </c>
      <c r="BA414" s="56" t="str">
        <f>$AB$8</f>
        <v>-</v>
      </c>
      <c r="BB414" s="56" t="str">
        <f>$AC$8</f>
        <v>-</v>
      </c>
      <c r="BC414" s="56" t="str">
        <f>$AD$8</f>
        <v>-</v>
      </c>
      <c r="BD414" s="56" t="str">
        <f>$AE$8</f>
        <v>-</v>
      </c>
      <c r="BE414" s="56" t="str">
        <f>$AF$8</f>
        <v>-</v>
      </c>
      <c r="DB414" s="57" t="str">
        <f>$DB$8</f>
        <v>TRC (2020)</v>
      </c>
      <c r="DC414" s="103" t="str">
        <f>$DC$8</f>
        <v>Benefit Lookup</v>
      </c>
      <c r="DD414" s="103" t="str">
        <f>$DD$8</f>
        <v>Benefits (2019 $)</v>
      </c>
      <c r="DE414" s="103" t="str">
        <f>$DE$8</f>
        <v>Incremental Cost (2019 $)</v>
      </c>
    </row>
    <row r="415" spans="2:109" x14ac:dyDescent="0.25">
      <c r="C415" s="1763" t="s">
        <v>371</v>
      </c>
      <c r="D415" s="1815" t="s">
        <v>34</v>
      </c>
      <c r="E415" s="1754" t="s">
        <v>372</v>
      </c>
      <c r="F415" s="210">
        <f>ROUND(((F429/G429)-(F429/H429))*I429*J429,2)</f>
        <v>840.73</v>
      </c>
      <c r="G415" s="1730" t="s">
        <v>61</v>
      </c>
      <c r="H415" s="1731">
        <f>VLOOKUP(G415,'CP FACTORS'!$A$26:$B$38,2,FALSE)</f>
        <v>1.379439E-4</v>
      </c>
      <c r="I415" s="1755">
        <f t="shared" ref="I415:I419" si="81">ROUND(H415*F415,6)</f>
        <v>0.11597399999999999</v>
      </c>
      <c r="J415" s="1805">
        <v>14</v>
      </c>
      <c r="K415" s="1756">
        <v>75</v>
      </c>
      <c r="L415" s="1827" t="s">
        <v>37</v>
      </c>
      <c r="V415" s="61" t="s">
        <v>20</v>
      </c>
      <c r="W415" s="71">
        <v>840.73431350891383</v>
      </c>
      <c r="X415" s="71">
        <v>840.73431350891383</v>
      </c>
      <c r="Y415" s="71">
        <v>840.73431350891383</v>
      </c>
      <c r="Z415" s="64"/>
      <c r="AA415" s="64"/>
      <c r="AB415" s="64"/>
      <c r="AC415" s="64"/>
      <c r="AD415" s="64"/>
      <c r="AE415" s="64"/>
      <c r="AF415" s="64"/>
      <c r="AG415" s="64"/>
      <c r="AH415" s="65"/>
      <c r="AI415" s="61" t="s">
        <v>24</v>
      </c>
      <c r="AJ415" s="66">
        <v>14</v>
      </c>
      <c r="AK415" s="66">
        <v>14</v>
      </c>
      <c r="AL415" s="66">
        <v>14</v>
      </c>
      <c r="AM415" s="64"/>
      <c r="AN415" s="64"/>
      <c r="AO415" s="64"/>
      <c r="AP415" s="64"/>
      <c r="AQ415" s="64"/>
      <c r="AR415" s="64"/>
      <c r="AS415" s="64"/>
      <c r="AT415" s="29"/>
      <c r="AU415" s="61" t="s">
        <v>25</v>
      </c>
      <c r="AV415" s="67">
        <v>75</v>
      </c>
      <c r="AW415" s="67">
        <v>75</v>
      </c>
      <c r="AX415" s="67">
        <v>75</v>
      </c>
      <c r="AY415" s="64"/>
      <c r="AZ415" s="64"/>
      <c r="BA415" s="64"/>
      <c r="BB415" s="64"/>
      <c r="BC415" s="64"/>
      <c r="BD415" s="64"/>
      <c r="BE415" s="64"/>
      <c r="DB415" s="68">
        <f t="shared" ref="DB415:DB419" si="82">(DD415)/(DE415)</f>
        <v>5.9917958609290851</v>
      </c>
      <c r="DC415" s="69" t="str">
        <f>CONCATENATE(G415," ",J415," Year EUL")</f>
        <v>Miscellaneous BUS 14 Year EUL</v>
      </c>
      <c r="DD415" s="105">
        <f>(INDEX('Avoided Cost Benefits'!$C$4:$C$857,MATCH(DC415,'Avoided Cost Benefits'!$A$4:$A$857,0)))*F415</f>
        <v>424.14789010824103</v>
      </c>
      <c r="DE415" s="70">
        <f>K415/(1.0595^(2020-2019))</f>
        <v>70.788107597923542</v>
      </c>
    </row>
    <row r="416" spans="2:109" x14ac:dyDescent="0.25">
      <c r="C416" s="1763" t="s">
        <v>373</v>
      </c>
      <c r="D416" s="1815" t="s">
        <v>34</v>
      </c>
      <c r="E416" s="1754" t="s">
        <v>374</v>
      </c>
      <c r="F416" s="210">
        <f t="shared" ref="F416:F419" si="83">ROUND(((F430/G430)-(F430/H430))*I430*J430,2)</f>
        <v>307.27999999999997</v>
      </c>
      <c r="G416" s="1730" t="s">
        <v>61</v>
      </c>
      <c r="H416" s="1731">
        <f>VLOOKUP(G416,'CP FACTORS'!$A$26:$B$38,2,FALSE)</f>
        <v>1.379439E-4</v>
      </c>
      <c r="I416" s="1755">
        <f t="shared" si="81"/>
        <v>4.2387000000000001E-2</v>
      </c>
      <c r="J416" s="1805">
        <v>14</v>
      </c>
      <c r="K416" s="1756">
        <v>105</v>
      </c>
      <c r="L416" s="1827" t="s">
        <v>37</v>
      </c>
      <c r="V416" s="61" t="s">
        <v>20</v>
      </c>
      <c r="W416" s="71">
        <v>307.28361601678625</v>
      </c>
      <c r="X416" s="71">
        <v>307.28361601678625</v>
      </c>
      <c r="Y416" s="71">
        <v>307.28361601678625</v>
      </c>
      <c r="Z416" s="64"/>
      <c r="AA416" s="64"/>
      <c r="AB416" s="64"/>
      <c r="AC416" s="64"/>
      <c r="AD416" s="64"/>
      <c r="AE416" s="64"/>
      <c r="AF416" s="64"/>
      <c r="AG416" s="64"/>
      <c r="AH416" s="65"/>
      <c r="AI416" s="61" t="s">
        <v>24</v>
      </c>
      <c r="AJ416" s="66">
        <v>14</v>
      </c>
      <c r="AK416" s="66">
        <v>14</v>
      </c>
      <c r="AL416" s="66">
        <v>14</v>
      </c>
      <c r="AM416" s="64"/>
      <c r="AN416" s="64"/>
      <c r="AO416" s="64"/>
      <c r="AP416" s="64"/>
      <c r="AQ416" s="64"/>
      <c r="AR416" s="64"/>
      <c r="AS416" s="64"/>
      <c r="AT416" s="29"/>
      <c r="AU416" s="61" t="s">
        <v>25</v>
      </c>
      <c r="AV416" s="67">
        <v>105</v>
      </c>
      <c r="AW416" s="67">
        <v>105</v>
      </c>
      <c r="AX416" s="67">
        <v>105</v>
      </c>
      <c r="AY416" s="64"/>
      <c r="AZ416" s="64"/>
      <c r="BA416" s="64"/>
      <c r="BB416" s="64"/>
      <c r="BC416" s="64"/>
      <c r="BD416" s="64"/>
      <c r="BE416" s="64"/>
      <c r="DB416" s="72">
        <f t="shared" si="82"/>
        <v>1.564252012406131</v>
      </c>
      <c r="DC416" s="73" t="str">
        <f>CONCATENATE(G416," ",J416," Year EUL")</f>
        <v>Miscellaneous BUS 14 Year EUL</v>
      </c>
      <c r="DD416" s="106">
        <f>(INDEX('Avoided Cost Benefits'!$C$4:$C$857,MATCH(DC416,'Avoided Cost Benefits'!$A$4:$A$857,0)))*F416</f>
        <v>155.02261567026309</v>
      </c>
      <c r="DE416" s="74">
        <f>K416/(1.0595^(2020-2019))</f>
        <v>99.103350637092959</v>
      </c>
    </row>
    <row r="417" spans="3:109" x14ac:dyDescent="0.25">
      <c r="C417" s="1763" t="s">
        <v>375</v>
      </c>
      <c r="D417" s="1815" t="s">
        <v>34</v>
      </c>
      <c r="E417" s="1754" t="s">
        <v>376</v>
      </c>
      <c r="F417" s="210">
        <f t="shared" si="83"/>
        <v>340.11</v>
      </c>
      <c r="G417" s="1730" t="s">
        <v>61</v>
      </c>
      <c r="H417" s="1731">
        <f>VLOOKUP(G417,'CP FACTORS'!$A$26:$B$38,2,FALSE)</f>
        <v>1.379439E-4</v>
      </c>
      <c r="I417" s="1755">
        <f t="shared" si="81"/>
        <v>4.6915999999999999E-2</v>
      </c>
      <c r="J417" s="1805">
        <v>14</v>
      </c>
      <c r="K417" s="1756">
        <v>105</v>
      </c>
      <c r="L417" s="1827" t="s">
        <v>37</v>
      </c>
      <c r="V417" s="61" t="s">
        <v>20</v>
      </c>
      <c r="W417" s="71">
        <v>340.10511227902549</v>
      </c>
      <c r="X417" s="71">
        <v>340.10511227902549</v>
      </c>
      <c r="Y417" s="71">
        <v>340.10511227902549</v>
      </c>
      <c r="Z417" s="64"/>
      <c r="AA417" s="64"/>
      <c r="AB417" s="64"/>
      <c r="AC417" s="64"/>
      <c r="AD417" s="64"/>
      <c r="AE417" s="64"/>
      <c r="AF417" s="64"/>
      <c r="AG417" s="64"/>
      <c r="AH417" s="65"/>
      <c r="AI417" s="61" t="s">
        <v>24</v>
      </c>
      <c r="AJ417" s="66">
        <v>14</v>
      </c>
      <c r="AK417" s="66">
        <v>14</v>
      </c>
      <c r="AL417" s="66">
        <v>14</v>
      </c>
      <c r="AM417" s="64"/>
      <c r="AN417" s="64"/>
      <c r="AO417" s="64"/>
      <c r="AP417" s="64"/>
      <c r="AQ417" s="64"/>
      <c r="AR417" s="64"/>
      <c r="AS417" s="64"/>
      <c r="AT417" s="29"/>
      <c r="AU417" s="61" t="s">
        <v>25</v>
      </c>
      <c r="AV417" s="67">
        <v>105</v>
      </c>
      <c r="AW417" s="67">
        <v>105</v>
      </c>
      <c r="AX417" s="67">
        <v>105</v>
      </c>
      <c r="AY417" s="64"/>
      <c r="AZ417" s="64"/>
      <c r="BA417" s="64"/>
      <c r="BB417" s="64"/>
      <c r="BC417" s="64"/>
      <c r="BD417" s="64"/>
      <c r="BE417" s="64"/>
      <c r="DB417" s="72">
        <f t="shared" si="82"/>
        <v>1.7313777399747763</v>
      </c>
      <c r="DC417" s="73" t="str">
        <f>CONCATENATE(G417," ",J417," Year EUL")</f>
        <v>Miscellaneous BUS 14 Year EUL</v>
      </c>
      <c r="DD417" s="106">
        <f>(INDEX('Avoided Cost Benefits'!$C$4:$C$857,MATCH(DC417,'Avoided Cost Benefits'!$A$4:$A$857,0)))*F417</f>
        <v>171.58533524997782</v>
      </c>
      <c r="DE417" s="74">
        <f>K417/(1.0595^(2020-2019))</f>
        <v>99.103350637092959</v>
      </c>
    </row>
    <row r="418" spans="3:109" x14ac:dyDescent="0.25">
      <c r="C418" s="1763" t="s">
        <v>377</v>
      </c>
      <c r="D418" s="1815" t="s">
        <v>34</v>
      </c>
      <c r="E418" s="1754" t="s">
        <v>378</v>
      </c>
      <c r="F418" s="210">
        <f t="shared" si="83"/>
        <v>428.66</v>
      </c>
      <c r="G418" s="1730" t="s">
        <v>61</v>
      </c>
      <c r="H418" s="1731">
        <f>VLOOKUP(G418,'CP FACTORS'!$A$26:$B$38,2,FALSE)</f>
        <v>1.379439E-4</v>
      </c>
      <c r="I418" s="1755">
        <f t="shared" si="81"/>
        <v>5.9131000000000003E-2</v>
      </c>
      <c r="J418" s="1805">
        <v>14</v>
      </c>
      <c r="K418" s="1756">
        <v>105</v>
      </c>
      <c r="L418" s="1827" t="s">
        <v>37</v>
      </c>
      <c r="V418" s="61" t="s">
        <v>20</v>
      </c>
      <c r="W418" s="71">
        <v>428.65776750052589</v>
      </c>
      <c r="X418" s="71">
        <v>428.65776750052589</v>
      </c>
      <c r="Y418" s="71">
        <v>428.65776750052589</v>
      </c>
      <c r="Z418" s="64"/>
      <c r="AA418" s="64"/>
      <c r="AB418" s="64"/>
      <c r="AC418" s="64"/>
      <c r="AD418" s="64"/>
      <c r="AE418" s="64"/>
      <c r="AF418" s="64"/>
      <c r="AG418" s="64"/>
      <c r="AH418" s="65"/>
      <c r="AI418" s="61" t="s">
        <v>24</v>
      </c>
      <c r="AJ418" s="66">
        <v>14</v>
      </c>
      <c r="AK418" s="66">
        <v>14</v>
      </c>
      <c r="AL418" s="66">
        <v>14</v>
      </c>
      <c r="AM418" s="64"/>
      <c r="AN418" s="64"/>
      <c r="AO418" s="64"/>
      <c r="AP418" s="64"/>
      <c r="AQ418" s="64"/>
      <c r="AR418" s="64"/>
      <c r="AS418" s="64"/>
      <c r="AT418" s="29"/>
      <c r="AU418" s="61" t="s">
        <v>25</v>
      </c>
      <c r="AV418" s="67">
        <v>105</v>
      </c>
      <c r="AW418" s="67">
        <v>105</v>
      </c>
      <c r="AX418" s="67">
        <v>105</v>
      </c>
      <c r="AY418" s="64"/>
      <c r="AZ418" s="64"/>
      <c r="BA418" s="64"/>
      <c r="BB418" s="64"/>
      <c r="BC418" s="64"/>
      <c r="BD418" s="64"/>
      <c r="BE418" s="64"/>
      <c r="DB418" s="72">
        <f t="shared" si="82"/>
        <v>2.1821539561247469</v>
      </c>
      <c r="DC418" s="73" t="str">
        <f>CONCATENATE(G418," ",J418," Year EUL")</f>
        <v>Miscellaneous BUS 14 Year EUL</v>
      </c>
      <c r="DD418" s="106">
        <f>(INDEX('Avoided Cost Benefits'!$C$4:$C$857,MATCH(DC418,'Avoided Cost Benefits'!$A$4:$A$857,0)))*F418</f>
        <v>216.25876865795036</v>
      </c>
      <c r="DE418" s="74">
        <f>K418/(1.0595^(2020-2019))</f>
        <v>99.103350637092959</v>
      </c>
    </row>
    <row r="419" spans="3:109" x14ac:dyDescent="0.25">
      <c r="C419" s="1763" t="s">
        <v>379</v>
      </c>
      <c r="D419" s="1815" t="s">
        <v>34</v>
      </c>
      <c r="E419" s="1754" t="s">
        <v>380</v>
      </c>
      <c r="F419" s="210">
        <f t="shared" si="83"/>
        <v>40.57</v>
      </c>
      <c r="G419" s="1730" t="s">
        <v>61</v>
      </c>
      <c r="H419" s="1731">
        <f>VLOOKUP(G419,'CP FACTORS'!$A$26:$B$38,2,FALSE)</f>
        <v>1.379439E-4</v>
      </c>
      <c r="I419" s="1755">
        <f t="shared" si="81"/>
        <v>5.5960000000000003E-3</v>
      </c>
      <c r="J419" s="1805">
        <v>14</v>
      </c>
      <c r="K419" s="1756">
        <v>75</v>
      </c>
      <c r="L419" s="1827" t="s">
        <v>37</v>
      </c>
      <c r="V419" s="61" t="s">
        <v>20</v>
      </c>
      <c r="W419" s="71">
        <v>40.574226971021517</v>
      </c>
      <c r="X419" s="71">
        <v>40.574226971021517</v>
      </c>
      <c r="Y419" s="71">
        <v>40.574226971021517</v>
      </c>
      <c r="Z419" s="64"/>
      <c r="AA419" s="64"/>
      <c r="AB419" s="64"/>
      <c r="AC419" s="64"/>
      <c r="AD419" s="64"/>
      <c r="AE419" s="64"/>
      <c r="AF419" s="64"/>
      <c r="AG419" s="64"/>
      <c r="AH419" s="65"/>
      <c r="AI419" s="61" t="s">
        <v>24</v>
      </c>
      <c r="AJ419" s="66">
        <v>14</v>
      </c>
      <c r="AK419" s="66">
        <v>14</v>
      </c>
      <c r="AL419" s="66">
        <v>14</v>
      </c>
      <c r="AM419" s="64"/>
      <c r="AN419" s="64"/>
      <c r="AO419" s="64"/>
      <c r="AP419" s="64"/>
      <c r="AQ419" s="64"/>
      <c r="AR419" s="64"/>
      <c r="AS419" s="64"/>
      <c r="AT419" s="29"/>
      <c r="AU419" s="61" t="s">
        <v>25</v>
      </c>
      <c r="AV419" s="67">
        <v>75</v>
      </c>
      <c r="AW419" s="67">
        <v>75</v>
      </c>
      <c r="AX419" s="67">
        <v>75</v>
      </c>
      <c r="AY419" s="64"/>
      <c r="AZ419" s="64"/>
      <c r="BA419" s="64"/>
      <c r="BB419" s="64"/>
      <c r="BC419" s="64"/>
      <c r="BD419" s="64"/>
      <c r="BE419" s="64"/>
      <c r="DB419" s="75">
        <f t="shared" si="82"/>
        <v>0.28913819903880317</v>
      </c>
      <c r="DC419" s="73" t="str">
        <f>CONCATENATE(G419," ",J419," Year EUL")</f>
        <v>Miscellaneous BUS 14 Year EUL</v>
      </c>
      <c r="DD419" s="107">
        <f>(INDEX('Avoided Cost Benefits'!$C$4:$C$857,MATCH(DC419,'Avoided Cost Benefits'!$A$4:$A$857,0)))*F419</f>
        <v>20.467545944228632</v>
      </c>
      <c r="DE419" s="76">
        <f>K419/(1.0595^(2020-2019))</f>
        <v>70.788107597923542</v>
      </c>
    </row>
    <row r="420" spans="3:109" hidden="1" outlineLevel="1" x14ac:dyDescent="0.25">
      <c r="E420" s="1719"/>
      <c r="F420" s="1719"/>
      <c r="G420" s="1719"/>
      <c r="H420" s="1741"/>
      <c r="I420" s="1719"/>
      <c r="J420" s="1719"/>
      <c r="K420" s="1719"/>
    </row>
    <row r="421" spans="3:109" hidden="1" outlineLevel="1" x14ac:dyDescent="0.25">
      <c r="D421" s="1719" t="s">
        <v>76</v>
      </c>
      <c r="E421" s="1719"/>
      <c r="F421" s="1719"/>
      <c r="G421" s="1719"/>
      <c r="H421" s="1741"/>
      <c r="I421" s="1719"/>
      <c r="J421" s="1719"/>
      <c r="K421" s="1719"/>
    </row>
    <row r="422" spans="3:109" hidden="1" outlineLevel="1" x14ac:dyDescent="0.25">
      <c r="D422" s="1742"/>
      <c r="G422" s="1771"/>
      <c r="H422" s="1772"/>
    </row>
    <row r="423" spans="3:109" hidden="1" outlineLevel="1" x14ac:dyDescent="0.25">
      <c r="D423" s="1806"/>
      <c r="E423" s="1157"/>
      <c r="G423" s="1771"/>
      <c r="H423" s="1772"/>
    </row>
    <row r="424" spans="3:109" hidden="1" outlineLevel="1" x14ac:dyDescent="0.25">
      <c r="D424" s="1806"/>
      <c r="E424" s="1157"/>
      <c r="G424" s="1716"/>
      <c r="H424" s="1743"/>
      <c r="M424" s="1719"/>
    </row>
    <row r="425" spans="3:109" hidden="1" outlineLevel="1" x14ac:dyDescent="0.25">
      <c r="D425" s="1742"/>
      <c r="G425" s="1716"/>
      <c r="H425" s="1743"/>
      <c r="M425" s="1719"/>
    </row>
    <row r="426" spans="3:109" hidden="1" outlineLevel="1" x14ac:dyDescent="0.25">
      <c r="D426" s="1742"/>
      <c r="G426" s="1716"/>
      <c r="H426" s="1743"/>
      <c r="M426" s="1719"/>
    </row>
    <row r="427" spans="3:109" hidden="1" outlineLevel="1" x14ac:dyDescent="0.25">
      <c r="D427" s="1742"/>
      <c r="G427" s="1716"/>
      <c r="H427" s="1743"/>
    </row>
    <row r="428" spans="3:109" s="78" customFormat="1" ht="30" hidden="1" outlineLevel="1" x14ac:dyDescent="0.2">
      <c r="C428" s="553"/>
      <c r="D428" s="1638" t="s">
        <v>17</v>
      </c>
      <c r="E428" s="1638" t="s">
        <v>136</v>
      </c>
      <c r="F428" s="125" t="s">
        <v>381</v>
      </c>
      <c r="G428" s="1638" t="s">
        <v>382</v>
      </c>
      <c r="H428" s="1638" t="s">
        <v>383</v>
      </c>
      <c r="I428" s="1638" t="s">
        <v>362</v>
      </c>
      <c r="J428" s="1638" t="s">
        <v>384</v>
      </c>
      <c r="K428" s="1638"/>
      <c r="L428" s="1638"/>
      <c r="M428" s="1638"/>
      <c r="N428" s="1638"/>
      <c r="O428" s="1638"/>
      <c r="P428" s="1638"/>
      <c r="Q428" s="1638"/>
      <c r="R428" s="553"/>
      <c r="S428" s="553"/>
      <c r="T428" s="553"/>
      <c r="U428" s="553"/>
      <c r="DB428" s="108"/>
    </row>
    <row r="429" spans="3:109" hidden="1" outlineLevel="1" x14ac:dyDescent="0.25">
      <c r="D429" s="1747" t="str">
        <f>C415</f>
        <v>804050_2019_12_</v>
      </c>
      <c r="E429" s="1747" t="str">
        <f>E415</f>
        <v>Clothes Dryer Vented Electric, Standard (≥ 4.4 ft3)</v>
      </c>
      <c r="F429" s="1823">
        <v>8.4499999999999993</v>
      </c>
      <c r="G429" s="130">
        <v>3.11</v>
      </c>
      <c r="H429" s="1847">
        <v>3.93</v>
      </c>
      <c r="I429" s="1808">
        <v>1483</v>
      </c>
      <c r="J429" s="1837">
        <v>1</v>
      </c>
      <c r="K429" s="1837"/>
      <c r="L429" s="1837"/>
      <c r="M429" s="1837"/>
      <c r="N429" s="1837"/>
      <c r="O429" s="1837"/>
      <c r="P429" s="1837"/>
      <c r="Q429" s="1837"/>
    </row>
    <row r="430" spans="3:109" hidden="1" outlineLevel="1" x14ac:dyDescent="0.25">
      <c r="D430" s="1747" t="str">
        <f t="shared" ref="D430:D433" si="84">C416</f>
        <v>804100_2019_12_</v>
      </c>
      <c r="E430" s="1747" t="str">
        <f>E416</f>
        <v>Clothes Dryer Vented Electric, Compact (120V) (&lt; 4.4 ft3)</v>
      </c>
      <c r="F430" s="1823">
        <v>3</v>
      </c>
      <c r="G430" s="130">
        <v>3.01</v>
      </c>
      <c r="H430" s="1847">
        <v>3.8</v>
      </c>
      <c r="I430" s="1808">
        <v>1483</v>
      </c>
      <c r="J430" s="1837">
        <v>1</v>
      </c>
      <c r="K430" s="1837"/>
      <c r="L430" s="1837"/>
      <c r="M430" s="1837"/>
      <c r="N430" s="1837"/>
      <c r="O430" s="1837"/>
      <c r="P430" s="1837"/>
      <c r="Q430" s="1837"/>
    </row>
    <row r="431" spans="3:109" hidden="1" outlineLevel="1" x14ac:dyDescent="0.25">
      <c r="D431" s="1747" t="str">
        <f t="shared" si="84"/>
        <v>804150_2019_12_</v>
      </c>
      <c r="E431" s="1747" t="str">
        <f>E417</f>
        <v>Clothes Dryer Vented Electric, Compact (240V) (&lt;4.4 ft3)</v>
      </c>
      <c r="F431" s="1823">
        <v>3</v>
      </c>
      <c r="G431" s="130">
        <v>2.73</v>
      </c>
      <c r="H431" s="1847">
        <v>3.45</v>
      </c>
      <c r="I431" s="1808">
        <v>1483</v>
      </c>
      <c r="J431" s="1837">
        <v>1</v>
      </c>
      <c r="K431" s="1837"/>
      <c r="L431" s="1837"/>
      <c r="M431" s="1837"/>
      <c r="N431" s="1837"/>
      <c r="O431" s="1837"/>
      <c r="P431" s="1837"/>
      <c r="Q431" s="1837"/>
    </row>
    <row r="432" spans="3:109" hidden="1" outlineLevel="1" x14ac:dyDescent="0.25">
      <c r="D432" s="1747" t="str">
        <f t="shared" si="84"/>
        <v>804200_2019_12_</v>
      </c>
      <c r="E432" s="1747" t="str">
        <f>E418</f>
        <v>Clothes Dryer Ventless Electric, Compact (240V) (&lt;4.4 ft3)</v>
      </c>
      <c r="F432" s="1823">
        <v>3</v>
      </c>
      <c r="G432" s="130">
        <v>2.13</v>
      </c>
      <c r="H432" s="1847">
        <v>2.68</v>
      </c>
      <c r="I432" s="1808">
        <v>1483</v>
      </c>
      <c r="J432" s="1837">
        <v>1</v>
      </c>
      <c r="K432" s="1837"/>
      <c r="L432" s="1837"/>
      <c r="M432" s="1837"/>
      <c r="N432" s="1837"/>
      <c r="O432" s="1837"/>
      <c r="P432" s="1837"/>
      <c r="Q432" s="1837"/>
    </row>
    <row r="433" spans="2:109" hidden="1" outlineLevel="1" x14ac:dyDescent="0.25">
      <c r="D433" s="1747" t="str">
        <f t="shared" si="84"/>
        <v>804250_2019_12_</v>
      </c>
      <c r="E433" s="1747" t="str">
        <f>E419</f>
        <v>Clothes Dryer Vented Gas</v>
      </c>
      <c r="F433" s="1823">
        <v>8.4499999999999993</v>
      </c>
      <c r="G433" s="130">
        <v>2.84</v>
      </c>
      <c r="H433" s="1847">
        <v>3.48</v>
      </c>
      <c r="I433" s="1808">
        <v>1483</v>
      </c>
      <c r="J433" s="1837">
        <v>0.05</v>
      </c>
      <c r="K433" s="1837"/>
      <c r="L433" s="1837"/>
      <c r="M433" s="1837"/>
      <c r="N433" s="1837"/>
      <c r="O433" s="1837"/>
      <c r="P433" s="1837"/>
      <c r="Q433" s="1837"/>
    </row>
    <row r="434" spans="2:109" collapsed="1" x14ac:dyDescent="0.25"/>
    <row r="436" spans="2:109" s="46" customFormat="1" x14ac:dyDescent="0.25">
      <c r="B436" s="2612" t="s">
        <v>385</v>
      </c>
      <c r="C436" s="2613"/>
      <c r="D436" s="2613"/>
      <c r="E436" s="2613"/>
      <c r="F436" s="2613"/>
      <c r="G436" s="2613"/>
      <c r="H436" s="2613"/>
      <c r="I436" s="2614"/>
      <c r="J436" s="2614"/>
      <c r="K436" s="2614"/>
      <c r="L436" s="2614"/>
      <c r="M436" s="2615"/>
      <c r="N436" s="2615"/>
      <c r="O436" s="2616"/>
      <c r="V436" s="47" t="str">
        <f>B436</f>
        <v>Compressed Air</v>
      </c>
      <c r="W436" s="48"/>
      <c r="X436" s="48"/>
      <c r="Y436" s="48"/>
      <c r="Z436" s="48"/>
      <c r="AA436" s="48"/>
      <c r="AB436" s="48"/>
      <c r="AC436" s="48"/>
      <c r="AD436" s="48"/>
      <c r="AE436" s="48"/>
      <c r="AF436" s="48"/>
      <c r="AG436" s="48"/>
      <c r="AH436" s="48"/>
      <c r="AI436" s="49"/>
      <c r="AJ436" s="26"/>
      <c r="AK436" s="26"/>
      <c r="AL436" s="26"/>
      <c r="AM436" s="26"/>
      <c r="AN436" s="26"/>
      <c r="AO436" s="26"/>
      <c r="AP436" s="26"/>
      <c r="AQ436" s="26"/>
      <c r="AR436" s="26"/>
      <c r="AS436" s="26"/>
      <c r="AT436" s="26"/>
      <c r="AU436" s="26"/>
      <c r="DB436" s="109"/>
    </row>
    <row r="437" spans="2:109" x14ac:dyDescent="0.25">
      <c r="D437" s="1724"/>
      <c r="E437" s="1719"/>
      <c r="F437" s="1719"/>
      <c r="G437" s="1719"/>
      <c r="H437" s="1725"/>
      <c r="I437" s="1719"/>
      <c r="J437" s="1719"/>
      <c r="K437" s="1719"/>
      <c r="L437" s="1719"/>
      <c r="P437" s="1719"/>
      <c r="Q437" s="1719"/>
      <c r="R437" s="1719"/>
      <c r="S437" s="1719"/>
      <c r="T437" s="1719"/>
      <c r="U437" s="1719"/>
      <c r="V437"/>
      <c r="W437"/>
      <c r="X437"/>
      <c r="Y437"/>
      <c r="Z437"/>
      <c r="AA437"/>
      <c r="AB437"/>
      <c r="AC437"/>
      <c r="AD437"/>
      <c r="AE437"/>
      <c r="AF437"/>
      <c r="AG437"/>
      <c r="AH437"/>
      <c r="AI437"/>
      <c r="AJ437" s="44"/>
      <c r="AK437" s="44"/>
      <c r="AL437" s="44"/>
      <c r="AM437" s="44"/>
      <c r="AN437" s="44"/>
      <c r="AO437" s="44"/>
      <c r="AP437" s="44"/>
      <c r="AQ437" s="44"/>
      <c r="AR437" s="44"/>
      <c r="AS437" s="44"/>
      <c r="AT437" s="44"/>
      <c r="AU437" s="44"/>
    </row>
    <row r="438" spans="2:109" s="50" customFormat="1" ht="30" x14ac:dyDescent="0.25">
      <c r="B438" s="51"/>
      <c r="C438" s="52" t="s">
        <v>17</v>
      </c>
      <c r="D438" s="52" t="s">
        <v>18</v>
      </c>
      <c r="E438" s="1678" t="s">
        <v>19</v>
      </c>
      <c r="F438" s="1678" t="s">
        <v>20</v>
      </c>
      <c r="G438" s="1678" t="s">
        <v>21</v>
      </c>
      <c r="H438" s="53" t="s">
        <v>22</v>
      </c>
      <c r="I438" s="1678" t="s">
        <v>23</v>
      </c>
      <c r="J438" s="1678" t="s">
        <v>24</v>
      </c>
      <c r="K438" s="52" t="s">
        <v>25</v>
      </c>
      <c r="L438" s="52" t="s">
        <v>26</v>
      </c>
      <c r="M438" s="1716"/>
      <c r="N438" s="1845"/>
      <c r="O438" s="1819"/>
      <c r="P438" s="1820"/>
      <c r="Q438" s="1726"/>
      <c r="R438" s="1726"/>
      <c r="S438" s="1726"/>
      <c r="T438" s="1726"/>
      <c r="U438" s="1726"/>
      <c r="V438" s="55" t="s">
        <v>27</v>
      </c>
      <c r="W438" s="56">
        <f>$W$8</f>
        <v>43252</v>
      </c>
      <c r="X438" s="56">
        <f>$X$8</f>
        <v>43465</v>
      </c>
      <c r="Y438" s="56">
        <f>$Y$8</f>
        <v>43800</v>
      </c>
      <c r="Z438" s="56" t="str">
        <f>$Z$8</f>
        <v>-</v>
      </c>
      <c r="AA438" s="56" t="str">
        <f>$AA$8</f>
        <v>-</v>
      </c>
      <c r="AB438" s="56" t="str">
        <f>$AB$8</f>
        <v>-</v>
      </c>
      <c r="AC438" s="56" t="str">
        <f>$AC$8</f>
        <v>-</v>
      </c>
      <c r="AD438" s="56" t="str">
        <f>$AD$8</f>
        <v>-</v>
      </c>
      <c r="AE438" s="56" t="str">
        <f>$AE$8</f>
        <v>-</v>
      </c>
      <c r="AF438" s="56" t="str">
        <f>$AF$8</f>
        <v>-</v>
      </c>
      <c r="AG438" s="56" t="str">
        <f>$AG$8</f>
        <v>-</v>
      </c>
      <c r="AH438"/>
      <c r="AI438" s="55" t="s">
        <v>27</v>
      </c>
      <c r="AJ438" s="56">
        <v>43252</v>
      </c>
      <c r="AK438" s="56">
        <f>$X$8</f>
        <v>43465</v>
      </c>
      <c r="AL438" s="56">
        <f>$Y$8</f>
        <v>43800</v>
      </c>
      <c r="AM438" s="56" t="str">
        <f>$Z$8</f>
        <v>-</v>
      </c>
      <c r="AN438" s="56" t="str">
        <f>$AA$8</f>
        <v>-</v>
      </c>
      <c r="AO438" s="56" t="str">
        <f>$AB$8</f>
        <v>-</v>
      </c>
      <c r="AP438" s="56" t="str">
        <f>$AC$8</f>
        <v>-</v>
      </c>
      <c r="AQ438" s="56" t="str">
        <f>$AD$8</f>
        <v>-</v>
      </c>
      <c r="AR438" s="56" t="str">
        <f>$AE$8</f>
        <v>-</v>
      </c>
      <c r="AS438" s="56" t="str">
        <f>$AF$8</f>
        <v>-</v>
      </c>
      <c r="AT438" s="29"/>
      <c r="AU438" s="55" t="s">
        <v>27</v>
      </c>
      <c r="AV438" s="56">
        <v>43252</v>
      </c>
      <c r="AW438" s="56">
        <f>$X$8</f>
        <v>43465</v>
      </c>
      <c r="AX438" s="56">
        <f>$Y$8</f>
        <v>43800</v>
      </c>
      <c r="AY438" s="56" t="str">
        <f>$Z$8</f>
        <v>-</v>
      </c>
      <c r="AZ438" s="56" t="str">
        <f>$AA$8</f>
        <v>-</v>
      </c>
      <c r="BA438" s="56" t="str">
        <f>$AB$8</f>
        <v>-</v>
      </c>
      <c r="BB438" s="56" t="str">
        <f>$AC$8</f>
        <v>-</v>
      </c>
      <c r="BC438" s="56" t="str">
        <f>$AD$8</f>
        <v>-</v>
      </c>
      <c r="BD438" s="56" t="str">
        <f>$AE$8</f>
        <v>-</v>
      </c>
      <c r="BE438" s="56" t="str">
        <f>$AF$8</f>
        <v>-</v>
      </c>
      <c r="DB438" s="57" t="str">
        <f>$DB$8</f>
        <v>TRC (2020)</v>
      </c>
      <c r="DC438" s="103" t="str">
        <f>$DC$8</f>
        <v>Benefit Lookup</v>
      </c>
      <c r="DD438" s="103" t="str">
        <f>$DD$8</f>
        <v>Benefits (2019 $)</v>
      </c>
      <c r="DE438" s="103" t="str">
        <f>$DE$8</f>
        <v>Incremental Cost (2019 $)</v>
      </c>
    </row>
    <row r="439" spans="2:109" x14ac:dyDescent="0.25">
      <c r="C439" s="1763" t="s">
        <v>386</v>
      </c>
      <c r="D439" s="1815" t="s">
        <v>34</v>
      </c>
      <c r="E439" s="1754" t="s">
        <v>387</v>
      </c>
      <c r="F439" s="93">
        <f>ROUND(F455*G455*H455,2)</f>
        <v>3272.26</v>
      </c>
      <c r="G439" s="1730" t="s">
        <v>388</v>
      </c>
      <c r="H439" s="1731">
        <f>VLOOKUP(G439,'CP FACTORS'!$A$26:$B$38,2,FALSE)</f>
        <v>1.379439E-4</v>
      </c>
      <c r="I439" s="1755">
        <f t="shared" ref="I439:I445" si="85">ROUND(H439*F439,6)</f>
        <v>0.45138800000000001</v>
      </c>
      <c r="J439" s="1805">
        <v>13</v>
      </c>
      <c r="K439" s="1756">
        <v>700</v>
      </c>
      <c r="L439" s="1827" t="s">
        <v>37</v>
      </c>
      <c r="V439" s="61" t="s">
        <v>20</v>
      </c>
      <c r="W439" s="71">
        <v>3272.2560000000003</v>
      </c>
      <c r="X439" s="71">
        <v>3272.2560000000003</v>
      </c>
      <c r="Y439" s="71">
        <v>3272.2560000000003</v>
      </c>
      <c r="Z439" s="64"/>
      <c r="AA439" s="64"/>
      <c r="AB439" s="64"/>
      <c r="AC439" s="64"/>
      <c r="AD439" s="64"/>
      <c r="AE439" s="64"/>
      <c r="AF439" s="64"/>
      <c r="AG439" s="64"/>
      <c r="AH439" s="65"/>
      <c r="AI439" s="61" t="s">
        <v>24</v>
      </c>
      <c r="AJ439" s="66">
        <v>13</v>
      </c>
      <c r="AK439" s="66">
        <v>13</v>
      </c>
      <c r="AL439" s="66">
        <v>13</v>
      </c>
      <c r="AM439" s="64"/>
      <c r="AN439" s="64"/>
      <c r="AO439" s="64"/>
      <c r="AP439" s="64"/>
      <c r="AQ439" s="64"/>
      <c r="AR439" s="64"/>
      <c r="AS439" s="64"/>
      <c r="AT439" s="29"/>
      <c r="AU439" s="61" t="s">
        <v>25</v>
      </c>
      <c r="AV439" s="67">
        <v>700</v>
      </c>
      <c r="AW439" s="67">
        <v>700</v>
      </c>
      <c r="AX439" s="67">
        <v>700</v>
      </c>
      <c r="AY439" s="64"/>
      <c r="AZ439" s="64"/>
      <c r="BA439" s="64"/>
      <c r="BB439" s="64"/>
      <c r="BC439" s="64"/>
      <c r="BD439" s="64"/>
      <c r="BE439" s="64"/>
      <c r="DB439" s="68">
        <f t="shared" ref="DB439:DB445" si="86">(DD439)/(DE439)</f>
        <v>2.3362622986271173</v>
      </c>
      <c r="DC439" s="69" t="str">
        <f t="shared" ref="DC439:DC445" si="87">CONCATENATE(G439," ",J439," Year EUL")</f>
        <v>Air Comp BUS 13 Year EUL</v>
      </c>
      <c r="DD439" s="105">
        <f>(INDEX('Avoided Cost Benefits'!$C$4:$C$857,MATCH(DC439,'Avoided Cost Benefits'!$A$4:$A$857,0)))*F439</f>
        <v>1543.5428117404265</v>
      </c>
      <c r="DE439" s="70">
        <f t="shared" ref="DE439:DE445" si="88">K439/(1.0595^(2020-2019))</f>
        <v>660.68900424728633</v>
      </c>
    </row>
    <row r="440" spans="2:109" x14ac:dyDescent="0.25">
      <c r="C440" s="1763" t="s">
        <v>389</v>
      </c>
      <c r="D440" s="1815" t="s">
        <v>34</v>
      </c>
      <c r="E440" s="1754" t="s">
        <v>390</v>
      </c>
      <c r="F440" s="93">
        <f t="shared" ref="F440:F445" si="89">ROUND(F456*G456*H456,2)</f>
        <v>2418.62</v>
      </c>
      <c r="G440" s="1730" t="s">
        <v>388</v>
      </c>
      <c r="H440" s="1731">
        <f>VLOOKUP(G440,'CP FACTORS'!$A$26:$B$38,2,FALSE)</f>
        <v>1.379439E-4</v>
      </c>
      <c r="I440" s="1755">
        <f t="shared" si="85"/>
        <v>0.33363399999999999</v>
      </c>
      <c r="J440" s="1805">
        <v>13</v>
      </c>
      <c r="K440" s="1756">
        <v>700</v>
      </c>
      <c r="L440" s="1827" t="s">
        <v>37</v>
      </c>
      <c r="V440" s="61" t="s">
        <v>20</v>
      </c>
      <c r="W440" s="71">
        <v>2418.6240000000003</v>
      </c>
      <c r="X440" s="71">
        <v>2418.6240000000003</v>
      </c>
      <c r="Y440" s="71">
        <v>2418.6240000000003</v>
      </c>
      <c r="Z440" s="64"/>
      <c r="AA440" s="64"/>
      <c r="AB440" s="64"/>
      <c r="AC440" s="64"/>
      <c r="AD440" s="64"/>
      <c r="AE440" s="64"/>
      <c r="AF440" s="64"/>
      <c r="AG440" s="64"/>
      <c r="AH440" s="65"/>
      <c r="AI440" s="61" t="s">
        <v>24</v>
      </c>
      <c r="AJ440" s="66">
        <v>13</v>
      </c>
      <c r="AK440" s="66">
        <v>13</v>
      </c>
      <c r="AL440" s="66">
        <v>13</v>
      </c>
      <c r="AM440" s="64"/>
      <c r="AN440" s="64"/>
      <c r="AO440" s="64"/>
      <c r="AP440" s="64"/>
      <c r="AQ440" s="64"/>
      <c r="AR440" s="64"/>
      <c r="AS440" s="64"/>
      <c r="AT440" s="29"/>
      <c r="AU440" s="61" t="s">
        <v>25</v>
      </c>
      <c r="AV440" s="67">
        <v>700</v>
      </c>
      <c r="AW440" s="67">
        <v>700</v>
      </c>
      <c r="AX440" s="67">
        <v>700</v>
      </c>
      <c r="AY440" s="64"/>
      <c r="AZ440" s="64"/>
      <c r="BA440" s="64"/>
      <c r="BB440" s="64"/>
      <c r="BC440" s="64"/>
      <c r="BD440" s="64"/>
      <c r="BE440" s="64"/>
      <c r="DB440" s="72">
        <f t="shared" si="86"/>
        <v>1.7267976018731757</v>
      </c>
      <c r="DC440" s="73" t="str">
        <f t="shared" si="87"/>
        <v>Air Comp BUS 13 Year EUL</v>
      </c>
      <c r="DD440" s="106">
        <f>(INDEX('Avoided Cost Benefits'!$C$4:$C$857,MATCH(DC440,'Avoided Cost Benefits'!$A$4:$A$857,0)))*F440</f>
        <v>1140.8761881181904</v>
      </c>
      <c r="DE440" s="74">
        <f t="shared" si="88"/>
        <v>660.68900424728633</v>
      </c>
    </row>
    <row r="441" spans="2:109" x14ac:dyDescent="0.25">
      <c r="C441" s="1763" t="s">
        <v>391</v>
      </c>
      <c r="D441" s="1815" t="s">
        <v>34</v>
      </c>
      <c r="E441" s="1754" t="s">
        <v>392</v>
      </c>
      <c r="F441" s="93">
        <f t="shared" si="89"/>
        <v>2703.17</v>
      </c>
      <c r="G441" s="1730" t="s">
        <v>388</v>
      </c>
      <c r="H441" s="1731">
        <f>VLOOKUP(G441,'CP FACTORS'!$A$26:$B$38,2,FALSE)</f>
        <v>1.379439E-4</v>
      </c>
      <c r="I441" s="1755">
        <f t="shared" si="85"/>
        <v>0.372886</v>
      </c>
      <c r="J441" s="1805">
        <v>13</v>
      </c>
      <c r="K441" s="1756">
        <v>700</v>
      </c>
      <c r="L441" s="1827" t="s">
        <v>37</v>
      </c>
      <c r="V441" s="61" t="s">
        <v>20</v>
      </c>
      <c r="W441" s="71">
        <v>2703.1679999999997</v>
      </c>
      <c r="X441" s="71">
        <v>2703.1679999999997</v>
      </c>
      <c r="Y441" s="71">
        <v>2703.1679999999997</v>
      </c>
      <c r="Z441" s="64"/>
      <c r="AA441" s="64"/>
      <c r="AB441" s="64"/>
      <c r="AC441" s="64"/>
      <c r="AD441" s="64"/>
      <c r="AE441" s="64"/>
      <c r="AF441" s="64"/>
      <c r="AG441" s="64"/>
      <c r="AH441" s="65"/>
      <c r="AI441" s="61" t="s">
        <v>24</v>
      </c>
      <c r="AJ441" s="66">
        <v>13</v>
      </c>
      <c r="AK441" s="66">
        <v>13</v>
      </c>
      <c r="AL441" s="66">
        <v>13</v>
      </c>
      <c r="AM441" s="64"/>
      <c r="AN441" s="64"/>
      <c r="AO441" s="64"/>
      <c r="AP441" s="64"/>
      <c r="AQ441" s="64"/>
      <c r="AR441" s="64"/>
      <c r="AS441" s="64"/>
      <c r="AT441" s="29"/>
      <c r="AU441" s="61" t="s">
        <v>25</v>
      </c>
      <c r="AV441" s="67">
        <v>700</v>
      </c>
      <c r="AW441" s="67">
        <v>700</v>
      </c>
      <c r="AX441" s="67">
        <v>700</v>
      </c>
      <c r="AY441" s="64"/>
      <c r="AZ441" s="64"/>
      <c r="BA441" s="64"/>
      <c r="BB441" s="64"/>
      <c r="BC441" s="64"/>
      <c r="BD441" s="64"/>
      <c r="BE441" s="64"/>
      <c r="DB441" s="72">
        <f t="shared" si="86"/>
        <v>1.9299548806573634</v>
      </c>
      <c r="DC441" s="73" t="str">
        <f t="shared" si="87"/>
        <v>Air Comp BUS 13 Year EUL</v>
      </c>
      <c r="DD441" s="106">
        <f>(INDEX('Avoided Cost Benefits'!$C$4:$C$857,MATCH(DC441,'Avoided Cost Benefits'!$A$4:$A$857,0)))*F441</f>
        <v>1275.0999683437037</v>
      </c>
      <c r="DE441" s="74">
        <f t="shared" si="88"/>
        <v>660.68900424728633</v>
      </c>
    </row>
    <row r="442" spans="2:109" x14ac:dyDescent="0.25">
      <c r="C442" s="1763" t="s">
        <v>393</v>
      </c>
      <c r="D442" s="1815" t="s">
        <v>34</v>
      </c>
      <c r="E442" s="1754" t="s">
        <v>394</v>
      </c>
      <c r="F442" s="93">
        <f t="shared" si="89"/>
        <v>978.12</v>
      </c>
      <c r="G442" s="1730" t="s">
        <v>388</v>
      </c>
      <c r="H442" s="1731">
        <f>VLOOKUP(G442,'CP FACTORS'!$A$26:$B$38,2,FALSE)</f>
        <v>1.379439E-4</v>
      </c>
      <c r="I442" s="1755">
        <f t="shared" si="85"/>
        <v>0.13492599999999999</v>
      </c>
      <c r="J442" s="1805">
        <v>13</v>
      </c>
      <c r="K442" s="1756">
        <v>700</v>
      </c>
      <c r="L442" s="1827" t="s">
        <v>37</v>
      </c>
      <c r="V442" s="61" t="s">
        <v>20</v>
      </c>
      <c r="W442" s="71">
        <v>978.12</v>
      </c>
      <c r="X442" s="71">
        <v>978.12</v>
      </c>
      <c r="Y442" s="71">
        <v>978.12</v>
      </c>
      <c r="Z442" s="64"/>
      <c r="AA442" s="64"/>
      <c r="AB442" s="64"/>
      <c r="AC442" s="64"/>
      <c r="AD442" s="64"/>
      <c r="AE442" s="64"/>
      <c r="AF442" s="64"/>
      <c r="AG442" s="64"/>
      <c r="AH442" s="65"/>
      <c r="AI442" s="61" t="s">
        <v>24</v>
      </c>
      <c r="AJ442" s="66">
        <v>13</v>
      </c>
      <c r="AK442" s="66">
        <v>13</v>
      </c>
      <c r="AL442" s="66">
        <v>13</v>
      </c>
      <c r="AM442" s="64"/>
      <c r="AN442" s="64"/>
      <c r="AO442" s="64"/>
      <c r="AP442" s="64"/>
      <c r="AQ442" s="64"/>
      <c r="AR442" s="64"/>
      <c r="AS442" s="64"/>
      <c r="AT442" s="29"/>
      <c r="AU442" s="61" t="s">
        <v>25</v>
      </c>
      <c r="AV442" s="67">
        <v>700</v>
      </c>
      <c r="AW442" s="67">
        <v>700</v>
      </c>
      <c r="AX442" s="67">
        <v>700</v>
      </c>
      <c r="AY442" s="64"/>
      <c r="AZ442" s="64"/>
      <c r="BA442" s="64"/>
      <c r="BB442" s="64"/>
      <c r="BC442" s="64"/>
      <c r="BD442" s="64"/>
      <c r="BE442" s="64"/>
      <c r="DB442" s="72">
        <f t="shared" si="86"/>
        <v>0.69833842039848781</v>
      </c>
      <c r="DC442" s="73" t="str">
        <f t="shared" si="87"/>
        <v>Air Comp BUS 13 Year EUL</v>
      </c>
      <c r="DD442" s="106">
        <f>(INDEX('Avoided Cost Benefits'!$C$4:$C$857,MATCH(DC442,'Avoided Cost Benefits'!$A$4:$A$857,0)))*F442</f>
        <v>461.38451560069973</v>
      </c>
      <c r="DE442" s="74">
        <f t="shared" si="88"/>
        <v>660.68900424728633</v>
      </c>
    </row>
    <row r="443" spans="2:109" x14ac:dyDescent="0.25">
      <c r="C443" s="1763" t="s">
        <v>395</v>
      </c>
      <c r="D443" s="1815" t="s">
        <v>34</v>
      </c>
      <c r="E443" s="1754" t="s">
        <v>396</v>
      </c>
      <c r="F443" s="93">
        <f t="shared" si="89"/>
        <v>978.12</v>
      </c>
      <c r="G443" s="1730" t="s">
        <v>388</v>
      </c>
      <c r="H443" s="1731">
        <f>VLOOKUP(G443,'CP FACTORS'!$A$26:$B$38,2,FALSE)</f>
        <v>1.379439E-4</v>
      </c>
      <c r="I443" s="1755">
        <f t="shared" si="85"/>
        <v>0.13492599999999999</v>
      </c>
      <c r="J443" s="1805">
        <v>13</v>
      </c>
      <c r="K443" s="1756">
        <v>700</v>
      </c>
      <c r="L443" s="1827" t="s">
        <v>37</v>
      </c>
      <c r="V443" s="61" t="s">
        <v>20</v>
      </c>
      <c r="W443" s="71">
        <v>978.12</v>
      </c>
      <c r="X443" s="71">
        <v>978.12</v>
      </c>
      <c r="Y443" s="71">
        <v>978.12</v>
      </c>
      <c r="Z443" s="64"/>
      <c r="AA443" s="64"/>
      <c r="AB443" s="64"/>
      <c r="AC443" s="64"/>
      <c r="AD443" s="64"/>
      <c r="AE443" s="64"/>
      <c r="AF443" s="64"/>
      <c r="AG443" s="64"/>
      <c r="AH443" s="65"/>
      <c r="AI443" s="61" t="s">
        <v>24</v>
      </c>
      <c r="AJ443" s="66">
        <v>13</v>
      </c>
      <c r="AK443" s="66">
        <v>13</v>
      </c>
      <c r="AL443" s="66">
        <v>13</v>
      </c>
      <c r="AM443" s="64"/>
      <c r="AN443" s="64"/>
      <c r="AO443" s="64"/>
      <c r="AP443" s="64"/>
      <c r="AQ443" s="64"/>
      <c r="AR443" s="64"/>
      <c r="AS443" s="64"/>
      <c r="AT443" s="29"/>
      <c r="AU443" s="61" t="s">
        <v>25</v>
      </c>
      <c r="AV443" s="67">
        <v>700</v>
      </c>
      <c r="AW443" s="67">
        <v>700</v>
      </c>
      <c r="AX443" s="67">
        <v>700</v>
      </c>
      <c r="AY443" s="64"/>
      <c r="AZ443" s="64"/>
      <c r="BA443" s="64"/>
      <c r="BB443" s="64"/>
      <c r="BC443" s="64"/>
      <c r="BD443" s="64"/>
      <c r="BE443" s="64"/>
      <c r="DB443" s="72">
        <f t="shared" si="86"/>
        <v>0.69833842039848781</v>
      </c>
      <c r="DC443" s="73" t="str">
        <f t="shared" si="87"/>
        <v>Air Comp BUS 13 Year EUL</v>
      </c>
      <c r="DD443" s="106">
        <f>(INDEX('Avoided Cost Benefits'!$C$4:$C$857,MATCH(DC443,'Avoided Cost Benefits'!$A$4:$A$857,0)))*F443</f>
        <v>461.38451560069973</v>
      </c>
      <c r="DE443" s="74">
        <f t="shared" si="88"/>
        <v>660.68900424728633</v>
      </c>
    </row>
    <row r="444" spans="2:109" x14ac:dyDescent="0.25">
      <c r="C444" s="1763" t="s">
        <v>397</v>
      </c>
      <c r="D444" s="1815" t="s">
        <v>34</v>
      </c>
      <c r="E444" s="1754" t="s">
        <v>398</v>
      </c>
      <c r="F444" s="93">
        <f t="shared" si="89"/>
        <v>2720.95</v>
      </c>
      <c r="G444" s="1730" t="s">
        <v>388</v>
      </c>
      <c r="H444" s="1731">
        <f>VLOOKUP(G444,'CP FACTORS'!$A$26:$B$38,2,FALSE)</f>
        <v>1.379439E-4</v>
      </c>
      <c r="I444" s="1755">
        <f t="shared" si="85"/>
        <v>0.375338</v>
      </c>
      <c r="J444" s="1805">
        <v>13</v>
      </c>
      <c r="K444" s="1756">
        <v>700</v>
      </c>
      <c r="L444" s="1827" t="s">
        <v>37</v>
      </c>
      <c r="V444" s="61" t="s">
        <v>20</v>
      </c>
      <c r="W444" s="71">
        <v>2720.9519999999998</v>
      </c>
      <c r="X444" s="71">
        <v>2720.9519999999998</v>
      </c>
      <c r="Y444" s="71">
        <v>2720.9519999999998</v>
      </c>
      <c r="Z444" s="64"/>
      <c r="AA444" s="64"/>
      <c r="AB444" s="64"/>
      <c r="AC444" s="64"/>
      <c r="AD444" s="64"/>
      <c r="AE444" s="64"/>
      <c r="AF444" s="64"/>
      <c r="AG444" s="64"/>
      <c r="AH444" s="65"/>
      <c r="AI444" s="61" t="s">
        <v>24</v>
      </c>
      <c r="AJ444" s="66">
        <v>13</v>
      </c>
      <c r="AK444" s="66">
        <v>13</v>
      </c>
      <c r="AL444" s="66">
        <v>13</v>
      </c>
      <c r="AM444" s="64"/>
      <c r="AN444" s="64"/>
      <c r="AO444" s="64"/>
      <c r="AP444" s="64"/>
      <c r="AQ444" s="64"/>
      <c r="AR444" s="64"/>
      <c r="AS444" s="64"/>
      <c r="AT444" s="29"/>
      <c r="AU444" s="61" t="s">
        <v>25</v>
      </c>
      <c r="AV444" s="67">
        <v>700</v>
      </c>
      <c r="AW444" s="67">
        <v>700</v>
      </c>
      <c r="AX444" s="67">
        <v>700</v>
      </c>
      <c r="AY444" s="64"/>
      <c r="AZ444" s="64"/>
      <c r="BA444" s="64"/>
      <c r="BB444" s="64"/>
      <c r="BC444" s="64"/>
      <c r="BD444" s="64"/>
      <c r="BE444" s="64"/>
      <c r="DB444" s="72">
        <f t="shared" si="86"/>
        <v>1.9426490870069779</v>
      </c>
      <c r="DC444" s="73" t="str">
        <f t="shared" si="87"/>
        <v>Air Comp BUS 13 Year EUL</v>
      </c>
      <c r="DD444" s="106">
        <f>(INDEX('Avoided Cost Benefits'!$C$4:$C$857,MATCH(DC444,'Avoided Cost Benefits'!$A$4:$A$857,0)))*F444</f>
        <v>1283.4868908965402</v>
      </c>
      <c r="DE444" s="74">
        <f t="shared" si="88"/>
        <v>660.68900424728633</v>
      </c>
    </row>
    <row r="445" spans="2:109" x14ac:dyDescent="0.25">
      <c r="C445" s="1763" t="s">
        <v>399</v>
      </c>
      <c r="D445" s="1815" t="s">
        <v>34</v>
      </c>
      <c r="E445" s="1754" t="s">
        <v>400</v>
      </c>
      <c r="F445" s="93">
        <f t="shared" si="89"/>
        <v>3165.55</v>
      </c>
      <c r="G445" s="1730" t="s">
        <v>388</v>
      </c>
      <c r="H445" s="1731">
        <f>VLOOKUP(G445,'CP FACTORS'!$A$26:$B$38,2,FALSE)</f>
        <v>1.379439E-4</v>
      </c>
      <c r="I445" s="1755">
        <f t="shared" si="85"/>
        <v>0.436668</v>
      </c>
      <c r="J445" s="1805">
        <v>13</v>
      </c>
      <c r="K445" s="1756">
        <v>700</v>
      </c>
      <c r="L445" s="1827" t="s">
        <v>37</v>
      </c>
      <c r="V445" s="61" t="s">
        <v>20</v>
      </c>
      <c r="W445" s="71">
        <v>3165.5520000000001</v>
      </c>
      <c r="X445" s="71">
        <v>3165.5520000000001</v>
      </c>
      <c r="Y445" s="71">
        <v>3165.5520000000001</v>
      </c>
      <c r="Z445" s="64"/>
      <c r="AA445" s="64"/>
      <c r="AB445" s="64"/>
      <c r="AC445" s="64"/>
      <c r="AD445" s="64"/>
      <c r="AE445" s="64"/>
      <c r="AF445" s="64"/>
      <c r="AG445" s="64"/>
      <c r="AH445" s="65"/>
      <c r="AI445" s="61" t="s">
        <v>24</v>
      </c>
      <c r="AJ445" s="66">
        <v>13</v>
      </c>
      <c r="AK445" s="66">
        <v>13</v>
      </c>
      <c r="AL445" s="66">
        <v>13</v>
      </c>
      <c r="AM445" s="64"/>
      <c r="AN445" s="64"/>
      <c r="AO445" s="64"/>
      <c r="AP445" s="64"/>
      <c r="AQ445" s="64"/>
      <c r="AR445" s="64"/>
      <c r="AS445" s="64"/>
      <c r="AT445" s="29"/>
      <c r="AU445" s="61" t="s">
        <v>25</v>
      </c>
      <c r="AV445" s="67">
        <v>700</v>
      </c>
      <c r="AW445" s="67">
        <v>700</v>
      </c>
      <c r="AX445" s="67">
        <v>700</v>
      </c>
      <c r="AY445" s="64"/>
      <c r="AZ445" s="64"/>
      <c r="BA445" s="64"/>
      <c r="BB445" s="64"/>
      <c r="BC445" s="64"/>
      <c r="BD445" s="64"/>
      <c r="BE445" s="64"/>
      <c r="DB445" s="75">
        <f t="shared" si="86"/>
        <v>2.2600756417335637</v>
      </c>
      <c r="DC445" s="73" t="str">
        <f t="shared" si="87"/>
        <v>Air Comp BUS 13 Year EUL</v>
      </c>
      <c r="DD445" s="107">
        <f>(INDEX('Avoided Cost Benefits'!$C$4:$C$857,MATCH(DC445,'Avoided Cost Benefits'!$A$4:$A$857,0)))*F445</f>
        <v>1493.2071252604949</v>
      </c>
      <c r="DE445" s="76">
        <f t="shared" si="88"/>
        <v>660.68900424728633</v>
      </c>
    </row>
    <row r="446" spans="2:109" hidden="1" outlineLevel="1" x14ac:dyDescent="0.25">
      <c r="E446" s="1719"/>
      <c r="F446" s="1719"/>
      <c r="G446" s="1719"/>
      <c r="H446" s="1741"/>
      <c r="I446" s="1719"/>
      <c r="J446" s="1719"/>
      <c r="K446" s="1719"/>
    </row>
    <row r="447" spans="2:109" hidden="1" outlineLevel="1" x14ac:dyDescent="0.25">
      <c r="D447" s="1719" t="s">
        <v>76</v>
      </c>
      <c r="E447" s="1719"/>
      <c r="F447" s="1719"/>
      <c r="G447" s="1719"/>
      <c r="H447" s="1741"/>
      <c r="I447" s="1719"/>
      <c r="J447" s="1719"/>
      <c r="K447" s="1719"/>
    </row>
    <row r="448" spans="2:109" hidden="1" outlineLevel="1" x14ac:dyDescent="0.25">
      <c r="D448" s="1742"/>
      <c r="G448" s="1771"/>
      <c r="H448" s="1772"/>
    </row>
    <row r="449" spans="2:109" hidden="1" outlineLevel="1" x14ac:dyDescent="0.25">
      <c r="D449" s="1806"/>
      <c r="E449" s="1157"/>
      <c r="G449" s="1771"/>
      <c r="H449" s="1772"/>
    </row>
    <row r="450" spans="2:109" hidden="1" outlineLevel="1" x14ac:dyDescent="0.25">
      <c r="D450" s="1806"/>
      <c r="E450" s="1157"/>
      <c r="G450" s="1716"/>
      <c r="H450" s="1743"/>
      <c r="M450" s="1719"/>
    </row>
    <row r="451" spans="2:109" hidden="1" outlineLevel="1" x14ac:dyDescent="0.25">
      <c r="D451" s="1742"/>
      <c r="G451" s="1716"/>
      <c r="H451" s="1743"/>
      <c r="M451" s="1719"/>
    </row>
    <row r="452" spans="2:109" hidden="1" outlineLevel="1" x14ac:dyDescent="0.25">
      <c r="D452" s="1742"/>
      <c r="G452" s="1716"/>
      <c r="H452" s="1743"/>
      <c r="M452" s="1719"/>
    </row>
    <row r="453" spans="2:109" hidden="1" outlineLevel="1" x14ac:dyDescent="0.25">
      <c r="D453" s="1742"/>
      <c r="G453" s="1716"/>
      <c r="H453" s="1743"/>
    </row>
    <row r="454" spans="2:109" s="78" customFormat="1" ht="30" hidden="1" outlineLevel="1" x14ac:dyDescent="0.2">
      <c r="C454" s="553"/>
      <c r="D454" s="1638" t="s">
        <v>17</v>
      </c>
      <c r="E454" s="1638" t="s">
        <v>136</v>
      </c>
      <c r="F454" s="125" t="s">
        <v>401</v>
      </c>
      <c r="G454" s="1638" t="s">
        <v>402</v>
      </c>
      <c r="H454" s="1638" t="s">
        <v>94</v>
      </c>
      <c r="I454" s="553"/>
      <c r="J454" s="553"/>
      <c r="K454" s="553"/>
      <c r="L454" s="553"/>
      <c r="M454" s="553"/>
      <c r="N454" s="553"/>
      <c r="O454" s="553"/>
      <c r="P454" s="553"/>
      <c r="Q454" s="553"/>
      <c r="R454" s="553"/>
      <c r="S454" s="553"/>
      <c r="T454" s="553"/>
      <c r="U454" s="553"/>
      <c r="DB454" s="108"/>
    </row>
    <row r="455" spans="2:109" hidden="1" outlineLevel="1" x14ac:dyDescent="0.25">
      <c r="D455" s="1747" t="str">
        <f>C439</f>
        <v>804300_2019_12_</v>
      </c>
      <c r="E455" s="1747" t="str">
        <f t="shared" ref="E455:E461" si="90">E439</f>
        <v>No Loss Condensate Drain (Reciprocating - On/off Control)</v>
      </c>
      <c r="F455" s="130">
        <v>3</v>
      </c>
      <c r="G455" s="131">
        <v>0.184</v>
      </c>
      <c r="H455" s="1848">
        <v>5928</v>
      </c>
    </row>
    <row r="456" spans="2:109" hidden="1" outlineLevel="1" x14ac:dyDescent="0.25">
      <c r="D456" s="1747" t="str">
        <f t="shared" ref="D456:D461" si="91">C440</f>
        <v>804350_2019_12_</v>
      </c>
      <c r="E456" s="1747" t="str">
        <f t="shared" si="90"/>
        <v>No Loss Condensate Drain (Reciprocating - Load/Unload)</v>
      </c>
      <c r="F456" s="130">
        <v>3</v>
      </c>
      <c r="G456" s="131">
        <v>0.13600000000000001</v>
      </c>
      <c r="H456" s="1848">
        <v>5928</v>
      </c>
    </row>
    <row r="457" spans="2:109" hidden="1" outlineLevel="1" x14ac:dyDescent="0.25">
      <c r="D457" s="1747" t="str">
        <f t="shared" si="91"/>
        <v>804400_2019_12_</v>
      </c>
      <c r="E457" s="1747" t="str">
        <f t="shared" si="90"/>
        <v>No Loss Condensate Drain (Screw - Load/Unload)</v>
      </c>
      <c r="F457" s="130">
        <v>3</v>
      </c>
      <c r="G457" s="131">
        <v>0.152</v>
      </c>
      <c r="H457" s="1848">
        <v>5928</v>
      </c>
    </row>
    <row r="458" spans="2:109" hidden="1" outlineLevel="1" x14ac:dyDescent="0.25">
      <c r="D458" s="1747" t="str">
        <f t="shared" si="91"/>
        <v>804450_2019_12_</v>
      </c>
      <c r="E458" s="1747" t="str">
        <f t="shared" si="90"/>
        <v>No Loss Condensate Drain (Screw - Inlet Modulation)</v>
      </c>
      <c r="F458" s="130">
        <v>3</v>
      </c>
      <c r="G458" s="131">
        <v>5.5E-2</v>
      </c>
      <c r="H458" s="1848">
        <v>5928</v>
      </c>
    </row>
    <row r="459" spans="2:109" hidden="1" outlineLevel="1" x14ac:dyDescent="0.25">
      <c r="D459" s="1747" t="str">
        <f t="shared" si="91"/>
        <v>804500_2019_12_</v>
      </c>
      <c r="E459" s="1747" t="str">
        <f t="shared" si="90"/>
        <v>No Loss Condensate Drain (Screw - Inlet Modulation w/ Unloading)</v>
      </c>
      <c r="F459" s="130">
        <v>3</v>
      </c>
      <c r="G459" s="131">
        <v>5.5E-2</v>
      </c>
      <c r="H459" s="1848">
        <v>5928</v>
      </c>
    </row>
    <row r="460" spans="2:109" hidden="1" outlineLevel="1" x14ac:dyDescent="0.25">
      <c r="D460" s="1747" t="str">
        <f t="shared" si="91"/>
        <v>804550_2019_12_</v>
      </c>
      <c r="E460" s="1747" t="str">
        <f t="shared" si="90"/>
        <v>No Loss Condensate Drain (Screw - Variable Displacement)</v>
      </c>
      <c r="F460" s="130">
        <v>3</v>
      </c>
      <c r="G460" s="131">
        <v>0.153</v>
      </c>
      <c r="H460" s="1848">
        <v>5928</v>
      </c>
    </row>
    <row r="461" spans="2:109" hidden="1" outlineLevel="1" x14ac:dyDescent="0.25">
      <c r="D461" s="1747" t="str">
        <f t="shared" si="91"/>
        <v>804600_2019_12_</v>
      </c>
      <c r="E461" s="1747" t="str">
        <f t="shared" si="90"/>
        <v>No Loss Condensate Drain (Screw - VFD)</v>
      </c>
      <c r="F461" s="130">
        <v>3</v>
      </c>
      <c r="G461" s="131">
        <v>0.17799999999999999</v>
      </c>
      <c r="H461" s="1848">
        <v>5928</v>
      </c>
    </row>
    <row r="462" spans="2:109" collapsed="1" x14ac:dyDescent="0.25"/>
    <row r="464" spans="2:109" s="50" customFormat="1" ht="30" x14ac:dyDescent="0.25">
      <c r="B464" s="51"/>
      <c r="C464" s="52" t="s">
        <v>17</v>
      </c>
      <c r="D464" s="52" t="s">
        <v>18</v>
      </c>
      <c r="E464" s="1678" t="s">
        <v>19</v>
      </c>
      <c r="F464" s="1678" t="s">
        <v>20</v>
      </c>
      <c r="G464" s="1678" t="s">
        <v>21</v>
      </c>
      <c r="H464" s="53" t="s">
        <v>22</v>
      </c>
      <c r="I464" s="1678" t="s">
        <v>23</v>
      </c>
      <c r="J464" s="1678" t="s">
        <v>24</v>
      </c>
      <c r="K464" s="52" t="s">
        <v>25</v>
      </c>
      <c r="L464" s="52" t="s">
        <v>26</v>
      </c>
      <c r="M464" s="1716"/>
      <c r="N464" s="1845"/>
      <c r="O464" s="1819"/>
      <c r="P464" s="1820"/>
      <c r="Q464" s="1726"/>
      <c r="R464" s="1726"/>
      <c r="S464" s="1726"/>
      <c r="T464" s="1726"/>
      <c r="U464" s="1726"/>
      <c r="V464" s="55" t="s">
        <v>27</v>
      </c>
      <c r="W464" s="56">
        <f>$W$8</f>
        <v>43252</v>
      </c>
      <c r="X464" s="56">
        <f>$X$8</f>
        <v>43465</v>
      </c>
      <c r="Y464" s="56">
        <f>$Y$8</f>
        <v>43800</v>
      </c>
      <c r="Z464" s="56" t="str">
        <f>$Z$8</f>
        <v>-</v>
      </c>
      <c r="AA464" s="56" t="str">
        <f>$AA$8</f>
        <v>-</v>
      </c>
      <c r="AB464" s="56" t="str">
        <f>$AB$8</f>
        <v>-</v>
      </c>
      <c r="AC464" s="56" t="str">
        <f>$AC$8</f>
        <v>-</v>
      </c>
      <c r="AD464" s="56" t="str">
        <f>$AD$8</f>
        <v>-</v>
      </c>
      <c r="AE464" s="56" t="str">
        <f>$AE$8</f>
        <v>-</v>
      </c>
      <c r="AF464" s="56" t="str">
        <f>$AF$8</f>
        <v>-</v>
      </c>
      <c r="AG464" s="56" t="str">
        <f>$AG$8</f>
        <v>-</v>
      </c>
      <c r="AH464"/>
      <c r="AI464" s="55" t="s">
        <v>27</v>
      </c>
      <c r="AJ464" s="56">
        <v>43252</v>
      </c>
      <c r="AK464" s="56">
        <f>$X$8</f>
        <v>43465</v>
      </c>
      <c r="AL464" s="56">
        <f>$Y$8</f>
        <v>43800</v>
      </c>
      <c r="AM464" s="56" t="str">
        <f>$Z$8</f>
        <v>-</v>
      </c>
      <c r="AN464" s="56" t="str">
        <f>$AA$8</f>
        <v>-</v>
      </c>
      <c r="AO464" s="56" t="str">
        <f>$AB$8</f>
        <v>-</v>
      </c>
      <c r="AP464" s="56" t="str">
        <f>$AC$8</f>
        <v>-</v>
      </c>
      <c r="AQ464" s="56" t="str">
        <f>$AD$8</f>
        <v>-</v>
      </c>
      <c r="AR464" s="56" t="str">
        <f>$AE$8</f>
        <v>-</v>
      </c>
      <c r="AS464" s="56" t="str">
        <f>$AF$8</f>
        <v>-</v>
      </c>
      <c r="AT464" s="29"/>
      <c r="AU464" s="55" t="s">
        <v>27</v>
      </c>
      <c r="AV464" s="56">
        <v>43252</v>
      </c>
      <c r="AW464" s="56">
        <f>$X$8</f>
        <v>43465</v>
      </c>
      <c r="AX464" s="56">
        <f>$Y$8</f>
        <v>43800</v>
      </c>
      <c r="AY464" s="56" t="str">
        <f>$Z$8</f>
        <v>-</v>
      </c>
      <c r="AZ464" s="56" t="str">
        <f>$AA$8</f>
        <v>-</v>
      </c>
      <c r="BA464" s="56" t="str">
        <f>$AB$8</f>
        <v>-</v>
      </c>
      <c r="BB464" s="56" t="str">
        <f>$AC$8</f>
        <v>-</v>
      </c>
      <c r="BC464" s="56" t="str">
        <f>$AD$8</f>
        <v>-</v>
      </c>
      <c r="BD464" s="56" t="str">
        <f>$AE$8</f>
        <v>-</v>
      </c>
      <c r="BE464" s="56" t="str">
        <f>$AF$8</f>
        <v>-</v>
      </c>
      <c r="DB464" s="57" t="str">
        <f>$DB$8</f>
        <v>TRC (2020)</v>
      </c>
      <c r="DC464" s="103" t="str">
        <f>$DC$8</f>
        <v>Benefit Lookup</v>
      </c>
      <c r="DD464" s="103" t="str">
        <f>$DD$8</f>
        <v>Benefits (2019 $)</v>
      </c>
      <c r="DE464" s="103" t="str">
        <f>$DE$8</f>
        <v>Incremental Cost (2019 $)</v>
      </c>
    </row>
    <row r="465" spans="3:109" x14ac:dyDescent="0.25">
      <c r="C465" s="1763" t="s">
        <v>403</v>
      </c>
      <c r="D465" s="1815" t="s">
        <v>34</v>
      </c>
      <c r="E465" s="1754" t="s">
        <v>404</v>
      </c>
      <c r="F465" s="210">
        <f>ROUND((F481*G481)*H481*I481*J481,2)</f>
        <v>1547.21</v>
      </c>
      <c r="G465" s="1730" t="s">
        <v>388</v>
      </c>
      <c r="H465" s="1731">
        <f>VLOOKUP(G465,'CP FACTORS'!$A$26:$B$38,2,FALSE)</f>
        <v>1.379439E-4</v>
      </c>
      <c r="I465" s="1755">
        <f t="shared" ref="I465:I471" si="92">ROUND(H465*F465,6)</f>
        <v>0.21342800000000001</v>
      </c>
      <c r="J465" s="1805">
        <v>15</v>
      </c>
      <c r="K465" s="1756">
        <v>77</v>
      </c>
      <c r="L465" s="1827" t="s">
        <v>37</v>
      </c>
      <c r="V465" s="61" t="s">
        <v>20</v>
      </c>
      <c r="W465" s="71">
        <v>1547.2080000000001</v>
      </c>
      <c r="X465" s="71">
        <v>1547.2080000000001</v>
      </c>
      <c r="Y465" s="71">
        <v>1547.2080000000001</v>
      </c>
      <c r="Z465" s="64"/>
      <c r="AA465" s="64"/>
      <c r="AB465" s="64"/>
      <c r="AC465" s="64"/>
      <c r="AD465" s="64"/>
      <c r="AE465" s="64"/>
      <c r="AF465" s="64"/>
      <c r="AG465" s="64"/>
      <c r="AH465" s="65"/>
      <c r="AI465" s="61" t="s">
        <v>24</v>
      </c>
      <c r="AJ465" s="66">
        <v>15</v>
      </c>
      <c r="AK465" s="66">
        <v>15</v>
      </c>
      <c r="AL465" s="66">
        <v>15</v>
      </c>
      <c r="AM465" s="64"/>
      <c r="AN465" s="64"/>
      <c r="AO465" s="64"/>
      <c r="AP465" s="64"/>
      <c r="AQ465" s="64"/>
      <c r="AR465" s="64"/>
      <c r="AS465" s="64"/>
      <c r="AT465" s="29"/>
      <c r="AU465" s="61" t="s">
        <v>25</v>
      </c>
      <c r="AV465" s="67">
        <v>77</v>
      </c>
      <c r="AW465" s="67">
        <v>77</v>
      </c>
      <c r="AX465" s="67">
        <v>77</v>
      </c>
      <c r="AY465" s="64"/>
      <c r="AZ465" s="64"/>
      <c r="BA465" s="64"/>
      <c r="BB465" s="64"/>
      <c r="BC465" s="64"/>
      <c r="BD465" s="64"/>
      <c r="BE465" s="64"/>
      <c r="DB465" s="68">
        <f t="shared" ref="DB465:DB471" si="93">(DD465)/(DE465)</f>
        <v>11.413575812861211</v>
      </c>
      <c r="DC465" s="69" t="str">
        <f t="shared" ref="DC465:DC471" si="94">CONCATENATE(G465," ",J465," Year EUL")</f>
        <v>Air Comp BUS 15 Year EUL</v>
      </c>
      <c r="DD465" s="105">
        <f>(INDEX('Avoided Cost Benefits'!$C$4:$C$857,MATCH(DC465,'Avoided Cost Benefits'!$A$4:$A$857,0)))*F465</f>
        <v>829.49064425702056</v>
      </c>
      <c r="DE465" s="70">
        <f t="shared" ref="DE465:DE471" si="95">K465/(1.0595^(2020-2019))</f>
        <v>72.675790467201509</v>
      </c>
    </row>
    <row r="466" spans="3:109" x14ac:dyDescent="0.25">
      <c r="C466" s="1763" t="s">
        <v>405</v>
      </c>
      <c r="D466" s="1815" t="s">
        <v>34</v>
      </c>
      <c r="E466" s="1754" t="s">
        <v>406</v>
      </c>
      <c r="F466" s="210">
        <f t="shared" ref="F466:F471" si="96">ROUND((F482*G482)*H482*I482*J482,2)</f>
        <v>1203.3800000000001</v>
      </c>
      <c r="G466" s="1730" t="s">
        <v>388</v>
      </c>
      <c r="H466" s="1731">
        <f>VLOOKUP(G466,'CP FACTORS'!$A$26:$B$38,2,FALSE)</f>
        <v>1.379439E-4</v>
      </c>
      <c r="I466" s="1755">
        <f t="shared" si="92"/>
        <v>0.16599900000000001</v>
      </c>
      <c r="J466" s="1805">
        <v>15</v>
      </c>
      <c r="K466" s="1756">
        <v>77</v>
      </c>
      <c r="L466" s="1827" t="s">
        <v>37</v>
      </c>
      <c r="V466" s="61" t="s">
        <v>20</v>
      </c>
      <c r="W466" s="71">
        <v>1203.3840000000002</v>
      </c>
      <c r="X466" s="71">
        <v>1203.3840000000002</v>
      </c>
      <c r="Y466" s="71">
        <v>1203.3840000000002</v>
      </c>
      <c r="Z466" s="64"/>
      <c r="AA466" s="64"/>
      <c r="AB466" s="64"/>
      <c r="AC466" s="64"/>
      <c r="AD466" s="64"/>
      <c r="AE466" s="64"/>
      <c r="AF466" s="64"/>
      <c r="AG466" s="64"/>
      <c r="AH466" s="65"/>
      <c r="AI466" s="61" t="s">
        <v>24</v>
      </c>
      <c r="AJ466" s="66">
        <v>15</v>
      </c>
      <c r="AK466" s="66">
        <v>15</v>
      </c>
      <c r="AL466" s="66">
        <v>15</v>
      </c>
      <c r="AM466" s="64"/>
      <c r="AN466" s="64"/>
      <c r="AO466" s="64"/>
      <c r="AP466" s="64"/>
      <c r="AQ466" s="64"/>
      <c r="AR466" s="64"/>
      <c r="AS466" s="64"/>
      <c r="AT466" s="29"/>
      <c r="AU466" s="61" t="s">
        <v>25</v>
      </c>
      <c r="AV466" s="67">
        <v>77</v>
      </c>
      <c r="AW466" s="67">
        <v>77</v>
      </c>
      <c r="AX466" s="67">
        <v>77</v>
      </c>
      <c r="AY466" s="64"/>
      <c r="AZ466" s="64"/>
      <c r="BA466" s="64"/>
      <c r="BB466" s="64"/>
      <c r="BC466" s="64"/>
      <c r="BD466" s="64"/>
      <c r="BE466" s="64"/>
      <c r="DB466" s="72">
        <f t="shared" si="93"/>
        <v>8.8771846495827482</v>
      </c>
      <c r="DC466" s="73" t="str">
        <f t="shared" si="94"/>
        <v>Air Comp BUS 15 Year EUL</v>
      </c>
      <c r="DD466" s="106">
        <f>(INDEX('Avoided Cost Benefits'!$C$4:$C$857,MATCH(DC466,'Avoided Cost Benefits'!$A$4:$A$857,0)))*F466</f>
        <v>645.15641153173351</v>
      </c>
      <c r="DE466" s="74">
        <f t="shared" si="95"/>
        <v>72.675790467201509</v>
      </c>
    </row>
    <row r="467" spans="3:109" x14ac:dyDescent="0.25">
      <c r="C467" s="1763" t="s">
        <v>407</v>
      </c>
      <c r="D467" s="1815" t="s">
        <v>34</v>
      </c>
      <c r="E467" s="1754" t="s">
        <v>408</v>
      </c>
      <c r="F467" s="210">
        <f t="shared" si="96"/>
        <v>1289.3399999999999</v>
      </c>
      <c r="G467" s="1730" t="s">
        <v>388</v>
      </c>
      <c r="H467" s="1731">
        <f>VLOOKUP(G467,'CP FACTORS'!$A$26:$B$38,2,FALSE)</f>
        <v>1.379439E-4</v>
      </c>
      <c r="I467" s="1755">
        <f t="shared" si="92"/>
        <v>0.17785699999999999</v>
      </c>
      <c r="J467" s="1805">
        <v>15</v>
      </c>
      <c r="K467" s="1756">
        <v>77</v>
      </c>
      <c r="L467" s="1827" t="s">
        <v>37</v>
      </c>
      <c r="V467" s="61" t="s">
        <v>20</v>
      </c>
      <c r="W467" s="71">
        <v>1289.3399999999999</v>
      </c>
      <c r="X467" s="71">
        <v>1289.3399999999999</v>
      </c>
      <c r="Y467" s="71">
        <v>1289.3399999999999</v>
      </c>
      <c r="Z467" s="64"/>
      <c r="AA467" s="64"/>
      <c r="AB467" s="64"/>
      <c r="AC467" s="64"/>
      <c r="AD467" s="64"/>
      <c r="AE467" s="64"/>
      <c r="AF467" s="64"/>
      <c r="AG467" s="64"/>
      <c r="AH467" s="65"/>
      <c r="AI467" s="61" t="s">
        <v>24</v>
      </c>
      <c r="AJ467" s="66">
        <v>15</v>
      </c>
      <c r="AK467" s="66">
        <v>15</v>
      </c>
      <c r="AL467" s="66">
        <v>15</v>
      </c>
      <c r="AM467" s="64"/>
      <c r="AN467" s="64"/>
      <c r="AO467" s="64"/>
      <c r="AP467" s="64"/>
      <c r="AQ467" s="64"/>
      <c r="AR467" s="64"/>
      <c r="AS467" s="64"/>
      <c r="AT467" s="29"/>
      <c r="AU467" s="61" t="s">
        <v>25</v>
      </c>
      <c r="AV467" s="67">
        <v>77</v>
      </c>
      <c r="AW467" s="67">
        <v>77</v>
      </c>
      <c r="AX467" s="67">
        <v>77</v>
      </c>
      <c r="AY467" s="64"/>
      <c r="AZ467" s="64"/>
      <c r="BA467" s="64"/>
      <c r="BB467" s="64"/>
      <c r="BC467" s="64"/>
      <c r="BD467" s="64"/>
      <c r="BE467" s="64"/>
      <c r="DB467" s="72">
        <f t="shared" si="93"/>
        <v>9.5113008825915504</v>
      </c>
      <c r="DC467" s="73" t="str">
        <f t="shared" si="94"/>
        <v>Air Comp BUS 15 Year EUL</v>
      </c>
      <c r="DD467" s="106">
        <f>(INDEX('Avoided Cost Benefits'!$C$4:$C$857,MATCH(DC467,'Avoided Cost Benefits'!$A$4:$A$857,0)))*F467</f>
        <v>691.24131001373235</v>
      </c>
      <c r="DE467" s="74">
        <f t="shared" si="95"/>
        <v>72.675790467201509</v>
      </c>
    </row>
    <row r="468" spans="3:109" x14ac:dyDescent="0.25">
      <c r="C468" s="1763" t="s">
        <v>409</v>
      </c>
      <c r="D468" s="1815" t="s">
        <v>34</v>
      </c>
      <c r="E468" s="1754" t="s">
        <v>410</v>
      </c>
      <c r="F468" s="210">
        <f t="shared" si="96"/>
        <v>515.74</v>
      </c>
      <c r="G468" s="1730" t="s">
        <v>388</v>
      </c>
      <c r="H468" s="1731">
        <f>VLOOKUP(G468,'CP FACTORS'!$A$26:$B$38,2,FALSE)</f>
        <v>1.379439E-4</v>
      </c>
      <c r="I468" s="1755">
        <f t="shared" si="92"/>
        <v>7.1142999999999998E-2</v>
      </c>
      <c r="J468" s="1805">
        <v>15</v>
      </c>
      <c r="K468" s="1756">
        <v>77</v>
      </c>
      <c r="L468" s="1827" t="s">
        <v>37</v>
      </c>
      <c r="V468" s="61" t="s">
        <v>20</v>
      </c>
      <c r="W468" s="71">
        <v>515.73599999999999</v>
      </c>
      <c r="X468" s="71">
        <v>515.73599999999999</v>
      </c>
      <c r="Y468" s="71">
        <v>515.73599999999999</v>
      </c>
      <c r="Z468" s="64"/>
      <c r="AA468" s="64"/>
      <c r="AB468" s="64"/>
      <c r="AC468" s="64"/>
      <c r="AD468" s="64"/>
      <c r="AE468" s="64"/>
      <c r="AF468" s="64"/>
      <c r="AG468" s="64"/>
      <c r="AH468" s="65"/>
      <c r="AI468" s="61" t="s">
        <v>24</v>
      </c>
      <c r="AJ468" s="66">
        <v>15</v>
      </c>
      <c r="AK468" s="66">
        <v>15</v>
      </c>
      <c r="AL468" s="66">
        <v>15</v>
      </c>
      <c r="AM468" s="64"/>
      <c r="AN468" s="64"/>
      <c r="AO468" s="64"/>
      <c r="AP468" s="64"/>
      <c r="AQ468" s="64"/>
      <c r="AR468" s="64"/>
      <c r="AS468" s="64"/>
      <c r="AT468" s="29"/>
      <c r="AU468" s="61" t="s">
        <v>25</v>
      </c>
      <c r="AV468" s="67">
        <v>77</v>
      </c>
      <c r="AW468" s="67">
        <v>77</v>
      </c>
      <c r="AX468" s="67">
        <v>77</v>
      </c>
      <c r="AY468" s="64"/>
      <c r="AZ468" s="64"/>
      <c r="BA468" s="64"/>
      <c r="BB468" s="64"/>
      <c r="BC468" s="64"/>
      <c r="BD468" s="64"/>
      <c r="BE468" s="64"/>
      <c r="DB468" s="72">
        <f t="shared" si="93"/>
        <v>3.8045498605393195</v>
      </c>
      <c r="DC468" s="73" t="str">
        <f t="shared" si="94"/>
        <v>Air Comp BUS 15 Year EUL</v>
      </c>
      <c r="DD468" s="106">
        <f>(INDEX('Avoided Cost Benefits'!$C$4:$C$857,MATCH(DC468,'Avoided Cost Benefits'!$A$4:$A$857,0)))*F468</f>
        <v>276.49866848657632</v>
      </c>
      <c r="DE468" s="74">
        <f t="shared" si="95"/>
        <v>72.675790467201509</v>
      </c>
    </row>
    <row r="469" spans="3:109" x14ac:dyDescent="0.25">
      <c r="C469" s="1763" t="s">
        <v>411</v>
      </c>
      <c r="D469" s="1815" t="s">
        <v>34</v>
      </c>
      <c r="E469" s="1754" t="s">
        <v>412</v>
      </c>
      <c r="F469" s="210">
        <f t="shared" si="96"/>
        <v>515.74</v>
      </c>
      <c r="G469" s="1730" t="s">
        <v>388</v>
      </c>
      <c r="H469" s="1731">
        <f>VLOOKUP(G469,'CP FACTORS'!$A$26:$B$38,2,FALSE)</f>
        <v>1.379439E-4</v>
      </c>
      <c r="I469" s="1755">
        <f t="shared" si="92"/>
        <v>7.1142999999999998E-2</v>
      </c>
      <c r="J469" s="1805">
        <v>15</v>
      </c>
      <c r="K469" s="1756">
        <v>77</v>
      </c>
      <c r="L469" s="1827" t="s">
        <v>37</v>
      </c>
      <c r="V469" s="61" t="s">
        <v>20</v>
      </c>
      <c r="W469" s="71">
        <v>515.73599999999999</v>
      </c>
      <c r="X469" s="71">
        <v>515.73599999999999</v>
      </c>
      <c r="Y469" s="71">
        <v>515.73599999999999</v>
      </c>
      <c r="Z469" s="64"/>
      <c r="AA469" s="64"/>
      <c r="AB469" s="64"/>
      <c r="AC469" s="64"/>
      <c r="AD469" s="64"/>
      <c r="AE469" s="64"/>
      <c r="AF469" s="64"/>
      <c r="AG469" s="64"/>
      <c r="AH469" s="65"/>
      <c r="AI469" s="61" t="s">
        <v>24</v>
      </c>
      <c r="AJ469" s="66">
        <v>15</v>
      </c>
      <c r="AK469" s="66">
        <v>15</v>
      </c>
      <c r="AL469" s="66">
        <v>15</v>
      </c>
      <c r="AM469" s="64"/>
      <c r="AN469" s="64"/>
      <c r="AO469" s="64"/>
      <c r="AP469" s="64"/>
      <c r="AQ469" s="64"/>
      <c r="AR469" s="64"/>
      <c r="AS469" s="64"/>
      <c r="AT469" s="29"/>
      <c r="AU469" s="61" t="s">
        <v>25</v>
      </c>
      <c r="AV469" s="67">
        <v>77</v>
      </c>
      <c r="AW469" s="67">
        <v>77</v>
      </c>
      <c r="AX469" s="67">
        <v>77</v>
      </c>
      <c r="AY469" s="64"/>
      <c r="AZ469" s="64"/>
      <c r="BA469" s="64"/>
      <c r="BB469" s="64"/>
      <c r="BC469" s="64"/>
      <c r="BD469" s="64"/>
      <c r="BE469" s="64"/>
      <c r="DB469" s="72">
        <f t="shared" si="93"/>
        <v>3.8045498605393195</v>
      </c>
      <c r="DC469" s="73" t="str">
        <f t="shared" si="94"/>
        <v>Air Comp BUS 15 Year EUL</v>
      </c>
      <c r="DD469" s="106">
        <f>(INDEX('Avoided Cost Benefits'!$C$4:$C$857,MATCH(DC469,'Avoided Cost Benefits'!$A$4:$A$857,0)))*F469</f>
        <v>276.49866848657632</v>
      </c>
      <c r="DE469" s="74">
        <f t="shared" si="95"/>
        <v>72.675790467201509</v>
      </c>
    </row>
    <row r="470" spans="3:109" x14ac:dyDescent="0.25">
      <c r="C470" s="1763" t="s">
        <v>413</v>
      </c>
      <c r="D470" s="1815" t="s">
        <v>34</v>
      </c>
      <c r="E470" s="1754" t="s">
        <v>414</v>
      </c>
      <c r="F470" s="210">
        <f t="shared" si="96"/>
        <v>1289.3399999999999</v>
      </c>
      <c r="G470" s="1730" t="s">
        <v>388</v>
      </c>
      <c r="H470" s="1731">
        <f>VLOOKUP(G470,'CP FACTORS'!$A$26:$B$38,2,FALSE)</f>
        <v>1.379439E-4</v>
      </c>
      <c r="I470" s="1755">
        <f t="shared" si="92"/>
        <v>0.17785699999999999</v>
      </c>
      <c r="J470" s="1805">
        <v>15</v>
      </c>
      <c r="K470" s="1756">
        <v>77</v>
      </c>
      <c r="L470" s="1827" t="s">
        <v>37</v>
      </c>
      <c r="V470" s="61" t="s">
        <v>20</v>
      </c>
      <c r="W470" s="71">
        <v>1289.3399999999999</v>
      </c>
      <c r="X470" s="71">
        <v>1289.3399999999999</v>
      </c>
      <c r="Y470" s="71">
        <v>1289.3399999999999</v>
      </c>
      <c r="Z470" s="64"/>
      <c r="AA470" s="64"/>
      <c r="AB470" s="64"/>
      <c r="AC470" s="64"/>
      <c r="AD470" s="64"/>
      <c r="AE470" s="64"/>
      <c r="AF470" s="64"/>
      <c r="AG470" s="64"/>
      <c r="AH470" s="65"/>
      <c r="AI470" s="61" t="s">
        <v>24</v>
      </c>
      <c r="AJ470" s="66">
        <v>15</v>
      </c>
      <c r="AK470" s="66">
        <v>15</v>
      </c>
      <c r="AL470" s="66">
        <v>15</v>
      </c>
      <c r="AM470" s="64"/>
      <c r="AN470" s="64"/>
      <c r="AO470" s="64"/>
      <c r="AP470" s="64"/>
      <c r="AQ470" s="64"/>
      <c r="AR470" s="64"/>
      <c r="AS470" s="64"/>
      <c r="AT470" s="29"/>
      <c r="AU470" s="61" t="s">
        <v>25</v>
      </c>
      <c r="AV470" s="67">
        <v>77</v>
      </c>
      <c r="AW470" s="67">
        <v>77</v>
      </c>
      <c r="AX470" s="67">
        <v>77</v>
      </c>
      <c r="AY470" s="64"/>
      <c r="AZ470" s="64"/>
      <c r="BA470" s="64"/>
      <c r="BB470" s="64"/>
      <c r="BC470" s="64"/>
      <c r="BD470" s="64"/>
      <c r="BE470" s="64"/>
      <c r="DB470" s="72">
        <f t="shared" si="93"/>
        <v>9.5113008825915504</v>
      </c>
      <c r="DC470" s="73" t="str">
        <f t="shared" si="94"/>
        <v>Air Comp BUS 15 Year EUL</v>
      </c>
      <c r="DD470" s="106">
        <f>(INDEX('Avoided Cost Benefits'!$C$4:$C$857,MATCH(DC470,'Avoided Cost Benefits'!$A$4:$A$857,0)))*F470</f>
        <v>691.24131001373235</v>
      </c>
      <c r="DE470" s="74">
        <f t="shared" si="95"/>
        <v>72.675790467201509</v>
      </c>
    </row>
    <row r="471" spans="3:109" x14ac:dyDescent="0.25">
      <c r="C471" s="1763" t="s">
        <v>415</v>
      </c>
      <c r="D471" s="1815" t="s">
        <v>34</v>
      </c>
      <c r="E471" s="1754" t="s">
        <v>416</v>
      </c>
      <c r="F471" s="210">
        <f t="shared" si="96"/>
        <v>1547.21</v>
      </c>
      <c r="G471" s="1730" t="s">
        <v>388</v>
      </c>
      <c r="H471" s="1731">
        <f>VLOOKUP(G471,'CP FACTORS'!$A$26:$B$38,2,FALSE)</f>
        <v>1.379439E-4</v>
      </c>
      <c r="I471" s="1755">
        <f t="shared" si="92"/>
        <v>0.21342800000000001</v>
      </c>
      <c r="J471" s="1805">
        <v>15</v>
      </c>
      <c r="K471" s="1756">
        <v>77</v>
      </c>
      <c r="L471" s="1827" t="s">
        <v>37</v>
      </c>
      <c r="V471" s="61" t="s">
        <v>20</v>
      </c>
      <c r="W471" s="71">
        <v>1547.2080000000001</v>
      </c>
      <c r="X471" s="71">
        <v>1547.2080000000001</v>
      </c>
      <c r="Y471" s="71">
        <v>1547.2080000000001</v>
      </c>
      <c r="Z471" s="64"/>
      <c r="AA471" s="64"/>
      <c r="AB471" s="64"/>
      <c r="AC471" s="64"/>
      <c r="AD471" s="64"/>
      <c r="AE471" s="64"/>
      <c r="AF471" s="64"/>
      <c r="AG471" s="64"/>
      <c r="AH471" s="65"/>
      <c r="AI471" s="61" t="s">
        <v>24</v>
      </c>
      <c r="AJ471" s="66">
        <v>15</v>
      </c>
      <c r="AK471" s="66">
        <v>15</v>
      </c>
      <c r="AL471" s="66">
        <v>15</v>
      </c>
      <c r="AM471" s="64"/>
      <c r="AN471" s="64"/>
      <c r="AO471" s="64"/>
      <c r="AP471" s="64"/>
      <c r="AQ471" s="64"/>
      <c r="AR471" s="64"/>
      <c r="AS471" s="64"/>
      <c r="AT471" s="29"/>
      <c r="AU471" s="61" t="s">
        <v>25</v>
      </c>
      <c r="AV471" s="67">
        <v>77</v>
      </c>
      <c r="AW471" s="67">
        <v>77</v>
      </c>
      <c r="AX471" s="67">
        <v>77</v>
      </c>
      <c r="AY471" s="64"/>
      <c r="AZ471" s="64"/>
      <c r="BA471" s="64"/>
      <c r="BB471" s="64"/>
      <c r="BC471" s="64"/>
      <c r="BD471" s="64"/>
      <c r="BE471" s="64"/>
      <c r="DB471" s="75">
        <f t="shared" si="93"/>
        <v>11.413575812861211</v>
      </c>
      <c r="DC471" s="73" t="str">
        <f t="shared" si="94"/>
        <v>Air Comp BUS 15 Year EUL</v>
      </c>
      <c r="DD471" s="107">
        <f>(INDEX('Avoided Cost Benefits'!$C$4:$C$857,MATCH(DC471,'Avoided Cost Benefits'!$A$4:$A$857,0)))*F471</f>
        <v>829.49064425702056</v>
      </c>
      <c r="DE471" s="76">
        <f t="shared" si="95"/>
        <v>72.675790467201509</v>
      </c>
    </row>
    <row r="472" spans="3:109" hidden="1" outlineLevel="1" x14ac:dyDescent="0.25">
      <c r="E472" s="1719"/>
      <c r="F472" s="1719"/>
      <c r="G472" s="1719"/>
      <c r="H472" s="1741"/>
      <c r="I472" s="1719"/>
      <c r="J472" s="1719"/>
      <c r="K472" s="1719"/>
    </row>
    <row r="473" spans="3:109" hidden="1" outlineLevel="1" x14ac:dyDescent="0.25">
      <c r="D473" s="1719" t="s">
        <v>76</v>
      </c>
      <c r="E473" s="1719"/>
      <c r="F473" s="1719"/>
      <c r="G473" s="1719"/>
      <c r="H473" s="1741"/>
      <c r="I473" s="1719"/>
      <c r="J473" s="1719"/>
      <c r="K473" s="1719"/>
    </row>
    <row r="474" spans="3:109" hidden="1" outlineLevel="1" x14ac:dyDescent="0.25">
      <c r="D474" s="1742"/>
      <c r="G474" s="1771"/>
      <c r="H474" s="1772"/>
    </row>
    <row r="475" spans="3:109" hidden="1" outlineLevel="1" x14ac:dyDescent="0.25">
      <c r="D475" s="1806"/>
      <c r="E475" s="1157"/>
      <c r="G475" s="1771"/>
      <c r="H475" s="1772"/>
    </row>
    <row r="476" spans="3:109" hidden="1" outlineLevel="1" x14ac:dyDescent="0.25">
      <c r="D476" s="1806"/>
      <c r="E476" s="1157"/>
      <c r="G476" s="1716"/>
      <c r="H476" s="1743"/>
      <c r="M476" s="1719"/>
    </row>
    <row r="477" spans="3:109" hidden="1" outlineLevel="1" x14ac:dyDescent="0.25">
      <c r="D477" s="1742"/>
      <c r="G477" s="1716"/>
      <c r="H477" s="1743"/>
      <c r="M477" s="1719"/>
    </row>
    <row r="478" spans="3:109" hidden="1" outlineLevel="1" x14ac:dyDescent="0.25">
      <c r="D478" s="1742"/>
      <c r="G478" s="1716"/>
      <c r="H478" s="1743"/>
      <c r="M478" s="1719"/>
    </row>
    <row r="479" spans="3:109" hidden="1" outlineLevel="1" x14ac:dyDescent="0.25">
      <c r="D479" s="1742"/>
      <c r="G479" s="1716"/>
      <c r="H479" s="1743"/>
    </row>
    <row r="480" spans="3:109" s="78" customFormat="1" ht="30" hidden="1" outlineLevel="1" x14ac:dyDescent="0.2">
      <c r="C480" s="553"/>
      <c r="D480" s="1638" t="s">
        <v>17</v>
      </c>
      <c r="E480" s="1638" t="s">
        <v>136</v>
      </c>
      <c r="F480" s="125" t="s">
        <v>417</v>
      </c>
      <c r="G480" s="1638" t="s">
        <v>418</v>
      </c>
      <c r="H480" s="1638" t="s">
        <v>419</v>
      </c>
      <c r="I480" s="1638" t="s">
        <v>420</v>
      </c>
      <c r="J480" s="1638" t="s">
        <v>94</v>
      </c>
      <c r="K480" s="553"/>
      <c r="L480" s="553"/>
      <c r="M480" s="553"/>
      <c r="N480" s="553"/>
      <c r="O480" s="553"/>
      <c r="P480" s="553"/>
      <c r="Q480" s="553"/>
      <c r="R480" s="553"/>
      <c r="S480" s="553"/>
      <c r="T480" s="553"/>
      <c r="U480" s="553"/>
      <c r="DB480" s="108"/>
    </row>
    <row r="481" spans="2:109" hidden="1" outlineLevel="1" x14ac:dyDescent="0.25">
      <c r="D481" s="1747" t="str">
        <f>C465</f>
        <v>804650_2019_12_</v>
      </c>
      <c r="E481" s="1747" t="str">
        <f t="shared" ref="E481:E487" si="97">E465</f>
        <v>Compressed Air Nozzle (Reciprocating - On/off Control)</v>
      </c>
      <c r="F481" s="1808">
        <v>58</v>
      </c>
      <c r="G481" s="132">
        <v>0.5</v>
      </c>
      <c r="H481" s="1849">
        <v>0.18</v>
      </c>
      <c r="I481" s="1829">
        <v>0.05</v>
      </c>
      <c r="J481" s="1848">
        <v>5928</v>
      </c>
    </row>
    <row r="482" spans="2:109" hidden="1" outlineLevel="1" x14ac:dyDescent="0.25">
      <c r="D482" s="1747" t="str">
        <f t="shared" ref="D482:D487" si="98">C466</f>
        <v>804700_2019_12_</v>
      </c>
      <c r="E482" s="1747" t="str">
        <f t="shared" si="97"/>
        <v>Compressed Air Nozzle (Reciprocating - Load/Unload)</v>
      </c>
      <c r="F482" s="1808">
        <v>58</v>
      </c>
      <c r="G482" s="132">
        <v>0.5</v>
      </c>
      <c r="H482" s="1849">
        <v>0.14000000000000001</v>
      </c>
      <c r="I482" s="1829">
        <v>0.05</v>
      </c>
      <c r="J482" s="1848">
        <v>5928</v>
      </c>
    </row>
    <row r="483" spans="2:109" hidden="1" outlineLevel="1" x14ac:dyDescent="0.25">
      <c r="D483" s="1747" t="str">
        <f t="shared" si="98"/>
        <v>804750_2019_12_</v>
      </c>
      <c r="E483" s="1747" t="str">
        <f t="shared" si="97"/>
        <v>Compressed Air Nozzle (Screw - Load/Unload)</v>
      </c>
      <c r="F483" s="1808">
        <v>58</v>
      </c>
      <c r="G483" s="132">
        <v>0.5</v>
      </c>
      <c r="H483" s="1849">
        <v>0.15</v>
      </c>
      <c r="I483" s="1829">
        <v>0.05</v>
      </c>
      <c r="J483" s="1848">
        <v>5928</v>
      </c>
    </row>
    <row r="484" spans="2:109" hidden="1" outlineLevel="1" x14ac:dyDescent="0.25">
      <c r="D484" s="1747" t="str">
        <f t="shared" si="98"/>
        <v>804800_2019_12_</v>
      </c>
      <c r="E484" s="1747" t="str">
        <f t="shared" si="97"/>
        <v>Compressed Air Nozzle (Screw - Inlet Modulation)</v>
      </c>
      <c r="F484" s="1808">
        <v>58</v>
      </c>
      <c r="G484" s="132">
        <v>0.5</v>
      </c>
      <c r="H484" s="1849">
        <v>0.06</v>
      </c>
      <c r="I484" s="1829">
        <v>0.05</v>
      </c>
      <c r="J484" s="1848">
        <v>5928</v>
      </c>
    </row>
    <row r="485" spans="2:109" hidden="1" outlineLevel="1" x14ac:dyDescent="0.25">
      <c r="D485" s="1747" t="str">
        <f t="shared" si="98"/>
        <v>804850_2019_12_</v>
      </c>
      <c r="E485" s="1747" t="str">
        <f t="shared" si="97"/>
        <v>Compressed Air Nozzle (Screw - Inlet Modulation w/ Unloading)</v>
      </c>
      <c r="F485" s="1808">
        <v>58</v>
      </c>
      <c r="G485" s="132">
        <v>0.5</v>
      </c>
      <c r="H485" s="1849">
        <v>0.06</v>
      </c>
      <c r="I485" s="1829">
        <v>0.05</v>
      </c>
      <c r="J485" s="1848">
        <v>5928</v>
      </c>
    </row>
    <row r="486" spans="2:109" hidden="1" outlineLevel="1" x14ac:dyDescent="0.25">
      <c r="D486" s="1747" t="str">
        <f t="shared" si="98"/>
        <v>804900_2019_12_</v>
      </c>
      <c r="E486" s="1747" t="str">
        <f t="shared" si="97"/>
        <v>Compressed Air Nozzle (Screw - Variable Displacement)</v>
      </c>
      <c r="F486" s="1808">
        <v>58</v>
      </c>
      <c r="G486" s="132">
        <v>0.5</v>
      </c>
      <c r="H486" s="1849">
        <v>0.15</v>
      </c>
      <c r="I486" s="1829">
        <v>0.05</v>
      </c>
      <c r="J486" s="1848">
        <v>5928</v>
      </c>
    </row>
    <row r="487" spans="2:109" hidden="1" outlineLevel="1" x14ac:dyDescent="0.25">
      <c r="D487" s="1747" t="str">
        <f t="shared" si="98"/>
        <v>804950_2019_12_</v>
      </c>
      <c r="E487" s="1747" t="str">
        <f t="shared" si="97"/>
        <v>Compressed Air Nozzle (Screw - VFD)</v>
      </c>
      <c r="F487" s="1808">
        <v>58</v>
      </c>
      <c r="G487" s="132">
        <v>0.5</v>
      </c>
      <c r="H487" s="1849">
        <v>0.18</v>
      </c>
      <c r="I487" s="1829">
        <v>0.05</v>
      </c>
      <c r="J487" s="1848">
        <v>5928</v>
      </c>
    </row>
    <row r="488" spans="2:109" collapsed="1" x14ac:dyDescent="0.25"/>
    <row r="490" spans="2:109" s="50" customFormat="1" ht="30" x14ac:dyDescent="0.25">
      <c r="B490" s="51"/>
      <c r="C490" s="52" t="s">
        <v>17</v>
      </c>
      <c r="D490" s="52" t="s">
        <v>18</v>
      </c>
      <c r="E490" s="1678" t="s">
        <v>19</v>
      </c>
      <c r="F490" s="1678" t="s">
        <v>214</v>
      </c>
      <c r="G490" s="1678" t="s">
        <v>21</v>
      </c>
      <c r="H490" s="53" t="s">
        <v>22</v>
      </c>
      <c r="I490" s="1678" t="s">
        <v>23</v>
      </c>
      <c r="J490" s="1678" t="s">
        <v>24</v>
      </c>
      <c r="K490" s="52" t="s">
        <v>273</v>
      </c>
      <c r="L490" s="52" t="s">
        <v>26</v>
      </c>
      <c r="M490" s="1716"/>
      <c r="N490" s="1845"/>
      <c r="O490" s="1819"/>
      <c r="P490" s="1820"/>
      <c r="Q490" s="1726"/>
      <c r="R490" s="1726"/>
      <c r="S490" s="1726"/>
      <c r="T490" s="1726"/>
      <c r="U490" s="1726"/>
      <c r="V490" s="55" t="s">
        <v>27</v>
      </c>
      <c r="W490" s="56">
        <f>$W$8</f>
        <v>43252</v>
      </c>
      <c r="X490" s="56">
        <f>$X$8</f>
        <v>43465</v>
      </c>
      <c r="Y490" s="56">
        <f>$Y$8</f>
        <v>43800</v>
      </c>
      <c r="Z490" s="56" t="str">
        <f>$Z$8</f>
        <v>-</v>
      </c>
      <c r="AA490" s="56" t="str">
        <f>$AA$8</f>
        <v>-</v>
      </c>
      <c r="AB490" s="56" t="str">
        <f>$AB$8</f>
        <v>-</v>
      </c>
      <c r="AC490" s="56" t="str">
        <f>$AC$8</f>
        <v>-</v>
      </c>
      <c r="AD490" s="56" t="str">
        <f>$AD$8</f>
        <v>-</v>
      </c>
      <c r="AE490" s="56" t="str">
        <f>$AE$8</f>
        <v>-</v>
      </c>
      <c r="AF490" s="56" t="str">
        <f>$AF$8</f>
        <v>-</v>
      </c>
      <c r="AG490" s="56" t="str">
        <f>$AG$8</f>
        <v>-</v>
      </c>
      <c r="AH490"/>
      <c r="AI490" s="55" t="s">
        <v>27</v>
      </c>
      <c r="AJ490" s="56">
        <v>43252</v>
      </c>
      <c r="AK490" s="56">
        <f>$X$8</f>
        <v>43465</v>
      </c>
      <c r="AL490" s="56">
        <f>$Y$8</f>
        <v>43800</v>
      </c>
      <c r="AM490" s="56" t="str">
        <f>$Z$8</f>
        <v>-</v>
      </c>
      <c r="AN490" s="56" t="str">
        <f>$AA$8</f>
        <v>-</v>
      </c>
      <c r="AO490" s="56" t="str">
        <f>$AB$8</f>
        <v>-</v>
      </c>
      <c r="AP490" s="56" t="str">
        <f>$AC$8</f>
        <v>-</v>
      </c>
      <c r="AQ490" s="56" t="str">
        <f>$AD$8</f>
        <v>-</v>
      </c>
      <c r="AR490" s="56" t="str">
        <f>$AE$8</f>
        <v>-</v>
      </c>
      <c r="AS490" s="56" t="str">
        <f>$AF$8</f>
        <v>-</v>
      </c>
      <c r="AT490" s="29"/>
      <c r="AU490" s="55" t="s">
        <v>27</v>
      </c>
      <c r="AV490" s="56">
        <v>43252</v>
      </c>
      <c r="AW490" s="56">
        <f>$X$8</f>
        <v>43465</v>
      </c>
      <c r="AX490" s="56">
        <f>$Y$8</f>
        <v>43800</v>
      </c>
      <c r="AY490" s="56" t="str">
        <f>$Z$8</f>
        <v>-</v>
      </c>
      <c r="AZ490" s="56" t="str">
        <f>$AA$8</f>
        <v>-</v>
      </c>
      <c r="BA490" s="56" t="str">
        <f>$AB$8</f>
        <v>-</v>
      </c>
      <c r="BB490" s="56" t="str">
        <f>$AC$8</f>
        <v>-</v>
      </c>
      <c r="BC490" s="56" t="str">
        <f>$AD$8</f>
        <v>-</v>
      </c>
      <c r="BD490" s="56" t="str">
        <f>$AE$8</f>
        <v>-</v>
      </c>
      <c r="BE490" s="56" t="str">
        <f>$AF$8</f>
        <v>-</v>
      </c>
      <c r="DB490" s="57" t="str">
        <f>$DB$8</f>
        <v>TRC (2020)</v>
      </c>
      <c r="DC490" s="103" t="str">
        <f>$DC$8</f>
        <v>Benefit Lookup</v>
      </c>
      <c r="DD490" s="103" t="str">
        <f>$DD$8</f>
        <v>Benefits (2019 $)</v>
      </c>
      <c r="DE490" s="103" t="str">
        <f>$DE$8</f>
        <v>Incremental Cost (2019 $)</v>
      </c>
    </row>
    <row r="491" spans="2:109" x14ac:dyDescent="0.25">
      <c r="C491" s="1763" t="s">
        <v>421</v>
      </c>
      <c r="D491" s="133" t="s">
        <v>34</v>
      </c>
      <c r="E491" s="1754" t="s">
        <v>3348</v>
      </c>
      <c r="F491" s="93">
        <f>ROUND(0.9*F501*G501*(H501-I501),2)</f>
        <v>987.01</v>
      </c>
      <c r="G491" s="1730" t="s">
        <v>388</v>
      </c>
      <c r="H491" s="1731">
        <f>VLOOKUP(G491,'CP FACTORS'!$A$26:$B$38,2,FALSE)</f>
        <v>1.379439E-4</v>
      </c>
      <c r="I491" s="1755">
        <f t="shared" ref="I491" si="99">ROUND(H491*F491,6)</f>
        <v>0.136152</v>
      </c>
      <c r="J491" s="1805">
        <v>10</v>
      </c>
      <c r="K491" s="1756">
        <f>(127*1)+1446</f>
        <v>1573</v>
      </c>
      <c r="L491" s="1827" t="s">
        <v>422</v>
      </c>
      <c r="V491" s="61" t="str">
        <f>F490</f>
        <v>kWh Annual Savings (per HP)</v>
      </c>
      <c r="W491" s="71">
        <v>987.01200000000028</v>
      </c>
      <c r="X491" s="71">
        <v>3272.2560000000003</v>
      </c>
      <c r="Y491" s="71">
        <v>3272.2560000000003</v>
      </c>
      <c r="Z491" s="64"/>
      <c r="AA491" s="64"/>
      <c r="AB491" s="64"/>
      <c r="AC491" s="64"/>
      <c r="AD491" s="64"/>
      <c r="AE491" s="64"/>
      <c r="AF491" s="64"/>
      <c r="AG491" s="64"/>
      <c r="AH491" s="65"/>
      <c r="AI491" s="61" t="s">
        <v>24</v>
      </c>
      <c r="AJ491" s="66">
        <v>10</v>
      </c>
      <c r="AK491" s="66">
        <v>10</v>
      </c>
      <c r="AL491" s="66">
        <v>10</v>
      </c>
      <c r="AM491" s="64"/>
      <c r="AN491" s="64"/>
      <c r="AO491" s="64"/>
      <c r="AP491" s="64"/>
      <c r="AQ491" s="64"/>
      <c r="AR491" s="64"/>
      <c r="AS491" s="64"/>
      <c r="AT491" s="29"/>
      <c r="AU491" s="61" t="str">
        <f>K490</f>
        <v>Inc. Cost (per HP)</v>
      </c>
      <c r="AV491" s="67">
        <v>1573</v>
      </c>
      <c r="AW491" s="67">
        <v>1573</v>
      </c>
      <c r="AX491" s="67">
        <v>1573</v>
      </c>
      <c r="AY491" s="64"/>
      <c r="AZ491" s="64"/>
      <c r="BA491" s="64"/>
      <c r="BB491" s="64"/>
      <c r="BC491" s="64"/>
      <c r="BD491" s="64"/>
      <c r="BE491" s="64"/>
      <c r="DB491" s="120">
        <f t="shared" ref="DB491" si="100">(DD491)/(DE491)</f>
        <v>0.24288067398410285</v>
      </c>
      <c r="DC491" s="69" t="str">
        <f>CONCATENATE(G491," ",J491," Year EUL")</f>
        <v>Air Comp BUS 10 Year EUL</v>
      </c>
      <c r="DD491" s="121">
        <f>(INDEX('Avoided Cost Benefits'!$C$4:$C$857,MATCH(DC491,'Avoided Cost Benefits'!$A$4:$A$857,0)))*F491</f>
        <v>360.59584726474162</v>
      </c>
      <c r="DE491" s="122">
        <f>K491/(1.0595^(2020-2019))</f>
        <v>1484.6625766871164</v>
      </c>
    </row>
    <row r="492" spans="2:109" hidden="1" outlineLevel="1" x14ac:dyDescent="0.25">
      <c r="E492" s="1719"/>
      <c r="F492" s="1719"/>
      <c r="G492" s="1719"/>
      <c r="H492" s="1741"/>
      <c r="I492" s="1719"/>
      <c r="J492" s="1719"/>
      <c r="K492" s="1719"/>
    </row>
    <row r="493" spans="2:109" hidden="1" outlineLevel="1" x14ac:dyDescent="0.25">
      <c r="D493" s="1719" t="s">
        <v>76</v>
      </c>
      <c r="E493" s="1719"/>
      <c r="F493" s="1719"/>
      <c r="G493" s="1719"/>
      <c r="H493" s="1741"/>
      <c r="I493" s="1719"/>
      <c r="J493" s="1719"/>
      <c r="K493" s="1719"/>
    </row>
    <row r="494" spans="2:109" hidden="1" outlineLevel="1" x14ac:dyDescent="0.25">
      <c r="D494" s="1742"/>
      <c r="G494" s="1771"/>
      <c r="H494" s="1772"/>
    </row>
    <row r="495" spans="2:109" hidden="1" outlineLevel="1" x14ac:dyDescent="0.25">
      <c r="D495" s="1806"/>
      <c r="E495" s="1157"/>
      <c r="G495" s="1771"/>
      <c r="H495" s="1772"/>
    </row>
    <row r="496" spans="2:109" hidden="1" outlineLevel="1" x14ac:dyDescent="0.25">
      <c r="D496" s="1806"/>
      <c r="E496" s="1157"/>
      <c r="G496" s="1716"/>
      <c r="H496" s="1743"/>
      <c r="M496" s="1719"/>
    </row>
    <row r="497" spans="2:109" hidden="1" outlineLevel="1" x14ac:dyDescent="0.25">
      <c r="D497" s="1742"/>
      <c r="G497" s="1716"/>
      <c r="H497" s="1743"/>
      <c r="M497" s="1719"/>
    </row>
    <row r="498" spans="2:109" hidden="1" outlineLevel="1" x14ac:dyDescent="0.25">
      <c r="D498" s="1742"/>
      <c r="G498" s="1716"/>
      <c r="H498" s="1743"/>
      <c r="M498" s="1719"/>
    </row>
    <row r="499" spans="2:109" hidden="1" outlineLevel="1" x14ac:dyDescent="0.25">
      <c r="D499" s="1742"/>
      <c r="G499" s="1716"/>
      <c r="H499" s="1743"/>
    </row>
    <row r="500" spans="2:109" s="78" customFormat="1" ht="30" hidden="1" outlineLevel="1" x14ac:dyDescent="0.2">
      <c r="C500" s="553"/>
      <c r="D500" s="1638" t="s">
        <v>17</v>
      </c>
      <c r="E500" s="1638" t="s">
        <v>136</v>
      </c>
      <c r="F500" s="125" t="s">
        <v>423</v>
      </c>
      <c r="G500" s="1638" t="s">
        <v>94</v>
      </c>
      <c r="H500" s="1638" t="s">
        <v>424</v>
      </c>
      <c r="I500" s="1638" t="s">
        <v>425</v>
      </c>
      <c r="J500" s="553"/>
      <c r="K500" s="553"/>
      <c r="L500" s="553"/>
      <c r="M500" s="553"/>
      <c r="N500" s="553"/>
      <c r="O500" s="553"/>
      <c r="P500" s="553"/>
      <c r="Q500" s="553"/>
      <c r="R500" s="553"/>
      <c r="S500" s="553"/>
      <c r="T500" s="553"/>
      <c r="U500" s="553"/>
      <c r="DB500" s="108"/>
    </row>
    <row r="501" spans="2:109" hidden="1" outlineLevel="1" x14ac:dyDescent="0.25">
      <c r="D501" s="1747" t="str">
        <f>C491</f>
        <v>805000_2019_12_</v>
      </c>
      <c r="E501" s="1747" t="str">
        <f>E491</f>
        <v>VSD Air Compressor ≤ 40 HP</v>
      </c>
      <c r="F501" s="1808">
        <v>1</v>
      </c>
      <c r="G501" s="134">
        <v>5928</v>
      </c>
      <c r="H501" s="1850">
        <v>0.89</v>
      </c>
      <c r="I501" s="1851">
        <v>0.70499999999999996</v>
      </c>
    </row>
    <row r="502" spans="2:109" collapsed="1" x14ac:dyDescent="0.25"/>
    <row r="504" spans="2:109" s="46" customFormat="1" x14ac:dyDescent="0.25">
      <c r="B504" s="2612" t="s">
        <v>426</v>
      </c>
      <c r="C504" s="2613"/>
      <c r="D504" s="2613"/>
      <c r="E504" s="2613"/>
      <c r="F504" s="2613"/>
      <c r="G504" s="2613"/>
      <c r="H504" s="2613"/>
      <c r="I504" s="2614"/>
      <c r="J504" s="2614"/>
      <c r="K504" s="2614"/>
      <c r="L504" s="2614"/>
      <c r="M504" s="2615"/>
      <c r="N504" s="2615"/>
      <c r="O504" s="2616"/>
      <c r="V504" s="47" t="str">
        <f>B504</f>
        <v>Combination Oven</v>
      </c>
      <c r="W504" s="48"/>
      <c r="X504" s="48"/>
      <c r="Y504" s="48"/>
      <c r="Z504" s="48"/>
      <c r="AA504" s="48"/>
      <c r="AB504" s="48"/>
      <c r="AC504" s="48"/>
      <c r="AD504" s="48"/>
      <c r="AE504" s="48"/>
      <c r="AF504" s="48"/>
      <c r="AG504" s="48"/>
      <c r="AH504" s="48"/>
      <c r="AI504" s="49"/>
      <c r="AJ504" s="26"/>
      <c r="AK504" s="26"/>
      <c r="AL504" s="26"/>
      <c r="AM504" s="26"/>
      <c r="AN504" s="26"/>
      <c r="AO504" s="26"/>
      <c r="AP504" s="26"/>
      <c r="AQ504" s="26"/>
      <c r="AR504" s="26"/>
      <c r="AS504" s="26"/>
      <c r="AT504" s="26"/>
      <c r="AU504" s="26"/>
      <c r="DB504" s="109"/>
    </row>
    <row r="505" spans="2:109" x14ac:dyDescent="0.25">
      <c r="D505" s="1724"/>
      <c r="E505" s="1719"/>
      <c r="F505" s="1719"/>
      <c r="G505" s="1719"/>
      <c r="H505" s="1725"/>
      <c r="I505" s="1719"/>
      <c r="J505" s="1719"/>
      <c r="K505" s="1719"/>
      <c r="L505" s="1719"/>
      <c r="P505" s="1719"/>
      <c r="Q505" s="1719"/>
      <c r="R505" s="1719"/>
      <c r="S505" s="1719"/>
      <c r="T505" s="1719"/>
      <c r="U505" s="1719"/>
      <c r="V505"/>
      <c r="W505"/>
      <c r="X505"/>
      <c r="Y505"/>
      <c r="Z505"/>
      <c r="AA505"/>
      <c r="AB505"/>
      <c r="AC505"/>
      <c r="AD505"/>
      <c r="AE505"/>
      <c r="AF505"/>
      <c r="AG505"/>
      <c r="AH505"/>
      <c r="AI505"/>
      <c r="AJ505" s="44"/>
      <c r="AK505" s="44"/>
      <c r="AL505" s="44"/>
      <c r="AM505" s="44"/>
      <c r="AN505" s="44"/>
      <c r="AO505" s="44"/>
      <c r="AP505" s="44"/>
      <c r="AQ505" s="44"/>
      <c r="AR505" s="44"/>
      <c r="AS505" s="44"/>
      <c r="AT505" s="44"/>
      <c r="AU505" s="44"/>
    </row>
    <row r="506" spans="2:109" s="50" customFormat="1" ht="30" x14ac:dyDescent="0.25">
      <c r="B506" s="51"/>
      <c r="C506" s="52" t="s">
        <v>17</v>
      </c>
      <c r="D506" s="52" t="s">
        <v>18</v>
      </c>
      <c r="E506" s="1678" t="s">
        <v>19</v>
      </c>
      <c r="F506" s="1678" t="s">
        <v>20</v>
      </c>
      <c r="G506" s="1678" t="s">
        <v>21</v>
      </c>
      <c r="H506" s="53" t="s">
        <v>22</v>
      </c>
      <c r="I506" s="1678" t="s">
        <v>23</v>
      </c>
      <c r="J506" s="1678" t="s">
        <v>24</v>
      </c>
      <c r="K506" s="52" t="s">
        <v>25</v>
      </c>
      <c r="L506" s="52" t="s">
        <v>26</v>
      </c>
      <c r="M506" s="1716"/>
      <c r="N506" s="1716"/>
      <c r="O506" s="1716"/>
      <c r="P506" s="1726"/>
      <c r="Q506" s="1726"/>
      <c r="R506" s="1726"/>
      <c r="S506" s="1726"/>
      <c r="T506" s="1726"/>
      <c r="U506" s="1726"/>
      <c r="V506" s="55" t="s">
        <v>27</v>
      </c>
      <c r="W506" s="56">
        <f>$W$8</f>
        <v>43252</v>
      </c>
      <c r="X506" s="56">
        <f>$X$8</f>
        <v>43465</v>
      </c>
      <c r="Y506" s="56">
        <f>$Y$8</f>
        <v>43800</v>
      </c>
      <c r="Z506" s="56" t="str">
        <f>$Z$8</f>
        <v>-</v>
      </c>
      <c r="AA506" s="56" t="str">
        <f>$AA$8</f>
        <v>-</v>
      </c>
      <c r="AB506" s="56" t="str">
        <f>$AB$8</f>
        <v>-</v>
      </c>
      <c r="AC506" s="56" t="str">
        <f>$AC$8</f>
        <v>-</v>
      </c>
      <c r="AD506" s="56" t="str">
        <f>$AD$8</f>
        <v>-</v>
      </c>
      <c r="AE506" s="56" t="str">
        <f>$AE$8</f>
        <v>-</v>
      </c>
      <c r="AF506" s="56" t="str">
        <f>$AF$8</f>
        <v>-</v>
      </c>
      <c r="AG506" s="56" t="str">
        <f>$AG$8</f>
        <v>-</v>
      </c>
      <c r="AH506"/>
      <c r="AI506" s="55" t="s">
        <v>27</v>
      </c>
      <c r="AJ506" s="56">
        <v>43252</v>
      </c>
      <c r="AK506" s="56">
        <f>$X$8</f>
        <v>43465</v>
      </c>
      <c r="AL506" s="56">
        <f>$Y$8</f>
        <v>43800</v>
      </c>
      <c r="AM506" s="56" t="str">
        <f>$Z$8</f>
        <v>-</v>
      </c>
      <c r="AN506" s="56" t="str">
        <f>$AA$8</f>
        <v>-</v>
      </c>
      <c r="AO506" s="56" t="str">
        <f>$AB$8</f>
        <v>-</v>
      </c>
      <c r="AP506" s="56" t="str">
        <f>$AC$8</f>
        <v>-</v>
      </c>
      <c r="AQ506" s="56" t="str">
        <f>$AD$8</f>
        <v>-</v>
      </c>
      <c r="AR506" s="56" t="str">
        <f>$AE$8</f>
        <v>-</v>
      </c>
      <c r="AS506" s="56" t="str">
        <f>$AF$8</f>
        <v>-</v>
      </c>
      <c r="AT506" s="29"/>
      <c r="AU506" s="55" t="s">
        <v>27</v>
      </c>
      <c r="AV506" s="56">
        <v>43252</v>
      </c>
      <c r="AW506" s="56">
        <f>$X$8</f>
        <v>43465</v>
      </c>
      <c r="AX506" s="56">
        <f>$Y$8</f>
        <v>43800</v>
      </c>
      <c r="AY506" s="56" t="str">
        <f>$Z$8</f>
        <v>-</v>
      </c>
      <c r="AZ506" s="56" t="str">
        <f>$AA$8</f>
        <v>-</v>
      </c>
      <c r="BA506" s="56" t="str">
        <f>$AB$8</f>
        <v>-</v>
      </c>
      <c r="BB506" s="56" t="str">
        <f>$AC$8</f>
        <v>-</v>
      </c>
      <c r="BC506" s="56" t="str">
        <f>$AD$8</f>
        <v>-</v>
      </c>
      <c r="BD506" s="56" t="str">
        <f>$AE$8</f>
        <v>-</v>
      </c>
      <c r="BE506" s="56" t="str">
        <f>$AF$8</f>
        <v>-</v>
      </c>
      <c r="DB506" s="57" t="str">
        <f>$DB$8</f>
        <v>TRC (2020)</v>
      </c>
      <c r="DC506" s="103" t="str">
        <f>$DC$8</f>
        <v>Benefit Lookup</v>
      </c>
      <c r="DD506" s="103" t="str">
        <f>$DD$8</f>
        <v>Benefits (2019 $)</v>
      </c>
      <c r="DE506" s="103" t="str">
        <f>$DE$8</f>
        <v>Incremental Cost (2019 $)</v>
      </c>
    </row>
    <row r="507" spans="2:109" x14ac:dyDescent="0.25">
      <c r="C507" s="1763" t="s">
        <v>427</v>
      </c>
      <c r="D507" s="1815" t="s">
        <v>34</v>
      </c>
      <c r="E507" s="1754" t="s">
        <v>428</v>
      </c>
      <c r="F507" s="210">
        <f>ROUND(((F520*(G520/H520-G520/I520)*J520)+(F520*(K520/L520-K520/M520)*N520)+((O520*((F524-F520/G524)*J520))-(I524*((F524-F520/K524)*J520)))+((P520*((F524-F520/H524)*N520))-(M524*((F524-F520/L524)*N520))))*N524/1000,2)</f>
        <v>6372.3</v>
      </c>
      <c r="G507" s="1730" t="s">
        <v>226</v>
      </c>
      <c r="H507" s="1731">
        <f>VLOOKUP(G507,'CP FACTORS'!$A$26:$B$38,2,FALSE)</f>
        <v>1.998949E-4</v>
      </c>
      <c r="I507" s="1755">
        <f t="shared" ref="I507:I508" si="101">ROUND(H507*F507,6)</f>
        <v>1.27379</v>
      </c>
      <c r="J507" s="1852">
        <v>12</v>
      </c>
      <c r="K507" s="1756">
        <v>4300</v>
      </c>
      <c r="L507" s="1827" t="s">
        <v>37</v>
      </c>
      <c r="V507" s="61" t="s">
        <v>20</v>
      </c>
      <c r="W507" s="71">
        <v>6372.3047989987854</v>
      </c>
      <c r="X507" s="71">
        <v>6372.3047989987854</v>
      </c>
      <c r="Y507" s="71">
        <v>6372.3047989987854</v>
      </c>
      <c r="Z507" s="64"/>
      <c r="AA507" s="64"/>
      <c r="AB507" s="64"/>
      <c r="AC507" s="64"/>
      <c r="AD507" s="64"/>
      <c r="AE507" s="64"/>
      <c r="AF507" s="64"/>
      <c r="AG507" s="64"/>
      <c r="AH507" s="65"/>
      <c r="AI507" s="61" t="s">
        <v>24</v>
      </c>
      <c r="AJ507" s="66">
        <v>12</v>
      </c>
      <c r="AK507" s="66">
        <v>12</v>
      </c>
      <c r="AL507" s="66">
        <v>12</v>
      </c>
      <c r="AM507" s="64"/>
      <c r="AN507" s="64"/>
      <c r="AO507" s="64"/>
      <c r="AP507" s="64"/>
      <c r="AQ507" s="64"/>
      <c r="AR507" s="64"/>
      <c r="AS507" s="64"/>
      <c r="AT507" s="29"/>
      <c r="AU507" s="61" t="s">
        <v>25</v>
      </c>
      <c r="AV507" s="67">
        <v>4300</v>
      </c>
      <c r="AW507" s="67">
        <v>4300</v>
      </c>
      <c r="AX507" s="67">
        <v>4300</v>
      </c>
      <c r="AY507" s="64"/>
      <c r="AZ507" s="64"/>
      <c r="BA507" s="64"/>
      <c r="BB507" s="64"/>
      <c r="BC507" s="64"/>
      <c r="BD507" s="64"/>
      <c r="BE507" s="64"/>
      <c r="DB507" s="68">
        <f t="shared" ref="DB507:DB508" si="102">(DD507)/(DE507)</f>
        <v>0.79635009510895882</v>
      </c>
      <c r="DC507" s="69" t="str">
        <f>CONCATENATE(G507," ",J507," Year EUL")</f>
        <v>Cooking BUS 12 Year EUL</v>
      </c>
      <c r="DD507" s="105">
        <f>(INDEX('Avoided Cost Benefits'!$C$4:$C$857,MATCH(DC507,'Avoided Cost Benefits'!$A$4:$A$857,0)))*F507</f>
        <v>3232.0013298428717</v>
      </c>
      <c r="DE507" s="70">
        <f>K507/(1.0595^(2020-2019))</f>
        <v>4058.5181689476162</v>
      </c>
    </row>
    <row r="508" spans="2:109" x14ac:dyDescent="0.25">
      <c r="C508" s="1727" t="s">
        <v>429</v>
      </c>
      <c r="D508" s="1815" t="s">
        <v>34</v>
      </c>
      <c r="E508" s="1754" t="s">
        <v>3349</v>
      </c>
      <c r="F508" s="210">
        <f>ROUND(((F521*(G521/H521-G521/I521)*J521)+(F521*(K521/L521-K521/M521)*N521)+((O521*((F525-F521/G525)*J521))-(I525*((F525-F521/K525)*J521)))+((P521*((F525-F521/H525)*N521))-(M525*((F525-F521/L525)*N521))))*N525/1000,2)</f>
        <v>11743.62</v>
      </c>
      <c r="G508" s="1730" t="s">
        <v>226</v>
      </c>
      <c r="H508" s="1731">
        <f>VLOOKUP(G508,'CP FACTORS'!$A$26:$B$38,2,FALSE)</f>
        <v>1.998949E-4</v>
      </c>
      <c r="I508" s="1755">
        <f t="shared" si="101"/>
        <v>2.3474900000000001</v>
      </c>
      <c r="J508" s="452">
        <v>12</v>
      </c>
      <c r="K508" s="1756">
        <v>4300</v>
      </c>
      <c r="L508" s="1827" t="s">
        <v>37</v>
      </c>
      <c r="V508" s="61" t="s">
        <v>20</v>
      </c>
      <c r="W508" s="71">
        <v>11743.624493752814</v>
      </c>
      <c r="X508" s="71">
        <v>11743.624493752814</v>
      </c>
      <c r="Y508" s="71">
        <v>11743.624493752814</v>
      </c>
      <c r="Z508" s="64"/>
      <c r="AA508" s="64"/>
      <c r="AB508" s="64"/>
      <c r="AC508" s="64"/>
      <c r="AD508" s="64"/>
      <c r="AE508" s="64"/>
      <c r="AF508" s="64"/>
      <c r="AG508" s="64"/>
      <c r="AH508" s="65"/>
      <c r="AI508" s="61" t="s">
        <v>24</v>
      </c>
      <c r="AJ508" s="66">
        <v>12</v>
      </c>
      <c r="AK508" s="66">
        <v>12</v>
      </c>
      <c r="AL508" s="66">
        <v>12</v>
      </c>
      <c r="AM508" s="64"/>
      <c r="AN508" s="64"/>
      <c r="AO508" s="64"/>
      <c r="AP508" s="64"/>
      <c r="AQ508" s="64"/>
      <c r="AR508" s="64"/>
      <c r="AS508" s="64"/>
      <c r="AT508" s="29"/>
      <c r="AU508" s="61" t="s">
        <v>25</v>
      </c>
      <c r="AV508" s="67">
        <v>4300</v>
      </c>
      <c r="AW508" s="67">
        <v>4300</v>
      </c>
      <c r="AX508" s="67">
        <v>4300</v>
      </c>
      <c r="AY508" s="64"/>
      <c r="AZ508" s="64"/>
      <c r="BA508" s="64"/>
      <c r="BB508" s="64"/>
      <c r="BC508" s="64"/>
      <c r="BD508" s="64"/>
      <c r="BE508" s="64"/>
      <c r="DB508" s="75">
        <f t="shared" si="102"/>
        <v>1.4676071283403906</v>
      </c>
      <c r="DC508" s="73" t="str">
        <f>CONCATENATE(G508," ",J508," Year EUL")</f>
        <v>Cooking BUS 12 Year EUL</v>
      </c>
      <c r="DD508" s="107">
        <f>(INDEX('Avoided Cost Benefits'!$C$4:$C$857,MATCH(DC508,'Avoided Cost Benefits'!$A$4:$A$857,0)))*F508</f>
        <v>5956.3101952465113</v>
      </c>
      <c r="DE508" s="76">
        <f>K508/(1.0595^(2020-2019))</f>
        <v>4058.5181689476162</v>
      </c>
    </row>
    <row r="509" spans="2:109" hidden="1" outlineLevel="1" x14ac:dyDescent="0.25">
      <c r="E509" s="1719"/>
      <c r="F509" s="1719"/>
      <c r="G509" s="1719"/>
      <c r="H509" s="1741"/>
      <c r="I509" s="1719"/>
      <c r="J509" s="1719"/>
      <c r="K509" s="1719"/>
    </row>
    <row r="510" spans="2:109" hidden="1" outlineLevel="1" x14ac:dyDescent="0.25">
      <c r="D510" s="1719" t="s">
        <v>76</v>
      </c>
      <c r="E510" s="233"/>
      <c r="F510" s="1719"/>
      <c r="G510" s="1719"/>
      <c r="H510" s="1741"/>
      <c r="I510" s="1719"/>
      <c r="J510" s="1719"/>
      <c r="K510" s="233"/>
    </row>
    <row r="511" spans="2:109" hidden="1" outlineLevel="1" x14ac:dyDescent="0.25">
      <c r="D511" s="1742"/>
      <c r="E511" s="233"/>
      <c r="F511" s="233"/>
      <c r="G511" s="1771"/>
      <c r="H511" s="1772"/>
    </row>
    <row r="512" spans="2:109" hidden="1" outlineLevel="1" x14ac:dyDescent="0.25">
      <c r="D512" s="1742"/>
      <c r="E512" s="233"/>
      <c r="F512" s="233"/>
      <c r="G512" s="1771"/>
      <c r="H512" s="1772"/>
    </row>
    <row r="513" spans="2:106" hidden="1" outlineLevel="1" x14ac:dyDescent="0.25">
      <c r="D513" s="1742"/>
      <c r="E513" s="233"/>
      <c r="F513" s="233"/>
      <c r="G513" s="1771"/>
      <c r="H513" s="1772"/>
    </row>
    <row r="514" spans="2:106" hidden="1" outlineLevel="1" x14ac:dyDescent="0.25">
      <c r="D514" s="1742"/>
      <c r="G514" s="1771"/>
      <c r="H514" s="1772"/>
      <c r="P514" s="2630"/>
      <c r="Q514" s="2630"/>
    </row>
    <row r="515" spans="2:106" hidden="1" outlineLevel="1" x14ac:dyDescent="0.25">
      <c r="D515" s="1742"/>
      <c r="G515" s="1716"/>
      <c r="H515" s="1743"/>
      <c r="M515" s="1719"/>
      <c r="P515" s="2630"/>
      <c r="Q515" s="2630"/>
    </row>
    <row r="516" spans="2:106" hidden="1" outlineLevel="1" x14ac:dyDescent="0.25">
      <c r="D516" s="1742"/>
      <c r="G516" s="1716"/>
      <c r="H516" s="1743"/>
      <c r="M516" s="1719"/>
      <c r="P516" s="2630"/>
      <c r="Q516" s="2630"/>
    </row>
    <row r="517" spans="2:106" hidden="1" outlineLevel="1" x14ac:dyDescent="0.25">
      <c r="D517" s="1742"/>
      <c r="G517" s="1716"/>
      <c r="H517" s="1743"/>
      <c r="M517" s="1719"/>
    </row>
    <row r="518" spans="2:106" hidden="1" outlineLevel="1" x14ac:dyDescent="0.25">
      <c r="D518" s="1742"/>
      <c r="G518" s="1716"/>
      <c r="H518" s="1743"/>
    </row>
    <row r="519" spans="2:106" s="78" customFormat="1" ht="45" hidden="1" outlineLevel="1" x14ac:dyDescent="0.2">
      <c r="C519" s="553"/>
      <c r="D519" s="1638" t="s">
        <v>17</v>
      </c>
      <c r="E519" s="1638" t="s">
        <v>136</v>
      </c>
      <c r="F519" s="123" t="s">
        <v>430</v>
      </c>
      <c r="G519" s="1638" t="s">
        <v>431</v>
      </c>
      <c r="H519" s="1638" t="s">
        <v>432</v>
      </c>
      <c r="I519" s="1638" t="s">
        <v>433</v>
      </c>
      <c r="J519" s="1638" t="s">
        <v>434</v>
      </c>
      <c r="K519" s="1638" t="s">
        <v>435</v>
      </c>
      <c r="L519" s="1638" t="s">
        <v>436</v>
      </c>
      <c r="M519" s="1638" t="s">
        <v>437</v>
      </c>
      <c r="N519" s="1632" t="s">
        <v>438</v>
      </c>
      <c r="O519" s="1632" t="s">
        <v>439</v>
      </c>
      <c r="P519" s="1632" t="s">
        <v>440</v>
      </c>
      <c r="Q519" s="553"/>
      <c r="R519" s="553"/>
      <c r="S519" s="553"/>
      <c r="T519" s="553"/>
      <c r="U519" s="553"/>
      <c r="DB519" s="108"/>
    </row>
    <row r="520" spans="2:106" hidden="1" outlineLevel="1" x14ac:dyDescent="0.25">
      <c r="D520" s="1747" t="str">
        <f>C507</f>
        <v>805050_2019_12_</v>
      </c>
      <c r="E520" s="1747" t="str">
        <f>E507</f>
        <v>Combination Oven (Pan Capacity &lt; 15)</v>
      </c>
      <c r="F520" s="1843">
        <v>200</v>
      </c>
      <c r="G520" s="1853">
        <v>73.2</v>
      </c>
      <c r="H520" s="1829">
        <v>0.72</v>
      </c>
      <c r="I520" s="1829">
        <v>0.76</v>
      </c>
      <c r="J520" s="1829">
        <v>0.5</v>
      </c>
      <c r="K520" s="1854">
        <v>30.8</v>
      </c>
      <c r="L520" s="1829">
        <v>0.49</v>
      </c>
      <c r="M520" s="1829">
        <v>0.55000000000000004</v>
      </c>
      <c r="N520" s="1855">
        <f>1-J520</f>
        <v>0.5</v>
      </c>
      <c r="O520" s="1792">
        <v>1320</v>
      </c>
      <c r="P520" s="1792">
        <v>5260</v>
      </c>
    </row>
    <row r="521" spans="2:106" hidden="1" outlineLevel="1" x14ac:dyDescent="0.25">
      <c r="D521" s="1747" t="str">
        <f>C508</f>
        <v>805100_2019_12_</v>
      </c>
      <c r="E521" s="1747" t="str">
        <f>E508</f>
        <v>Combination Oven (Pan Capacity ≥ 15)</v>
      </c>
      <c r="F521" s="1843">
        <v>250</v>
      </c>
      <c r="G521" s="1853">
        <v>73.2</v>
      </c>
      <c r="H521" s="1829">
        <v>0.72</v>
      </c>
      <c r="I521" s="1829">
        <v>0.76</v>
      </c>
      <c r="J521" s="1829">
        <v>0.5</v>
      </c>
      <c r="K521" s="1854">
        <v>30.8</v>
      </c>
      <c r="L521" s="1829">
        <v>0.49</v>
      </c>
      <c r="M521" s="1829">
        <v>0.55000000000000004</v>
      </c>
      <c r="N521" s="1855">
        <f>1-J521</f>
        <v>0.5</v>
      </c>
      <c r="O521" s="1792">
        <v>2280</v>
      </c>
      <c r="P521" s="1792">
        <v>8710</v>
      </c>
    </row>
    <row r="522" spans="2:106" hidden="1" outlineLevel="1" x14ac:dyDescent="0.25">
      <c r="D522" s="1856"/>
      <c r="E522" s="1856"/>
      <c r="F522" s="1856"/>
      <c r="G522" s="1857"/>
      <c r="H522" s="1858"/>
      <c r="I522" s="1858"/>
      <c r="J522" s="1858"/>
      <c r="K522" s="1859"/>
      <c r="L522" s="1858"/>
      <c r="M522" s="1858"/>
      <c r="N522" s="1860"/>
      <c r="O522" s="1861"/>
      <c r="P522" s="1861"/>
      <c r="Q522" s="1861"/>
      <c r="R522" s="1862"/>
      <c r="S522" s="1862"/>
      <c r="T522" s="1863"/>
      <c r="U522" s="1862"/>
      <c r="V522" s="136"/>
      <c r="W522" s="136"/>
      <c r="X522" s="136"/>
      <c r="Y522" s="137"/>
      <c r="CE522" s="26"/>
      <c r="CF522" s="26"/>
      <c r="CG522" s="26"/>
      <c r="CH522" s="26"/>
      <c r="CT522" s="26"/>
      <c r="CU522" s="26"/>
      <c r="CV522" s="26"/>
      <c r="CW522" s="26"/>
    </row>
    <row r="523" spans="2:106" ht="30" hidden="1" outlineLevel="1" x14ac:dyDescent="0.25">
      <c r="D523" s="1638" t="s">
        <v>17</v>
      </c>
      <c r="E523" s="1638" t="s">
        <v>136</v>
      </c>
      <c r="F523" s="1632" t="s">
        <v>441</v>
      </c>
      <c r="G523" s="1632" t="s">
        <v>442</v>
      </c>
      <c r="H523" s="1632" t="s">
        <v>443</v>
      </c>
      <c r="I523" s="1632" t="s">
        <v>444</v>
      </c>
      <c r="J523" s="1678" t="s">
        <v>445</v>
      </c>
      <c r="K523" s="1678" t="s">
        <v>446</v>
      </c>
      <c r="L523" s="1678" t="s">
        <v>447</v>
      </c>
      <c r="M523" s="1678" t="s">
        <v>448</v>
      </c>
      <c r="N523" s="1678" t="s">
        <v>235</v>
      </c>
      <c r="O523" s="1861"/>
      <c r="P523" s="1861"/>
      <c r="Q523" s="1861"/>
      <c r="R523" s="1862"/>
      <c r="S523" s="1862"/>
      <c r="T523" s="1863"/>
      <c r="U523" s="1862"/>
      <c r="V523" s="136"/>
      <c r="W523" s="136"/>
      <c r="X523" s="136"/>
      <c r="Y523" s="137"/>
      <c r="CE523" s="26"/>
      <c r="CF523" s="26"/>
      <c r="CG523" s="26"/>
      <c r="CH523" s="26"/>
      <c r="CT523" s="26"/>
      <c r="CU523" s="26"/>
      <c r="CV523" s="26"/>
      <c r="CW523" s="26"/>
    </row>
    <row r="524" spans="2:106" hidden="1" outlineLevel="1" x14ac:dyDescent="0.25">
      <c r="D524" s="1747" t="str">
        <f>C507</f>
        <v>805050_2019_12_</v>
      </c>
      <c r="E524" s="1747" t="str">
        <f>E507</f>
        <v>Combination Oven (Pan Capacity &lt; 15)</v>
      </c>
      <c r="F524" s="1792">
        <v>12</v>
      </c>
      <c r="G524" s="1791">
        <v>79</v>
      </c>
      <c r="H524" s="1791">
        <v>126</v>
      </c>
      <c r="I524" s="1864">
        <f>(0.08*J524+0.4989)*1000</f>
        <v>1298.9000000000001</v>
      </c>
      <c r="J524" s="1791">
        <v>10</v>
      </c>
      <c r="K524" s="1791">
        <v>119</v>
      </c>
      <c r="L524" s="1791">
        <v>177</v>
      </c>
      <c r="M524" s="1816">
        <f>(0.133*J524+0.64)*1000</f>
        <v>1970.0000000000002</v>
      </c>
      <c r="N524" s="1812">
        <v>365.25</v>
      </c>
      <c r="O524" s="1861"/>
      <c r="P524" s="1861"/>
      <c r="Q524" s="1861"/>
      <c r="R524" s="1862"/>
      <c r="S524" s="1862"/>
      <c r="T524" s="1863"/>
      <c r="U524" s="1862"/>
      <c r="V524" s="136"/>
      <c r="W524" s="136"/>
      <c r="X524" s="136"/>
      <c r="Y524" s="137"/>
      <c r="CE524" s="26"/>
      <c r="CF524" s="26"/>
      <c r="CG524" s="26"/>
      <c r="CH524" s="26"/>
      <c r="CT524" s="26"/>
      <c r="CU524" s="26"/>
      <c r="CV524" s="26"/>
      <c r="CW524" s="26"/>
    </row>
    <row r="525" spans="2:106" hidden="1" outlineLevel="1" x14ac:dyDescent="0.25">
      <c r="D525" s="1747" t="str">
        <f>C508</f>
        <v>805100_2019_12_</v>
      </c>
      <c r="E525" s="1747" t="str">
        <f>E508</f>
        <v>Combination Oven (Pan Capacity ≥ 15)</v>
      </c>
      <c r="F525" s="1792">
        <v>12</v>
      </c>
      <c r="G525" s="1791">
        <v>166</v>
      </c>
      <c r="H525" s="1791">
        <v>295</v>
      </c>
      <c r="I525" s="1864">
        <f>(0.08*J525+0.4989)*1000</f>
        <v>2098.9</v>
      </c>
      <c r="J525" s="1791">
        <v>20</v>
      </c>
      <c r="K525" s="1791">
        <v>201</v>
      </c>
      <c r="L525" s="1791">
        <v>349</v>
      </c>
      <c r="M525" s="1816">
        <f>(0.133*J525+0.64)*1000</f>
        <v>3300.0000000000005</v>
      </c>
      <c r="N525" s="1812">
        <v>365.25</v>
      </c>
    </row>
    <row r="526" spans="2:106" collapsed="1" x14ac:dyDescent="0.25"/>
    <row r="527" spans="2:106" s="46" customFormat="1" x14ac:dyDescent="0.25">
      <c r="B527" s="2612" t="s">
        <v>449</v>
      </c>
      <c r="C527" s="2613"/>
      <c r="D527" s="2613"/>
      <c r="E527" s="2613"/>
      <c r="F527" s="2613"/>
      <c r="G527" s="2613"/>
      <c r="H527" s="2613"/>
      <c r="I527" s="2614"/>
      <c r="J527" s="2614"/>
      <c r="K527" s="2614"/>
      <c r="L527" s="2614"/>
      <c r="M527" s="2615"/>
      <c r="N527" s="2615"/>
      <c r="O527" s="2616"/>
      <c r="V527" s="47" t="str">
        <f>B527</f>
        <v>Fryer</v>
      </c>
      <c r="W527" s="48"/>
      <c r="X527" s="48"/>
      <c r="Y527" s="48"/>
      <c r="Z527" s="48"/>
      <c r="AA527" s="48"/>
      <c r="AB527" s="48"/>
      <c r="AC527" s="48"/>
      <c r="AD527" s="48"/>
      <c r="AE527" s="48"/>
      <c r="AF527" s="48"/>
      <c r="AG527" s="48"/>
      <c r="AH527" s="48"/>
      <c r="AI527" s="49"/>
      <c r="AJ527" s="26"/>
      <c r="AK527" s="26"/>
      <c r="AL527" s="26"/>
      <c r="AM527" s="26"/>
      <c r="AN527" s="26"/>
      <c r="AO527" s="26"/>
      <c r="AP527" s="26"/>
      <c r="AQ527" s="26"/>
      <c r="AR527" s="26"/>
      <c r="AS527" s="26"/>
      <c r="AT527" s="26"/>
      <c r="AU527" s="26"/>
      <c r="DB527" s="109"/>
    </row>
    <row r="528" spans="2:106" x14ac:dyDescent="0.25">
      <c r="D528" s="1724"/>
      <c r="E528" s="1719"/>
      <c r="F528" s="1719"/>
      <c r="G528" s="1719"/>
      <c r="H528" s="1725"/>
      <c r="I528" s="1719"/>
      <c r="J528" s="1719"/>
      <c r="K528" s="1719"/>
      <c r="L528" s="1719"/>
      <c r="P528" s="1719"/>
      <c r="Q528" s="1719"/>
      <c r="R528" s="1719"/>
      <c r="S528" s="1719"/>
      <c r="T528" s="1719"/>
      <c r="U528" s="1719"/>
      <c r="V528"/>
      <c r="W528"/>
      <c r="X528"/>
      <c r="Y528"/>
      <c r="Z528"/>
      <c r="AA528"/>
      <c r="AB528"/>
      <c r="AC528"/>
      <c r="AD528"/>
      <c r="AE528"/>
      <c r="AF528"/>
      <c r="AG528"/>
      <c r="AH528"/>
      <c r="AI528"/>
      <c r="AJ528" s="44"/>
      <c r="AK528" s="44"/>
      <c r="AL528" s="44"/>
      <c r="AM528" s="44"/>
      <c r="AN528" s="44"/>
      <c r="AO528" s="44"/>
      <c r="AP528" s="44"/>
      <c r="AQ528" s="44"/>
      <c r="AR528" s="44"/>
      <c r="AS528" s="44"/>
      <c r="AT528" s="44"/>
      <c r="AU528" s="44"/>
    </row>
    <row r="529" spans="2:109" s="50" customFormat="1" ht="30" x14ac:dyDescent="0.25">
      <c r="B529" s="51"/>
      <c r="C529" s="52" t="s">
        <v>17</v>
      </c>
      <c r="D529" s="52" t="s">
        <v>18</v>
      </c>
      <c r="E529" s="1678" t="s">
        <v>19</v>
      </c>
      <c r="F529" s="1678" t="s">
        <v>20</v>
      </c>
      <c r="G529" s="1678" t="s">
        <v>21</v>
      </c>
      <c r="H529" s="53" t="s">
        <v>22</v>
      </c>
      <c r="I529" s="1678" t="s">
        <v>23</v>
      </c>
      <c r="J529" s="1678" t="s">
        <v>24</v>
      </c>
      <c r="K529" s="52" t="s">
        <v>25</v>
      </c>
      <c r="L529" s="52" t="s">
        <v>26</v>
      </c>
      <c r="M529" s="1716"/>
      <c r="N529" s="1716"/>
      <c r="O529" s="1716"/>
      <c r="P529" s="1726"/>
      <c r="Q529" s="1726"/>
      <c r="R529" s="1726"/>
      <c r="S529" s="1726"/>
      <c r="T529" s="1726"/>
      <c r="U529" s="1726"/>
      <c r="V529" s="55" t="s">
        <v>27</v>
      </c>
      <c r="W529" s="56">
        <f>$W$8</f>
        <v>43252</v>
      </c>
      <c r="X529" s="56">
        <f>$X$8</f>
        <v>43465</v>
      </c>
      <c r="Y529" s="56">
        <f>$Y$8</f>
        <v>43800</v>
      </c>
      <c r="Z529" s="56" t="str">
        <f>$Z$8</f>
        <v>-</v>
      </c>
      <c r="AA529" s="56" t="str">
        <f>$AA$8</f>
        <v>-</v>
      </c>
      <c r="AB529" s="56" t="str">
        <f>$AB$8</f>
        <v>-</v>
      </c>
      <c r="AC529" s="56" t="str">
        <f>$AC$8</f>
        <v>-</v>
      </c>
      <c r="AD529" s="56" t="str">
        <f>$AD$8</f>
        <v>-</v>
      </c>
      <c r="AE529" s="56" t="str">
        <f>$AE$8</f>
        <v>-</v>
      </c>
      <c r="AF529" s="56" t="str">
        <f>$AF$8</f>
        <v>-</v>
      </c>
      <c r="AG529" s="56" t="str">
        <f>$AG$8</f>
        <v>-</v>
      </c>
      <c r="AH529"/>
      <c r="AI529" s="55" t="s">
        <v>27</v>
      </c>
      <c r="AJ529" s="56">
        <v>43252</v>
      </c>
      <c r="AK529" s="56">
        <f>$X$8</f>
        <v>43465</v>
      </c>
      <c r="AL529" s="56">
        <f>$Y$8</f>
        <v>43800</v>
      </c>
      <c r="AM529" s="56" t="str">
        <f>$Z$8</f>
        <v>-</v>
      </c>
      <c r="AN529" s="56" t="str">
        <f>$AA$8</f>
        <v>-</v>
      </c>
      <c r="AO529" s="56" t="str">
        <f>$AB$8</f>
        <v>-</v>
      </c>
      <c r="AP529" s="56" t="str">
        <f>$AC$8</f>
        <v>-</v>
      </c>
      <c r="AQ529" s="56" t="str">
        <f>$AD$8</f>
        <v>-</v>
      </c>
      <c r="AR529" s="56" t="str">
        <f>$AE$8</f>
        <v>-</v>
      </c>
      <c r="AS529" s="56" t="str">
        <f>$AF$8</f>
        <v>-</v>
      </c>
      <c r="AT529" s="29"/>
      <c r="AU529" s="55" t="s">
        <v>27</v>
      </c>
      <c r="AV529" s="56">
        <v>43252</v>
      </c>
      <c r="AW529" s="56">
        <f>$X$8</f>
        <v>43465</v>
      </c>
      <c r="AX529" s="56">
        <f>$Y$8</f>
        <v>43800</v>
      </c>
      <c r="AY529" s="56" t="str">
        <f>$Z$8</f>
        <v>-</v>
      </c>
      <c r="AZ529" s="56" t="str">
        <f>$AA$8</f>
        <v>-</v>
      </c>
      <c r="BA529" s="56" t="str">
        <f>$AB$8</f>
        <v>-</v>
      </c>
      <c r="BB529" s="56" t="str">
        <f>$AC$8</f>
        <v>-</v>
      </c>
      <c r="BC529" s="56" t="str">
        <f>$AD$8</f>
        <v>-</v>
      </c>
      <c r="BD529" s="56" t="str">
        <f>$AE$8</f>
        <v>-</v>
      </c>
      <c r="BE529" s="56" t="str">
        <f>$AF$8</f>
        <v>-</v>
      </c>
      <c r="DB529" s="57" t="str">
        <f>$DB$8</f>
        <v>TRC (2020)</v>
      </c>
      <c r="DC529" s="103" t="str">
        <f>$DC$8</f>
        <v>Benefit Lookup</v>
      </c>
      <c r="DD529" s="103" t="str">
        <f>$DD$8</f>
        <v>Benefits (2019 $)</v>
      </c>
      <c r="DE529" s="103" t="str">
        <f>$DE$8</f>
        <v>Incremental Cost (2019 $)</v>
      </c>
    </row>
    <row r="530" spans="2:109" x14ac:dyDescent="0.25">
      <c r="C530" s="1727" t="s">
        <v>450</v>
      </c>
      <c r="D530" s="1815" t="s">
        <v>34</v>
      </c>
      <c r="E530" s="1754" t="s">
        <v>451</v>
      </c>
      <c r="F530" s="210">
        <f>ROUND((((G541*(I541-J541/K541))-(H541*(I541-J541/L541)))+((J541*M541/N541)-(J541*M541/O541)))*F541/1000,2)</f>
        <v>952.31</v>
      </c>
      <c r="G530" s="1730" t="s">
        <v>226</v>
      </c>
      <c r="H530" s="1731">
        <f>VLOOKUP(G530,'CP FACTORS'!$A$26:$B$38,2,FALSE)</f>
        <v>1.998949E-4</v>
      </c>
      <c r="I530" s="1755">
        <f t="shared" ref="I530:I531" si="103">ROUND(H530*F530,6)</f>
        <v>0.190362</v>
      </c>
      <c r="J530" s="1852">
        <v>12</v>
      </c>
      <c r="K530" s="1756">
        <v>210</v>
      </c>
      <c r="L530" s="1827" t="s">
        <v>37</v>
      </c>
      <c r="V530" s="61" t="s">
        <v>20</v>
      </c>
      <c r="W530" s="71">
        <v>952.30910027472578</v>
      </c>
      <c r="X530" s="71">
        <v>952.30910027472578</v>
      </c>
      <c r="Y530" s="71">
        <v>952.30910027472578</v>
      </c>
      <c r="Z530" s="64"/>
      <c r="AA530" s="64"/>
      <c r="AB530" s="64"/>
      <c r="AC530" s="64"/>
      <c r="AD530" s="64"/>
      <c r="AE530" s="64"/>
      <c r="AF530" s="64"/>
      <c r="AG530" s="64"/>
      <c r="AH530" s="65"/>
      <c r="AI530" s="61" t="s">
        <v>24</v>
      </c>
      <c r="AJ530" s="66">
        <v>12</v>
      </c>
      <c r="AK530" s="66">
        <v>12</v>
      </c>
      <c r="AL530" s="66">
        <v>12</v>
      </c>
      <c r="AM530" s="64"/>
      <c r="AN530" s="64"/>
      <c r="AO530" s="64"/>
      <c r="AP530" s="64"/>
      <c r="AQ530" s="64"/>
      <c r="AR530" s="64"/>
      <c r="AS530" s="64"/>
      <c r="AT530" s="29"/>
      <c r="AU530" s="61" t="s">
        <v>25</v>
      </c>
      <c r="AV530" s="67">
        <v>210</v>
      </c>
      <c r="AW530" s="67">
        <v>210</v>
      </c>
      <c r="AX530" s="67">
        <v>210</v>
      </c>
      <c r="AY530" s="64"/>
      <c r="AZ530" s="64"/>
      <c r="BA530" s="64"/>
      <c r="BB530" s="64"/>
      <c r="BC530" s="64"/>
      <c r="BD530" s="64"/>
      <c r="BE530" s="64"/>
      <c r="DB530" s="68">
        <f t="shared" ref="DB530:DB531" si="104">(DD530)/(DE530)</f>
        <v>2.4368866470541128</v>
      </c>
      <c r="DC530" s="69" t="str">
        <f>CONCATENATE(G530," ",J530," Year EUL")</f>
        <v>Cooking BUS 12 Year EUL</v>
      </c>
      <c r="DD530" s="105">
        <f>(INDEX('Avoided Cost Benefits'!$C$4:$C$857,MATCH(DC530,'Avoided Cost Benefits'!$A$4:$A$857,0)))*F530</f>
        <v>483.00726369170707</v>
      </c>
      <c r="DE530" s="70">
        <f>K530/(1.0595^(2020-2019))</f>
        <v>198.20670127418592</v>
      </c>
    </row>
    <row r="531" spans="2:109" x14ac:dyDescent="0.25">
      <c r="C531" s="1727" t="s">
        <v>452</v>
      </c>
      <c r="D531" s="1815" t="s">
        <v>34</v>
      </c>
      <c r="E531" s="1754" t="s">
        <v>453</v>
      </c>
      <c r="F531" s="210">
        <f>ROUND((((G542*(I542-J542/K542))-(H542*(I542-J542/L542)))+((J542*M542/N542)-(J542*M542/O542)))*F542/1000,2)</f>
        <v>2537.84</v>
      </c>
      <c r="G531" s="1730" t="s">
        <v>226</v>
      </c>
      <c r="H531" s="1731">
        <f>VLOOKUP(G531,'CP FACTORS'!$A$26:$B$38,2,FALSE)</f>
        <v>1.998949E-4</v>
      </c>
      <c r="I531" s="1755">
        <f t="shared" si="103"/>
        <v>0.507301</v>
      </c>
      <c r="J531" s="452">
        <v>12</v>
      </c>
      <c r="K531" s="1756">
        <v>0</v>
      </c>
      <c r="L531" s="1827" t="s">
        <v>37</v>
      </c>
      <c r="V531" s="61" t="s">
        <v>20</v>
      </c>
      <c r="W531" s="71">
        <v>2537.8352678571446</v>
      </c>
      <c r="X531" s="71">
        <v>2537.8352678571446</v>
      </c>
      <c r="Y531" s="71">
        <v>2537.8352678571446</v>
      </c>
      <c r="Z531" s="64"/>
      <c r="AA531" s="64"/>
      <c r="AB531" s="64"/>
      <c r="AC531" s="64"/>
      <c r="AD531" s="64"/>
      <c r="AE531" s="64"/>
      <c r="AF531" s="64"/>
      <c r="AG531" s="64"/>
      <c r="AH531" s="65"/>
      <c r="AI531" s="61" t="s">
        <v>24</v>
      </c>
      <c r="AJ531" s="66">
        <v>12</v>
      </c>
      <c r="AK531" s="66">
        <v>12</v>
      </c>
      <c r="AL531" s="66">
        <v>12</v>
      </c>
      <c r="AM531" s="64"/>
      <c r="AN531" s="64"/>
      <c r="AO531" s="64"/>
      <c r="AP531" s="64"/>
      <c r="AQ531" s="64"/>
      <c r="AR531" s="64"/>
      <c r="AS531" s="64"/>
      <c r="AT531" s="29"/>
      <c r="AU531" s="61" t="s">
        <v>25</v>
      </c>
      <c r="AV531" s="67">
        <v>0</v>
      </c>
      <c r="AW531" s="67">
        <v>0</v>
      </c>
      <c r="AX531" s="67">
        <v>0</v>
      </c>
      <c r="AY531" s="64"/>
      <c r="AZ531" s="64"/>
      <c r="BA531" s="64"/>
      <c r="BB531" s="64"/>
      <c r="BC531" s="64"/>
      <c r="BD531" s="64"/>
      <c r="BE531" s="64"/>
      <c r="DB531" s="2382" t="e">
        <f t="shared" si="104"/>
        <v>#DIV/0!</v>
      </c>
      <c r="DC531" s="73" t="str">
        <f>CONCATENATE(G531," ",J531," Year EUL")</f>
        <v>Cooking BUS 12 Year EUL</v>
      </c>
      <c r="DD531" s="107">
        <f>(INDEX('Avoided Cost Benefits'!$C$4:$C$857,MATCH(DC531,'Avoided Cost Benefits'!$A$4:$A$857,0)))*F531</f>
        <v>1287.1808067618338</v>
      </c>
      <c r="DE531" s="76">
        <f>K531/(1.0595^(2020-2019))</f>
        <v>0</v>
      </c>
    </row>
    <row r="532" spans="2:109" hidden="1" outlineLevel="1" x14ac:dyDescent="0.25">
      <c r="E532" s="1719"/>
      <c r="F532" s="1719"/>
      <c r="G532" s="1719"/>
      <c r="H532" s="1741"/>
      <c r="I532" s="1719"/>
      <c r="J532" s="1719"/>
      <c r="K532" s="1719"/>
    </row>
    <row r="533" spans="2:109" hidden="1" outlineLevel="1" x14ac:dyDescent="0.25">
      <c r="D533" s="1719" t="s">
        <v>76</v>
      </c>
      <c r="E533" s="233"/>
      <c r="F533" s="1719"/>
      <c r="G533" s="1719"/>
      <c r="H533" s="1741"/>
      <c r="I533" s="1719"/>
      <c r="J533" s="1719"/>
      <c r="K533" s="233"/>
    </row>
    <row r="534" spans="2:109" hidden="1" outlineLevel="1" x14ac:dyDescent="0.25">
      <c r="D534" s="1742"/>
      <c r="E534" s="233"/>
      <c r="F534" s="233"/>
      <c r="G534" s="1771"/>
      <c r="H534" s="1772"/>
    </row>
    <row r="535" spans="2:109" hidden="1" outlineLevel="1" x14ac:dyDescent="0.25">
      <c r="D535" s="1742"/>
      <c r="G535" s="1771"/>
      <c r="H535" s="1772"/>
      <c r="P535" s="2630"/>
      <c r="Q535" s="2630"/>
    </row>
    <row r="536" spans="2:109" hidden="1" outlineLevel="1" x14ac:dyDescent="0.25">
      <c r="D536" s="1742"/>
      <c r="G536" s="1716"/>
      <c r="H536" s="1743"/>
      <c r="M536" s="1719"/>
      <c r="P536" s="2630"/>
      <c r="Q536" s="2630"/>
    </row>
    <row r="537" spans="2:109" hidden="1" outlineLevel="1" x14ac:dyDescent="0.25">
      <c r="D537" s="1742"/>
      <c r="G537" s="1716"/>
      <c r="H537" s="1743"/>
      <c r="M537" s="1719"/>
      <c r="P537" s="2630"/>
      <c r="Q537" s="2630"/>
    </row>
    <row r="538" spans="2:109" hidden="1" outlineLevel="1" x14ac:dyDescent="0.25">
      <c r="D538" s="1742"/>
      <c r="G538" s="1716"/>
      <c r="H538" s="1743"/>
      <c r="M538" s="1719"/>
    </row>
    <row r="539" spans="2:109" hidden="1" outlineLevel="1" x14ac:dyDescent="0.25">
      <c r="D539" s="1742"/>
      <c r="G539" s="1716"/>
      <c r="H539" s="1743"/>
    </row>
    <row r="540" spans="2:109" s="78" customFormat="1" ht="30" hidden="1" outlineLevel="1" x14ac:dyDescent="0.2">
      <c r="C540" s="553"/>
      <c r="D540" s="1638" t="s">
        <v>17</v>
      </c>
      <c r="E540" s="1638" t="s">
        <v>136</v>
      </c>
      <c r="F540" s="123" t="s">
        <v>235</v>
      </c>
      <c r="G540" s="1638" t="s">
        <v>454</v>
      </c>
      <c r="H540" s="1638" t="s">
        <v>455</v>
      </c>
      <c r="I540" s="1638" t="s">
        <v>441</v>
      </c>
      <c r="J540" s="1638" t="s">
        <v>456</v>
      </c>
      <c r="K540" s="1638" t="s">
        <v>457</v>
      </c>
      <c r="L540" s="1638" t="s">
        <v>458</v>
      </c>
      <c r="M540" s="1638" t="s">
        <v>459</v>
      </c>
      <c r="N540" s="1632" t="s">
        <v>460</v>
      </c>
      <c r="O540" s="1632" t="s">
        <v>461</v>
      </c>
      <c r="P540" s="553"/>
      <c r="Q540" s="553"/>
      <c r="R540" s="553"/>
      <c r="S540" s="553"/>
      <c r="T540" s="553"/>
      <c r="U540" s="553"/>
      <c r="DB540" s="108"/>
    </row>
    <row r="541" spans="2:109" hidden="1" outlineLevel="1" x14ac:dyDescent="0.25">
      <c r="D541" s="1747" t="str">
        <f>C530</f>
        <v>805150_2019_12_</v>
      </c>
      <c r="E541" s="1747" t="str">
        <f>E530</f>
        <v>Standard Open Deep-Fat Fryer</v>
      </c>
      <c r="F541" s="1804">
        <v>365.25</v>
      </c>
      <c r="G541" s="1813">
        <v>1050</v>
      </c>
      <c r="H541" s="134">
        <v>1000</v>
      </c>
      <c r="I541" s="134">
        <v>16</v>
      </c>
      <c r="J541" s="134">
        <v>150</v>
      </c>
      <c r="K541" s="1865">
        <v>65</v>
      </c>
      <c r="L541" s="134">
        <v>70</v>
      </c>
      <c r="M541" s="1865">
        <v>167</v>
      </c>
      <c r="N541" s="649">
        <v>0.75</v>
      </c>
      <c r="O541" s="1759">
        <v>0.8</v>
      </c>
    </row>
    <row r="542" spans="2:109" hidden="1" outlineLevel="1" x14ac:dyDescent="0.25">
      <c r="D542" s="1747" t="str">
        <f>C531</f>
        <v>805200_2019_12_</v>
      </c>
      <c r="E542" s="1747" t="str">
        <f>E531</f>
        <v>Large Vat Open Deep-Fat Fryer</v>
      </c>
      <c r="F542" s="1804">
        <v>365.25</v>
      </c>
      <c r="G542" s="1813">
        <v>1350</v>
      </c>
      <c r="H542" s="134">
        <v>1100</v>
      </c>
      <c r="I542" s="134">
        <v>12</v>
      </c>
      <c r="J542" s="134">
        <v>150</v>
      </c>
      <c r="K542" s="1865">
        <v>100</v>
      </c>
      <c r="L542" s="134">
        <v>110</v>
      </c>
      <c r="M542" s="1865">
        <v>167</v>
      </c>
      <c r="N542" s="649">
        <v>0.7</v>
      </c>
      <c r="O542" s="1759">
        <v>0.8</v>
      </c>
    </row>
    <row r="543" spans="2:109" collapsed="1" x14ac:dyDescent="0.25"/>
    <row r="545" spans="2:109" s="46" customFormat="1" x14ac:dyDescent="0.25">
      <c r="B545" s="2612" t="s">
        <v>462</v>
      </c>
      <c r="C545" s="2613"/>
      <c r="D545" s="2613"/>
      <c r="E545" s="2613"/>
      <c r="F545" s="2613"/>
      <c r="G545" s="2613"/>
      <c r="H545" s="2613"/>
      <c r="I545" s="2614"/>
      <c r="J545" s="2614"/>
      <c r="K545" s="2614"/>
      <c r="L545" s="2614"/>
      <c r="M545" s="2615"/>
      <c r="N545" s="2615"/>
      <c r="O545" s="2616"/>
      <c r="V545" s="47" t="str">
        <f>B545</f>
        <v>Convection Oven</v>
      </c>
      <c r="W545" s="48"/>
      <c r="X545" s="48"/>
      <c r="Y545" s="48"/>
      <c r="Z545" s="48"/>
      <c r="AA545" s="48"/>
      <c r="AB545" s="48"/>
      <c r="AC545" s="48"/>
      <c r="AD545" s="48"/>
      <c r="AE545" s="48"/>
      <c r="AF545" s="48"/>
      <c r="AG545" s="48"/>
      <c r="AH545" s="48"/>
      <c r="AI545" s="49"/>
      <c r="AJ545" s="26"/>
      <c r="AK545" s="26"/>
      <c r="AL545" s="26"/>
      <c r="AM545" s="26"/>
      <c r="AN545" s="26"/>
      <c r="AO545" s="26"/>
      <c r="AP545" s="26"/>
      <c r="AQ545" s="26"/>
      <c r="AR545" s="26"/>
      <c r="AS545" s="26"/>
      <c r="AT545" s="26"/>
      <c r="AU545" s="26"/>
      <c r="DB545" s="109"/>
    </row>
    <row r="546" spans="2:109" x14ac:dyDescent="0.25">
      <c r="D546" s="1724"/>
      <c r="E546" s="1719"/>
      <c r="F546" s="1719"/>
      <c r="G546" s="1719"/>
      <c r="H546" s="1725"/>
      <c r="I546" s="1719"/>
      <c r="J546" s="1719"/>
      <c r="K546" s="1719"/>
      <c r="L546" s="1719"/>
      <c r="P546" s="1719"/>
      <c r="Q546" s="1719"/>
      <c r="R546" s="1719"/>
      <c r="S546" s="1719"/>
      <c r="T546" s="1719"/>
      <c r="U546" s="1719"/>
      <c r="V546"/>
      <c r="W546"/>
      <c r="X546"/>
      <c r="Y546"/>
      <c r="Z546"/>
      <c r="AA546"/>
      <c r="AB546"/>
      <c r="AC546"/>
      <c r="AD546"/>
      <c r="AE546"/>
      <c r="AF546"/>
      <c r="AG546"/>
      <c r="AH546"/>
      <c r="AI546"/>
      <c r="AJ546" s="44"/>
      <c r="AK546" s="44"/>
      <c r="AL546" s="44"/>
      <c r="AM546" s="44"/>
      <c r="AN546" s="44"/>
      <c r="AO546" s="44"/>
      <c r="AP546" s="44"/>
      <c r="AQ546" s="44"/>
      <c r="AR546" s="44"/>
      <c r="AS546" s="44"/>
      <c r="AT546" s="44"/>
      <c r="AU546" s="44"/>
    </row>
    <row r="547" spans="2:109" s="50" customFormat="1" ht="30" x14ac:dyDescent="0.25">
      <c r="B547" s="51"/>
      <c r="C547" s="52" t="s">
        <v>17</v>
      </c>
      <c r="D547" s="52" t="s">
        <v>18</v>
      </c>
      <c r="E547" s="1678" t="s">
        <v>19</v>
      </c>
      <c r="F547" s="1678" t="s">
        <v>20</v>
      </c>
      <c r="G547" s="1678" t="s">
        <v>21</v>
      </c>
      <c r="H547" s="53" t="s">
        <v>22</v>
      </c>
      <c r="I547" s="1678" t="s">
        <v>23</v>
      </c>
      <c r="J547" s="1678" t="s">
        <v>24</v>
      </c>
      <c r="K547" s="52" t="s">
        <v>25</v>
      </c>
      <c r="L547" s="52" t="s">
        <v>26</v>
      </c>
      <c r="M547" s="1716"/>
      <c r="N547" s="1716"/>
      <c r="O547" s="1716"/>
      <c r="P547" s="1726"/>
      <c r="Q547" s="1726"/>
      <c r="R547" s="1726"/>
      <c r="S547" s="1726"/>
      <c r="T547" s="1726"/>
      <c r="U547" s="1726"/>
      <c r="V547" s="55" t="s">
        <v>27</v>
      </c>
      <c r="W547" s="56">
        <f>$W$8</f>
        <v>43252</v>
      </c>
      <c r="X547" s="56">
        <f>$X$8</f>
        <v>43465</v>
      </c>
      <c r="Y547" s="56">
        <f>$Y$8</f>
        <v>43800</v>
      </c>
      <c r="Z547" s="56" t="str">
        <f>$Z$8</f>
        <v>-</v>
      </c>
      <c r="AA547" s="56" t="str">
        <f>$AA$8</f>
        <v>-</v>
      </c>
      <c r="AB547" s="56" t="str">
        <f>$AB$8</f>
        <v>-</v>
      </c>
      <c r="AC547" s="56" t="str">
        <f>$AC$8</f>
        <v>-</v>
      </c>
      <c r="AD547" s="56" t="str">
        <f>$AD$8</f>
        <v>-</v>
      </c>
      <c r="AE547" s="56" t="str">
        <f>$AE$8</f>
        <v>-</v>
      </c>
      <c r="AF547" s="56" t="str">
        <f>$AF$8</f>
        <v>-</v>
      </c>
      <c r="AG547" s="56" t="str">
        <f>$AG$8</f>
        <v>-</v>
      </c>
      <c r="AH547"/>
      <c r="AI547" s="55" t="s">
        <v>27</v>
      </c>
      <c r="AJ547" s="56">
        <v>43252</v>
      </c>
      <c r="AK547" s="56">
        <f>$X$8</f>
        <v>43465</v>
      </c>
      <c r="AL547" s="56">
        <f>$Y$8</f>
        <v>43800</v>
      </c>
      <c r="AM547" s="56" t="str">
        <f>$Z$8</f>
        <v>-</v>
      </c>
      <c r="AN547" s="56" t="str">
        <f>$AA$8</f>
        <v>-</v>
      </c>
      <c r="AO547" s="56" t="str">
        <f>$AB$8</f>
        <v>-</v>
      </c>
      <c r="AP547" s="56" t="str">
        <f>$AC$8</f>
        <v>-</v>
      </c>
      <c r="AQ547" s="56" t="str">
        <f>$AD$8</f>
        <v>-</v>
      </c>
      <c r="AR547" s="56" t="str">
        <f>$AE$8</f>
        <v>-</v>
      </c>
      <c r="AS547" s="56" t="str">
        <f>$AF$8</f>
        <v>-</v>
      </c>
      <c r="AT547" s="29"/>
      <c r="AU547" s="55" t="s">
        <v>27</v>
      </c>
      <c r="AV547" s="56">
        <v>43252</v>
      </c>
      <c r="AW547" s="56">
        <f>$X$8</f>
        <v>43465</v>
      </c>
      <c r="AX547" s="56">
        <f>$Y$8</f>
        <v>43800</v>
      </c>
      <c r="AY547" s="56" t="str">
        <f>$Z$8</f>
        <v>-</v>
      </c>
      <c r="AZ547" s="56" t="str">
        <f>$AA$8</f>
        <v>-</v>
      </c>
      <c r="BA547" s="56" t="str">
        <f>$AB$8</f>
        <v>-</v>
      </c>
      <c r="BB547" s="56" t="str">
        <f>$AC$8</f>
        <v>-</v>
      </c>
      <c r="BC547" s="56" t="str">
        <f>$AD$8</f>
        <v>-</v>
      </c>
      <c r="BD547" s="56" t="str">
        <f>$AE$8</f>
        <v>-</v>
      </c>
      <c r="BE547" s="56" t="str">
        <f>$AF$8</f>
        <v>-</v>
      </c>
      <c r="DB547" s="57" t="str">
        <f>$DB$8</f>
        <v>TRC (2020)</v>
      </c>
      <c r="DC547" s="103" t="str">
        <f>$DC$8</f>
        <v>Benefit Lookup</v>
      </c>
      <c r="DD547" s="103" t="str">
        <f>$DD$8</f>
        <v>Benefits (2019 $)</v>
      </c>
      <c r="DE547" s="103" t="str">
        <f>$DE$8</f>
        <v>Incremental Cost (2019 $)</v>
      </c>
    </row>
    <row r="548" spans="2:109" x14ac:dyDescent="0.25">
      <c r="C548" s="1727" t="s">
        <v>463</v>
      </c>
      <c r="D548" s="1815" t="s">
        <v>34</v>
      </c>
      <c r="E548" s="1754" t="s">
        <v>464</v>
      </c>
      <c r="F548" s="210">
        <f>ROUND((((G559*(I559-J559/K559))-(H559*(I559-J559/L559)))+((J559*M559/N559)-(J559*M559/O559)))*F559/1000,2)</f>
        <v>1938.47</v>
      </c>
      <c r="G548" s="1730" t="s">
        <v>226</v>
      </c>
      <c r="H548" s="1731">
        <f>VLOOKUP(G548,'CP FACTORS'!$A$26:$B$38,2,FALSE)</f>
        <v>1.998949E-4</v>
      </c>
      <c r="I548" s="1755">
        <f t="shared" ref="I548:I549" si="105">ROUND(H548*F548,6)</f>
        <v>0.38749</v>
      </c>
      <c r="J548" s="1852">
        <v>12</v>
      </c>
      <c r="K548" s="1756">
        <v>0</v>
      </c>
      <c r="L548" s="1827" t="s">
        <v>37</v>
      </c>
      <c r="V548" s="61" t="s">
        <v>20</v>
      </c>
      <c r="W548" s="71">
        <v>1938.467533405561</v>
      </c>
      <c r="X548" s="71">
        <v>1938.467533405561</v>
      </c>
      <c r="Y548" s="71">
        <v>1938.467533405561</v>
      </c>
      <c r="Z548" s="64"/>
      <c r="AA548" s="64"/>
      <c r="AB548" s="64"/>
      <c r="AC548" s="64"/>
      <c r="AD548" s="64"/>
      <c r="AE548" s="64"/>
      <c r="AF548" s="64"/>
      <c r="AG548" s="64"/>
      <c r="AH548" s="65"/>
      <c r="AI548" s="61" t="s">
        <v>24</v>
      </c>
      <c r="AJ548" s="66">
        <v>12</v>
      </c>
      <c r="AK548" s="66">
        <v>12</v>
      </c>
      <c r="AL548" s="66">
        <v>12</v>
      </c>
      <c r="AM548" s="64"/>
      <c r="AN548" s="64"/>
      <c r="AO548" s="64"/>
      <c r="AP548" s="64"/>
      <c r="AQ548" s="64"/>
      <c r="AR548" s="64"/>
      <c r="AS548" s="64"/>
      <c r="AT548" s="29"/>
      <c r="AU548" s="61" t="s">
        <v>25</v>
      </c>
      <c r="AV548" s="67">
        <v>0</v>
      </c>
      <c r="AW548" s="67">
        <v>0</v>
      </c>
      <c r="AX548" s="67">
        <v>0</v>
      </c>
      <c r="AY548" s="64"/>
      <c r="AZ548" s="64"/>
      <c r="BA548" s="64"/>
      <c r="BB548" s="64"/>
      <c r="BC548" s="64"/>
      <c r="BD548" s="64"/>
      <c r="BE548" s="64"/>
      <c r="DB548" s="2383" t="e">
        <f t="shared" ref="DB548:DB549" si="106">(DD548)/(DE548)</f>
        <v>#DIV/0!</v>
      </c>
      <c r="DC548" s="69" t="str">
        <f>CONCATENATE(G548," ",J548," Year EUL")</f>
        <v>Cooking BUS 12 Year EUL</v>
      </c>
      <c r="DD548" s="105">
        <f>(INDEX('Avoided Cost Benefits'!$C$4:$C$857,MATCH(DC548,'Avoided Cost Benefits'!$A$4:$A$857,0)))*F548</f>
        <v>983.18309211124892</v>
      </c>
      <c r="DE548" s="70">
        <f>K548/(1.0595^(2020-2019))</f>
        <v>0</v>
      </c>
    </row>
    <row r="549" spans="2:109" x14ac:dyDescent="0.25">
      <c r="C549" s="1727" t="s">
        <v>465</v>
      </c>
      <c r="D549" s="1815" t="s">
        <v>34</v>
      </c>
      <c r="E549" s="1754" t="s">
        <v>466</v>
      </c>
      <c r="F549" s="210">
        <f>ROUND((((G560*(I560-J560/K560))-(H560*(I560-J560/L560)))+((J560*M560/N560)-(J560*M560/O560)))*F560/1000,2)</f>
        <v>192.11</v>
      </c>
      <c r="G549" s="1730" t="s">
        <v>226</v>
      </c>
      <c r="H549" s="1731">
        <f>VLOOKUP(G549,'CP FACTORS'!$A$26:$B$38,2,FALSE)</f>
        <v>1.998949E-4</v>
      </c>
      <c r="I549" s="1755">
        <f t="shared" si="105"/>
        <v>3.8401999999999999E-2</v>
      </c>
      <c r="J549" s="452">
        <v>12</v>
      </c>
      <c r="K549" s="1756">
        <v>0</v>
      </c>
      <c r="L549" s="1827" t="s">
        <v>37</v>
      </c>
      <c r="V549" s="61" t="s">
        <v>20</v>
      </c>
      <c r="W549" s="71">
        <v>192.1061005247166</v>
      </c>
      <c r="X549" s="71">
        <v>192.1061005247166</v>
      </c>
      <c r="Y549" s="71">
        <v>192.1061005247166</v>
      </c>
      <c r="Z549" s="64"/>
      <c r="AA549" s="64"/>
      <c r="AB549" s="64"/>
      <c r="AC549" s="64"/>
      <c r="AD549" s="64"/>
      <c r="AE549" s="64"/>
      <c r="AF549" s="64"/>
      <c r="AG549" s="64"/>
      <c r="AH549" s="65"/>
      <c r="AI549" s="61" t="s">
        <v>24</v>
      </c>
      <c r="AJ549" s="66">
        <v>12</v>
      </c>
      <c r="AK549" s="66">
        <v>12</v>
      </c>
      <c r="AL549" s="66">
        <v>12</v>
      </c>
      <c r="AM549" s="64"/>
      <c r="AN549" s="64"/>
      <c r="AO549" s="64"/>
      <c r="AP549" s="64"/>
      <c r="AQ549" s="64"/>
      <c r="AR549" s="64"/>
      <c r="AS549" s="64"/>
      <c r="AT549" s="29"/>
      <c r="AU549" s="61" t="s">
        <v>25</v>
      </c>
      <c r="AV549" s="67">
        <v>0</v>
      </c>
      <c r="AW549" s="67">
        <v>0</v>
      </c>
      <c r="AX549" s="67">
        <v>0</v>
      </c>
      <c r="AY549" s="64"/>
      <c r="AZ549" s="64"/>
      <c r="BA549" s="64"/>
      <c r="BB549" s="64"/>
      <c r="BC549" s="64"/>
      <c r="BD549" s="64"/>
      <c r="BE549" s="64"/>
      <c r="DB549" s="2382" t="e">
        <f t="shared" si="106"/>
        <v>#DIV/0!</v>
      </c>
      <c r="DC549" s="73" t="str">
        <f>CONCATENATE(G549," ",J549," Year EUL")</f>
        <v>Cooking BUS 12 Year EUL</v>
      </c>
      <c r="DD549" s="107">
        <f>(INDEX('Avoided Cost Benefits'!$C$4:$C$857,MATCH(DC549,'Avoided Cost Benefits'!$A$4:$A$857,0)))*F549</f>
        <v>97.437310778857565</v>
      </c>
      <c r="DE549" s="76">
        <f>K549/(1.0595^(2020-2019))</f>
        <v>0</v>
      </c>
    </row>
    <row r="550" spans="2:109" hidden="1" outlineLevel="1" x14ac:dyDescent="0.25">
      <c r="E550" s="1719"/>
      <c r="F550" s="1719"/>
      <c r="G550" s="1719"/>
      <c r="H550" s="1741"/>
      <c r="I550" s="1719"/>
      <c r="J550" s="1719"/>
      <c r="K550" s="1719"/>
    </row>
    <row r="551" spans="2:109" hidden="1" outlineLevel="1" x14ac:dyDescent="0.25">
      <c r="D551" s="1719" t="s">
        <v>76</v>
      </c>
      <c r="E551" s="233"/>
      <c r="F551" s="1719"/>
      <c r="G551" s="1719"/>
      <c r="H551" s="1741"/>
      <c r="I551" s="1719"/>
      <c r="J551" s="1719"/>
      <c r="K551" s="233"/>
    </row>
    <row r="552" spans="2:109" hidden="1" outlineLevel="1" x14ac:dyDescent="0.25">
      <c r="D552" s="1742"/>
      <c r="E552" s="233"/>
      <c r="F552" s="233"/>
      <c r="G552" s="1771"/>
      <c r="H552" s="1772"/>
    </row>
    <row r="553" spans="2:109" hidden="1" outlineLevel="1" x14ac:dyDescent="0.25">
      <c r="D553" s="1742"/>
      <c r="G553" s="1771"/>
      <c r="H553" s="1772"/>
      <c r="P553" s="2630"/>
      <c r="Q553" s="2630"/>
    </row>
    <row r="554" spans="2:109" hidden="1" outlineLevel="1" x14ac:dyDescent="0.25">
      <c r="D554" s="1742"/>
      <c r="G554" s="1716"/>
      <c r="H554" s="1743"/>
      <c r="M554" s="1719"/>
      <c r="P554" s="2630"/>
      <c r="Q554" s="2630"/>
    </row>
    <row r="555" spans="2:109" hidden="1" outlineLevel="1" x14ac:dyDescent="0.25">
      <c r="D555" s="1742"/>
      <c r="G555" s="1716"/>
      <c r="H555" s="1743"/>
      <c r="M555" s="1719"/>
      <c r="P555" s="2630"/>
      <c r="Q555" s="2630"/>
    </row>
    <row r="556" spans="2:109" hidden="1" outlineLevel="1" x14ac:dyDescent="0.25">
      <c r="D556" s="1742"/>
      <c r="G556" s="1716"/>
      <c r="H556" s="1743"/>
      <c r="M556" s="1719"/>
    </row>
    <row r="557" spans="2:109" hidden="1" outlineLevel="1" x14ac:dyDescent="0.25">
      <c r="D557" s="1742"/>
      <c r="G557" s="1716"/>
      <c r="H557" s="1743"/>
    </row>
    <row r="558" spans="2:109" s="78" customFormat="1" ht="30" hidden="1" outlineLevel="1" x14ac:dyDescent="0.2">
      <c r="C558" s="553"/>
      <c r="D558" s="1638" t="s">
        <v>17</v>
      </c>
      <c r="E558" s="1638" t="s">
        <v>136</v>
      </c>
      <c r="F558" s="123" t="s">
        <v>235</v>
      </c>
      <c r="G558" s="1638" t="s">
        <v>454</v>
      </c>
      <c r="H558" s="1638" t="s">
        <v>455</v>
      </c>
      <c r="I558" s="1638" t="s">
        <v>441</v>
      </c>
      <c r="J558" s="1638" t="s">
        <v>456</v>
      </c>
      <c r="K558" s="1638" t="s">
        <v>457</v>
      </c>
      <c r="L558" s="1638" t="s">
        <v>458</v>
      </c>
      <c r="M558" s="1638" t="s">
        <v>459</v>
      </c>
      <c r="N558" s="1632" t="s">
        <v>460</v>
      </c>
      <c r="O558" s="1632" t="s">
        <v>461</v>
      </c>
      <c r="P558" s="553"/>
      <c r="Q558" s="553"/>
      <c r="R558" s="553"/>
      <c r="S558" s="553"/>
      <c r="T558" s="553"/>
      <c r="U558" s="553"/>
      <c r="DB558" s="108"/>
    </row>
    <row r="559" spans="2:109" hidden="1" outlineLevel="1" x14ac:dyDescent="0.25">
      <c r="D559" s="1747" t="str">
        <f>C548</f>
        <v>805250_2019_12_</v>
      </c>
      <c r="E559" s="1747" t="str">
        <f>E548</f>
        <v>Convection Oven (Full Size)</v>
      </c>
      <c r="F559" s="1804">
        <v>365.25</v>
      </c>
      <c r="G559" s="1813">
        <v>2000</v>
      </c>
      <c r="H559" s="134">
        <v>1600</v>
      </c>
      <c r="I559" s="134">
        <v>12</v>
      </c>
      <c r="J559" s="134">
        <v>100</v>
      </c>
      <c r="K559" s="1865">
        <v>90</v>
      </c>
      <c r="L559" s="134">
        <v>90</v>
      </c>
      <c r="M559" s="1854">
        <v>73.2</v>
      </c>
      <c r="N559" s="649">
        <v>0.65</v>
      </c>
      <c r="O559" s="1759">
        <v>0.71</v>
      </c>
    </row>
    <row r="560" spans="2:109" hidden="1" outlineLevel="1" x14ac:dyDescent="0.25">
      <c r="D560" s="1747" t="str">
        <f>C549</f>
        <v>805300_2019_12_</v>
      </c>
      <c r="E560" s="1747" t="str">
        <f>E549</f>
        <v>Convection Oven (Half Size)</v>
      </c>
      <c r="F560" s="1804">
        <v>365.25</v>
      </c>
      <c r="G560" s="1813">
        <v>1030</v>
      </c>
      <c r="H560" s="134">
        <v>1000</v>
      </c>
      <c r="I560" s="134">
        <v>12</v>
      </c>
      <c r="J560" s="134">
        <v>100</v>
      </c>
      <c r="K560" s="1865">
        <v>45</v>
      </c>
      <c r="L560" s="134">
        <v>50</v>
      </c>
      <c r="M560" s="1854">
        <v>73.2</v>
      </c>
      <c r="N560" s="649">
        <v>0.68</v>
      </c>
      <c r="O560" s="1759">
        <v>0.71</v>
      </c>
    </row>
    <row r="561" spans="2:109" collapsed="1" x14ac:dyDescent="0.25"/>
    <row r="563" spans="2:109" s="46" customFormat="1" x14ac:dyDescent="0.25">
      <c r="B563" s="2612" t="s">
        <v>467</v>
      </c>
      <c r="C563" s="2613"/>
      <c r="D563" s="2613"/>
      <c r="E563" s="2613"/>
      <c r="F563" s="2613"/>
      <c r="G563" s="2613"/>
      <c r="H563" s="2613"/>
      <c r="I563" s="2614"/>
      <c r="J563" s="2614"/>
      <c r="K563" s="2614"/>
      <c r="L563" s="2614"/>
      <c r="M563" s="2615"/>
      <c r="N563" s="2615"/>
      <c r="O563" s="2616"/>
      <c r="V563" s="47" t="str">
        <f>B563</f>
        <v>Griddle</v>
      </c>
      <c r="W563" s="48"/>
      <c r="X563" s="48"/>
      <c r="Y563" s="48"/>
      <c r="Z563" s="48"/>
      <c r="AA563" s="48"/>
      <c r="AB563" s="48"/>
      <c r="AC563" s="48"/>
      <c r="AD563" s="48"/>
      <c r="AE563" s="48"/>
      <c r="AF563" s="48"/>
      <c r="AG563" s="48"/>
      <c r="AH563" s="48"/>
      <c r="AI563" s="49"/>
      <c r="AJ563" s="26"/>
      <c r="AK563" s="26"/>
      <c r="AL563" s="26"/>
      <c r="AM563" s="26"/>
      <c r="AN563" s="26"/>
      <c r="AO563" s="26"/>
      <c r="AP563" s="26"/>
      <c r="AQ563" s="26"/>
      <c r="AR563" s="26"/>
      <c r="AS563" s="26"/>
      <c r="AT563" s="26"/>
      <c r="AU563" s="26"/>
      <c r="DB563" s="109"/>
    </row>
    <row r="564" spans="2:109" x14ac:dyDescent="0.25">
      <c r="D564" s="1724"/>
      <c r="E564" s="1719"/>
      <c r="F564" s="1719"/>
      <c r="G564" s="1719"/>
      <c r="H564" s="1725"/>
      <c r="I564" s="1719"/>
      <c r="J564" s="1719"/>
      <c r="K564" s="1719"/>
      <c r="L564" s="1719"/>
      <c r="P564" s="1719"/>
      <c r="Q564" s="1719"/>
      <c r="R564" s="1719"/>
      <c r="S564" s="1719"/>
      <c r="T564" s="1719"/>
      <c r="U564" s="1719"/>
      <c r="V564"/>
      <c r="W564"/>
      <c r="X564"/>
      <c r="Y564"/>
      <c r="Z564"/>
      <c r="AA564"/>
      <c r="AB564"/>
      <c r="AC564"/>
      <c r="AD564"/>
      <c r="AE564"/>
      <c r="AF564"/>
      <c r="AG564"/>
      <c r="AH564"/>
      <c r="AI564"/>
      <c r="AJ564" s="44"/>
      <c r="AK564" s="44"/>
      <c r="AL564" s="44"/>
      <c r="AM564" s="44"/>
      <c r="AN564" s="44"/>
      <c r="AO564" s="44"/>
      <c r="AP564" s="44"/>
      <c r="AQ564" s="44"/>
      <c r="AR564" s="44"/>
      <c r="AS564" s="44"/>
      <c r="AT564" s="44"/>
      <c r="AU564" s="44"/>
    </row>
    <row r="565" spans="2:109" s="50" customFormat="1" ht="30" x14ac:dyDescent="0.25">
      <c r="B565" s="51"/>
      <c r="C565" s="52" t="s">
        <v>17</v>
      </c>
      <c r="D565" s="52" t="s">
        <v>18</v>
      </c>
      <c r="E565" s="1678" t="s">
        <v>19</v>
      </c>
      <c r="F565" s="1678" t="s">
        <v>20</v>
      </c>
      <c r="G565" s="1678" t="s">
        <v>21</v>
      </c>
      <c r="H565" s="53" t="s">
        <v>22</v>
      </c>
      <c r="I565" s="1678" t="s">
        <v>23</v>
      </c>
      <c r="J565" s="1678" t="s">
        <v>24</v>
      </c>
      <c r="K565" s="52" t="s">
        <v>25</v>
      </c>
      <c r="L565" s="52" t="s">
        <v>26</v>
      </c>
      <c r="M565" s="1716"/>
      <c r="N565" s="1716"/>
      <c r="O565" s="1716"/>
      <c r="P565" s="1726"/>
      <c r="Q565" s="1726"/>
      <c r="R565" s="1726"/>
      <c r="S565" s="1726"/>
      <c r="T565" s="1726"/>
      <c r="U565" s="1726"/>
      <c r="V565" s="55" t="s">
        <v>27</v>
      </c>
      <c r="W565" s="56">
        <f>$W$8</f>
        <v>43252</v>
      </c>
      <c r="X565" s="56">
        <f>$X$8</f>
        <v>43465</v>
      </c>
      <c r="Y565" s="56">
        <f>$Y$8</f>
        <v>43800</v>
      </c>
      <c r="Z565" s="56" t="str">
        <f>$Z$8</f>
        <v>-</v>
      </c>
      <c r="AA565" s="56" t="str">
        <f>$AA$8</f>
        <v>-</v>
      </c>
      <c r="AB565" s="56" t="str">
        <f>$AB$8</f>
        <v>-</v>
      </c>
      <c r="AC565" s="56" t="str">
        <f>$AC$8</f>
        <v>-</v>
      </c>
      <c r="AD565" s="56" t="str">
        <f>$AD$8</f>
        <v>-</v>
      </c>
      <c r="AE565" s="56" t="str">
        <f>$AE$8</f>
        <v>-</v>
      </c>
      <c r="AF565" s="56" t="str">
        <f>$AF$8</f>
        <v>-</v>
      </c>
      <c r="AG565" s="56" t="str">
        <f>$AG$8</f>
        <v>-</v>
      </c>
      <c r="AH565"/>
      <c r="AI565" s="55" t="s">
        <v>27</v>
      </c>
      <c r="AJ565" s="56">
        <v>43252</v>
      </c>
      <c r="AK565" s="56">
        <f>$X$8</f>
        <v>43465</v>
      </c>
      <c r="AL565" s="56">
        <f>$Y$8</f>
        <v>43800</v>
      </c>
      <c r="AM565" s="56" t="str">
        <f>$Z$8</f>
        <v>-</v>
      </c>
      <c r="AN565" s="56" t="str">
        <f>$AA$8</f>
        <v>-</v>
      </c>
      <c r="AO565" s="56" t="str">
        <f>$AB$8</f>
        <v>-</v>
      </c>
      <c r="AP565" s="56" t="str">
        <f>$AC$8</f>
        <v>-</v>
      </c>
      <c r="AQ565" s="56" t="str">
        <f>$AD$8</f>
        <v>-</v>
      </c>
      <c r="AR565" s="56" t="str">
        <f>$AE$8</f>
        <v>-</v>
      </c>
      <c r="AS565" s="56" t="str">
        <f>$AF$8</f>
        <v>-</v>
      </c>
      <c r="AT565" s="29"/>
      <c r="AU565" s="55" t="s">
        <v>27</v>
      </c>
      <c r="AV565" s="56">
        <v>43252</v>
      </c>
      <c r="AW565" s="56">
        <f>$X$8</f>
        <v>43465</v>
      </c>
      <c r="AX565" s="56">
        <f>$Y$8</f>
        <v>43800</v>
      </c>
      <c r="AY565" s="56" t="str">
        <f>$Z$8</f>
        <v>-</v>
      </c>
      <c r="AZ565" s="56" t="str">
        <f>$AA$8</f>
        <v>-</v>
      </c>
      <c r="BA565" s="56" t="str">
        <f>$AB$8</f>
        <v>-</v>
      </c>
      <c r="BB565" s="56" t="str">
        <f>$AC$8</f>
        <v>-</v>
      </c>
      <c r="BC565" s="56" t="str">
        <f>$AD$8</f>
        <v>-</v>
      </c>
      <c r="BD565" s="56" t="str">
        <f>$AE$8</f>
        <v>-</v>
      </c>
      <c r="BE565" s="56" t="str">
        <f>$AF$8</f>
        <v>-</v>
      </c>
      <c r="DB565" s="57" t="str">
        <f>$DB$8</f>
        <v>TRC (2020)</v>
      </c>
      <c r="DC565" s="103" t="str">
        <f>$DC$8</f>
        <v>Benefit Lookup</v>
      </c>
      <c r="DD565" s="103" t="str">
        <f>$DD$8</f>
        <v>Benefits (2019 $)</v>
      </c>
      <c r="DE565" s="103" t="str">
        <f>$DE$8</f>
        <v>Incremental Cost (2019 $)</v>
      </c>
    </row>
    <row r="566" spans="2:109" x14ac:dyDescent="0.25">
      <c r="C566" s="1727" t="s">
        <v>468</v>
      </c>
      <c r="D566" s="1815" t="s">
        <v>34</v>
      </c>
      <c r="E566" s="1754" t="s">
        <v>467</v>
      </c>
      <c r="F566" s="210">
        <f>ROUND(((((G576*I576*J576)*(K576-L576/M576))-((H576*I576*J576)*(K576-L576/N576)))+((L576*O576/P576)-(L576*O576/Q576)))*F576/1000,2)</f>
        <v>1910.38</v>
      </c>
      <c r="G566" s="1730" t="s">
        <v>226</v>
      </c>
      <c r="H566" s="1731">
        <f>VLOOKUP(G566,'CP FACTORS'!$A$26:$B$38,2,FALSE)</f>
        <v>1.998949E-4</v>
      </c>
      <c r="I566" s="1755">
        <f t="shared" ref="I566" si="107">ROUND(H566*F566,6)</f>
        <v>0.38187500000000002</v>
      </c>
      <c r="J566" s="452">
        <v>12</v>
      </c>
      <c r="K566" s="1756">
        <v>0</v>
      </c>
      <c r="L566" s="1827" t="s">
        <v>37</v>
      </c>
      <c r="V566" s="61" t="s">
        <v>20</v>
      </c>
      <c r="W566" s="71">
        <v>1910.3779120879103</v>
      </c>
      <c r="X566" s="71">
        <v>1910.3779120879103</v>
      </c>
      <c r="Y566" s="71">
        <v>1910.3779120879103</v>
      </c>
      <c r="Z566" s="64"/>
      <c r="AA566" s="64"/>
      <c r="AB566" s="64"/>
      <c r="AC566" s="64"/>
      <c r="AD566" s="64"/>
      <c r="AE566" s="64"/>
      <c r="AF566" s="64"/>
      <c r="AG566" s="64"/>
      <c r="AH566" s="65"/>
      <c r="AI566" s="61" t="s">
        <v>24</v>
      </c>
      <c r="AJ566" s="66">
        <v>12</v>
      </c>
      <c r="AK566" s="66">
        <v>12</v>
      </c>
      <c r="AL566" s="66">
        <v>12</v>
      </c>
      <c r="AM566" s="64"/>
      <c r="AN566" s="64"/>
      <c r="AO566" s="64"/>
      <c r="AP566" s="64"/>
      <c r="AQ566" s="64"/>
      <c r="AR566" s="64"/>
      <c r="AS566" s="64"/>
      <c r="AT566" s="29"/>
      <c r="AU566" s="61" t="s">
        <v>25</v>
      </c>
      <c r="AV566" s="67">
        <v>0</v>
      </c>
      <c r="AW566" s="67">
        <v>0</v>
      </c>
      <c r="AX566" s="67">
        <v>0</v>
      </c>
      <c r="AY566" s="64"/>
      <c r="AZ566" s="64"/>
      <c r="BA566" s="64"/>
      <c r="BB566" s="64"/>
      <c r="BC566" s="64"/>
      <c r="BD566" s="64"/>
      <c r="BE566" s="64"/>
      <c r="DB566" s="120" t="e">
        <f t="shared" ref="DB566" si="108">(DD566)/(DE566)</f>
        <v>#DIV/0!</v>
      </c>
      <c r="DC566" s="69" t="str">
        <f>CONCATENATE(G566," ",J566," Year EUL")</f>
        <v>Cooking BUS 12 Year EUL</v>
      </c>
      <c r="DD566" s="121">
        <f>(INDEX('Avoided Cost Benefits'!$C$4:$C$857,MATCH(DC566,'Avoided Cost Benefits'!$A$4:$A$857,0)))*F566</f>
        <v>968.93597296191729</v>
      </c>
      <c r="DE566" s="122">
        <f>K566/(1.0595^(2020-2019))</f>
        <v>0</v>
      </c>
    </row>
    <row r="567" spans="2:109" hidden="1" outlineLevel="1" x14ac:dyDescent="0.25">
      <c r="E567" s="1719"/>
      <c r="F567" s="1719"/>
      <c r="G567" s="1719"/>
      <c r="H567" s="1741"/>
      <c r="I567" s="1719"/>
      <c r="J567" s="1719"/>
    </row>
    <row r="568" spans="2:109" hidden="1" outlineLevel="1" x14ac:dyDescent="0.25">
      <c r="D568" s="1719" t="s">
        <v>76</v>
      </c>
      <c r="E568" s="233"/>
      <c r="F568" s="1719"/>
      <c r="G568" s="1719"/>
      <c r="H568" s="1741"/>
      <c r="I568" s="1719"/>
      <c r="J568" s="1719"/>
      <c r="K568" s="233"/>
    </row>
    <row r="569" spans="2:109" hidden="1" outlineLevel="1" x14ac:dyDescent="0.25">
      <c r="D569" s="1742"/>
      <c r="E569" s="233"/>
      <c r="F569" s="233"/>
      <c r="G569" s="1771"/>
      <c r="H569" s="1772"/>
    </row>
    <row r="570" spans="2:109" hidden="1" outlineLevel="1" x14ac:dyDescent="0.25">
      <c r="D570" s="1742"/>
      <c r="G570" s="1771"/>
      <c r="H570" s="1772"/>
      <c r="P570" s="2630"/>
      <c r="Q570" s="2630"/>
    </row>
    <row r="571" spans="2:109" hidden="1" outlineLevel="1" x14ac:dyDescent="0.25">
      <c r="D571" s="1742"/>
      <c r="G571" s="1716"/>
      <c r="H571" s="1743"/>
      <c r="M571" s="1719"/>
      <c r="P571" s="2630"/>
      <c r="Q571" s="2630"/>
    </row>
    <row r="572" spans="2:109" hidden="1" outlineLevel="1" x14ac:dyDescent="0.25">
      <c r="D572" s="1742"/>
      <c r="G572" s="1716"/>
      <c r="H572" s="1743"/>
      <c r="M572" s="1719"/>
      <c r="P572" s="2630"/>
      <c r="Q572" s="2630"/>
    </row>
    <row r="573" spans="2:109" hidden="1" outlineLevel="1" x14ac:dyDescent="0.25">
      <c r="D573" s="1742"/>
      <c r="G573" s="1716"/>
      <c r="H573" s="1743"/>
      <c r="M573" s="1719"/>
    </row>
    <row r="574" spans="2:109" hidden="1" outlineLevel="1" x14ac:dyDescent="0.25">
      <c r="D574" s="1742"/>
      <c r="G574" s="1716"/>
      <c r="H574" s="1743"/>
    </row>
    <row r="575" spans="2:109" s="78" customFormat="1" ht="30" hidden="1" outlineLevel="1" x14ac:dyDescent="0.2">
      <c r="C575" s="553"/>
      <c r="D575" s="1638" t="s">
        <v>17</v>
      </c>
      <c r="E575" s="1638" t="s">
        <v>136</v>
      </c>
      <c r="F575" s="123" t="s">
        <v>235</v>
      </c>
      <c r="G575" s="1638" t="s">
        <v>469</v>
      </c>
      <c r="H575" s="1638" t="s">
        <v>470</v>
      </c>
      <c r="I575" s="1638" t="s">
        <v>471</v>
      </c>
      <c r="J575" s="1638" t="s">
        <v>472</v>
      </c>
      <c r="K575" s="1638" t="s">
        <v>441</v>
      </c>
      <c r="L575" s="1638" t="s">
        <v>473</v>
      </c>
      <c r="M575" s="1638" t="s">
        <v>457</v>
      </c>
      <c r="N575" s="1632" t="s">
        <v>458</v>
      </c>
      <c r="O575" s="1632" t="s">
        <v>459</v>
      </c>
      <c r="P575" s="1632" t="s">
        <v>460</v>
      </c>
      <c r="Q575" s="1678" t="s">
        <v>461</v>
      </c>
      <c r="R575" s="553"/>
      <c r="S575" s="553"/>
      <c r="T575" s="553"/>
      <c r="U575" s="553"/>
      <c r="DB575" s="108"/>
    </row>
    <row r="576" spans="2:109" hidden="1" outlineLevel="1" x14ac:dyDescent="0.25">
      <c r="D576" s="1747" t="str">
        <f>C566</f>
        <v>805350_2019_12_</v>
      </c>
      <c r="E576" s="1747" t="str">
        <f>E566</f>
        <v>Griddle</v>
      </c>
      <c r="F576" s="1804">
        <v>365.25</v>
      </c>
      <c r="G576" s="1813">
        <v>400</v>
      </c>
      <c r="H576" s="134">
        <v>320</v>
      </c>
      <c r="I576" s="134">
        <v>3</v>
      </c>
      <c r="J576" s="134">
        <v>2</v>
      </c>
      <c r="K576" s="134">
        <v>12</v>
      </c>
      <c r="L576" s="134">
        <v>100</v>
      </c>
      <c r="M576" s="1854">
        <v>35</v>
      </c>
      <c r="N576" s="1758">
        <v>40</v>
      </c>
      <c r="O576" s="1280">
        <v>139</v>
      </c>
      <c r="P576" s="1866">
        <v>0.65</v>
      </c>
      <c r="Q576" s="1867">
        <v>0.7</v>
      </c>
    </row>
    <row r="577" spans="2:109" collapsed="1" x14ac:dyDescent="0.25"/>
    <row r="579" spans="2:109" s="46" customFormat="1" x14ac:dyDescent="0.25">
      <c r="B579" s="2612" t="s">
        <v>474</v>
      </c>
      <c r="C579" s="2613"/>
      <c r="D579" s="2613"/>
      <c r="E579" s="2613"/>
      <c r="F579" s="2613"/>
      <c r="G579" s="2613"/>
      <c r="H579" s="2613"/>
      <c r="I579" s="2614"/>
      <c r="J579" s="2614"/>
      <c r="K579" s="2614"/>
      <c r="L579" s="2614"/>
      <c r="M579" s="2615"/>
      <c r="N579" s="2615"/>
      <c r="O579" s="2616"/>
      <c r="V579" s="47" t="str">
        <f>B579</f>
        <v>Kitchen Demand Ventillation Controls</v>
      </c>
      <c r="W579" s="48"/>
      <c r="X579" s="48"/>
      <c r="Y579" s="48"/>
      <c r="Z579" s="48"/>
      <c r="AA579" s="48"/>
      <c r="AB579" s="48"/>
      <c r="AC579" s="48"/>
      <c r="AD579" s="48"/>
      <c r="AE579" s="48"/>
      <c r="AF579" s="48"/>
      <c r="AG579" s="48"/>
      <c r="AH579" s="48"/>
      <c r="AI579" s="49"/>
      <c r="AJ579" s="26"/>
      <c r="AK579" s="26"/>
      <c r="AL579" s="26"/>
      <c r="AM579" s="26"/>
      <c r="AN579" s="26"/>
      <c r="AO579" s="26"/>
      <c r="AP579" s="26"/>
      <c r="AQ579" s="26"/>
      <c r="AR579" s="26"/>
      <c r="AS579" s="26"/>
      <c r="AT579" s="26"/>
      <c r="AU579" s="26"/>
      <c r="DB579" s="109"/>
    </row>
    <row r="580" spans="2:109" x14ac:dyDescent="0.25">
      <c r="D580" s="1724"/>
      <c r="E580" s="1719"/>
      <c r="F580" s="1719"/>
      <c r="G580" s="1719"/>
      <c r="H580" s="1725"/>
      <c r="I580" s="1719"/>
      <c r="J580" s="1719"/>
      <c r="K580" s="1719"/>
      <c r="L580" s="1719"/>
      <c r="P580" s="1719"/>
      <c r="Q580" s="1719"/>
      <c r="R580" s="1719"/>
      <c r="S580" s="1719"/>
      <c r="T580" s="1719"/>
      <c r="U580" s="1719"/>
      <c r="V580"/>
      <c r="W580"/>
      <c r="X580"/>
      <c r="Y580"/>
      <c r="Z580"/>
      <c r="AA580"/>
      <c r="AB580"/>
      <c r="AC580"/>
      <c r="AD580"/>
      <c r="AE580"/>
      <c r="AF580"/>
      <c r="AG580"/>
      <c r="AH580"/>
      <c r="AI580"/>
      <c r="AJ580" s="44"/>
      <c r="AK580" s="44"/>
      <c r="AL580" s="44"/>
      <c r="AM580" s="44"/>
      <c r="AN580" s="44"/>
      <c r="AO580" s="44"/>
      <c r="AP580" s="44"/>
      <c r="AQ580" s="44"/>
      <c r="AR580" s="44"/>
      <c r="AS580" s="44"/>
      <c r="AT580" s="44"/>
      <c r="AU580" s="44"/>
    </row>
    <row r="581" spans="2:109" s="50" customFormat="1" ht="30" x14ac:dyDescent="0.25">
      <c r="B581" s="51"/>
      <c r="C581" s="52" t="s">
        <v>17</v>
      </c>
      <c r="D581" s="52" t="s">
        <v>18</v>
      </c>
      <c r="E581" s="1678" t="s">
        <v>19</v>
      </c>
      <c r="F581" s="1678" t="s">
        <v>214</v>
      </c>
      <c r="G581" s="1678" t="s">
        <v>21</v>
      </c>
      <c r="H581" s="53" t="s">
        <v>22</v>
      </c>
      <c r="I581" s="1678" t="s">
        <v>23</v>
      </c>
      <c r="J581" s="1678" t="s">
        <v>24</v>
      </c>
      <c r="K581" s="52" t="s">
        <v>273</v>
      </c>
      <c r="L581" s="52" t="s">
        <v>26</v>
      </c>
      <c r="M581" s="1716"/>
      <c r="N581" s="1716"/>
      <c r="O581" s="1716"/>
      <c r="P581" s="1726"/>
      <c r="Q581" s="1726"/>
      <c r="R581" s="1726"/>
      <c r="S581" s="1726"/>
      <c r="T581" s="1726"/>
      <c r="U581" s="1726"/>
      <c r="V581" s="55" t="s">
        <v>27</v>
      </c>
      <c r="W581" s="56">
        <f>$W$8</f>
        <v>43252</v>
      </c>
      <c r="X581" s="56">
        <f>$X$8</f>
        <v>43465</v>
      </c>
      <c r="Y581" s="56">
        <f>$Y$8</f>
        <v>43800</v>
      </c>
      <c r="Z581" s="56" t="str">
        <f>$Z$8</f>
        <v>-</v>
      </c>
      <c r="AA581" s="56" t="str">
        <f>$AA$8</f>
        <v>-</v>
      </c>
      <c r="AB581" s="56" t="str">
        <f>$AB$8</f>
        <v>-</v>
      </c>
      <c r="AC581" s="56" t="str">
        <f>$AC$8</f>
        <v>-</v>
      </c>
      <c r="AD581" s="56" t="str">
        <f>$AD$8</f>
        <v>-</v>
      </c>
      <c r="AE581" s="56" t="str">
        <f>$AE$8</f>
        <v>-</v>
      </c>
      <c r="AF581" s="56" t="str">
        <f>$AF$8</f>
        <v>-</v>
      </c>
      <c r="AG581" s="56" t="str">
        <f>$AG$8</f>
        <v>-</v>
      </c>
      <c r="AH581"/>
      <c r="AI581" s="55" t="s">
        <v>27</v>
      </c>
      <c r="AJ581" s="56">
        <v>43252</v>
      </c>
      <c r="AK581" s="56">
        <f>$X$8</f>
        <v>43465</v>
      </c>
      <c r="AL581" s="56">
        <f>$Y$8</f>
        <v>43800</v>
      </c>
      <c r="AM581" s="56" t="str">
        <f>$Z$8</f>
        <v>-</v>
      </c>
      <c r="AN581" s="56" t="str">
        <f>$AA$8</f>
        <v>-</v>
      </c>
      <c r="AO581" s="56" t="str">
        <f>$AB$8</f>
        <v>-</v>
      </c>
      <c r="AP581" s="56" t="str">
        <f>$AC$8</f>
        <v>-</v>
      </c>
      <c r="AQ581" s="56" t="str">
        <f>$AD$8</f>
        <v>-</v>
      </c>
      <c r="AR581" s="56" t="str">
        <f>$AE$8</f>
        <v>-</v>
      </c>
      <c r="AS581" s="56" t="str">
        <f>$AF$8</f>
        <v>-</v>
      </c>
      <c r="AT581" s="29"/>
      <c r="AU581" s="55" t="s">
        <v>27</v>
      </c>
      <c r="AV581" s="56">
        <v>43252</v>
      </c>
      <c r="AW581" s="56">
        <f>$X$8</f>
        <v>43465</v>
      </c>
      <c r="AX581" s="56">
        <f>$Y$8</f>
        <v>43800</v>
      </c>
      <c r="AY581" s="56" t="str">
        <f>$Z$8</f>
        <v>-</v>
      </c>
      <c r="AZ581" s="56" t="str">
        <f>$AA$8</f>
        <v>-</v>
      </c>
      <c r="BA581" s="56" t="str">
        <f>$AB$8</f>
        <v>-</v>
      </c>
      <c r="BB581" s="56" t="str">
        <f>$AC$8</f>
        <v>-</v>
      </c>
      <c r="BC581" s="56" t="str">
        <f>$AD$8</f>
        <v>-</v>
      </c>
      <c r="BD581" s="56" t="str">
        <f>$AE$8</f>
        <v>-</v>
      </c>
      <c r="BE581" s="56" t="str">
        <f>$AF$8</f>
        <v>-</v>
      </c>
      <c r="DB581" s="57" t="str">
        <f>$DB$8</f>
        <v>TRC (2020)</v>
      </c>
      <c r="DC581" s="103" t="str">
        <f>$DC$8</f>
        <v>Benefit Lookup</v>
      </c>
      <c r="DD581" s="103" t="str">
        <f>$DD$8</f>
        <v>Benefits (2019 $)</v>
      </c>
      <c r="DE581" s="103" t="str">
        <f>$DE$8</f>
        <v>Incremental Cost (2019 $)</v>
      </c>
    </row>
    <row r="582" spans="2:109" x14ac:dyDescent="0.25">
      <c r="C582" s="1727" t="s">
        <v>475</v>
      </c>
      <c r="D582" s="1815" t="s">
        <v>34</v>
      </c>
      <c r="E582" s="1754" t="s">
        <v>474</v>
      </c>
      <c r="F582" s="210">
        <f>ROUND(I592*H592*G592*F592,2)</f>
        <v>3331.08</v>
      </c>
      <c r="G582" s="1730" t="s">
        <v>226</v>
      </c>
      <c r="H582" s="1731">
        <f>VLOOKUP(G582,'CP FACTORS'!$A$26:$B$38,2,FALSE)</f>
        <v>1.998949E-4</v>
      </c>
      <c r="I582" s="1755">
        <f t="shared" ref="I582" si="109">ROUND(H582*F582,6)</f>
        <v>0.66586599999999996</v>
      </c>
      <c r="J582" s="452">
        <v>15</v>
      </c>
      <c r="K582" s="1756">
        <f>1*1988</f>
        <v>1988</v>
      </c>
      <c r="L582" s="1827" t="s">
        <v>422</v>
      </c>
      <c r="V582" s="61" t="str">
        <f>F581</f>
        <v>kWh Annual Savings (per HP)</v>
      </c>
      <c r="W582" s="71">
        <v>3331.0800000000004</v>
      </c>
      <c r="X582" s="71">
        <v>3331.0800000000004</v>
      </c>
      <c r="Y582" s="71">
        <v>3331.0800000000004</v>
      </c>
      <c r="Z582" s="64"/>
      <c r="AA582" s="64"/>
      <c r="AB582" s="64"/>
      <c r="AC582" s="64"/>
      <c r="AD582" s="64"/>
      <c r="AE582" s="64"/>
      <c r="AF582" s="64"/>
      <c r="AG582" s="64"/>
      <c r="AH582" s="65"/>
      <c r="AI582" s="61" t="s">
        <v>24</v>
      </c>
      <c r="AJ582" s="66">
        <v>15</v>
      </c>
      <c r="AK582" s="66">
        <v>15</v>
      </c>
      <c r="AL582" s="66">
        <v>15</v>
      </c>
      <c r="AM582" s="64"/>
      <c r="AN582" s="64"/>
      <c r="AO582" s="64"/>
      <c r="AP582" s="64"/>
      <c r="AQ582" s="64"/>
      <c r="AR582" s="64"/>
      <c r="AS582" s="64"/>
      <c r="AT582" s="29"/>
      <c r="AU582" s="61" t="s">
        <v>25</v>
      </c>
      <c r="AV582" s="67">
        <v>1988</v>
      </c>
      <c r="AW582" s="67">
        <v>1988</v>
      </c>
      <c r="AX582" s="67">
        <v>1988</v>
      </c>
      <c r="AY582" s="64"/>
      <c r="AZ582" s="64"/>
      <c r="BA582" s="64"/>
      <c r="BB582" s="64"/>
      <c r="BC582" s="64"/>
      <c r="BD582" s="64"/>
      <c r="BE582" s="64"/>
      <c r="DB582" s="120">
        <f t="shared" ref="DB582" si="110">(DD582)/(DE582)</f>
        <v>1.1041810286312905</v>
      </c>
      <c r="DC582" s="69" t="str">
        <f>CONCATENATE(G582," ",J582," Year EUL")</f>
        <v>Cooking BUS 15 Year EUL</v>
      </c>
      <c r="DD582" s="121">
        <f>(INDEX('Avoided Cost Benefits'!$C$4:$C$857,MATCH(DC582,'Avoided Cost Benefits'!$A$4:$A$857,0)))*F582</f>
        <v>2071.837550655031</v>
      </c>
      <c r="DE582" s="122">
        <f>K582/(1.0595^(2020-2019))</f>
        <v>1876.3567720622934</v>
      </c>
    </row>
    <row r="583" spans="2:109" hidden="1" outlineLevel="1" x14ac:dyDescent="0.25">
      <c r="E583" s="1719"/>
      <c r="F583" s="1719"/>
      <c r="G583" s="1719"/>
      <c r="H583" s="1741"/>
      <c r="I583" s="1719"/>
      <c r="J583" s="1719"/>
    </row>
    <row r="584" spans="2:109" hidden="1" outlineLevel="1" x14ac:dyDescent="0.25">
      <c r="D584" s="1719" t="s">
        <v>76</v>
      </c>
      <c r="E584" s="233"/>
      <c r="F584" s="1719"/>
      <c r="G584" s="1719"/>
      <c r="H584" s="1741"/>
      <c r="I584" s="1719"/>
      <c r="J584" s="1719"/>
      <c r="K584" s="233"/>
    </row>
    <row r="585" spans="2:109" hidden="1" outlineLevel="1" x14ac:dyDescent="0.25">
      <c r="D585" s="1742"/>
      <c r="E585" s="233"/>
      <c r="F585" s="233"/>
      <c r="G585" s="1771"/>
      <c r="H585" s="1772"/>
    </row>
    <row r="586" spans="2:109" hidden="1" outlineLevel="1" x14ac:dyDescent="0.25">
      <c r="D586" s="1742"/>
      <c r="G586" s="1771"/>
      <c r="H586" s="1772"/>
      <c r="P586" s="2630"/>
      <c r="Q586" s="2630"/>
    </row>
    <row r="587" spans="2:109" hidden="1" outlineLevel="1" x14ac:dyDescent="0.25">
      <c r="D587" s="1742"/>
      <c r="G587" s="1716"/>
      <c r="H587" s="1743"/>
      <c r="M587" s="1719"/>
      <c r="P587" s="2630"/>
      <c r="Q587" s="2630"/>
    </row>
    <row r="588" spans="2:109" hidden="1" outlineLevel="1" x14ac:dyDescent="0.25">
      <c r="D588" s="1742"/>
      <c r="G588" s="1716"/>
      <c r="H588" s="1743"/>
      <c r="M588" s="1719"/>
      <c r="P588" s="2630"/>
      <c r="Q588" s="2630"/>
    </row>
    <row r="589" spans="2:109" hidden="1" outlineLevel="1" x14ac:dyDescent="0.25">
      <c r="D589" s="1742"/>
      <c r="G589" s="1716"/>
      <c r="H589" s="1743"/>
      <c r="M589" s="1719"/>
    </row>
    <row r="590" spans="2:109" hidden="1" outlineLevel="1" x14ac:dyDescent="0.25">
      <c r="D590" s="1742"/>
      <c r="G590" s="1716"/>
      <c r="H590" s="1743"/>
    </row>
    <row r="591" spans="2:109" s="78" customFormat="1" ht="30" hidden="1" outlineLevel="1" x14ac:dyDescent="0.2">
      <c r="C591" s="553"/>
      <c r="D591" s="1638" t="s">
        <v>17</v>
      </c>
      <c r="E591" s="1638" t="s">
        <v>136</v>
      </c>
      <c r="F591" s="123" t="s">
        <v>235</v>
      </c>
      <c r="G591" s="1638" t="s">
        <v>441</v>
      </c>
      <c r="H591" s="1638" t="s">
        <v>476</v>
      </c>
      <c r="I591" s="1638" t="s">
        <v>477</v>
      </c>
      <c r="J591" s="553"/>
      <c r="K591" s="553"/>
      <c r="L591" s="553"/>
      <c r="M591" s="553"/>
      <c r="N591" s="553"/>
      <c r="O591" s="553"/>
      <c r="P591" s="553"/>
      <c r="Q591" s="553"/>
      <c r="R591" s="553"/>
      <c r="S591" s="553"/>
      <c r="T591" s="553"/>
      <c r="U591" s="553"/>
      <c r="DB591" s="108"/>
    </row>
    <row r="592" spans="2:109" hidden="1" outlineLevel="1" x14ac:dyDescent="0.25">
      <c r="D592" s="1747" t="str">
        <f>C582</f>
        <v>805400_2019_12_</v>
      </c>
      <c r="E592" s="1747" t="str">
        <f>E582</f>
        <v>Kitchen Demand Ventillation Controls</v>
      </c>
      <c r="F592" s="1804">
        <v>365.25</v>
      </c>
      <c r="G592" s="1791">
        <v>12</v>
      </c>
      <c r="H592" s="1868">
        <v>0.76</v>
      </c>
      <c r="I592" s="1868">
        <v>1</v>
      </c>
    </row>
    <row r="593" spans="2:109" collapsed="1" x14ac:dyDescent="0.25"/>
    <row r="595" spans="2:109" s="46" customFormat="1" x14ac:dyDescent="0.25">
      <c r="B595" s="2612" t="s">
        <v>478</v>
      </c>
      <c r="C595" s="2613"/>
      <c r="D595" s="2613"/>
      <c r="E595" s="2613"/>
      <c r="F595" s="2613"/>
      <c r="G595" s="2613"/>
      <c r="H595" s="2613"/>
      <c r="I595" s="2614"/>
      <c r="J595" s="2614"/>
      <c r="K595" s="2614"/>
      <c r="L595" s="2614"/>
      <c r="M595" s="2615"/>
      <c r="N595" s="2615"/>
      <c r="O595" s="2616"/>
      <c r="V595" s="47" t="str">
        <f>B595</f>
        <v>Pre-Rinse Spray Valve</v>
      </c>
      <c r="W595" s="48"/>
      <c r="X595" s="48"/>
      <c r="Y595" s="48"/>
      <c r="Z595" s="48"/>
      <c r="AA595" s="48"/>
      <c r="AB595" s="48"/>
      <c r="AC595" s="48"/>
      <c r="AD595" s="48"/>
      <c r="AE595" s="48"/>
      <c r="AF595" s="48"/>
      <c r="AG595" s="48"/>
      <c r="AH595" s="48"/>
      <c r="AI595" s="49"/>
      <c r="AJ595" s="26"/>
      <c r="AK595" s="26"/>
      <c r="AL595" s="26"/>
      <c r="AM595" s="26"/>
      <c r="AN595" s="26"/>
      <c r="AO595" s="26"/>
      <c r="AP595" s="26"/>
      <c r="AQ595" s="26"/>
      <c r="AR595" s="26"/>
      <c r="AS595" s="26"/>
      <c r="AT595" s="26"/>
      <c r="AU595" s="26"/>
      <c r="DB595" s="109"/>
    </row>
    <row r="596" spans="2:109" x14ac:dyDescent="0.25">
      <c r="D596" s="1724"/>
      <c r="E596" s="1719"/>
      <c r="F596" s="1719"/>
      <c r="G596" s="1719"/>
      <c r="H596" s="1725"/>
      <c r="I596" s="1719"/>
      <c r="J596" s="1719"/>
      <c r="K596" s="1719"/>
      <c r="L596" s="1719"/>
      <c r="P596" s="1719"/>
      <c r="Q596" s="1719"/>
      <c r="R596" s="1719"/>
      <c r="S596" s="1719"/>
      <c r="T596" s="1719"/>
      <c r="U596" s="1719"/>
      <c r="V596"/>
      <c r="W596"/>
      <c r="X596"/>
      <c r="Y596"/>
      <c r="Z596"/>
      <c r="AA596"/>
      <c r="AB596"/>
      <c r="AC596"/>
      <c r="AD596"/>
      <c r="AE596"/>
      <c r="AF596"/>
      <c r="AG596"/>
      <c r="AH596"/>
      <c r="AI596"/>
      <c r="AJ596" s="44"/>
      <c r="AK596" s="44"/>
      <c r="AL596" s="44"/>
      <c r="AM596" s="44"/>
      <c r="AN596" s="44"/>
      <c r="AO596" s="44"/>
      <c r="AP596" s="44"/>
      <c r="AQ596" s="44"/>
      <c r="AR596" s="44"/>
      <c r="AS596" s="44"/>
      <c r="AT596" s="44"/>
      <c r="AU596" s="44"/>
    </row>
    <row r="597" spans="2:109" s="50" customFormat="1" ht="30" x14ac:dyDescent="0.25">
      <c r="B597" s="51"/>
      <c r="C597" s="52" t="s">
        <v>17</v>
      </c>
      <c r="D597" s="52" t="s">
        <v>18</v>
      </c>
      <c r="E597" s="1678" t="s">
        <v>19</v>
      </c>
      <c r="F597" s="1678" t="s">
        <v>479</v>
      </c>
      <c r="G597" s="1678" t="s">
        <v>21</v>
      </c>
      <c r="H597" s="53" t="s">
        <v>22</v>
      </c>
      <c r="I597" s="1678" t="s">
        <v>23</v>
      </c>
      <c r="J597" s="1678" t="s">
        <v>24</v>
      </c>
      <c r="K597" s="52" t="s">
        <v>25</v>
      </c>
      <c r="L597" s="52" t="s">
        <v>26</v>
      </c>
      <c r="M597" s="1716"/>
      <c r="N597" s="1716"/>
      <c r="O597" s="1716"/>
      <c r="P597" s="1726"/>
      <c r="Q597" s="1726"/>
      <c r="R597" s="1726"/>
      <c r="S597" s="1726"/>
      <c r="T597" s="1726"/>
      <c r="U597" s="1726"/>
      <c r="V597" s="55" t="s">
        <v>27</v>
      </c>
      <c r="W597" s="56">
        <f>$W$8</f>
        <v>43252</v>
      </c>
      <c r="X597" s="56">
        <f>$X$8</f>
        <v>43465</v>
      </c>
      <c r="Y597" s="56">
        <f>$Y$8</f>
        <v>43800</v>
      </c>
      <c r="Z597" s="56" t="str">
        <f>$Z$8</f>
        <v>-</v>
      </c>
      <c r="AA597" s="56" t="str">
        <f>$AA$8</f>
        <v>-</v>
      </c>
      <c r="AB597" s="56" t="str">
        <f>$AB$8</f>
        <v>-</v>
      </c>
      <c r="AC597" s="56" t="str">
        <f>$AC$8</f>
        <v>-</v>
      </c>
      <c r="AD597" s="56" t="str">
        <f>$AD$8</f>
        <v>-</v>
      </c>
      <c r="AE597" s="56" t="str">
        <f>$AE$8</f>
        <v>-</v>
      </c>
      <c r="AF597" s="56" t="str">
        <f>$AF$8</f>
        <v>-</v>
      </c>
      <c r="AG597" s="56" t="str">
        <f>$AG$8</f>
        <v>-</v>
      </c>
      <c r="AH597"/>
      <c r="AI597" s="55" t="s">
        <v>27</v>
      </c>
      <c r="AJ597" s="56">
        <v>43252</v>
      </c>
      <c r="AK597" s="56">
        <f>$X$8</f>
        <v>43465</v>
      </c>
      <c r="AL597" s="56">
        <f>$Y$8</f>
        <v>43800</v>
      </c>
      <c r="AM597" s="56" t="str">
        <f>$Z$8</f>
        <v>-</v>
      </c>
      <c r="AN597" s="56" t="str">
        <f>$AA$8</f>
        <v>-</v>
      </c>
      <c r="AO597" s="56" t="str">
        <f>$AB$8</f>
        <v>-</v>
      </c>
      <c r="AP597" s="56" t="str">
        <f>$AC$8</f>
        <v>-</v>
      </c>
      <c r="AQ597" s="56" t="str">
        <f>$AD$8</f>
        <v>-</v>
      </c>
      <c r="AR597" s="56" t="str">
        <f>$AE$8</f>
        <v>-</v>
      </c>
      <c r="AS597" s="56" t="str">
        <f>$AF$8</f>
        <v>-</v>
      </c>
      <c r="AT597" s="29"/>
      <c r="AU597" s="55" t="s">
        <v>27</v>
      </c>
      <c r="AV597" s="56">
        <v>43252</v>
      </c>
      <c r="AW597" s="56">
        <f>$X$8</f>
        <v>43465</v>
      </c>
      <c r="AX597" s="56">
        <f>$Y$8</f>
        <v>43800</v>
      </c>
      <c r="AY597" s="56" t="str">
        <f>$Z$8</f>
        <v>-</v>
      </c>
      <c r="AZ597" s="56" t="str">
        <f>$AA$8</f>
        <v>-</v>
      </c>
      <c r="BA597" s="56" t="str">
        <f>$AB$8</f>
        <v>-</v>
      </c>
      <c r="BB597" s="56" t="str">
        <f>$AC$8</f>
        <v>-</v>
      </c>
      <c r="BC597" s="56" t="str">
        <f>$AD$8</f>
        <v>-</v>
      </c>
      <c r="BD597" s="56" t="str">
        <f>$AE$8</f>
        <v>-</v>
      </c>
      <c r="BE597" s="56" t="str">
        <f>$AF$8</f>
        <v>-</v>
      </c>
      <c r="DB597" s="57" t="str">
        <f>$DB$8</f>
        <v>TRC (2020)</v>
      </c>
      <c r="DC597" s="103" t="str">
        <f>$DC$8</f>
        <v>Benefit Lookup</v>
      </c>
      <c r="DD597" s="103" t="str">
        <f>$DD$8</f>
        <v>Benefits (2019 $)</v>
      </c>
      <c r="DE597" s="103" t="str">
        <f>$DE$8</f>
        <v>Incremental Cost (2019 $)</v>
      </c>
    </row>
    <row r="598" spans="2:109" x14ac:dyDescent="0.25">
      <c r="C598" s="1727" t="s">
        <v>480</v>
      </c>
      <c r="D598" s="1815" t="s">
        <v>34</v>
      </c>
      <c r="E598" s="1754" t="s">
        <v>478</v>
      </c>
      <c r="F598" s="210">
        <f>ROUND(F608*8.33*1*(K608-L608)*((1/M608)/3413),2)</f>
        <v>5786.53</v>
      </c>
      <c r="G598" s="1730" t="s">
        <v>226</v>
      </c>
      <c r="H598" s="1731">
        <f>VLOOKUP(G598,'CP FACTORS'!$A$26:$B$38,2,FALSE)</f>
        <v>1.998949E-4</v>
      </c>
      <c r="I598" s="1755">
        <f t="shared" ref="I598" si="111">ROUND(H598*F598,6)</f>
        <v>1.156698</v>
      </c>
      <c r="J598" s="452">
        <v>5</v>
      </c>
      <c r="K598" s="1780">
        <v>92.9</v>
      </c>
      <c r="L598" s="1827" t="s">
        <v>37</v>
      </c>
      <c r="V598" s="61" t="s">
        <v>20</v>
      </c>
      <c r="W598" s="118">
        <v>5786.527002576564</v>
      </c>
      <c r="X598" s="118">
        <v>5786.527002576564</v>
      </c>
      <c r="Y598" s="118">
        <v>5786.527002576564</v>
      </c>
      <c r="Z598" s="64"/>
      <c r="AA598" s="64"/>
      <c r="AB598" s="64"/>
      <c r="AC598" s="64"/>
      <c r="AD598" s="64"/>
      <c r="AE598" s="64"/>
      <c r="AF598" s="64"/>
      <c r="AG598" s="64"/>
      <c r="AH598" s="65"/>
      <c r="AI598" s="61" t="s">
        <v>24</v>
      </c>
      <c r="AJ598" s="66">
        <v>5</v>
      </c>
      <c r="AK598" s="66">
        <v>5</v>
      </c>
      <c r="AL598" s="66">
        <v>5</v>
      </c>
      <c r="AM598" s="64"/>
      <c r="AN598" s="64"/>
      <c r="AO598" s="64"/>
      <c r="AP598" s="64"/>
      <c r="AQ598" s="64"/>
      <c r="AR598" s="64"/>
      <c r="AS598" s="64"/>
      <c r="AT598" s="29"/>
      <c r="AU598" s="61" t="s">
        <v>25</v>
      </c>
      <c r="AV598" s="67">
        <v>92.9</v>
      </c>
      <c r="AW598" s="67">
        <v>92.9</v>
      </c>
      <c r="AX598" s="67">
        <v>92.9</v>
      </c>
      <c r="AY598" s="64"/>
      <c r="AZ598" s="64"/>
      <c r="BA598" s="64"/>
      <c r="BB598" s="64"/>
      <c r="BC598" s="64"/>
      <c r="BD598" s="64"/>
      <c r="BE598" s="64"/>
      <c r="DB598" s="120">
        <f t="shared" ref="DB598" si="112">(DD598)/(DE598)</f>
        <v>13.620824362026044</v>
      </c>
      <c r="DC598" s="69" t="str">
        <f>CONCATENATE(G598," ",J598," Year EUL")</f>
        <v>Cooking BUS 5 Year EUL</v>
      </c>
      <c r="DD598" s="121">
        <f>(INDEX('Avoided Cost Benefits'!$C$4:$C$857,MATCH(DC598,'Avoided Cost Benefits'!$A$4:$A$857,0)))*F598</f>
        <v>1194.3129619936003</v>
      </c>
      <c r="DE598" s="122">
        <f>K598/(1.0595^(2020-2019))</f>
        <v>87.682869277961302</v>
      </c>
    </row>
    <row r="599" spans="2:109" hidden="1" outlineLevel="1" x14ac:dyDescent="0.25">
      <c r="E599" s="1719"/>
      <c r="F599" s="1719"/>
      <c r="G599" s="1719"/>
      <c r="H599" s="1741"/>
      <c r="I599" s="1719"/>
      <c r="J599" s="1719"/>
      <c r="K599" s="1719"/>
    </row>
    <row r="600" spans="2:109" hidden="1" outlineLevel="1" x14ac:dyDescent="0.25">
      <c r="D600" s="1719" t="s">
        <v>76</v>
      </c>
      <c r="E600" s="233"/>
      <c r="F600" s="1719"/>
      <c r="G600" s="1719"/>
      <c r="H600" s="1741"/>
      <c r="I600" s="1719"/>
      <c r="J600" s="1719"/>
      <c r="K600" s="233"/>
    </row>
    <row r="601" spans="2:109" hidden="1" outlineLevel="1" x14ac:dyDescent="0.25">
      <c r="D601" s="1742"/>
      <c r="E601" s="233"/>
      <c r="F601" s="233"/>
      <c r="G601" s="1771"/>
      <c r="H601" s="1772"/>
    </row>
    <row r="602" spans="2:109" hidden="1" outlineLevel="1" x14ac:dyDescent="0.25">
      <c r="D602" s="1742"/>
      <c r="G602" s="1771"/>
      <c r="H602" s="1772"/>
      <c r="P602" s="2630"/>
      <c r="Q602" s="2630"/>
    </row>
    <row r="603" spans="2:109" hidden="1" outlineLevel="1" x14ac:dyDescent="0.25">
      <c r="D603" s="1742"/>
      <c r="G603" s="1716"/>
      <c r="H603" s="1743"/>
      <c r="M603" s="1719"/>
      <c r="P603" s="2630"/>
      <c r="Q603" s="2630"/>
    </row>
    <row r="604" spans="2:109" hidden="1" outlineLevel="1" x14ac:dyDescent="0.25">
      <c r="D604" s="1742"/>
      <c r="G604" s="1716"/>
      <c r="H604" s="1743"/>
      <c r="M604" s="1719"/>
      <c r="P604" s="2630"/>
      <c r="Q604" s="2630"/>
    </row>
    <row r="605" spans="2:109" hidden="1" outlineLevel="1" x14ac:dyDescent="0.25">
      <c r="D605" s="1742"/>
      <c r="G605" s="1716"/>
      <c r="H605" s="1743"/>
      <c r="M605" s="1719"/>
    </row>
    <row r="606" spans="2:109" hidden="1" outlineLevel="1" x14ac:dyDescent="0.25">
      <c r="D606" s="1742"/>
      <c r="G606" s="1716"/>
      <c r="H606" s="1743"/>
    </row>
    <row r="607" spans="2:109" s="78" customFormat="1" ht="30" hidden="1" outlineLevel="1" x14ac:dyDescent="0.2">
      <c r="C607" s="553"/>
      <c r="D607" s="1638" t="s">
        <v>17</v>
      </c>
      <c r="E607" s="1638" t="s">
        <v>136</v>
      </c>
      <c r="F607" s="123" t="s">
        <v>481</v>
      </c>
      <c r="G607" s="1638" t="s">
        <v>482</v>
      </c>
      <c r="H607" s="1638" t="s">
        <v>483</v>
      </c>
      <c r="I607" s="1638" t="s">
        <v>484</v>
      </c>
      <c r="J607" s="1638" t="s">
        <v>485</v>
      </c>
      <c r="K607" s="1638" t="s">
        <v>192</v>
      </c>
      <c r="L607" s="1638" t="s">
        <v>486</v>
      </c>
      <c r="M607" s="1638" t="s">
        <v>487</v>
      </c>
      <c r="N607" s="553"/>
      <c r="O607" s="553"/>
      <c r="P607" s="553"/>
      <c r="Q607" s="553"/>
      <c r="R607" s="553"/>
      <c r="S607" s="553"/>
      <c r="T607" s="553"/>
      <c r="U607" s="553"/>
      <c r="DB607" s="108"/>
    </row>
    <row r="608" spans="2:109" hidden="1" outlineLevel="1" x14ac:dyDescent="0.25">
      <c r="D608" s="1747" t="str">
        <f>C598</f>
        <v>805450_2019_12_</v>
      </c>
      <c r="E608" s="1747" t="str">
        <f>E598</f>
        <v>Pre-Rinse Spray Valve</v>
      </c>
      <c r="F608" s="1801">
        <f>(G608-H608)*60*I608*J608</f>
        <v>32853.599999999991</v>
      </c>
      <c r="G608" s="1812">
        <v>2.23</v>
      </c>
      <c r="H608" s="1868">
        <v>1.06</v>
      </c>
      <c r="I608" s="1868">
        <v>1.5</v>
      </c>
      <c r="J608" s="1868">
        <v>312</v>
      </c>
      <c r="K608" s="1868">
        <f>L608+70</f>
        <v>127.9</v>
      </c>
      <c r="L608" s="1868">
        <v>57.9</v>
      </c>
      <c r="M608" s="1829">
        <v>0.97</v>
      </c>
    </row>
    <row r="609" spans="2:109" collapsed="1" x14ac:dyDescent="0.25"/>
    <row r="611" spans="2:109" s="46" customFormat="1" x14ac:dyDescent="0.25">
      <c r="B611" s="2612" t="s">
        <v>488</v>
      </c>
      <c r="C611" s="2613"/>
      <c r="D611" s="2613"/>
      <c r="E611" s="2613"/>
      <c r="F611" s="2613"/>
      <c r="G611" s="2613"/>
      <c r="H611" s="2613"/>
      <c r="I611" s="2614"/>
      <c r="J611" s="2614"/>
      <c r="K611" s="2614"/>
      <c r="L611" s="2614"/>
      <c r="M611" s="2615"/>
      <c r="N611" s="2615"/>
      <c r="O611" s="2616"/>
      <c r="V611" s="47" t="str">
        <f>B611</f>
        <v>Low Flow Faucet Aerator</v>
      </c>
      <c r="W611" s="48"/>
      <c r="X611" s="48"/>
      <c r="Y611" s="48"/>
      <c r="Z611" s="48"/>
      <c r="AA611" s="48"/>
      <c r="AB611" s="48"/>
      <c r="AC611" s="48"/>
      <c r="AD611" s="48"/>
      <c r="AE611" s="48"/>
      <c r="AF611" s="48"/>
      <c r="AG611" s="48"/>
      <c r="AH611" s="48"/>
      <c r="AI611" s="49"/>
      <c r="AJ611" s="26"/>
      <c r="AK611" s="26"/>
      <c r="AL611" s="26"/>
      <c r="AM611" s="26"/>
      <c r="AN611" s="26"/>
      <c r="AO611" s="26"/>
      <c r="AP611" s="26"/>
      <c r="AQ611" s="26"/>
      <c r="AR611" s="26"/>
      <c r="AS611" s="26"/>
      <c r="AT611" s="26"/>
      <c r="AU611" s="26"/>
      <c r="DB611" s="109"/>
    </row>
    <row r="612" spans="2:109" x14ac:dyDescent="0.25">
      <c r="D612" s="1724"/>
      <c r="E612" s="1719"/>
      <c r="F612" s="1719"/>
      <c r="G612" s="1719"/>
      <c r="H612" s="1725"/>
      <c r="I612" s="1719"/>
      <c r="J612" s="1719"/>
      <c r="K612" s="1719"/>
      <c r="L612" s="1719"/>
      <c r="P612" s="1719"/>
      <c r="Q612" s="1719"/>
      <c r="R612" s="1719"/>
      <c r="S612" s="1719"/>
      <c r="T612" s="1719"/>
      <c r="U612" s="1719"/>
      <c r="V612"/>
      <c r="W612"/>
      <c r="X612"/>
      <c r="Y612"/>
      <c r="Z612"/>
      <c r="AA612"/>
      <c r="AB612"/>
      <c r="AC612"/>
      <c r="AD612"/>
      <c r="AE612"/>
      <c r="AF612"/>
      <c r="AG612"/>
      <c r="AH612"/>
      <c r="AI612"/>
      <c r="AJ612" s="44"/>
      <c r="AK612" s="44"/>
      <c r="AL612" s="44"/>
      <c r="AM612" s="44"/>
      <c r="AN612" s="44"/>
      <c r="AO612" s="44"/>
      <c r="AP612" s="44"/>
      <c r="AQ612" s="44"/>
      <c r="AR612" s="44"/>
      <c r="AS612" s="44"/>
      <c r="AT612" s="44"/>
      <c r="AU612" s="44"/>
    </row>
    <row r="613" spans="2:109" s="50" customFormat="1" ht="30" x14ac:dyDescent="0.25">
      <c r="B613" s="51"/>
      <c r="C613" s="52" t="s">
        <v>17</v>
      </c>
      <c r="D613" s="52" t="s">
        <v>18</v>
      </c>
      <c r="E613" s="1678" t="s">
        <v>19</v>
      </c>
      <c r="F613" s="1678" t="s">
        <v>479</v>
      </c>
      <c r="G613" s="1678" t="s">
        <v>21</v>
      </c>
      <c r="H613" s="53" t="s">
        <v>22</v>
      </c>
      <c r="I613" s="1678" t="s">
        <v>23</v>
      </c>
      <c r="J613" s="1678" t="s">
        <v>24</v>
      </c>
      <c r="K613" s="52" t="s">
        <v>25</v>
      </c>
      <c r="L613" s="52" t="s">
        <v>26</v>
      </c>
      <c r="M613" s="1716"/>
      <c r="N613" s="1716"/>
      <c r="O613" s="1716"/>
      <c r="P613" s="1726"/>
      <c r="Q613" s="1726"/>
      <c r="R613" s="1726"/>
      <c r="S613" s="1726"/>
      <c r="T613" s="1726"/>
      <c r="U613" s="1726"/>
      <c r="V613" s="55" t="s">
        <v>27</v>
      </c>
      <c r="W613" s="56">
        <f>$W$8</f>
        <v>43252</v>
      </c>
      <c r="X613" s="56">
        <f>$X$8</f>
        <v>43465</v>
      </c>
      <c r="Y613" s="56">
        <f>$Y$8</f>
        <v>43800</v>
      </c>
      <c r="Z613" s="56" t="str">
        <f>$Z$8</f>
        <v>-</v>
      </c>
      <c r="AA613" s="56" t="str">
        <f>$AA$8</f>
        <v>-</v>
      </c>
      <c r="AB613" s="56" t="str">
        <f>$AB$8</f>
        <v>-</v>
      </c>
      <c r="AC613" s="56" t="str">
        <f>$AC$8</f>
        <v>-</v>
      </c>
      <c r="AD613" s="56" t="str">
        <f>$AD$8</f>
        <v>-</v>
      </c>
      <c r="AE613" s="56" t="str">
        <f>$AE$8</f>
        <v>-</v>
      </c>
      <c r="AF613" s="56" t="str">
        <f>$AF$8</f>
        <v>-</v>
      </c>
      <c r="AG613" s="56" t="str">
        <f>$AG$8</f>
        <v>-</v>
      </c>
      <c r="AH613"/>
      <c r="AI613" s="55" t="s">
        <v>27</v>
      </c>
      <c r="AJ613" s="56">
        <v>43252</v>
      </c>
      <c r="AK613" s="56">
        <f>$X$8</f>
        <v>43465</v>
      </c>
      <c r="AL613" s="56">
        <f>$Y$8</f>
        <v>43800</v>
      </c>
      <c r="AM613" s="56" t="str">
        <f>$Z$8</f>
        <v>-</v>
      </c>
      <c r="AN613" s="56" t="str">
        <f>$AA$8</f>
        <v>-</v>
      </c>
      <c r="AO613" s="56" t="str">
        <f>$AB$8</f>
        <v>-</v>
      </c>
      <c r="AP613" s="56" t="str">
        <f>$AC$8</f>
        <v>-</v>
      </c>
      <c r="AQ613" s="56" t="str">
        <f>$AD$8</f>
        <v>-</v>
      </c>
      <c r="AR613" s="56" t="str">
        <f>$AE$8</f>
        <v>-</v>
      </c>
      <c r="AS613" s="56" t="str">
        <f>$AF$8</f>
        <v>-</v>
      </c>
      <c r="AT613" s="29"/>
      <c r="AU613" s="55" t="s">
        <v>27</v>
      </c>
      <c r="AV613" s="56">
        <v>43252</v>
      </c>
      <c r="AW613" s="56">
        <f>$X$8</f>
        <v>43465</v>
      </c>
      <c r="AX613" s="56">
        <f>$Y$8</f>
        <v>43800</v>
      </c>
      <c r="AY613" s="56" t="str">
        <f>$Z$8</f>
        <v>-</v>
      </c>
      <c r="AZ613" s="56" t="str">
        <f>$AA$8</f>
        <v>-</v>
      </c>
      <c r="BA613" s="56" t="str">
        <f>$AB$8</f>
        <v>-</v>
      </c>
      <c r="BB613" s="56" t="str">
        <f>$AC$8</f>
        <v>-</v>
      </c>
      <c r="BC613" s="56" t="str">
        <f>$AD$8</f>
        <v>-</v>
      </c>
      <c r="BD613" s="56" t="str">
        <f>$AE$8</f>
        <v>-</v>
      </c>
      <c r="BE613" s="56" t="str">
        <f>$AF$8</f>
        <v>-</v>
      </c>
      <c r="DB613" s="57" t="str">
        <f>$DB$8</f>
        <v>TRC (2020)</v>
      </c>
      <c r="DC613" s="103" t="str">
        <f>$DC$8</f>
        <v>Benefit Lookup</v>
      </c>
      <c r="DD613" s="103" t="str">
        <f>$DD$8</f>
        <v>Benefits (2019 $)</v>
      </c>
      <c r="DE613" s="103" t="str">
        <f>$DE$8</f>
        <v>Incremental Cost (2019 $)</v>
      </c>
    </row>
    <row r="614" spans="2:109" x14ac:dyDescent="0.25">
      <c r="C614" s="1727" t="s">
        <v>489</v>
      </c>
      <c r="D614" s="1815" t="s">
        <v>34</v>
      </c>
      <c r="E614" s="1754" t="s">
        <v>488</v>
      </c>
      <c r="F614" s="210">
        <f>ROUND(F624*((G624-H624)/G624)*I624*J624*N624,2)</f>
        <v>86.63</v>
      </c>
      <c r="G614" s="1730" t="s">
        <v>178</v>
      </c>
      <c r="H614" s="1731">
        <f>VLOOKUP(G614,'CP FACTORS'!$A$26:$B$38,2,FALSE)</f>
        <v>1.811545E-4</v>
      </c>
      <c r="I614" s="1755">
        <f t="shared" ref="I614" si="113">ROUND(H614*F614,6)</f>
        <v>1.5692999999999999E-2</v>
      </c>
      <c r="J614" s="452">
        <v>9</v>
      </c>
      <c r="K614" s="1780">
        <v>8</v>
      </c>
      <c r="L614" s="1827" t="s">
        <v>37</v>
      </c>
      <c r="V614" s="61" t="s">
        <v>20</v>
      </c>
      <c r="W614" s="71">
        <v>86.631740914419709</v>
      </c>
      <c r="X614" s="71">
        <v>86.631740914419709</v>
      </c>
      <c r="Y614" s="71">
        <v>86.631740914419709</v>
      </c>
      <c r="Z614" s="64"/>
      <c r="AA614" s="64"/>
      <c r="AB614" s="64"/>
      <c r="AC614" s="64"/>
      <c r="AD614" s="64"/>
      <c r="AE614" s="64"/>
      <c r="AF614" s="64"/>
      <c r="AG614" s="64"/>
      <c r="AH614" s="65"/>
      <c r="AI614" s="61" t="s">
        <v>24</v>
      </c>
      <c r="AJ614" s="66">
        <v>9</v>
      </c>
      <c r="AK614" s="66">
        <v>9</v>
      </c>
      <c r="AL614" s="66">
        <v>9</v>
      </c>
      <c r="AM614" s="64"/>
      <c r="AN614" s="64"/>
      <c r="AO614" s="64"/>
      <c r="AP614" s="64"/>
      <c r="AQ614" s="64"/>
      <c r="AR614" s="64"/>
      <c r="AS614" s="64"/>
      <c r="AT614" s="29"/>
      <c r="AU614" s="61" t="s">
        <v>25</v>
      </c>
      <c r="AV614" s="67">
        <v>8</v>
      </c>
      <c r="AW614" s="67">
        <v>8</v>
      </c>
      <c r="AX614" s="67">
        <v>8</v>
      </c>
      <c r="AY614" s="64"/>
      <c r="AZ614" s="64"/>
      <c r="BA614" s="64"/>
      <c r="BB614" s="64"/>
      <c r="BC614" s="64"/>
      <c r="BD614" s="64"/>
      <c r="BE614" s="64"/>
      <c r="DB614" s="120">
        <f t="shared" ref="DB614" si="114">(DD614)/(DE614)</f>
        <v>4.4408857087525675</v>
      </c>
      <c r="DC614" s="69" t="str">
        <f>CONCATENATE(G614," ",J614," Year EUL")</f>
        <v>Water Heating BUS 9 Year EUL</v>
      </c>
      <c r="DD614" s="121">
        <f>(INDEX('Avoided Cost Benefits'!$C$4:$C$857,MATCH(DC614,'Avoided Cost Benefits'!$A$4:$A$857,0)))*F614</f>
        <v>33.531935507334154</v>
      </c>
      <c r="DE614" s="122">
        <f>K614/(1.0595^(2020-2019))</f>
        <v>7.5507314771118441</v>
      </c>
    </row>
    <row r="615" spans="2:109" hidden="1" outlineLevel="1" x14ac:dyDescent="0.25">
      <c r="E615" s="1719"/>
      <c r="F615" s="1719"/>
      <c r="G615" s="1719"/>
      <c r="H615" s="1741"/>
      <c r="I615" s="1719"/>
      <c r="J615" s="1719"/>
      <c r="K615" s="1719"/>
    </row>
    <row r="616" spans="2:109" hidden="1" outlineLevel="1" x14ac:dyDescent="0.25">
      <c r="D616" s="1719" t="s">
        <v>76</v>
      </c>
      <c r="E616" s="233"/>
      <c r="F616" s="1719"/>
      <c r="G616" s="1719"/>
      <c r="H616" s="1741"/>
      <c r="I616" s="1719"/>
      <c r="J616" s="1719"/>
      <c r="K616" s="233"/>
    </row>
    <row r="617" spans="2:109" hidden="1" outlineLevel="1" x14ac:dyDescent="0.25">
      <c r="D617" s="1742"/>
      <c r="E617" s="233"/>
      <c r="F617" s="233"/>
      <c r="G617" s="1771"/>
      <c r="H617" s="1772"/>
    </row>
    <row r="618" spans="2:109" hidden="1" outlineLevel="1" x14ac:dyDescent="0.25">
      <c r="D618" s="1742"/>
      <c r="G618" s="1771"/>
      <c r="H618" s="1772"/>
      <c r="P618" s="2630"/>
      <c r="Q618" s="2630"/>
    </row>
    <row r="619" spans="2:109" hidden="1" outlineLevel="1" x14ac:dyDescent="0.25">
      <c r="D619" s="1742"/>
      <c r="G619" s="1716"/>
      <c r="H619" s="1743"/>
      <c r="M619" s="1719"/>
      <c r="P619" s="2630"/>
      <c r="Q619" s="2630"/>
    </row>
    <row r="620" spans="2:109" hidden="1" outlineLevel="1" x14ac:dyDescent="0.25">
      <c r="D620" s="1742"/>
      <c r="G620" s="1716"/>
      <c r="H620" s="1743"/>
      <c r="M620" s="1719"/>
      <c r="P620" s="2630"/>
      <c r="Q620" s="2630"/>
    </row>
    <row r="621" spans="2:109" hidden="1" outlineLevel="1" x14ac:dyDescent="0.25">
      <c r="D621" s="1742"/>
      <c r="G621" s="1716"/>
      <c r="H621" s="1743"/>
      <c r="M621" s="1719"/>
    </row>
    <row r="622" spans="2:109" hidden="1" outlineLevel="1" x14ac:dyDescent="0.25">
      <c r="D622" s="1742"/>
      <c r="G622" s="1716"/>
      <c r="H622" s="1743"/>
    </row>
    <row r="623" spans="2:109" s="78" customFormat="1" ht="30" hidden="1" outlineLevel="1" x14ac:dyDescent="0.2">
      <c r="C623" s="553"/>
      <c r="D623" s="1638" t="s">
        <v>17</v>
      </c>
      <c r="E623" s="1638" t="s">
        <v>136</v>
      </c>
      <c r="F623" s="123" t="s">
        <v>369</v>
      </c>
      <c r="G623" s="1638" t="s">
        <v>490</v>
      </c>
      <c r="H623" s="1638" t="s">
        <v>491</v>
      </c>
      <c r="I623" s="1638" t="s">
        <v>492</v>
      </c>
      <c r="J623" s="1638" t="s">
        <v>493</v>
      </c>
      <c r="K623" s="1638" t="s">
        <v>494</v>
      </c>
      <c r="L623" s="1638" t="s">
        <v>495</v>
      </c>
      <c r="M623" s="1638" t="s">
        <v>496</v>
      </c>
      <c r="N623" s="1638" t="s">
        <v>82</v>
      </c>
      <c r="O623" s="553"/>
      <c r="P623" s="553"/>
      <c r="Q623" s="553"/>
      <c r="R623" s="553"/>
      <c r="S623" s="553"/>
      <c r="T623" s="553"/>
      <c r="U623" s="553"/>
      <c r="DB623" s="108"/>
    </row>
    <row r="624" spans="2:109" hidden="1" outlineLevel="1" x14ac:dyDescent="0.25">
      <c r="D624" s="1747" t="str">
        <f>C614</f>
        <v>805500_2019_12_</v>
      </c>
      <c r="E624" s="1747" t="str">
        <f>E614</f>
        <v>Low Flow Faucet Aerator</v>
      </c>
      <c r="F624" s="1869">
        <v>1</v>
      </c>
      <c r="G624" s="1812">
        <v>1.2</v>
      </c>
      <c r="H624" s="1868">
        <v>0.94</v>
      </c>
      <c r="I624" s="134">
        <v>5000</v>
      </c>
      <c r="J624" s="1870">
        <f>(8.33*1*(K624-L624))/(M624*3412)</f>
        <v>7.9967760844079736E-2</v>
      </c>
      <c r="K624" s="1865">
        <v>90</v>
      </c>
      <c r="L624" s="1854">
        <v>57.9</v>
      </c>
      <c r="M624" s="132">
        <v>0.98</v>
      </c>
      <c r="N624" s="1865">
        <v>1</v>
      </c>
    </row>
    <row r="625" spans="2:109" collapsed="1" x14ac:dyDescent="0.25"/>
    <row r="627" spans="2:109" s="46" customFormat="1" x14ac:dyDescent="0.25">
      <c r="B627" s="2612" t="s">
        <v>497</v>
      </c>
      <c r="C627" s="2613"/>
      <c r="D627" s="2613"/>
      <c r="E627" s="2613"/>
      <c r="F627" s="2613"/>
      <c r="G627" s="2613"/>
      <c r="H627" s="2613"/>
      <c r="I627" s="2614"/>
      <c r="J627" s="2614"/>
      <c r="K627" s="2614"/>
      <c r="L627" s="2614"/>
      <c r="M627" s="2615"/>
      <c r="N627" s="2615"/>
      <c r="O627" s="2616"/>
      <c r="V627" s="47" t="str">
        <f>B627</f>
        <v>Circulator Pump</v>
      </c>
      <c r="W627" s="48"/>
      <c r="X627" s="48"/>
      <c r="Y627" s="48"/>
      <c r="Z627" s="48"/>
      <c r="AA627" s="48"/>
      <c r="AB627" s="48"/>
      <c r="AC627" s="48"/>
      <c r="AD627" s="48"/>
      <c r="AE627" s="48"/>
      <c r="AF627" s="48"/>
      <c r="AG627" s="48"/>
      <c r="AH627" s="48"/>
      <c r="AI627" s="49"/>
      <c r="AJ627" s="26"/>
      <c r="AK627" s="26"/>
      <c r="AL627" s="26"/>
      <c r="AM627" s="26"/>
      <c r="AN627" s="26"/>
      <c r="AO627" s="26"/>
      <c r="AP627" s="26"/>
      <c r="AQ627" s="26"/>
      <c r="AR627" s="26"/>
      <c r="AS627" s="26"/>
      <c r="AT627" s="26"/>
      <c r="AU627" s="26"/>
      <c r="DB627" s="109"/>
    </row>
    <row r="628" spans="2:109" x14ac:dyDescent="0.25">
      <c r="D628" s="1724"/>
      <c r="E628" s="1719"/>
      <c r="F628" s="1719"/>
      <c r="G628" s="1719"/>
      <c r="H628" s="1725"/>
      <c r="I628" s="1719"/>
      <c r="J628" s="1719"/>
      <c r="K628" s="1719"/>
      <c r="L628" s="1719"/>
      <c r="P628" s="1719"/>
      <c r="Q628" s="1719"/>
      <c r="R628" s="1719"/>
      <c r="S628" s="1719"/>
      <c r="T628" s="1719"/>
      <c r="U628" s="1719"/>
      <c r="V628"/>
      <c r="W628"/>
      <c r="X628"/>
      <c r="Y628"/>
      <c r="Z628"/>
      <c r="AA628"/>
      <c r="AB628"/>
      <c r="AC628"/>
      <c r="AD628"/>
      <c r="AE628"/>
      <c r="AF628"/>
      <c r="AG628"/>
      <c r="AH628"/>
      <c r="AI628"/>
      <c r="AJ628" s="44"/>
      <c r="AK628" s="44"/>
      <c r="AL628" s="44"/>
      <c r="AM628" s="44"/>
      <c r="AN628" s="44"/>
      <c r="AO628" s="44"/>
      <c r="AP628" s="44"/>
      <c r="AQ628" s="44"/>
      <c r="AR628" s="44"/>
      <c r="AS628" s="44"/>
      <c r="AT628" s="44"/>
      <c r="AU628" s="44"/>
    </row>
    <row r="629" spans="2:109" s="50" customFormat="1" ht="30" x14ac:dyDescent="0.25">
      <c r="B629" s="51"/>
      <c r="C629" s="52" t="s">
        <v>17</v>
      </c>
      <c r="D629" s="52" t="s">
        <v>18</v>
      </c>
      <c r="E629" s="1678" t="s">
        <v>19</v>
      </c>
      <c r="F629" s="1678" t="s">
        <v>479</v>
      </c>
      <c r="G629" s="1678" t="s">
        <v>21</v>
      </c>
      <c r="H629" s="53" t="s">
        <v>22</v>
      </c>
      <c r="I629" s="1678" t="s">
        <v>23</v>
      </c>
      <c r="J629" s="1678" t="s">
        <v>24</v>
      </c>
      <c r="K629" s="52" t="s">
        <v>25</v>
      </c>
      <c r="L629" s="52" t="s">
        <v>26</v>
      </c>
      <c r="M629" s="1716"/>
      <c r="N629" s="1716"/>
      <c r="O629" s="1716"/>
      <c r="P629" s="1726"/>
      <c r="Q629" s="1726"/>
      <c r="R629" s="1726"/>
      <c r="S629" s="1726"/>
      <c r="T629" s="1726"/>
      <c r="U629" s="1726"/>
      <c r="V629" s="55" t="s">
        <v>27</v>
      </c>
      <c r="W629" s="56">
        <f>$W$8</f>
        <v>43252</v>
      </c>
      <c r="X629" s="56">
        <f>$X$8</f>
        <v>43465</v>
      </c>
      <c r="Y629" s="56">
        <f>$Y$8</f>
        <v>43800</v>
      </c>
      <c r="Z629" s="56" t="str">
        <f>$Z$8</f>
        <v>-</v>
      </c>
      <c r="AA629" s="56" t="str">
        <f>$AA$8</f>
        <v>-</v>
      </c>
      <c r="AB629" s="56" t="str">
        <f>$AB$8</f>
        <v>-</v>
      </c>
      <c r="AC629" s="56" t="str">
        <f>$AC$8</f>
        <v>-</v>
      </c>
      <c r="AD629" s="56" t="str">
        <f>$AD$8</f>
        <v>-</v>
      </c>
      <c r="AE629" s="56" t="str">
        <f>$AE$8</f>
        <v>-</v>
      </c>
      <c r="AF629" s="56" t="str">
        <f>$AF$8</f>
        <v>-</v>
      </c>
      <c r="AG629" s="56" t="str">
        <f>$AG$8</f>
        <v>-</v>
      </c>
      <c r="AH629"/>
      <c r="AI629" s="55" t="s">
        <v>27</v>
      </c>
      <c r="AJ629" s="56">
        <v>43252</v>
      </c>
      <c r="AK629" s="56">
        <f>$X$8</f>
        <v>43465</v>
      </c>
      <c r="AL629" s="56">
        <f>$Y$8</f>
        <v>43800</v>
      </c>
      <c r="AM629" s="56" t="str">
        <f>$Z$8</f>
        <v>-</v>
      </c>
      <c r="AN629" s="56" t="str">
        <f>$AA$8</f>
        <v>-</v>
      </c>
      <c r="AO629" s="56" t="str">
        <f>$AB$8</f>
        <v>-</v>
      </c>
      <c r="AP629" s="56" t="str">
        <f>$AC$8</f>
        <v>-</v>
      </c>
      <c r="AQ629" s="56" t="str">
        <f>$AD$8</f>
        <v>-</v>
      </c>
      <c r="AR629" s="56" t="str">
        <f>$AE$8</f>
        <v>-</v>
      </c>
      <c r="AS629" s="56" t="str">
        <f>$AF$8</f>
        <v>-</v>
      </c>
      <c r="AT629" s="29"/>
      <c r="AU629" s="55" t="s">
        <v>27</v>
      </c>
      <c r="AV629" s="56">
        <v>43252</v>
      </c>
      <c r="AW629" s="56">
        <f>$X$8</f>
        <v>43465</v>
      </c>
      <c r="AX629" s="56">
        <f>$Y$8</f>
        <v>43800</v>
      </c>
      <c r="AY629" s="56" t="str">
        <f>$Z$8</f>
        <v>-</v>
      </c>
      <c r="AZ629" s="56" t="str">
        <f>$AA$8</f>
        <v>-</v>
      </c>
      <c r="BA629" s="56" t="str">
        <f>$AB$8</f>
        <v>-</v>
      </c>
      <c r="BB629" s="56" t="str">
        <f>$AC$8</f>
        <v>-</v>
      </c>
      <c r="BC629" s="56" t="str">
        <f>$AD$8</f>
        <v>-</v>
      </c>
      <c r="BD629" s="56" t="str">
        <f>$AE$8</f>
        <v>-</v>
      </c>
      <c r="BE629" s="56" t="str">
        <f>$AF$8</f>
        <v>-</v>
      </c>
      <c r="DB629" s="57" t="str">
        <f>$DB$8</f>
        <v>TRC (2020)</v>
      </c>
      <c r="DC629" s="103" t="str">
        <f>$DC$8</f>
        <v>Benefit Lookup</v>
      </c>
      <c r="DD629" s="103" t="str">
        <f>$DD$8</f>
        <v>Benefits (2019 $)</v>
      </c>
      <c r="DE629" s="103" t="str">
        <f>$DE$8</f>
        <v>Incremental Cost (2019 $)</v>
      </c>
    </row>
    <row r="630" spans="2:109" x14ac:dyDescent="0.25">
      <c r="C630" s="1727" t="s">
        <v>498</v>
      </c>
      <c r="D630" s="1815" t="s">
        <v>34</v>
      </c>
      <c r="E630" s="1754" t="s">
        <v>497</v>
      </c>
      <c r="F630" s="210">
        <f>ROUND(651,2)</f>
        <v>651</v>
      </c>
      <c r="G630" s="1730" t="s">
        <v>61</v>
      </c>
      <c r="H630" s="1731">
        <f>VLOOKUP(G630,'CP FACTORS'!$A$26:$B$38,2,FALSE)</f>
        <v>1.379439E-4</v>
      </c>
      <c r="I630" s="1755">
        <f t="shared" ref="I630" si="115">ROUND(H630*F630,6)</f>
        <v>8.9801000000000006E-2</v>
      </c>
      <c r="J630" s="452">
        <v>15</v>
      </c>
      <c r="K630" s="1756">
        <v>1200</v>
      </c>
      <c r="L630" s="1827" t="s">
        <v>37</v>
      </c>
      <c r="V630" s="61" t="s">
        <v>20</v>
      </c>
      <c r="W630" s="71">
        <v>651</v>
      </c>
      <c r="X630" s="71">
        <v>651</v>
      </c>
      <c r="Y630" s="71">
        <v>651</v>
      </c>
      <c r="Z630" s="64"/>
      <c r="AA630" s="64"/>
      <c r="AB630" s="64"/>
      <c r="AC630" s="64"/>
      <c r="AD630" s="64"/>
      <c r="AE630" s="64"/>
      <c r="AF630" s="64"/>
      <c r="AG630" s="64"/>
      <c r="AH630" s="65"/>
      <c r="AI630" s="61" t="s">
        <v>24</v>
      </c>
      <c r="AJ630" s="66">
        <v>15</v>
      </c>
      <c r="AK630" s="66">
        <v>15</v>
      </c>
      <c r="AL630" s="66">
        <v>15</v>
      </c>
      <c r="AM630" s="64"/>
      <c r="AN630" s="64"/>
      <c r="AO630" s="64"/>
      <c r="AP630" s="64"/>
      <c r="AQ630" s="64"/>
      <c r="AR630" s="64"/>
      <c r="AS630" s="64"/>
      <c r="AT630" s="29"/>
      <c r="AU630" s="61" t="s">
        <v>25</v>
      </c>
      <c r="AV630" s="67">
        <v>1200</v>
      </c>
      <c r="AW630" s="67">
        <v>1200</v>
      </c>
      <c r="AX630" s="67">
        <v>1200</v>
      </c>
      <c r="AY630" s="64"/>
      <c r="AZ630" s="64"/>
      <c r="BA630" s="64"/>
      <c r="BB630" s="64"/>
      <c r="BC630" s="64"/>
      <c r="BD630" s="64"/>
      <c r="BE630" s="64"/>
      <c r="DB630" s="120">
        <f t="shared" ref="DB630" si="116">(DD630)/(DE630)</f>
        <v>0.30815053912703838</v>
      </c>
      <c r="DC630" s="69" t="str">
        <f>CONCATENATE(G630," ",J630," Year EUL")</f>
        <v>Miscellaneous BUS 15 Year EUL</v>
      </c>
      <c r="DD630" s="121">
        <f>(INDEX('Avoided Cost Benefits'!$C$4:$C$857,MATCH(DC630,'Avoided Cost Benefits'!$A$4:$A$857,0)))*F630</f>
        <v>349.01429632132704</v>
      </c>
      <c r="DE630" s="122">
        <f>K630/(1.0595^(2020-2019))</f>
        <v>1132.6097215667767</v>
      </c>
    </row>
    <row r="631" spans="2:109" hidden="1" outlineLevel="1" x14ac:dyDescent="0.25">
      <c r="E631" s="1719"/>
      <c r="F631" s="1719"/>
      <c r="G631" s="1719"/>
      <c r="H631" s="1741"/>
      <c r="I631" s="1719"/>
      <c r="J631" s="1719"/>
    </row>
    <row r="632" spans="2:109" hidden="1" outlineLevel="1" x14ac:dyDescent="0.25">
      <c r="D632" s="1719" t="s">
        <v>76</v>
      </c>
      <c r="E632" s="233"/>
      <c r="F632" s="1719"/>
      <c r="G632" s="1719"/>
      <c r="H632" s="1741"/>
      <c r="I632" s="1719"/>
      <c r="J632" s="1719"/>
      <c r="K632" s="233"/>
    </row>
    <row r="633" spans="2:109" hidden="1" outlineLevel="1" x14ac:dyDescent="0.25">
      <c r="D633" s="1742"/>
      <c r="E633" s="233"/>
      <c r="F633" s="233"/>
      <c r="G633" s="1771"/>
      <c r="H633" s="1772"/>
    </row>
    <row r="634" spans="2:109" hidden="1" outlineLevel="1" x14ac:dyDescent="0.25">
      <c r="D634" s="1742"/>
      <c r="G634" s="1771"/>
      <c r="H634" s="1772"/>
      <c r="P634" s="2630"/>
      <c r="Q634" s="2630"/>
    </row>
    <row r="635" spans="2:109" hidden="1" outlineLevel="1" x14ac:dyDescent="0.25">
      <c r="D635" s="1742"/>
      <c r="G635" s="1716"/>
      <c r="H635" s="1743"/>
      <c r="M635" s="1719"/>
      <c r="P635" s="2630"/>
      <c r="Q635" s="2630"/>
    </row>
    <row r="636" spans="2:109" hidden="1" outlineLevel="1" x14ac:dyDescent="0.25">
      <c r="D636" s="1742"/>
      <c r="G636" s="1716"/>
      <c r="H636" s="1743"/>
      <c r="M636" s="1719"/>
      <c r="P636" s="2630"/>
      <c r="Q636" s="2630"/>
    </row>
    <row r="637" spans="2:109" hidden="1" outlineLevel="1" x14ac:dyDescent="0.25">
      <c r="D637" s="1742"/>
      <c r="G637" s="1716"/>
      <c r="H637" s="1743"/>
      <c r="M637" s="1719"/>
    </row>
    <row r="638" spans="2:109" hidden="1" outlineLevel="1" x14ac:dyDescent="0.25">
      <c r="D638" s="1742"/>
      <c r="G638" s="1716"/>
      <c r="H638" s="1743"/>
    </row>
    <row r="639" spans="2:109" s="78" customFormat="1" ht="30" hidden="1" outlineLevel="1" x14ac:dyDescent="0.2">
      <c r="C639" s="553"/>
      <c r="D639" s="1638" t="s">
        <v>17</v>
      </c>
      <c r="E639" s="1638" t="s">
        <v>136</v>
      </c>
      <c r="F639" s="553"/>
      <c r="G639" s="553"/>
      <c r="H639" s="553"/>
      <c r="I639" s="553"/>
      <c r="J639" s="553"/>
      <c r="K639" s="553"/>
      <c r="L639" s="553"/>
      <c r="M639" s="553"/>
      <c r="N639" s="553"/>
      <c r="O639" s="553"/>
      <c r="P639" s="553"/>
      <c r="Q639" s="553"/>
      <c r="R639" s="553"/>
      <c r="S639" s="553"/>
      <c r="T639" s="553"/>
      <c r="U639" s="553"/>
      <c r="DB639" s="108"/>
    </row>
    <row r="640" spans="2:109" hidden="1" outlineLevel="1" x14ac:dyDescent="0.25">
      <c r="D640" s="1747" t="str">
        <f>C630</f>
        <v>805550_2019_12_</v>
      </c>
      <c r="E640" s="1747" t="str">
        <f>E630</f>
        <v>Circulator Pump</v>
      </c>
      <c r="G640" s="1716"/>
      <c r="H640" s="1716"/>
    </row>
    <row r="641" spans="2:109" collapsed="1" x14ac:dyDescent="0.25"/>
    <row r="643" spans="2:109" s="46" customFormat="1" x14ac:dyDescent="0.25">
      <c r="B643" s="2612" t="s">
        <v>499</v>
      </c>
      <c r="C643" s="2613"/>
      <c r="D643" s="2613"/>
      <c r="E643" s="2613"/>
      <c r="F643" s="2613"/>
      <c r="G643" s="2613"/>
      <c r="H643" s="2613"/>
      <c r="I643" s="2614"/>
      <c r="J643" s="2614"/>
      <c r="K643" s="2614"/>
      <c r="L643" s="2614"/>
      <c r="M643" s="2615"/>
      <c r="N643" s="2615"/>
      <c r="O643" s="2616"/>
      <c r="V643" s="47" t="str">
        <f>B643</f>
        <v>Small Commercial Programmable Thermostats</v>
      </c>
      <c r="W643" s="48"/>
      <c r="X643" s="48"/>
      <c r="Y643" s="48"/>
      <c r="Z643" s="48"/>
      <c r="AA643" s="48"/>
      <c r="AB643" s="48"/>
      <c r="AC643" s="48"/>
      <c r="AD643" s="48"/>
      <c r="AE643" s="48"/>
      <c r="AF643" s="48"/>
      <c r="AG643" s="48"/>
      <c r="AH643" s="48"/>
      <c r="AI643" s="49"/>
      <c r="AJ643" s="26"/>
      <c r="AK643" s="26"/>
      <c r="AL643" s="26"/>
      <c r="AM643" s="26"/>
      <c r="AN643" s="26"/>
      <c r="AO643" s="26"/>
      <c r="AP643" s="26"/>
      <c r="AQ643" s="26"/>
      <c r="AR643" s="26"/>
      <c r="AS643" s="26"/>
      <c r="AT643" s="26"/>
      <c r="AU643" s="26"/>
      <c r="DB643" s="109"/>
    </row>
    <row r="644" spans="2:109" x14ac:dyDescent="0.25">
      <c r="D644" s="1724"/>
      <c r="E644" s="1719"/>
      <c r="F644" s="1719"/>
      <c r="G644" s="1719"/>
      <c r="H644" s="1725"/>
      <c r="I644" s="1719"/>
      <c r="J644" s="1719"/>
      <c r="K644" s="1719"/>
      <c r="L644" s="1719"/>
      <c r="P644" s="1719"/>
      <c r="Q644" s="1719"/>
      <c r="R644" s="1719"/>
      <c r="S644" s="1719"/>
      <c r="T644" s="1719"/>
      <c r="U644" s="1719"/>
      <c r="V644"/>
      <c r="W644"/>
      <c r="X644"/>
      <c r="Y644"/>
      <c r="Z644"/>
      <c r="AA644"/>
      <c r="AB644"/>
      <c r="AC644"/>
      <c r="AD644"/>
      <c r="AE644"/>
      <c r="AF644"/>
      <c r="AG644"/>
      <c r="AH644"/>
      <c r="AI644"/>
      <c r="AJ644" s="44"/>
      <c r="AK644" s="44"/>
      <c r="AL644" s="44"/>
      <c r="AM644" s="44"/>
      <c r="AN644" s="44"/>
      <c r="AO644" s="44"/>
      <c r="AP644" s="44"/>
      <c r="AQ644" s="44"/>
      <c r="AR644" s="44"/>
      <c r="AS644" s="44"/>
      <c r="AT644" s="44"/>
      <c r="AU644" s="44"/>
    </row>
    <row r="645" spans="2:109" s="50" customFormat="1" ht="30" x14ac:dyDescent="0.25">
      <c r="B645" s="51"/>
      <c r="C645" s="52" t="s">
        <v>17</v>
      </c>
      <c r="D645" s="52" t="s">
        <v>18</v>
      </c>
      <c r="E645" s="1678" t="s">
        <v>19</v>
      </c>
      <c r="F645" s="1678" t="s">
        <v>500</v>
      </c>
      <c r="G645" s="1678" t="s">
        <v>21</v>
      </c>
      <c r="H645" s="53" t="s">
        <v>22</v>
      </c>
      <c r="I645" s="1678" t="s">
        <v>23</v>
      </c>
      <c r="J645" s="1678" t="s">
        <v>24</v>
      </c>
      <c r="K645" s="52" t="s">
        <v>202</v>
      </c>
      <c r="L645" s="52" t="s">
        <v>26</v>
      </c>
      <c r="M645" s="1716"/>
      <c r="N645" s="1716"/>
      <c r="O645" s="1716"/>
      <c r="P645" s="1726"/>
      <c r="Q645" s="1726"/>
      <c r="R645" s="1726"/>
      <c r="S645" s="1726"/>
      <c r="T645" s="1726"/>
      <c r="U645" s="1726"/>
      <c r="V645" s="55" t="s">
        <v>27</v>
      </c>
      <c r="W645" s="56">
        <f>$W$8</f>
        <v>43252</v>
      </c>
      <c r="X645" s="56">
        <f>$X$8</f>
        <v>43465</v>
      </c>
      <c r="Y645" s="56">
        <f>$Y$8</f>
        <v>43800</v>
      </c>
      <c r="Z645" s="56" t="str">
        <f>$Z$8</f>
        <v>-</v>
      </c>
      <c r="AA645" s="56" t="str">
        <f>$AA$8</f>
        <v>-</v>
      </c>
      <c r="AB645" s="56" t="str">
        <f>$AB$8</f>
        <v>-</v>
      </c>
      <c r="AC645" s="56" t="str">
        <f>$AC$8</f>
        <v>-</v>
      </c>
      <c r="AD645" s="56" t="str">
        <f>$AD$8</f>
        <v>-</v>
      </c>
      <c r="AE645" s="56" t="str">
        <f>$AE$8</f>
        <v>-</v>
      </c>
      <c r="AF645" s="56" t="str">
        <f>$AF$8</f>
        <v>-</v>
      </c>
      <c r="AG645" s="56" t="str">
        <f>$AG$8</f>
        <v>-</v>
      </c>
      <c r="AH645"/>
      <c r="AI645" s="55" t="s">
        <v>27</v>
      </c>
      <c r="AJ645" s="56">
        <v>43252</v>
      </c>
      <c r="AK645" s="56">
        <f>$X$8</f>
        <v>43465</v>
      </c>
      <c r="AL645" s="56">
        <f>$Y$8</f>
        <v>43800</v>
      </c>
      <c r="AM645" s="56" t="str">
        <f>$Z$8</f>
        <v>-</v>
      </c>
      <c r="AN645" s="56" t="str">
        <f>$AA$8</f>
        <v>-</v>
      </c>
      <c r="AO645" s="56" t="str">
        <f>$AB$8</f>
        <v>-</v>
      </c>
      <c r="AP645" s="56" t="str">
        <f>$AC$8</f>
        <v>-</v>
      </c>
      <c r="AQ645" s="56" t="str">
        <f>$AD$8</f>
        <v>-</v>
      </c>
      <c r="AR645" s="56" t="str">
        <f>$AE$8</f>
        <v>-</v>
      </c>
      <c r="AS645" s="56" t="str">
        <f>$AF$8</f>
        <v>-</v>
      </c>
      <c r="AT645" s="29"/>
      <c r="AU645" s="55" t="s">
        <v>27</v>
      </c>
      <c r="AV645" s="56">
        <v>43252</v>
      </c>
      <c r="AW645" s="56">
        <f>$X$8</f>
        <v>43465</v>
      </c>
      <c r="AX645" s="56">
        <f>$Y$8</f>
        <v>43800</v>
      </c>
      <c r="AY645" s="56" t="str">
        <f>$Z$8</f>
        <v>-</v>
      </c>
      <c r="AZ645" s="56" t="str">
        <f>$AA$8</f>
        <v>-</v>
      </c>
      <c r="BA645" s="56" t="str">
        <f>$AB$8</f>
        <v>-</v>
      </c>
      <c r="BB645" s="56" t="str">
        <f>$AC$8</f>
        <v>-</v>
      </c>
      <c r="BC645" s="56" t="str">
        <f>$AD$8</f>
        <v>-</v>
      </c>
      <c r="BD645" s="56" t="str">
        <f>$AE$8</f>
        <v>-</v>
      </c>
      <c r="BE645" s="56" t="str">
        <f>$AF$8</f>
        <v>-</v>
      </c>
      <c r="DB645" s="57" t="str">
        <f>$DB$8</f>
        <v>TRC (2020)</v>
      </c>
      <c r="DC645" s="103" t="str">
        <f>$DC$8</f>
        <v>Benefit Lookup</v>
      </c>
      <c r="DD645" s="103" t="str">
        <f>$DD$8</f>
        <v>Benefits (2019 $)</v>
      </c>
      <c r="DE645" s="103" t="str">
        <f>$DE$8</f>
        <v>Incremental Cost (2019 $)</v>
      </c>
    </row>
    <row r="646" spans="2:109" x14ac:dyDescent="0.25">
      <c r="C646" s="1727" t="s">
        <v>501</v>
      </c>
      <c r="D646" s="1815" t="s">
        <v>34</v>
      </c>
      <c r="E646" s="1754" t="s">
        <v>499</v>
      </c>
      <c r="F646" s="210">
        <f>ROUND((F656*H656*I656)/G656,2)</f>
        <v>0.03</v>
      </c>
      <c r="G646" s="1730" t="s">
        <v>263</v>
      </c>
      <c r="H646" s="1731">
        <f>VLOOKUP(G646,'CP FACTORS'!$A$26:$B$38,2,FALSE)</f>
        <v>9.1068400000000004E-4</v>
      </c>
      <c r="I646" s="1755">
        <f t="shared" ref="I646" si="117">ROUND(H646*F646,6)</f>
        <v>2.6999999999999999E-5</v>
      </c>
      <c r="J646" s="452">
        <v>8</v>
      </c>
      <c r="K646" s="1780">
        <v>181</v>
      </c>
      <c r="L646" s="1827" t="s">
        <v>37</v>
      </c>
      <c r="V646" s="61" t="str">
        <f>F645</f>
        <v>kWh Annual Savings (per sqft)</v>
      </c>
      <c r="W646" s="71">
        <v>2.8899999999999999E-2</v>
      </c>
      <c r="X646" s="71">
        <v>2.8899999999999999E-2</v>
      </c>
      <c r="Y646" s="71">
        <v>2.8899999999999999E-2</v>
      </c>
      <c r="Z646" s="64"/>
      <c r="AA646" s="64"/>
      <c r="AB646" s="64"/>
      <c r="AC646" s="64"/>
      <c r="AD646" s="64"/>
      <c r="AE646" s="64"/>
      <c r="AF646" s="64"/>
      <c r="AG646" s="64"/>
      <c r="AH646" s="65"/>
      <c r="AI646" s="61" t="s">
        <v>24</v>
      </c>
      <c r="AJ646" s="66">
        <v>8</v>
      </c>
      <c r="AK646" s="66">
        <v>8</v>
      </c>
      <c r="AL646" s="66">
        <v>8</v>
      </c>
      <c r="AM646" s="64"/>
      <c r="AN646" s="64"/>
      <c r="AO646" s="64"/>
      <c r="AP646" s="64"/>
      <c r="AQ646" s="64"/>
      <c r="AR646" s="64"/>
      <c r="AS646" s="64"/>
      <c r="AT646" s="29"/>
      <c r="AU646" s="61" t="s">
        <v>25</v>
      </c>
      <c r="AV646" s="67">
        <v>181</v>
      </c>
      <c r="AW646" s="67">
        <v>181</v>
      </c>
      <c r="AX646" s="67">
        <v>181</v>
      </c>
      <c r="AY646" s="64"/>
      <c r="AZ646" s="64"/>
      <c r="BA646" s="64"/>
      <c r="BB646" s="64"/>
      <c r="BC646" s="64"/>
      <c r="BD646" s="64"/>
      <c r="BE646" s="64"/>
      <c r="DB646" s="120">
        <f t="shared" ref="DB646" si="118">(DD646)/(DE646)</f>
        <v>1.3267360914294256E-4</v>
      </c>
      <c r="DC646" s="69" t="str">
        <f>CONCATENATE(G646," ",J646," Year EUL")</f>
        <v>Cooling BUS 8 Year EUL</v>
      </c>
      <c r="DD646" s="121">
        <f>(INDEX('Avoided Cost Benefits'!$C$4:$C$857,MATCH(DC646,'Avoided Cost Benefits'!$A$4:$A$857,0)))*F646</f>
        <v>2.2665335776189333E-2</v>
      </c>
      <c r="DE646" s="122">
        <f>K646/(1.0595^(2020-2019))</f>
        <v>170.83529966965548</v>
      </c>
    </row>
    <row r="647" spans="2:109" hidden="1" outlineLevel="1" x14ac:dyDescent="0.25">
      <c r="E647" s="1719"/>
      <c r="F647" s="1719"/>
      <c r="G647" s="1719"/>
      <c r="H647" s="1741"/>
      <c r="I647" s="1719"/>
      <c r="J647" s="1719"/>
      <c r="K647" s="1719"/>
    </row>
    <row r="648" spans="2:109" hidden="1" outlineLevel="1" x14ac:dyDescent="0.25">
      <c r="D648" s="1719" t="s">
        <v>76</v>
      </c>
      <c r="E648" s="233"/>
      <c r="F648" s="1719"/>
      <c r="G648" s="1719"/>
      <c r="H648" s="1741"/>
      <c r="I648" s="1719"/>
      <c r="J648" s="1719"/>
      <c r="K648" s="233"/>
    </row>
    <row r="649" spans="2:109" hidden="1" outlineLevel="1" x14ac:dyDescent="0.25">
      <c r="D649" s="1742"/>
      <c r="E649" s="233"/>
      <c r="F649" s="233"/>
      <c r="G649" s="1771"/>
      <c r="H649" s="1772"/>
    </row>
    <row r="650" spans="2:109" hidden="1" outlineLevel="1" x14ac:dyDescent="0.25">
      <c r="D650" s="1742"/>
      <c r="G650" s="1771"/>
      <c r="H650" s="1772"/>
      <c r="P650" s="2630"/>
      <c r="Q650" s="2630"/>
    </row>
    <row r="651" spans="2:109" hidden="1" outlineLevel="1" x14ac:dyDescent="0.25">
      <c r="D651" s="1742"/>
      <c r="G651" s="1716"/>
      <c r="H651" s="1743"/>
      <c r="M651" s="1719"/>
      <c r="P651" s="2630"/>
      <c r="Q651" s="2630"/>
    </row>
    <row r="652" spans="2:109" hidden="1" outlineLevel="1" x14ac:dyDescent="0.25">
      <c r="D652" s="1742"/>
      <c r="G652" s="1716"/>
      <c r="H652" s="1743"/>
      <c r="M652" s="1719"/>
      <c r="P652" s="2630"/>
      <c r="Q652" s="2630"/>
    </row>
    <row r="653" spans="2:109" hidden="1" outlineLevel="1" x14ac:dyDescent="0.25">
      <c r="D653" s="1742"/>
      <c r="G653" s="1716"/>
      <c r="H653" s="1743"/>
      <c r="M653" s="1719"/>
    </row>
    <row r="654" spans="2:109" hidden="1" outlineLevel="1" x14ac:dyDescent="0.25">
      <c r="D654" s="1742"/>
      <c r="G654" s="1716"/>
      <c r="H654" s="1743"/>
    </row>
    <row r="655" spans="2:109" s="78" customFormat="1" ht="30" hidden="1" outlineLevel="1" x14ac:dyDescent="0.2">
      <c r="C655" s="553"/>
      <c r="D655" s="1638" t="s">
        <v>17</v>
      </c>
      <c r="E655" s="1638" t="s">
        <v>136</v>
      </c>
      <c r="F655" s="123" t="s">
        <v>502</v>
      </c>
      <c r="G655" s="1638" t="s">
        <v>503</v>
      </c>
      <c r="H655" s="1638" t="s">
        <v>504</v>
      </c>
      <c r="I655" s="1638" t="s">
        <v>505</v>
      </c>
      <c r="J655" s="553"/>
      <c r="K655" s="553"/>
      <c r="L655" s="553"/>
      <c r="M655" s="553"/>
      <c r="N655" s="553"/>
      <c r="O655" s="553"/>
      <c r="P655" s="553"/>
      <c r="Q655" s="553"/>
      <c r="R655" s="553"/>
      <c r="S655" s="553"/>
      <c r="T655" s="553"/>
      <c r="U655" s="553"/>
      <c r="DB655" s="108"/>
    </row>
    <row r="656" spans="2:109" hidden="1" outlineLevel="1" x14ac:dyDescent="0.25">
      <c r="D656" s="1747" t="str">
        <f>C646</f>
        <v>805600_2019_12_</v>
      </c>
      <c r="E656" s="1747" t="str">
        <f>E646</f>
        <v>Small Commercial Programmable Thermostats</v>
      </c>
      <c r="F656" s="1808">
        <v>1</v>
      </c>
      <c r="G656" s="1812">
        <v>10</v>
      </c>
      <c r="H656" s="1851">
        <v>0.57799999999999996</v>
      </c>
      <c r="I656" s="1871">
        <v>0.5</v>
      </c>
    </row>
    <row r="657" spans="2:109" collapsed="1" x14ac:dyDescent="0.25"/>
    <row r="659" spans="2:109" s="46" customFormat="1" x14ac:dyDescent="0.25">
      <c r="B659" s="2612" t="s">
        <v>506</v>
      </c>
      <c r="C659" s="2613"/>
      <c r="D659" s="2613"/>
      <c r="E659" s="2613"/>
      <c r="F659" s="2613"/>
      <c r="G659" s="2613"/>
      <c r="H659" s="2613"/>
      <c r="I659" s="2614"/>
      <c r="J659" s="2614"/>
      <c r="K659" s="2614"/>
      <c r="L659" s="2614"/>
      <c r="M659" s="2615"/>
      <c r="N659" s="2615"/>
      <c r="O659" s="2616"/>
      <c r="V659" s="47" t="str">
        <f>B659</f>
        <v>Demand Controlled Ventillation</v>
      </c>
      <c r="W659" s="48"/>
      <c r="X659" s="48"/>
      <c r="Y659" s="48"/>
      <c r="Z659" s="48"/>
      <c r="AA659" s="48"/>
      <c r="AB659" s="48"/>
      <c r="AC659" s="48"/>
      <c r="AD659" s="48"/>
      <c r="AE659" s="48"/>
      <c r="AF659" s="48"/>
      <c r="AG659" s="48"/>
      <c r="AH659" s="48"/>
      <c r="AI659" s="49"/>
      <c r="AJ659" s="26"/>
      <c r="AK659" s="26"/>
      <c r="AL659" s="26"/>
      <c r="AM659" s="26"/>
      <c r="AN659" s="26"/>
      <c r="AO659" s="26"/>
      <c r="AP659" s="26"/>
      <c r="AQ659" s="26"/>
      <c r="AR659" s="26"/>
      <c r="AS659" s="26"/>
      <c r="AT659" s="26"/>
      <c r="AU659" s="26"/>
      <c r="DB659" s="109"/>
    </row>
    <row r="660" spans="2:109" x14ac:dyDescent="0.25">
      <c r="D660" s="1724"/>
      <c r="E660" s="1719"/>
      <c r="F660" s="1719"/>
      <c r="G660" s="1719"/>
      <c r="H660" s="1725"/>
      <c r="I660" s="1719"/>
      <c r="J660" s="1719"/>
      <c r="K660" s="1719"/>
      <c r="L660" s="1719"/>
      <c r="P660" s="1719"/>
      <c r="Q660" s="1719"/>
      <c r="R660" s="1719"/>
      <c r="S660" s="1719"/>
      <c r="T660" s="1719"/>
      <c r="U660" s="1719"/>
      <c r="V660"/>
      <c r="W660"/>
      <c r="X660"/>
      <c r="Y660"/>
      <c r="Z660"/>
      <c r="AA660"/>
      <c r="AB660"/>
      <c r="AC660"/>
      <c r="AD660"/>
      <c r="AE660"/>
      <c r="AF660"/>
      <c r="AG660"/>
      <c r="AH660"/>
      <c r="AI660"/>
      <c r="AJ660" s="44"/>
      <c r="AK660" s="44"/>
      <c r="AL660" s="44"/>
      <c r="AM660" s="44"/>
      <c r="AN660" s="44"/>
      <c r="AO660" s="44"/>
      <c r="AP660" s="44"/>
      <c r="AQ660" s="44"/>
      <c r="AR660" s="44"/>
      <c r="AS660" s="44"/>
      <c r="AT660" s="44"/>
      <c r="AU660" s="44"/>
    </row>
    <row r="661" spans="2:109" s="50" customFormat="1" ht="30" x14ac:dyDescent="0.25">
      <c r="B661" s="51"/>
      <c r="C661" s="52" t="s">
        <v>17</v>
      </c>
      <c r="D661" s="52" t="s">
        <v>18</v>
      </c>
      <c r="E661" s="1678" t="s">
        <v>19</v>
      </c>
      <c r="F661" s="1678" t="s">
        <v>500</v>
      </c>
      <c r="G661" s="1678" t="s">
        <v>21</v>
      </c>
      <c r="H661" s="53" t="s">
        <v>22</v>
      </c>
      <c r="I661" s="1678" t="s">
        <v>23</v>
      </c>
      <c r="J661" s="1678" t="s">
        <v>24</v>
      </c>
      <c r="K661" s="52" t="s">
        <v>25</v>
      </c>
      <c r="L661" s="52" t="s">
        <v>26</v>
      </c>
      <c r="M661" s="1716"/>
      <c r="N661" s="1845"/>
      <c r="O661" s="1819"/>
      <c r="P661" s="1820"/>
      <c r="Q661" s="1726"/>
      <c r="R661" s="1726"/>
      <c r="S661" s="1726"/>
      <c r="T661" s="1726"/>
      <c r="U661" s="1726"/>
      <c r="V661" s="55" t="s">
        <v>27</v>
      </c>
      <c r="W661" s="56">
        <f>$W$8</f>
        <v>43252</v>
      </c>
      <c r="X661" s="56">
        <f>$X$8</f>
        <v>43465</v>
      </c>
      <c r="Y661" s="56">
        <f>$Y$8</f>
        <v>43800</v>
      </c>
      <c r="Z661" s="56" t="str">
        <f>$Z$8</f>
        <v>-</v>
      </c>
      <c r="AA661" s="56" t="str">
        <f>$AA$8</f>
        <v>-</v>
      </c>
      <c r="AB661" s="56" t="str">
        <f>$AB$8</f>
        <v>-</v>
      </c>
      <c r="AC661" s="56" t="str">
        <f>$AC$8</f>
        <v>-</v>
      </c>
      <c r="AD661" s="56" t="str">
        <f>$AD$8</f>
        <v>-</v>
      </c>
      <c r="AE661" s="56" t="str">
        <f>$AE$8</f>
        <v>-</v>
      </c>
      <c r="AF661" s="56" t="str">
        <f>$AF$8</f>
        <v>-</v>
      </c>
      <c r="AG661" s="56" t="str">
        <f>$AG$8</f>
        <v>-</v>
      </c>
      <c r="AH661"/>
      <c r="AI661" s="55" t="s">
        <v>27</v>
      </c>
      <c r="AJ661" s="56">
        <v>43252</v>
      </c>
      <c r="AK661" s="56">
        <f>$X$8</f>
        <v>43465</v>
      </c>
      <c r="AL661" s="56">
        <f>$Y$8</f>
        <v>43800</v>
      </c>
      <c r="AM661" s="56" t="str">
        <f>$Z$8</f>
        <v>-</v>
      </c>
      <c r="AN661" s="56" t="str">
        <f>$AA$8</f>
        <v>-</v>
      </c>
      <c r="AO661" s="56" t="str">
        <f>$AB$8</f>
        <v>-</v>
      </c>
      <c r="AP661" s="56" t="str">
        <f>$AC$8</f>
        <v>-</v>
      </c>
      <c r="AQ661" s="56" t="str">
        <f>$AD$8</f>
        <v>-</v>
      </c>
      <c r="AR661" s="56" t="str">
        <f>$AE$8</f>
        <v>-</v>
      </c>
      <c r="AS661" s="56" t="str">
        <f>$AF$8</f>
        <v>-</v>
      </c>
      <c r="AT661" s="29"/>
      <c r="AU661" s="55" t="s">
        <v>27</v>
      </c>
      <c r="AV661" s="56">
        <v>43252</v>
      </c>
      <c r="AW661" s="56">
        <f>$X$8</f>
        <v>43465</v>
      </c>
      <c r="AX661" s="56">
        <f>$Y$8</f>
        <v>43800</v>
      </c>
      <c r="AY661" s="56" t="str">
        <f>$Z$8</f>
        <v>-</v>
      </c>
      <c r="AZ661" s="56" t="str">
        <f>$AA$8</f>
        <v>-</v>
      </c>
      <c r="BA661" s="56" t="str">
        <f>$AB$8</f>
        <v>-</v>
      </c>
      <c r="BB661" s="56" t="str">
        <f>$AC$8</f>
        <v>-</v>
      </c>
      <c r="BC661" s="56" t="str">
        <f>$AD$8</f>
        <v>-</v>
      </c>
      <c r="BD661" s="56" t="str">
        <f>$AE$8</f>
        <v>-</v>
      </c>
      <c r="BE661" s="56" t="str">
        <f>$AF$8</f>
        <v>-</v>
      </c>
      <c r="DB661" s="57" t="str">
        <f>$DB$8</f>
        <v>TRC (2020)</v>
      </c>
      <c r="DC661" s="103" t="str">
        <f>$DC$8</f>
        <v>Benefit Lookup</v>
      </c>
      <c r="DD661" s="103" t="str">
        <f>$DD$8</f>
        <v>Benefits (2019 $)</v>
      </c>
      <c r="DE661" s="103" t="str">
        <f>$DE$8</f>
        <v>Incremental Cost (2019 $)</v>
      </c>
    </row>
    <row r="662" spans="2:109" x14ac:dyDescent="0.25">
      <c r="C662" s="1763" t="s">
        <v>507</v>
      </c>
      <c r="D662" s="1815" t="s">
        <v>34</v>
      </c>
      <c r="E662" s="1754" t="s">
        <v>508</v>
      </c>
      <c r="F662" s="210">
        <f>ROUND((F674/1000)*G674+(F674/1000)*H674,2)</f>
        <v>0.67</v>
      </c>
      <c r="G662" s="1730" t="s">
        <v>263</v>
      </c>
      <c r="H662" s="1731">
        <f>VLOOKUP(G662,'CP FACTORS'!$A$26:$B$38,2,FALSE)</f>
        <v>9.1068400000000004E-4</v>
      </c>
      <c r="I662" s="1755">
        <f t="shared" ref="I662:I664" si="119">ROUND(H662*F662,6)</f>
        <v>6.0999999999999997E-4</v>
      </c>
      <c r="J662" s="1805">
        <v>10</v>
      </c>
      <c r="K662" s="1756" t="s">
        <v>509</v>
      </c>
      <c r="L662" s="1827" t="s">
        <v>510</v>
      </c>
      <c r="V662" s="61" t="str">
        <f>F661</f>
        <v>kWh Annual Savings (per sqft)</v>
      </c>
      <c r="W662" s="71">
        <v>0.66500000000000004</v>
      </c>
      <c r="X662" s="71">
        <v>0.66500000000000004</v>
      </c>
      <c r="Y662" s="71">
        <v>0.66500000000000004</v>
      </c>
      <c r="Z662" s="64"/>
      <c r="AA662" s="64"/>
      <c r="AB662" s="64"/>
      <c r="AC662" s="64"/>
      <c r="AD662" s="64"/>
      <c r="AE662" s="64"/>
      <c r="AF662" s="64"/>
      <c r="AG662" s="64"/>
      <c r="AH662" s="65"/>
      <c r="AI662" s="61" t="s">
        <v>24</v>
      </c>
      <c r="AJ662" s="66">
        <v>10</v>
      </c>
      <c r="AK662" s="66">
        <v>10</v>
      </c>
      <c r="AL662" s="66">
        <v>10</v>
      </c>
      <c r="AM662" s="64"/>
      <c r="AN662" s="64"/>
      <c r="AO662" s="64"/>
      <c r="AP662" s="64"/>
      <c r="AQ662" s="64"/>
      <c r="AR662" s="64"/>
      <c r="AS662" s="64"/>
      <c r="AT662" s="29"/>
      <c r="AU662" s="61" t="s">
        <v>25</v>
      </c>
      <c r="AV662" s="67" t="s">
        <v>509</v>
      </c>
      <c r="AW662" s="67" t="s">
        <v>509</v>
      </c>
      <c r="AX662" s="67" t="s">
        <v>509</v>
      </c>
      <c r="AY662" s="64"/>
      <c r="AZ662" s="64"/>
      <c r="BA662" s="64"/>
      <c r="BB662" s="64"/>
      <c r="BC662" s="64"/>
      <c r="BD662" s="64"/>
      <c r="BE662" s="64"/>
      <c r="DB662" s="2383" t="e">
        <f t="shared" ref="DB662:DB664" si="120">(DD662)/(DE662)</f>
        <v>#VALUE!</v>
      </c>
      <c r="DC662" s="69" t="str">
        <f>CONCATENATE(G662," ",J662," Year EUL")</f>
        <v>Cooling BUS 10 Year EUL</v>
      </c>
      <c r="DD662" s="105">
        <f>(INDEX('Avoided Cost Benefits'!$C$4:$C$857,MATCH(DC662,'Avoided Cost Benefits'!$A$4:$A$857,0)))*F662</f>
        <v>0.64473631483919813</v>
      </c>
      <c r="DE662" s="70" t="e">
        <f>K662/(1.0595^(2020-2019))</f>
        <v>#VALUE!</v>
      </c>
    </row>
    <row r="663" spans="2:109" x14ac:dyDescent="0.25">
      <c r="C663" s="1763" t="s">
        <v>511</v>
      </c>
      <c r="D663" s="1815" t="s">
        <v>34</v>
      </c>
      <c r="E663" s="1754" t="s">
        <v>512</v>
      </c>
      <c r="F663" s="210">
        <f>ROUND((F675/1000)*G675+(F675/1000)*H675,2)</f>
        <v>1.9</v>
      </c>
      <c r="G663" s="1730" t="s">
        <v>263</v>
      </c>
      <c r="H663" s="1731">
        <f>VLOOKUP(G663,'CP FACTORS'!$A$26:$B$38,2,FALSE)</f>
        <v>9.1068400000000004E-4</v>
      </c>
      <c r="I663" s="1755">
        <f t="shared" si="119"/>
        <v>1.73E-3</v>
      </c>
      <c r="J663" s="1805">
        <v>10</v>
      </c>
      <c r="K663" s="1756" t="s">
        <v>509</v>
      </c>
      <c r="L663" s="1827" t="s">
        <v>510</v>
      </c>
      <c r="V663" s="61" t="str">
        <f>V662</f>
        <v>kWh Annual Savings (per sqft)</v>
      </c>
      <c r="W663" s="71">
        <v>1.895</v>
      </c>
      <c r="X663" s="71">
        <v>1.895</v>
      </c>
      <c r="Y663" s="71">
        <v>1.895</v>
      </c>
      <c r="Z663" s="64"/>
      <c r="AA663" s="64"/>
      <c r="AB663" s="64"/>
      <c r="AC663" s="64"/>
      <c r="AD663" s="64"/>
      <c r="AE663" s="64"/>
      <c r="AF663" s="64"/>
      <c r="AG663" s="64"/>
      <c r="AH663" s="65"/>
      <c r="AI663" s="61" t="s">
        <v>24</v>
      </c>
      <c r="AJ663" s="66">
        <v>10</v>
      </c>
      <c r="AK663" s="66">
        <v>10</v>
      </c>
      <c r="AL663" s="66">
        <v>10</v>
      </c>
      <c r="AM663" s="64"/>
      <c r="AN663" s="64"/>
      <c r="AO663" s="64"/>
      <c r="AP663" s="64"/>
      <c r="AQ663" s="64"/>
      <c r="AR663" s="64"/>
      <c r="AS663" s="64"/>
      <c r="AT663" s="29"/>
      <c r="AU663" s="61" t="s">
        <v>25</v>
      </c>
      <c r="AV663" s="67" t="s">
        <v>509</v>
      </c>
      <c r="AW663" s="67" t="s">
        <v>509</v>
      </c>
      <c r="AX663" s="67" t="s">
        <v>509</v>
      </c>
      <c r="AY663" s="64"/>
      <c r="AZ663" s="64"/>
      <c r="BA663" s="64"/>
      <c r="BB663" s="64"/>
      <c r="BC663" s="64"/>
      <c r="BD663" s="64"/>
      <c r="BE663" s="64"/>
      <c r="DB663" s="2384" t="e">
        <f t="shared" si="120"/>
        <v>#VALUE!</v>
      </c>
      <c r="DC663" s="73" t="str">
        <f>CONCATENATE(G663," ",J663," Year EUL")</f>
        <v>Cooling BUS 10 Year EUL</v>
      </c>
      <c r="DD663" s="106">
        <f>(INDEX('Avoided Cost Benefits'!$C$4:$C$857,MATCH(DC663,'Avoided Cost Benefits'!$A$4:$A$857,0)))*F663</f>
        <v>1.8283567137230989</v>
      </c>
      <c r="DE663" s="74" t="e">
        <f>K663/(1.0595^(2020-2019))</f>
        <v>#VALUE!</v>
      </c>
    </row>
    <row r="664" spans="2:109" x14ac:dyDescent="0.25">
      <c r="C664" s="1763" t="s">
        <v>513</v>
      </c>
      <c r="D664" s="1815" t="s">
        <v>34</v>
      </c>
      <c r="E664" s="1754" t="s">
        <v>514</v>
      </c>
      <c r="F664" s="210">
        <f>ROUND((F676/1000)*G676+(F676/1000)*H676,2)</f>
        <v>1.08</v>
      </c>
      <c r="G664" s="1730" t="s">
        <v>263</v>
      </c>
      <c r="H664" s="1731">
        <f>VLOOKUP(G664,'CP FACTORS'!$A$26:$B$38,2,FALSE)</f>
        <v>9.1068400000000004E-4</v>
      </c>
      <c r="I664" s="1755">
        <f t="shared" si="119"/>
        <v>9.8400000000000007E-4</v>
      </c>
      <c r="J664" s="1805">
        <v>10</v>
      </c>
      <c r="K664" s="1756" t="s">
        <v>509</v>
      </c>
      <c r="L664" s="1827" t="s">
        <v>510</v>
      </c>
      <c r="V664" s="61" t="str">
        <f>V663</f>
        <v>kWh Annual Savings (per sqft)</v>
      </c>
      <c r="W664" s="71">
        <v>1.0750000000000002</v>
      </c>
      <c r="X664" s="71">
        <v>1.0750000000000002</v>
      </c>
      <c r="Y664" s="71">
        <v>1.0750000000000002</v>
      </c>
      <c r="Z664" s="64"/>
      <c r="AA664" s="64"/>
      <c r="AB664" s="64"/>
      <c r="AC664" s="64"/>
      <c r="AD664" s="64"/>
      <c r="AE664" s="64"/>
      <c r="AF664" s="64"/>
      <c r="AG664" s="64"/>
      <c r="AH664" s="65"/>
      <c r="AI664" s="61" t="s">
        <v>24</v>
      </c>
      <c r="AJ664" s="66">
        <v>10</v>
      </c>
      <c r="AK664" s="66">
        <v>10</v>
      </c>
      <c r="AL664" s="66">
        <v>10</v>
      </c>
      <c r="AM664" s="64"/>
      <c r="AN664" s="64"/>
      <c r="AO664" s="64"/>
      <c r="AP664" s="64"/>
      <c r="AQ664" s="64"/>
      <c r="AR664" s="64"/>
      <c r="AS664" s="64"/>
      <c r="AT664" s="29"/>
      <c r="AU664" s="61" t="s">
        <v>25</v>
      </c>
      <c r="AV664" s="67" t="s">
        <v>509</v>
      </c>
      <c r="AW664" s="67" t="s">
        <v>509</v>
      </c>
      <c r="AX664" s="67" t="s">
        <v>509</v>
      </c>
      <c r="AY664" s="64"/>
      <c r="AZ664" s="64"/>
      <c r="BA664" s="64"/>
      <c r="BB664" s="64"/>
      <c r="BC664" s="64"/>
      <c r="BD664" s="64"/>
      <c r="BE664" s="64"/>
      <c r="DB664" s="2382" t="e">
        <f t="shared" si="120"/>
        <v>#VALUE!</v>
      </c>
      <c r="DC664" s="73" t="str">
        <f>CONCATENATE(G664," ",J664," Year EUL")</f>
        <v>Cooling BUS 10 Year EUL</v>
      </c>
      <c r="DD664" s="107">
        <f>(INDEX('Avoided Cost Benefits'!$C$4:$C$857,MATCH(DC664,'Avoided Cost Benefits'!$A$4:$A$857,0)))*F664</f>
        <v>1.0392764478004985</v>
      </c>
      <c r="DE664" s="76" t="e">
        <f>K664/(1.0595^(2020-2019))</f>
        <v>#VALUE!</v>
      </c>
    </row>
    <row r="665" spans="2:109" hidden="1" outlineLevel="1" x14ac:dyDescent="0.25">
      <c r="E665" s="1719"/>
      <c r="F665" s="1719"/>
      <c r="G665" s="1719"/>
      <c r="H665" s="1741"/>
      <c r="I665" s="1719"/>
      <c r="J665" s="1719"/>
      <c r="K665" s="1719"/>
    </row>
    <row r="666" spans="2:109" hidden="1" outlineLevel="1" x14ac:dyDescent="0.25">
      <c r="D666" s="1719" t="s">
        <v>76</v>
      </c>
      <c r="E666" s="1719"/>
      <c r="F666" s="1719"/>
      <c r="G666" s="1719"/>
      <c r="H666" s="1741"/>
      <c r="I666" s="1719"/>
      <c r="J666" s="1719"/>
      <c r="K666" s="1719"/>
    </row>
    <row r="667" spans="2:109" hidden="1" outlineLevel="1" x14ac:dyDescent="0.25">
      <c r="D667" s="1872"/>
      <c r="G667" s="1771"/>
      <c r="H667" s="1772"/>
    </row>
    <row r="668" spans="2:109" hidden="1" outlineLevel="1" x14ac:dyDescent="0.25">
      <c r="D668" s="1872"/>
      <c r="E668" s="1157"/>
      <c r="G668" s="1771"/>
      <c r="H668" s="1772"/>
    </row>
    <row r="669" spans="2:109" hidden="1" outlineLevel="1" x14ac:dyDescent="0.25">
      <c r="D669" s="1872"/>
      <c r="E669" s="1157"/>
      <c r="G669" s="1716"/>
      <c r="H669" s="1743"/>
      <c r="M669" s="1719"/>
    </row>
    <row r="670" spans="2:109" hidden="1" outlineLevel="1" x14ac:dyDescent="0.25">
      <c r="D670" s="1872"/>
      <c r="G670" s="1716"/>
      <c r="H670" s="1743"/>
      <c r="M670" s="1719"/>
    </row>
    <row r="671" spans="2:109" hidden="1" outlineLevel="1" x14ac:dyDescent="0.25">
      <c r="D671" s="1742"/>
      <c r="G671" s="1716"/>
      <c r="H671" s="1743"/>
      <c r="M671" s="1719"/>
    </row>
    <row r="672" spans="2:109" hidden="1" outlineLevel="1" x14ac:dyDescent="0.25">
      <c r="D672" s="1742"/>
      <c r="G672" s="1716"/>
      <c r="H672" s="1743"/>
    </row>
    <row r="673" spans="2:109" s="78" customFormat="1" ht="30" hidden="1" outlineLevel="1" x14ac:dyDescent="0.2">
      <c r="C673" s="553"/>
      <c r="D673" s="1638" t="s">
        <v>17</v>
      </c>
      <c r="E673" s="1638" t="s">
        <v>136</v>
      </c>
      <c r="F673" s="125" t="s">
        <v>515</v>
      </c>
      <c r="G673" s="1638" t="s">
        <v>516</v>
      </c>
      <c r="H673" s="1638" t="s">
        <v>517</v>
      </c>
      <c r="I673" s="553"/>
      <c r="J673" s="553"/>
      <c r="K673" s="553"/>
      <c r="L673" s="553"/>
      <c r="M673" s="553"/>
      <c r="N673" s="553"/>
      <c r="O673" s="553"/>
      <c r="P673" s="553"/>
      <c r="Q673" s="553"/>
      <c r="R673" s="553"/>
      <c r="S673" s="553"/>
      <c r="T673" s="553"/>
      <c r="U673" s="553"/>
      <c r="DB673" s="108"/>
    </row>
    <row r="674" spans="2:109" hidden="1" outlineLevel="1" x14ac:dyDescent="0.25">
      <c r="D674" s="1747" t="str">
        <f>C662</f>
        <v>805650_2019_12_</v>
      </c>
      <c r="E674" s="1747" t="str">
        <f>E662</f>
        <v>Demand Controlled Ventillation (Gas Heat)</v>
      </c>
      <c r="F674" s="1808">
        <v>1</v>
      </c>
      <c r="G674" s="130">
        <v>665</v>
      </c>
      <c r="H674" s="1847">
        <v>0</v>
      </c>
    </row>
    <row r="675" spans="2:109" hidden="1" outlineLevel="1" x14ac:dyDescent="0.25">
      <c r="D675" s="1747" t="str">
        <f t="shared" ref="D675:D676" si="121">C663</f>
        <v>805700_2019_12_</v>
      </c>
      <c r="E675" s="1747" t="str">
        <f>E663</f>
        <v>Demand Controlled Ventillation (Electric Heat)</v>
      </c>
      <c r="F675" s="1808">
        <v>1</v>
      </c>
      <c r="G675" s="130">
        <v>665</v>
      </c>
      <c r="H675" s="1847">
        <v>1230</v>
      </c>
    </row>
    <row r="676" spans="2:109" hidden="1" outlineLevel="1" x14ac:dyDescent="0.25">
      <c r="D676" s="1747" t="str">
        <f t="shared" si="121"/>
        <v>805750_2019_12_</v>
      </c>
      <c r="E676" s="1747" t="str">
        <f>E664</f>
        <v>Demand Controlled Ventillation (Heat Pump)</v>
      </c>
      <c r="F676" s="1808">
        <v>1</v>
      </c>
      <c r="G676" s="130">
        <v>665</v>
      </c>
      <c r="H676" s="1847">
        <v>410</v>
      </c>
    </row>
    <row r="677" spans="2:109" collapsed="1" x14ac:dyDescent="0.25"/>
    <row r="679" spans="2:109" s="46" customFormat="1" x14ac:dyDescent="0.25">
      <c r="B679" s="2612" t="s">
        <v>518</v>
      </c>
      <c r="C679" s="2613"/>
      <c r="D679" s="2613"/>
      <c r="E679" s="2613"/>
      <c r="F679" s="2613"/>
      <c r="G679" s="2613"/>
      <c r="H679" s="2613"/>
      <c r="I679" s="2614"/>
      <c r="J679" s="2614"/>
      <c r="K679" s="2614"/>
      <c r="L679" s="2614"/>
      <c r="M679" s="2615"/>
      <c r="N679" s="2615"/>
      <c r="O679" s="2616"/>
      <c r="V679" s="47" t="str">
        <f>B679</f>
        <v>Advanced RTU Controls</v>
      </c>
      <c r="W679" s="48"/>
      <c r="X679" s="48"/>
      <c r="Y679" s="48"/>
      <c r="Z679" s="48"/>
      <c r="AA679" s="48"/>
      <c r="AB679" s="48"/>
      <c r="AC679" s="48"/>
      <c r="AD679" s="48"/>
      <c r="AE679" s="48"/>
      <c r="AF679" s="48"/>
      <c r="AG679" s="48"/>
      <c r="AH679" s="48"/>
      <c r="AI679" s="49"/>
      <c r="AJ679" s="26"/>
      <c r="AK679" s="26"/>
      <c r="AL679" s="26"/>
      <c r="AM679" s="26"/>
      <c r="AN679" s="26"/>
      <c r="AO679" s="26"/>
      <c r="AP679" s="26"/>
      <c r="AQ679" s="26"/>
      <c r="AR679" s="26"/>
      <c r="AS679" s="26"/>
      <c r="AT679" s="26"/>
      <c r="AU679" s="26"/>
      <c r="DB679" s="109"/>
    </row>
    <row r="680" spans="2:109" x14ac:dyDescent="0.25">
      <c r="D680" s="1724"/>
      <c r="E680" s="1719"/>
      <c r="F680" s="1719"/>
      <c r="G680" s="1719"/>
      <c r="H680" s="1725"/>
      <c r="I680" s="1719"/>
      <c r="J680" s="1719"/>
      <c r="K680" s="1719"/>
      <c r="L680" s="1719"/>
      <c r="P680" s="1719"/>
      <c r="Q680" s="1719"/>
      <c r="R680" s="1719"/>
      <c r="S680" s="1719"/>
      <c r="T680" s="1719"/>
      <c r="U680" s="1719"/>
      <c r="V680"/>
      <c r="W680"/>
      <c r="X680"/>
      <c r="Y680"/>
      <c r="Z680"/>
      <c r="AA680"/>
      <c r="AB680"/>
      <c r="AC680"/>
      <c r="AD680"/>
      <c r="AE680"/>
      <c r="AF680"/>
      <c r="AG680"/>
      <c r="AH680"/>
      <c r="AI680"/>
      <c r="AJ680" s="44"/>
      <c r="AK680" s="44"/>
      <c r="AL680" s="44"/>
      <c r="AM680" s="44"/>
      <c r="AN680" s="44"/>
      <c r="AO680" s="44"/>
      <c r="AP680" s="44"/>
      <c r="AQ680" s="44"/>
      <c r="AR680" s="44"/>
      <c r="AS680" s="44"/>
      <c r="AT680" s="44"/>
      <c r="AU680" s="44"/>
    </row>
    <row r="681" spans="2:109" s="50" customFormat="1" ht="30" x14ac:dyDescent="0.25">
      <c r="B681" s="51"/>
      <c r="C681" s="52" t="s">
        <v>17</v>
      </c>
      <c r="D681" s="52" t="s">
        <v>18</v>
      </c>
      <c r="E681" s="1678" t="s">
        <v>19</v>
      </c>
      <c r="F681" s="1678" t="s">
        <v>214</v>
      </c>
      <c r="G681" s="1678" t="s">
        <v>21</v>
      </c>
      <c r="H681" s="53" t="s">
        <v>22</v>
      </c>
      <c r="I681" s="1678" t="s">
        <v>23</v>
      </c>
      <c r="J681" s="1678" t="s">
        <v>24</v>
      </c>
      <c r="K681" s="52" t="s">
        <v>202</v>
      </c>
      <c r="L681" s="52" t="s">
        <v>26</v>
      </c>
      <c r="M681" s="1716"/>
      <c r="N681" s="1716"/>
      <c r="O681" s="1716"/>
      <c r="P681" s="1726"/>
      <c r="Q681" s="1726"/>
      <c r="R681" s="1726"/>
      <c r="S681" s="1726"/>
      <c r="T681" s="1726"/>
      <c r="U681" s="1726"/>
      <c r="V681" s="55" t="s">
        <v>27</v>
      </c>
      <c r="W681" s="56">
        <f>$W$8</f>
        <v>43252</v>
      </c>
      <c r="X681" s="56">
        <f>$X$8</f>
        <v>43465</v>
      </c>
      <c r="Y681" s="56">
        <f>$Y$8</f>
        <v>43800</v>
      </c>
      <c r="Z681" s="56" t="str">
        <f>$Z$8</f>
        <v>-</v>
      </c>
      <c r="AA681" s="56" t="str">
        <f>$AA$8</f>
        <v>-</v>
      </c>
      <c r="AB681" s="56" t="str">
        <f>$AB$8</f>
        <v>-</v>
      </c>
      <c r="AC681" s="56" t="str">
        <f>$AC$8</f>
        <v>-</v>
      </c>
      <c r="AD681" s="56" t="str">
        <f>$AD$8</f>
        <v>-</v>
      </c>
      <c r="AE681" s="56" t="str">
        <f>$AE$8</f>
        <v>-</v>
      </c>
      <c r="AF681" s="56" t="str">
        <f>$AF$8</f>
        <v>-</v>
      </c>
      <c r="AG681" s="56" t="str">
        <f>$AG$8</f>
        <v>-</v>
      </c>
      <c r="AH681"/>
      <c r="AI681" s="55" t="s">
        <v>27</v>
      </c>
      <c r="AJ681" s="56">
        <v>43252</v>
      </c>
      <c r="AK681" s="56">
        <f>$X$8</f>
        <v>43465</v>
      </c>
      <c r="AL681" s="56">
        <f>$Y$8</f>
        <v>43800</v>
      </c>
      <c r="AM681" s="56" t="str">
        <f>$Z$8</f>
        <v>-</v>
      </c>
      <c r="AN681" s="56" t="str">
        <f>$AA$8</f>
        <v>-</v>
      </c>
      <c r="AO681" s="56" t="str">
        <f>$AB$8</f>
        <v>-</v>
      </c>
      <c r="AP681" s="56" t="str">
        <f>$AC$8</f>
        <v>-</v>
      </c>
      <c r="AQ681" s="56" t="str">
        <f>$AD$8</f>
        <v>-</v>
      </c>
      <c r="AR681" s="56" t="str">
        <f>$AE$8</f>
        <v>-</v>
      </c>
      <c r="AS681" s="56" t="str">
        <f>$AF$8</f>
        <v>-</v>
      </c>
      <c r="AT681" s="29"/>
      <c r="AU681" s="55" t="s">
        <v>27</v>
      </c>
      <c r="AV681" s="56">
        <v>43252</v>
      </c>
      <c r="AW681" s="56">
        <f>$X$8</f>
        <v>43465</v>
      </c>
      <c r="AX681" s="56">
        <f>$Y$8</f>
        <v>43800</v>
      </c>
      <c r="AY681" s="56" t="str">
        <f>$Z$8</f>
        <v>-</v>
      </c>
      <c r="AZ681" s="56" t="str">
        <f>$AA$8</f>
        <v>-</v>
      </c>
      <c r="BA681" s="56" t="str">
        <f>$AB$8</f>
        <v>-</v>
      </c>
      <c r="BB681" s="56" t="str">
        <f>$AC$8</f>
        <v>-</v>
      </c>
      <c r="BC681" s="56" t="str">
        <f>$AD$8</f>
        <v>-</v>
      </c>
      <c r="BD681" s="56" t="str">
        <f>$AE$8</f>
        <v>-</v>
      </c>
      <c r="BE681" s="56" t="str">
        <f>$AF$8</f>
        <v>-</v>
      </c>
      <c r="DB681" s="57" t="str">
        <f>$DB$8</f>
        <v>TRC (2020)</v>
      </c>
      <c r="DC681" s="103" t="str">
        <f>$DC$8</f>
        <v>Benefit Lookup</v>
      </c>
      <c r="DD681" s="103" t="str">
        <f>$DD$8</f>
        <v>Benefits (2019 $)</v>
      </c>
      <c r="DE681" s="103" t="str">
        <f>$DE$8</f>
        <v>Incremental Cost (2019 $)</v>
      </c>
    </row>
    <row r="682" spans="2:109" x14ac:dyDescent="0.25">
      <c r="C682" s="1727" t="s">
        <v>519</v>
      </c>
      <c r="D682" s="1815" t="s">
        <v>34</v>
      </c>
      <c r="E682" s="1754" t="s">
        <v>518</v>
      </c>
      <c r="F682" s="210">
        <f>ROUND(F692*G692*H692,2)</f>
        <v>3779.33</v>
      </c>
      <c r="G682" s="1730" t="s">
        <v>279</v>
      </c>
      <c r="H682" s="1731">
        <f>VLOOKUP(G682,'CP FACTORS'!$A$26:$B$38,2,FALSE)</f>
        <v>4.4398300000000001E-4</v>
      </c>
      <c r="I682" s="1755">
        <f t="shared" ref="I682" si="122">ROUND(H682*F682,6)</f>
        <v>1.6779580000000001</v>
      </c>
      <c r="J682" s="452">
        <v>15</v>
      </c>
      <c r="K682" s="1780">
        <v>4038</v>
      </c>
      <c r="L682" s="1827" t="s">
        <v>37</v>
      </c>
      <c r="V682" s="61" t="str">
        <f>F681</f>
        <v>kWh Annual Savings (per HP)</v>
      </c>
      <c r="W682" s="71">
        <v>3779.3340000000003</v>
      </c>
      <c r="X682" s="71">
        <v>3779.3340000000003</v>
      </c>
      <c r="Y682" s="71">
        <v>3779.3340000000003</v>
      </c>
      <c r="Z682" s="64"/>
      <c r="AA682" s="64"/>
      <c r="AB682" s="64"/>
      <c r="AC682" s="64"/>
      <c r="AD682" s="64"/>
      <c r="AE682" s="64"/>
      <c r="AF682" s="64"/>
      <c r="AG682" s="64"/>
      <c r="AH682" s="65"/>
      <c r="AI682" s="61" t="s">
        <v>24</v>
      </c>
      <c r="AJ682" s="66">
        <v>15</v>
      </c>
      <c r="AK682" s="66">
        <v>15</v>
      </c>
      <c r="AL682" s="66">
        <v>15</v>
      </c>
      <c r="AM682" s="64"/>
      <c r="AN682" s="64"/>
      <c r="AO682" s="64"/>
      <c r="AP682" s="64"/>
      <c r="AQ682" s="64"/>
      <c r="AR682" s="64"/>
      <c r="AS682" s="64"/>
      <c r="AT682" s="29"/>
      <c r="AU682" s="61" t="s">
        <v>25</v>
      </c>
      <c r="AV682" s="67">
        <v>4038</v>
      </c>
      <c r="AW682" s="67">
        <v>4038</v>
      </c>
      <c r="AX682" s="67">
        <v>4038</v>
      </c>
      <c r="AY682" s="64"/>
      <c r="AZ682" s="64"/>
      <c r="BA682" s="64"/>
      <c r="BB682" s="64"/>
      <c r="BC682" s="64"/>
      <c r="BD682" s="64"/>
      <c r="BE682" s="64"/>
      <c r="DB682" s="120">
        <f t="shared" ref="DB682" si="123">(DD682)/(DE682)</f>
        <v>0.89697006475682783</v>
      </c>
      <c r="DC682" s="69" t="str">
        <f>CONCATENATE(G682," ",J682," Year EUL")</f>
        <v>HVAC BUS 15 Year EUL</v>
      </c>
      <c r="DD682" s="121">
        <f>(INDEX('Avoided Cost Benefits'!$C$4:$C$857,MATCH(DC682,'Avoided Cost Benefits'!$A$4:$A$857,0)))*F682</f>
        <v>3418.5607564776501</v>
      </c>
      <c r="DE682" s="122">
        <f>K682/(1.0595^(2020-2019))</f>
        <v>3811.2317130722035</v>
      </c>
    </row>
    <row r="683" spans="2:109" hidden="1" outlineLevel="1" x14ac:dyDescent="0.25">
      <c r="E683" s="1719"/>
      <c r="F683" s="1719"/>
      <c r="G683" s="1719"/>
      <c r="H683" s="1741"/>
      <c r="I683" s="1719"/>
      <c r="J683" s="1719"/>
      <c r="K683" s="1719"/>
      <c r="V683" s="61" t="str">
        <f>V682</f>
        <v>kWh Annual Savings (per HP)</v>
      </c>
      <c r="W683" s="71">
        <v>3779.3340000000003</v>
      </c>
      <c r="X683" s="71">
        <v>3779.3340000000003</v>
      </c>
      <c r="Y683" s="71">
        <v>3779.3340000000003</v>
      </c>
      <c r="Z683" s="64"/>
      <c r="AA683" s="64"/>
      <c r="AB683" s="64"/>
      <c r="AC683" s="64"/>
      <c r="AD683" s="64"/>
      <c r="AE683" s="64"/>
      <c r="AF683" s="64"/>
      <c r="AG683" s="64"/>
      <c r="AH683" s="65"/>
      <c r="AI683" s="61" t="s">
        <v>24</v>
      </c>
      <c r="AJ683" s="66">
        <v>15</v>
      </c>
      <c r="AK683" s="66">
        <v>15</v>
      </c>
      <c r="AL683" s="66">
        <v>15</v>
      </c>
      <c r="AM683" s="64"/>
      <c r="AN683" s="64"/>
      <c r="AO683" s="64"/>
      <c r="AP683" s="64"/>
      <c r="AQ683" s="64"/>
      <c r="AR683" s="64"/>
      <c r="AS683" s="64"/>
      <c r="AT683" s="29"/>
      <c r="AU683" s="61" t="s">
        <v>25</v>
      </c>
      <c r="AV683" s="67">
        <v>4038</v>
      </c>
      <c r="AW683" s="67">
        <v>4038</v>
      </c>
      <c r="AX683" s="67">
        <v>4038</v>
      </c>
      <c r="AY683" s="64"/>
      <c r="AZ683" s="64"/>
      <c r="BA683" s="64"/>
      <c r="BB683" s="64"/>
      <c r="BC683" s="64"/>
      <c r="BD683" s="64"/>
      <c r="BE683" s="64"/>
    </row>
    <row r="684" spans="2:109" hidden="1" outlineLevel="1" x14ac:dyDescent="0.25">
      <c r="D684" s="1719" t="s">
        <v>76</v>
      </c>
      <c r="E684" s="233"/>
      <c r="F684" s="1719"/>
      <c r="G684" s="1719"/>
      <c r="H684" s="1741"/>
      <c r="I684" s="1719"/>
      <c r="J684" s="1719"/>
      <c r="K684" s="233"/>
    </row>
    <row r="685" spans="2:109" ht="18" hidden="1" customHeight="1" outlineLevel="1" x14ac:dyDescent="0.25">
      <c r="D685" s="1742"/>
      <c r="E685" s="233"/>
      <c r="F685" s="233"/>
      <c r="G685" s="1771"/>
      <c r="H685" s="1772"/>
    </row>
    <row r="686" spans="2:109" hidden="1" outlineLevel="1" x14ac:dyDescent="0.25">
      <c r="D686" s="1742"/>
      <c r="G686" s="1771"/>
      <c r="H686" s="1772"/>
      <c r="P686" s="2630"/>
      <c r="Q686" s="2630"/>
    </row>
    <row r="687" spans="2:109" hidden="1" outlineLevel="1" x14ac:dyDescent="0.25">
      <c r="D687" s="1742"/>
      <c r="G687" s="1716"/>
      <c r="H687" s="1743"/>
      <c r="M687" s="1719"/>
      <c r="P687" s="2630"/>
      <c r="Q687" s="2630"/>
    </row>
    <row r="688" spans="2:109" hidden="1" outlineLevel="1" x14ac:dyDescent="0.25">
      <c r="D688" s="1742"/>
      <c r="G688" s="1716"/>
      <c r="H688" s="1743"/>
      <c r="M688" s="1719"/>
      <c r="P688" s="2630"/>
      <c r="Q688" s="2630"/>
    </row>
    <row r="689" spans="2:109" hidden="1" outlineLevel="1" x14ac:dyDescent="0.25">
      <c r="D689" s="1742"/>
      <c r="G689" s="1716"/>
      <c r="H689" s="1743"/>
      <c r="M689" s="1719"/>
    </row>
    <row r="690" spans="2:109" hidden="1" outlineLevel="1" x14ac:dyDescent="0.25">
      <c r="D690" s="1742"/>
      <c r="G690" s="1716"/>
      <c r="H690" s="1743"/>
    </row>
    <row r="691" spans="2:109" s="78" customFormat="1" ht="30" hidden="1" outlineLevel="1" x14ac:dyDescent="0.2">
      <c r="C691" s="553"/>
      <c r="D691" s="1638" t="s">
        <v>17</v>
      </c>
      <c r="E691" s="1638" t="s">
        <v>136</v>
      </c>
      <c r="F691" s="123" t="s">
        <v>520</v>
      </c>
      <c r="G691" s="1638" t="s">
        <v>521</v>
      </c>
      <c r="H691" s="1638" t="s">
        <v>522</v>
      </c>
      <c r="I691" s="553"/>
      <c r="J691" s="553"/>
      <c r="K691" s="553"/>
      <c r="L691" s="553"/>
      <c r="M691" s="553"/>
      <c r="N691" s="553"/>
      <c r="O691" s="553"/>
      <c r="P691" s="553"/>
      <c r="Q691" s="553"/>
      <c r="R691" s="553"/>
      <c r="S691" s="553"/>
      <c r="T691" s="553"/>
      <c r="U691" s="553"/>
      <c r="DB691" s="108"/>
    </row>
    <row r="692" spans="2:109" hidden="1" outlineLevel="1" x14ac:dyDescent="0.25">
      <c r="D692" s="1747" t="str">
        <f>C682</f>
        <v>805800_2019_12_</v>
      </c>
      <c r="E692" s="1747" t="str">
        <f>E682</f>
        <v>Advanced RTU Controls</v>
      </c>
      <c r="F692" s="1808">
        <v>1</v>
      </c>
      <c r="G692" s="1873">
        <v>0.55800000000000005</v>
      </c>
      <c r="H692" s="134">
        <v>6773</v>
      </c>
    </row>
    <row r="693" spans="2:109" collapsed="1" x14ac:dyDescent="0.25"/>
    <row r="695" spans="2:109" s="46" customFormat="1" x14ac:dyDescent="0.25">
      <c r="B695" s="2612" t="s">
        <v>523</v>
      </c>
      <c r="C695" s="2613"/>
      <c r="D695" s="2613"/>
      <c r="E695" s="2613"/>
      <c r="F695" s="2613"/>
      <c r="G695" s="2613"/>
      <c r="H695" s="2613"/>
      <c r="I695" s="2614"/>
      <c r="J695" s="2614"/>
      <c r="K695" s="2614"/>
      <c r="L695" s="2614"/>
      <c r="M695" s="2615"/>
      <c r="N695" s="2615"/>
      <c r="O695" s="2616"/>
      <c r="V695" s="47" t="str">
        <f>B695</f>
        <v>PTAC &amp; PTHP</v>
      </c>
      <c r="W695" s="48"/>
      <c r="X695" s="48"/>
      <c r="Y695" s="48"/>
      <c r="Z695" s="48"/>
      <c r="AA695" s="48"/>
      <c r="AB695" s="48"/>
      <c r="AC695" s="48"/>
      <c r="AD695" s="48"/>
      <c r="AE695" s="48"/>
      <c r="AF695" s="48"/>
      <c r="AG695" s="48"/>
      <c r="AH695" s="48"/>
      <c r="AI695" s="49"/>
      <c r="AJ695" s="26"/>
      <c r="AK695" s="26"/>
      <c r="AL695" s="26"/>
      <c r="AM695" s="26"/>
      <c r="AN695" s="26"/>
      <c r="AO695" s="26"/>
      <c r="AP695" s="26"/>
      <c r="AQ695" s="26"/>
      <c r="AR695" s="26"/>
      <c r="AS695" s="26"/>
      <c r="AT695" s="26"/>
      <c r="AU695" s="26"/>
      <c r="DB695" s="109"/>
    </row>
    <row r="696" spans="2:109" x14ac:dyDescent="0.25">
      <c r="D696" s="1724"/>
      <c r="E696" s="1719"/>
      <c r="F696" s="1719"/>
      <c r="G696" s="1719"/>
      <c r="H696" s="1725"/>
      <c r="I696" s="1719"/>
      <c r="J696" s="1719"/>
      <c r="K696" s="1719"/>
      <c r="L696" s="1719"/>
      <c r="P696" s="1719"/>
      <c r="Q696" s="1719"/>
      <c r="R696" s="1719"/>
      <c r="S696" s="1719"/>
      <c r="T696" s="1719"/>
      <c r="U696" s="1719"/>
      <c r="V696"/>
      <c r="W696"/>
      <c r="X696"/>
      <c r="Y696"/>
      <c r="Z696"/>
      <c r="AA696"/>
      <c r="AB696"/>
      <c r="AC696"/>
      <c r="AD696"/>
      <c r="AE696"/>
      <c r="AF696"/>
      <c r="AG696"/>
      <c r="AH696"/>
      <c r="AI696"/>
      <c r="AJ696" s="44"/>
      <c r="AK696" s="44"/>
      <c r="AL696" s="44"/>
      <c r="AM696" s="44"/>
      <c r="AN696" s="44"/>
      <c r="AO696" s="44"/>
      <c r="AP696" s="44"/>
      <c r="AQ696" s="44"/>
      <c r="AR696" s="44"/>
      <c r="AS696" s="44"/>
      <c r="AT696" s="44"/>
      <c r="AU696" s="44"/>
    </row>
    <row r="697" spans="2:109" s="50" customFormat="1" ht="45" x14ac:dyDescent="0.25">
      <c r="B697" s="51"/>
      <c r="C697" s="52" t="s">
        <v>17</v>
      </c>
      <c r="D697" s="52" t="s">
        <v>18</v>
      </c>
      <c r="E697" s="1678" t="s">
        <v>19</v>
      </c>
      <c r="F697" s="1678" t="s">
        <v>524</v>
      </c>
      <c r="G697" s="1678" t="s">
        <v>525</v>
      </c>
      <c r="H697" s="1678" t="s">
        <v>21</v>
      </c>
      <c r="I697" s="53" t="s">
        <v>22</v>
      </c>
      <c r="J697" s="1678" t="s">
        <v>526</v>
      </c>
      <c r="K697" s="1678" t="s">
        <v>527</v>
      </c>
      <c r="L697" s="1678" t="s">
        <v>24</v>
      </c>
      <c r="M697" s="52" t="s">
        <v>323</v>
      </c>
      <c r="N697" s="52" t="s">
        <v>26</v>
      </c>
      <c r="O697" s="1716"/>
      <c r="P697" s="1716"/>
      <c r="Q697" s="1716"/>
      <c r="R697" s="1726"/>
      <c r="S697" s="1726"/>
      <c r="T697" s="1726"/>
      <c r="U697" s="1726"/>
      <c r="V697" s="55" t="s">
        <v>27</v>
      </c>
      <c r="W697" s="56">
        <f>$W$8</f>
        <v>43252</v>
      </c>
      <c r="X697" s="56">
        <f>$X$8</f>
        <v>43465</v>
      </c>
      <c r="Y697" s="56">
        <f>$Y$8</f>
        <v>43800</v>
      </c>
      <c r="Z697" s="56" t="str">
        <f>$Z$8</f>
        <v>-</v>
      </c>
      <c r="AA697" s="56" t="str">
        <f>$AA$8</f>
        <v>-</v>
      </c>
      <c r="AB697" s="56" t="str">
        <f>$AB$8</f>
        <v>-</v>
      </c>
      <c r="AC697" s="56" t="str">
        <f>$AC$8</f>
        <v>-</v>
      </c>
      <c r="AD697" s="56" t="str">
        <f>$AD$8</f>
        <v>-</v>
      </c>
      <c r="AE697" s="56" t="str">
        <f>$AE$8</f>
        <v>-</v>
      </c>
      <c r="AF697" s="56" t="str">
        <f>$AF$8</f>
        <v>-</v>
      </c>
      <c r="AG697" s="56" t="str">
        <f>$AG$8</f>
        <v>-</v>
      </c>
      <c r="AH697"/>
      <c r="AI697" s="55" t="s">
        <v>27</v>
      </c>
      <c r="AJ697" s="56">
        <v>43252</v>
      </c>
      <c r="AK697" s="56">
        <f>$X$8</f>
        <v>43465</v>
      </c>
      <c r="AL697" s="56">
        <f>$Y$8</f>
        <v>43800</v>
      </c>
      <c r="AM697" s="56" t="str">
        <f>$Z$8</f>
        <v>-</v>
      </c>
      <c r="AN697" s="56" t="str">
        <f>$AA$8</f>
        <v>-</v>
      </c>
      <c r="AO697" s="56" t="str">
        <f>$AB$8</f>
        <v>-</v>
      </c>
      <c r="AP697" s="56" t="str">
        <f>$AC$8</f>
        <v>-</v>
      </c>
      <c r="AQ697" s="56" t="str">
        <f>$AD$8</f>
        <v>-</v>
      </c>
      <c r="AR697" s="56" t="str">
        <f>$AE$8</f>
        <v>-</v>
      </c>
      <c r="AS697" s="56" t="str">
        <f>$AF$8</f>
        <v>-</v>
      </c>
      <c r="AT697"/>
      <c r="AU697" s="55" t="s">
        <v>27</v>
      </c>
      <c r="AV697" s="56">
        <v>43252</v>
      </c>
      <c r="AW697" s="56">
        <f>$X$8</f>
        <v>43465</v>
      </c>
      <c r="AX697" s="56">
        <f>$Y$8</f>
        <v>43800</v>
      </c>
      <c r="AY697" s="56" t="str">
        <f>$Z$8</f>
        <v>-</v>
      </c>
      <c r="AZ697" s="56" t="str">
        <f>$AA$8</f>
        <v>-</v>
      </c>
      <c r="BA697" s="56" t="str">
        <f>$AB$8</f>
        <v>-</v>
      </c>
      <c r="BB697" s="56" t="str">
        <f>$AC$8</f>
        <v>-</v>
      </c>
      <c r="BC697" s="56" t="str">
        <f>$AD$8</f>
        <v>-</v>
      </c>
      <c r="BD697" s="56" t="str">
        <f>$AE$8</f>
        <v>-</v>
      </c>
      <c r="BE697" s="56" t="str">
        <f>$AF$8</f>
        <v>-</v>
      </c>
      <c r="BF697" s="29"/>
      <c r="BG697" s="55" t="s">
        <v>27</v>
      </c>
      <c r="BH697" s="56">
        <v>43252</v>
      </c>
      <c r="BI697" s="56">
        <f>$X$8</f>
        <v>43465</v>
      </c>
      <c r="BJ697" s="56">
        <f>$Y$8</f>
        <v>43800</v>
      </c>
      <c r="BK697" s="56" t="str">
        <f>$Z$8</f>
        <v>-</v>
      </c>
      <c r="BL697" s="56" t="str">
        <f>$AA$8</f>
        <v>-</v>
      </c>
      <c r="BM697" s="56" t="str">
        <f>$AB$8</f>
        <v>-</v>
      </c>
      <c r="BN697" s="56" t="str">
        <f>$AC$8</f>
        <v>-</v>
      </c>
      <c r="BO697" s="56" t="str">
        <f>$AD$8</f>
        <v>-</v>
      </c>
      <c r="BP697" s="56" t="str">
        <f>$AE$8</f>
        <v>-</v>
      </c>
      <c r="BQ697" s="56" t="str">
        <f>$AF$8</f>
        <v>-</v>
      </c>
      <c r="DB697" s="57" t="str">
        <f>$DB$8</f>
        <v>TRC (2020)</v>
      </c>
      <c r="DC697" s="103" t="str">
        <f>$DC$8</f>
        <v>Benefit Lookup</v>
      </c>
      <c r="DD697" s="103" t="str">
        <f>$DD$8</f>
        <v>Benefits (2019 $)</v>
      </c>
      <c r="DE697" s="103" t="str">
        <f>$DE$8</f>
        <v>Incremental Cost (2019 $)</v>
      </c>
    </row>
    <row r="698" spans="2:109" x14ac:dyDescent="0.25">
      <c r="C698" s="1727" t="s">
        <v>528</v>
      </c>
      <c r="D698" s="1815" t="s">
        <v>34</v>
      </c>
      <c r="E698" s="1754" t="s">
        <v>529</v>
      </c>
      <c r="F698" s="210">
        <f>ROUND((F709*(1/I709-1/K709)*G709)+((L709/3.412)*(1/M709-1/O709)*H709),2)</f>
        <v>411.27</v>
      </c>
      <c r="G698" s="93">
        <f>(F709*(1/J709-1/K709)*G709)+((L709/3.412)*(1/N709-1/O709)*H709)</f>
        <v>10.53878231859869</v>
      </c>
      <c r="H698" s="1730" t="s">
        <v>263</v>
      </c>
      <c r="I698" s="1731">
        <v>9.1068395835808389E-4</v>
      </c>
      <c r="J698" s="1874">
        <f>ROUND(I698*(F698-((L709/3.412)*(1/M709-1/O709)*H709)),6)</f>
        <v>0.37453700000000001</v>
      </c>
      <c r="K698" s="1875">
        <f>ROUND(I698*(G698-((L709/3.412)*(1/N709-1/O709)*H709)),6)</f>
        <v>9.5969999999999996E-3</v>
      </c>
      <c r="L698" s="1852">
        <v>15</v>
      </c>
      <c r="M698" s="1756">
        <v>1047</v>
      </c>
      <c r="N698" s="1827" t="s">
        <v>306</v>
      </c>
      <c r="V698" s="61" t="str">
        <f>F697</f>
        <v>kWh Annual Savings (per ton) first 5 years</v>
      </c>
      <c r="W698" s="71">
        <v>411.27272727272731</v>
      </c>
      <c r="X698" s="71">
        <v>411.27272727272731</v>
      </c>
      <c r="Y698" s="71">
        <v>411.27272727272731</v>
      </c>
      <c r="Z698" s="64"/>
      <c r="AA698" s="64"/>
      <c r="AB698" s="64"/>
      <c r="AC698" s="64"/>
      <c r="AD698" s="64"/>
      <c r="AE698" s="64"/>
      <c r="AF698" s="64"/>
      <c r="AG698" s="64"/>
      <c r="AH698" s="65"/>
      <c r="AI698" s="61" t="str">
        <f>G697</f>
        <v>kWh Annual Savings (per ton) next ten years</v>
      </c>
      <c r="AJ698" s="71">
        <v>10.53878231859869</v>
      </c>
      <c r="AK698" s="71">
        <v>10.53878231859869</v>
      </c>
      <c r="AL698" s="71">
        <v>10.53878231859869</v>
      </c>
      <c r="AM698" s="64"/>
      <c r="AN698" s="64"/>
      <c r="AO698" s="64"/>
      <c r="AP698" s="64"/>
      <c r="AQ698" s="64"/>
      <c r="AR698" s="64"/>
      <c r="AS698" s="64"/>
      <c r="AT698" s="65"/>
      <c r="AU698" s="61" t="s">
        <v>24</v>
      </c>
      <c r="AV698" s="135">
        <v>15</v>
      </c>
      <c r="AW698" s="135">
        <v>15</v>
      </c>
      <c r="AX698" s="135">
        <v>15</v>
      </c>
      <c r="AY698" s="64"/>
      <c r="AZ698" s="64"/>
      <c r="BA698" s="64"/>
      <c r="BB698" s="64"/>
      <c r="BC698" s="64"/>
      <c r="BD698" s="64"/>
      <c r="BE698" s="64"/>
      <c r="BF698" s="29"/>
      <c r="BG698" s="61" t="s">
        <v>25</v>
      </c>
      <c r="BH698" s="126">
        <v>1047</v>
      </c>
      <c r="BI698" s="126">
        <v>1047</v>
      </c>
      <c r="BJ698" s="126">
        <v>1047</v>
      </c>
      <c r="BK698" s="126"/>
      <c r="BL698" s="126"/>
      <c r="BM698" s="126"/>
      <c r="BN698" s="126"/>
      <c r="BO698" s="126"/>
      <c r="BP698" s="126"/>
      <c r="BQ698" s="126"/>
      <c r="DB698" s="68">
        <f t="shared" ref="DB698:DB699" si="124">(DD698)/(DE698)</f>
        <v>0.59328732895135117</v>
      </c>
      <c r="DC698" s="69" t="str">
        <f>CONCATENATE(H698," ",L698," Year EUL")</f>
        <v>Cooling BUS 15 Year EUL</v>
      </c>
      <c r="DD698" s="105">
        <f>(INDEX('Avoided Cost Benefits'!$C$4:$C$857,MATCH(DC698,'Avoided Cost Benefits'!$A$4:$A$857,0)))*F698</f>
        <v>586.28771440496894</v>
      </c>
      <c r="DE698" s="70">
        <f>M698/(1.0595^(2020-2019))</f>
        <v>988.20198206701264</v>
      </c>
    </row>
    <row r="699" spans="2:109" x14ac:dyDescent="0.25">
      <c r="C699" s="1727" t="s">
        <v>530</v>
      </c>
      <c r="D699" s="1815" t="s">
        <v>34</v>
      </c>
      <c r="E699" s="1754" t="s">
        <v>531</v>
      </c>
      <c r="F699" s="210">
        <f>ROUND((F710*(1/I710-1/K710)*G710)+((L710/3.412)*(1/M710-1/O710)*H710),2)</f>
        <v>715.42</v>
      </c>
      <c r="G699" s="93">
        <f>(F710*(1/J710-1/K710)*G710)+((L710/3.412)*(1/N710-1/O710)*H710)</f>
        <v>177.09378296037951</v>
      </c>
      <c r="H699" s="1730" t="s">
        <v>263</v>
      </c>
      <c r="I699" s="1731">
        <v>9.1068395835808389E-4</v>
      </c>
      <c r="J699" s="1874">
        <f>ROUND(I699*(F699-((L710/3.412)*(1/M710-1/O710)*H710)),6)</f>
        <v>0.37453599999999998</v>
      </c>
      <c r="K699" s="1875">
        <f>ROUND(I699*(G699-((L710/3.412)*(1/N710-1/O710)*H710)),6)</f>
        <v>1.9373000000000001E-2</v>
      </c>
      <c r="L699" s="452">
        <v>15</v>
      </c>
      <c r="M699" s="1756">
        <v>1047</v>
      </c>
      <c r="N699" s="1827" t="s">
        <v>306</v>
      </c>
      <c r="V699" s="61" t="str">
        <f>F697</f>
        <v>kWh Annual Savings (per ton) first 5 years</v>
      </c>
      <c r="W699" s="71">
        <v>715.42344173997162</v>
      </c>
      <c r="X699" s="71">
        <v>715.42344173997162</v>
      </c>
      <c r="Y699" s="71">
        <v>715.42344173997162</v>
      </c>
      <c r="Z699" s="64"/>
      <c r="AA699" s="64"/>
      <c r="AB699" s="64"/>
      <c r="AC699" s="64"/>
      <c r="AD699" s="64"/>
      <c r="AE699" s="64"/>
      <c r="AF699" s="64"/>
      <c r="AG699" s="64"/>
      <c r="AH699" s="65"/>
      <c r="AI699" s="61" t="str">
        <f>AI698</f>
        <v>kWh Annual Savings (per ton) next ten years</v>
      </c>
      <c r="AJ699" s="71">
        <v>177.09378296037951</v>
      </c>
      <c r="AK699" s="71">
        <v>177.09378296037951</v>
      </c>
      <c r="AL699" s="71">
        <v>177.09378296037951</v>
      </c>
      <c r="AM699" s="64"/>
      <c r="AN699" s="64"/>
      <c r="AO699" s="64"/>
      <c r="AP699" s="64"/>
      <c r="AQ699" s="64"/>
      <c r="AR699" s="64"/>
      <c r="AS699" s="64"/>
      <c r="AT699" s="65"/>
      <c r="AU699" s="61" t="s">
        <v>24</v>
      </c>
      <c r="AV699" s="129">
        <v>15</v>
      </c>
      <c r="AW699" s="129">
        <v>15</v>
      </c>
      <c r="AX699" s="129">
        <v>15</v>
      </c>
      <c r="AY699" s="64"/>
      <c r="AZ699" s="64"/>
      <c r="BA699" s="64"/>
      <c r="BB699" s="64"/>
      <c r="BC699" s="64"/>
      <c r="BD699" s="64"/>
      <c r="BE699" s="64"/>
      <c r="BF699" s="29"/>
      <c r="BG699" s="61" t="s">
        <v>25</v>
      </c>
      <c r="BH699" s="126">
        <v>1047</v>
      </c>
      <c r="BI699" s="126">
        <v>1047</v>
      </c>
      <c r="BJ699" s="126">
        <v>1047</v>
      </c>
      <c r="BK699" s="126"/>
      <c r="BL699" s="126"/>
      <c r="BM699" s="126"/>
      <c r="BN699" s="126"/>
      <c r="BO699" s="126"/>
      <c r="BP699" s="126"/>
      <c r="BQ699" s="126"/>
      <c r="DB699" s="75">
        <f t="shared" si="124"/>
        <v>1.032046151867084</v>
      </c>
      <c r="DC699" s="73" t="str">
        <f>CONCATENATE(H699," ",L699," Year EUL")</f>
        <v>Cooling BUS 15 Year EUL</v>
      </c>
      <c r="DD699" s="107">
        <f>(INDEX('Avoided Cost Benefits'!$C$4:$C$857,MATCH(DC699,'Avoided Cost Benefits'!$A$4:$A$857,0)))*F699</f>
        <v>1019.8700528596855</v>
      </c>
      <c r="DE699" s="76">
        <f>M699/(1.0595^(2020-2019))</f>
        <v>988.20198206701264</v>
      </c>
    </row>
    <row r="700" spans="2:109" hidden="1" outlineLevel="1" x14ac:dyDescent="0.25">
      <c r="E700" s="1719"/>
      <c r="F700" s="1719"/>
      <c r="G700" s="1719"/>
      <c r="H700" s="1741"/>
      <c r="I700" s="1719"/>
      <c r="J700" s="1719"/>
      <c r="K700" s="1719"/>
    </row>
    <row r="701" spans="2:109" hidden="1" outlineLevel="1" x14ac:dyDescent="0.25">
      <c r="D701" s="1719" t="s">
        <v>76</v>
      </c>
      <c r="E701" s="233"/>
      <c r="F701" s="1719"/>
      <c r="G701" s="1719"/>
      <c r="H701" s="1741"/>
      <c r="I701" s="1719"/>
      <c r="J701" s="1719"/>
      <c r="K701" s="233"/>
    </row>
    <row r="702" spans="2:109" hidden="1" outlineLevel="1" x14ac:dyDescent="0.25">
      <c r="D702" s="1742"/>
      <c r="E702" s="233"/>
      <c r="F702" s="233"/>
      <c r="G702" s="1771"/>
      <c r="H702" s="1772"/>
    </row>
    <row r="703" spans="2:109" hidden="1" outlineLevel="1" x14ac:dyDescent="0.25">
      <c r="D703" s="1742"/>
      <c r="G703" s="1771"/>
      <c r="H703" s="1772"/>
      <c r="P703" s="2630"/>
      <c r="Q703" s="2630"/>
    </row>
    <row r="704" spans="2:109" hidden="1" outlineLevel="1" x14ac:dyDescent="0.25">
      <c r="D704" s="1742"/>
      <c r="G704" s="1716"/>
      <c r="H704" s="1743"/>
      <c r="M704" s="1719"/>
      <c r="P704" s="2630"/>
      <c r="Q704" s="2630"/>
    </row>
    <row r="705" spans="2:109" hidden="1" outlineLevel="1" x14ac:dyDescent="0.25">
      <c r="D705" s="1742"/>
      <c r="G705" s="1716"/>
      <c r="H705" s="1743"/>
      <c r="M705" s="1719"/>
      <c r="P705" s="2630"/>
      <c r="Q705" s="2630"/>
    </row>
    <row r="706" spans="2:109" hidden="1" outlineLevel="1" x14ac:dyDescent="0.25">
      <c r="D706" s="1742"/>
      <c r="G706" s="1716"/>
      <c r="H706" s="1743"/>
      <c r="M706" s="1719"/>
    </row>
    <row r="707" spans="2:109" hidden="1" outlineLevel="1" x14ac:dyDescent="0.25">
      <c r="D707" s="1742"/>
      <c r="G707" s="1716"/>
      <c r="H707" s="1743"/>
    </row>
    <row r="708" spans="2:109" s="78" customFormat="1" ht="30" hidden="1" outlineLevel="1" x14ac:dyDescent="0.2">
      <c r="C708" s="553"/>
      <c r="D708" s="1638" t="s">
        <v>17</v>
      </c>
      <c r="E708" s="1638" t="s">
        <v>136</v>
      </c>
      <c r="F708" s="123" t="s">
        <v>532</v>
      </c>
      <c r="G708" s="1638" t="s">
        <v>533</v>
      </c>
      <c r="H708" s="1638" t="s">
        <v>534</v>
      </c>
      <c r="I708" s="1638" t="s">
        <v>503</v>
      </c>
      <c r="J708" s="1638" t="s">
        <v>535</v>
      </c>
      <c r="K708" s="1638" t="s">
        <v>318</v>
      </c>
      <c r="L708" s="1638" t="s">
        <v>536</v>
      </c>
      <c r="M708" s="1638" t="s">
        <v>537</v>
      </c>
      <c r="N708" s="1632" t="s">
        <v>336</v>
      </c>
      <c r="O708" s="1632" t="s">
        <v>337</v>
      </c>
      <c r="P708" s="553"/>
      <c r="Q708" s="553"/>
      <c r="R708" s="553"/>
      <c r="S708" s="553"/>
      <c r="T708" s="553"/>
      <c r="U708" s="553"/>
      <c r="DB708" s="108"/>
    </row>
    <row r="709" spans="2:109" hidden="1" outlineLevel="1" x14ac:dyDescent="0.25">
      <c r="D709" s="1747" t="str">
        <f>C698</f>
        <v>805850_2019_12_</v>
      </c>
      <c r="E709" s="1747" t="str">
        <f>E698</f>
        <v>PTAC</v>
      </c>
      <c r="F709" s="1808">
        <v>12</v>
      </c>
      <c r="G709" s="1813">
        <v>1053</v>
      </c>
      <c r="H709" s="1865">
        <v>0</v>
      </c>
      <c r="I709" s="1876">
        <v>8.1</v>
      </c>
      <c r="J709" s="1854">
        <v>10.9</v>
      </c>
      <c r="K709" s="134">
        <v>11</v>
      </c>
      <c r="L709" s="134">
        <v>12</v>
      </c>
      <c r="M709" s="1876">
        <v>2.6</v>
      </c>
      <c r="N709" s="1282">
        <v>2.9</v>
      </c>
      <c r="O709" s="1877">
        <v>3.3</v>
      </c>
    </row>
    <row r="710" spans="2:109" hidden="1" outlineLevel="1" x14ac:dyDescent="0.25">
      <c r="D710" s="1747" t="str">
        <f>C699</f>
        <v>805900_2019_12_</v>
      </c>
      <c r="E710" s="1747" t="str">
        <f>E699</f>
        <v>PTHP</v>
      </c>
      <c r="F710" s="1808">
        <v>12</v>
      </c>
      <c r="G710" s="1813">
        <v>1053</v>
      </c>
      <c r="H710" s="1865">
        <v>1060</v>
      </c>
      <c r="I710" s="1876">
        <v>8.1</v>
      </c>
      <c r="J710" s="1865">
        <v>10.8</v>
      </c>
      <c r="K710" s="134">
        <v>11</v>
      </c>
      <c r="L710" s="134">
        <v>12</v>
      </c>
      <c r="M710" s="1876">
        <v>2.6</v>
      </c>
      <c r="N710" s="1282">
        <v>2.9</v>
      </c>
      <c r="O710" s="1877">
        <v>3.3</v>
      </c>
    </row>
    <row r="711" spans="2:109" collapsed="1" x14ac:dyDescent="0.25"/>
    <row r="713" spans="2:109" s="46" customFormat="1" x14ac:dyDescent="0.25">
      <c r="B713" s="2612" t="s">
        <v>538</v>
      </c>
      <c r="C713" s="2613"/>
      <c r="D713" s="2613"/>
      <c r="E713" s="2613"/>
      <c r="F713" s="2613"/>
      <c r="G713" s="2613"/>
      <c r="H713" s="2613"/>
      <c r="I713" s="2614"/>
      <c r="J713" s="2614"/>
      <c r="K713" s="2614"/>
      <c r="L713" s="2614"/>
      <c r="M713" s="2615"/>
      <c r="N713" s="2615"/>
      <c r="O713" s="2616"/>
      <c r="V713" s="47" t="str">
        <f>B713</f>
        <v>Refrigerated Beverage Vending Machine</v>
      </c>
      <c r="W713" s="48"/>
      <c r="X713" s="48"/>
      <c r="Y713" s="48"/>
      <c r="Z713" s="48"/>
      <c r="AA713" s="48"/>
      <c r="AB713" s="48"/>
      <c r="AC713" s="48"/>
      <c r="AD713" s="48"/>
      <c r="AE713" s="48"/>
      <c r="AF713" s="48"/>
      <c r="AG713" s="48"/>
      <c r="AH713" s="48"/>
      <c r="AI713" s="49"/>
      <c r="AJ713" s="26"/>
      <c r="AK713" s="26"/>
      <c r="AL713" s="26"/>
      <c r="AM713" s="26"/>
      <c r="AN713" s="26"/>
      <c r="AO713" s="26"/>
      <c r="AP713" s="26"/>
      <c r="AQ713" s="26"/>
      <c r="AR713" s="26"/>
      <c r="AS713" s="26"/>
      <c r="AT713" s="26"/>
      <c r="AU713" s="26"/>
      <c r="DB713" s="109"/>
    </row>
    <row r="714" spans="2:109" x14ac:dyDescent="0.25">
      <c r="D714" s="1724"/>
      <c r="E714" s="1719"/>
      <c r="F714" s="1719"/>
      <c r="G714" s="1719"/>
      <c r="H714" s="1725"/>
      <c r="I714" s="1719"/>
      <c r="J714" s="1719"/>
      <c r="K714" s="1719"/>
      <c r="L714" s="1719"/>
      <c r="P714" s="1719"/>
      <c r="Q714" s="1719"/>
      <c r="R714" s="1719"/>
      <c r="S714" s="1719"/>
      <c r="T714" s="1719"/>
      <c r="U714" s="1719"/>
      <c r="V714"/>
      <c r="W714"/>
      <c r="X714"/>
      <c r="Y714"/>
      <c r="Z714"/>
      <c r="AA714"/>
      <c r="AB714"/>
      <c r="AC714"/>
      <c r="AD714"/>
      <c r="AE714"/>
      <c r="AF714"/>
      <c r="AG714"/>
      <c r="AH714"/>
      <c r="AI714"/>
      <c r="AJ714" s="44"/>
      <c r="AK714" s="44"/>
      <c r="AL714" s="44"/>
      <c r="AM714" s="44"/>
      <c r="AN714" s="44"/>
      <c r="AO714" s="44"/>
      <c r="AP714" s="44"/>
      <c r="AQ714" s="44"/>
      <c r="AR714" s="44"/>
      <c r="AS714" s="44"/>
      <c r="AT714" s="44"/>
      <c r="AU714" s="44"/>
    </row>
    <row r="715" spans="2:109" s="50" customFormat="1" ht="30" x14ac:dyDescent="0.25">
      <c r="B715" s="51"/>
      <c r="C715" s="52" t="s">
        <v>17</v>
      </c>
      <c r="D715" s="52" t="s">
        <v>18</v>
      </c>
      <c r="E715" s="1678" t="s">
        <v>19</v>
      </c>
      <c r="F715" s="1678" t="s">
        <v>539</v>
      </c>
      <c r="G715" s="1678" t="s">
        <v>21</v>
      </c>
      <c r="H715" s="53" t="s">
        <v>22</v>
      </c>
      <c r="I715" s="1678" t="s">
        <v>23</v>
      </c>
      <c r="J715" s="1678" t="s">
        <v>24</v>
      </c>
      <c r="K715" s="52" t="s">
        <v>25</v>
      </c>
      <c r="L715" s="52" t="s">
        <v>26</v>
      </c>
      <c r="M715" s="1716"/>
      <c r="N715" s="1716"/>
      <c r="O715" s="1716"/>
      <c r="P715" s="1726"/>
      <c r="Q715" s="1726"/>
      <c r="R715" s="1726"/>
      <c r="S715" s="1726"/>
      <c r="T715" s="1726"/>
      <c r="U715" s="1726"/>
      <c r="V715" s="55" t="s">
        <v>27</v>
      </c>
      <c r="W715" s="56">
        <f>$W$8</f>
        <v>43252</v>
      </c>
      <c r="X715" s="56">
        <f>$X$8</f>
        <v>43465</v>
      </c>
      <c r="Y715" s="56">
        <f>$Y$8</f>
        <v>43800</v>
      </c>
      <c r="Z715" s="56" t="str">
        <f>$Z$8</f>
        <v>-</v>
      </c>
      <c r="AA715" s="56" t="str">
        <f>$AA$8</f>
        <v>-</v>
      </c>
      <c r="AB715" s="56" t="str">
        <f>$AB$8</f>
        <v>-</v>
      </c>
      <c r="AC715" s="56" t="str">
        <f>$AC$8</f>
        <v>-</v>
      </c>
      <c r="AD715" s="56" t="str">
        <f>$AD$8</f>
        <v>-</v>
      </c>
      <c r="AE715" s="56" t="str">
        <f>$AE$8</f>
        <v>-</v>
      </c>
      <c r="AF715" s="56" t="str">
        <f>$AF$8</f>
        <v>-</v>
      </c>
      <c r="AG715" s="56" t="str">
        <f>$AG$8</f>
        <v>-</v>
      </c>
      <c r="AH715"/>
      <c r="AI715" s="55" t="s">
        <v>27</v>
      </c>
      <c r="AJ715" s="56">
        <v>43252</v>
      </c>
      <c r="AK715" s="56">
        <f>$X$8</f>
        <v>43465</v>
      </c>
      <c r="AL715" s="56">
        <f>$Y$8</f>
        <v>43800</v>
      </c>
      <c r="AM715" s="56" t="str">
        <f>$Z$8</f>
        <v>-</v>
      </c>
      <c r="AN715" s="56" t="str">
        <f>$AA$8</f>
        <v>-</v>
      </c>
      <c r="AO715" s="56" t="str">
        <f>$AB$8</f>
        <v>-</v>
      </c>
      <c r="AP715" s="56" t="str">
        <f>$AC$8</f>
        <v>-</v>
      </c>
      <c r="AQ715" s="56" t="str">
        <f>$AD$8</f>
        <v>-</v>
      </c>
      <c r="AR715" s="56" t="str">
        <f>$AE$8</f>
        <v>-</v>
      </c>
      <c r="AS715" s="56" t="str">
        <f>$AF$8</f>
        <v>-</v>
      </c>
      <c r="AT715" s="29"/>
      <c r="AU715" s="55" t="s">
        <v>27</v>
      </c>
      <c r="AV715" s="56">
        <v>43252</v>
      </c>
      <c r="AW715" s="56">
        <f>$X$8</f>
        <v>43465</v>
      </c>
      <c r="AX715" s="56">
        <f>$Y$8</f>
        <v>43800</v>
      </c>
      <c r="AY715" s="56" t="str">
        <f>$Z$8</f>
        <v>-</v>
      </c>
      <c r="AZ715" s="56" t="str">
        <f>$AA$8</f>
        <v>-</v>
      </c>
      <c r="BA715" s="56" t="str">
        <f>$AB$8</f>
        <v>-</v>
      </c>
      <c r="BB715" s="56" t="str">
        <f>$AC$8</f>
        <v>-</v>
      </c>
      <c r="BC715" s="56" t="str">
        <f>$AD$8</f>
        <v>-</v>
      </c>
      <c r="BD715" s="56" t="str">
        <f>$AE$8</f>
        <v>-</v>
      </c>
      <c r="BE715" s="56" t="str">
        <f>$AF$8</f>
        <v>-</v>
      </c>
      <c r="DB715" s="57" t="str">
        <f>$DB$8</f>
        <v>TRC (2020)</v>
      </c>
      <c r="DC715" s="103" t="str">
        <f>$DC$8</f>
        <v>Benefit Lookup</v>
      </c>
      <c r="DD715" s="103" t="str">
        <f>$DD$8</f>
        <v>Benefits (2019 $)</v>
      </c>
      <c r="DE715" s="103" t="str">
        <f>$DE$8</f>
        <v>Incremental Cost (2019 $)</v>
      </c>
    </row>
    <row r="716" spans="2:109" x14ac:dyDescent="0.25">
      <c r="C716" s="1727" t="s">
        <v>540</v>
      </c>
      <c r="D716" s="1815" t="s">
        <v>34</v>
      </c>
      <c r="E716" s="1754" t="s">
        <v>541</v>
      </c>
      <c r="F716" s="210">
        <f>ROUND((F727-G727)*H727,2)</f>
        <v>0.13</v>
      </c>
      <c r="G716" s="1730" t="s">
        <v>100</v>
      </c>
      <c r="H716" s="1731">
        <f>VLOOKUP(G716,'CP FACTORS'!$A$26:$B$38,2,FALSE)</f>
        <v>1.3573829999999999E-4</v>
      </c>
      <c r="I716" s="1755">
        <f t="shared" ref="I716:I717" si="125">ROUND(H716*F716,6)</f>
        <v>1.8E-5</v>
      </c>
      <c r="J716" s="1852">
        <v>12</v>
      </c>
      <c r="K716" s="1756">
        <v>140</v>
      </c>
      <c r="L716" s="1827" t="s">
        <v>37</v>
      </c>
      <c r="V716" s="61" t="s">
        <v>539</v>
      </c>
      <c r="W716" s="71">
        <v>0.13070000000000048</v>
      </c>
      <c r="X716" s="71">
        <v>0.13070000000000048</v>
      </c>
      <c r="Y716" s="71">
        <v>0.13070000000000048</v>
      </c>
      <c r="Z716" s="64"/>
      <c r="AA716" s="64"/>
      <c r="AB716" s="64"/>
      <c r="AC716" s="64"/>
      <c r="AD716" s="64"/>
      <c r="AE716" s="64"/>
      <c r="AF716" s="64"/>
      <c r="AG716" s="64"/>
      <c r="AH716" s="65"/>
      <c r="AI716" s="61" t="s">
        <v>24</v>
      </c>
      <c r="AJ716" s="66">
        <v>12</v>
      </c>
      <c r="AK716" s="66">
        <v>12</v>
      </c>
      <c r="AL716" s="66">
        <v>12</v>
      </c>
      <c r="AM716" s="64"/>
      <c r="AN716" s="64"/>
      <c r="AO716" s="64"/>
      <c r="AP716" s="64"/>
      <c r="AQ716" s="64"/>
      <c r="AR716" s="64"/>
      <c r="AS716" s="64"/>
      <c r="AT716" s="29"/>
      <c r="AU716" s="61" t="s">
        <v>25</v>
      </c>
      <c r="AV716" s="67">
        <v>140</v>
      </c>
      <c r="AW716" s="67">
        <v>140</v>
      </c>
      <c r="AX716" s="67">
        <v>140</v>
      </c>
      <c r="AY716" s="64"/>
      <c r="AZ716" s="64"/>
      <c r="BA716" s="64"/>
      <c r="BB716" s="64"/>
      <c r="BC716" s="64"/>
      <c r="BD716" s="64"/>
      <c r="BE716" s="64"/>
      <c r="DB716" s="68">
        <f t="shared" ref="DB716:DB717" si="126">(DD716)/(DE716)</f>
        <v>4.2764848841657214E-4</v>
      </c>
      <c r="DC716" s="69" t="str">
        <f>CONCATENATE(G716," ",J716," Year EUL")</f>
        <v>Refrigeration BUS 12 Year EUL</v>
      </c>
      <c r="DD716" s="105">
        <f>(INDEX('Avoided Cost Benefits'!$C$4:$C$857,MATCH(DC716,'Avoided Cost Benefits'!$A$4:$A$857,0)))*F716</f>
        <v>5.6508530795960445E-2</v>
      </c>
      <c r="DE716" s="70">
        <f>K716/(1.0595^(2020-2019))</f>
        <v>132.13780084945728</v>
      </c>
    </row>
    <row r="717" spans="2:109" x14ac:dyDescent="0.25">
      <c r="C717" s="1727" t="s">
        <v>542</v>
      </c>
      <c r="D717" s="1815" t="s">
        <v>34</v>
      </c>
      <c r="E717" s="1754" t="s">
        <v>543</v>
      </c>
      <c r="F717" s="210">
        <f>ROUND((F728-G728)*H728,2)</f>
        <v>0.32</v>
      </c>
      <c r="G717" s="1730" t="s">
        <v>100</v>
      </c>
      <c r="H717" s="1731">
        <f>VLOOKUP(G717,'CP FACTORS'!$A$26:$B$38,2,FALSE)</f>
        <v>1.3573829999999999E-4</v>
      </c>
      <c r="I717" s="1755">
        <f t="shared" si="125"/>
        <v>4.3000000000000002E-5</v>
      </c>
      <c r="J717" s="452">
        <v>12</v>
      </c>
      <c r="K717" s="1756">
        <v>140</v>
      </c>
      <c r="L717" s="1827" t="s">
        <v>37</v>
      </c>
      <c r="V717" s="61" t="s">
        <v>539</v>
      </c>
      <c r="W717" s="71">
        <v>0.32330000000000014</v>
      </c>
      <c r="X717" s="71">
        <v>0.32330000000000014</v>
      </c>
      <c r="Y717" s="71">
        <v>0.32330000000000014</v>
      </c>
      <c r="Z717" s="64"/>
      <c r="AA717" s="64"/>
      <c r="AB717" s="64"/>
      <c r="AC717" s="64"/>
      <c r="AD717" s="64"/>
      <c r="AE717" s="64"/>
      <c r="AF717" s="64"/>
      <c r="AG717" s="64"/>
      <c r="AH717" s="65"/>
      <c r="AI717" s="61" t="s">
        <v>24</v>
      </c>
      <c r="AJ717" s="66">
        <v>12</v>
      </c>
      <c r="AK717" s="66">
        <v>12</v>
      </c>
      <c r="AL717" s="66">
        <v>12</v>
      </c>
      <c r="AM717" s="64"/>
      <c r="AN717" s="64"/>
      <c r="AO717" s="64"/>
      <c r="AP717" s="64"/>
      <c r="AQ717" s="64"/>
      <c r="AR717" s="64"/>
      <c r="AS717" s="64"/>
      <c r="AT717" s="29"/>
      <c r="AU717" s="61" t="s">
        <v>25</v>
      </c>
      <c r="AV717" s="67">
        <v>140</v>
      </c>
      <c r="AW717" s="67">
        <v>140</v>
      </c>
      <c r="AX717" s="67">
        <v>140</v>
      </c>
      <c r="AY717" s="64"/>
      <c r="AZ717" s="64"/>
      <c r="BA717" s="64"/>
      <c r="BB717" s="64"/>
      <c r="BC717" s="64"/>
      <c r="BD717" s="64"/>
      <c r="BE717" s="64"/>
      <c r="DB717" s="75">
        <f t="shared" si="126"/>
        <v>1.0526732022561776E-3</v>
      </c>
      <c r="DC717" s="73" t="str">
        <f>CONCATENATE(G717," ",J717," Year EUL")</f>
        <v>Refrigeration BUS 12 Year EUL</v>
      </c>
      <c r="DD717" s="107">
        <f>(INDEX('Avoided Cost Benefits'!$C$4:$C$857,MATCH(DC717,'Avoided Cost Benefits'!$A$4:$A$857,0)))*F717</f>
        <v>0.13909792195928725</v>
      </c>
      <c r="DE717" s="76">
        <f>K717/(1.0595^(2020-2019))</f>
        <v>132.13780084945728</v>
      </c>
    </row>
    <row r="718" spans="2:109" hidden="1" outlineLevel="1" x14ac:dyDescent="0.25">
      <c r="B718" s="29"/>
      <c r="C718" s="1157"/>
      <c r="D718" s="1878"/>
      <c r="E718" s="1878"/>
      <c r="F718" s="1719"/>
      <c r="G718" s="1719"/>
      <c r="H718" s="1741"/>
      <c r="I718" s="1719"/>
      <c r="J718" s="1719"/>
      <c r="K718" s="1719"/>
    </row>
    <row r="719" spans="2:109" hidden="1" outlineLevel="1" x14ac:dyDescent="0.25">
      <c r="B719" s="29"/>
      <c r="C719" s="1157"/>
      <c r="D719" s="1878" t="s">
        <v>76</v>
      </c>
      <c r="E719" s="327"/>
      <c r="F719" s="1719"/>
      <c r="G719" s="1719"/>
      <c r="H719" s="1741"/>
      <c r="I719" s="1719"/>
      <c r="J719" s="1719"/>
      <c r="K719" s="233"/>
    </row>
    <row r="720" spans="2:109" hidden="1" outlineLevel="1" x14ac:dyDescent="0.25">
      <c r="B720" s="29"/>
      <c r="C720" s="1157"/>
      <c r="D720" s="1806"/>
      <c r="E720" s="327"/>
      <c r="F720" s="233"/>
      <c r="G720" s="1771"/>
      <c r="H720" s="1772"/>
    </row>
    <row r="721" spans="2:109" hidden="1" outlineLevel="1" x14ac:dyDescent="0.25">
      <c r="B721" s="29"/>
      <c r="C721" s="1157"/>
      <c r="D721" s="1806"/>
      <c r="E721" s="1157"/>
      <c r="G721" s="1771"/>
      <c r="H721" s="1772"/>
      <c r="P721" s="2630"/>
      <c r="Q721" s="2630"/>
    </row>
    <row r="722" spans="2:109" hidden="1" outlineLevel="1" x14ac:dyDescent="0.25">
      <c r="B722" s="29"/>
      <c r="C722" s="1157"/>
      <c r="D722" s="1806"/>
      <c r="E722" s="1157"/>
      <c r="G722" s="1716"/>
      <c r="H722" s="1743"/>
      <c r="M722" s="1719"/>
      <c r="P722" s="2630"/>
      <c r="Q722" s="2630"/>
    </row>
    <row r="723" spans="2:109" hidden="1" outlineLevel="1" x14ac:dyDescent="0.25">
      <c r="B723" s="29"/>
      <c r="C723" s="1157"/>
      <c r="D723" s="1806"/>
      <c r="E723" s="1157"/>
      <c r="G723" s="1716"/>
      <c r="H723" s="1743"/>
      <c r="M723" s="1719"/>
      <c r="P723" s="2630"/>
      <c r="Q723" s="2630"/>
    </row>
    <row r="724" spans="2:109" hidden="1" outlineLevel="1" x14ac:dyDescent="0.25">
      <c r="B724" s="29"/>
      <c r="C724" s="1157"/>
      <c r="D724" s="1806"/>
      <c r="E724" s="1157"/>
      <c r="G724" s="1716"/>
      <c r="H724" s="1743"/>
      <c r="M724" s="1719"/>
    </row>
    <row r="725" spans="2:109" hidden="1" outlineLevel="1" x14ac:dyDescent="0.25">
      <c r="B725" s="29"/>
      <c r="C725" s="1157"/>
      <c r="D725" s="1806"/>
      <c r="E725" s="1157"/>
      <c r="G725" s="1716"/>
      <c r="H725" s="1743"/>
    </row>
    <row r="726" spans="2:109" s="78" customFormat="1" ht="30" hidden="1" outlineLevel="1" x14ac:dyDescent="0.2">
      <c r="C726" s="553"/>
      <c r="D726" s="1638" t="s">
        <v>17</v>
      </c>
      <c r="E726" s="1638" t="s">
        <v>136</v>
      </c>
      <c r="F726" s="123" t="s">
        <v>148</v>
      </c>
      <c r="G726" s="1638" t="s">
        <v>153</v>
      </c>
      <c r="H726" s="1638" t="s">
        <v>143</v>
      </c>
      <c r="I726" s="1638" t="s">
        <v>235</v>
      </c>
      <c r="J726" s="553"/>
      <c r="K726" s="553"/>
      <c r="L726" s="553"/>
      <c r="M726" s="553"/>
      <c r="N726" s="553"/>
      <c r="O726" s="553"/>
      <c r="P726" s="553"/>
      <c r="Q726" s="553"/>
      <c r="R726" s="553"/>
      <c r="S726" s="553"/>
      <c r="T726" s="553"/>
      <c r="U726" s="553"/>
      <c r="DB726" s="108"/>
    </row>
    <row r="727" spans="2:109" hidden="1" outlineLevel="1" x14ac:dyDescent="0.25">
      <c r="D727" s="1747" t="str">
        <f>C716</f>
        <v>805950_2019_12_</v>
      </c>
      <c r="E727" s="1747" t="str">
        <f>E716</f>
        <v>Refrigerated Beverage Vending Machine (Class A)</v>
      </c>
      <c r="F727" s="1801">
        <f>0.055*H727+2.56</f>
        <v>2.6150000000000002</v>
      </c>
      <c r="G727" s="1879">
        <f>0.0523*H727+2.432</f>
        <v>2.4842999999999997</v>
      </c>
      <c r="H727" s="134">
        <v>1</v>
      </c>
      <c r="I727" s="1854">
        <v>365.25</v>
      </c>
    </row>
    <row r="728" spans="2:109" hidden="1" outlineLevel="1" x14ac:dyDescent="0.25">
      <c r="D728" s="1747" t="str">
        <f>C717</f>
        <v>806000_2019_12_</v>
      </c>
      <c r="E728" s="1747" t="str">
        <f>E717</f>
        <v>Refrigerated Beverage Vending Machine (Class B)</v>
      </c>
      <c r="F728" s="1801">
        <f>0.073*H728+3.16</f>
        <v>3.2330000000000001</v>
      </c>
      <c r="G728" s="1879">
        <f>0.0657*H728+2.844</f>
        <v>2.9097</v>
      </c>
      <c r="H728" s="134">
        <v>1</v>
      </c>
      <c r="I728" s="1854">
        <v>365.25</v>
      </c>
    </row>
    <row r="729" spans="2:109" collapsed="1" x14ac:dyDescent="0.25"/>
    <row r="731" spans="2:109" s="46" customFormat="1" x14ac:dyDescent="0.25">
      <c r="B731" s="2612" t="s">
        <v>544</v>
      </c>
      <c r="C731" s="2613"/>
      <c r="D731" s="2613"/>
      <c r="E731" s="2613"/>
      <c r="F731" s="2613"/>
      <c r="G731" s="2613"/>
      <c r="H731" s="2613"/>
      <c r="I731" s="2614"/>
      <c r="J731" s="2614"/>
      <c r="K731" s="2614"/>
      <c r="L731" s="2614"/>
      <c r="M731" s="2615"/>
      <c r="N731" s="2615"/>
      <c r="O731" s="2616"/>
      <c r="V731" s="47" t="str">
        <f>B731</f>
        <v>ECM for Walk-in &amp; Reach-in Coolers/Freezers</v>
      </c>
      <c r="W731" s="48"/>
      <c r="X731" s="48"/>
      <c r="Y731" s="48"/>
      <c r="Z731" s="48"/>
      <c r="AA731" s="48"/>
      <c r="AB731" s="48"/>
      <c r="AC731" s="48"/>
      <c r="AD731" s="48"/>
      <c r="AE731" s="48"/>
      <c r="AF731" s="48"/>
      <c r="AG731" s="48"/>
      <c r="AH731" s="48"/>
      <c r="AI731" s="49"/>
      <c r="AJ731" s="26"/>
      <c r="AK731" s="26"/>
      <c r="AL731" s="26"/>
      <c r="AM731" s="26"/>
      <c r="AN731" s="26"/>
      <c r="AO731" s="26"/>
      <c r="AP731" s="26"/>
      <c r="AQ731" s="26"/>
      <c r="AR731" s="26"/>
      <c r="AS731" s="26"/>
      <c r="AT731" s="26"/>
      <c r="AU731" s="26"/>
      <c r="DB731" s="109"/>
    </row>
    <row r="732" spans="2:109" x14ac:dyDescent="0.25">
      <c r="D732" s="1724"/>
      <c r="E732" s="1719"/>
      <c r="F732" s="1719"/>
      <c r="G732" s="1719"/>
      <c r="H732" s="1725"/>
      <c r="I732" s="1719"/>
      <c r="J732" s="1719"/>
      <c r="K732" s="1719"/>
      <c r="L732" s="1719"/>
      <c r="P732" s="1719"/>
      <c r="Q732" s="1719"/>
      <c r="R732" s="1719"/>
      <c r="S732" s="1719"/>
      <c r="T732" s="1719"/>
      <c r="U732" s="1719"/>
      <c r="V732"/>
      <c r="W732"/>
      <c r="X732"/>
      <c r="Y732"/>
      <c r="Z732"/>
      <c r="AA732"/>
      <c r="AB732"/>
      <c r="AC732"/>
      <c r="AD732"/>
      <c r="AE732"/>
      <c r="AF732"/>
      <c r="AG732"/>
      <c r="AH732"/>
      <c r="AI732"/>
      <c r="AJ732" s="44"/>
      <c r="AK732" s="44"/>
      <c r="AL732" s="44"/>
      <c r="AM732" s="44"/>
      <c r="AN732" s="44"/>
      <c r="AO732" s="44"/>
      <c r="AP732" s="44"/>
      <c r="AQ732" s="44"/>
      <c r="AR732" s="44"/>
      <c r="AS732" s="44"/>
      <c r="AT732" s="44"/>
      <c r="AU732" s="44"/>
    </row>
    <row r="733" spans="2:109" s="50" customFormat="1" ht="30" x14ac:dyDescent="0.25">
      <c r="B733" s="51"/>
      <c r="C733" s="52" t="s">
        <v>17</v>
      </c>
      <c r="D733" s="52" t="s">
        <v>18</v>
      </c>
      <c r="E733" s="1678" t="s">
        <v>19</v>
      </c>
      <c r="F733" s="1678" t="s">
        <v>545</v>
      </c>
      <c r="G733" s="1678" t="s">
        <v>21</v>
      </c>
      <c r="H733" s="53" t="s">
        <v>22</v>
      </c>
      <c r="I733" s="1678" t="s">
        <v>23</v>
      </c>
      <c r="J733" s="1678" t="s">
        <v>24</v>
      </c>
      <c r="K733" s="52" t="s">
        <v>546</v>
      </c>
      <c r="L733" s="52" t="s">
        <v>26</v>
      </c>
      <c r="M733" s="1716"/>
      <c r="N733" s="1716"/>
      <c r="O733" s="1716"/>
      <c r="P733" s="1726"/>
      <c r="Q733" s="1726"/>
      <c r="R733" s="1726"/>
      <c r="S733" s="1726"/>
      <c r="T733" s="1726"/>
      <c r="U733" s="1726"/>
      <c r="V733" s="55" t="s">
        <v>27</v>
      </c>
      <c r="W733" s="56">
        <f>$W$8</f>
        <v>43252</v>
      </c>
      <c r="X733" s="56">
        <f>$X$8</f>
        <v>43465</v>
      </c>
      <c r="Y733" s="56">
        <f>$Y$8</f>
        <v>43800</v>
      </c>
      <c r="Z733" s="56" t="str">
        <f>$Z$8</f>
        <v>-</v>
      </c>
      <c r="AA733" s="56" t="str">
        <f>$AA$8</f>
        <v>-</v>
      </c>
      <c r="AB733" s="56" t="str">
        <f>$AB$8</f>
        <v>-</v>
      </c>
      <c r="AC733" s="56" t="str">
        <f>$AC$8</f>
        <v>-</v>
      </c>
      <c r="AD733" s="56" t="str">
        <f>$AD$8</f>
        <v>-</v>
      </c>
      <c r="AE733" s="56" t="str">
        <f>$AE$8</f>
        <v>-</v>
      </c>
      <c r="AF733" s="56" t="str">
        <f>$AF$8</f>
        <v>-</v>
      </c>
      <c r="AG733" s="56" t="str">
        <f>$AG$8</f>
        <v>-</v>
      </c>
      <c r="AH733"/>
      <c r="AI733" s="55" t="s">
        <v>27</v>
      </c>
      <c r="AJ733" s="56">
        <v>43252</v>
      </c>
      <c r="AK733" s="56">
        <f>$X$8</f>
        <v>43465</v>
      </c>
      <c r="AL733" s="56">
        <f>$Y$8</f>
        <v>43800</v>
      </c>
      <c r="AM733" s="56" t="str">
        <f>$Z$8</f>
        <v>-</v>
      </c>
      <c r="AN733" s="56" t="str">
        <f>$AA$8</f>
        <v>-</v>
      </c>
      <c r="AO733" s="56" t="str">
        <f>$AB$8</f>
        <v>-</v>
      </c>
      <c r="AP733" s="56" t="str">
        <f>$AC$8</f>
        <v>-</v>
      </c>
      <c r="AQ733" s="56" t="str">
        <f>$AD$8</f>
        <v>-</v>
      </c>
      <c r="AR733" s="56" t="str">
        <f>$AE$8</f>
        <v>-</v>
      </c>
      <c r="AS733" s="56" t="str">
        <f>$AF$8</f>
        <v>-</v>
      </c>
      <c r="AT733" s="29"/>
      <c r="AU733" s="55" t="s">
        <v>27</v>
      </c>
      <c r="AV733" s="56">
        <v>43252</v>
      </c>
      <c r="AW733" s="56">
        <f>$X$8</f>
        <v>43465</v>
      </c>
      <c r="AX733" s="56">
        <f>$Y$8</f>
        <v>43800</v>
      </c>
      <c r="AY733" s="56" t="str">
        <f>$Z$8</f>
        <v>-</v>
      </c>
      <c r="AZ733" s="56" t="str">
        <f>$AA$8</f>
        <v>-</v>
      </c>
      <c r="BA733" s="56" t="str">
        <f>$AB$8</f>
        <v>-</v>
      </c>
      <c r="BB733" s="56" t="str">
        <f>$AC$8</f>
        <v>-</v>
      </c>
      <c r="BC733" s="56" t="str">
        <f>$AD$8</f>
        <v>-</v>
      </c>
      <c r="BD733" s="56" t="str">
        <f>$AE$8</f>
        <v>-</v>
      </c>
      <c r="BE733" s="56" t="str">
        <f>$AF$8</f>
        <v>-</v>
      </c>
      <c r="DB733" s="57" t="str">
        <f>$DB$8</f>
        <v>TRC (2020)</v>
      </c>
      <c r="DC733" s="103" t="str">
        <f>$DC$8</f>
        <v>Benefit Lookup</v>
      </c>
      <c r="DD733" s="103" t="str">
        <f>$DD$8</f>
        <v>Benefits (2019 $)</v>
      </c>
      <c r="DE733" s="103" t="str">
        <f>$DE$8</f>
        <v>Incremental Cost (2019 $)</v>
      </c>
    </row>
    <row r="734" spans="2:109" x14ac:dyDescent="0.25">
      <c r="C734" s="1727" t="s">
        <v>547</v>
      </c>
      <c r="D734" s="1815" t="s">
        <v>34</v>
      </c>
      <c r="E734" s="1754" t="s">
        <v>544</v>
      </c>
      <c r="F734" s="210">
        <f>ROUND(F744*G744,2)</f>
        <v>1409</v>
      </c>
      <c r="G734" s="1730" t="s">
        <v>61</v>
      </c>
      <c r="H734" s="1731">
        <f>VLOOKUP(G734,'CP FACTORS'!$A$26:$B$38,2,FALSE)</f>
        <v>1.379439E-4</v>
      </c>
      <c r="I734" s="1755">
        <f t="shared" ref="I734" si="127">ROUND(H734*F734,6)</f>
        <v>0.19436300000000001</v>
      </c>
      <c r="J734" s="452">
        <v>15</v>
      </c>
      <c r="K734" s="1756">
        <v>177</v>
      </c>
      <c r="L734" s="1827" t="s">
        <v>548</v>
      </c>
      <c r="V734" s="61" t="s">
        <v>20</v>
      </c>
      <c r="W734" s="71">
        <v>1409</v>
      </c>
      <c r="X734" s="71">
        <v>1409</v>
      </c>
      <c r="Y734" s="71">
        <v>1409</v>
      </c>
      <c r="Z734" s="64"/>
      <c r="AA734" s="64"/>
      <c r="AB734" s="64"/>
      <c r="AC734" s="64"/>
      <c r="AD734" s="64"/>
      <c r="AE734" s="64"/>
      <c r="AF734" s="64"/>
      <c r="AG734" s="64"/>
      <c r="AH734" s="65"/>
      <c r="AI734" s="61" t="s">
        <v>24</v>
      </c>
      <c r="AJ734" s="66">
        <v>15</v>
      </c>
      <c r="AK734" s="66">
        <v>15</v>
      </c>
      <c r="AL734" s="66">
        <v>15</v>
      </c>
      <c r="AM734" s="64"/>
      <c r="AN734" s="64"/>
      <c r="AO734" s="64"/>
      <c r="AP734" s="64"/>
      <c r="AQ734" s="64"/>
      <c r="AR734" s="64"/>
      <c r="AS734" s="64"/>
      <c r="AT734" s="29"/>
      <c r="AU734" s="61" t="s">
        <v>25</v>
      </c>
      <c r="AV734" s="67">
        <v>177</v>
      </c>
      <c r="AW734" s="67">
        <v>177</v>
      </c>
      <c r="AX734" s="67">
        <v>177</v>
      </c>
      <c r="AY734" s="64"/>
      <c r="AZ734" s="64"/>
      <c r="BA734" s="64"/>
      <c r="BB734" s="64"/>
      <c r="BC734" s="64"/>
      <c r="BD734" s="64"/>
      <c r="BE734" s="64"/>
      <c r="DB734" s="120">
        <f t="shared" ref="DB734" si="128">(DD734)/(DE734)</f>
        <v>4.5216913705641595</v>
      </c>
      <c r="DC734" s="69" t="str">
        <f>CONCATENATE(G734," ",J734," Year EUL")</f>
        <v>Miscellaneous BUS 15 Year EUL</v>
      </c>
      <c r="DD734" s="121">
        <f>(INDEX('Avoided Cost Benefits'!$C$4:$C$857,MATCH(DC734,'Avoided Cost Benefits'!$A$4:$A$857,0)))*F734</f>
        <v>755.39346162327149</v>
      </c>
      <c r="DE734" s="122">
        <f>K734/(1.0595^(2020-2019))</f>
        <v>167.05993393109955</v>
      </c>
    </row>
    <row r="735" spans="2:109" hidden="1" outlineLevel="1" x14ac:dyDescent="0.25">
      <c r="E735" s="1719"/>
      <c r="F735" s="1719"/>
      <c r="G735" s="1719"/>
      <c r="H735" s="1741"/>
      <c r="I735" s="1719"/>
      <c r="J735" s="1719"/>
    </row>
    <row r="736" spans="2:109" hidden="1" outlineLevel="1" x14ac:dyDescent="0.25">
      <c r="D736" s="1719" t="s">
        <v>76</v>
      </c>
      <c r="E736" s="233"/>
      <c r="F736" s="1719"/>
      <c r="G736" s="1719"/>
      <c r="H736" s="1741"/>
      <c r="I736" s="1719"/>
      <c r="J736" s="1719"/>
      <c r="K736" s="233"/>
    </row>
    <row r="737" spans="2:109" hidden="1" outlineLevel="1" x14ac:dyDescent="0.25">
      <c r="D737" s="1742"/>
      <c r="E737" s="233"/>
      <c r="F737" s="233"/>
      <c r="G737" s="1771"/>
      <c r="H737" s="1772"/>
    </row>
    <row r="738" spans="2:109" hidden="1" outlineLevel="1" x14ac:dyDescent="0.25">
      <c r="D738" s="1742"/>
      <c r="G738" s="1771"/>
      <c r="H738" s="1772"/>
      <c r="P738" s="2630"/>
      <c r="Q738" s="2630"/>
    </row>
    <row r="739" spans="2:109" hidden="1" outlineLevel="1" x14ac:dyDescent="0.25">
      <c r="D739" s="1742"/>
      <c r="G739" s="1716"/>
      <c r="H739" s="1743"/>
      <c r="M739" s="1719"/>
      <c r="P739" s="2630"/>
      <c r="Q739" s="2630"/>
    </row>
    <row r="740" spans="2:109" hidden="1" outlineLevel="1" x14ac:dyDescent="0.25">
      <c r="D740" s="1742"/>
      <c r="G740" s="1716"/>
      <c r="H740" s="1743"/>
      <c r="M740" s="1719"/>
      <c r="P740" s="2630"/>
      <c r="Q740" s="2630"/>
    </row>
    <row r="741" spans="2:109" hidden="1" outlineLevel="1" x14ac:dyDescent="0.25">
      <c r="D741" s="1742"/>
      <c r="G741" s="1716"/>
      <c r="H741" s="1743"/>
      <c r="M741" s="1719"/>
    </row>
    <row r="742" spans="2:109" hidden="1" outlineLevel="1" x14ac:dyDescent="0.25">
      <c r="D742" s="1742"/>
      <c r="G742" s="1716"/>
      <c r="H742" s="1743"/>
    </row>
    <row r="743" spans="2:109" s="78" customFormat="1" ht="30" hidden="1" outlineLevel="1" x14ac:dyDescent="0.2">
      <c r="C743" s="553"/>
      <c r="D743" s="1638" t="s">
        <v>17</v>
      </c>
      <c r="E743" s="1638" t="s">
        <v>136</v>
      </c>
      <c r="F743" s="123" t="s">
        <v>549</v>
      </c>
      <c r="G743" s="1638" t="s">
        <v>550</v>
      </c>
      <c r="H743" s="553"/>
      <c r="I743" s="553"/>
      <c r="J743" s="553"/>
      <c r="K743" s="553"/>
      <c r="L743" s="553"/>
      <c r="M743" s="553"/>
      <c r="N743" s="553"/>
      <c r="O743" s="553"/>
      <c r="P743" s="553"/>
      <c r="Q743" s="553"/>
      <c r="R743" s="553"/>
      <c r="S743" s="553"/>
      <c r="T743" s="553"/>
      <c r="U743" s="553"/>
      <c r="DB743" s="108"/>
    </row>
    <row r="744" spans="2:109" hidden="1" outlineLevel="1" x14ac:dyDescent="0.25">
      <c r="D744" s="1747" t="str">
        <f>C734</f>
        <v>806050_2019_12_</v>
      </c>
      <c r="E744" s="1747" t="str">
        <f>E734</f>
        <v>ECM for Walk-in &amp; Reach-in Coolers/Freezers</v>
      </c>
      <c r="F744" s="1808">
        <v>1409</v>
      </c>
      <c r="G744" s="1813">
        <v>1</v>
      </c>
      <c r="H744" s="1716"/>
    </row>
    <row r="745" spans="2:109" collapsed="1" x14ac:dyDescent="0.25"/>
    <row r="748" spans="2:109" s="46" customFormat="1" x14ac:dyDescent="0.25">
      <c r="B748" s="2612" t="s">
        <v>551</v>
      </c>
      <c r="C748" s="2613"/>
      <c r="D748" s="2613"/>
      <c r="E748" s="2613"/>
      <c r="F748" s="2613"/>
      <c r="G748" s="2613"/>
      <c r="H748" s="2613"/>
      <c r="I748" s="2614"/>
      <c r="J748" s="2614"/>
      <c r="K748" s="2614"/>
      <c r="L748" s="2614"/>
      <c r="M748" s="2615"/>
      <c r="N748" s="2615"/>
      <c r="O748" s="2616"/>
      <c r="V748" s="47" t="str">
        <f>B748</f>
        <v>Custom Measure</v>
      </c>
      <c r="W748" s="48"/>
      <c r="X748" s="48"/>
      <c r="Y748" s="48"/>
      <c r="Z748" s="48"/>
      <c r="AA748" s="48"/>
      <c r="AB748" s="48"/>
      <c r="AC748" s="48"/>
      <c r="AD748" s="48"/>
      <c r="AE748" s="48"/>
      <c r="AF748" s="48"/>
      <c r="AG748" s="48"/>
      <c r="AH748" s="48"/>
      <c r="AI748" s="49"/>
      <c r="AJ748" s="26"/>
      <c r="AK748" s="26"/>
      <c r="AL748" s="26"/>
      <c r="AM748" s="26"/>
      <c r="AN748" s="26"/>
      <c r="AO748" s="26"/>
      <c r="AP748" s="26"/>
      <c r="AQ748" s="26"/>
      <c r="AR748" s="26"/>
      <c r="AS748" s="26"/>
      <c r="AT748" s="26"/>
      <c r="AU748" s="26"/>
      <c r="DB748" s="109"/>
    </row>
    <row r="749" spans="2:109" x14ac:dyDescent="0.25">
      <c r="D749" s="1724"/>
      <c r="E749" s="1719"/>
      <c r="F749" s="1719"/>
      <c r="G749" s="1719"/>
      <c r="H749" s="1725"/>
      <c r="I749" s="1719"/>
      <c r="J749" s="1719"/>
      <c r="K749" s="1719"/>
      <c r="L749" s="1719"/>
      <c r="P749" s="1719"/>
      <c r="Q749" s="1719"/>
      <c r="R749" s="1719"/>
      <c r="S749" s="1719"/>
      <c r="T749" s="1719"/>
      <c r="U749" s="1719"/>
      <c r="V749"/>
      <c r="W749"/>
      <c r="X749"/>
      <c r="Y749"/>
      <c r="Z749"/>
      <c r="AA749"/>
      <c r="AB749"/>
      <c r="AC749"/>
      <c r="AD749"/>
      <c r="AE749"/>
      <c r="AF749"/>
      <c r="AG749"/>
      <c r="AH749"/>
      <c r="AI749"/>
      <c r="AJ749" s="44"/>
      <c r="AK749" s="44"/>
      <c r="AL749" s="44"/>
      <c r="AM749" s="44"/>
      <c r="AN749" s="44"/>
      <c r="AO749" s="44"/>
      <c r="AP749" s="44"/>
      <c r="AQ749" s="44"/>
      <c r="AR749" s="44"/>
      <c r="AS749" s="44"/>
      <c r="AT749" s="44"/>
      <c r="AU749" s="44"/>
    </row>
    <row r="750" spans="2:109" s="50" customFormat="1" ht="30" x14ac:dyDescent="0.25">
      <c r="B750" s="51"/>
      <c r="C750" s="52" t="s">
        <v>17</v>
      </c>
      <c r="D750" s="52" t="s">
        <v>18</v>
      </c>
      <c r="E750" s="1678" t="s">
        <v>19</v>
      </c>
      <c r="F750" s="1678" t="s">
        <v>545</v>
      </c>
      <c r="G750" s="1678" t="s">
        <v>21</v>
      </c>
      <c r="H750" s="53" t="s">
        <v>22</v>
      </c>
      <c r="I750" s="1678" t="s">
        <v>23</v>
      </c>
      <c r="J750" s="1678" t="s">
        <v>24</v>
      </c>
      <c r="K750" s="52" t="s">
        <v>546</v>
      </c>
      <c r="L750" s="52" t="s">
        <v>26</v>
      </c>
      <c r="M750" s="1716"/>
      <c r="N750" s="1716"/>
      <c r="O750" s="1716"/>
      <c r="P750" s="1726"/>
      <c r="Q750" s="1726"/>
      <c r="R750" s="1726"/>
      <c r="S750" s="1726"/>
      <c r="T750" s="1726"/>
      <c r="U750" s="1726"/>
      <c r="V750" s="55" t="s">
        <v>27</v>
      </c>
      <c r="W750" s="56">
        <f>$W$8</f>
        <v>43252</v>
      </c>
      <c r="X750" s="56">
        <f>$X$8</f>
        <v>43465</v>
      </c>
      <c r="Y750" s="56">
        <f>$Y$8</f>
        <v>43800</v>
      </c>
      <c r="Z750" s="56" t="str">
        <f>$Z$8</f>
        <v>-</v>
      </c>
      <c r="AA750" s="56" t="str">
        <f>$AA$8</f>
        <v>-</v>
      </c>
      <c r="AB750" s="56" t="str">
        <f>$AB$8</f>
        <v>-</v>
      </c>
      <c r="AC750" s="56" t="str">
        <f>$AC$8</f>
        <v>-</v>
      </c>
      <c r="AD750" s="56" t="str">
        <f>$AD$8</f>
        <v>-</v>
      </c>
      <c r="AE750" s="56" t="str">
        <f>$AE$8</f>
        <v>-</v>
      </c>
      <c r="AF750" s="56" t="str">
        <f>$AF$8</f>
        <v>-</v>
      </c>
      <c r="AG750" s="56" t="str">
        <f>$AG$8</f>
        <v>-</v>
      </c>
      <c r="AH750"/>
      <c r="AI750" s="55" t="s">
        <v>27</v>
      </c>
      <c r="AJ750" s="56">
        <v>43252</v>
      </c>
      <c r="AK750" s="56">
        <f>$X$8</f>
        <v>43465</v>
      </c>
      <c r="AL750" s="56">
        <f>$Y$8</f>
        <v>43800</v>
      </c>
      <c r="AM750" s="56" t="str">
        <f>$Z$8</f>
        <v>-</v>
      </c>
      <c r="AN750" s="56" t="str">
        <f>$AA$8</f>
        <v>-</v>
      </c>
      <c r="AO750" s="56" t="str">
        <f>$AB$8</f>
        <v>-</v>
      </c>
      <c r="AP750" s="56" t="str">
        <f>$AC$8</f>
        <v>-</v>
      </c>
      <c r="AQ750" s="56" t="str">
        <f>$AD$8</f>
        <v>-</v>
      </c>
      <c r="AR750" s="56" t="str">
        <f>$AE$8</f>
        <v>-</v>
      </c>
      <c r="AS750" s="56" t="str">
        <f>$AF$8</f>
        <v>-</v>
      </c>
      <c r="AT750" s="29"/>
      <c r="AU750" s="55" t="s">
        <v>27</v>
      </c>
      <c r="AV750" s="56">
        <v>43252</v>
      </c>
      <c r="AW750" s="56">
        <f>$X$8</f>
        <v>43465</v>
      </c>
      <c r="AX750" s="56">
        <f>$Y$8</f>
        <v>43800</v>
      </c>
      <c r="AY750" s="56" t="str">
        <f>$Z$8</f>
        <v>-</v>
      </c>
      <c r="AZ750" s="56" t="str">
        <f>$AA$8</f>
        <v>-</v>
      </c>
      <c r="BA750" s="56" t="str">
        <f>$AB$8</f>
        <v>-</v>
      </c>
      <c r="BB750" s="56" t="str">
        <f>$AC$8</f>
        <v>-</v>
      </c>
      <c r="BC750" s="56" t="str">
        <f>$AD$8</f>
        <v>-</v>
      </c>
      <c r="BD750" s="56" t="str">
        <f>$AE$8</f>
        <v>-</v>
      </c>
      <c r="BE750" s="56" t="str">
        <f>$AF$8</f>
        <v>-</v>
      </c>
      <c r="DB750" s="57" t="str">
        <f>$DB$8</f>
        <v>TRC (2020)</v>
      </c>
      <c r="DC750" s="103" t="str">
        <f>$DC$8</f>
        <v>Benefit Lookup</v>
      </c>
      <c r="DD750" s="103" t="str">
        <f>$DD$8</f>
        <v>Benefits (2019 $)</v>
      </c>
      <c r="DE750" s="103" t="str">
        <f>$DE$8</f>
        <v>Incremental Cost (2019 $)</v>
      </c>
    </row>
    <row r="751" spans="2:109" x14ac:dyDescent="0.25">
      <c r="C751" s="1727" t="s">
        <v>552</v>
      </c>
      <c r="D751" s="1815" t="s">
        <v>34</v>
      </c>
      <c r="E751" s="1754" t="s">
        <v>553</v>
      </c>
      <c r="F751" s="93" t="s">
        <v>553</v>
      </c>
      <c r="G751" s="1730" t="s">
        <v>554</v>
      </c>
      <c r="H751" s="1731" t="s">
        <v>554</v>
      </c>
      <c r="I751" s="1874" t="s">
        <v>553</v>
      </c>
      <c r="J751" s="452" t="s">
        <v>553</v>
      </c>
      <c r="K751" s="1756" t="s">
        <v>553</v>
      </c>
      <c r="L751" s="1827" t="s">
        <v>553</v>
      </c>
      <c r="V751" s="143" t="s">
        <v>20</v>
      </c>
      <c r="W751" s="63" t="s">
        <v>553</v>
      </c>
      <c r="X751" s="63" t="s">
        <v>553</v>
      </c>
      <c r="Y751" s="63" t="s">
        <v>553</v>
      </c>
      <c r="Z751" s="144"/>
      <c r="AA751" s="144"/>
      <c r="AB751" s="144"/>
      <c r="AC751" s="144"/>
      <c r="AD751" s="144"/>
      <c r="AE751" s="144"/>
      <c r="AF751" s="144"/>
      <c r="AG751" s="144"/>
      <c r="AH751" s="145"/>
      <c r="AI751" s="143" t="s">
        <v>24</v>
      </c>
      <c r="AJ751" s="146" t="s">
        <v>553</v>
      </c>
      <c r="AK751" s="146" t="s">
        <v>553</v>
      </c>
      <c r="AL751" s="146" t="s">
        <v>553</v>
      </c>
      <c r="AM751" s="144"/>
      <c r="AN751" s="144"/>
      <c r="AO751" s="144"/>
      <c r="AP751" s="144"/>
      <c r="AQ751" s="144"/>
      <c r="AR751" s="144"/>
      <c r="AS751" s="144"/>
      <c r="AT751" s="140"/>
      <c r="AU751" s="143" t="s">
        <v>25</v>
      </c>
      <c r="AV751" s="147" t="s">
        <v>553</v>
      </c>
      <c r="AW751" s="147" t="s">
        <v>553</v>
      </c>
      <c r="AX751" s="147" t="s">
        <v>553</v>
      </c>
      <c r="AY751" s="144"/>
      <c r="AZ751" s="144"/>
      <c r="BA751" s="144"/>
      <c r="BB751" s="144"/>
      <c r="BC751" s="144"/>
      <c r="BD751" s="144"/>
      <c r="BE751" s="144"/>
      <c r="DB751" s="2374" t="s">
        <v>553</v>
      </c>
      <c r="DC751" s="69" t="str">
        <f>CONCATENATE(G751," ",J751," Year EUL")</f>
        <v>Variable Custom Year EUL</v>
      </c>
      <c r="DD751" s="2465" t="s">
        <v>553</v>
      </c>
      <c r="DE751" s="2375" t="s">
        <v>553</v>
      </c>
    </row>
  </sheetData>
  <mergeCells count="56">
    <mergeCell ref="P738:Q740"/>
    <mergeCell ref="B748:O748"/>
    <mergeCell ref="P686:Q688"/>
    <mergeCell ref="B695:O695"/>
    <mergeCell ref="P703:Q705"/>
    <mergeCell ref="B713:O713"/>
    <mergeCell ref="P721:Q723"/>
    <mergeCell ref="B731:O731"/>
    <mergeCell ref="B679:O679"/>
    <mergeCell ref="B579:O579"/>
    <mergeCell ref="P586:Q588"/>
    <mergeCell ref="B595:O595"/>
    <mergeCell ref="P602:Q604"/>
    <mergeCell ref="B611:O611"/>
    <mergeCell ref="P618:Q620"/>
    <mergeCell ref="B627:O627"/>
    <mergeCell ref="P634:Q636"/>
    <mergeCell ref="B643:O643"/>
    <mergeCell ref="P650:Q652"/>
    <mergeCell ref="B659:O659"/>
    <mergeCell ref="P570:Q572"/>
    <mergeCell ref="M335:P339"/>
    <mergeCell ref="M379:O381"/>
    <mergeCell ref="B392:O392"/>
    <mergeCell ref="B436:O436"/>
    <mergeCell ref="B504:O504"/>
    <mergeCell ref="P514:Q516"/>
    <mergeCell ref="B527:O527"/>
    <mergeCell ref="P535:Q537"/>
    <mergeCell ref="B545:O545"/>
    <mergeCell ref="P553:Q555"/>
    <mergeCell ref="B563:O563"/>
    <mergeCell ref="M304:P308"/>
    <mergeCell ref="M139:O143"/>
    <mergeCell ref="B156:O156"/>
    <mergeCell ref="B180:O180"/>
    <mergeCell ref="M183:O187"/>
    <mergeCell ref="B198:O198"/>
    <mergeCell ref="M201:O205"/>
    <mergeCell ref="M215:O219"/>
    <mergeCell ref="B228:O228"/>
    <mergeCell ref="P238:Q240"/>
    <mergeCell ref="B250:O250"/>
    <mergeCell ref="B270:O270"/>
    <mergeCell ref="B136:O136"/>
    <mergeCell ref="E1:Q1"/>
    <mergeCell ref="E3:G3"/>
    <mergeCell ref="H3:J3"/>
    <mergeCell ref="D4:J4"/>
    <mergeCell ref="B6:O6"/>
    <mergeCell ref="B84:O84"/>
    <mergeCell ref="H119:I119"/>
    <mergeCell ref="J119:K119"/>
    <mergeCell ref="H120:I120"/>
    <mergeCell ref="J120:K120"/>
    <mergeCell ref="L130:N133"/>
  </mergeCells>
  <pageMargins left="0.7" right="0.7" top="0.75" bottom="0.75" header="0.3" footer="0.3"/>
  <pageSetup scale="11" fitToHeight="0" orientation="portrait" r:id="rId1"/>
  <rowBreaks count="7" manualBreakCount="7">
    <brk id="118" max="110" man="1"/>
    <brk id="148" max="16383" man="1"/>
    <brk id="249" max="16383" man="1"/>
    <brk id="377" max="16383" man="1"/>
    <brk id="525" max="16383" man="1"/>
    <brk id="625" max="110" man="1"/>
    <brk id="677" max="16383" man="1"/>
  </rowBreaks>
  <colBreaks count="1" manualBreakCount="1">
    <brk id="37" max="757"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95"/>
  <sheetViews>
    <sheetView view="pageBreakPreview" zoomScale="60" zoomScaleNormal="70" workbookViewId="0">
      <selection sqref="A1:P1"/>
    </sheetView>
  </sheetViews>
  <sheetFormatPr defaultRowHeight="15" outlineLevelRow="1" x14ac:dyDescent="0.25"/>
  <cols>
    <col min="1" max="1" width="5.85546875" style="177" customWidth="1"/>
    <col min="2" max="2" width="9.140625" style="177"/>
    <col min="3" max="3" width="20.42578125" style="455" bestFit="1" customWidth="1"/>
    <col min="4" max="4" width="14" style="177" customWidth="1"/>
    <col min="5" max="5" width="75" style="177" customWidth="1"/>
    <col min="6" max="6" width="76.85546875" style="177" customWidth="1"/>
    <col min="7" max="7" width="15.5703125" style="177" customWidth="1"/>
    <col min="8" max="8" width="17" style="177" customWidth="1"/>
    <col min="9" max="9" width="16.85546875" style="177" customWidth="1"/>
    <col min="10" max="10" width="15.28515625" style="177" customWidth="1"/>
    <col min="11" max="11" width="18" style="177" customWidth="1"/>
    <col min="12" max="12" width="11.140625" style="177" customWidth="1"/>
    <col min="13" max="13" width="12.42578125" style="177" customWidth="1"/>
    <col min="14" max="14" width="11.7109375" style="177" customWidth="1"/>
    <col min="15" max="15" width="11.42578125" style="177" customWidth="1"/>
    <col min="16" max="17" width="9.140625" style="177" customWidth="1"/>
    <col min="18" max="18" width="15.42578125" style="177" customWidth="1"/>
    <col min="19" max="19" width="21" style="177" customWidth="1"/>
    <col min="20" max="21" width="9.140625" style="177" customWidth="1"/>
    <col min="22" max="22" width="23.85546875" customWidth="1"/>
    <col min="23" max="23" width="14.5703125" customWidth="1"/>
    <col min="24" max="24" width="19.7109375" customWidth="1"/>
    <col min="25" max="25" width="16.7109375" customWidth="1"/>
    <col min="26" max="26" width="15.85546875" bestFit="1" customWidth="1"/>
    <col min="27" max="27" width="9.5703125" customWidth="1"/>
    <col min="34" max="34" width="14.42578125" bestFit="1" customWidth="1"/>
    <col min="35" max="35" width="22.5703125" bestFit="1" customWidth="1"/>
    <col min="36" max="36" width="11.140625" bestFit="1" customWidth="1"/>
    <col min="37" max="37" width="14" bestFit="1" customWidth="1"/>
    <col min="48" max="48" width="22.5703125" bestFit="1" customWidth="1"/>
    <col min="49" max="49" width="11.140625" bestFit="1" customWidth="1"/>
    <col min="50" max="50" width="14" bestFit="1" customWidth="1"/>
    <col min="54" max="54" width="13.140625" bestFit="1" customWidth="1"/>
    <col min="55" max="55" width="25.42578125" bestFit="1" customWidth="1"/>
    <col min="57" max="57" width="16.140625" bestFit="1" customWidth="1"/>
    <col min="61" max="61" width="29.85546875" customWidth="1"/>
    <col min="62" max="62" width="11.140625" bestFit="1" customWidth="1"/>
    <col min="63" max="63" width="14" bestFit="1" customWidth="1"/>
  </cols>
  <sheetData>
    <row r="1" spans="1:57" s="26" customFormat="1" ht="18.75" x14ac:dyDescent="0.3">
      <c r="A1" s="2633" t="s">
        <v>555</v>
      </c>
      <c r="B1" s="2634"/>
      <c r="C1" s="2634"/>
      <c r="D1" s="2634"/>
      <c r="E1" s="2634"/>
      <c r="F1" s="2634"/>
      <c r="G1" s="2634"/>
      <c r="H1" s="2634"/>
      <c r="I1" s="2634"/>
      <c r="J1" s="2634"/>
      <c r="K1" s="2634"/>
      <c r="L1" s="2634"/>
      <c r="M1" s="2634"/>
      <c r="N1" s="2634"/>
      <c r="O1" s="2634"/>
      <c r="P1" s="2634"/>
      <c r="Q1" s="2635"/>
      <c r="R1" s="2636"/>
      <c r="S1" s="2636"/>
      <c r="T1" s="1716"/>
      <c r="U1" s="1716"/>
      <c r="V1" s="33"/>
      <c r="W1" s="34"/>
      <c r="X1" s="34"/>
      <c r="Y1" s="35"/>
      <c r="Z1" s="35"/>
      <c r="AA1" s="35"/>
      <c r="AB1" s="35"/>
      <c r="AC1" s="35"/>
      <c r="AD1" s="35"/>
      <c r="AE1" s="35"/>
      <c r="AF1" s="35"/>
      <c r="AG1" s="35"/>
      <c r="AH1" s="35"/>
    </row>
    <row r="2" spans="1:57" s="26" customFormat="1" ht="30" hidden="1" customHeight="1" outlineLevel="1" x14ac:dyDescent="0.35">
      <c r="A2" s="1716"/>
      <c r="B2" s="1718"/>
      <c r="C2" s="225"/>
      <c r="D2" s="2622" t="s">
        <v>3345</v>
      </c>
      <c r="E2" s="2637"/>
      <c r="F2" s="2638"/>
      <c r="G2" s="2638"/>
      <c r="H2" s="2638"/>
      <c r="I2" s="2638"/>
      <c r="J2" s="2638"/>
      <c r="K2" s="1156"/>
      <c r="L2" s="1156"/>
      <c r="M2" s="1716"/>
      <c r="N2" s="1716"/>
      <c r="O2" s="1716"/>
      <c r="P2" s="1716"/>
      <c r="Q2" s="1716"/>
      <c r="R2" s="1716"/>
      <c r="S2" s="1716"/>
      <c r="T2" s="1716"/>
      <c r="U2" s="1716"/>
    </row>
    <row r="3" spans="1:57" s="29" customFormat="1" ht="33.75" customHeight="1" collapsed="1" x14ac:dyDescent="0.25">
      <c r="A3" s="1157"/>
      <c r="B3" s="1157"/>
      <c r="C3" s="226"/>
      <c r="D3" s="226"/>
      <c r="E3" s="226"/>
      <c r="F3" s="226"/>
      <c r="G3" s="226"/>
      <c r="H3" s="226"/>
      <c r="I3" s="226"/>
      <c r="J3" s="226"/>
      <c r="K3" s="1157"/>
      <c r="L3" s="1157"/>
      <c r="M3" s="1157"/>
      <c r="N3" s="1157"/>
      <c r="O3" s="1157"/>
      <c r="P3" s="1157"/>
      <c r="Q3" s="1157"/>
      <c r="R3" s="1157"/>
      <c r="S3" s="1157"/>
      <c r="T3" s="1157"/>
      <c r="U3" s="1157"/>
    </row>
    <row r="4" spans="1:57" x14ac:dyDescent="0.25">
      <c r="B4" s="2639" t="s">
        <v>556</v>
      </c>
      <c r="C4" s="2640"/>
      <c r="D4" s="2640"/>
      <c r="E4" s="2640"/>
      <c r="F4" s="2640"/>
      <c r="G4" s="2640"/>
      <c r="H4" s="2640"/>
      <c r="I4" s="2641"/>
      <c r="J4" s="2641"/>
      <c r="K4" s="2641"/>
      <c r="L4" s="2641"/>
      <c r="M4" s="2641"/>
      <c r="N4" s="2641"/>
      <c r="O4" s="2641"/>
      <c r="P4" s="2641"/>
      <c r="Q4" s="2641"/>
      <c r="R4" s="2641"/>
      <c r="S4" s="2642"/>
      <c r="V4" s="2639" t="str">
        <f>B4</f>
        <v>Lighting Program</v>
      </c>
      <c r="W4" s="2640"/>
      <c r="X4" s="2640"/>
      <c r="Y4" s="2640"/>
      <c r="Z4" s="2640"/>
      <c r="AA4" s="2640"/>
      <c r="AB4" s="2640"/>
      <c r="AC4" s="2615"/>
      <c r="AD4" s="2615"/>
      <c r="AE4" s="2615"/>
      <c r="AF4" s="2615"/>
      <c r="AG4" s="2615"/>
      <c r="AH4" s="2615"/>
      <c r="AI4" s="2616"/>
    </row>
    <row r="5" spans="1:57" x14ac:dyDescent="0.25">
      <c r="E5" s="177" t="s">
        <v>557</v>
      </c>
    </row>
    <row r="6" spans="1:57" ht="30" x14ac:dyDescent="0.25">
      <c r="C6" s="1641" t="s">
        <v>17</v>
      </c>
      <c r="D6" s="1641" t="s">
        <v>18</v>
      </c>
      <c r="E6" s="1641" t="s">
        <v>19</v>
      </c>
      <c r="F6" s="1641" t="s">
        <v>20</v>
      </c>
      <c r="G6" s="1641" t="s">
        <v>23</v>
      </c>
      <c r="H6" s="1641" t="s">
        <v>558</v>
      </c>
      <c r="I6" s="1641" t="s">
        <v>559</v>
      </c>
      <c r="J6" s="1641" t="s">
        <v>560</v>
      </c>
      <c r="K6" s="1641" t="s">
        <v>561</v>
      </c>
      <c r="L6" s="1641" t="s">
        <v>562</v>
      </c>
      <c r="M6" s="1641" t="s">
        <v>563</v>
      </c>
      <c r="N6" s="1641" t="s">
        <v>564</v>
      </c>
      <c r="O6" s="1641" t="s">
        <v>565</v>
      </c>
      <c r="P6" s="1641" t="s">
        <v>566</v>
      </c>
      <c r="Q6" s="1641" t="s">
        <v>567</v>
      </c>
      <c r="R6" s="1641" t="s">
        <v>568</v>
      </c>
      <c r="S6" s="1641" t="s">
        <v>26</v>
      </c>
      <c r="V6" s="55" t="s">
        <v>27</v>
      </c>
      <c r="W6" s="56">
        <v>43252</v>
      </c>
      <c r="X6" s="56">
        <v>43435</v>
      </c>
      <c r="Y6" s="56">
        <v>43800</v>
      </c>
      <c r="Z6" s="56">
        <v>43862</v>
      </c>
      <c r="AA6" s="56" t="s">
        <v>28</v>
      </c>
      <c r="AB6" s="56" t="s">
        <v>28</v>
      </c>
      <c r="AC6" s="56" t="s">
        <v>28</v>
      </c>
      <c r="AD6" s="56" t="s">
        <v>28</v>
      </c>
      <c r="AE6" s="56" t="s">
        <v>28</v>
      </c>
      <c r="AF6" s="56" t="s">
        <v>28</v>
      </c>
      <c r="AG6" s="56" t="s">
        <v>28</v>
      </c>
      <c r="BB6" s="103" t="s">
        <v>29</v>
      </c>
      <c r="BC6" s="58" t="s">
        <v>30</v>
      </c>
      <c r="BD6" s="59" t="s">
        <v>31</v>
      </c>
      <c r="BE6" s="59" t="s">
        <v>32</v>
      </c>
    </row>
    <row r="7" spans="1:57" s="65" customFormat="1" x14ac:dyDescent="0.25">
      <c r="A7" s="177"/>
      <c r="B7" s="177"/>
      <c r="C7" s="92" t="s">
        <v>569</v>
      </c>
      <c r="D7" s="150" t="s">
        <v>16</v>
      </c>
      <c r="E7" s="458" t="s">
        <v>570</v>
      </c>
      <c r="F7" s="152">
        <f>ROUND(L7+M7,2)</f>
        <v>9.52</v>
      </c>
      <c r="G7" s="153">
        <f>ROUND(((L7/F7)*I7+(M7/F7)*K7)*F7,6)</f>
        <v>1.433E-3</v>
      </c>
      <c r="H7" s="154" t="s">
        <v>571</v>
      </c>
      <c r="I7" s="239">
        <f>VLOOKUP(H7,'CP FACTORS'!$A$3:$B$38, 2, FALSE)</f>
        <v>1.4925290000000001E-4</v>
      </c>
      <c r="J7" s="154" t="s">
        <v>36</v>
      </c>
      <c r="K7" s="239">
        <f>VLOOKUP(J7,'CP FACTORS'!$A$3:$B$38, 2, FALSE)</f>
        <v>1.899635E-4</v>
      </c>
      <c r="L7" s="155">
        <f>((G40-G62)*$G$90*$G$84*(1-$G$85)*($G$86*$G$87)/1000)</f>
        <v>9.236443655932181</v>
      </c>
      <c r="M7" s="1880">
        <f t="shared" ref="M7:M28" si="0">((G40-G62)*(1-$G$90)*$G$84*(1-$G$85)*($G$88*$G$89)/1000)</f>
        <v>0.28610312121921999</v>
      </c>
      <c r="N7" s="1881">
        <f>L7*I7</f>
        <v>1.3785660013344804E-3</v>
      </c>
      <c r="O7" s="1881">
        <f>M7*K7</f>
        <v>5.4349150267727295E-5</v>
      </c>
      <c r="P7" s="156">
        <f t="shared" ref="P7:P28" si="1">$G$91</f>
        <v>19</v>
      </c>
      <c r="Q7" s="157">
        <f t="shared" ref="Q7:Q28" si="2">$G$92</f>
        <v>6</v>
      </c>
      <c r="R7" s="1882">
        <v>9.9999999999999995E-7</v>
      </c>
      <c r="S7" s="92" t="s">
        <v>572</v>
      </c>
      <c r="T7" s="177"/>
      <c r="U7" s="177"/>
      <c r="V7" s="61" t="s">
        <v>20</v>
      </c>
      <c r="W7" s="62">
        <v>12.91958407191729</v>
      </c>
      <c r="X7" s="158">
        <v>12.018748359511475</v>
      </c>
      <c r="Y7" s="63">
        <v>9.52</v>
      </c>
      <c r="Z7" s="159"/>
      <c r="AA7" s="64"/>
      <c r="AB7" s="64"/>
      <c r="AC7" s="64"/>
      <c r="AD7" s="64"/>
      <c r="AE7" s="64"/>
      <c r="AF7" s="64"/>
      <c r="AG7" s="64"/>
      <c r="AH7" s="160"/>
      <c r="BB7" s="161">
        <f>(BD7)/(BE7)</f>
        <v>108714.71888127942</v>
      </c>
      <c r="BC7" s="69" t="str">
        <f>CONCATENATE(H7," ",P7," Year EUL")</f>
        <v>Lighting RES 19 Year EUL</v>
      </c>
      <c r="BD7" s="162">
        <f>(INDEX('Avoided Cost Benefits'!$C$4:$C$857,MATCH(BC7,'Avoided Cost Benefits'!$A$4:$A$857,0)))*F7</f>
        <v>5.5767367558210328</v>
      </c>
      <c r="BE7" s="70">
        <f>O7/(1.0595^(2020-2019))</f>
        <v>5.1296979960101264E-5</v>
      </c>
    </row>
    <row r="8" spans="1:57" s="65" customFormat="1" x14ac:dyDescent="0.25">
      <c r="A8" s="177"/>
      <c r="B8" s="177"/>
      <c r="C8" s="92" t="s">
        <v>573</v>
      </c>
      <c r="D8" s="150" t="s">
        <v>16</v>
      </c>
      <c r="E8" s="458" t="s">
        <v>574</v>
      </c>
      <c r="F8" s="152">
        <f t="shared" ref="F8:F28" si="3">ROUND(L8+M8,2)</f>
        <v>39.11</v>
      </c>
      <c r="G8" s="153">
        <f t="shared" ref="G8:G12" si="4">ROUND(((L8/F8)*I8+(M8/F8)*K8)*F8,6)</f>
        <v>5.8849999999999996E-3</v>
      </c>
      <c r="H8" s="154" t="s">
        <v>571</v>
      </c>
      <c r="I8" s="239">
        <f>VLOOKUP(H8,'CP FACTORS'!$A$3:$B$38, 2, FALSE)</f>
        <v>1.4925290000000001E-4</v>
      </c>
      <c r="J8" s="154" t="s">
        <v>36</v>
      </c>
      <c r="K8" s="239">
        <f>VLOOKUP(J8,'CP FACTORS'!$A$3:$B$38, 2, FALSE)</f>
        <v>1.899635E-4</v>
      </c>
      <c r="L8" s="155">
        <f>((G41-G63)*$G$90*$G$84*(1-$G$85)*($G$86*$G$87)/1000)</f>
        <v>37.932190936498166</v>
      </c>
      <c r="M8" s="1880">
        <f t="shared" si="0"/>
        <v>1.1749671871430101</v>
      </c>
      <c r="N8" s="1881">
        <f t="shared" ref="N8:N28" si="5">L8*I8</f>
        <v>5.6614895006260671E-3</v>
      </c>
      <c r="O8" s="1881">
        <f t="shared" ref="O8:O28" si="6">M8*K8</f>
        <v>2.2320087925484119E-4</v>
      </c>
      <c r="P8" s="156">
        <f t="shared" si="1"/>
        <v>19</v>
      </c>
      <c r="Q8" s="157">
        <f t="shared" si="2"/>
        <v>6</v>
      </c>
      <c r="R8" s="1882">
        <v>9.9999999999999995E-7</v>
      </c>
      <c r="S8" s="92" t="s">
        <v>572</v>
      </c>
      <c r="T8" s="177"/>
      <c r="U8" s="177"/>
      <c r="V8" s="61" t="s">
        <v>20</v>
      </c>
      <c r="W8" s="62">
        <v>33.221787613501611</v>
      </c>
      <c r="X8" s="158">
        <v>25.609179196805226</v>
      </c>
      <c r="Y8" s="163">
        <v>39.11</v>
      </c>
      <c r="Z8" s="159"/>
      <c r="AA8" s="64"/>
      <c r="AB8" s="64"/>
      <c r="AC8" s="64"/>
      <c r="AD8" s="64"/>
      <c r="AE8" s="64"/>
      <c r="AF8" s="64"/>
      <c r="AG8" s="64"/>
      <c r="AH8" s="160"/>
      <c r="BB8" s="164">
        <f t="shared" ref="BB8:BB28" si="7">(BD8)/(BE8)</f>
        <v>108751.70439016636</v>
      </c>
      <c r="BC8" s="73" t="str">
        <f t="shared" ref="BC8:BC28" si="8">CONCATENATE(H8," ",P8," Year EUL")</f>
        <v>Lighting RES 19 Year EUL</v>
      </c>
      <c r="BD8" s="165">
        <f>(INDEX('Avoided Cost Benefits'!$C$4:$C$857,MATCH(BC8,'Avoided Cost Benefits'!$A$4:$A$857,0)))*F8</f>
        <v>22.910312449596699</v>
      </c>
      <c r="BE8" s="74">
        <f t="shared" ref="BE8:BE28" si="9">O8/(1.0595^(2020-2019))</f>
        <v>2.1066623808857119E-4</v>
      </c>
    </row>
    <row r="9" spans="1:57" s="65" customFormat="1" x14ac:dyDescent="0.25">
      <c r="A9" s="177"/>
      <c r="B9" s="177"/>
      <c r="C9" s="92" t="s">
        <v>575</v>
      </c>
      <c r="D9" s="150" t="s">
        <v>16</v>
      </c>
      <c r="E9" s="458" t="s">
        <v>576</v>
      </c>
      <c r="F9" s="152">
        <f t="shared" si="3"/>
        <v>4.62</v>
      </c>
      <c r="G9" s="153">
        <f t="shared" si="4"/>
        <v>6.96E-4</v>
      </c>
      <c r="H9" s="154" t="s">
        <v>571</v>
      </c>
      <c r="I9" s="239">
        <f>VLOOKUP(H9,'CP FACTORS'!$A$3:$B$38, 2, FALSE)</f>
        <v>1.4925290000000001E-4</v>
      </c>
      <c r="J9" s="154" t="s">
        <v>36</v>
      </c>
      <c r="K9" s="239">
        <f>VLOOKUP(J9,'CP FACTORS'!$A$3:$B$38, 2, FALSE)</f>
        <v>1.899635E-4</v>
      </c>
      <c r="L9" s="155">
        <f>((G42-G64)*$G$90*$G$84*(1-$G$85)*($G$86*$G$87)/1000)</f>
        <v>4.483710512588436</v>
      </c>
      <c r="M9" s="1880">
        <f t="shared" si="0"/>
        <v>0.13888501030059219</v>
      </c>
      <c r="N9" s="1881">
        <f t="shared" si="5"/>
        <v>6.6920679676431066E-4</v>
      </c>
      <c r="O9" s="1881">
        <f t="shared" si="6"/>
        <v>2.6383082654236545E-5</v>
      </c>
      <c r="P9" s="156">
        <f t="shared" si="1"/>
        <v>19</v>
      </c>
      <c r="Q9" s="157">
        <f t="shared" si="2"/>
        <v>6</v>
      </c>
      <c r="R9" s="1882">
        <v>9.9999999999999995E-7</v>
      </c>
      <c r="S9" s="92" t="s">
        <v>572</v>
      </c>
      <c r="T9" s="177"/>
      <c r="U9" s="177"/>
      <c r="V9" s="61" t="s">
        <v>20</v>
      </c>
      <c r="W9" s="62">
        <v>3.9681579649460259</v>
      </c>
      <c r="X9" s="158">
        <v>3.9754321496845653</v>
      </c>
      <c r="Y9" s="63">
        <v>4.62</v>
      </c>
      <c r="Z9" s="159"/>
      <c r="AA9" s="64"/>
      <c r="AB9" s="64"/>
      <c r="AC9" s="64"/>
      <c r="AD9" s="64"/>
      <c r="AE9" s="64"/>
      <c r="AF9" s="64"/>
      <c r="AG9" s="64"/>
      <c r="AH9" s="160"/>
      <c r="BB9" s="164">
        <f t="shared" si="7"/>
        <v>108682.74396396143</v>
      </c>
      <c r="BC9" s="73" t="str">
        <f t="shared" si="8"/>
        <v>Lighting RES 19 Year EUL</v>
      </c>
      <c r="BD9" s="165">
        <f>(INDEX('Avoided Cost Benefits'!$C$4:$C$857,MATCH(BC9,'Avoided Cost Benefits'!$A$4:$A$857,0)))*F9</f>
        <v>2.7063575432660896</v>
      </c>
      <c r="BE9" s="74">
        <f t="shared" si="9"/>
        <v>2.4901446582573423E-5</v>
      </c>
    </row>
    <row r="10" spans="1:57" s="65" customFormat="1" x14ac:dyDescent="0.25">
      <c r="A10" s="177"/>
      <c r="B10" s="177"/>
      <c r="C10" s="92" t="s">
        <v>577</v>
      </c>
      <c r="D10" s="150" t="s">
        <v>16</v>
      </c>
      <c r="E10" s="458" t="s">
        <v>578</v>
      </c>
      <c r="F10" s="152">
        <f t="shared" si="3"/>
        <v>28.75</v>
      </c>
      <c r="G10" s="153">
        <f t="shared" si="4"/>
        <v>4.3270000000000001E-3</v>
      </c>
      <c r="H10" s="154" t="s">
        <v>571</v>
      </c>
      <c r="I10" s="239">
        <f>VLOOKUP(H10,'CP FACTORS'!$A$3:$B$38, 2, FALSE)</f>
        <v>1.4925290000000001E-4</v>
      </c>
      <c r="J10" s="154" t="s">
        <v>36</v>
      </c>
      <c r="K10" s="239">
        <f>VLOOKUP(J10,'CP FACTORS'!$A$3:$B$38, 2, FALSE)</f>
        <v>1.899635E-4</v>
      </c>
      <c r="L10" s="155">
        <f>(($G$43-$G$65)*$G$90*$G$84*(1-$G$85)*($G$86*$G$87)/1000)</f>
        <v>27.888679388300076</v>
      </c>
      <c r="M10" s="1880">
        <f t="shared" si="0"/>
        <v>0.86386476406968349</v>
      </c>
      <c r="N10" s="1881">
        <f t="shared" si="5"/>
        <v>4.162466275874013E-3</v>
      </c>
      <c r="O10" s="1881">
        <f t="shared" si="6"/>
        <v>1.6410277410935134E-4</v>
      </c>
      <c r="P10" s="156">
        <f t="shared" si="1"/>
        <v>19</v>
      </c>
      <c r="Q10" s="157">
        <f t="shared" si="2"/>
        <v>6</v>
      </c>
      <c r="R10" s="1882">
        <v>9.9999999999999995E-7</v>
      </c>
      <c r="S10" s="92" t="s">
        <v>572</v>
      </c>
      <c r="T10" s="177"/>
      <c r="U10" s="177"/>
      <c r="V10" s="61" t="s">
        <v>20</v>
      </c>
      <c r="W10" s="62">
        <v>29.733499914083939</v>
      </c>
      <c r="X10" s="158">
        <v>29.677063256947569</v>
      </c>
      <c r="Y10" s="63">
        <v>28.75</v>
      </c>
      <c r="Z10" s="159"/>
      <c r="AA10" s="64"/>
      <c r="AB10" s="64"/>
      <c r="AC10" s="64"/>
      <c r="AD10" s="64"/>
      <c r="AE10" s="64"/>
      <c r="AF10" s="64"/>
      <c r="AG10" s="64"/>
      <c r="AH10" s="160"/>
      <c r="BB10" s="164">
        <f t="shared" si="7"/>
        <v>108734.17995865489</v>
      </c>
      <c r="BC10" s="73" t="str">
        <f t="shared" si="8"/>
        <v>Lighting RES 19 Year EUL</v>
      </c>
      <c r="BD10" s="165">
        <f>(INDEX('Avoided Cost Benefits'!$C$4:$C$857,MATCH(BC10,'Avoided Cost Benefits'!$A$4:$A$857,0)))*F10</f>
        <v>16.841510685909107</v>
      </c>
      <c r="BE10" s="74">
        <f t="shared" si="9"/>
        <v>1.5488699774360672E-4</v>
      </c>
    </row>
    <row r="11" spans="1:57" s="65" customFormat="1" x14ac:dyDescent="0.25">
      <c r="A11" s="177"/>
      <c r="B11" s="177"/>
      <c r="C11" s="92" t="s">
        <v>579</v>
      </c>
      <c r="D11" s="150" t="s">
        <v>16</v>
      </c>
      <c r="E11" s="458" t="s">
        <v>580</v>
      </c>
      <c r="F11" s="152">
        <f t="shared" si="3"/>
        <v>2.4</v>
      </c>
      <c r="G11" s="153">
        <f t="shared" si="4"/>
        <v>3.6200000000000002E-4</v>
      </c>
      <c r="H11" s="154" t="s">
        <v>571</v>
      </c>
      <c r="I11" s="239">
        <f>VLOOKUP(H11,'CP FACTORS'!$A$3:$B$38, 2, FALSE)</f>
        <v>1.4925290000000001E-4</v>
      </c>
      <c r="J11" s="154" t="s">
        <v>36</v>
      </c>
      <c r="K11" s="239">
        <f>VLOOKUP(J11,'CP FACTORS'!$A$3:$B$38, 2, FALSE)</f>
        <v>1.899635E-4</v>
      </c>
      <c r="L11" s="155">
        <f t="shared" ref="L11:L28" si="10">((G44-G66)*$G$90*$G$84*(1-$G$85)*($G$86*$G$87)/1000)</f>
        <v>2.3315294665459869</v>
      </c>
      <c r="M11" s="1880">
        <f t="shared" si="0"/>
        <v>7.2220205356307923E-2</v>
      </c>
      <c r="N11" s="1881">
        <f t="shared" si="5"/>
        <v>3.4798753431744154E-4</v>
      </c>
      <c r="O11" s="1881">
        <f t="shared" si="6"/>
        <v>1.3719202980203001E-5</v>
      </c>
      <c r="P11" s="156">
        <f t="shared" si="1"/>
        <v>19</v>
      </c>
      <c r="Q11" s="157">
        <f t="shared" si="2"/>
        <v>6</v>
      </c>
      <c r="R11" s="1882">
        <v>9.9999999999999995E-7</v>
      </c>
      <c r="S11" s="92" t="s">
        <v>572</v>
      </c>
      <c r="T11" s="177"/>
      <c r="U11" s="177"/>
      <c r="V11" s="61" t="s">
        <v>20</v>
      </c>
      <c r="W11" s="62">
        <v>7.8440331865212132</v>
      </c>
      <c r="X11" s="158">
        <v>7.8584123889113489</v>
      </c>
      <c r="Y11" s="63">
        <v>2.4</v>
      </c>
      <c r="Z11" s="159"/>
      <c r="AA11" s="64"/>
      <c r="AB11" s="64"/>
      <c r="AC11" s="64"/>
      <c r="AD11" s="64"/>
      <c r="AE11" s="64"/>
      <c r="AF11" s="64"/>
      <c r="AG11" s="64"/>
      <c r="AH11" s="160"/>
      <c r="BB11" s="164">
        <f t="shared" si="7"/>
        <v>108574.16979416728</v>
      </c>
      <c r="BC11" s="73" t="str">
        <f t="shared" si="8"/>
        <v>Lighting RES 19 Year EUL</v>
      </c>
      <c r="BD11" s="165">
        <f>(INDEX('Avoided Cost Benefits'!$C$4:$C$857,MATCH(BC11,'Avoided Cost Benefits'!$A$4:$A$857,0)))*F11</f>
        <v>1.4059000224758906</v>
      </c>
      <c r="BE11" s="74">
        <f t="shared" si="9"/>
        <v>1.2948752222938178E-5</v>
      </c>
    </row>
    <row r="12" spans="1:57" s="65" customFormat="1" x14ac:dyDescent="0.25">
      <c r="A12" s="177"/>
      <c r="B12" s="177"/>
      <c r="C12" s="92" t="s">
        <v>581</v>
      </c>
      <c r="D12" s="150" t="s">
        <v>16</v>
      </c>
      <c r="E12" s="458" t="s">
        <v>582</v>
      </c>
      <c r="F12" s="152">
        <f t="shared" si="3"/>
        <v>71</v>
      </c>
      <c r="G12" s="153">
        <f t="shared" si="4"/>
        <v>1.0684000000000001E-2</v>
      </c>
      <c r="H12" s="154" t="s">
        <v>571</v>
      </c>
      <c r="I12" s="239">
        <f>VLOOKUP(H12,'CP FACTORS'!$A$3:$B$38, 2, FALSE)</f>
        <v>1.4925290000000001E-4</v>
      </c>
      <c r="J12" s="154" t="s">
        <v>36</v>
      </c>
      <c r="K12" s="239">
        <f>VLOOKUP(J12,'CP FACTORS'!$A$3:$B$38, 2, FALSE)</f>
        <v>1.899635E-4</v>
      </c>
      <c r="L12" s="155">
        <f t="shared" si="10"/>
        <v>68.869793473358371</v>
      </c>
      <c r="M12" s="1880">
        <f t="shared" si="0"/>
        <v>2.1332737582170958</v>
      </c>
      <c r="N12" s="1881">
        <f t="shared" si="5"/>
        <v>1.027901639829981E-2</v>
      </c>
      <c r="O12" s="1881">
        <f t="shared" si="6"/>
        <v>4.052441495690733E-4</v>
      </c>
      <c r="P12" s="156">
        <f t="shared" si="1"/>
        <v>19</v>
      </c>
      <c r="Q12" s="157">
        <f t="shared" si="2"/>
        <v>6</v>
      </c>
      <c r="R12" s="1882">
        <v>9.9999999999999995E-7</v>
      </c>
      <c r="S12" s="92" t="s">
        <v>572</v>
      </c>
      <c r="T12" s="177"/>
      <c r="U12" s="177"/>
      <c r="V12" s="61" t="s">
        <v>20</v>
      </c>
      <c r="W12" s="62">
        <v>61.59873120003423</v>
      </c>
      <c r="X12" s="158">
        <v>47.335378154383655</v>
      </c>
      <c r="Y12" s="163">
        <v>71</v>
      </c>
      <c r="Z12" s="159"/>
      <c r="AA12" s="64"/>
      <c r="AB12" s="64"/>
      <c r="AC12" s="64"/>
      <c r="AD12" s="64"/>
      <c r="AE12" s="64"/>
      <c r="AF12" s="64"/>
      <c r="AG12" s="64"/>
      <c r="AH12" s="160"/>
      <c r="BB12" s="164">
        <f t="shared" si="7"/>
        <v>108739.10451390666</v>
      </c>
      <c r="BC12" s="73" t="str">
        <f t="shared" si="8"/>
        <v>Lighting RES 19 Year EUL</v>
      </c>
      <c r="BD12" s="165">
        <f>(INDEX('Avoided Cost Benefits'!$C$4:$C$857,MATCH(BC12,'Avoided Cost Benefits'!$A$4:$A$857,0)))*F12</f>
        <v>41.591208998245094</v>
      </c>
      <c r="BE12" s="74">
        <f t="shared" si="9"/>
        <v>3.8248621950832777E-4</v>
      </c>
    </row>
    <row r="13" spans="1:57" s="65" customFormat="1" x14ac:dyDescent="0.25">
      <c r="A13" s="177"/>
      <c r="B13" s="177"/>
      <c r="C13" s="92" t="s">
        <v>583</v>
      </c>
      <c r="D13" s="150" t="s">
        <v>16</v>
      </c>
      <c r="E13" s="458" t="s">
        <v>584</v>
      </c>
      <c r="F13" s="152">
        <f t="shared" si="3"/>
        <v>37.81</v>
      </c>
      <c r="G13" s="153">
        <f>ROUND(((L13/F13)*I13+(M13/F13)*K13)*F13,6)</f>
        <v>5.6899999999999997E-3</v>
      </c>
      <c r="H13" s="154" t="s">
        <v>571</v>
      </c>
      <c r="I13" s="239">
        <f>VLOOKUP(H13,'CP FACTORS'!$A$3:$B$38, 2, FALSE)</f>
        <v>1.4925290000000001E-4</v>
      </c>
      <c r="J13" s="154" t="s">
        <v>36</v>
      </c>
      <c r="K13" s="239">
        <f>VLOOKUP(J13,'CP FACTORS'!$A$3:$B$38, 2, FALSE)</f>
        <v>1.899635E-4</v>
      </c>
      <c r="L13" s="155">
        <f t="shared" si="10"/>
        <v>36.676751992973415</v>
      </c>
      <c r="M13" s="1880">
        <f t="shared" si="0"/>
        <v>1.1360793842588441</v>
      </c>
      <c r="N13" s="1881">
        <f t="shared" si="5"/>
        <v>5.4741115975320623E-3</v>
      </c>
      <c r="O13" s="1881">
        <f t="shared" si="6"/>
        <v>2.1581361611165494E-4</v>
      </c>
      <c r="P13" s="156">
        <f t="shared" si="1"/>
        <v>19</v>
      </c>
      <c r="Q13" s="157">
        <f t="shared" si="2"/>
        <v>6</v>
      </c>
      <c r="R13" s="1882">
        <v>9.9999999999999995E-7</v>
      </c>
      <c r="S13" s="92" t="s">
        <v>572</v>
      </c>
      <c r="T13" s="177"/>
      <c r="U13" s="177"/>
      <c r="V13" s="61" t="s">
        <v>20</v>
      </c>
      <c r="W13" s="62">
        <v>39.127883189235227</v>
      </c>
      <c r="X13" s="158">
        <v>38.275090929521156</v>
      </c>
      <c r="Y13" s="63">
        <v>37.81</v>
      </c>
      <c r="Z13" s="159"/>
      <c r="AA13" s="64"/>
      <c r="AB13" s="64"/>
      <c r="AC13" s="64"/>
      <c r="AD13" s="64"/>
      <c r="AE13" s="64"/>
      <c r="AF13" s="64"/>
      <c r="AG13" s="64"/>
      <c r="AH13" s="160"/>
      <c r="BB13" s="164">
        <f t="shared" si="7"/>
        <v>108735.65949251635</v>
      </c>
      <c r="BC13" s="73" t="str">
        <f t="shared" si="8"/>
        <v>Lighting RES 19 Year EUL</v>
      </c>
      <c r="BD13" s="165">
        <f>(INDEX('Avoided Cost Benefits'!$C$4:$C$857,MATCH(BC13,'Avoided Cost Benefits'!$A$4:$A$857,0)))*F13</f>
        <v>22.148783270755594</v>
      </c>
      <c r="BE13" s="74">
        <f t="shared" si="9"/>
        <v>2.0369383304545062E-4</v>
      </c>
    </row>
    <row r="14" spans="1:57" s="65" customFormat="1" x14ac:dyDescent="0.25">
      <c r="A14" s="177"/>
      <c r="B14" s="177"/>
      <c r="C14" s="1572" t="s">
        <v>585</v>
      </c>
      <c r="D14" s="150" t="s">
        <v>16</v>
      </c>
      <c r="E14" s="458" t="s">
        <v>586</v>
      </c>
      <c r="F14" s="152">
        <f t="shared" si="3"/>
        <v>6.29</v>
      </c>
      <c r="G14" s="153">
        <f>ROUND(((L14/F14)*I14+(M14/F14)*K14)*F14,6)</f>
        <v>9.4600000000000001E-4</v>
      </c>
      <c r="H14" s="154" t="s">
        <v>571</v>
      </c>
      <c r="I14" s="239">
        <f>VLOOKUP(H14,'CP FACTORS'!$A$3:$B$38, 2, FALSE)</f>
        <v>1.4925290000000001E-4</v>
      </c>
      <c r="J14" s="154" t="s">
        <v>36</v>
      </c>
      <c r="K14" s="239">
        <f>VLOOKUP(J14,'CP FACTORS'!$A$3:$B$38, 2, FALSE)</f>
        <v>1.899635E-4</v>
      </c>
      <c r="L14" s="155">
        <f t="shared" si="10"/>
        <v>6.0978462971202729</v>
      </c>
      <c r="M14" s="1880">
        <f t="shared" si="0"/>
        <v>0.18888361400880535</v>
      </c>
      <c r="N14" s="1881">
        <f t="shared" si="5"/>
        <v>9.1012124359946239E-4</v>
      </c>
      <c r="O14" s="1881">
        <f t="shared" si="6"/>
        <v>3.5880992409761698E-5</v>
      </c>
      <c r="P14" s="156">
        <f t="shared" si="1"/>
        <v>19</v>
      </c>
      <c r="Q14" s="157">
        <f t="shared" si="2"/>
        <v>6</v>
      </c>
      <c r="R14" s="1882">
        <v>9.9999999999999995E-7</v>
      </c>
      <c r="S14" s="92" t="s">
        <v>572</v>
      </c>
      <c r="T14" s="177"/>
      <c r="U14" s="177"/>
      <c r="V14" s="61" t="s">
        <v>20</v>
      </c>
      <c r="W14" s="62">
        <v>7.6594676997795368</v>
      </c>
      <c r="X14" s="158">
        <v>7.6735085679957855</v>
      </c>
      <c r="Y14" s="63">
        <v>6.29</v>
      </c>
      <c r="Z14" s="159"/>
      <c r="AA14" s="64"/>
      <c r="AB14" s="64"/>
      <c r="AC14" s="64"/>
      <c r="AD14" s="64"/>
      <c r="AE14" s="64"/>
      <c r="AF14" s="64"/>
      <c r="AG14" s="64"/>
      <c r="AH14" s="160"/>
      <c r="BB14" s="164">
        <f t="shared" si="7"/>
        <v>108800.36598123843</v>
      </c>
      <c r="BC14" s="73" t="str">
        <f t="shared" si="8"/>
        <v>Lighting RES 19 Year EUL</v>
      </c>
      <c r="BD14" s="165">
        <f>(INDEX('Avoided Cost Benefits'!$C$4:$C$857,MATCH(BC14,'Avoided Cost Benefits'!$A$4:$A$857,0)))*F14</f>
        <v>3.6846296422388964</v>
      </c>
      <c r="BE14" s="74">
        <f t="shared" si="9"/>
        <v>3.3865967352299855E-5</v>
      </c>
    </row>
    <row r="15" spans="1:57" s="65" customFormat="1" x14ac:dyDescent="0.25">
      <c r="A15" s="177"/>
      <c r="B15" s="177"/>
      <c r="C15" s="1572" t="s">
        <v>587</v>
      </c>
      <c r="D15" s="150" t="s">
        <v>16</v>
      </c>
      <c r="E15" s="458" t="s">
        <v>588</v>
      </c>
      <c r="F15" s="152">
        <f t="shared" si="3"/>
        <v>5.55</v>
      </c>
      <c r="G15" s="153">
        <f t="shared" ref="G15:G28" si="11">ROUND(((L15/F15)*I15+(M15/F15)*K15)*F15,6)</f>
        <v>8.3500000000000002E-4</v>
      </c>
      <c r="H15" s="154" t="s">
        <v>571</v>
      </c>
      <c r="I15" s="239">
        <f>VLOOKUP(H15,'CP FACTORS'!$A$3:$B$38, 2, FALSE)</f>
        <v>1.4925290000000001E-4</v>
      </c>
      <c r="J15" s="154" t="s">
        <v>36</v>
      </c>
      <c r="K15" s="239">
        <f>VLOOKUP(J15,'CP FACTORS'!$A$3:$B$38, 2, FALSE)</f>
        <v>1.899635E-4</v>
      </c>
      <c r="L15" s="155">
        <f t="shared" si="10"/>
        <v>5.3804526151061243</v>
      </c>
      <c r="M15" s="1880">
        <f t="shared" si="0"/>
        <v>0.16666201236071063</v>
      </c>
      <c r="N15" s="1881">
        <f t="shared" si="5"/>
        <v>8.030481561171729E-4</v>
      </c>
      <c r="O15" s="1881">
        <f t="shared" si="6"/>
        <v>3.1659699185083856E-5</v>
      </c>
      <c r="P15" s="156">
        <f t="shared" si="1"/>
        <v>19</v>
      </c>
      <c r="Q15" s="157">
        <f t="shared" si="2"/>
        <v>6</v>
      </c>
      <c r="R15" s="1882">
        <v>9.9999999999999995E-7</v>
      </c>
      <c r="S15" s="92" t="s">
        <v>572</v>
      </c>
      <c r="T15" s="177"/>
      <c r="U15" s="177"/>
      <c r="V15" s="61" t="s">
        <v>20</v>
      </c>
      <c r="W15" s="62">
        <v>4.4295716818002155</v>
      </c>
      <c r="X15" s="158">
        <v>4.4376917019734679</v>
      </c>
      <c r="Y15" s="63">
        <v>5.55</v>
      </c>
      <c r="Z15" s="159"/>
      <c r="AA15" s="64"/>
      <c r="AB15" s="64"/>
      <c r="AC15" s="64"/>
      <c r="AD15" s="64"/>
      <c r="AE15" s="64"/>
      <c r="AF15" s="64"/>
      <c r="AG15" s="64"/>
      <c r="AH15" s="160"/>
      <c r="BB15" s="164">
        <f t="shared" si="7"/>
        <v>108800.36598123843</v>
      </c>
      <c r="BC15" s="73" t="str">
        <f t="shared" si="8"/>
        <v>Lighting RES 19 Year EUL</v>
      </c>
      <c r="BD15" s="165">
        <f>(INDEX('Avoided Cost Benefits'!$C$4:$C$857,MATCH(BC15,'Avoided Cost Benefits'!$A$4:$A$857,0)))*F15</f>
        <v>3.251143801975497</v>
      </c>
      <c r="BE15" s="74">
        <f t="shared" si="9"/>
        <v>2.9881735899088111E-5</v>
      </c>
    </row>
    <row r="16" spans="1:57" s="65" customFormat="1" x14ac:dyDescent="0.25">
      <c r="A16" s="177"/>
      <c r="B16" s="177"/>
      <c r="C16" s="1572" t="s">
        <v>589</v>
      </c>
      <c r="D16" s="150" t="s">
        <v>16</v>
      </c>
      <c r="E16" s="458" t="s">
        <v>590</v>
      </c>
      <c r="F16" s="152">
        <f t="shared" si="3"/>
        <v>47.43</v>
      </c>
      <c r="G16" s="153">
        <f t="shared" si="11"/>
        <v>7.1370000000000001E-3</v>
      </c>
      <c r="H16" s="154" t="s">
        <v>571</v>
      </c>
      <c r="I16" s="239">
        <f>VLOOKUP(H16,'CP FACTORS'!$A$3:$B$38, 2, FALSE)</f>
        <v>1.4925290000000001E-4</v>
      </c>
      <c r="J16" s="154" t="s">
        <v>36</v>
      </c>
      <c r="K16" s="239">
        <f>VLOOKUP(J16,'CP FACTORS'!$A$3:$B$38, 2, FALSE)</f>
        <v>1.899635E-4</v>
      </c>
      <c r="L16" s="155">
        <f t="shared" si="10"/>
        <v>46.002869859157357</v>
      </c>
      <c r="M16" s="1880">
        <f t="shared" si="0"/>
        <v>1.4249602056840758</v>
      </c>
      <c r="N16" s="1881">
        <f t="shared" si="5"/>
        <v>6.8660617348018276E-3</v>
      </c>
      <c r="O16" s="1881">
        <f t="shared" si="6"/>
        <v>2.7069042803246692E-4</v>
      </c>
      <c r="P16" s="156">
        <f t="shared" si="1"/>
        <v>19</v>
      </c>
      <c r="Q16" s="157">
        <f t="shared" si="2"/>
        <v>6</v>
      </c>
      <c r="R16" s="1882">
        <v>9.9999999999999995E-7</v>
      </c>
      <c r="S16" s="92" t="s">
        <v>572</v>
      </c>
      <c r="T16" s="177"/>
      <c r="U16" s="177"/>
      <c r="V16" s="61" t="s">
        <v>20</v>
      </c>
      <c r="W16" s="62">
        <v>46.971916375756443</v>
      </c>
      <c r="X16" s="158">
        <v>46.503310960263626</v>
      </c>
      <c r="Y16" s="63">
        <v>47.43</v>
      </c>
      <c r="Z16" s="159"/>
      <c r="AA16" s="64"/>
      <c r="AB16" s="64"/>
      <c r="AC16" s="64"/>
      <c r="AD16" s="64"/>
      <c r="AE16" s="64"/>
      <c r="AF16" s="64"/>
      <c r="AG16" s="64"/>
      <c r="AH16" s="160"/>
      <c r="BB16" s="164">
        <f t="shared" si="7"/>
        <v>108748.77737716958</v>
      </c>
      <c r="BC16" s="73" t="str">
        <f t="shared" si="8"/>
        <v>Lighting RES 19 Year EUL</v>
      </c>
      <c r="BD16" s="165">
        <f>(INDEX('Avoided Cost Benefits'!$C$4:$C$857,MATCH(BC16,'Avoided Cost Benefits'!$A$4:$A$857,0)))*F16</f>
        <v>27.784099194179788</v>
      </c>
      <c r="BE16" s="74">
        <f t="shared" si="9"/>
        <v>2.5548884193720328E-4</v>
      </c>
    </row>
    <row r="17" spans="1:57" s="65" customFormat="1" x14ac:dyDescent="0.25">
      <c r="A17" s="177"/>
      <c r="B17" s="177"/>
      <c r="C17" s="1572" t="s">
        <v>591</v>
      </c>
      <c r="D17" s="150" t="s">
        <v>16</v>
      </c>
      <c r="E17" s="458" t="s">
        <v>592</v>
      </c>
      <c r="F17" s="152">
        <f t="shared" si="3"/>
        <v>4.62</v>
      </c>
      <c r="G17" s="153">
        <f t="shared" si="11"/>
        <v>6.96E-4</v>
      </c>
      <c r="H17" s="154" t="s">
        <v>571</v>
      </c>
      <c r="I17" s="239">
        <f>VLOOKUP(H17,'CP FACTORS'!$A$3:$B$38, 2, FALSE)</f>
        <v>1.4925290000000001E-4</v>
      </c>
      <c r="J17" s="154" t="s">
        <v>36</v>
      </c>
      <c r="K17" s="239">
        <f>VLOOKUP(J17,'CP FACTORS'!$A$3:$B$38, 2, FALSE)</f>
        <v>1.899635E-4</v>
      </c>
      <c r="L17" s="155">
        <f t="shared" si="10"/>
        <v>4.483710512588436</v>
      </c>
      <c r="M17" s="1880">
        <f t="shared" si="0"/>
        <v>0.13888501030059219</v>
      </c>
      <c r="N17" s="1881">
        <f t="shared" si="5"/>
        <v>6.6920679676431066E-4</v>
      </c>
      <c r="O17" s="1881">
        <f t="shared" si="6"/>
        <v>2.6383082654236545E-5</v>
      </c>
      <c r="P17" s="156">
        <f t="shared" si="1"/>
        <v>19</v>
      </c>
      <c r="Q17" s="157">
        <f t="shared" si="2"/>
        <v>6</v>
      </c>
      <c r="R17" s="1882">
        <v>9.9999999999999995E-7</v>
      </c>
      <c r="S17" s="92" t="s">
        <v>572</v>
      </c>
      <c r="T17" s="177"/>
      <c r="U17" s="177"/>
      <c r="V17" s="61" t="s">
        <v>20</v>
      </c>
      <c r="W17" s="62">
        <v>4.6141371685418902</v>
      </c>
      <c r="X17" s="158">
        <v>4.6225955228890285</v>
      </c>
      <c r="Y17" s="71">
        <v>4.62</v>
      </c>
      <c r="Z17" s="159"/>
      <c r="AA17" s="64"/>
      <c r="AB17" s="64"/>
      <c r="AC17" s="64"/>
      <c r="AD17" s="64"/>
      <c r="AE17" s="64"/>
      <c r="AF17" s="64"/>
      <c r="AG17" s="64"/>
      <c r="AH17" s="160"/>
      <c r="BB17" s="164">
        <f t="shared" si="7"/>
        <v>108682.74396396143</v>
      </c>
      <c r="BC17" s="73" t="str">
        <f t="shared" si="8"/>
        <v>Lighting RES 19 Year EUL</v>
      </c>
      <c r="BD17" s="165">
        <f>(INDEX('Avoided Cost Benefits'!$C$4:$C$857,MATCH(BC17,'Avoided Cost Benefits'!$A$4:$A$857,0)))*F17</f>
        <v>2.7063575432660896</v>
      </c>
      <c r="BE17" s="74">
        <f t="shared" si="9"/>
        <v>2.4901446582573423E-5</v>
      </c>
    </row>
    <row r="18" spans="1:57" s="65" customFormat="1" x14ac:dyDescent="0.25">
      <c r="A18" s="177"/>
      <c r="B18" s="177"/>
      <c r="C18" s="1572" t="s">
        <v>593</v>
      </c>
      <c r="D18" s="150" t="s">
        <v>16</v>
      </c>
      <c r="E18" s="458" t="s">
        <v>594</v>
      </c>
      <c r="F18" s="152">
        <f t="shared" si="3"/>
        <v>75.81</v>
      </c>
      <c r="G18" s="153">
        <f t="shared" si="11"/>
        <v>1.1408E-2</v>
      </c>
      <c r="H18" s="154" t="s">
        <v>571</v>
      </c>
      <c r="I18" s="239">
        <f>VLOOKUP(H18,'CP FACTORS'!$A$3:$B$38, 2, FALSE)</f>
        <v>1.4925290000000001E-4</v>
      </c>
      <c r="J18" s="154" t="s">
        <v>36</v>
      </c>
      <c r="K18" s="239">
        <f>VLOOKUP(J18,'CP FACTORS'!$A$3:$B$38, 2, FALSE)</f>
        <v>1.899635E-4</v>
      </c>
      <c r="L18" s="155">
        <f t="shared" si="10"/>
        <v>73.53285240645036</v>
      </c>
      <c r="M18" s="1880">
        <f t="shared" si="0"/>
        <v>2.2777141689297125</v>
      </c>
      <c r="N18" s="1881">
        <f t="shared" si="5"/>
        <v>1.0974991466934696E-2</v>
      </c>
      <c r="O18" s="1881">
        <f t="shared" si="6"/>
        <v>4.3268255552947945E-4</v>
      </c>
      <c r="P18" s="156">
        <f t="shared" si="1"/>
        <v>19</v>
      </c>
      <c r="Q18" s="157">
        <f t="shared" si="2"/>
        <v>6</v>
      </c>
      <c r="R18" s="1882">
        <v>9.9999999999999995E-7</v>
      </c>
      <c r="S18" s="92" t="s">
        <v>572</v>
      </c>
      <c r="T18" s="177"/>
      <c r="U18" s="177"/>
      <c r="V18" s="61" t="s">
        <v>20</v>
      </c>
      <c r="W18" s="62">
        <v>75.671849564086983</v>
      </c>
      <c r="X18" s="158">
        <v>75.810566575380079</v>
      </c>
      <c r="Y18" s="71">
        <v>75.81</v>
      </c>
      <c r="Z18" s="159"/>
      <c r="AA18" s="64"/>
      <c r="AB18" s="64"/>
      <c r="AC18" s="64"/>
      <c r="AD18" s="64"/>
      <c r="AE18" s="64"/>
      <c r="AF18" s="64"/>
      <c r="AG18" s="64"/>
      <c r="AH18" s="160"/>
      <c r="BB18" s="164">
        <f t="shared" si="7"/>
        <v>108742.98938744473</v>
      </c>
      <c r="BC18" s="73" t="str">
        <f t="shared" si="8"/>
        <v>Lighting RES 19 Year EUL</v>
      </c>
      <c r="BD18" s="165">
        <f>(INDEX('Avoided Cost Benefits'!$C$4:$C$857,MATCH(BC18,'Avoided Cost Benefits'!$A$4:$A$857,0)))*F18</f>
        <v>44.408866959957194</v>
      </c>
      <c r="BE18" s="74">
        <f t="shared" si="9"/>
        <v>4.0838372395420427E-4</v>
      </c>
    </row>
    <row r="19" spans="1:57" s="65" customFormat="1" x14ac:dyDescent="0.25">
      <c r="A19" s="177"/>
      <c r="B19" s="177"/>
      <c r="C19" s="1572" t="s">
        <v>595</v>
      </c>
      <c r="D19" s="150" t="s">
        <v>16</v>
      </c>
      <c r="E19" s="458" t="s">
        <v>596</v>
      </c>
      <c r="F19" s="152">
        <f t="shared" si="3"/>
        <v>8.8800000000000008</v>
      </c>
      <c r="G19" s="153">
        <f t="shared" si="11"/>
        <v>1.3359999999999999E-3</v>
      </c>
      <c r="H19" s="154" t="s">
        <v>571</v>
      </c>
      <c r="I19" s="239">
        <f>VLOOKUP(H19,'CP FACTORS'!$A$3:$B$38, 2, FALSE)</f>
        <v>1.4925290000000001E-4</v>
      </c>
      <c r="J19" s="154" t="s">
        <v>36</v>
      </c>
      <c r="K19" s="239">
        <f>VLOOKUP(J19,'CP FACTORS'!$A$3:$B$38, 2, FALSE)</f>
        <v>1.899635E-4</v>
      </c>
      <c r="L19" s="155">
        <f t="shared" si="10"/>
        <v>8.6087241841697981</v>
      </c>
      <c r="M19" s="1880">
        <f t="shared" si="0"/>
        <v>0.26665921977713702</v>
      </c>
      <c r="N19" s="1881">
        <f t="shared" si="5"/>
        <v>1.2848770497874765E-3</v>
      </c>
      <c r="O19" s="1881">
        <f t="shared" si="6"/>
        <v>5.0655518696134169E-5</v>
      </c>
      <c r="P19" s="156">
        <f t="shared" si="1"/>
        <v>19</v>
      </c>
      <c r="Q19" s="157">
        <f t="shared" si="2"/>
        <v>6</v>
      </c>
      <c r="R19" s="1882">
        <v>9.9999999999999995E-7</v>
      </c>
      <c r="S19" s="92" t="s">
        <v>572</v>
      </c>
      <c r="T19" s="177"/>
      <c r="U19" s="177"/>
      <c r="V19" s="61" t="s">
        <v>20</v>
      </c>
      <c r="W19" s="62">
        <v>9.043708850342103</v>
      </c>
      <c r="X19" s="158">
        <v>9.0602872248624973</v>
      </c>
      <c r="Y19" s="63">
        <v>8.8800000000000008</v>
      </c>
      <c r="Z19" s="159"/>
      <c r="AA19" s="64"/>
      <c r="AB19" s="64"/>
      <c r="AC19" s="64"/>
      <c r="AD19" s="64"/>
      <c r="AE19" s="64"/>
      <c r="AF19" s="64"/>
      <c r="AG19" s="64"/>
      <c r="AH19" s="160"/>
      <c r="BB19" s="164">
        <f t="shared" si="7"/>
        <v>108800.36598123843</v>
      </c>
      <c r="BC19" s="73" t="str">
        <f t="shared" si="8"/>
        <v>Lighting RES 19 Year EUL</v>
      </c>
      <c r="BD19" s="165">
        <f>(INDEX('Avoided Cost Benefits'!$C$4:$C$857,MATCH(BC19,'Avoided Cost Benefits'!$A$4:$A$857,0)))*F19</f>
        <v>5.2018300831607958</v>
      </c>
      <c r="BE19" s="74">
        <f t="shared" si="9"/>
        <v>4.7810777438540978E-5</v>
      </c>
    </row>
    <row r="20" spans="1:57" s="65" customFormat="1" x14ac:dyDescent="0.25">
      <c r="A20" s="177"/>
      <c r="B20" s="177"/>
      <c r="C20" s="1572" t="s">
        <v>597</v>
      </c>
      <c r="D20" s="150" t="s">
        <v>16</v>
      </c>
      <c r="E20" s="458" t="s">
        <v>598</v>
      </c>
      <c r="F20" s="152">
        <f t="shared" si="3"/>
        <v>52.51</v>
      </c>
      <c r="G20" s="153">
        <f t="shared" si="11"/>
        <v>7.9019999999999993E-3</v>
      </c>
      <c r="H20" s="154" t="s">
        <v>571</v>
      </c>
      <c r="I20" s="239">
        <f>VLOOKUP(H20,'CP FACTORS'!$A$3:$B$38, 2, FALSE)</f>
        <v>1.4925290000000001E-4</v>
      </c>
      <c r="J20" s="154" t="s">
        <v>36</v>
      </c>
      <c r="K20" s="239">
        <f>VLOOKUP(J20,'CP FACTORS'!$A$3:$B$38, 2, FALSE)</f>
        <v>1.899635E-4</v>
      </c>
      <c r="L20" s="155">
        <f t="shared" si="10"/>
        <v>50.934951423004641</v>
      </c>
      <c r="M20" s="1880">
        <f t="shared" si="0"/>
        <v>1.5777337170147272</v>
      </c>
      <c r="N20" s="1881">
        <f t="shared" si="5"/>
        <v>7.60218921124257E-3</v>
      </c>
      <c r="O20" s="1881">
        <f t="shared" si="6"/>
        <v>2.9971181895212712E-4</v>
      </c>
      <c r="P20" s="156">
        <f t="shared" si="1"/>
        <v>19</v>
      </c>
      <c r="Q20" s="157">
        <f t="shared" si="2"/>
        <v>6</v>
      </c>
      <c r="R20" s="1882">
        <v>9.9999999999999995E-7</v>
      </c>
      <c r="S20" s="92" t="s">
        <v>572</v>
      </c>
      <c r="T20" s="177"/>
      <c r="U20" s="177"/>
      <c r="V20" s="61" t="s">
        <v>20</v>
      </c>
      <c r="W20" s="62">
        <v>52.601163721377539</v>
      </c>
      <c r="X20" s="158">
        <v>52.512685140019379</v>
      </c>
      <c r="Y20" s="71">
        <v>52.51</v>
      </c>
      <c r="Z20" s="159"/>
      <c r="AA20" s="64"/>
      <c r="AB20" s="64"/>
      <c r="AC20" s="64"/>
      <c r="AD20" s="64"/>
      <c r="AE20" s="64"/>
      <c r="AF20" s="64"/>
      <c r="AG20" s="64"/>
      <c r="AH20" s="160"/>
      <c r="BB20" s="164">
        <f t="shared" si="7"/>
        <v>108738.2416763386</v>
      </c>
      <c r="BC20" s="73" t="str">
        <f t="shared" si="8"/>
        <v>Lighting RES 19 Year EUL</v>
      </c>
      <c r="BD20" s="165">
        <f>(INDEX('Avoided Cost Benefits'!$C$4:$C$857,MATCH(BC20,'Avoided Cost Benefits'!$A$4:$A$857,0)))*F20</f>
        <v>30.759920908420423</v>
      </c>
      <c r="BE20" s="74">
        <f t="shared" si="9"/>
        <v>2.8288043317803408E-4</v>
      </c>
    </row>
    <row r="21" spans="1:57" s="65" customFormat="1" x14ac:dyDescent="0.25">
      <c r="A21" s="177"/>
      <c r="B21" s="177"/>
      <c r="C21" s="1572" t="s">
        <v>599</v>
      </c>
      <c r="D21" s="150" t="s">
        <v>16</v>
      </c>
      <c r="E21" s="458" t="s">
        <v>600</v>
      </c>
      <c r="F21" s="152">
        <f t="shared" si="3"/>
        <v>4.62</v>
      </c>
      <c r="G21" s="153">
        <f t="shared" si="11"/>
        <v>6.96E-4</v>
      </c>
      <c r="H21" s="154" t="s">
        <v>571</v>
      </c>
      <c r="I21" s="239">
        <f>VLOOKUP(H21,'CP FACTORS'!$A$3:$B$38, 2, FALSE)</f>
        <v>1.4925290000000001E-4</v>
      </c>
      <c r="J21" s="154" t="s">
        <v>36</v>
      </c>
      <c r="K21" s="239">
        <f>VLOOKUP(J21,'CP FACTORS'!$A$3:$B$38, 2, FALSE)</f>
        <v>1.899635E-4</v>
      </c>
      <c r="L21" s="155">
        <f t="shared" si="10"/>
        <v>4.483710512588436</v>
      </c>
      <c r="M21" s="1880">
        <f t="shared" si="0"/>
        <v>0.13888501030059219</v>
      </c>
      <c r="N21" s="1881">
        <f t="shared" si="5"/>
        <v>6.6920679676431066E-4</v>
      </c>
      <c r="O21" s="1881">
        <f t="shared" si="6"/>
        <v>2.6383082654236545E-5</v>
      </c>
      <c r="P21" s="156">
        <f t="shared" si="1"/>
        <v>19</v>
      </c>
      <c r="Q21" s="157">
        <f t="shared" si="2"/>
        <v>6</v>
      </c>
      <c r="R21" s="1882">
        <v>9.9999999999999995E-7</v>
      </c>
      <c r="S21" s="92" t="s">
        <v>572</v>
      </c>
      <c r="T21" s="177"/>
      <c r="U21" s="177"/>
      <c r="V21" s="61" t="s">
        <v>20</v>
      </c>
      <c r="W21" s="62">
        <v>4.1527234516877014</v>
      </c>
      <c r="X21" s="158">
        <v>4.1603359706001255</v>
      </c>
      <c r="Y21" s="63">
        <v>4.62</v>
      </c>
      <c r="Z21" s="159"/>
      <c r="AA21" s="64"/>
      <c r="AB21" s="64"/>
      <c r="AC21" s="64"/>
      <c r="AD21" s="64"/>
      <c r="AE21" s="64"/>
      <c r="AF21" s="64"/>
      <c r="AG21" s="64"/>
      <c r="AH21" s="160"/>
      <c r="BB21" s="164">
        <f t="shared" si="7"/>
        <v>108682.74396396143</v>
      </c>
      <c r="BC21" s="73" t="str">
        <f t="shared" si="8"/>
        <v>Lighting RES 19 Year EUL</v>
      </c>
      <c r="BD21" s="165">
        <f>(INDEX('Avoided Cost Benefits'!$C$4:$C$857,MATCH(BC21,'Avoided Cost Benefits'!$A$4:$A$857,0)))*F21</f>
        <v>2.7063575432660896</v>
      </c>
      <c r="BE21" s="74">
        <f t="shared" si="9"/>
        <v>2.4901446582573423E-5</v>
      </c>
    </row>
    <row r="22" spans="1:57" s="65" customFormat="1" x14ac:dyDescent="0.25">
      <c r="A22" s="177"/>
      <c r="B22" s="177"/>
      <c r="C22" s="1572" t="s">
        <v>601</v>
      </c>
      <c r="D22" s="150" t="s">
        <v>16</v>
      </c>
      <c r="E22" s="458" t="s">
        <v>602</v>
      </c>
      <c r="F22" s="152">
        <f t="shared" si="3"/>
        <v>32.36</v>
      </c>
      <c r="G22" s="153">
        <f t="shared" si="11"/>
        <v>4.8690000000000001E-3</v>
      </c>
      <c r="H22" s="154" t="s">
        <v>571</v>
      </c>
      <c r="I22" s="239">
        <f>VLOOKUP(H22,'CP FACTORS'!$A$3:$B$38, 2, FALSE)</f>
        <v>1.4925290000000001E-4</v>
      </c>
      <c r="J22" s="154" t="s">
        <v>36</v>
      </c>
      <c r="K22" s="239">
        <f>VLOOKUP(J22,'CP FACTORS'!$A$3:$B$38, 2, FALSE)</f>
        <v>1.899635E-4</v>
      </c>
      <c r="L22" s="155">
        <f t="shared" si="10"/>
        <v>31.385973588119054</v>
      </c>
      <c r="M22" s="1880">
        <f t="shared" si="0"/>
        <v>0.97219507210414546</v>
      </c>
      <c r="N22" s="1881">
        <f t="shared" si="5"/>
        <v>4.6844475773501742E-3</v>
      </c>
      <c r="O22" s="1881">
        <f t="shared" si="6"/>
        <v>1.8468157857965585E-4</v>
      </c>
      <c r="P22" s="156">
        <f t="shared" si="1"/>
        <v>19</v>
      </c>
      <c r="Q22" s="157">
        <f t="shared" si="2"/>
        <v>6</v>
      </c>
      <c r="R22" s="1882">
        <v>9.9999999999999995E-7</v>
      </c>
      <c r="S22" s="92" t="s">
        <v>572</v>
      </c>
      <c r="T22" s="177"/>
      <c r="U22" s="177"/>
      <c r="V22" s="61" t="s">
        <v>20</v>
      </c>
      <c r="W22" s="62">
        <v>33.138733144467849</v>
      </c>
      <c r="X22" s="158">
        <v>33.652495406632127</v>
      </c>
      <c r="Y22" s="63">
        <v>32.36</v>
      </c>
      <c r="Z22" s="159"/>
      <c r="AA22" s="64"/>
      <c r="AB22" s="64"/>
      <c r="AC22" s="64"/>
      <c r="AD22" s="64"/>
      <c r="AE22" s="64"/>
      <c r="AF22" s="64"/>
      <c r="AG22" s="64"/>
      <c r="AH22" s="160"/>
      <c r="BB22" s="164">
        <f t="shared" si="7"/>
        <v>108749.95654526255</v>
      </c>
      <c r="BC22" s="73" t="str">
        <f t="shared" si="8"/>
        <v>Lighting RES 19 Year EUL</v>
      </c>
      <c r="BD22" s="165">
        <f>(INDEX('Avoided Cost Benefits'!$C$4:$C$857,MATCH(BC22,'Avoided Cost Benefits'!$A$4:$A$857,0)))*F22</f>
        <v>18.956218636383259</v>
      </c>
      <c r="BE22" s="74">
        <f t="shared" si="9"/>
        <v>1.74310126078014E-4</v>
      </c>
    </row>
    <row r="23" spans="1:57" s="65" customFormat="1" x14ac:dyDescent="0.25">
      <c r="A23" s="177"/>
      <c r="B23" s="177"/>
      <c r="C23" s="1572" t="s">
        <v>603</v>
      </c>
      <c r="D23" s="150" t="s">
        <v>16</v>
      </c>
      <c r="E23" s="458" t="s">
        <v>604</v>
      </c>
      <c r="F23" s="152">
        <f t="shared" si="3"/>
        <v>5.36</v>
      </c>
      <c r="G23" s="153">
        <f t="shared" si="11"/>
        <v>8.0699999999999999E-4</v>
      </c>
      <c r="H23" s="154" t="s">
        <v>571</v>
      </c>
      <c r="I23" s="239">
        <f>VLOOKUP(H23,'CP FACTORS'!$A$3:$B$38, 2, FALSE)</f>
        <v>1.4925290000000001E-4</v>
      </c>
      <c r="J23" s="154" t="s">
        <v>36</v>
      </c>
      <c r="K23" s="239">
        <f>VLOOKUP(J23,'CP FACTORS'!$A$3:$B$38, 2, FALSE)</f>
        <v>1.899635E-4</v>
      </c>
      <c r="L23" s="155">
        <f t="shared" si="10"/>
        <v>5.2011041946025873</v>
      </c>
      <c r="M23" s="1880">
        <f t="shared" si="0"/>
        <v>0.16110661194868692</v>
      </c>
      <c r="N23" s="1881">
        <f t="shared" si="5"/>
        <v>7.7627988424660058E-4</v>
      </c>
      <c r="O23" s="1881">
        <f t="shared" si="6"/>
        <v>3.0604375878914386E-5</v>
      </c>
      <c r="P23" s="156">
        <f t="shared" si="1"/>
        <v>19</v>
      </c>
      <c r="Q23" s="157">
        <f t="shared" si="2"/>
        <v>6</v>
      </c>
      <c r="R23" s="1882">
        <v>9.9999999999999995E-7</v>
      </c>
      <c r="S23" s="92" t="s">
        <v>572</v>
      </c>
      <c r="T23" s="177"/>
      <c r="U23" s="177"/>
      <c r="V23" s="61" t="s">
        <v>20</v>
      </c>
      <c r="W23" s="62">
        <v>4.706419911912727</v>
      </c>
      <c r="X23" s="158">
        <v>4.7150474333468093</v>
      </c>
      <c r="Y23" s="63">
        <v>5.36</v>
      </c>
      <c r="Z23" s="159"/>
      <c r="AA23" s="64"/>
      <c r="AB23" s="64"/>
      <c r="AC23" s="64"/>
      <c r="AD23" s="64"/>
      <c r="AE23" s="64"/>
      <c r="AF23" s="64"/>
      <c r="AG23" s="64"/>
      <c r="AH23" s="160"/>
      <c r="BB23" s="164">
        <f t="shared" si="7"/>
        <v>108698.9676904824</v>
      </c>
      <c r="BC23" s="73" t="str">
        <f t="shared" si="8"/>
        <v>Lighting RES 19 Year EUL</v>
      </c>
      <c r="BD23" s="165">
        <f>(INDEX('Avoided Cost Benefits'!$C$4:$C$857,MATCH(BC23,'Avoided Cost Benefits'!$A$4:$A$857,0)))*F23</f>
        <v>3.139843383529489</v>
      </c>
      <c r="BE23" s="74">
        <f t="shared" si="9"/>
        <v>2.8885678035785167E-5</v>
      </c>
    </row>
    <row r="24" spans="1:57" s="65" customFormat="1" x14ac:dyDescent="0.25">
      <c r="A24" s="177"/>
      <c r="B24" s="177"/>
      <c r="C24" s="92" t="s">
        <v>605</v>
      </c>
      <c r="D24" s="150" t="s">
        <v>16</v>
      </c>
      <c r="E24" s="458" t="s">
        <v>606</v>
      </c>
      <c r="F24" s="152">
        <f t="shared" si="3"/>
        <v>33.47</v>
      </c>
      <c r="G24" s="153">
        <f t="shared" si="11"/>
        <v>5.0359999999999997E-3</v>
      </c>
      <c r="H24" s="154" t="s">
        <v>571</v>
      </c>
      <c r="I24" s="239">
        <f>VLOOKUP(H24,'CP FACTORS'!$A$3:$B$38, 2, FALSE)</f>
        <v>1.4925290000000001E-4</v>
      </c>
      <c r="J24" s="154" t="s">
        <v>36</v>
      </c>
      <c r="K24" s="239">
        <f>VLOOKUP(J24,'CP FACTORS'!$A$3:$B$38, 2, FALSE)</f>
        <v>1.899635E-4</v>
      </c>
      <c r="L24" s="155">
        <f t="shared" si="10"/>
        <v>32.462064111140279</v>
      </c>
      <c r="M24" s="1880">
        <f t="shared" si="0"/>
        <v>1.0055274745762877</v>
      </c>
      <c r="N24" s="1881">
        <f t="shared" si="5"/>
        <v>4.8450572085736096E-3</v>
      </c>
      <c r="O24" s="1881">
        <f t="shared" si="6"/>
        <v>1.9101351841667262E-4</v>
      </c>
      <c r="P24" s="156">
        <f t="shared" si="1"/>
        <v>19</v>
      </c>
      <c r="Q24" s="157">
        <f t="shared" si="2"/>
        <v>6</v>
      </c>
      <c r="R24" s="1882">
        <v>9.9999999999999995E-7</v>
      </c>
      <c r="S24" s="92" t="s">
        <v>572</v>
      </c>
      <c r="T24" s="177"/>
      <c r="U24" s="177"/>
      <c r="V24" s="61" t="s">
        <v>20</v>
      </c>
      <c r="W24" s="62">
        <v>33.350983454220781</v>
      </c>
      <c r="X24" s="158">
        <v>32.173264839307649</v>
      </c>
      <c r="Y24" s="63">
        <v>33.47</v>
      </c>
      <c r="Z24" s="159"/>
      <c r="AA24" s="64"/>
      <c r="AB24" s="64"/>
      <c r="AC24" s="64"/>
      <c r="AD24" s="64"/>
      <c r="AE24" s="64"/>
      <c r="AF24" s="64"/>
      <c r="AG24" s="64"/>
      <c r="AH24" s="160"/>
      <c r="BB24" s="164">
        <f t="shared" si="7"/>
        <v>108751.62757628936</v>
      </c>
      <c r="BC24" s="73" t="str">
        <f t="shared" si="8"/>
        <v>Lighting RES 19 Year EUL</v>
      </c>
      <c r="BD24" s="165">
        <f>(INDEX('Avoided Cost Benefits'!$C$4:$C$857,MATCH(BC24,'Avoided Cost Benefits'!$A$4:$A$857,0)))*F24</f>
        <v>19.606447396778357</v>
      </c>
      <c r="BE24" s="74">
        <f t="shared" si="9"/>
        <v>1.8028647325783162E-4</v>
      </c>
    </row>
    <row r="25" spans="1:57" s="65" customFormat="1" x14ac:dyDescent="0.25">
      <c r="A25" s="177"/>
      <c r="B25" s="177"/>
      <c r="C25" s="92" t="s">
        <v>607</v>
      </c>
      <c r="D25" s="150" t="s">
        <v>16</v>
      </c>
      <c r="E25" s="458" t="s">
        <v>608</v>
      </c>
      <c r="F25" s="152">
        <f t="shared" si="3"/>
        <v>28.75</v>
      </c>
      <c r="G25" s="153">
        <f t="shared" si="11"/>
        <v>4.3270000000000001E-3</v>
      </c>
      <c r="H25" s="154" t="s">
        <v>571</v>
      </c>
      <c r="I25" s="239">
        <f>VLOOKUP(H25,'CP FACTORS'!$A$3:$B$38, 2, FALSE)</f>
        <v>1.4925290000000001E-4</v>
      </c>
      <c r="J25" s="154" t="s">
        <v>36</v>
      </c>
      <c r="K25" s="239">
        <f>VLOOKUP(J25,'CP FACTORS'!$A$3:$B$38, 2, FALSE)</f>
        <v>1.899635E-4</v>
      </c>
      <c r="L25" s="155">
        <f t="shared" si="10"/>
        <v>27.888679388300076</v>
      </c>
      <c r="M25" s="1880">
        <f t="shared" si="0"/>
        <v>0.86386476406968349</v>
      </c>
      <c r="N25" s="1881">
        <f t="shared" si="5"/>
        <v>4.162466275874013E-3</v>
      </c>
      <c r="O25" s="1881">
        <f t="shared" si="6"/>
        <v>1.6410277410935134E-4</v>
      </c>
      <c r="P25" s="156">
        <f t="shared" si="1"/>
        <v>19</v>
      </c>
      <c r="Q25" s="157">
        <f t="shared" si="2"/>
        <v>6</v>
      </c>
      <c r="R25" s="1882">
        <v>9.9999999999999995E-7</v>
      </c>
      <c r="S25" s="92" t="s">
        <v>572</v>
      </c>
      <c r="T25" s="177"/>
      <c r="U25" s="177"/>
      <c r="V25" s="61" t="s">
        <v>20</v>
      </c>
      <c r="W25" s="62">
        <v>29.733499914083939</v>
      </c>
      <c r="X25" s="158">
        <v>29.677063256947569</v>
      </c>
      <c r="Y25" s="63">
        <v>28.75</v>
      </c>
      <c r="Z25" s="159"/>
      <c r="AA25" s="64"/>
      <c r="AB25" s="64"/>
      <c r="AC25" s="64"/>
      <c r="AD25" s="64"/>
      <c r="AE25" s="64"/>
      <c r="AF25" s="64"/>
      <c r="AG25" s="64"/>
      <c r="AH25" s="160"/>
      <c r="BB25" s="164">
        <f t="shared" si="7"/>
        <v>108734.17995865489</v>
      </c>
      <c r="BC25" s="73" t="str">
        <f t="shared" si="8"/>
        <v>Lighting RES 19 Year EUL</v>
      </c>
      <c r="BD25" s="165">
        <f>(INDEX('Avoided Cost Benefits'!$C$4:$C$857,MATCH(BC25,'Avoided Cost Benefits'!$A$4:$A$857,0)))*F25</f>
        <v>16.841510685909107</v>
      </c>
      <c r="BE25" s="74">
        <f t="shared" si="9"/>
        <v>1.5488699774360672E-4</v>
      </c>
    </row>
    <row r="26" spans="1:57" s="65" customFormat="1" x14ac:dyDescent="0.25">
      <c r="A26" s="177"/>
      <c r="B26" s="177"/>
      <c r="C26" s="92" t="s">
        <v>609</v>
      </c>
      <c r="D26" s="150" t="s">
        <v>16</v>
      </c>
      <c r="E26" s="458" t="s">
        <v>610</v>
      </c>
      <c r="F26" s="152">
        <f t="shared" si="3"/>
        <v>37.81</v>
      </c>
      <c r="G26" s="153">
        <f t="shared" si="11"/>
        <v>5.6899999999999997E-3</v>
      </c>
      <c r="H26" s="154" t="s">
        <v>571</v>
      </c>
      <c r="I26" s="239">
        <f>VLOOKUP(H26,'CP FACTORS'!$A$3:$B$38, 2, FALSE)</f>
        <v>1.4925290000000001E-4</v>
      </c>
      <c r="J26" s="154" t="s">
        <v>36</v>
      </c>
      <c r="K26" s="239">
        <f>VLOOKUP(J26,'CP FACTORS'!$A$3:$B$38, 2, FALSE)</f>
        <v>1.899635E-4</v>
      </c>
      <c r="L26" s="155">
        <f t="shared" si="10"/>
        <v>36.676751992973415</v>
      </c>
      <c r="M26" s="1880">
        <f t="shared" si="0"/>
        <v>1.1360793842588441</v>
      </c>
      <c r="N26" s="1881">
        <f t="shared" si="5"/>
        <v>5.4741115975320623E-3</v>
      </c>
      <c r="O26" s="1881">
        <f t="shared" si="6"/>
        <v>2.1581361611165494E-4</v>
      </c>
      <c r="P26" s="156">
        <f t="shared" si="1"/>
        <v>19</v>
      </c>
      <c r="Q26" s="157">
        <f t="shared" si="2"/>
        <v>6</v>
      </c>
      <c r="R26" s="1882">
        <v>9.9999999999999995E-7</v>
      </c>
      <c r="S26" s="92" t="s">
        <v>572</v>
      </c>
      <c r="T26" s="177"/>
      <c r="U26" s="177"/>
      <c r="V26" s="61" t="s">
        <v>20</v>
      </c>
      <c r="W26" s="62">
        <v>39.127883189235227</v>
      </c>
      <c r="X26" s="158">
        <v>38.275090929521156</v>
      </c>
      <c r="Y26" s="63">
        <v>37.81</v>
      </c>
      <c r="Z26" s="159"/>
      <c r="AA26" s="64"/>
      <c r="AB26" s="64"/>
      <c r="AC26" s="64"/>
      <c r="AD26" s="64"/>
      <c r="AE26" s="64"/>
      <c r="AF26" s="64"/>
      <c r="AG26" s="64"/>
      <c r="AH26" s="160"/>
      <c r="BB26" s="164">
        <f t="shared" si="7"/>
        <v>108735.65949251635</v>
      </c>
      <c r="BC26" s="73" t="str">
        <f t="shared" si="8"/>
        <v>Lighting RES 19 Year EUL</v>
      </c>
      <c r="BD26" s="165">
        <f>(INDEX('Avoided Cost Benefits'!$C$4:$C$857,MATCH(BC26,'Avoided Cost Benefits'!$A$4:$A$857,0)))*F26</f>
        <v>22.148783270755594</v>
      </c>
      <c r="BE26" s="74">
        <f t="shared" si="9"/>
        <v>2.0369383304545062E-4</v>
      </c>
    </row>
    <row r="27" spans="1:57" s="65" customFormat="1" x14ac:dyDescent="0.25">
      <c r="A27" s="177"/>
      <c r="B27" s="177"/>
      <c r="C27" s="92" t="s">
        <v>611</v>
      </c>
      <c r="D27" s="150" t="s">
        <v>16</v>
      </c>
      <c r="E27" s="458" t="s">
        <v>612</v>
      </c>
      <c r="F27" s="152">
        <f t="shared" si="3"/>
        <v>45.49</v>
      </c>
      <c r="G27" s="153">
        <f t="shared" si="11"/>
        <v>6.8450000000000004E-3</v>
      </c>
      <c r="H27" s="154" t="s">
        <v>571</v>
      </c>
      <c r="I27" s="239">
        <f>VLOOKUP(H27,'CP FACTORS'!$A$3:$B$38, 2, FALSE)</f>
        <v>1.4925290000000001E-4</v>
      </c>
      <c r="J27" s="154" t="s">
        <v>36</v>
      </c>
      <c r="K27" s="239">
        <f>VLOOKUP(J27,'CP FACTORS'!$A$3:$B$38, 2, FALSE)</f>
        <v>1.899635E-4</v>
      </c>
      <c r="L27" s="155">
        <f t="shared" si="10"/>
        <v>44.119711443870209</v>
      </c>
      <c r="M27" s="1880">
        <f t="shared" si="0"/>
        <v>1.3666285013578272</v>
      </c>
      <c r="N27" s="1881">
        <f t="shared" si="5"/>
        <v>6.584994880160816E-3</v>
      </c>
      <c r="O27" s="1881">
        <f t="shared" si="6"/>
        <v>2.5960953331768759E-4</v>
      </c>
      <c r="P27" s="156">
        <f t="shared" si="1"/>
        <v>19</v>
      </c>
      <c r="Q27" s="157">
        <f t="shared" si="2"/>
        <v>6</v>
      </c>
      <c r="R27" s="1882">
        <v>9.9999999999999995E-7</v>
      </c>
      <c r="S27" s="92" t="s">
        <v>572</v>
      </c>
      <c r="T27" s="177"/>
      <c r="U27" s="177"/>
      <c r="V27" s="61" t="s">
        <v>20</v>
      </c>
      <c r="W27" s="62">
        <v>46.971916375756443</v>
      </c>
      <c r="X27" s="158">
        <v>46.503310960263626</v>
      </c>
      <c r="Y27" s="63">
        <v>45.49</v>
      </c>
      <c r="Z27" s="159"/>
      <c r="AA27" s="64"/>
      <c r="AB27" s="64"/>
      <c r="AC27" s="64"/>
      <c r="AD27" s="64"/>
      <c r="AE27" s="64"/>
      <c r="AF27" s="64"/>
      <c r="AG27" s="64"/>
      <c r="AH27" s="160"/>
      <c r="BB27" s="164">
        <f t="shared" si="7"/>
        <v>108752.55215307705</v>
      </c>
      <c r="BC27" s="73" t="str">
        <f t="shared" si="8"/>
        <v>Lighting RES 19 Year EUL</v>
      </c>
      <c r="BD27" s="165">
        <f>(INDEX('Avoided Cost Benefits'!$C$4:$C$857,MATCH(BC27,'Avoided Cost Benefits'!$A$4:$A$857,0)))*F27</f>
        <v>26.647663342678445</v>
      </c>
      <c r="BE27" s="74">
        <f t="shared" si="9"/>
        <v>2.4503023437252251E-4</v>
      </c>
    </row>
    <row r="28" spans="1:57" s="65" customFormat="1" x14ac:dyDescent="0.25">
      <c r="A28" s="177"/>
      <c r="B28" s="177"/>
      <c r="C28" s="92" t="s">
        <v>613</v>
      </c>
      <c r="D28" s="150" t="s">
        <v>16</v>
      </c>
      <c r="E28" s="458" t="s">
        <v>614</v>
      </c>
      <c r="F28" s="152">
        <f t="shared" si="3"/>
        <v>21.26</v>
      </c>
      <c r="G28" s="153">
        <f t="shared" si="11"/>
        <v>3.2000000000000002E-3</v>
      </c>
      <c r="H28" s="154" t="s">
        <v>571</v>
      </c>
      <c r="I28" s="239">
        <f>VLOOKUP(H28,'CP FACTORS'!$A$3:$B$38, 2, FALSE)</f>
        <v>1.4925290000000001E-4</v>
      </c>
      <c r="J28" s="154" t="s">
        <v>36</v>
      </c>
      <c r="K28" s="239">
        <f>VLOOKUP(J28,'CP FACTORS'!$A$3:$B$38, 2, FALSE)</f>
        <v>1.899635E-4</v>
      </c>
      <c r="L28" s="155">
        <f t="shared" si="10"/>
        <v>20.625068357906809</v>
      </c>
      <c r="M28" s="1880">
        <f t="shared" si="0"/>
        <v>0.63887104738272416</v>
      </c>
      <c r="N28" s="1881">
        <f t="shared" si="5"/>
        <v>3.0783512651158295E-3</v>
      </c>
      <c r="O28" s="1881">
        <f t="shared" si="6"/>
        <v>1.2136218020948813E-4</v>
      </c>
      <c r="P28" s="156">
        <f t="shared" si="1"/>
        <v>19</v>
      </c>
      <c r="Q28" s="157">
        <f t="shared" si="2"/>
        <v>6</v>
      </c>
      <c r="R28" s="1882">
        <v>9.9999999999999995E-7</v>
      </c>
      <c r="S28" s="92" t="s">
        <v>572</v>
      </c>
      <c r="T28" s="177"/>
      <c r="U28" s="177"/>
      <c r="V28" s="61" t="s">
        <v>20</v>
      </c>
      <c r="W28" s="62"/>
      <c r="X28" s="158"/>
      <c r="Y28" s="63">
        <v>21.26</v>
      </c>
      <c r="Z28" s="159"/>
      <c r="AA28" s="64"/>
      <c r="AB28" s="64"/>
      <c r="AC28" s="64"/>
      <c r="AD28" s="64"/>
      <c r="AE28" s="64"/>
      <c r="AF28" s="64"/>
      <c r="AG28" s="64"/>
      <c r="AH28" s="160"/>
      <c r="BB28" s="169">
        <f t="shared" si="7"/>
        <v>108723.6559699708</v>
      </c>
      <c r="BC28" s="73" t="str">
        <f t="shared" si="8"/>
        <v>Lighting RES 19 Year EUL</v>
      </c>
      <c r="BD28" s="170">
        <f>(INDEX('Avoided Cost Benefits'!$C$4:$C$857,MATCH(BC28,'Avoided Cost Benefits'!$A$4:$A$857,0)))*F28</f>
        <v>12.453931032432266</v>
      </c>
      <c r="BE28" s="76">
        <f t="shared" si="9"/>
        <v>1.1454665427983777E-4</v>
      </c>
    </row>
    <row r="29" spans="1:57" ht="31.5" customHeight="1" x14ac:dyDescent="0.25">
      <c r="C29" s="171"/>
      <c r="D29" s="172"/>
      <c r="E29" s="1421"/>
      <c r="F29" s="173" t="s">
        <v>615</v>
      </c>
      <c r="H29" s="1883"/>
      <c r="I29" s="1883"/>
      <c r="J29" s="1883"/>
      <c r="K29" s="1883"/>
      <c r="L29" s="1883"/>
      <c r="M29" s="1883"/>
      <c r="N29" s="1883"/>
      <c r="O29" s="1883"/>
      <c r="P29" s="1883"/>
      <c r="Q29" s="1883"/>
      <c r="R29" s="1883"/>
      <c r="S29" s="456"/>
      <c r="U29" s="1884"/>
      <c r="V29" s="175"/>
    </row>
    <row r="30" spans="1:57" x14ac:dyDescent="0.25">
      <c r="C30" s="171"/>
      <c r="E30" s="1421"/>
      <c r="F30" s="176" t="s">
        <v>616</v>
      </c>
    </row>
    <row r="31" spans="1:57" hidden="1" outlineLevel="1" x14ac:dyDescent="0.25">
      <c r="D31" s="1885" t="s">
        <v>617</v>
      </c>
      <c r="H31" s="2632"/>
      <c r="I31" s="2632"/>
      <c r="J31" s="2632"/>
      <c r="K31" s="2632"/>
      <c r="L31" s="2632"/>
      <c r="M31" s="2632"/>
      <c r="N31" s="2632"/>
      <c r="O31" s="2632"/>
      <c r="P31" s="2632"/>
      <c r="Q31" s="2632"/>
      <c r="R31" s="2632"/>
      <c r="S31" s="2632"/>
    </row>
    <row r="32" spans="1:57" hidden="1" outlineLevel="1" x14ac:dyDescent="0.25"/>
    <row r="33" spans="4:33" hidden="1" outlineLevel="1" x14ac:dyDescent="0.25"/>
    <row r="34" spans="4:33" hidden="1" outlineLevel="1" x14ac:dyDescent="0.25"/>
    <row r="35" spans="4:33" hidden="1" outlineLevel="1" x14ac:dyDescent="0.25"/>
    <row r="36" spans="4:33" hidden="1" outlineLevel="1" x14ac:dyDescent="0.25"/>
    <row r="37" spans="4:33" hidden="1" outlineLevel="1" x14ac:dyDescent="0.25"/>
    <row r="38" spans="4:33" hidden="1" outlineLevel="1" x14ac:dyDescent="0.25"/>
    <row r="39" spans="4:33" ht="48.75" hidden="1" customHeight="1" outlineLevel="1" thickBot="1" x14ac:dyDescent="0.3">
      <c r="D39" s="1638" t="s">
        <v>618</v>
      </c>
      <c r="E39" s="1638" t="s">
        <v>619</v>
      </c>
      <c r="F39" s="1638" t="s">
        <v>77</v>
      </c>
      <c r="G39" s="1638" t="s">
        <v>620</v>
      </c>
      <c r="H39" s="1638" t="str">
        <f t="shared" ref="H39:H61" si="12">C6</f>
        <v>Measure Reference No.</v>
      </c>
      <c r="I39" s="2643" t="s">
        <v>621</v>
      </c>
      <c r="J39" s="2643"/>
      <c r="K39" s="2643"/>
      <c r="L39" s="2643"/>
      <c r="V39" s="55" t="s">
        <v>27</v>
      </c>
      <c r="W39" s="56">
        <v>43252</v>
      </c>
      <c r="X39" s="56">
        <f>$Y$6</f>
        <v>43800</v>
      </c>
      <c r="Y39" s="56">
        <f>$Y$6</f>
        <v>43800</v>
      </c>
      <c r="Z39" s="56">
        <f>$Z$6</f>
        <v>43862</v>
      </c>
      <c r="AA39" s="56" t="str">
        <f>$AA$6</f>
        <v>-</v>
      </c>
      <c r="AB39" s="56" t="str">
        <f>$AB$6</f>
        <v>-</v>
      </c>
      <c r="AC39" s="56" t="str">
        <f>$AC$6</f>
        <v>-</v>
      </c>
      <c r="AD39" s="56" t="str">
        <f>$AD$6</f>
        <v>-</v>
      </c>
      <c r="AE39" s="56" t="str">
        <f>$AE$6</f>
        <v>-</v>
      </c>
      <c r="AF39" s="56" t="str">
        <f>$AF$6</f>
        <v>-</v>
      </c>
      <c r="AG39" s="56" t="str">
        <f>$AG$6</f>
        <v>-</v>
      </c>
    </row>
    <row r="40" spans="4:33" hidden="1" outlineLevel="1" x14ac:dyDescent="0.25">
      <c r="D40" s="2644" t="s">
        <v>622</v>
      </c>
      <c r="E40" s="2648" t="s">
        <v>623</v>
      </c>
      <c r="F40" s="1886" t="str">
        <f t="shared" ref="F40:F61" si="13">E7</f>
        <v>LED - 10.5W Downlight E26 (CFL baseline)</v>
      </c>
      <c r="G40" s="178">
        <v>21</v>
      </c>
      <c r="H40" s="192" t="str">
        <f t="shared" si="12"/>
        <v>200050_2019_12_</v>
      </c>
      <c r="I40" s="2649"/>
      <c r="J40" s="2649"/>
      <c r="K40" s="2649"/>
      <c r="L40" s="2649"/>
      <c r="V40" s="2650" t="s">
        <v>622</v>
      </c>
      <c r="W40" s="178">
        <v>21</v>
      </c>
      <c r="X40" s="179">
        <v>21</v>
      </c>
      <c r="Y40" s="179">
        <v>21</v>
      </c>
      <c r="Z40" s="180"/>
      <c r="AA40" s="179"/>
      <c r="AB40" s="179"/>
      <c r="AC40" s="179"/>
      <c r="AD40" s="179"/>
      <c r="AE40" s="179"/>
      <c r="AF40" s="179"/>
      <c r="AG40" s="179"/>
    </row>
    <row r="41" spans="4:33" hidden="1" outlineLevel="1" x14ac:dyDescent="0.25">
      <c r="D41" s="2645"/>
      <c r="E41" s="2646"/>
      <c r="F41" s="1887" t="str">
        <f t="shared" si="13"/>
        <v>LED - 10.5W Downlight E26 (Halogen baseline)</v>
      </c>
      <c r="G41" s="158">
        <v>53</v>
      </c>
      <c r="H41" s="71" t="str">
        <f t="shared" si="12"/>
        <v>200100_2019_12_</v>
      </c>
      <c r="I41" s="2654" t="s">
        <v>624</v>
      </c>
      <c r="J41" s="2654"/>
      <c r="K41" s="2654"/>
      <c r="L41" s="2654"/>
      <c r="V41" s="2651"/>
      <c r="W41" s="158">
        <v>43</v>
      </c>
      <c r="X41" s="63">
        <v>34.200000000000003</v>
      </c>
      <c r="Y41" s="63">
        <v>53</v>
      </c>
      <c r="Z41" s="183"/>
      <c r="AA41" s="182"/>
      <c r="AB41" s="182"/>
      <c r="AC41" s="182"/>
      <c r="AD41" s="182"/>
      <c r="AE41" s="182"/>
      <c r="AF41" s="182"/>
      <c r="AG41" s="182"/>
    </row>
    <row r="42" spans="4:33" hidden="1" outlineLevel="1" x14ac:dyDescent="0.25">
      <c r="D42" s="2645"/>
      <c r="E42" s="2646"/>
      <c r="F42" s="1887" t="str">
        <f t="shared" si="13"/>
        <v>LED - 10W (CFL baseline)</v>
      </c>
      <c r="G42" s="158">
        <v>13.4</v>
      </c>
      <c r="H42" s="71" t="str">
        <f t="shared" si="12"/>
        <v>200150_2019_12_</v>
      </c>
      <c r="I42" s="2655" t="s">
        <v>625</v>
      </c>
      <c r="J42" s="2655"/>
      <c r="K42" s="2655"/>
      <c r="L42" s="2655"/>
      <c r="V42" s="2651"/>
      <c r="W42" s="158">
        <v>13.4</v>
      </c>
      <c r="X42" s="182">
        <v>13.4</v>
      </c>
      <c r="Y42" s="182">
        <v>13.4</v>
      </c>
      <c r="Z42" s="183"/>
      <c r="AA42" s="182"/>
      <c r="AB42" s="182"/>
      <c r="AC42" s="182"/>
      <c r="AD42" s="182"/>
      <c r="AE42" s="182"/>
      <c r="AF42" s="182"/>
      <c r="AG42" s="182"/>
    </row>
    <row r="43" spans="4:33" hidden="1" outlineLevel="1" x14ac:dyDescent="0.25">
      <c r="D43" s="2645"/>
      <c r="E43" s="2646"/>
      <c r="F43" s="1887" t="str">
        <f t="shared" si="13"/>
        <v>LED - 10W (Halogen baseline)</v>
      </c>
      <c r="G43" s="158">
        <v>39.5</v>
      </c>
      <c r="H43" s="71" t="str">
        <f t="shared" si="12"/>
        <v>200200_2019_12_</v>
      </c>
      <c r="I43" s="2654" t="s">
        <v>624</v>
      </c>
      <c r="J43" s="2654"/>
      <c r="K43" s="2654"/>
      <c r="L43" s="2654"/>
      <c r="V43" s="2651"/>
      <c r="W43" s="158">
        <v>41.32</v>
      </c>
      <c r="X43" s="184">
        <v>41.1</v>
      </c>
      <c r="Y43" s="63">
        <v>39.5</v>
      </c>
      <c r="Z43" s="183"/>
      <c r="AA43" s="182"/>
      <c r="AB43" s="182"/>
      <c r="AC43" s="182"/>
      <c r="AD43" s="182"/>
      <c r="AE43" s="182"/>
      <c r="AF43" s="182"/>
      <c r="AG43" s="182"/>
    </row>
    <row r="44" spans="4:33" hidden="1" outlineLevel="1" x14ac:dyDescent="0.25">
      <c r="D44" s="2645"/>
      <c r="E44" s="2646"/>
      <c r="F44" s="1887" t="str">
        <f t="shared" si="13"/>
        <v>LED - 12W Dimmable Light Bulb (Replacing CFL)</v>
      </c>
      <c r="G44" s="158">
        <v>18</v>
      </c>
      <c r="H44" s="71" t="str">
        <f t="shared" si="12"/>
        <v>200250_2019_12_</v>
      </c>
      <c r="I44" s="2655"/>
      <c r="J44" s="2655"/>
      <c r="K44" s="2655"/>
      <c r="L44" s="2655"/>
      <c r="V44" s="2651"/>
      <c r="W44" s="158">
        <v>18</v>
      </c>
      <c r="X44" s="181">
        <v>18</v>
      </c>
      <c r="Y44" s="181">
        <v>18</v>
      </c>
      <c r="Z44" s="183"/>
      <c r="AA44" s="181"/>
      <c r="AB44" s="181"/>
      <c r="AC44" s="181"/>
      <c r="AD44" s="181"/>
      <c r="AE44" s="181"/>
      <c r="AF44" s="181"/>
      <c r="AG44" s="181"/>
    </row>
    <row r="45" spans="4:33" hidden="1" outlineLevel="1" x14ac:dyDescent="0.25">
      <c r="D45" s="2645"/>
      <c r="E45" s="2646"/>
      <c r="F45" s="1887" t="str">
        <f t="shared" si="13"/>
        <v>LED - 12W Dimmable Light Bulb (Replacing Specialty Incandescent) LI DI</v>
      </c>
      <c r="G45" s="158">
        <v>92.2</v>
      </c>
      <c r="H45" s="71" t="str">
        <f t="shared" si="12"/>
        <v>200300_2019_12_</v>
      </c>
      <c r="I45" s="2654" t="s">
        <v>624</v>
      </c>
      <c r="J45" s="2654"/>
      <c r="K45" s="2654"/>
      <c r="L45" s="2654"/>
      <c r="V45" s="2651"/>
      <c r="W45" s="158">
        <v>76.25</v>
      </c>
      <c r="X45" s="163">
        <v>60</v>
      </c>
      <c r="Y45" s="163">
        <v>92.2</v>
      </c>
      <c r="Z45" s="183"/>
      <c r="AA45" s="181"/>
      <c r="AB45" s="181"/>
      <c r="AC45" s="181"/>
      <c r="AD45" s="181"/>
      <c r="AE45" s="181"/>
      <c r="AF45" s="181"/>
      <c r="AG45" s="181"/>
    </row>
    <row r="46" spans="4:33" hidden="1" outlineLevel="1" x14ac:dyDescent="0.25">
      <c r="D46" s="2645"/>
      <c r="E46" s="2646"/>
      <c r="F46" s="1887" t="str">
        <f t="shared" si="13"/>
        <v>LED - 15W (Halogen baseline)</v>
      </c>
      <c r="G46" s="158">
        <v>53</v>
      </c>
      <c r="H46" s="71" t="str">
        <f t="shared" si="12"/>
        <v>200350_2019_12_</v>
      </c>
      <c r="I46" s="2655" t="s">
        <v>624</v>
      </c>
      <c r="J46" s="2655"/>
      <c r="K46" s="2655"/>
      <c r="L46" s="2655"/>
      <c r="V46" s="2651"/>
      <c r="W46" s="158">
        <v>53</v>
      </c>
      <c r="X46" s="185">
        <v>53</v>
      </c>
      <c r="Y46" s="185">
        <v>53</v>
      </c>
      <c r="Z46" s="183"/>
      <c r="AA46" s="185"/>
      <c r="AB46" s="185"/>
      <c r="AC46" s="185"/>
      <c r="AD46" s="185"/>
      <c r="AE46" s="185"/>
      <c r="AF46" s="185"/>
      <c r="AG46" s="185"/>
    </row>
    <row r="47" spans="4:33" hidden="1" outlineLevel="1" x14ac:dyDescent="0.25">
      <c r="D47" s="2645"/>
      <c r="E47" s="2646"/>
      <c r="F47" s="1887" t="str">
        <f t="shared" si="13"/>
        <v>LED - 15W (CFL baseline)</v>
      </c>
      <c r="G47" s="158">
        <v>18.899999999999999</v>
      </c>
      <c r="H47" s="71" t="str">
        <f t="shared" si="12"/>
        <v>200400_2019_12_</v>
      </c>
      <c r="I47" s="2655" t="s">
        <v>626</v>
      </c>
      <c r="J47" s="2655"/>
      <c r="K47" s="2655"/>
      <c r="L47" s="2655"/>
      <c r="V47" s="2651"/>
      <c r="W47" s="158">
        <v>18.899999999999999</v>
      </c>
      <c r="X47" s="185">
        <v>18.899999999999999</v>
      </c>
      <c r="Y47" s="185">
        <v>18.899999999999999</v>
      </c>
      <c r="Z47" s="183"/>
      <c r="AA47" s="185"/>
      <c r="AB47" s="185"/>
      <c r="AC47" s="185"/>
      <c r="AD47" s="185"/>
      <c r="AE47" s="185"/>
      <c r="AF47" s="185"/>
      <c r="AG47" s="185"/>
    </row>
    <row r="48" spans="4:33" hidden="1" outlineLevel="1" x14ac:dyDescent="0.25">
      <c r="D48" s="2645"/>
      <c r="E48" s="2646"/>
      <c r="F48" s="1887" t="str">
        <f t="shared" si="13"/>
        <v>LED - 15W Flood Light PAR30 Bulb (CFL baseline)</v>
      </c>
      <c r="G48" s="186">
        <v>16</v>
      </c>
      <c r="H48" s="71" t="str">
        <f t="shared" si="12"/>
        <v>200450_2019_12_</v>
      </c>
      <c r="I48" s="2655"/>
      <c r="J48" s="2655"/>
      <c r="K48" s="2655"/>
      <c r="L48" s="2655"/>
      <c r="V48" s="2651"/>
      <c r="W48" s="186">
        <v>16</v>
      </c>
      <c r="X48" s="186">
        <v>16</v>
      </c>
      <c r="Y48" s="186">
        <v>16</v>
      </c>
      <c r="Z48" s="183"/>
      <c r="AA48" s="186"/>
      <c r="AB48" s="186"/>
      <c r="AC48" s="186"/>
      <c r="AD48" s="186"/>
      <c r="AE48" s="186"/>
      <c r="AF48" s="186"/>
      <c r="AG48" s="186"/>
    </row>
    <row r="49" spans="4:33" hidden="1" outlineLevel="1" x14ac:dyDescent="0.25">
      <c r="D49" s="2645"/>
      <c r="E49" s="2646"/>
      <c r="F49" s="1887" t="str">
        <f t="shared" si="13"/>
        <v>LED - 15W Flood Light PAR30 Bulb (Halogen baseline)</v>
      </c>
      <c r="G49" s="158">
        <v>61.3</v>
      </c>
      <c r="H49" s="71" t="str">
        <f t="shared" si="12"/>
        <v>200500_2019_12_</v>
      </c>
      <c r="I49" s="2654" t="s">
        <v>624</v>
      </c>
      <c r="J49" s="2654"/>
      <c r="K49" s="2654"/>
      <c r="L49" s="2654"/>
      <c r="V49" s="2651"/>
      <c r="W49" s="158">
        <v>62.1</v>
      </c>
      <c r="X49" s="63">
        <v>60.9</v>
      </c>
      <c r="Y49" s="63">
        <v>61.3</v>
      </c>
      <c r="Z49" s="183"/>
      <c r="AA49" s="182"/>
      <c r="AB49" s="182"/>
      <c r="AC49" s="182"/>
      <c r="AD49" s="182"/>
      <c r="AE49" s="182"/>
      <c r="AF49" s="182"/>
      <c r="AG49" s="182"/>
    </row>
    <row r="50" spans="4:33" hidden="1" outlineLevel="1" x14ac:dyDescent="0.25">
      <c r="D50" s="2645"/>
      <c r="E50" s="2646"/>
      <c r="F50" s="1887" t="str">
        <f t="shared" si="13"/>
        <v>LED - 18W Flood Light PAR30 Bulb (CFL baseline)</v>
      </c>
      <c r="G50" s="186">
        <v>23</v>
      </c>
      <c r="H50" s="71" t="str">
        <f t="shared" si="12"/>
        <v>200550_2019_12_</v>
      </c>
      <c r="I50" s="2655" t="s">
        <v>627</v>
      </c>
      <c r="J50" s="2655"/>
      <c r="K50" s="2655"/>
      <c r="L50" s="2655"/>
      <c r="V50" s="2651"/>
      <c r="W50" s="186">
        <v>23</v>
      </c>
      <c r="X50" s="187">
        <v>23</v>
      </c>
      <c r="Y50" s="187">
        <v>23</v>
      </c>
      <c r="Z50" s="183"/>
      <c r="AA50" s="187"/>
      <c r="AB50" s="187"/>
      <c r="AC50" s="187"/>
      <c r="AD50" s="187"/>
      <c r="AE50" s="187"/>
      <c r="AF50" s="187"/>
      <c r="AG50" s="187"/>
    </row>
    <row r="51" spans="4:33" hidden="1" outlineLevel="1" x14ac:dyDescent="0.25">
      <c r="D51" s="2645"/>
      <c r="E51" s="2646"/>
      <c r="F51" s="1887" t="str">
        <f t="shared" si="13"/>
        <v>LED - 18W Flood Light PAR38 Bulb (Halogen baseline)</v>
      </c>
      <c r="G51" s="158">
        <v>100</v>
      </c>
      <c r="H51" s="71" t="str">
        <f t="shared" si="12"/>
        <v>200600_2019_12_</v>
      </c>
      <c r="I51" s="2654" t="s">
        <v>628</v>
      </c>
      <c r="J51" s="2654"/>
      <c r="K51" s="2654"/>
      <c r="L51" s="2654"/>
      <c r="V51" s="2651"/>
      <c r="W51" s="158">
        <v>100</v>
      </c>
      <c r="X51" s="182">
        <v>100</v>
      </c>
      <c r="Y51" s="71">
        <v>100</v>
      </c>
      <c r="Z51" s="183"/>
      <c r="AA51" s="182"/>
      <c r="AB51" s="182"/>
      <c r="AC51" s="182"/>
      <c r="AD51" s="182"/>
      <c r="AE51" s="182"/>
      <c r="AF51" s="182"/>
      <c r="AG51" s="182"/>
    </row>
    <row r="52" spans="4:33" hidden="1" outlineLevel="1" x14ac:dyDescent="0.25">
      <c r="D52" s="2645"/>
      <c r="E52" s="2646"/>
      <c r="F52" s="1887" t="str">
        <f t="shared" si="13"/>
        <v>LED - 20W (CFL baseline)</v>
      </c>
      <c r="G52" s="158">
        <v>24.8</v>
      </c>
      <c r="H52" s="71" t="str">
        <f t="shared" si="12"/>
        <v>200650_2019_12_</v>
      </c>
      <c r="I52" s="2655" t="s">
        <v>629</v>
      </c>
      <c r="J52" s="2655"/>
      <c r="K52" s="2655"/>
      <c r="L52" s="2655"/>
      <c r="V52" s="2651"/>
      <c r="W52" s="158">
        <v>24.8</v>
      </c>
      <c r="X52" s="182">
        <v>24.8</v>
      </c>
      <c r="Y52" s="71">
        <v>24.8</v>
      </c>
      <c r="Z52" s="183"/>
      <c r="AA52" s="182"/>
      <c r="AB52" s="182"/>
      <c r="AC52" s="182"/>
      <c r="AD52" s="182"/>
      <c r="AE52" s="182"/>
      <c r="AF52" s="182"/>
      <c r="AG52" s="182"/>
    </row>
    <row r="53" spans="4:33" hidden="1" outlineLevel="1" x14ac:dyDescent="0.25">
      <c r="D53" s="2645"/>
      <c r="E53" s="2646"/>
      <c r="F53" s="1887" t="str">
        <f t="shared" si="13"/>
        <v>LED - 20W (Halogen baseline)</v>
      </c>
      <c r="G53" s="158">
        <v>72</v>
      </c>
      <c r="H53" s="71" t="str">
        <f t="shared" si="12"/>
        <v>200700_2019_12_</v>
      </c>
      <c r="I53" s="2654" t="s">
        <v>624</v>
      </c>
      <c r="J53" s="2654"/>
      <c r="K53" s="2654"/>
      <c r="L53" s="2654"/>
      <c r="V53" s="2651"/>
      <c r="W53" s="158">
        <v>72</v>
      </c>
      <c r="X53" s="63">
        <v>71.7</v>
      </c>
      <c r="Y53" s="63">
        <v>72</v>
      </c>
      <c r="Z53" s="183"/>
      <c r="AA53" s="182"/>
      <c r="AB53" s="182"/>
      <c r="AC53" s="182"/>
      <c r="AD53" s="182"/>
      <c r="AE53" s="182"/>
      <c r="AF53" s="182"/>
      <c r="AG53" s="182"/>
    </row>
    <row r="54" spans="4:33" hidden="1" outlineLevel="1" x14ac:dyDescent="0.25">
      <c r="D54" s="2645"/>
      <c r="E54" s="2646"/>
      <c r="F54" s="1887" t="str">
        <f t="shared" si="13"/>
        <v>LED - 4W Candelabra (CFL baseline)</v>
      </c>
      <c r="G54" s="158">
        <v>9</v>
      </c>
      <c r="H54" s="71" t="str">
        <f t="shared" si="12"/>
        <v>200750_2019_12_</v>
      </c>
      <c r="I54" s="2655" t="s">
        <v>630</v>
      </c>
      <c r="J54" s="2655"/>
      <c r="K54" s="2655"/>
      <c r="L54" s="2655"/>
      <c r="V54" s="2651"/>
      <c r="W54" s="158">
        <v>9</v>
      </c>
      <c r="X54" s="182">
        <v>9</v>
      </c>
      <c r="Y54" s="71">
        <v>9</v>
      </c>
      <c r="Z54" s="183"/>
      <c r="AA54" s="182"/>
      <c r="AB54" s="182"/>
      <c r="AC54" s="182"/>
      <c r="AD54" s="182"/>
      <c r="AE54" s="182"/>
      <c r="AF54" s="182"/>
      <c r="AG54" s="182"/>
    </row>
    <row r="55" spans="4:33" hidden="1" outlineLevel="1" x14ac:dyDescent="0.25">
      <c r="D55" s="2645"/>
      <c r="E55" s="2646"/>
      <c r="F55" s="1887" t="str">
        <f t="shared" si="13"/>
        <v>LED - 4W Candelabra (Replacing Specialty Incandescent)</v>
      </c>
      <c r="G55" s="158">
        <v>39</v>
      </c>
      <c r="H55" s="71" t="str">
        <f t="shared" si="12"/>
        <v>200800_2019_12_</v>
      </c>
      <c r="I55" s="2654" t="s">
        <v>624</v>
      </c>
      <c r="J55" s="2654"/>
      <c r="K55" s="2654"/>
      <c r="L55" s="2654"/>
      <c r="V55" s="2651"/>
      <c r="W55" s="158">
        <v>40.409999999999997</v>
      </c>
      <c r="X55" s="63">
        <v>41</v>
      </c>
      <c r="Y55" s="63">
        <v>39</v>
      </c>
      <c r="Z55" s="183"/>
      <c r="AA55" s="71"/>
      <c r="AB55" s="71"/>
      <c r="AC55" s="71"/>
      <c r="AD55" s="71"/>
      <c r="AE55" s="71"/>
      <c r="AF55" s="71"/>
      <c r="AG55" s="71"/>
    </row>
    <row r="56" spans="4:33" hidden="1" outlineLevel="1" x14ac:dyDescent="0.25">
      <c r="D56" s="2645"/>
      <c r="E56" s="2646"/>
      <c r="F56" s="1887" t="str">
        <f t="shared" si="13"/>
        <v>LED - 8W Globe Light G25 Bulb (Replacing CFL)</v>
      </c>
      <c r="G56" s="158">
        <v>11</v>
      </c>
      <c r="H56" s="71" t="str">
        <f t="shared" si="12"/>
        <v>200850_2019_12_</v>
      </c>
      <c r="I56" s="2655" t="s">
        <v>631</v>
      </c>
      <c r="J56" s="2655"/>
      <c r="K56" s="2655"/>
      <c r="L56" s="2655"/>
      <c r="V56" s="2651"/>
      <c r="W56" s="158">
        <v>11</v>
      </c>
      <c r="X56" s="71">
        <v>11</v>
      </c>
      <c r="Y56" s="71">
        <v>11</v>
      </c>
      <c r="Z56" s="183"/>
      <c r="AA56" s="71"/>
      <c r="AB56" s="71"/>
      <c r="AC56" s="71"/>
      <c r="AD56" s="71"/>
      <c r="AE56" s="71"/>
      <c r="AF56" s="71"/>
      <c r="AG56" s="71"/>
    </row>
    <row r="57" spans="4:33" hidden="1" outlineLevel="1" x14ac:dyDescent="0.25">
      <c r="D57" s="2645"/>
      <c r="E57" s="2646"/>
      <c r="F57" s="1887" t="str">
        <f t="shared" si="13"/>
        <v>LED - 8W Globe Light G25 Bulb (Replacing Specialty Incandescent)</v>
      </c>
      <c r="G57" s="158">
        <v>41.4</v>
      </c>
      <c r="H57" s="71" t="str">
        <f t="shared" si="12"/>
        <v>200900_2019_12_</v>
      </c>
      <c r="I57" s="2654" t="s">
        <v>624</v>
      </c>
      <c r="J57" s="2654"/>
      <c r="K57" s="2654"/>
      <c r="L57" s="2654"/>
      <c r="V57" s="2651"/>
      <c r="W57" s="158">
        <v>42.04</v>
      </c>
      <c r="X57" s="63">
        <v>40.6</v>
      </c>
      <c r="Y57" s="63">
        <v>41.4</v>
      </c>
      <c r="Z57" s="183"/>
      <c r="AA57" s="71"/>
      <c r="AB57" s="71"/>
      <c r="AC57" s="71"/>
      <c r="AD57" s="71"/>
      <c r="AE57" s="71"/>
      <c r="AF57" s="71"/>
      <c r="AG57" s="71"/>
    </row>
    <row r="58" spans="4:33" hidden="1" outlineLevel="1" x14ac:dyDescent="0.25">
      <c r="D58" s="2646"/>
      <c r="E58" s="2646"/>
      <c r="F58" s="1887" t="str">
        <f t="shared" si="13"/>
        <v>LED - 10W (Halogen baseline)  - Specialty Connected Light</v>
      </c>
      <c r="G58" s="158">
        <v>39.5</v>
      </c>
      <c r="H58" s="71" t="str">
        <f t="shared" si="12"/>
        <v>200950_2019_12_</v>
      </c>
      <c r="I58" s="2655" t="str">
        <f>I43</f>
        <v>Ameren Missouri Lighting Evaluation PY2018</v>
      </c>
      <c r="J58" s="2655"/>
      <c r="K58" s="2655"/>
      <c r="L58" s="2655"/>
      <c r="V58" s="2652"/>
      <c r="W58" s="158">
        <f>W43</f>
        <v>41.32</v>
      </c>
      <c r="X58" s="71">
        <f>X43</f>
        <v>41.1</v>
      </c>
      <c r="Y58" s="63">
        <v>39.5</v>
      </c>
      <c r="Z58" s="183"/>
      <c r="AA58" s="71"/>
      <c r="AB58" s="71"/>
      <c r="AC58" s="71"/>
      <c r="AD58" s="71"/>
      <c r="AE58" s="71"/>
      <c r="AF58" s="71"/>
      <c r="AG58" s="71"/>
    </row>
    <row r="59" spans="4:33" hidden="1" outlineLevel="1" x14ac:dyDescent="0.25">
      <c r="D59" s="2646"/>
      <c r="E59" s="2646"/>
      <c r="F59" s="1887" t="str">
        <f t="shared" si="13"/>
        <v>LED - 15W (Halogen baseline)  - Specialty Connected Light</v>
      </c>
      <c r="G59" s="158">
        <v>53</v>
      </c>
      <c r="H59" s="71" t="str">
        <f t="shared" si="12"/>
        <v>201000_2019_12_</v>
      </c>
      <c r="I59" s="2655" t="str">
        <f>I46</f>
        <v>Ameren Missouri Lighting Evaluation PY2018</v>
      </c>
      <c r="J59" s="2655"/>
      <c r="K59" s="2655"/>
      <c r="L59" s="2655"/>
      <c r="V59" s="2652"/>
      <c r="W59" s="158">
        <f>W46</f>
        <v>53</v>
      </c>
      <c r="X59" s="71">
        <f>X46</f>
        <v>53</v>
      </c>
      <c r="Y59" s="71">
        <v>53</v>
      </c>
      <c r="Z59" s="183"/>
      <c r="AA59" s="71"/>
      <c r="AB59" s="71"/>
      <c r="AC59" s="71"/>
      <c r="AD59" s="71"/>
      <c r="AE59" s="71"/>
      <c r="AF59" s="71"/>
      <c r="AG59" s="71"/>
    </row>
    <row r="60" spans="4:33" hidden="1" outlineLevel="1" x14ac:dyDescent="0.25">
      <c r="D60" s="2646"/>
      <c r="E60" s="2646"/>
      <c r="F60" s="1887" t="str">
        <f t="shared" si="13"/>
        <v>LED - 15W Flood Light PAR30 Bulb (Halogen baseline) - Specialty Connected Light</v>
      </c>
      <c r="G60" s="158">
        <v>61.3</v>
      </c>
      <c r="H60" s="71" t="str">
        <f t="shared" si="12"/>
        <v>201050_2019_12_</v>
      </c>
      <c r="I60" s="2656" t="s">
        <v>624</v>
      </c>
      <c r="J60" s="2641"/>
      <c r="K60" s="2641"/>
      <c r="L60" s="2642"/>
      <c r="V60" s="2652"/>
      <c r="W60" s="158">
        <f>W49</f>
        <v>62.1</v>
      </c>
      <c r="X60" s="63">
        <f>X49</f>
        <v>60.9</v>
      </c>
      <c r="Y60" s="63">
        <v>61.3</v>
      </c>
      <c r="Z60" s="183"/>
      <c r="AA60" s="71"/>
      <c r="AB60" s="71"/>
      <c r="AC60" s="71"/>
      <c r="AD60" s="71"/>
      <c r="AE60" s="71"/>
      <c r="AF60" s="71"/>
      <c r="AG60" s="71"/>
    </row>
    <row r="61" spans="4:33" ht="15" hidden="1" customHeight="1" outlineLevel="1" thickBot="1" x14ac:dyDescent="0.3">
      <c r="D61" s="2647"/>
      <c r="E61" s="2647"/>
      <c r="F61" s="1888" t="str">
        <f t="shared" si="13"/>
        <v>LED - 6W (Halogen baseline)</v>
      </c>
      <c r="G61" s="188">
        <v>29</v>
      </c>
      <c r="H61" s="189" t="str">
        <f t="shared" si="12"/>
        <v>201100_2019_12_</v>
      </c>
      <c r="I61" s="2657" t="s">
        <v>632</v>
      </c>
      <c r="J61" s="2658"/>
      <c r="K61" s="2658"/>
      <c r="L61" s="2659"/>
      <c r="V61" s="2653"/>
      <c r="W61" s="188"/>
      <c r="X61" s="189"/>
      <c r="Y61" s="190">
        <v>29</v>
      </c>
      <c r="Z61" s="191"/>
      <c r="AA61" s="189"/>
      <c r="AB61" s="189"/>
      <c r="AC61" s="189"/>
      <c r="AD61" s="189"/>
      <c r="AE61" s="189"/>
      <c r="AF61" s="189"/>
      <c r="AG61" s="189"/>
    </row>
    <row r="62" spans="4:33" hidden="1" outlineLevel="1" x14ac:dyDescent="0.25">
      <c r="D62" s="2644" t="s">
        <v>633</v>
      </c>
      <c r="E62" s="2648" t="s">
        <v>634</v>
      </c>
      <c r="F62" s="1886" t="str">
        <f t="shared" ref="F62:F83" si="14">E7</f>
        <v>LED - 10.5W Downlight E26 (CFL baseline)</v>
      </c>
      <c r="G62" s="178">
        <v>10.7</v>
      </c>
      <c r="H62" s="192" t="str">
        <f>C7</f>
        <v>200050_2019_12_</v>
      </c>
      <c r="I62" s="2660" t="s">
        <v>624</v>
      </c>
      <c r="J62" s="2661"/>
      <c r="K62" s="2661"/>
      <c r="L62" s="2662"/>
      <c r="V62" s="2650" t="s">
        <v>633</v>
      </c>
      <c r="W62" s="178">
        <v>7</v>
      </c>
      <c r="X62" s="192">
        <v>8</v>
      </c>
      <c r="Y62" s="193">
        <v>10.7</v>
      </c>
      <c r="Z62" s="180"/>
      <c r="AA62" s="192"/>
      <c r="AB62" s="192"/>
      <c r="AC62" s="192"/>
      <c r="AD62" s="192"/>
      <c r="AE62" s="192"/>
      <c r="AF62" s="192"/>
      <c r="AG62" s="192"/>
    </row>
    <row r="63" spans="4:33" ht="15" hidden="1" customHeight="1" outlineLevel="1" x14ac:dyDescent="0.25">
      <c r="D63" s="2645"/>
      <c r="E63" s="2646"/>
      <c r="F63" s="1887" t="str">
        <f t="shared" si="14"/>
        <v>LED - 10.5W Downlight E26 (Halogen baseline)</v>
      </c>
      <c r="G63" s="158">
        <v>10.7</v>
      </c>
      <c r="H63" s="71" t="str">
        <f t="shared" ref="H63:H79" si="15">C8</f>
        <v>200100_2019_12_</v>
      </c>
      <c r="I63" s="2663" t="s">
        <v>624</v>
      </c>
      <c r="J63" s="2664"/>
      <c r="K63" s="2664"/>
      <c r="L63" s="2665"/>
      <c r="V63" s="2651"/>
      <c r="W63" s="158">
        <v>7</v>
      </c>
      <c r="X63" s="63">
        <v>6.5</v>
      </c>
      <c r="Y63" s="63">
        <v>10.7</v>
      </c>
      <c r="Z63" s="183"/>
      <c r="AA63" s="71"/>
      <c r="AB63" s="71"/>
      <c r="AC63" s="71"/>
      <c r="AD63" s="71"/>
      <c r="AE63" s="71"/>
      <c r="AF63" s="71"/>
      <c r="AG63" s="71"/>
    </row>
    <row r="64" spans="4:33" ht="15" hidden="1" customHeight="1" outlineLevel="1" x14ac:dyDescent="0.25">
      <c r="D64" s="2645"/>
      <c r="E64" s="2646"/>
      <c r="F64" s="1887" t="str">
        <f t="shared" si="14"/>
        <v>LED - 10W (CFL baseline)</v>
      </c>
      <c r="G64" s="186">
        <v>8.4</v>
      </c>
      <c r="H64" s="71" t="str">
        <f t="shared" si="15"/>
        <v>200150_2019_12_</v>
      </c>
      <c r="I64" s="2663" t="s">
        <v>624</v>
      </c>
      <c r="J64" s="2664"/>
      <c r="K64" s="2664"/>
      <c r="L64" s="2665"/>
      <c r="V64" s="2651"/>
      <c r="W64" s="186">
        <v>9.1</v>
      </c>
      <c r="X64" s="186">
        <v>9.1</v>
      </c>
      <c r="Y64" s="194">
        <v>8.4</v>
      </c>
      <c r="Z64" s="183"/>
      <c r="AA64" s="186"/>
      <c r="AB64" s="186"/>
      <c r="AC64" s="186"/>
      <c r="AD64" s="186"/>
      <c r="AE64" s="186"/>
      <c r="AF64" s="186"/>
      <c r="AG64" s="186"/>
    </row>
    <row r="65" spans="4:33" ht="15" hidden="1" customHeight="1" outlineLevel="1" x14ac:dyDescent="0.25">
      <c r="D65" s="2645"/>
      <c r="E65" s="2646"/>
      <c r="F65" s="1887" t="str">
        <f t="shared" si="14"/>
        <v>LED - 10W (Halogen baseline)</v>
      </c>
      <c r="G65" s="186">
        <v>8.4</v>
      </c>
      <c r="H65" s="71" t="str">
        <f t="shared" si="15"/>
        <v>200200_2019_12_</v>
      </c>
      <c r="I65" s="2663" t="s">
        <v>624</v>
      </c>
      <c r="J65" s="2664"/>
      <c r="K65" s="2664"/>
      <c r="L65" s="2665"/>
      <c r="V65" s="2651"/>
      <c r="W65" s="186">
        <v>9.1</v>
      </c>
      <c r="X65" s="194">
        <v>9</v>
      </c>
      <c r="Y65" s="194">
        <v>8.4</v>
      </c>
      <c r="Z65" s="183"/>
      <c r="AA65" s="186"/>
      <c r="AB65" s="186"/>
      <c r="AC65" s="186"/>
      <c r="AD65" s="186"/>
      <c r="AE65" s="186"/>
      <c r="AF65" s="186"/>
      <c r="AG65" s="186"/>
    </row>
    <row r="66" spans="4:33" ht="15" hidden="1" customHeight="1" outlineLevel="1" x14ac:dyDescent="0.25">
      <c r="D66" s="2645"/>
      <c r="E66" s="2646"/>
      <c r="F66" s="1887" t="str">
        <f t="shared" si="14"/>
        <v>LED - 12W Dimmable Light Bulb (Replacing CFL)</v>
      </c>
      <c r="G66" s="158">
        <v>15.4</v>
      </c>
      <c r="H66" s="71" t="str">
        <f t="shared" si="15"/>
        <v>200250_2019_12_</v>
      </c>
      <c r="I66" s="2663" t="s">
        <v>624</v>
      </c>
      <c r="J66" s="2664"/>
      <c r="K66" s="2664"/>
      <c r="L66" s="2665"/>
      <c r="V66" s="2651"/>
      <c r="W66" s="158">
        <v>9.5</v>
      </c>
      <c r="X66" s="158">
        <v>9.5</v>
      </c>
      <c r="Y66" s="163">
        <v>15.4</v>
      </c>
      <c r="Z66" s="183"/>
      <c r="AA66" s="158"/>
      <c r="AB66" s="158"/>
      <c r="AC66" s="158"/>
      <c r="AD66" s="158"/>
      <c r="AE66" s="158"/>
      <c r="AF66" s="158"/>
      <c r="AG66" s="158"/>
    </row>
    <row r="67" spans="4:33" ht="15" hidden="1" customHeight="1" outlineLevel="1" x14ac:dyDescent="0.25">
      <c r="D67" s="2645"/>
      <c r="E67" s="2646"/>
      <c r="F67" s="1887" t="str">
        <f t="shared" si="14"/>
        <v>LED - 12W Dimmable Light Bulb (Replacing Specialty Incandescent) LI DI</v>
      </c>
      <c r="G67" s="158">
        <v>15.4</v>
      </c>
      <c r="H67" s="71" t="str">
        <f t="shared" si="15"/>
        <v>200300_2019_12_</v>
      </c>
      <c r="I67" s="2663" t="s">
        <v>624</v>
      </c>
      <c r="J67" s="2664"/>
      <c r="K67" s="2664"/>
      <c r="L67" s="2665"/>
      <c r="V67" s="2651"/>
      <c r="W67" s="158">
        <v>9.5</v>
      </c>
      <c r="X67" s="163">
        <v>8.8000000000000007</v>
      </c>
      <c r="Y67" s="163">
        <v>15.4</v>
      </c>
      <c r="Z67" s="183"/>
      <c r="AA67" s="158"/>
      <c r="AB67" s="158"/>
      <c r="AC67" s="158"/>
      <c r="AD67" s="158"/>
      <c r="AE67" s="158"/>
      <c r="AF67" s="158"/>
      <c r="AG67" s="158"/>
    </row>
    <row r="68" spans="4:33" ht="15" hidden="1" customHeight="1" outlineLevel="1" x14ac:dyDescent="0.25">
      <c r="D68" s="2645"/>
      <c r="E68" s="2646"/>
      <c r="F68" s="1887" t="str">
        <f t="shared" si="14"/>
        <v>LED - 15W (Halogen baseline)</v>
      </c>
      <c r="G68" s="186">
        <v>12.1</v>
      </c>
      <c r="H68" s="71" t="str">
        <f t="shared" si="15"/>
        <v>200350_2019_12_</v>
      </c>
      <c r="I68" s="2663" t="s">
        <v>624</v>
      </c>
      <c r="J68" s="2664"/>
      <c r="K68" s="2664"/>
      <c r="L68" s="2665"/>
      <c r="V68" s="2651"/>
      <c r="W68" s="186">
        <v>10.6</v>
      </c>
      <c r="X68" s="194">
        <v>11.6</v>
      </c>
      <c r="Y68" s="194">
        <v>12.1</v>
      </c>
      <c r="Z68" s="183"/>
      <c r="AA68" s="186"/>
      <c r="AB68" s="186"/>
      <c r="AC68" s="186"/>
      <c r="AD68" s="186"/>
      <c r="AE68" s="186"/>
      <c r="AF68" s="186"/>
      <c r="AG68" s="186"/>
    </row>
    <row r="69" spans="4:33" ht="15" hidden="1" customHeight="1" outlineLevel="1" x14ac:dyDescent="0.25">
      <c r="D69" s="2645"/>
      <c r="E69" s="2646"/>
      <c r="F69" s="1887" t="str">
        <f t="shared" si="14"/>
        <v>LED - 15W (CFL baseline)</v>
      </c>
      <c r="G69" s="186">
        <v>12.1</v>
      </c>
      <c r="H69" s="71" t="str">
        <f t="shared" si="15"/>
        <v>200400_2019_12_</v>
      </c>
      <c r="I69" s="2663" t="s">
        <v>624</v>
      </c>
      <c r="J69" s="2664"/>
      <c r="K69" s="2664"/>
      <c r="L69" s="2665"/>
      <c r="V69" s="2651"/>
      <c r="W69" s="186">
        <v>10.6</v>
      </c>
      <c r="X69" s="186">
        <v>10.6</v>
      </c>
      <c r="Y69" s="194">
        <v>12.1</v>
      </c>
      <c r="Z69" s="183"/>
      <c r="AA69" s="186"/>
      <c r="AB69" s="186"/>
      <c r="AC69" s="186"/>
      <c r="AD69" s="186"/>
      <c r="AE69" s="186"/>
      <c r="AF69" s="186"/>
      <c r="AG69" s="186"/>
    </row>
    <row r="70" spans="4:33" ht="15" hidden="1" customHeight="1" outlineLevel="1" x14ac:dyDescent="0.25">
      <c r="D70" s="2645"/>
      <c r="E70" s="2646"/>
      <c r="F70" s="1887" t="str">
        <f t="shared" si="14"/>
        <v>LED - 15W Flood Light PAR30 Bulb (CFL baseline)</v>
      </c>
      <c r="G70" s="158">
        <v>10</v>
      </c>
      <c r="H70" s="71" t="str">
        <f t="shared" si="15"/>
        <v>200450_2019_12_</v>
      </c>
      <c r="I70" s="2663" t="s">
        <v>624</v>
      </c>
      <c r="J70" s="2664"/>
      <c r="K70" s="2664"/>
      <c r="L70" s="2665"/>
      <c r="V70" s="2651"/>
      <c r="W70" s="158">
        <v>11.2</v>
      </c>
      <c r="X70" s="71">
        <v>11.2</v>
      </c>
      <c r="Y70" s="63">
        <v>10</v>
      </c>
      <c r="Z70" s="183"/>
      <c r="AA70" s="71"/>
      <c r="AB70" s="71"/>
      <c r="AC70" s="71"/>
      <c r="AD70" s="71"/>
      <c r="AE70" s="71"/>
      <c r="AF70" s="71"/>
      <c r="AG70" s="71"/>
    </row>
    <row r="71" spans="4:33" ht="15" hidden="1" customHeight="1" outlineLevel="1" x14ac:dyDescent="0.25">
      <c r="D71" s="2645"/>
      <c r="E71" s="2646"/>
      <c r="F71" s="1887" t="str">
        <f t="shared" si="14"/>
        <v>LED - 15W Flood Light PAR30 Bulb (Halogen baseline)</v>
      </c>
      <c r="G71" s="158">
        <v>10</v>
      </c>
      <c r="H71" s="71" t="str">
        <f t="shared" si="15"/>
        <v>200500_2019_12_</v>
      </c>
      <c r="I71" s="2663" t="s">
        <v>624</v>
      </c>
      <c r="J71" s="2664"/>
      <c r="K71" s="2664"/>
      <c r="L71" s="2665"/>
      <c r="V71" s="2651"/>
      <c r="W71" s="158">
        <v>11.2</v>
      </c>
      <c r="X71" s="63">
        <v>10.6</v>
      </c>
      <c r="Y71" s="63">
        <v>10</v>
      </c>
      <c r="Z71" s="183"/>
      <c r="AA71" s="71"/>
      <c r="AB71" s="71"/>
      <c r="AC71" s="71"/>
      <c r="AD71" s="71"/>
      <c r="AE71" s="71"/>
      <c r="AF71" s="71"/>
      <c r="AG71" s="71"/>
    </row>
    <row r="72" spans="4:33" hidden="1" outlineLevel="1" x14ac:dyDescent="0.25">
      <c r="D72" s="2645"/>
      <c r="E72" s="2646"/>
      <c r="F72" s="1887" t="str">
        <f t="shared" si="14"/>
        <v>LED - 18W Flood Light PAR30 Bulb (CFL baseline)</v>
      </c>
      <c r="G72" s="158">
        <v>18</v>
      </c>
      <c r="H72" s="71" t="str">
        <f t="shared" si="15"/>
        <v>200550_2019_12_</v>
      </c>
      <c r="I72" s="2654" t="s">
        <v>628</v>
      </c>
      <c r="J72" s="2654"/>
      <c r="K72" s="2654"/>
      <c r="L72" s="2654"/>
      <c r="V72" s="2651"/>
      <c r="W72" s="158">
        <v>18</v>
      </c>
      <c r="X72" s="71">
        <v>18</v>
      </c>
      <c r="Y72" s="71">
        <v>18</v>
      </c>
      <c r="Z72" s="183"/>
      <c r="AA72" s="71"/>
      <c r="AB72" s="71"/>
      <c r="AC72" s="71"/>
      <c r="AD72" s="71"/>
      <c r="AE72" s="71"/>
      <c r="AF72" s="71"/>
      <c r="AG72" s="71"/>
    </row>
    <row r="73" spans="4:33" hidden="1" outlineLevel="1" x14ac:dyDescent="0.25">
      <c r="D73" s="2645"/>
      <c r="E73" s="2646"/>
      <c r="F73" s="1887" t="str">
        <f t="shared" si="14"/>
        <v>LED - 18W Flood Light PAR38 Bulb (Halogen baseline)</v>
      </c>
      <c r="G73" s="158">
        <v>18</v>
      </c>
      <c r="H73" s="71" t="str">
        <f t="shared" si="15"/>
        <v>200600_2019_12_</v>
      </c>
      <c r="I73" s="2654" t="s">
        <v>628</v>
      </c>
      <c r="J73" s="2654"/>
      <c r="K73" s="2654"/>
      <c r="L73" s="2654"/>
      <c r="V73" s="2651"/>
      <c r="W73" s="158">
        <v>18</v>
      </c>
      <c r="X73" s="71">
        <v>18</v>
      </c>
      <c r="Y73" s="71">
        <v>18</v>
      </c>
      <c r="Z73" s="183"/>
      <c r="AA73" s="71"/>
      <c r="AB73" s="71"/>
      <c r="AC73" s="71"/>
      <c r="AD73" s="71"/>
      <c r="AE73" s="71"/>
      <c r="AF73" s="71"/>
      <c r="AG73" s="71"/>
    </row>
    <row r="74" spans="4:33" hidden="1" outlineLevel="1" x14ac:dyDescent="0.25">
      <c r="D74" s="2645"/>
      <c r="E74" s="2646"/>
      <c r="F74" s="1887" t="str">
        <f t="shared" si="14"/>
        <v>LED - 20W (CFL baseline)</v>
      </c>
      <c r="G74" s="158">
        <v>15.2</v>
      </c>
      <c r="H74" s="71" t="str">
        <f t="shared" si="15"/>
        <v>200650_2019_12_</v>
      </c>
      <c r="I74" s="2663" t="s">
        <v>624</v>
      </c>
      <c r="J74" s="2664"/>
      <c r="K74" s="2664"/>
      <c r="L74" s="2665"/>
      <c r="V74" s="2651"/>
      <c r="W74" s="158">
        <v>15</v>
      </c>
      <c r="X74" s="71">
        <v>15</v>
      </c>
      <c r="Y74" s="195">
        <v>15.2</v>
      </c>
      <c r="Z74" s="183"/>
      <c r="AA74" s="71"/>
      <c r="AB74" s="71"/>
      <c r="AC74" s="71"/>
      <c r="AD74" s="71"/>
      <c r="AE74" s="71"/>
      <c r="AF74" s="71"/>
      <c r="AG74" s="71"/>
    </row>
    <row r="75" spans="4:33" hidden="1" outlineLevel="1" x14ac:dyDescent="0.25">
      <c r="D75" s="2645"/>
      <c r="E75" s="2646"/>
      <c r="F75" s="1887" t="str">
        <f t="shared" si="14"/>
        <v>LED - 20W (Halogen baseline)</v>
      </c>
      <c r="G75" s="158">
        <v>15.2</v>
      </c>
      <c r="H75" s="71" t="str">
        <f t="shared" si="15"/>
        <v>200700_2019_12_</v>
      </c>
      <c r="I75" s="2654" t="s">
        <v>624</v>
      </c>
      <c r="J75" s="2654"/>
      <c r="K75" s="2654"/>
      <c r="L75" s="2654"/>
      <c r="V75" s="2651"/>
      <c r="W75" s="158">
        <v>15</v>
      </c>
      <c r="X75" s="63">
        <v>14.9</v>
      </c>
      <c r="Y75" s="195">
        <v>15.2</v>
      </c>
      <c r="Z75" s="183"/>
      <c r="AA75" s="71"/>
      <c r="AB75" s="71"/>
      <c r="AC75" s="71"/>
      <c r="AD75" s="71"/>
      <c r="AE75" s="71"/>
      <c r="AF75" s="71"/>
      <c r="AG75" s="71"/>
    </row>
    <row r="76" spans="4:33" hidden="1" outlineLevel="1" x14ac:dyDescent="0.25">
      <c r="D76" s="2645"/>
      <c r="E76" s="2646"/>
      <c r="F76" s="1887" t="str">
        <f t="shared" si="14"/>
        <v>LED - 4W Candelabra (CFL baseline)</v>
      </c>
      <c r="G76" s="158">
        <v>4</v>
      </c>
      <c r="H76" s="71" t="str">
        <f t="shared" si="15"/>
        <v>200750_2019_12_</v>
      </c>
      <c r="I76" s="2663" t="s">
        <v>624</v>
      </c>
      <c r="J76" s="2664"/>
      <c r="K76" s="2664"/>
      <c r="L76" s="2665"/>
      <c r="V76" s="2651"/>
      <c r="W76" s="158">
        <v>4.5</v>
      </c>
      <c r="X76" s="71">
        <v>4.5</v>
      </c>
      <c r="Y76" s="63">
        <v>4</v>
      </c>
      <c r="Z76" s="183"/>
      <c r="AA76" s="71"/>
      <c r="AB76" s="71"/>
      <c r="AC76" s="71"/>
      <c r="AD76" s="71"/>
      <c r="AE76" s="71"/>
      <c r="AF76" s="71"/>
      <c r="AG76" s="71"/>
    </row>
    <row r="77" spans="4:33" hidden="1" outlineLevel="1" x14ac:dyDescent="0.25">
      <c r="D77" s="2645"/>
      <c r="E77" s="2646"/>
      <c r="F77" s="1887" t="str">
        <f t="shared" si="14"/>
        <v>LED - 4W Candelabra (Replacing Specialty Incandescent)</v>
      </c>
      <c r="G77" s="158">
        <v>4</v>
      </c>
      <c r="H77" s="71" t="str">
        <f t="shared" si="15"/>
        <v>200800_2019_12_</v>
      </c>
      <c r="I77" s="2654" t="s">
        <v>624</v>
      </c>
      <c r="J77" s="2654"/>
      <c r="K77" s="2654"/>
      <c r="L77" s="2654"/>
      <c r="V77" s="2651"/>
      <c r="W77" s="158">
        <v>4.5</v>
      </c>
      <c r="X77" s="63">
        <v>4.5999999999999996</v>
      </c>
      <c r="Y77" s="63">
        <v>4</v>
      </c>
      <c r="Z77" s="183"/>
      <c r="AA77" s="71"/>
      <c r="AB77" s="71"/>
      <c r="AC77" s="71"/>
      <c r="AD77" s="71"/>
      <c r="AE77" s="71"/>
      <c r="AF77" s="71"/>
      <c r="AG77" s="71"/>
    </row>
    <row r="78" spans="4:33" hidden="1" outlineLevel="1" x14ac:dyDescent="0.25">
      <c r="D78" s="2645"/>
      <c r="E78" s="2646"/>
      <c r="F78" s="1887" t="str">
        <f t="shared" si="14"/>
        <v>LED - 8W Globe Light G25 Bulb (Replacing CFL)</v>
      </c>
      <c r="G78" s="158">
        <v>5.2</v>
      </c>
      <c r="H78" s="71" t="str">
        <f t="shared" si="15"/>
        <v>200850_2019_12_</v>
      </c>
      <c r="I78" s="2663" t="s">
        <v>624</v>
      </c>
      <c r="J78" s="2664"/>
      <c r="K78" s="2664"/>
      <c r="L78" s="2665"/>
      <c r="V78" s="2651"/>
      <c r="W78" s="158">
        <v>5.9</v>
      </c>
      <c r="X78" s="71">
        <v>5.9</v>
      </c>
      <c r="Y78" s="63">
        <v>5.2</v>
      </c>
      <c r="Z78" s="183"/>
      <c r="AA78" s="71"/>
      <c r="AB78" s="71"/>
      <c r="AC78" s="71"/>
      <c r="AD78" s="71"/>
      <c r="AE78" s="71"/>
      <c r="AF78" s="71"/>
      <c r="AG78" s="71"/>
    </row>
    <row r="79" spans="4:33" hidden="1" outlineLevel="1" x14ac:dyDescent="0.25">
      <c r="D79" s="2645"/>
      <c r="E79" s="2646"/>
      <c r="F79" s="1887" t="str">
        <f t="shared" si="14"/>
        <v>LED - 8W Globe Light G25 Bulb (Replacing Specialty Incandescent)</v>
      </c>
      <c r="G79" s="158">
        <v>5.2</v>
      </c>
      <c r="H79" s="71" t="str">
        <f t="shared" si="15"/>
        <v>200900_2019_12_</v>
      </c>
      <c r="I79" s="2654" t="s">
        <v>624</v>
      </c>
      <c r="J79" s="2654"/>
      <c r="K79" s="2654"/>
      <c r="L79" s="2654"/>
      <c r="V79" s="2651"/>
      <c r="W79" s="158">
        <v>5.9</v>
      </c>
      <c r="X79" s="63">
        <v>5.8</v>
      </c>
      <c r="Y79" s="63">
        <v>5.2</v>
      </c>
      <c r="Z79" s="183"/>
      <c r="AA79" s="71"/>
      <c r="AB79" s="71"/>
      <c r="AC79" s="71"/>
      <c r="AD79" s="71"/>
      <c r="AE79" s="71"/>
      <c r="AF79" s="71"/>
      <c r="AG79" s="71"/>
    </row>
    <row r="80" spans="4:33" ht="15" hidden="1" customHeight="1" outlineLevel="1" x14ac:dyDescent="0.25">
      <c r="D80" s="2646"/>
      <c r="E80" s="2646"/>
      <c r="F80" s="1887" t="str">
        <f t="shared" si="14"/>
        <v>LED - 10W (Halogen baseline)  - Specialty Connected Light</v>
      </c>
      <c r="G80" s="158">
        <v>8.4</v>
      </c>
      <c r="H80" s="71" t="str">
        <f>H65</f>
        <v>200200_2019_12_</v>
      </c>
      <c r="I80" s="2654" t="s">
        <v>624</v>
      </c>
      <c r="J80" s="2654"/>
      <c r="K80" s="2654"/>
      <c r="L80" s="2654"/>
      <c r="V80" s="2652"/>
      <c r="W80" s="158">
        <f>W65</f>
        <v>9.1</v>
      </c>
      <c r="X80" s="63">
        <f>X65</f>
        <v>9</v>
      </c>
      <c r="Y80" s="63">
        <v>8.4</v>
      </c>
      <c r="Z80" s="183"/>
      <c r="AA80" s="71"/>
      <c r="AB80" s="71"/>
      <c r="AC80" s="71"/>
      <c r="AD80" s="71"/>
      <c r="AE80" s="71"/>
      <c r="AF80" s="71"/>
      <c r="AG80" s="71"/>
    </row>
    <row r="81" spans="4:33" ht="15" hidden="1" customHeight="1" outlineLevel="1" x14ac:dyDescent="0.25">
      <c r="D81" s="2646"/>
      <c r="E81" s="2646"/>
      <c r="F81" s="1887" t="str">
        <f t="shared" si="14"/>
        <v>LED - 15W (Halogen baseline)  - Specialty Connected Light</v>
      </c>
      <c r="G81" s="158">
        <v>12.1</v>
      </c>
      <c r="H81" s="71" t="str">
        <f>H68</f>
        <v>200350_2019_12_</v>
      </c>
      <c r="I81" s="2654" t="s">
        <v>624</v>
      </c>
      <c r="J81" s="2654"/>
      <c r="K81" s="2654"/>
      <c r="L81" s="2654"/>
      <c r="V81" s="2652"/>
      <c r="W81" s="158">
        <f>W68</f>
        <v>10.6</v>
      </c>
      <c r="X81" s="63">
        <f>X68</f>
        <v>11.6</v>
      </c>
      <c r="Y81" s="63">
        <v>12.1</v>
      </c>
      <c r="Z81" s="183"/>
      <c r="AA81" s="71"/>
      <c r="AB81" s="71"/>
      <c r="AC81" s="71"/>
      <c r="AD81" s="71"/>
      <c r="AE81" s="71"/>
      <c r="AF81" s="71"/>
      <c r="AG81" s="71"/>
    </row>
    <row r="82" spans="4:33" ht="15" hidden="1" customHeight="1" outlineLevel="1" x14ac:dyDescent="0.25">
      <c r="D82" s="2646"/>
      <c r="E82" s="2646"/>
      <c r="F82" s="1887" t="str">
        <f t="shared" si="14"/>
        <v>LED - 15W Flood Light PAR30 Bulb (Halogen baseline) - Specialty Connected Light</v>
      </c>
      <c r="G82" s="158">
        <v>12.1</v>
      </c>
      <c r="H82" s="71" t="str">
        <f>H70</f>
        <v>200450_2019_12_</v>
      </c>
      <c r="I82" s="2654" t="s">
        <v>624</v>
      </c>
      <c r="J82" s="2654"/>
      <c r="K82" s="2654"/>
      <c r="L82" s="2654"/>
      <c r="V82" s="2652"/>
      <c r="W82" s="158">
        <f>W71</f>
        <v>11.2</v>
      </c>
      <c r="X82" s="63">
        <f>X71</f>
        <v>10.6</v>
      </c>
      <c r="Y82" s="63">
        <v>12.1</v>
      </c>
      <c r="Z82" s="183"/>
      <c r="AA82" s="71"/>
      <c r="AB82" s="71"/>
      <c r="AC82" s="71"/>
      <c r="AD82" s="71"/>
      <c r="AE82" s="71"/>
      <c r="AF82" s="71"/>
      <c r="AG82" s="71"/>
    </row>
    <row r="83" spans="4:33" ht="15.75" hidden="1" outlineLevel="1" thickBot="1" x14ac:dyDescent="0.3">
      <c r="D83" s="2647"/>
      <c r="E83" s="2647"/>
      <c r="F83" s="1888" t="str">
        <f t="shared" si="14"/>
        <v>LED - 6W (Halogen baseline)</v>
      </c>
      <c r="G83" s="188">
        <v>6</v>
      </c>
      <c r="H83" s="189" t="str">
        <f>H71</f>
        <v>200500_2019_12_</v>
      </c>
      <c r="I83" s="2666" t="s">
        <v>635</v>
      </c>
      <c r="J83" s="2666"/>
      <c r="K83" s="2666"/>
      <c r="L83" s="2666"/>
      <c r="V83" s="2653"/>
      <c r="W83" s="188"/>
      <c r="X83" s="189"/>
      <c r="Y83" s="190">
        <v>6</v>
      </c>
      <c r="Z83" s="191"/>
      <c r="AA83" s="189"/>
      <c r="AB83" s="189"/>
      <c r="AC83" s="189"/>
      <c r="AD83" s="189"/>
      <c r="AE83" s="189"/>
      <c r="AF83" s="189"/>
      <c r="AG83" s="189"/>
    </row>
    <row r="84" spans="4:33" ht="35.25" hidden="1" customHeight="1" outlineLevel="1" x14ac:dyDescent="0.25">
      <c r="D84" s="1889" t="s">
        <v>82</v>
      </c>
      <c r="E84" s="1890" t="s">
        <v>636</v>
      </c>
      <c r="F84" s="1891" t="s">
        <v>637</v>
      </c>
      <c r="G84" s="197">
        <v>0.91918787238999333</v>
      </c>
      <c r="H84" s="199"/>
      <c r="I84" s="2667" t="s">
        <v>638</v>
      </c>
      <c r="J84" s="2667"/>
      <c r="K84" s="2667"/>
      <c r="L84" s="2667"/>
      <c r="V84" s="196" t="s">
        <v>82</v>
      </c>
      <c r="W84" s="197">
        <v>0.95118909047730049</v>
      </c>
      <c r="X84" s="198">
        <v>0.91918787238999333</v>
      </c>
      <c r="Y84" s="199">
        <v>0.91918787238999333</v>
      </c>
      <c r="Z84" s="200"/>
      <c r="AA84" s="200"/>
      <c r="AB84" s="199"/>
      <c r="AC84" s="199"/>
      <c r="AD84" s="199"/>
      <c r="AE84" s="199"/>
      <c r="AF84" s="199"/>
      <c r="AG84" s="199"/>
    </row>
    <row r="85" spans="4:33" ht="15" hidden="1" customHeight="1" outlineLevel="1" x14ac:dyDescent="0.25">
      <c r="D85" s="211" t="s">
        <v>639</v>
      </c>
      <c r="E85" s="212" t="s">
        <v>640</v>
      </c>
      <c r="F85" s="213" t="s">
        <v>637</v>
      </c>
      <c r="G85" s="203">
        <v>2.1860522990637464E-3</v>
      </c>
      <c r="H85" s="205"/>
      <c r="I85" s="2654" t="s">
        <v>624</v>
      </c>
      <c r="J85" s="2654"/>
      <c r="K85" s="2654"/>
      <c r="L85" s="2654"/>
      <c r="V85" s="201" t="s">
        <v>639</v>
      </c>
      <c r="W85" s="203">
        <v>1.6525893496695268E-2</v>
      </c>
      <c r="X85" s="204">
        <v>2.1860522990637464E-3</v>
      </c>
      <c r="Y85" s="205">
        <v>2.1860522990637464E-3</v>
      </c>
      <c r="Z85" s="183"/>
      <c r="AA85" s="183"/>
      <c r="AB85" s="202"/>
      <c r="AC85" s="202"/>
      <c r="AD85" s="202"/>
      <c r="AE85" s="202"/>
      <c r="AF85" s="202"/>
      <c r="AG85" s="202"/>
    </row>
    <row r="86" spans="4:33" ht="15" hidden="1" customHeight="1" outlineLevel="1" x14ac:dyDescent="0.25">
      <c r="D86" s="211" t="s">
        <v>641</v>
      </c>
      <c r="E86" s="212" t="s">
        <v>642</v>
      </c>
      <c r="F86" s="213" t="s">
        <v>643</v>
      </c>
      <c r="G86" s="208">
        <v>995.17979999999989</v>
      </c>
      <c r="H86" s="210"/>
      <c r="I86" s="2654" t="s">
        <v>624</v>
      </c>
      <c r="J86" s="2654"/>
      <c r="K86" s="2654"/>
      <c r="L86" s="2654"/>
      <c r="V86" s="201" t="s">
        <v>641</v>
      </c>
      <c r="W86" s="208">
        <f>2.73*365</f>
        <v>996.45</v>
      </c>
      <c r="X86" s="209">
        <f>2.72652*365</f>
        <v>995.17979999999989</v>
      </c>
      <c r="Y86" s="210">
        <f>2.72652*365</f>
        <v>995.17979999999989</v>
      </c>
      <c r="Z86" s="183"/>
      <c r="AA86" s="183"/>
      <c r="AB86" s="207"/>
      <c r="AC86" s="207"/>
      <c r="AD86" s="207"/>
      <c r="AE86" s="207"/>
      <c r="AF86" s="207"/>
      <c r="AG86" s="207"/>
    </row>
    <row r="87" spans="4:33" ht="45" hidden="1" outlineLevel="1" x14ac:dyDescent="0.25">
      <c r="D87" s="211" t="s">
        <v>644</v>
      </c>
      <c r="E87" s="1892" t="s">
        <v>645</v>
      </c>
      <c r="F87" s="213" t="s">
        <v>646</v>
      </c>
      <c r="G87" s="208">
        <v>0.99</v>
      </c>
      <c r="H87" s="210"/>
      <c r="I87" s="2655" t="s">
        <v>647</v>
      </c>
      <c r="J87" s="2655"/>
      <c r="K87" s="2655"/>
      <c r="L87" s="2655"/>
      <c r="V87" s="201" t="s">
        <v>644</v>
      </c>
      <c r="W87" s="208">
        <v>0.99</v>
      </c>
      <c r="X87" s="104">
        <v>0.99</v>
      </c>
      <c r="Y87" s="210">
        <v>0.99</v>
      </c>
      <c r="Z87" s="183"/>
      <c r="AA87" s="183"/>
      <c r="AB87" s="104"/>
      <c r="AC87" s="104"/>
      <c r="AD87" s="104"/>
      <c r="AE87" s="104"/>
      <c r="AF87" s="104"/>
      <c r="AG87" s="104"/>
    </row>
    <row r="88" spans="4:33" ht="93.75" hidden="1" customHeight="1" outlineLevel="1" x14ac:dyDescent="0.25">
      <c r="D88" s="211" t="s">
        <v>648</v>
      </c>
      <c r="E88" s="212" t="s">
        <v>649</v>
      </c>
      <c r="F88" s="213" t="s">
        <v>650</v>
      </c>
      <c r="G88" s="208">
        <v>3612</v>
      </c>
      <c r="H88" s="210"/>
      <c r="I88" s="2655" t="s">
        <v>651</v>
      </c>
      <c r="J88" s="2655"/>
      <c r="K88" s="2655"/>
      <c r="L88" s="2655"/>
      <c r="V88" s="201" t="s">
        <v>648</v>
      </c>
      <c r="W88" s="208">
        <v>3613</v>
      </c>
      <c r="X88" s="209">
        <v>3612</v>
      </c>
      <c r="Y88" s="210">
        <v>3612</v>
      </c>
      <c r="Z88" s="183"/>
      <c r="AA88" s="183"/>
      <c r="AB88" s="104"/>
      <c r="AC88" s="104"/>
      <c r="AD88" s="104"/>
      <c r="AE88" s="104"/>
      <c r="AF88" s="104"/>
      <c r="AG88" s="104"/>
    </row>
    <row r="89" spans="4:33" ht="45" hidden="1" outlineLevel="1" x14ac:dyDescent="0.25">
      <c r="D89" s="211" t="s">
        <v>652</v>
      </c>
      <c r="E89" s="1892" t="s">
        <v>645</v>
      </c>
      <c r="F89" s="213" t="s">
        <v>650</v>
      </c>
      <c r="G89" s="208">
        <v>1.1000000000000001</v>
      </c>
      <c r="H89" s="210"/>
      <c r="I89" s="2655" t="s">
        <v>653</v>
      </c>
      <c r="J89" s="2655"/>
      <c r="K89" s="2655"/>
      <c r="L89" s="2655"/>
      <c r="V89" s="201" t="s">
        <v>652</v>
      </c>
      <c r="W89" s="208">
        <v>1.1000000000000001</v>
      </c>
      <c r="X89" s="104">
        <v>1.1000000000000001</v>
      </c>
      <c r="Y89" s="210">
        <v>1.1000000000000001</v>
      </c>
      <c r="Z89" s="183"/>
      <c r="AA89" s="183"/>
      <c r="AB89" s="104"/>
      <c r="AC89" s="104"/>
      <c r="AD89" s="104"/>
      <c r="AE89" s="104"/>
      <c r="AF89" s="104"/>
      <c r="AG89" s="104"/>
    </row>
    <row r="90" spans="4:33" ht="15" hidden="1" customHeight="1" outlineLevel="1" x14ac:dyDescent="0.25">
      <c r="D90" s="211" t="s">
        <v>654</v>
      </c>
      <c r="E90" s="212" t="s">
        <v>655</v>
      </c>
      <c r="F90" s="213" t="s">
        <v>637</v>
      </c>
      <c r="G90" s="214">
        <v>0.99237761136046199</v>
      </c>
      <c r="H90" s="215"/>
      <c r="I90" s="2654" t="s">
        <v>624</v>
      </c>
      <c r="J90" s="2654"/>
      <c r="K90" s="2654"/>
      <c r="L90" s="2654"/>
      <c r="V90" s="201" t="s">
        <v>654</v>
      </c>
      <c r="W90" s="214">
        <v>1</v>
      </c>
      <c r="X90" s="216">
        <v>0.99237761136046199</v>
      </c>
      <c r="Y90" s="215">
        <v>0.99237761136046199</v>
      </c>
      <c r="Z90" s="183"/>
      <c r="AA90" s="183"/>
      <c r="AB90" s="215"/>
      <c r="AC90" s="215"/>
      <c r="AD90" s="215"/>
      <c r="AE90" s="215"/>
      <c r="AF90" s="215"/>
      <c r="AG90" s="215"/>
    </row>
    <row r="91" spans="4:33" hidden="1" outlineLevel="1" x14ac:dyDescent="0.25">
      <c r="D91" s="1706" t="s">
        <v>656</v>
      </c>
      <c r="E91" s="1706" t="s">
        <v>657</v>
      </c>
      <c r="F91" s="218" t="s">
        <v>637</v>
      </c>
      <c r="G91" s="219">
        <v>19</v>
      </c>
      <c r="H91" s="214"/>
      <c r="I91" s="2668"/>
      <c r="J91" s="2668"/>
      <c r="K91" s="2668"/>
      <c r="L91" s="2668"/>
      <c r="V91" s="217" t="s">
        <v>656</v>
      </c>
      <c r="W91" s="219">
        <v>19</v>
      </c>
      <c r="X91" s="219">
        <v>19</v>
      </c>
      <c r="Y91" s="219">
        <v>19</v>
      </c>
      <c r="Z91" s="183"/>
      <c r="AA91" s="183"/>
      <c r="AB91" s="219"/>
      <c r="AC91" s="219"/>
      <c r="AD91" s="219"/>
      <c r="AE91" s="219"/>
      <c r="AF91" s="219"/>
      <c r="AG91" s="219"/>
    </row>
    <row r="92" spans="4:33" hidden="1" outlineLevel="1" x14ac:dyDescent="0.25">
      <c r="D92" s="1706" t="s">
        <v>658</v>
      </c>
      <c r="E92" s="1706" t="s">
        <v>657</v>
      </c>
      <c r="F92" s="218" t="s">
        <v>637</v>
      </c>
      <c r="G92" s="219">
        <v>6</v>
      </c>
      <c r="H92" s="214"/>
      <c r="I92" s="2668"/>
      <c r="J92" s="2668"/>
      <c r="K92" s="2668"/>
      <c r="L92" s="2668"/>
      <c r="V92" s="217" t="s">
        <v>658</v>
      </c>
      <c r="W92" s="219">
        <v>6</v>
      </c>
      <c r="X92" s="219">
        <v>6</v>
      </c>
      <c r="Y92" s="219">
        <v>6</v>
      </c>
      <c r="Z92" s="183"/>
      <c r="AA92" s="183"/>
      <c r="AB92" s="219"/>
      <c r="AC92" s="219"/>
      <c r="AD92" s="219"/>
      <c r="AE92" s="219"/>
      <c r="AF92" s="219"/>
      <c r="AG92" s="219"/>
    </row>
    <row r="93" spans="4:33" hidden="1" outlineLevel="1" x14ac:dyDescent="0.25">
      <c r="D93" s="1707" t="s">
        <v>25</v>
      </c>
      <c r="E93" s="1706" t="s">
        <v>659</v>
      </c>
      <c r="F93" s="218" t="s">
        <v>637</v>
      </c>
      <c r="G93" s="221">
        <v>9.9999999999999995E-7</v>
      </c>
      <c r="H93" s="214"/>
      <c r="I93" s="2668"/>
      <c r="J93" s="2668"/>
      <c r="K93" s="2668"/>
      <c r="L93" s="2668"/>
      <c r="V93" s="220" t="s">
        <v>25</v>
      </c>
      <c r="W93" s="222">
        <v>9.9999999999999995E-7</v>
      </c>
      <c r="X93" s="222">
        <v>9.9999999999999995E-7</v>
      </c>
      <c r="Y93" s="222">
        <v>9.9999999999999995E-7</v>
      </c>
      <c r="Z93" s="183"/>
      <c r="AA93" s="183"/>
      <c r="AB93" s="222"/>
      <c r="AC93" s="222"/>
      <c r="AD93" s="222"/>
      <c r="AE93" s="222"/>
      <c r="AF93" s="222"/>
      <c r="AG93" s="222"/>
    </row>
    <row r="94" spans="4:33" hidden="1" outlineLevel="1" x14ac:dyDescent="0.25"/>
    <row r="95" spans="4:33" collapsed="1" x14ac:dyDescent="0.25"/>
  </sheetData>
  <mergeCells count="67">
    <mergeCell ref="I93:L93"/>
    <mergeCell ref="I87:L87"/>
    <mergeCell ref="I88:L88"/>
    <mergeCell ref="I89:L89"/>
    <mergeCell ref="I90:L90"/>
    <mergeCell ref="I91:L91"/>
    <mergeCell ref="I92:L92"/>
    <mergeCell ref="I86:L86"/>
    <mergeCell ref="I75:L75"/>
    <mergeCell ref="I76:L76"/>
    <mergeCell ref="I77:L77"/>
    <mergeCell ref="I78:L78"/>
    <mergeCell ref="I79:L79"/>
    <mergeCell ref="I80:L80"/>
    <mergeCell ref="I81:L81"/>
    <mergeCell ref="I82:L82"/>
    <mergeCell ref="I83:L83"/>
    <mergeCell ref="I84:L84"/>
    <mergeCell ref="I85:L85"/>
    <mergeCell ref="V62:V83"/>
    <mergeCell ref="I63:L63"/>
    <mergeCell ref="I64:L64"/>
    <mergeCell ref="I65:L65"/>
    <mergeCell ref="I66:L66"/>
    <mergeCell ref="I67:L67"/>
    <mergeCell ref="I68:L68"/>
    <mergeCell ref="I69:L69"/>
    <mergeCell ref="I70:L70"/>
    <mergeCell ref="I71:L71"/>
    <mergeCell ref="I61:L61"/>
    <mergeCell ref="D62:D83"/>
    <mergeCell ref="E62:E83"/>
    <mergeCell ref="I62:L62"/>
    <mergeCell ref="I72:L72"/>
    <mergeCell ref="I73:L73"/>
    <mergeCell ref="I74:L74"/>
    <mergeCell ref="I55:L55"/>
    <mergeCell ref="I56:L56"/>
    <mergeCell ref="I58:L58"/>
    <mergeCell ref="I59:L59"/>
    <mergeCell ref="I60:L60"/>
    <mergeCell ref="I50:L50"/>
    <mergeCell ref="I51:L51"/>
    <mergeCell ref="I52:L52"/>
    <mergeCell ref="I53:L53"/>
    <mergeCell ref="I54:L54"/>
    <mergeCell ref="V4:AI4"/>
    <mergeCell ref="I39:L39"/>
    <mergeCell ref="D40:D61"/>
    <mergeCell ref="E40:E61"/>
    <mergeCell ref="I40:L40"/>
    <mergeCell ref="V40:V61"/>
    <mergeCell ref="I41:L41"/>
    <mergeCell ref="I42:L42"/>
    <mergeCell ref="I43:L43"/>
    <mergeCell ref="I44:L44"/>
    <mergeCell ref="I45:L45"/>
    <mergeCell ref="I57:L57"/>
    <mergeCell ref="I46:L46"/>
    <mergeCell ref="I47:L47"/>
    <mergeCell ref="I48:L48"/>
    <mergeCell ref="I49:L49"/>
    <mergeCell ref="H31:S31"/>
    <mergeCell ref="A1:P1"/>
    <mergeCell ref="Q1:S1"/>
    <mergeCell ref="D2:J2"/>
    <mergeCell ref="B4:S4"/>
  </mergeCells>
  <conditionalFormatting sqref="AH7:AH27">
    <cfRule type="cellIs" dxfId="150" priority="5" operator="lessThan">
      <formula>-0.1</formula>
    </cfRule>
    <cfRule type="cellIs" dxfId="149" priority="6" operator="greaterThan">
      <formula>0.1</formula>
    </cfRule>
  </conditionalFormatting>
  <conditionalFormatting sqref="B1:B27 B29:B1048576">
    <cfRule type="containsText" dxfId="148" priority="4" operator="containsText" text="x">
      <formula>NOT(ISERROR(SEARCH("x",B1)))</formula>
    </cfRule>
  </conditionalFormatting>
  <conditionalFormatting sqref="AH28">
    <cfRule type="cellIs" dxfId="147" priority="2" operator="lessThan">
      <formula>-0.1</formula>
    </cfRule>
    <cfRule type="cellIs" dxfId="146" priority="3" operator="greaterThan">
      <formula>0.1</formula>
    </cfRule>
  </conditionalFormatting>
  <conditionalFormatting sqref="B28">
    <cfRule type="containsText" dxfId="145" priority="1" operator="containsText" text="x">
      <formula>NOT(ISERROR(SEARCH("x",B28)))</formula>
    </cfRule>
  </conditionalFormatting>
  <pageMargins left="0.7" right="0.7" top="0.75" bottom="0.75" header="0.3" footer="0.3"/>
  <pageSetup scale="10" fitToHeight="0"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338"/>
  <sheetViews>
    <sheetView zoomScale="70" zoomScaleNormal="70" zoomScaleSheetLayoutView="85" workbookViewId="0">
      <selection sqref="A1:P1"/>
    </sheetView>
  </sheetViews>
  <sheetFormatPr defaultColWidth="9.140625" defaultRowHeight="15" outlineLevelRow="1" x14ac:dyDescent="0.25"/>
  <cols>
    <col min="1" max="1" width="4.42578125" style="327" customWidth="1"/>
    <col min="2" max="2" width="9.140625" style="327"/>
    <col min="3" max="3" width="24.28515625" style="266" customWidth="1"/>
    <col min="4" max="4" width="39.28515625" style="326" customWidth="1"/>
    <col min="5" max="5" width="67.42578125" style="326" customWidth="1"/>
    <col min="6" max="6" width="22.28515625" style="327" customWidth="1"/>
    <col min="7" max="7" width="34.28515625" style="327" customWidth="1"/>
    <col min="8" max="8" width="28.42578125" style="327" customWidth="1"/>
    <col min="9" max="9" width="47.28515625" style="327" customWidth="1"/>
    <col min="10" max="10" width="15" style="327" customWidth="1"/>
    <col min="11" max="12" width="14.5703125" style="327" customWidth="1"/>
    <col min="13" max="13" width="11.140625" style="327" customWidth="1"/>
    <col min="14" max="14" width="10.5703125" style="327" customWidth="1"/>
    <col min="15" max="15" width="62.28515625" style="327" customWidth="1"/>
    <col min="16" max="16" width="14.140625" style="327" customWidth="1"/>
    <col min="17" max="17" width="21.140625" style="327" customWidth="1"/>
    <col min="18" max="21" width="9.140625" style="327" customWidth="1"/>
    <col min="22" max="22" width="26.5703125" style="141" customWidth="1"/>
    <col min="23" max="23" width="13.85546875" style="141" customWidth="1"/>
    <col min="24" max="24" width="18.42578125" style="141" customWidth="1"/>
    <col min="25" max="25" width="16.85546875" style="141" customWidth="1"/>
    <col min="26" max="26" width="19.140625" style="141" bestFit="1" customWidth="1"/>
    <col min="27" max="33" width="13.85546875" style="141" customWidth="1"/>
    <col min="34" max="34" width="9.140625" style="141" customWidth="1"/>
    <col min="35" max="35" width="15.5703125" style="141" customWidth="1"/>
    <col min="36" max="37" width="20" style="141" bestFit="1" customWidth="1"/>
    <col min="38" max="45" width="15.5703125" style="141" customWidth="1"/>
    <col min="46" max="52" width="9.140625" style="141" customWidth="1"/>
    <col min="53" max="53" width="18.28515625" style="141" customWidth="1"/>
    <col min="54" max="54" width="12" style="256" bestFit="1" customWidth="1"/>
    <col min="55" max="55" width="39.28515625" style="141" customWidth="1"/>
    <col min="56" max="56" width="10.28515625" style="141" bestFit="1" customWidth="1"/>
    <col min="57" max="57" width="17.5703125" style="141" bestFit="1" customWidth="1"/>
    <col min="58" max="16384" width="9.140625" style="141"/>
  </cols>
  <sheetData>
    <row r="1" spans="1:57" s="26" customFormat="1" ht="18.75" x14ac:dyDescent="0.3">
      <c r="A1" s="2633" t="s">
        <v>660</v>
      </c>
      <c r="B1" s="2634"/>
      <c r="C1" s="2634"/>
      <c r="D1" s="2634"/>
      <c r="E1" s="2634"/>
      <c r="F1" s="2634"/>
      <c r="G1" s="2634"/>
      <c r="H1" s="2634"/>
      <c r="I1" s="2634"/>
      <c r="J1" s="2634"/>
      <c r="K1" s="2634"/>
      <c r="L1" s="2634"/>
      <c r="M1" s="2634"/>
      <c r="N1" s="2634"/>
      <c r="O1" s="2634"/>
      <c r="P1" s="2634"/>
      <c r="Q1" s="2344"/>
      <c r="R1" s="1716"/>
      <c r="S1" s="1716"/>
      <c r="T1" s="1716"/>
      <c r="U1" s="1716"/>
      <c r="V1" s="33"/>
      <c r="W1" s="34"/>
      <c r="X1" s="34"/>
      <c r="Y1" s="35"/>
      <c r="Z1" s="35"/>
      <c r="AA1" s="35"/>
      <c r="AB1" s="35"/>
      <c r="AC1" s="35"/>
      <c r="AD1" s="35"/>
      <c r="AE1" s="35"/>
      <c r="AF1" s="35"/>
      <c r="AG1" s="35"/>
      <c r="AH1" s="35"/>
      <c r="BB1" s="224"/>
    </row>
    <row r="2" spans="1:57" s="26" customFormat="1" ht="30" hidden="1" customHeight="1" outlineLevel="1" x14ac:dyDescent="0.35">
      <c r="A2" s="1716"/>
      <c r="B2" s="1718"/>
      <c r="C2" s="225"/>
      <c r="D2" s="2622" t="s">
        <v>3345</v>
      </c>
      <c r="E2" s="2637"/>
      <c r="F2" s="2638"/>
      <c r="G2" s="2638"/>
      <c r="H2" s="2638"/>
      <c r="I2" s="2638"/>
      <c r="J2" s="2638"/>
      <c r="K2" s="1156"/>
      <c r="L2" s="1156"/>
      <c r="M2" s="1716"/>
      <c r="N2" s="1716"/>
      <c r="O2" s="1716"/>
      <c r="P2" s="1716"/>
      <c r="Q2" s="1716"/>
      <c r="R2" s="1716"/>
      <c r="S2" s="1716"/>
      <c r="T2" s="1716"/>
      <c r="U2" s="1716"/>
      <c r="V2" s="77"/>
      <c r="W2" s="77"/>
      <c r="X2" s="77"/>
      <c r="Y2" s="77"/>
      <c r="Z2" s="77"/>
      <c r="AA2" s="77"/>
      <c r="AB2" s="77"/>
      <c r="AC2" s="77"/>
      <c r="AD2" s="77"/>
      <c r="AE2" s="77"/>
      <c r="AF2" s="77"/>
      <c r="AG2" s="77"/>
      <c r="AH2" s="77"/>
      <c r="AI2" s="77"/>
      <c r="BB2" s="224"/>
    </row>
    <row r="3" spans="1:57" s="29" customFormat="1" ht="33.75" customHeight="1" collapsed="1" x14ac:dyDescent="0.25">
      <c r="A3" s="1157"/>
      <c r="B3" s="1157"/>
      <c r="C3" s="226"/>
      <c r="D3" s="227"/>
      <c r="E3" s="227"/>
      <c r="F3" s="226"/>
      <c r="G3" s="226"/>
      <c r="H3" s="226"/>
      <c r="I3" s="226"/>
      <c r="J3" s="226"/>
      <c r="K3" s="1157"/>
      <c r="L3" s="1157"/>
      <c r="M3" s="1157"/>
      <c r="N3" s="1157"/>
      <c r="O3" s="1157"/>
      <c r="P3" s="1157"/>
      <c r="Q3" s="1157"/>
      <c r="R3" s="1157"/>
      <c r="S3" s="1157"/>
      <c r="T3" s="1157"/>
      <c r="U3" s="1157"/>
      <c r="V3" s="77"/>
      <c r="W3" s="77"/>
      <c r="X3" s="77"/>
      <c r="Y3" s="77"/>
      <c r="Z3" s="77"/>
      <c r="AA3" s="77"/>
      <c r="AB3" s="77"/>
      <c r="AC3" s="77"/>
      <c r="AD3" s="77"/>
      <c r="AE3" s="77"/>
      <c r="AF3" s="77"/>
      <c r="AG3" s="77"/>
      <c r="AH3" s="77"/>
      <c r="AI3" s="77"/>
      <c r="BB3" s="228"/>
    </row>
    <row r="4" spans="1:57" s="229" customFormat="1" x14ac:dyDescent="0.25">
      <c r="B4" s="2639" t="s">
        <v>661</v>
      </c>
      <c r="C4" s="2640"/>
      <c r="D4" s="2640"/>
      <c r="E4" s="2640"/>
      <c r="F4" s="2640"/>
      <c r="G4" s="2640"/>
      <c r="H4" s="2640"/>
      <c r="I4" s="2641"/>
      <c r="J4" s="2641"/>
      <c r="K4" s="2641"/>
      <c r="L4" s="2641"/>
      <c r="M4" s="2641"/>
      <c r="N4" s="2641"/>
      <c r="O4" s="2642"/>
      <c r="V4" s="2639" t="str">
        <f>B4</f>
        <v>Heat Pump Hot Water Heater</v>
      </c>
      <c r="W4" s="2640"/>
      <c r="X4" s="2640"/>
      <c r="Y4" s="2640"/>
      <c r="Z4" s="2640"/>
      <c r="AA4" s="2640"/>
      <c r="AB4" s="2640"/>
      <c r="AC4" s="2615"/>
      <c r="AD4" s="2615"/>
      <c r="AE4" s="2615"/>
      <c r="AF4" s="2615"/>
      <c r="AG4" s="2615"/>
      <c r="AH4" s="2615"/>
      <c r="AI4" s="2616"/>
      <c r="BB4" s="230"/>
    </row>
    <row r="5" spans="1:57" s="43" customFormat="1" x14ac:dyDescent="0.25">
      <c r="A5" s="233"/>
      <c r="B5" s="233"/>
      <c r="C5" s="231"/>
      <c r="D5" s="232"/>
      <c r="E5" s="232"/>
      <c r="F5" s="233"/>
      <c r="G5" s="233"/>
      <c r="H5" s="233"/>
      <c r="I5" s="233"/>
      <c r="J5" s="233"/>
      <c r="K5" s="233"/>
      <c r="L5" s="233"/>
      <c r="M5" s="233"/>
      <c r="N5" s="233"/>
      <c r="O5" s="233"/>
      <c r="P5" s="233"/>
      <c r="Q5" s="233"/>
      <c r="R5" s="233"/>
      <c r="S5" s="233"/>
      <c r="T5" s="233"/>
      <c r="U5" s="233"/>
      <c r="BB5" s="235"/>
    </row>
    <row r="6" spans="1:57" s="50" customFormat="1" ht="48.75" customHeight="1" x14ac:dyDescent="0.25">
      <c r="A6" s="1726"/>
      <c r="B6" s="1726"/>
      <c r="C6" s="2345" t="s">
        <v>17</v>
      </c>
      <c r="D6" s="2345" t="s">
        <v>662</v>
      </c>
      <c r="E6" s="2345" t="s">
        <v>19</v>
      </c>
      <c r="F6" s="2345" t="s">
        <v>20</v>
      </c>
      <c r="G6" s="2345" t="s">
        <v>21</v>
      </c>
      <c r="H6" s="2345" t="s">
        <v>22</v>
      </c>
      <c r="I6" s="2345" t="s">
        <v>663</v>
      </c>
      <c r="J6" s="2345" t="s">
        <v>664</v>
      </c>
      <c r="K6" s="2345" t="s">
        <v>665</v>
      </c>
      <c r="L6" s="2345" t="s">
        <v>23</v>
      </c>
      <c r="M6" s="2345" t="s">
        <v>24</v>
      </c>
      <c r="N6" s="2345" t="s">
        <v>25</v>
      </c>
      <c r="O6" s="2345" t="s">
        <v>26</v>
      </c>
      <c r="P6" s="1726"/>
      <c r="Q6" s="1726"/>
      <c r="R6" s="1726"/>
      <c r="S6" s="1726"/>
      <c r="T6" s="1726"/>
      <c r="U6" s="1726"/>
      <c r="V6" s="55" t="s">
        <v>27</v>
      </c>
      <c r="W6" s="56">
        <v>43252</v>
      </c>
      <c r="X6" s="56">
        <v>43465</v>
      </c>
      <c r="Y6" s="56">
        <v>43800</v>
      </c>
      <c r="Z6" s="56">
        <v>43862</v>
      </c>
      <c r="AA6" s="56" t="s">
        <v>28</v>
      </c>
      <c r="AB6" s="56" t="s">
        <v>28</v>
      </c>
      <c r="AC6" s="56" t="s">
        <v>28</v>
      </c>
      <c r="AD6" s="56" t="s">
        <v>28</v>
      </c>
      <c r="AE6" s="56" t="s">
        <v>28</v>
      </c>
      <c r="AF6" s="56" t="s">
        <v>28</v>
      </c>
      <c r="AG6" s="56" t="s">
        <v>28</v>
      </c>
      <c r="BB6" s="103" t="s">
        <v>29</v>
      </c>
      <c r="BC6" s="58" t="s">
        <v>30</v>
      </c>
      <c r="BD6" s="59" t="s">
        <v>31</v>
      </c>
      <c r="BE6" s="59" t="s">
        <v>32</v>
      </c>
    </row>
    <row r="7" spans="1:57" s="43" customFormat="1" ht="15.75" customHeight="1" x14ac:dyDescent="0.25">
      <c r="A7" s="1896"/>
      <c r="B7" s="233"/>
      <c r="C7" s="237" t="s">
        <v>666</v>
      </c>
      <c r="D7" s="2481" t="s">
        <v>667</v>
      </c>
      <c r="E7" s="237" t="s">
        <v>661</v>
      </c>
      <c r="F7" s="238">
        <f>ROUND((((((1/F27)-(1/F28))*F29*F30*F31*F32*(F33-F34)*F35)/F36)-(J7+K7)+I7)*F49,2)</f>
        <v>2296.31</v>
      </c>
      <c r="G7" s="2364" t="s">
        <v>668</v>
      </c>
      <c r="H7" s="239">
        <f>VLOOKUP(G7,'CP FACTORS'!$A$3:$B$38, 2, FALSE)</f>
        <v>8.8731800000000003E-5</v>
      </c>
      <c r="I7" s="240">
        <f>(((1-1/F28)*F29*F30*F31*F32*(F33-F34)*F35)*F37*F38*F45/(F40*F36))*F46</f>
        <v>403.56223897258099</v>
      </c>
      <c r="J7" s="241">
        <f>(((1-1/F28)*F29*F30*F31*F32*(F33-F34)*F35)*F37*F39/(F41*F36))*F47</f>
        <v>153.81117612979111</v>
      </c>
      <c r="K7" s="241">
        <f>(((1-1/F28)*F29*F30*F31*F32*(F33-F34)*F35)*F37*F39/(F43*F36)*F48)</f>
        <v>96.428688738777211</v>
      </c>
      <c r="L7" s="242">
        <f>ROUND(F7*H7,6)</f>
        <v>0.20375599999999999</v>
      </c>
      <c r="M7" s="243">
        <f>F50</f>
        <v>13</v>
      </c>
      <c r="N7" s="244">
        <f>F51</f>
        <v>588</v>
      </c>
      <c r="O7" s="2273" t="s">
        <v>37</v>
      </c>
      <c r="P7" s="233"/>
      <c r="Q7" s="233"/>
      <c r="R7" s="1894"/>
      <c r="S7" s="233"/>
      <c r="T7" s="233"/>
      <c r="U7" s="233"/>
      <c r="V7" s="245" t="str">
        <f>F6</f>
        <v>kWh Annual Savings</v>
      </c>
      <c r="W7" s="246">
        <v>3736.4662164914935</v>
      </c>
      <c r="X7" s="243">
        <v>2506.58000131569</v>
      </c>
      <c r="Y7" s="247">
        <v>2296.31</v>
      </c>
      <c r="Z7" s="245"/>
      <c r="AA7" s="245"/>
      <c r="AB7" s="245"/>
      <c r="AC7" s="245"/>
      <c r="AD7" s="245"/>
      <c r="AE7" s="245"/>
      <c r="AF7" s="245"/>
      <c r="AG7" s="245"/>
      <c r="AH7" s="248"/>
      <c r="AU7" s="249"/>
      <c r="BB7" s="250">
        <f>(BD7)/(BE7)</f>
        <v>1.7998258984236168</v>
      </c>
      <c r="BC7" s="2355" t="str">
        <f>CONCATENATE(G7," ",M7," Year EUL")</f>
        <v>Water Heating RES 13 Year EUL</v>
      </c>
      <c r="BD7" s="251">
        <f>(INDEX('Avoided Cost Benefits'!$C$4:$C$857,MATCH(BC7,'Avoided Cost Benefits'!$A$4:$A$857,0)))*F7</f>
        <v>998.86515174430065</v>
      </c>
      <c r="BE7" s="122">
        <f>N7/(1.0595^(2020-2019))</f>
        <v>554.97876356772053</v>
      </c>
    </row>
    <row r="8" spans="1:57" s="43" customFormat="1" hidden="1" outlineLevel="1" x14ac:dyDescent="0.25">
      <c r="A8" s="233"/>
      <c r="B8" s="233"/>
      <c r="C8" s="231"/>
      <c r="D8" s="252"/>
      <c r="E8" s="253"/>
      <c r="F8" s="254"/>
      <c r="G8" s="233"/>
      <c r="H8" s="255"/>
      <c r="I8" s="233"/>
      <c r="J8" s="233"/>
      <c r="K8" s="233"/>
      <c r="L8" s="553"/>
      <c r="M8" s="233"/>
      <c r="N8" s="233"/>
      <c r="O8" s="233"/>
      <c r="P8" s="233"/>
      <c r="Q8" s="233"/>
      <c r="R8" s="233"/>
      <c r="S8" s="233"/>
      <c r="T8" s="233"/>
      <c r="U8" s="233"/>
      <c r="AU8" s="249"/>
      <c r="BB8" s="256"/>
      <c r="BC8" s="141"/>
      <c r="BD8" s="141"/>
      <c r="BE8" s="141"/>
    </row>
    <row r="9" spans="1:57" s="43" customFormat="1" hidden="1" outlineLevel="1" x14ac:dyDescent="0.25">
      <c r="A9" s="261"/>
      <c r="B9" s="261"/>
      <c r="C9" s="258"/>
      <c r="D9" s="259" t="s">
        <v>617</v>
      </c>
      <c r="E9" s="259"/>
      <c r="F9" s="260"/>
      <c r="G9" s="261"/>
      <c r="H9" s="262"/>
      <c r="I9" s="177"/>
      <c r="J9" s="177"/>
      <c r="K9" s="177"/>
      <c r="L9" s="553"/>
      <c r="M9" s="233"/>
      <c r="N9" s="233"/>
      <c r="O9" s="233"/>
      <c r="P9" s="233"/>
      <c r="Q9" s="233"/>
      <c r="R9" s="233"/>
      <c r="S9" s="233"/>
      <c r="T9" s="233"/>
      <c r="U9" s="233"/>
      <c r="AU9" s="249"/>
      <c r="BB9" s="256"/>
      <c r="BC9" s="141"/>
      <c r="BD9" s="141"/>
      <c r="BE9" s="141"/>
    </row>
    <row r="10" spans="1:57" s="43" customFormat="1" hidden="1" outlineLevel="1" x14ac:dyDescent="0.25">
      <c r="A10" s="261"/>
      <c r="B10" s="261"/>
      <c r="C10" s="258"/>
      <c r="D10" s="262"/>
      <c r="E10" s="264"/>
      <c r="F10" s="260"/>
      <c r="G10" s="261"/>
      <c r="H10" s="261"/>
      <c r="I10" s="261"/>
      <c r="J10" s="233"/>
      <c r="K10" s="233"/>
      <c r="L10" s="1897"/>
      <c r="M10" s="233"/>
      <c r="N10" s="233"/>
      <c r="O10" s="233"/>
      <c r="P10" s="233"/>
      <c r="Q10" s="233"/>
      <c r="R10" s="233"/>
      <c r="S10" s="233"/>
      <c r="T10" s="233"/>
      <c r="U10" s="233"/>
      <c r="AU10" s="249"/>
      <c r="BB10" s="256"/>
      <c r="BC10" s="141"/>
      <c r="BD10" s="141"/>
      <c r="BE10" s="141"/>
    </row>
    <row r="11" spans="1:57" s="43" customFormat="1" hidden="1" outlineLevel="1" x14ac:dyDescent="0.25">
      <c r="A11" s="261"/>
      <c r="B11" s="261"/>
      <c r="C11" s="258"/>
      <c r="D11" s="265"/>
      <c r="E11" s="264"/>
      <c r="F11" s="260"/>
      <c r="G11" s="261"/>
      <c r="H11" s="261"/>
      <c r="I11" s="261"/>
      <c r="J11" s="233"/>
      <c r="K11" s="233"/>
      <c r="L11" s="553"/>
      <c r="M11" s="233"/>
      <c r="N11" s="233"/>
      <c r="O11" s="233"/>
      <c r="P11" s="233"/>
      <c r="Q11" s="233"/>
      <c r="R11" s="233"/>
      <c r="S11" s="233"/>
      <c r="T11" s="233"/>
      <c r="U11" s="233"/>
      <c r="AU11" s="249"/>
      <c r="BB11" s="256"/>
      <c r="BC11" s="141"/>
      <c r="BD11" s="141"/>
      <c r="BE11" s="141"/>
    </row>
    <row r="12" spans="1:57" s="43" customFormat="1" hidden="1" outlineLevel="1" x14ac:dyDescent="0.25">
      <c r="A12" s="261"/>
      <c r="B12" s="261"/>
      <c r="C12" s="258"/>
      <c r="D12" s="265"/>
      <c r="E12" s="264"/>
      <c r="F12" s="260"/>
      <c r="G12" s="261"/>
      <c r="H12" s="261"/>
      <c r="I12" s="261"/>
      <c r="J12" s="233"/>
      <c r="K12" s="233"/>
      <c r="L12" s="553"/>
      <c r="M12" s="233"/>
      <c r="N12" s="233"/>
      <c r="O12" s="233"/>
      <c r="P12" s="233"/>
      <c r="Q12" s="233"/>
      <c r="R12" s="233"/>
      <c r="S12" s="233"/>
      <c r="T12" s="233"/>
      <c r="U12" s="233"/>
      <c r="AU12" s="249"/>
      <c r="BB12" s="256"/>
      <c r="BC12" s="141"/>
      <c r="BD12" s="141"/>
      <c r="BE12" s="141"/>
    </row>
    <row r="13" spans="1:57" s="43" customFormat="1" hidden="1" outlineLevel="1" x14ac:dyDescent="0.25">
      <c r="A13" s="261"/>
      <c r="B13" s="261"/>
      <c r="C13" s="258"/>
      <c r="D13" s="265"/>
      <c r="E13" s="264"/>
      <c r="F13" s="260"/>
      <c r="G13" s="261"/>
      <c r="H13" s="261"/>
      <c r="I13" s="261"/>
      <c r="J13" s="233"/>
      <c r="K13" s="233"/>
      <c r="L13" s="553"/>
      <c r="M13" s="233"/>
      <c r="N13" s="233"/>
      <c r="O13" s="233"/>
      <c r="P13" s="233"/>
      <c r="Q13" s="233"/>
      <c r="R13" s="233"/>
      <c r="S13" s="233"/>
      <c r="T13" s="233"/>
      <c r="U13" s="233"/>
      <c r="AU13" s="249"/>
      <c r="BB13" s="256"/>
      <c r="BC13" s="141"/>
      <c r="BD13" s="141"/>
      <c r="BE13" s="141"/>
    </row>
    <row r="14" spans="1:57" s="43" customFormat="1" hidden="1" outlineLevel="1" x14ac:dyDescent="0.25">
      <c r="A14" s="261"/>
      <c r="B14" s="261"/>
      <c r="C14" s="258"/>
      <c r="D14" s="264"/>
      <c r="E14" s="264"/>
      <c r="F14" s="260"/>
      <c r="G14" s="261"/>
      <c r="H14" s="261"/>
      <c r="I14" s="261"/>
      <c r="J14" s="233"/>
      <c r="K14" s="233"/>
      <c r="L14" s="553"/>
      <c r="M14" s="233"/>
      <c r="N14" s="233"/>
      <c r="O14" s="233"/>
      <c r="P14" s="233"/>
      <c r="Q14" s="233"/>
      <c r="R14" s="233"/>
      <c r="S14" s="233"/>
      <c r="T14" s="233"/>
      <c r="U14" s="233"/>
      <c r="AU14" s="249"/>
      <c r="BB14" s="256"/>
      <c r="BC14" s="141"/>
      <c r="BD14" s="141"/>
      <c r="BE14" s="141"/>
    </row>
    <row r="15" spans="1:57" s="43" customFormat="1" hidden="1" outlineLevel="1" x14ac:dyDescent="0.25">
      <c r="A15" s="261"/>
      <c r="B15" s="261"/>
      <c r="C15" s="258"/>
      <c r="D15" s="264"/>
      <c r="E15" s="264"/>
      <c r="F15" s="260"/>
      <c r="G15" s="261"/>
      <c r="H15" s="261"/>
      <c r="I15" s="261"/>
      <c r="J15" s="233"/>
      <c r="K15" s="233"/>
      <c r="L15" s="553"/>
      <c r="M15" s="233"/>
      <c r="N15" s="233"/>
      <c r="O15" s="233"/>
      <c r="P15" s="233"/>
      <c r="Q15" s="233"/>
      <c r="R15" s="233"/>
      <c r="S15" s="233"/>
      <c r="T15" s="233"/>
      <c r="U15" s="233"/>
      <c r="AU15" s="249"/>
      <c r="BB15" s="256"/>
      <c r="BC15" s="141"/>
      <c r="BD15" s="141"/>
      <c r="BE15" s="141"/>
    </row>
    <row r="16" spans="1:57" s="43" customFormat="1" hidden="1" outlineLevel="1" x14ac:dyDescent="0.25">
      <c r="A16" s="261"/>
      <c r="B16" s="261"/>
      <c r="C16" s="258"/>
      <c r="D16" s="264"/>
      <c r="E16" s="264"/>
      <c r="F16" s="260"/>
      <c r="G16" s="261"/>
      <c r="H16" s="261"/>
      <c r="I16" s="261"/>
      <c r="J16" s="233"/>
      <c r="K16" s="233"/>
      <c r="L16" s="553"/>
      <c r="M16" s="233"/>
      <c r="N16" s="233"/>
      <c r="O16" s="233"/>
      <c r="P16" s="233"/>
      <c r="Q16" s="233"/>
      <c r="R16" s="233"/>
      <c r="S16" s="233"/>
      <c r="T16" s="233"/>
      <c r="U16" s="233"/>
      <c r="AU16" s="249"/>
      <c r="BB16" s="256"/>
      <c r="BC16" s="141"/>
      <c r="BD16" s="141"/>
      <c r="BE16" s="141"/>
    </row>
    <row r="17" spans="1:57" s="43" customFormat="1" hidden="1" outlineLevel="1" x14ac:dyDescent="0.25">
      <c r="A17" s="261"/>
      <c r="B17" s="261"/>
      <c r="C17" s="258"/>
      <c r="D17" s="264"/>
      <c r="E17" s="264"/>
      <c r="F17" s="260"/>
      <c r="G17" s="261"/>
      <c r="H17" s="261"/>
      <c r="I17" s="261"/>
      <c r="J17" s="233"/>
      <c r="K17" s="233"/>
      <c r="L17" s="553"/>
      <c r="M17" s="233"/>
      <c r="N17" s="233"/>
      <c r="O17" s="233"/>
      <c r="P17" s="233"/>
      <c r="Q17" s="233"/>
      <c r="R17" s="233"/>
      <c r="S17" s="233"/>
      <c r="T17" s="233"/>
      <c r="U17" s="233"/>
      <c r="AU17" s="249"/>
      <c r="BB17" s="256"/>
      <c r="BC17" s="141"/>
      <c r="BD17" s="141"/>
      <c r="BE17" s="141"/>
    </row>
    <row r="18" spans="1:57" s="43" customFormat="1" hidden="1" outlineLevel="1" x14ac:dyDescent="0.25">
      <c r="A18" s="261"/>
      <c r="B18" s="261"/>
      <c r="C18" s="258"/>
      <c r="D18" s="264"/>
      <c r="E18" s="264"/>
      <c r="F18" s="260"/>
      <c r="G18" s="261"/>
      <c r="H18" s="261"/>
      <c r="I18" s="261"/>
      <c r="J18" s="233"/>
      <c r="K18" s="233"/>
      <c r="L18" s="553"/>
      <c r="M18" s="233"/>
      <c r="N18" s="233"/>
      <c r="O18" s="233"/>
      <c r="P18" s="233"/>
      <c r="Q18" s="233"/>
      <c r="R18" s="233"/>
      <c r="S18" s="233"/>
      <c r="T18" s="233"/>
      <c r="U18" s="233"/>
      <c r="AU18" s="249"/>
      <c r="BB18" s="256"/>
      <c r="BC18" s="141"/>
      <c r="BD18" s="141"/>
      <c r="BE18" s="141"/>
    </row>
    <row r="19" spans="1:57" s="43" customFormat="1" hidden="1" outlineLevel="1" x14ac:dyDescent="0.25">
      <c r="A19" s="261"/>
      <c r="B19" s="261"/>
      <c r="C19" s="258"/>
      <c r="D19" s="264"/>
      <c r="E19" s="264"/>
      <c r="F19" s="260"/>
      <c r="G19" s="261"/>
      <c r="H19" s="261"/>
      <c r="I19" s="261"/>
      <c r="J19" s="233"/>
      <c r="K19" s="233"/>
      <c r="L19" s="553"/>
      <c r="M19" s="233"/>
      <c r="N19" s="233"/>
      <c r="O19" s="233"/>
      <c r="P19" s="233"/>
      <c r="Q19" s="233"/>
      <c r="R19" s="233"/>
      <c r="S19" s="233"/>
      <c r="T19" s="233"/>
      <c r="U19" s="233"/>
      <c r="AU19" s="249"/>
      <c r="BB19" s="256"/>
      <c r="BC19" s="141"/>
      <c r="BD19" s="141"/>
      <c r="BE19" s="141"/>
    </row>
    <row r="20" spans="1:57" s="43" customFormat="1" hidden="1" outlineLevel="1" x14ac:dyDescent="0.25">
      <c r="A20" s="261"/>
      <c r="B20" s="261"/>
      <c r="C20" s="258"/>
      <c r="D20" s="264"/>
      <c r="E20" s="264"/>
      <c r="F20" s="260"/>
      <c r="G20" s="261"/>
      <c r="H20" s="261"/>
      <c r="I20" s="261"/>
      <c r="J20" s="233"/>
      <c r="K20" s="233"/>
      <c r="L20" s="553"/>
      <c r="M20" s="233"/>
      <c r="N20" s="233"/>
      <c r="O20" s="233"/>
      <c r="P20" s="233"/>
      <c r="Q20" s="233"/>
      <c r="R20" s="233"/>
      <c r="S20" s="233"/>
      <c r="T20" s="233"/>
      <c r="U20" s="233"/>
      <c r="AU20" s="249"/>
      <c r="BB20" s="256"/>
      <c r="BC20" s="141"/>
      <c r="BD20" s="141"/>
      <c r="BE20" s="141"/>
    </row>
    <row r="21" spans="1:57" s="43" customFormat="1" hidden="1" outlineLevel="1" x14ac:dyDescent="0.25">
      <c r="A21" s="261"/>
      <c r="B21" s="261"/>
      <c r="C21" s="258"/>
      <c r="D21" s="264"/>
      <c r="E21" s="264"/>
      <c r="F21" s="260"/>
      <c r="G21" s="261"/>
      <c r="H21" s="261"/>
      <c r="I21" s="261"/>
      <c r="J21" s="233"/>
      <c r="K21" s="233"/>
      <c r="L21" s="553"/>
      <c r="M21" s="233"/>
      <c r="N21" s="233"/>
      <c r="O21" s="233"/>
      <c r="P21" s="233"/>
      <c r="Q21" s="233"/>
      <c r="R21" s="233"/>
      <c r="S21" s="233"/>
      <c r="T21" s="233"/>
      <c r="U21" s="233"/>
      <c r="AU21" s="249"/>
      <c r="BB21" s="256"/>
      <c r="BC21" s="141"/>
      <c r="BD21" s="141"/>
      <c r="BE21" s="141"/>
    </row>
    <row r="22" spans="1:57" s="43" customFormat="1" hidden="1" outlineLevel="1" x14ac:dyDescent="0.25">
      <c r="A22" s="261"/>
      <c r="B22" s="261"/>
      <c r="C22" s="258"/>
      <c r="D22" s="264"/>
      <c r="E22" s="264"/>
      <c r="F22" s="260"/>
      <c r="G22" s="261"/>
      <c r="H22" s="261"/>
      <c r="I22" s="261"/>
      <c r="J22" s="233"/>
      <c r="K22" s="233"/>
      <c r="L22" s="553"/>
      <c r="M22" s="233"/>
      <c r="N22" s="233"/>
      <c r="O22" s="233"/>
      <c r="P22" s="233"/>
      <c r="Q22" s="233"/>
      <c r="R22" s="233"/>
      <c r="S22" s="233"/>
      <c r="T22" s="233"/>
      <c r="U22" s="233"/>
      <c r="W22" s="234"/>
      <c r="AU22" s="249"/>
      <c r="BB22" s="256"/>
      <c r="BC22" s="141"/>
      <c r="BD22" s="141"/>
      <c r="BE22" s="141"/>
    </row>
    <row r="23" spans="1:57" s="43" customFormat="1" hidden="1" outlineLevel="1" x14ac:dyDescent="0.25">
      <c r="A23" s="261"/>
      <c r="B23" s="261"/>
      <c r="C23" s="258"/>
      <c r="D23" s="264"/>
      <c r="E23" s="264"/>
      <c r="F23" s="260"/>
      <c r="G23" s="261"/>
      <c r="H23" s="261"/>
      <c r="I23" s="261"/>
      <c r="J23" s="233"/>
      <c r="K23" s="233"/>
      <c r="L23" s="553"/>
      <c r="M23" s="233"/>
      <c r="N23" s="233"/>
      <c r="O23" s="233"/>
      <c r="P23" s="233"/>
      <c r="Q23" s="233"/>
      <c r="R23" s="233"/>
      <c r="S23" s="233"/>
      <c r="T23" s="233"/>
      <c r="U23" s="233"/>
      <c r="AU23" s="249"/>
      <c r="BB23" s="256"/>
      <c r="BC23" s="141"/>
      <c r="BD23" s="141"/>
      <c r="BE23" s="141"/>
    </row>
    <row r="24" spans="1:57" s="43" customFormat="1" hidden="1" outlineLevel="1" x14ac:dyDescent="0.25">
      <c r="A24" s="261"/>
      <c r="B24" s="261"/>
      <c r="C24" s="258"/>
      <c r="D24" s="264"/>
      <c r="E24" s="264"/>
      <c r="F24" s="260"/>
      <c r="G24" s="261"/>
      <c r="H24" s="261"/>
      <c r="I24" s="261"/>
      <c r="J24" s="233"/>
      <c r="K24" s="233"/>
      <c r="L24" s="553"/>
      <c r="M24" s="233"/>
      <c r="N24" s="233"/>
      <c r="O24" s="233"/>
      <c r="P24" s="233"/>
      <c r="Q24" s="233"/>
      <c r="R24" s="233"/>
      <c r="S24" s="233"/>
      <c r="T24" s="233"/>
      <c r="U24" s="233"/>
      <c r="AU24" s="249"/>
      <c r="BB24" s="256"/>
      <c r="BC24" s="141"/>
      <c r="BD24" s="141"/>
      <c r="BE24" s="141"/>
    </row>
    <row r="25" spans="1:57" s="43" customFormat="1" hidden="1" outlineLevel="1" x14ac:dyDescent="0.25">
      <c r="A25" s="261"/>
      <c r="B25" s="261"/>
      <c r="C25" s="258"/>
      <c r="D25" s="264"/>
      <c r="E25" s="264"/>
      <c r="F25" s="260"/>
      <c r="G25" s="261"/>
      <c r="H25" s="261"/>
      <c r="I25" s="261"/>
      <c r="J25" s="233"/>
      <c r="K25" s="233"/>
      <c r="L25" s="553"/>
      <c r="M25" s="233"/>
      <c r="N25" s="233"/>
      <c r="O25" s="233"/>
      <c r="P25" s="233"/>
      <c r="Q25" s="233"/>
      <c r="R25" s="233"/>
      <c r="S25" s="233"/>
      <c r="T25" s="233"/>
      <c r="U25" s="233"/>
      <c r="AU25" s="249"/>
      <c r="BB25" s="256"/>
      <c r="BC25" s="141"/>
      <c r="BD25" s="141"/>
      <c r="BE25" s="141"/>
    </row>
    <row r="26" spans="1:57" s="78" customFormat="1" ht="15" hidden="1" customHeight="1" outlineLevel="1" x14ac:dyDescent="0.25">
      <c r="A26" s="553"/>
      <c r="B26" s="553"/>
      <c r="C26" s="231"/>
      <c r="D26" s="2365" t="s">
        <v>619</v>
      </c>
      <c r="E26" s="2365" t="s">
        <v>669</v>
      </c>
      <c r="F26" s="2345" t="s">
        <v>620</v>
      </c>
      <c r="G26" s="2669" t="s">
        <v>670</v>
      </c>
      <c r="H26" s="2669"/>
      <c r="I26" s="2361" t="s">
        <v>621</v>
      </c>
      <c r="J26" s="1898"/>
      <c r="K26" s="553"/>
      <c r="L26" s="553"/>
      <c r="M26" s="553"/>
      <c r="N26" s="553"/>
      <c r="O26" s="553"/>
      <c r="P26" s="553"/>
      <c r="Q26" s="553"/>
      <c r="R26" s="553"/>
      <c r="S26" s="553"/>
      <c r="T26" s="553"/>
      <c r="U26" s="553"/>
      <c r="V26" s="55" t="s">
        <v>27</v>
      </c>
      <c r="W26" s="56">
        <v>43252</v>
      </c>
      <c r="X26" s="56">
        <f>$X$6</f>
        <v>43465</v>
      </c>
      <c r="Y26" s="56">
        <f>$Y$6</f>
        <v>43800</v>
      </c>
      <c r="Z26" s="56">
        <f>$Z$6</f>
        <v>43862</v>
      </c>
      <c r="AA26" s="56" t="str">
        <f>$AA$6</f>
        <v>-</v>
      </c>
      <c r="AB26" s="56" t="str">
        <f>$AB$6</f>
        <v>-</v>
      </c>
      <c r="AC26" s="56" t="str">
        <f>$AC$6</f>
        <v>-</v>
      </c>
      <c r="AD26" s="56" t="str">
        <f>$AD$6</f>
        <v>-</v>
      </c>
      <c r="AE26" s="56" t="str">
        <f>$AE$6</f>
        <v>-</v>
      </c>
      <c r="AF26" s="56" t="str">
        <f>$AF$6</f>
        <v>-</v>
      </c>
      <c r="AG26" s="56" t="str">
        <f>$AG$6</f>
        <v>-</v>
      </c>
      <c r="AU26" s="249"/>
      <c r="BB26" s="256"/>
      <c r="BC26" s="141"/>
      <c r="BD26" s="141"/>
      <c r="BE26" s="141"/>
    </row>
    <row r="27" spans="1:57" ht="45" hidden="1" outlineLevel="1" x14ac:dyDescent="0.25">
      <c r="D27" s="2349" t="s">
        <v>671</v>
      </c>
      <c r="E27" s="2349" t="s">
        <v>672</v>
      </c>
      <c r="F27" s="267">
        <v>0.94451470457134135</v>
      </c>
      <c r="G27" s="2670" t="s">
        <v>673</v>
      </c>
      <c r="H27" s="2670"/>
      <c r="I27" s="268" t="s">
        <v>674</v>
      </c>
      <c r="V27" s="271" t="str">
        <f t="shared" ref="V27:V51" si="0">D27</f>
        <v>EFBASE</v>
      </c>
      <c r="W27" s="267">
        <v>0.9</v>
      </c>
      <c r="X27" s="272">
        <v>0.94358243626061789</v>
      </c>
      <c r="Y27" s="273">
        <v>0.94451470457134135</v>
      </c>
      <c r="Z27" s="267"/>
      <c r="AA27" s="267"/>
      <c r="AB27" s="274"/>
      <c r="AC27" s="274"/>
      <c r="AD27" s="274"/>
      <c r="AE27" s="274"/>
      <c r="AF27" s="274"/>
      <c r="AG27" s="274"/>
      <c r="AU27" s="249"/>
    </row>
    <row r="28" spans="1:57" ht="18" hidden="1" outlineLevel="1" x14ac:dyDescent="0.25">
      <c r="D28" s="2349" t="s">
        <v>675</v>
      </c>
      <c r="E28" s="2349" t="s">
        <v>676</v>
      </c>
      <c r="F28" s="275">
        <v>3.4379630138240294</v>
      </c>
      <c r="G28" s="2670" t="s">
        <v>677</v>
      </c>
      <c r="H28" s="2670"/>
      <c r="I28" s="268" t="s">
        <v>678</v>
      </c>
      <c r="J28" s="1898"/>
      <c r="V28" s="271" t="str">
        <f t="shared" si="0"/>
        <v>EFEE</v>
      </c>
      <c r="W28" s="276">
        <v>3.14</v>
      </c>
      <c r="X28" s="277">
        <v>3.255169603721936</v>
      </c>
      <c r="Y28" s="278">
        <v>3.4379630138240294</v>
      </c>
      <c r="Z28" s="267"/>
      <c r="AA28" s="276"/>
      <c r="AB28" s="279"/>
      <c r="AC28" s="279"/>
      <c r="AD28" s="279"/>
      <c r="AE28" s="279"/>
      <c r="AF28" s="279"/>
      <c r="AG28" s="279"/>
      <c r="AU28" s="249"/>
    </row>
    <row r="29" spans="1:57" ht="45" hidden="1" outlineLevel="1" x14ac:dyDescent="0.25">
      <c r="D29" s="2349" t="s">
        <v>679</v>
      </c>
      <c r="E29" s="2349" t="s">
        <v>680</v>
      </c>
      <c r="F29" s="275">
        <v>17.600000000000001</v>
      </c>
      <c r="G29" s="2670" t="s">
        <v>681</v>
      </c>
      <c r="H29" s="2670"/>
      <c r="I29" s="268" t="s">
        <v>682</v>
      </c>
      <c r="J29" s="1898"/>
      <c r="V29" s="271" t="str">
        <f t="shared" si="0"/>
        <v>GPD</v>
      </c>
      <c r="W29" s="275">
        <f>64/W30</f>
        <v>23.970037453183522</v>
      </c>
      <c r="X29" s="277">
        <v>17.600000000000001</v>
      </c>
      <c r="Y29" s="276">
        <v>17.600000000000001</v>
      </c>
      <c r="Z29" s="267"/>
      <c r="AA29" s="275"/>
      <c r="AB29" s="280"/>
      <c r="AC29" s="280"/>
      <c r="AD29" s="280"/>
      <c r="AE29" s="280"/>
      <c r="AF29" s="280"/>
      <c r="AG29" s="280"/>
      <c r="AU29" s="249"/>
    </row>
    <row r="30" spans="1:57" ht="33.75" hidden="1" customHeight="1" outlineLevel="1" x14ac:dyDescent="0.25">
      <c r="D30" s="2349" t="s">
        <v>683</v>
      </c>
      <c r="E30" s="2349" t="s">
        <v>684</v>
      </c>
      <c r="F30" s="275">
        <v>2.6500604229607121</v>
      </c>
      <c r="G30" s="2670" t="s">
        <v>685</v>
      </c>
      <c r="H30" s="2670"/>
      <c r="I30" s="268" t="s">
        <v>686</v>
      </c>
      <c r="J30" s="1898"/>
      <c r="V30" s="271" t="str">
        <f t="shared" si="0"/>
        <v>Household</v>
      </c>
      <c r="W30" s="275">
        <v>2.67</v>
      </c>
      <c r="X30" s="277">
        <v>2.6599441340781969</v>
      </c>
      <c r="Y30" s="278">
        <v>2.6500604229607121</v>
      </c>
      <c r="Z30" s="267"/>
      <c r="AA30" s="275"/>
      <c r="AB30" s="280"/>
      <c r="AC30" s="280"/>
      <c r="AD30" s="280"/>
      <c r="AE30" s="280"/>
      <c r="AF30" s="280"/>
      <c r="AG30" s="280"/>
      <c r="AU30" s="249"/>
    </row>
    <row r="31" spans="1:57" hidden="1" outlineLevel="1" x14ac:dyDescent="0.25">
      <c r="D31" s="281">
        <v>365.25</v>
      </c>
      <c r="E31" s="2349" t="s">
        <v>687</v>
      </c>
      <c r="F31" s="282">
        <v>365.25</v>
      </c>
      <c r="G31" s="2670" t="s">
        <v>688</v>
      </c>
      <c r="H31" s="2670"/>
      <c r="I31" s="268" t="s">
        <v>678</v>
      </c>
      <c r="J31" s="1898"/>
      <c r="V31" s="271">
        <f t="shared" si="0"/>
        <v>365.25</v>
      </c>
      <c r="W31" s="283">
        <v>365</v>
      </c>
      <c r="X31" s="2363">
        <v>365.25</v>
      </c>
      <c r="Y31" s="2363">
        <v>365.25</v>
      </c>
      <c r="Z31" s="267"/>
      <c r="AA31" s="283"/>
      <c r="AB31" s="284"/>
      <c r="AC31" s="284"/>
      <c r="AD31" s="284"/>
      <c r="AE31" s="284"/>
      <c r="AF31" s="284"/>
      <c r="AG31" s="284"/>
      <c r="AU31" s="249"/>
    </row>
    <row r="32" spans="1:57" hidden="1" outlineLevel="1" x14ac:dyDescent="0.25">
      <c r="D32" s="2349" t="s">
        <v>689</v>
      </c>
      <c r="E32" s="2349" t="s">
        <v>690</v>
      </c>
      <c r="F32" s="275">
        <v>8.33</v>
      </c>
      <c r="G32" s="2670" t="s">
        <v>691</v>
      </c>
      <c r="H32" s="2670"/>
      <c r="I32" s="268" t="s">
        <v>678</v>
      </c>
      <c r="J32" s="266"/>
      <c r="V32" s="271" t="str">
        <f t="shared" si="0"/>
        <v>Den</v>
      </c>
      <c r="W32" s="276">
        <v>8.33</v>
      </c>
      <c r="X32" s="284">
        <v>8.33</v>
      </c>
      <c r="Y32" s="284">
        <v>8.33</v>
      </c>
      <c r="Z32" s="267"/>
      <c r="AA32" s="276"/>
      <c r="AB32" s="279"/>
      <c r="AC32" s="279"/>
      <c r="AD32" s="279"/>
      <c r="AE32" s="279"/>
      <c r="AF32" s="279"/>
      <c r="AG32" s="279"/>
      <c r="AU32" s="249"/>
    </row>
    <row r="33" spans="4:47" hidden="1" outlineLevel="1" x14ac:dyDescent="0.25">
      <c r="D33" s="2349" t="s">
        <v>692</v>
      </c>
      <c r="E33" s="2349" t="s">
        <v>693</v>
      </c>
      <c r="F33" s="282">
        <v>125</v>
      </c>
      <c r="G33" s="2670" t="s">
        <v>694</v>
      </c>
      <c r="H33" s="2670"/>
      <c r="I33" s="268" t="s">
        <v>678</v>
      </c>
      <c r="J33" s="266"/>
      <c r="V33" s="271" t="str">
        <f t="shared" si="0"/>
        <v>HWT</v>
      </c>
      <c r="W33" s="283">
        <v>135</v>
      </c>
      <c r="X33" s="286">
        <v>125</v>
      </c>
      <c r="Y33" s="284">
        <v>125</v>
      </c>
      <c r="Z33" s="267"/>
      <c r="AA33" s="283"/>
      <c r="AB33" s="284"/>
      <c r="AC33" s="284"/>
      <c r="AD33" s="284"/>
      <c r="AE33" s="284"/>
      <c r="AF33" s="284"/>
      <c r="AG33" s="284"/>
      <c r="AU33" s="249"/>
    </row>
    <row r="34" spans="4:47" hidden="1" outlineLevel="1" x14ac:dyDescent="0.25">
      <c r="D34" s="2349" t="s">
        <v>695</v>
      </c>
      <c r="E34" s="2349" t="s">
        <v>696</v>
      </c>
      <c r="F34" s="282">
        <v>57.898000000000003</v>
      </c>
      <c r="G34" s="2670" t="s">
        <v>697</v>
      </c>
      <c r="H34" s="2670"/>
      <c r="I34" s="268" t="s">
        <v>678</v>
      </c>
      <c r="J34" s="266"/>
      <c r="V34" s="271" t="str">
        <f t="shared" si="0"/>
        <v>CWT</v>
      </c>
      <c r="W34" s="283">
        <v>61.3</v>
      </c>
      <c r="X34" s="286">
        <v>57.898000000000003</v>
      </c>
      <c r="Y34" s="284">
        <v>57.898000000000003</v>
      </c>
      <c r="Z34" s="267"/>
      <c r="AA34" s="283"/>
      <c r="AB34" s="284"/>
      <c r="AC34" s="284"/>
      <c r="AD34" s="284"/>
      <c r="AE34" s="284"/>
      <c r="AF34" s="284"/>
      <c r="AG34" s="284"/>
      <c r="AU34" s="249"/>
    </row>
    <row r="35" spans="4:47" ht="18" hidden="1" outlineLevel="1" x14ac:dyDescent="0.25">
      <c r="D35" s="2349" t="s">
        <v>698</v>
      </c>
      <c r="E35" s="2349" t="s">
        <v>699</v>
      </c>
      <c r="F35" s="282">
        <v>1</v>
      </c>
      <c r="G35" s="2670" t="s">
        <v>700</v>
      </c>
      <c r="H35" s="2670"/>
      <c r="I35" s="268" t="s">
        <v>678</v>
      </c>
      <c r="V35" s="271" t="str">
        <f t="shared" si="0"/>
        <v>CP</v>
      </c>
      <c r="W35" s="283">
        <v>1</v>
      </c>
      <c r="X35" s="284">
        <v>1</v>
      </c>
      <c r="Y35" s="283">
        <v>1</v>
      </c>
      <c r="Z35" s="267"/>
      <c r="AA35" s="283"/>
      <c r="AB35" s="284"/>
      <c r="AC35" s="284"/>
      <c r="AD35" s="284"/>
      <c r="AE35" s="284"/>
      <c r="AF35" s="284"/>
      <c r="AG35" s="284"/>
      <c r="AU35" s="249"/>
    </row>
    <row r="36" spans="4:47" hidden="1" outlineLevel="1" x14ac:dyDescent="0.25">
      <c r="D36" s="2349">
        <v>3412</v>
      </c>
      <c r="E36" s="2349"/>
      <c r="F36" s="287">
        <v>3412</v>
      </c>
      <c r="G36" s="2670" t="s">
        <v>701</v>
      </c>
      <c r="H36" s="2670"/>
      <c r="I36" s="268" t="s">
        <v>702</v>
      </c>
      <c r="V36" s="271">
        <f t="shared" si="0"/>
        <v>3412</v>
      </c>
      <c r="W36" s="288">
        <v>3412</v>
      </c>
      <c r="X36" s="289">
        <v>3412</v>
      </c>
      <c r="Y36" s="288">
        <v>3412</v>
      </c>
      <c r="Z36" s="267"/>
      <c r="AA36" s="288"/>
      <c r="AB36" s="289"/>
      <c r="AC36" s="289"/>
      <c r="AD36" s="289"/>
      <c r="AE36" s="289"/>
      <c r="AF36" s="289"/>
      <c r="AG36" s="289"/>
      <c r="AU36" s="249"/>
    </row>
    <row r="37" spans="4:47" hidden="1" outlineLevel="1" x14ac:dyDescent="0.25">
      <c r="D37" s="290" t="s">
        <v>297</v>
      </c>
      <c r="E37" s="2349" t="s">
        <v>703</v>
      </c>
      <c r="F37" s="291">
        <v>0.81</v>
      </c>
      <c r="G37" s="2670" t="s">
        <v>704</v>
      </c>
      <c r="H37" s="2670"/>
      <c r="I37" s="268" t="s">
        <v>705</v>
      </c>
      <c r="V37" s="271" t="str">
        <f t="shared" si="0"/>
        <v>LF</v>
      </c>
      <c r="W37" s="292">
        <v>1</v>
      </c>
      <c r="X37" s="293">
        <v>0.5</v>
      </c>
      <c r="Y37" s="293">
        <v>0.81</v>
      </c>
      <c r="Z37" s="267"/>
      <c r="AA37" s="292"/>
      <c r="AB37" s="294"/>
      <c r="AC37" s="294"/>
      <c r="AD37" s="294"/>
      <c r="AE37" s="294"/>
      <c r="AF37" s="294"/>
      <c r="AG37" s="294"/>
      <c r="AU37" s="249"/>
    </row>
    <row r="38" spans="4:47" ht="45" hidden="1" outlineLevel="1" x14ac:dyDescent="0.35">
      <c r="D38" s="1899" t="s">
        <v>3350</v>
      </c>
      <c r="E38" s="2349" t="s">
        <v>706</v>
      </c>
      <c r="F38" s="295">
        <v>0.53</v>
      </c>
      <c r="G38" s="2670" t="s">
        <v>707</v>
      </c>
      <c r="H38" s="2670"/>
      <c r="I38" s="268" t="s">
        <v>708</v>
      </c>
      <c r="V38" s="271" t="str">
        <f t="shared" si="0"/>
        <v>WHFC</v>
      </c>
      <c r="W38" s="296">
        <v>0.4</v>
      </c>
      <c r="X38" s="297">
        <v>0.53</v>
      </c>
      <c r="Y38" s="298">
        <v>0.53</v>
      </c>
      <c r="Z38" s="267"/>
      <c r="AA38" s="296"/>
      <c r="AB38" s="299"/>
      <c r="AC38" s="299"/>
      <c r="AD38" s="299"/>
      <c r="AE38" s="299"/>
      <c r="AF38" s="299"/>
      <c r="AG38" s="299"/>
      <c r="AU38" s="249"/>
    </row>
    <row r="39" spans="4:47" ht="180" hidden="1" outlineLevel="1" x14ac:dyDescent="0.25">
      <c r="D39" s="302" t="s">
        <v>3351</v>
      </c>
      <c r="E39" s="2349" t="s">
        <v>709</v>
      </c>
      <c r="F39" s="295">
        <v>0.43</v>
      </c>
      <c r="G39" s="2670" t="s">
        <v>707</v>
      </c>
      <c r="H39" s="2670"/>
      <c r="I39" s="2349" t="s">
        <v>710</v>
      </c>
      <c r="V39" s="271" t="str">
        <f t="shared" si="0"/>
        <v>WHFH</v>
      </c>
      <c r="W39" s="296">
        <v>0.57999999999999996</v>
      </c>
      <c r="X39" s="297">
        <v>0.43</v>
      </c>
      <c r="Y39" s="298">
        <v>0.43</v>
      </c>
      <c r="Z39" s="267"/>
      <c r="AA39" s="296"/>
      <c r="AB39" s="299"/>
      <c r="AC39" s="299"/>
      <c r="AD39" s="299"/>
      <c r="AE39" s="299"/>
      <c r="AF39" s="299"/>
      <c r="AG39" s="299"/>
      <c r="AU39" s="249"/>
    </row>
    <row r="40" spans="4:47" ht="120" hidden="1" outlineLevel="1" x14ac:dyDescent="0.25">
      <c r="D40" s="300" t="s">
        <v>711</v>
      </c>
      <c r="E40" s="2349" t="s">
        <v>712</v>
      </c>
      <c r="F40" s="301">
        <v>2.8</v>
      </c>
      <c r="G40" s="2670" t="s">
        <v>707</v>
      </c>
      <c r="H40" s="2670"/>
      <c r="I40" s="2349" t="s">
        <v>713</v>
      </c>
      <c r="V40" s="271" t="str">
        <f t="shared" si="0"/>
        <v>COPcool</v>
      </c>
      <c r="W40" s="292">
        <v>2.8</v>
      </c>
      <c r="X40" s="294">
        <v>2.8</v>
      </c>
      <c r="Y40" s="292">
        <v>2.8</v>
      </c>
      <c r="Z40" s="267"/>
      <c r="AA40" s="292"/>
      <c r="AB40" s="294"/>
      <c r="AC40" s="294"/>
      <c r="AD40" s="294"/>
      <c r="AE40" s="294"/>
      <c r="AF40" s="294"/>
      <c r="AG40" s="294"/>
      <c r="AU40" s="249"/>
    </row>
    <row r="41" spans="4:47" hidden="1" outlineLevel="1" x14ac:dyDescent="0.25">
      <c r="D41" s="2678" t="s">
        <v>714</v>
      </c>
      <c r="E41" s="302" t="s">
        <v>715</v>
      </c>
      <c r="F41" s="291">
        <v>1</v>
      </c>
      <c r="G41" s="2670" t="s">
        <v>707</v>
      </c>
      <c r="H41" s="2670"/>
      <c r="I41" s="2675" t="s">
        <v>716</v>
      </c>
      <c r="V41" s="2671" t="str">
        <f t="shared" si="0"/>
        <v>COPheat</v>
      </c>
      <c r="W41" s="292">
        <v>1</v>
      </c>
      <c r="X41" s="294">
        <v>1</v>
      </c>
      <c r="Y41" s="292">
        <v>1</v>
      </c>
      <c r="Z41" s="267"/>
      <c r="AA41" s="292"/>
      <c r="AB41" s="294"/>
      <c r="AC41" s="294"/>
      <c r="AD41" s="294"/>
      <c r="AE41" s="294"/>
      <c r="AF41" s="294"/>
      <c r="AG41" s="294"/>
      <c r="AU41" s="249"/>
    </row>
    <row r="42" spans="4:47" hidden="1" outlineLevel="1" x14ac:dyDescent="0.25">
      <c r="D42" s="2679"/>
      <c r="E42" s="302" t="s">
        <v>717</v>
      </c>
      <c r="F42" s="303">
        <v>1.7</v>
      </c>
      <c r="G42" s="2670" t="s">
        <v>707</v>
      </c>
      <c r="H42" s="2670"/>
      <c r="I42" s="2676"/>
      <c r="V42" s="2672">
        <f t="shared" si="0"/>
        <v>0</v>
      </c>
      <c r="W42" s="304">
        <v>1.7</v>
      </c>
      <c r="X42" s="304">
        <v>1.7</v>
      </c>
      <c r="Y42" s="304">
        <v>1.7</v>
      </c>
      <c r="Z42" s="267"/>
      <c r="AA42" s="304"/>
      <c r="AB42" s="304"/>
      <c r="AC42" s="304"/>
      <c r="AD42" s="304"/>
      <c r="AE42" s="304"/>
      <c r="AF42" s="304"/>
      <c r="AG42" s="304"/>
      <c r="AU42" s="249"/>
    </row>
    <row r="43" spans="4:47" ht="15" hidden="1" customHeight="1" outlineLevel="1" x14ac:dyDescent="0.25">
      <c r="D43" s="2679"/>
      <c r="E43" s="302" t="s">
        <v>718</v>
      </c>
      <c r="F43" s="303">
        <v>1.92</v>
      </c>
      <c r="G43" s="2670" t="s">
        <v>707</v>
      </c>
      <c r="H43" s="2670"/>
      <c r="I43" s="2676"/>
      <c r="V43" s="2672">
        <f t="shared" si="0"/>
        <v>0</v>
      </c>
      <c r="W43" s="304">
        <v>1.92</v>
      </c>
      <c r="X43" s="305">
        <v>1.92</v>
      </c>
      <c r="Y43" s="305">
        <v>1.92</v>
      </c>
      <c r="Z43" s="267"/>
      <c r="AA43" s="304"/>
      <c r="AB43" s="306"/>
      <c r="AC43" s="306"/>
      <c r="AD43" s="306"/>
      <c r="AE43" s="306"/>
      <c r="AF43" s="306"/>
      <c r="AG43" s="306"/>
      <c r="AU43" s="249"/>
    </row>
    <row r="44" spans="4:47" ht="15" hidden="1" customHeight="1" outlineLevel="1" thickBot="1" x14ac:dyDescent="0.3">
      <c r="D44" s="2680"/>
      <c r="E44" s="307" t="s">
        <v>719</v>
      </c>
      <c r="F44" s="308">
        <v>2.04</v>
      </c>
      <c r="G44" s="2674" t="s">
        <v>707</v>
      </c>
      <c r="H44" s="2674"/>
      <c r="I44" s="2677"/>
      <c r="V44" s="2673">
        <f t="shared" si="0"/>
        <v>0</v>
      </c>
      <c r="W44" s="304">
        <v>2.04</v>
      </c>
      <c r="X44" s="306">
        <v>2.04</v>
      </c>
      <c r="Y44" s="306">
        <v>2.04</v>
      </c>
      <c r="Z44" s="267"/>
      <c r="AA44" s="304"/>
      <c r="AB44" s="306"/>
      <c r="AC44" s="306"/>
      <c r="AD44" s="306"/>
      <c r="AE44" s="306"/>
      <c r="AF44" s="306"/>
      <c r="AG44" s="306"/>
      <c r="AU44" s="249"/>
    </row>
    <row r="45" spans="4:47" ht="54.75" hidden="1" customHeight="1" outlineLevel="1" x14ac:dyDescent="0.25">
      <c r="D45" s="309" t="s">
        <v>720</v>
      </c>
      <c r="E45" s="2348" t="s">
        <v>721</v>
      </c>
      <c r="F45" s="310">
        <v>1.33</v>
      </c>
      <c r="G45" s="2687" t="s">
        <v>722</v>
      </c>
      <c r="H45" s="2687"/>
      <c r="I45" s="1900" t="s">
        <v>705</v>
      </c>
      <c r="V45" s="271" t="str">
        <f t="shared" si="0"/>
        <v>LM</v>
      </c>
      <c r="W45" s="292">
        <v>3</v>
      </c>
      <c r="X45" s="311">
        <v>3.52039106145252</v>
      </c>
      <c r="Y45" s="312">
        <v>1.3299999999999965</v>
      </c>
      <c r="Z45" s="267"/>
      <c r="AA45" s="292"/>
      <c r="AB45" s="294"/>
      <c r="AC45" s="294"/>
      <c r="AD45" s="294"/>
      <c r="AE45" s="294"/>
      <c r="AF45" s="294"/>
      <c r="AG45" s="294"/>
      <c r="AU45" s="249"/>
    </row>
    <row r="46" spans="4:47" ht="15" hidden="1" customHeight="1" outlineLevel="1" x14ac:dyDescent="0.25">
      <c r="D46" s="290" t="s">
        <v>199</v>
      </c>
      <c r="E46" s="2349" t="s">
        <v>723</v>
      </c>
      <c r="F46" s="298">
        <v>1</v>
      </c>
      <c r="G46" s="2670" t="s">
        <v>707</v>
      </c>
      <c r="H46" s="2670"/>
      <c r="I46" s="268" t="s">
        <v>724</v>
      </c>
      <c r="V46" s="271" t="str">
        <f t="shared" si="0"/>
        <v>%Cool</v>
      </c>
      <c r="W46" s="313">
        <v>0.91</v>
      </c>
      <c r="X46" s="314">
        <v>1</v>
      </c>
      <c r="Y46" s="313">
        <v>1</v>
      </c>
      <c r="Z46" s="267"/>
      <c r="AA46" s="313"/>
      <c r="AB46" s="314"/>
      <c r="AC46" s="314"/>
      <c r="AD46" s="314"/>
      <c r="AE46" s="314"/>
      <c r="AF46" s="314"/>
      <c r="AG46" s="314"/>
      <c r="AU46" s="249"/>
    </row>
    <row r="47" spans="4:47" ht="30" hidden="1" customHeight="1" outlineLevel="1" x14ac:dyDescent="0.25">
      <c r="D47" s="2349" t="s">
        <v>725</v>
      </c>
      <c r="E47" s="2349" t="s">
        <v>726</v>
      </c>
      <c r="F47" s="315">
        <v>0.2231404958677686</v>
      </c>
      <c r="G47" s="2670" t="s">
        <v>727</v>
      </c>
      <c r="H47" s="2670"/>
      <c r="I47" s="268" t="s">
        <v>678</v>
      </c>
      <c r="V47" s="271" t="str">
        <f t="shared" si="0"/>
        <v xml:space="preserve">%ElectricHeat - Electric Resistance Saturation </v>
      </c>
      <c r="W47" s="316">
        <v>0.375</v>
      </c>
      <c r="X47" s="317">
        <v>0.375</v>
      </c>
      <c r="Y47" s="273">
        <v>0.2231404958677686</v>
      </c>
      <c r="Z47" s="267"/>
      <c r="AA47" s="316"/>
      <c r="AB47" s="317"/>
      <c r="AC47" s="317"/>
      <c r="AD47" s="317"/>
      <c r="AE47" s="317"/>
      <c r="AF47" s="317"/>
      <c r="AG47" s="317"/>
      <c r="AU47" s="249"/>
    </row>
    <row r="48" spans="4:47" ht="30.75" hidden="1" customHeight="1" outlineLevel="1" x14ac:dyDescent="0.25">
      <c r="D48" s="2349" t="s">
        <v>728</v>
      </c>
      <c r="E48" s="2349" t="s">
        <v>729</v>
      </c>
      <c r="F48" s="315">
        <v>0.26859504132231404</v>
      </c>
      <c r="G48" s="2670" t="s">
        <v>727</v>
      </c>
      <c r="H48" s="2670"/>
      <c r="I48" s="268" t="s">
        <v>730</v>
      </c>
      <c r="V48" s="271" t="str">
        <f t="shared" si="0"/>
        <v>%ElectricHeat - Heat Pump Saturation</v>
      </c>
      <c r="W48" s="316">
        <v>0.42199999999999999</v>
      </c>
      <c r="X48" s="317">
        <v>0.42199999999999999</v>
      </c>
      <c r="Y48" s="273">
        <v>0.26859504132231404</v>
      </c>
      <c r="Z48" s="267"/>
      <c r="AA48" s="316"/>
      <c r="AB48" s="317"/>
      <c r="AC48" s="317"/>
      <c r="AD48" s="317"/>
      <c r="AE48" s="317"/>
      <c r="AF48" s="317"/>
      <c r="AG48" s="317"/>
      <c r="AU48" s="249"/>
    </row>
    <row r="49" spans="2:57" ht="15" hidden="1" customHeight="1" outlineLevel="1" x14ac:dyDescent="0.25">
      <c r="D49" s="2349" t="s">
        <v>731</v>
      </c>
      <c r="E49" s="2349"/>
      <c r="F49" s="318">
        <v>1</v>
      </c>
      <c r="G49" s="2670" t="s">
        <v>732</v>
      </c>
      <c r="H49" s="2670"/>
      <c r="I49" s="268" t="s">
        <v>678</v>
      </c>
      <c r="V49" s="271" t="str">
        <f t="shared" si="0"/>
        <v>Installation Rate</v>
      </c>
      <c r="W49" s="319">
        <v>1</v>
      </c>
      <c r="X49" s="320">
        <v>1</v>
      </c>
      <c r="Y49" s="320">
        <v>1</v>
      </c>
      <c r="Z49" s="267"/>
      <c r="AA49" s="319"/>
      <c r="AB49" s="320"/>
      <c r="AC49" s="320"/>
      <c r="AD49" s="320"/>
      <c r="AE49" s="320"/>
      <c r="AF49" s="320"/>
      <c r="AG49" s="320"/>
      <c r="AU49" s="249"/>
    </row>
    <row r="50" spans="2:57" ht="15" hidden="1" customHeight="1" outlineLevel="1" x14ac:dyDescent="0.25">
      <c r="D50" s="2349" t="str">
        <f>M6</f>
        <v>EUL</v>
      </c>
      <c r="E50" s="2349" t="str">
        <f>'Energy Effic. Kits Deemed Table'!E32</f>
        <v>Effective Useful Life</v>
      </c>
      <c r="F50" s="243">
        <v>13</v>
      </c>
      <c r="G50" s="2670"/>
      <c r="H50" s="2670"/>
      <c r="I50" s="268"/>
      <c r="V50" s="271" t="str">
        <f t="shared" si="0"/>
        <v>EUL</v>
      </c>
      <c r="W50" s="321">
        <v>13</v>
      </c>
      <c r="X50" s="321">
        <v>13</v>
      </c>
      <c r="Y50" s="321">
        <v>13</v>
      </c>
      <c r="Z50" s="321"/>
      <c r="AA50" s="321"/>
      <c r="AB50" s="321"/>
      <c r="AC50" s="321"/>
      <c r="AD50" s="321"/>
      <c r="AE50" s="321"/>
      <c r="AF50" s="321"/>
      <c r="AG50" s="321"/>
      <c r="AU50" s="249"/>
    </row>
    <row r="51" spans="2:57" ht="15" hidden="1" customHeight="1" outlineLevel="1" x14ac:dyDescent="0.25">
      <c r="D51" s="2349" t="str">
        <f>N6</f>
        <v>Inc. Cost</v>
      </c>
      <c r="E51" s="2349" t="str">
        <f>'HVAC Deemed Table'!E92</f>
        <v>Incremental Cost ($)</v>
      </c>
      <c r="F51" s="322">
        <v>588</v>
      </c>
      <c r="G51" s="2670"/>
      <c r="H51" s="2670"/>
      <c r="I51" s="268" t="s">
        <v>37</v>
      </c>
      <c r="V51" s="271" t="str">
        <f t="shared" si="0"/>
        <v>Inc. Cost</v>
      </c>
      <c r="W51" s="323">
        <v>588</v>
      </c>
      <c r="X51" s="323">
        <v>588</v>
      </c>
      <c r="Y51" s="323">
        <v>588</v>
      </c>
      <c r="Z51" s="323"/>
      <c r="AA51" s="323"/>
      <c r="AB51" s="323"/>
      <c r="AC51" s="323"/>
      <c r="AD51" s="323"/>
      <c r="AE51" s="323"/>
      <c r="AF51" s="323"/>
      <c r="AG51" s="323"/>
      <c r="AU51" s="249"/>
    </row>
    <row r="52" spans="2:57" collapsed="1" x14ac:dyDescent="0.25">
      <c r="D52" s="324"/>
      <c r="E52" s="324"/>
      <c r="F52" s="325"/>
      <c r="G52" s="325"/>
      <c r="H52" s="325"/>
      <c r="I52" s="325"/>
      <c r="J52" s="325"/>
      <c r="K52" s="325"/>
      <c r="L52" s="325"/>
      <c r="M52" s="325"/>
      <c r="N52" s="325"/>
      <c r="O52" s="325"/>
      <c r="X52" s="42"/>
      <c r="Y52" s="42"/>
      <c r="Z52" s="42"/>
      <c r="AA52" s="42"/>
      <c r="AU52" s="249"/>
    </row>
    <row r="53" spans="2:57" x14ac:dyDescent="0.25">
      <c r="X53" s="42"/>
      <c r="Y53" s="42"/>
      <c r="Z53" s="42"/>
      <c r="AA53" s="42"/>
      <c r="AU53" s="249"/>
    </row>
    <row r="54" spans="2:57" x14ac:dyDescent="0.25">
      <c r="B54" s="2639" t="s">
        <v>733</v>
      </c>
      <c r="C54" s="2640"/>
      <c r="D54" s="2640"/>
      <c r="E54" s="2640"/>
      <c r="F54" s="2640"/>
      <c r="G54" s="2640"/>
      <c r="H54" s="2640"/>
      <c r="I54" s="2641"/>
      <c r="J54" s="2641"/>
      <c r="K54" s="2641"/>
      <c r="L54" s="2641"/>
      <c r="M54" s="2641"/>
      <c r="N54" s="2641"/>
      <c r="O54" s="2642"/>
      <c r="P54" s="355"/>
      <c r="Q54" s="355"/>
      <c r="V54" s="2639" t="str">
        <f>B54</f>
        <v>Learning Thermostat / Advanced Thermostat</v>
      </c>
      <c r="W54" s="2640"/>
      <c r="X54" s="2640"/>
      <c r="Y54" s="2640"/>
      <c r="Z54" s="2640"/>
      <c r="AA54" s="2640"/>
      <c r="AB54" s="2640"/>
      <c r="AC54" s="2615"/>
      <c r="AD54" s="2615"/>
      <c r="AE54" s="2615"/>
      <c r="AF54" s="2615"/>
      <c r="AG54" s="2615"/>
      <c r="AH54" s="2615"/>
      <c r="AI54" s="2616"/>
      <c r="AU54" s="249"/>
    </row>
    <row r="55" spans="2:57" x14ac:dyDescent="0.25">
      <c r="B55" s="1901"/>
      <c r="C55" s="329"/>
      <c r="E55" s="456" t="s">
        <v>734</v>
      </c>
      <c r="F55" s="330"/>
      <c r="G55" s="330"/>
      <c r="H55" s="330"/>
      <c r="I55" s="330"/>
      <c r="J55" s="330"/>
      <c r="K55" s="330"/>
      <c r="L55" s="1902"/>
      <c r="M55" s="355"/>
      <c r="N55" s="355"/>
      <c r="O55" s="355"/>
      <c r="P55" s="355"/>
      <c r="Q55" s="355"/>
      <c r="AU55" s="249"/>
    </row>
    <row r="56" spans="2:57" ht="30" x14ac:dyDescent="0.25">
      <c r="B56" s="1901"/>
      <c r="C56" s="2345" t="s">
        <v>17</v>
      </c>
      <c r="D56" s="2345" t="s">
        <v>662</v>
      </c>
      <c r="E56" s="2345" t="s">
        <v>19</v>
      </c>
      <c r="F56" s="2345" t="s">
        <v>20</v>
      </c>
      <c r="G56" s="2345" t="s">
        <v>21</v>
      </c>
      <c r="H56" s="2345" t="s">
        <v>22</v>
      </c>
      <c r="I56" s="2345" t="s">
        <v>23</v>
      </c>
      <c r="J56" s="2350" t="s">
        <v>24</v>
      </c>
      <c r="K56" s="2345" t="s">
        <v>25</v>
      </c>
      <c r="L56" s="2345" t="s">
        <v>26</v>
      </c>
      <c r="M56" s="332"/>
      <c r="N56" s="332"/>
      <c r="O56" s="333"/>
      <c r="P56" s="333"/>
      <c r="Q56" s="355"/>
      <c r="V56" s="55" t="s">
        <v>27</v>
      </c>
      <c r="W56" s="56">
        <v>43252</v>
      </c>
      <c r="X56" s="56">
        <f>$X$6</f>
        <v>43465</v>
      </c>
      <c r="Y56" s="56">
        <f>$Y$6</f>
        <v>43800</v>
      </c>
      <c r="Z56" s="56">
        <f>$Z$6</f>
        <v>43862</v>
      </c>
      <c r="AA56" s="56" t="str">
        <f>$AA$6</f>
        <v>-</v>
      </c>
      <c r="AB56" s="56" t="str">
        <f>$AB$6</f>
        <v>-</v>
      </c>
      <c r="AC56" s="56" t="str">
        <f>$AC$6</f>
        <v>-</v>
      </c>
      <c r="AD56" s="56" t="str">
        <f>$AD$6</f>
        <v>-</v>
      </c>
      <c r="AE56" s="56" t="str">
        <f>$AE$6</f>
        <v>-</v>
      </c>
      <c r="AF56" s="56" t="str">
        <f>$AF$6</f>
        <v>-</v>
      </c>
      <c r="AG56" s="56" t="str">
        <f>$AG$6</f>
        <v>-</v>
      </c>
      <c r="AU56" s="249"/>
      <c r="BB56" s="103" t="str">
        <f>$BB$6</f>
        <v>TRC (2020)</v>
      </c>
      <c r="BC56" s="103" t="str">
        <f>$BC$6</f>
        <v>Benefit Lookup</v>
      </c>
      <c r="BD56" s="334" t="str">
        <f>$BD$6</f>
        <v>Benefits (2019 $)</v>
      </c>
      <c r="BE56" s="334" t="str">
        <f>$BE$6</f>
        <v>Incremental Cost (2019 $)</v>
      </c>
    </row>
    <row r="57" spans="2:57" x14ac:dyDescent="0.25">
      <c r="B57" s="1901"/>
      <c r="C57" s="470" t="s">
        <v>735</v>
      </c>
      <c r="D57" s="2481" t="s">
        <v>667</v>
      </c>
      <c r="E57" s="335" t="s">
        <v>736</v>
      </c>
      <c r="F57" s="336">
        <f>ROUND($F$136*(($F$144*$F$146*1/$F$148)/1000)*$F$149*$F$126,2)</f>
        <v>187.46</v>
      </c>
      <c r="G57" s="337" t="s">
        <v>737</v>
      </c>
      <c r="H57" s="239">
        <f>VLOOKUP(G57,'CP FACTORS'!$A$3:$B$38, 2, FALSE)</f>
        <v>9.4741810000000004E-4</v>
      </c>
      <c r="I57" s="338">
        <f t="shared" ref="I57:I80" si="1">ROUND(H57*F57,6)</f>
        <v>0.17760300000000001</v>
      </c>
      <c r="J57" s="1503">
        <f t="shared" ref="J57:J80" si="2">$F$159</f>
        <v>10</v>
      </c>
      <c r="K57" s="426">
        <f>$F$160</f>
        <v>175</v>
      </c>
      <c r="L57" s="1903" t="s">
        <v>37</v>
      </c>
      <c r="M57" s="333"/>
      <c r="N57" s="339"/>
      <c r="O57" s="229"/>
      <c r="P57" s="229"/>
      <c r="R57" s="1894"/>
      <c r="V57" s="245" t="str">
        <f t="shared" ref="V57:V80" si="3">$F$56</f>
        <v>kWh Annual Savings</v>
      </c>
      <c r="W57" s="340">
        <v>192.51692307692309</v>
      </c>
      <c r="X57" s="341">
        <v>187.92922225947771</v>
      </c>
      <c r="Y57" s="342">
        <v>187.46</v>
      </c>
      <c r="Z57" s="343"/>
      <c r="AA57" s="344"/>
      <c r="AB57" s="245"/>
      <c r="AC57" s="245"/>
      <c r="AD57" s="245"/>
      <c r="AE57" s="245"/>
      <c r="AF57" s="245"/>
      <c r="AG57" s="245"/>
      <c r="AH57" s="248"/>
      <c r="AU57" s="249"/>
      <c r="BB57" s="345">
        <f>(BD57+BD58)/(BE57+BE58)</f>
        <v>2.0794081871928394</v>
      </c>
      <c r="BC57" s="335" t="str">
        <f t="shared" ref="BC57:BC80" si="4">CONCATENATE(G57," ",J57," Year EUL")</f>
        <v>Cooling RES 10 Year EUL</v>
      </c>
      <c r="BD57" s="162">
        <f>(INDEX('Avoided Cost Benefits'!$C$4:$C$857,MATCH(BC57,'Avoided Cost Benefits'!$A$4:$A$857,0)))*F57</f>
        <v>192.06001751318203</v>
      </c>
      <c r="BE57" s="70">
        <f t="shared" ref="BE57:BE80" si="5">K57/(1.0595^(2020-2019))</f>
        <v>165.17225106182158</v>
      </c>
    </row>
    <row r="58" spans="2:57" x14ac:dyDescent="0.25">
      <c r="B58" s="1901"/>
      <c r="C58" s="470" t="s">
        <v>735</v>
      </c>
      <c r="D58" s="2481" t="s">
        <v>667</v>
      </c>
      <c r="E58" s="346" t="s">
        <v>736</v>
      </c>
      <c r="F58" s="336">
        <f>ROUND($F$97*$F$105*$F$117*$F$125*$F$126+$F$127*$F$135*29.3,2)</f>
        <v>557.16</v>
      </c>
      <c r="G58" s="337" t="s">
        <v>738</v>
      </c>
      <c r="H58" s="239">
        <f>VLOOKUP(G58,'CP FACTORS'!$A$3:$B$38, 2, FALSE)</f>
        <v>0</v>
      </c>
      <c r="I58" s="338">
        <f t="shared" si="1"/>
        <v>0</v>
      </c>
      <c r="J58" s="1503">
        <f t="shared" si="2"/>
        <v>10</v>
      </c>
      <c r="K58" s="426"/>
      <c r="L58" s="1903" t="s">
        <v>37</v>
      </c>
      <c r="M58" s="333"/>
      <c r="N58" s="339"/>
      <c r="O58" s="229"/>
      <c r="P58" s="347"/>
      <c r="R58" s="1894"/>
      <c r="V58" s="245" t="str">
        <f t="shared" si="3"/>
        <v>kWh Annual Savings</v>
      </c>
      <c r="W58" s="340">
        <v>661.9754064</v>
      </c>
      <c r="X58" s="341">
        <v>552.61606399999994</v>
      </c>
      <c r="Y58" s="342">
        <v>557.16</v>
      </c>
      <c r="Z58" s="343"/>
      <c r="AA58" s="344"/>
      <c r="AB58" s="245"/>
      <c r="AC58" s="245"/>
      <c r="AD58" s="245"/>
      <c r="AE58" s="245"/>
      <c r="AF58" s="245"/>
      <c r="AG58" s="245"/>
      <c r="AH58" s="248"/>
      <c r="AU58" s="249"/>
      <c r="BB58" s="348"/>
      <c r="BC58" s="346" t="str">
        <f t="shared" si="4"/>
        <v>Heating RES 10 Year EUL</v>
      </c>
      <c r="BD58" s="165">
        <f>(INDEX('Avoided Cost Benefits'!$C$4:$C$857,MATCH(BC58,'Avoided Cost Benefits'!$A$4:$A$857,0)))*F58</f>
        <v>151.40051364184092</v>
      </c>
      <c r="BE58" s="74">
        <f t="shared" si="5"/>
        <v>0</v>
      </c>
    </row>
    <row r="59" spans="2:57" x14ac:dyDescent="0.25">
      <c r="B59" s="1901"/>
      <c r="C59" s="470" t="s">
        <v>739</v>
      </c>
      <c r="D59" s="2481" t="s">
        <v>667</v>
      </c>
      <c r="E59" s="335" t="s">
        <v>740</v>
      </c>
      <c r="F59" s="336">
        <f>ROUND($F$137*(($F$144*$F$147*1/$F$148)/1000)*$F$149*$F$126,2)</f>
        <v>187.46</v>
      </c>
      <c r="G59" s="337" t="s">
        <v>737</v>
      </c>
      <c r="H59" s="239">
        <f>VLOOKUP(G59,'CP FACTORS'!$A$3:$B$38, 2, FALSE)</f>
        <v>9.4741810000000004E-4</v>
      </c>
      <c r="I59" s="338">
        <f t="shared" si="1"/>
        <v>0.17760300000000001</v>
      </c>
      <c r="J59" s="1503">
        <f t="shared" si="2"/>
        <v>10</v>
      </c>
      <c r="K59" s="426">
        <f>$F$160</f>
        <v>175</v>
      </c>
      <c r="L59" s="1903" t="s">
        <v>37</v>
      </c>
      <c r="M59" s="333"/>
      <c r="N59" s="339"/>
      <c r="O59" s="229"/>
      <c r="P59" s="347"/>
      <c r="R59" s="1894"/>
      <c r="V59" s="245" t="str">
        <f t="shared" si="3"/>
        <v>kWh Annual Savings</v>
      </c>
      <c r="W59" s="340"/>
      <c r="X59" s="341"/>
      <c r="Y59" s="342">
        <v>187.46</v>
      </c>
      <c r="Z59" s="343"/>
      <c r="AA59" s="344"/>
      <c r="AB59" s="245"/>
      <c r="AC59" s="245"/>
      <c r="AD59" s="245"/>
      <c r="AE59" s="245"/>
      <c r="AF59" s="245"/>
      <c r="AG59" s="245"/>
      <c r="AH59" s="248"/>
      <c r="AU59" s="249"/>
      <c r="BB59" s="350">
        <f>(BD59+BD60)/(BE59+BE60)</f>
        <v>1.7586003697955446</v>
      </c>
      <c r="BC59" s="335" t="str">
        <f t="shared" si="4"/>
        <v>Cooling RES 10 Year EUL</v>
      </c>
      <c r="BD59" s="165">
        <f>(INDEX('Avoided Cost Benefits'!$C$4:$C$857,MATCH(BC59,'Avoided Cost Benefits'!$A$4:$A$857,0)))*F59</f>
        <v>192.06001751318203</v>
      </c>
      <c r="BE59" s="74">
        <f t="shared" si="5"/>
        <v>165.17225106182158</v>
      </c>
    </row>
    <row r="60" spans="2:57" x14ac:dyDescent="0.25">
      <c r="B60" s="1901"/>
      <c r="C60" s="470" t="s">
        <v>739</v>
      </c>
      <c r="D60" s="2481" t="s">
        <v>667</v>
      </c>
      <c r="E60" s="346" t="s">
        <v>740</v>
      </c>
      <c r="F60" s="336">
        <f>ROUND($F$98*$F$106*$F$118*$F$125*$F$126+$F$127*$F$135*29.3,2)</f>
        <v>362.16</v>
      </c>
      <c r="G60" s="337" t="s">
        <v>738</v>
      </c>
      <c r="H60" s="239">
        <f>VLOOKUP(G60,'CP FACTORS'!$A$3:$B$38, 2, FALSE)</f>
        <v>0</v>
      </c>
      <c r="I60" s="338">
        <f t="shared" si="1"/>
        <v>0</v>
      </c>
      <c r="J60" s="1503">
        <f t="shared" si="2"/>
        <v>10</v>
      </c>
      <c r="K60" s="426"/>
      <c r="L60" s="1903" t="s">
        <v>37</v>
      </c>
      <c r="M60" s="333"/>
      <c r="N60" s="339"/>
      <c r="O60" s="229"/>
      <c r="P60" s="347"/>
      <c r="R60" s="1894"/>
      <c r="V60" s="245" t="str">
        <f t="shared" si="3"/>
        <v>kWh Annual Savings</v>
      </c>
      <c r="W60" s="340"/>
      <c r="X60" s="341"/>
      <c r="Y60" s="342">
        <v>362.16</v>
      </c>
      <c r="Z60" s="343"/>
      <c r="AA60" s="344"/>
      <c r="AB60" s="245"/>
      <c r="AC60" s="245"/>
      <c r="AD60" s="245"/>
      <c r="AE60" s="245"/>
      <c r="AF60" s="245"/>
      <c r="AG60" s="245"/>
      <c r="AH60" s="248"/>
      <c r="AU60" s="249"/>
      <c r="BB60" s="348"/>
      <c r="BC60" s="346" t="str">
        <f t="shared" si="4"/>
        <v>Heating RES 10 Year EUL</v>
      </c>
      <c r="BD60" s="165">
        <f>(INDEX('Avoided Cost Benefits'!$C$4:$C$857,MATCH(BC60,'Avoided Cost Benefits'!$A$4:$A$857,0)))*F60</f>
        <v>98.411964284099923</v>
      </c>
      <c r="BE60" s="74">
        <f t="shared" si="5"/>
        <v>0</v>
      </c>
    </row>
    <row r="61" spans="2:57" x14ac:dyDescent="0.25">
      <c r="B61" s="1901"/>
      <c r="C61" s="470" t="s">
        <v>741</v>
      </c>
      <c r="D61" s="2572" t="str">
        <f>CONCATENATE(D59,"_CompE")</f>
        <v>Efficient Products_CompE</v>
      </c>
      <c r="E61" s="884" t="str">
        <f>CONCATENATE(E59,"_CompE")</f>
        <v>Learning Thermostat - ASHP heating/cooling MF_CompE</v>
      </c>
      <c r="F61" s="336">
        <f>ROUND($F$137*(($F$145*$F$147*1/$F$148)/1000)*$F$149*$F$126,2)</f>
        <v>136.33000000000001</v>
      </c>
      <c r="G61" s="337" t="s">
        <v>737</v>
      </c>
      <c r="H61" s="239">
        <f>VLOOKUP(G61,'CP FACTORS'!$A$3:$B$38, 2, FALSE)</f>
        <v>9.4741810000000004E-4</v>
      </c>
      <c r="I61" s="338">
        <f t="shared" si="1"/>
        <v>0.129162</v>
      </c>
      <c r="J61" s="1503">
        <f t="shared" si="2"/>
        <v>10</v>
      </c>
      <c r="K61" s="426">
        <f>$F$160</f>
        <v>175</v>
      </c>
      <c r="L61" s="1903" t="s">
        <v>37</v>
      </c>
      <c r="M61" s="333"/>
      <c r="N61" s="339"/>
      <c r="O61" s="229"/>
      <c r="P61" s="347"/>
      <c r="R61" s="1894"/>
      <c r="V61" s="245" t="str">
        <f t="shared" si="3"/>
        <v>kWh Annual Savings</v>
      </c>
      <c r="W61" s="340"/>
      <c r="X61" s="341"/>
      <c r="Y61" s="342">
        <v>136.33000000000001</v>
      </c>
      <c r="Z61" s="343"/>
      <c r="AA61" s="344"/>
      <c r="AB61" s="245"/>
      <c r="AC61" s="245"/>
      <c r="AD61" s="245"/>
      <c r="AE61" s="245"/>
      <c r="AF61" s="245"/>
      <c r="AG61" s="245"/>
      <c r="AH61" s="248"/>
      <c r="AU61" s="249"/>
      <c r="BA61" s="269"/>
      <c r="BB61" s="350">
        <f>(BD61+BD62)/(BE61+BE62)</f>
        <v>1.048352148141479</v>
      </c>
      <c r="BC61" s="335" t="str">
        <f t="shared" si="4"/>
        <v>Cooling RES 10 Year EUL</v>
      </c>
      <c r="BD61" s="165">
        <f>(INDEX('Avoided Cost Benefits'!$C$4:$C$857,MATCH(BC61,'Avoided Cost Benefits'!$A$4:$A$857,0)))*F61</f>
        <v>139.67535574294308</v>
      </c>
      <c r="BE61" s="74">
        <f t="shared" si="5"/>
        <v>165.17225106182158</v>
      </c>
    </row>
    <row r="62" spans="2:57" x14ac:dyDescent="0.25">
      <c r="B62" s="1901"/>
      <c r="C62" s="470" t="s">
        <v>741</v>
      </c>
      <c r="D62" s="2572" t="str">
        <f>CONCATENATE(D60,"_CompE")</f>
        <v>Efficient Products_CompE</v>
      </c>
      <c r="E62" s="892" t="str">
        <f>CONCATENATE(E60,"_CompE")</f>
        <v>Learning Thermostat - ASHP heating/cooling MF_CompE</v>
      </c>
      <c r="F62" s="336">
        <f>ROUND($F$98*$F$107*$F$118*$F$125*$F$126+$F$127*$F$135*29.3,2)</f>
        <v>123.22</v>
      </c>
      <c r="G62" s="337" t="s">
        <v>738</v>
      </c>
      <c r="H62" s="239">
        <f>VLOOKUP(G62,'CP FACTORS'!$A$3:$B$38, 2, FALSE)</f>
        <v>0</v>
      </c>
      <c r="I62" s="338">
        <f t="shared" si="1"/>
        <v>0</v>
      </c>
      <c r="J62" s="1503">
        <f t="shared" si="2"/>
        <v>10</v>
      </c>
      <c r="K62" s="426"/>
      <c r="L62" s="1903" t="s">
        <v>37</v>
      </c>
      <c r="M62" s="333"/>
      <c r="N62" s="339"/>
      <c r="O62" s="229"/>
      <c r="P62" s="347"/>
      <c r="R62" s="1894"/>
      <c r="V62" s="245" t="str">
        <f t="shared" si="3"/>
        <v>kWh Annual Savings</v>
      </c>
      <c r="W62" s="340"/>
      <c r="X62" s="341"/>
      <c r="Y62" s="342">
        <v>123.22</v>
      </c>
      <c r="Z62" s="343"/>
      <c r="AA62" s="344"/>
      <c r="AB62" s="245"/>
      <c r="AC62" s="245"/>
      <c r="AD62" s="245"/>
      <c r="AE62" s="245"/>
      <c r="AF62" s="245"/>
      <c r="AG62" s="245"/>
      <c r="AH62" s="248"/>
      <c r="AU62" s="249"/>
      <c r="BB62" s="348"/>
      <c r="BC62" s="346" t="str">
        <f t="shared" si="4"/>
        <v>Heating RES 10 Year EUL</v>
      </c>
      <c r="BD62" s="165">
        <f>(INDEX('Avoided Cost Benefits'!$C$4:$C$857,MATCH(BC62,'Avoided Cost Benefits'!$A$4:$A$857,0)))*F62</f>
        <v>33.483328471081265</v>
      </c>
      <c r="BE62" s="74">
        <f t="shared" si="5"/>
        <v>0</v>
      </c>
    </row>
    <row r="63" spans="2:57" x14ac:dyDescent="0.25">
      <c r="B63" s="1901"/>
      <c r="C63" s="470" t="s">
        <v>742</v>
      </c>
      <c r="D63" s="2481" t="s">
        <v>667</v>
      </c>
      <c r="E63" s="335" t="s">
        <v>743</v>
      </c>
      <c r="F63" s="336">
        <f>ROUND($F$138*(($F$144*$F$147*1/$F$148)/1000)*$F$149*$F$126,2)</f>
        <v>187.46</v>
      </c>
      <c r="G63" s="337" t="s">
        <v>737</v>
      </c>
      <c r="H63" s="239">
        <f>VLOOKUP(G63,'CP FACTORS'!$A$3:$B$38, 2, FALSE)</f>
        <v>9.4741810000000004E-4</v>
      </c>
      <c r="I63" s="338">
        <f t="shared" si="1"/>
        <v>0.17760300000000001</v>
      </c>
      <c r="J63" s="1503">
        <f t="shared" si="2"/>
        <v>10</v>
      </c>
      <c r="K63" s="426">
        <f>$F$160</f>
        <v>175</v>
      </c>
      <c r="L63" s="1903" t="s">
        <v>37</v>
      </c>
      <c r="M63" s="333"/>
      <c r="N63" s="339"/>
      <c r="O63" s="229"/>
      <c r="P63" s="351"/>
      <c r="R63" s="1894"/>
      <c r="V63" s="245" t="str">
        <f t="shared" si="3"/>
        <v>kWh Annual Savings</v>
      </c>
      <c r="W63" s="340">
        <v>192.51692307692309</v>
      </c>
      <c r="X63" s="341">
        <v>122.15399446866051</v>
      </c>
      <c r="Y63" s="342">
        <v>187.46</v>
      </c>
      <c r="Z63" s="343"/>
      <c r="AA63" s="344"/>
      <c r="AB63" s="245"/>
      <c r="AC63" s="245"/>
      <c r="AD63" s="245"/>
      <c r="AE63" s="245"/>
      <c r="AF63" s="245"/>
      <c r="AG63" s="245"/>
      <c r="AH63" s="248"/>
      <c r="AU63" s="249"/>
      <c r="BB63" s="350">
        <f>(BD63+BD64)/(BE63+BE64)</f>
        <v>2.1755682739973108</v>
      </c>
      <c r="BC63" s="335" t="str">
        <f t="shared" si="4"/>
        <v>Cooling RES 10 Year EUL</v>
      </c>
      <c r="BD63" s="165">
        <f>(INDEX('Avoided Cost Benefits'!$C$4:$C$857,MATCH(BC63,'Avoided Cost Benefits'!$A$4:$A$857,0)))*F63</f>
        <v>192.06001751318203</v>
      </c>
      <c r="BE63" s="74">
        <f t="shared" si="5"/>
        <v>165.17225106182158</v>
      </c>
    </row>
    <row r="64" spans="2:57" x14ac:dyDescent="0.25">
      <c r="B64" s="1901"/>
      <c r="C64" s="470" t="s">
        <v>742</v>
      </c>
      <c r="D64" s="2481" t="s">
        <v>667</v>
      </c>
      <c r="E64" s="346" t="s">
        <v>743</v>
      </c>
      <c r="F64" s="336">
        <f>ROUND($F$99*$F$108*$F$119*$F$125*$F$126+$F$129*$F$135*29.3,2)</f>
        <v>615.61</v>
      </c>
      <c r="G64" s="337" t="s">
        <v>738</v>
      </c>
      <c r="H64" s="239">
        <f>VLOOKUP(G64,'CP FACTORS'!$A$3:$B$38, 2, FALSE)</f>
        <v>0</v>
      </c>
      <c r="I64" s="338">
        <f t="shared" si="1"/>
        <v>0</v>
      </c>
      <c r="J64" s="1503">
        <f t="shared" si="2"/>
        <v>10</v>
      </c>
      <c r="K64" s="426"/>
      <c r="L64" s="1903" t="s">
        <v>37</v>
      </c>
      <c r="M64" s="333"/>
      <c r="N64" s="339"/>
      <c r="O64" s="229"/>
      <c r="P64" s="229"/>
      <c r="R64" s="1894"/>
      <c r="V64" s="245" t="str">
        <f t="shared" si="3"/>
        <v>kWh Annual Savings</v>
      </c>
      <c r="W64" s="340">
        <v>710.41841416</v>
      </c>
      <c r="X64" s="341">
        <v>617.03664664150949</v>
      </c>
      <c r="Y64" s="342">
        <v>615.61</v>
      </c>
      <c r="Z64" s="343"/>
      <c r="AA64" s="344"/>
      <c r="AB64" s="245"/>
      <c r="AC64" s="245"/>
      <c r="AD64" s="245"/>
      <c r="AE64" s="245"/>
      <c r="AF64" s="245"/>
      <c r="AG64" s="245"/>
      <c r="AH64" s="248"/>
      <c r="AU64" s="249"/>
      <c r="BB64" s="348"/>
      <c r="BC64" s="346" t="str">
        <f t="shared" si="4"/>
        <v>Heating RES 10 Year EUL</v>
      </c>
      <c r="BD64" s="165">
        <f>(INDEX('Avoided Cost Benefits'!$C$4:$C$857,MATCH(BC64,'Avoided Cost Benefits'!$A$4:$A$857,0)))*F64</f>
        <v>167.28349164163561</v>
      </c>
      <c r="BE64" s="74">
        <f t="shared" si="5"/>
        <v>0</v>
      </c>
    </row>
    <row r="65" spans="2:57" x14ac:dyDescent="0.25">
      <c r="B65" s="1901"/>
      <c r="C65" s="470" t="s">
        <v>744</v>
      </c>
      <c r="D65" s="2572" t="str">
        <f>CONCATENATE(D63,"_CompE")</f>
        <v>Efficient Products_CompE</v>
      </c>
      <c r="E65" s="884" t="str">
        <f>CONCATENATE(E63,"_CompE")</f>
        <v>Learning Thermostat - electric furnace heating / central AC MF_CompE</v>
      </c>
      <c r="F65" s="336">
        <f>ROUND($F$138*(($F$145*$F$147*1/$F$148)/1000)*$F$149*$F$126,2)</f>
        <v>136.33000000000001</v>
      </c>
      <c r="G65" s="337" t="s">
        <v>737</v>
      </c>
      <c r="H65" s="239">
        <f>VLOOKUP(G65,'CP FACTORS'!$A$3:$B$38, 2, FALSE)</f>
        <v>9.4741810000000004E-4</v>
      </c>
      <c r="I65" s="338">
        <f t="shared" si="1"/>
        <v>0.129162</v>
      </c>
      <c r="J65" s="1503">
        <f t="shared" si="2"/>
        <v>10</v>
      </c>
      <c r="K65" s="426">
        <f>$F$160</f>
        <v>175</v>
      </c>
      <c r="L65" s="1903" t="s">
        <v>37</v>
      </c>
      <c r="M65" s="333"/>
      <c r="N65" s="339"/>
      <c r="O65" s="229"/>
      <c r="P65" s="229"/>
      <c r="R65" s="1894"/>
      <c r="V65" s="245" t="str">
        <f t="shared" si="3"/>
        <v>kWh Annual Savings</v>
      </c>
      <c r="W65" s="340"/>
      <c r="X65" s="341"/>
      <c r="Y65" s="342">
        <v>136.33000000000001</v>
      </c>
      <c r="Z65" s="343"/>
      <c r="AA65" s="344"/>
      <c r="AB65" s="245"/>
      <c r="AC65" s="245"/>
      <c r="AD65" s="245"/>
      <c r="AE65" s="245"/>
      <c r="AF65" s="245"/>
      <c r="AG65" s="245"/>
      <c r="AH65" s="248"/>
      <c r="AU65" s="249"/>
      <c r="BA65" s="269"/>
      <c r="BB65" s="350">
        <f>(BD65+BD66)/(BE65+BE66)</f>
        <v>1.1902150101628572</v>
      </c>
      <c r="BC65" s="335" t="str">
        <f t="shared" si="4"/>
        <v>Cooling RES 10 Year EUL</v>
      </c>
      <c r="BD65" s="165">
        <f>(INDEX('Avoided Cost Benefits'!$C$4:$C$857,MATCH(BC65,'Avoided Cost Benefits'!$A$4:$A$857,0)))*F65</f>
        <v>139.67535574294308</v>
      </c>
      <c r="BE65" s="74">
        <f t="shared" si="5"/>
        <v>165.17225106182158</v>
      </c>
    </row>
    <row r="66" spans="2:57" x14ac:dyDescent="0.25">
      <c r="B66" s="1901"/>
      <c r="C66" s="470" t="s">
        <v>744</v>
      </c>
      <c r="D66" s="2572" t="str">
        <f>CONCATENATE(D64,"_CompE")</f>
        <v>Efficient Products_CompE</v>
      </c>
      <c r="E66" s="892" t="str">
        <f>CONCATENATE(E64,"_CompE")</f>
        <v>Learning Thermostat - electric furnace heating / central AC MF_CompE</v>
      </c>
      <c r="F66" s="336">
        <f>ROUND($F$99*$F$109*$F$119*$F$125*$F$126+$F$129*$F$135*29.3,2)</f>
        <v>209.45</v>
      </c>
      <c r="G66" s="337" t="s">
        <v>738</v>
      </c>
      <c r="H66" s="239">
        <f>VLOOKUP(G66,'CP FACTORS'!$A$3:$B$38, 2, FALSE)</f>
        <v>0</v>
      </c>
      <c r="I66" s="338">
        <f t="shared" si="1"/>
        <v>0</v>
      </c>
      <c r="J66" s="1503">
        <f t="shared" si="2"/>
        <v>10</v>
      </c>
      <c r="K66" s="426"/>
      <c r="L66" s="1903" t="s">
        <v>37</v>
      </c>
      <c r="M66" s="333"/>
      <c r="N66" s="339"/>
      <c r="O66" s="229"/>
      <c r="P66" s="229"/>
      <c r="R66" s="1894"/>
      <c r="V66" s="245" t="str">
        <f t="shared" si="3"/>
        <v>kWh Annual Savings</v>
      </c>
      <c r="W66" s="340"/>
      <c r="X66" s="341"/>
      <c r="Y66" s="342">
        <v>209.45</v>
      </c>
      <c r="Z66" s="343"/>
      <c r="AA66" s="344"/>
      <c r="AB66" s="245"/>
      <c r="AC66" s="245"/>
      <c r="AD66" s="245"/>
      <c r="AE66" s="245"/>
      <c r="AF66" s="245"/>
      <c r="AG66" s="245"/>
      <c r="AH66" s="248"/>
      <c r="AU66" s="249"/>
      <c r="BB66" s="348"/>
      <c r="BC66" s="346" t="str">
        <f t="shared" si="4"/>
        <v>Heating RES 10 Year EUL</v>
      </c>
      <c r="BD66" s="165">
        <f>(INDEX('Avoided Cost Benefits'!$C$4:$C$857,MATCH(BC66,'Avoided Cost Benefits'!$A$4:$A$857,0)))*F66</f>
        <v>56.915136733224891</v>
      </c>
      <c r="BE66" s="74">
        <f t="shared" si="5"/>
        <v>0</v>
      </c>
    </row>
    <row r="67" spans="2:57" x14ac:dyDescent="0.25">
      <c r="B67" s="1901"/>
      <c r="C67" s="470" t="s">
        <v>745</v>
      </c>
      <c r="D67" s="2481" t="s">
        <v>667</v>
      </c>
      <c r="E67" s="335" t="s">
        <v>746</v>
      </c>
      <c r="F67" s="336">
        <f>ROUND($F$139*(($F$144*$F$146*1/$F$148)/1000)*$F$149*$F$126,2)</f>
        <v>187.46</v>
      </c>
      <c r="G67" s="337" t="s">
        <v>737</v>
      </c>
      <c r="H67" s="239">
        <f>VLOOKUP(G67,'CP FACTORS'!$A$3:$B$38, 2, FALSE)</f>
        <v>9.4741810000000004E-4</v>
      </c>
      <c r="I67" s="338">
        <f t="shared" si="1"/>
        <v>0.17760300000000001</v>
      </c>
      <c r="J67" s="1503">
        <f t="shared" si="2"/>
        <v>10</v>
      </c>
      <c r="K67" s="426">
        <f>$F$160</f>
        <v>175</v>
      </c>
      <c r="L67" s="1903" t="s">
        <v>37</v>
      </c>
      <c r="M67" s="333"/>
      <c r="N67" s="339"/>
      <c r="O67" s="229"/>
      <c r="P67" s="229"/>
      <c r="R67" s="1894"/>
      <c r="V67" s="245" t="str">
        <f t="shared" si="3"/>
        <v>kWh Annual Savings</v>
      </c>
      <c r="W67" s="340">
        <v>192.51692307692309</v>
      </c>
      <c r="X67" s="341">
        <v>187.92922225947771</v>
      </c>
      <c r="Y67" s="342">
        <v>187.46</v>
      </c>
      <c r="Z67" s="343"/>
      <c r="AA67" s="344"/>
      <c r="AB67" s="245"/>
      <c r="AC67" s="245"/>
      <c r="AD67" s="245"/>
      <c r="AE67" s="245"/>
      <c r="AF67" s="245"/>
      <c r="AG67" s="245"/>
      <c r="AH67" s="248"/>
      <c r="AU67" s="249"/>
      <c r="BB67" s="350">
        <f>(BD67+BD68)/(BE67+BE68)</f>
        <v>2.7209086602068253</v>
      </c>
      <c r="BC67" s="335" t="str">
        <f t="shared" si="4"/>
        <v>Cooling RES 10 Year EUL</v>
      </c>
      <c r="BD67" s="165">
        <f>(INDEX('Avoided Cost Benefits'!$C$4:$C$857,MATCH(BC67,'Avoided Cost Benefits'!$A$4:$A$857,0)))*F67</f>
        <v>192.06001751318203</v>
      </c>
      <c r="BE67" s="74">
        <f t="shared" si="5"/>
        <v>165.17225106182158</v>
      </c>
    </row>
    <row r="68" spans="2:57" x14ac:dyDescent="0.25">
      <c r="B68" s="1901"/>
      <c r="C68" s="470" t="s">
        <v>745</v>
      </c>
      <c r="D68" s="2481" t="s">
        <v>667</v>
      </c>
      <c r="E68" s="346" t="s">
        <v>746</v>
      </c>
      <c r="F68" s="336">
        <f>ROUND($F$100*$F$110*$F$120*$F$125*$F$126+$F$130*$F$135*29.3,2)</f>
        <v>947.09</v>
      </c>
      <c r="G68" s="337" t="s">
        <v>738</v>
      </c>
      <c r="H68" s="239">
        <f>VLOOKUP(G68,'CP FACTORS'!$A$3:$B$38, 2, FALSE)</f>
        <v>0</v>
      </c>
      <c r="I68" s="338">
        <f t="shared" si="1"/>
        <v>0</v>
      </c>
      <c r="J68" s="1503">
        <f t="shared" si="2"/>
        <v>10</v>
      </c>
      <c r="K68" s="426"/>
      <c r="L68" s="1903" t="s">
        <v>37</v>
      </c>
      <c r="M68" s="333"/>
      <c r="N68" s="339"/>
      <c r="O68" s="229"/>
      <c r="P68" s="229"/>
      <c r="R68" s="1894"/>
      <c r="V68" s="245" t="str">
        <f t="shared" si="3"/>
        <v>kWh Annual Savings</v>
      </c>
      <c r="W68" s="340">
        <v>1092.9514064</v>
      </c>
      <c r="X68" s="341">
        <v>949.28714867924521</v>
      </c>
      <c r="Y68" s="342">
        <v>947.09</v>
      </c>
      <c r="Z68" s="343"/>
      <c r="AA68" s="344"/>
      <c r="AB68" s="245"/>
      <c r="AC68" s="245"/>
      <c r="AD68" s="245"/>
      <c r="AE68" s="245"/>
      <c r="AF68" s="245"/>
      <c r="AG68" s="245"/>
      <c r="AH68" s="248"/>
      <c r="AU68" s="249"/>
      <c r="BB68" s="348"/>
      <c r="BC68" s="346" t="str">
        <f t="shared" si="4"/>
        <v>Heating RES 10 Year EUL</v>
      </c>
      <c r="BD68" s="165">
        <f>(INDEX('Avoided Cost Benefits'!$C$4:$C$857,MATCH(BC68,'Avoided Cost Benefits'!$A$4:$A$857,0)))*F68</f>
        <v>257.35859082678428</v>
      </c>
      <c r="BE68" s="74">
        <f t="shared" si="5"/>
        <v>0</v>
      </c>
    </row>
    <row r="69" spans="2:57" x14ac:dyDescent="0.25">
      <c r="B69" s="1901"/>
      <c r="C69" s="470" t="s">
        <v>747</v>
      </c>
      <c r="D69" s="2481" t="s">
        <v>667</v>
      </c>
      <c r="E69" s="335" t="s">
        <v>3352</v>
      </c>
      <c r="F69" s="336">
        <f>ROUND($F$140*(($F$144*$F$146*1/$F$148)/1000)*$F$149*$F$126,2)</f>
        <v>187.46</v>
      </c>
      <c r="G69" s="337" t="s">
        <v>737</v>
      </c>
      <c r="H69" s="239">
        <f>VLOOKUP(G69,'CP FACTORS'!$A$3:$B$38, 2, FALSE)</f>
        <v>9.4741810000000004E-4</v>
      </c>
      <c r="I69" s="338">
        <f t="shared" si="1"/>
        <v>0.17760300000000001</v>
      </c>
      <c r="J69" s="1503">
        <f t="shared" si="2"/>
        <v>10</v>
      </c>
      <c r="K69" s="426">
        <f>$F$160</f>
        <v>175</v>
      </c>
      <c r="L69" s="1903" t="s">
        <v>37</v>
      </c>
      <c r="M69" s="333"/>
      <c r="N69" s="339"/>
      <c r="O69" s="229"/>
      <c r="P69" s="347"/>
      <c r="R69" s="1894"/>
      <c r="V69" s="245" t="str">
        <f t="shared" si="3"/>
        <v>kWh Annual Savings</v>
      </c>
      <c r="W69" s="340">
        <v>192.51692307692309</v>
      </c>
      <c r="X69" s="341">
        <v>187.92922225947771</v>
      </c>
      <c r="Y69" s="342">
        <v>187.46</v>
      </c>
      <c r="Z69" s="343"/>
      <c r="AA69" s="344"/>
      <c r="AB69" s="245"/>
      <c r="AC69" s="245"/>
      <c r="AD69" s="245"/>
      <c r="AE69" s="245"/>
      <c r="AF69" s="245"/>
      <c r="AG69" s="245"/>
      <c r="AH69" s="248"/>
      <c r="AU69" s="249"/>
      <c r="BB69" s="350">
        <f>(BD69+BD70)/(BE69+BE70)</f>
        <v>1.2316365134338649</v>
      </c>
      <c r="BC69" s="335" t="str">
        <f t="shared" si="4"/>
        <v>Cooling RES 10 Year EUL</v>
      </c>
      <c r="BD69" s="165">
        <f>(INDEX('Avoided Cost Benefits'!$C$4:$C$857,MATCH(BC69,'Avoided Cost Benefits'!$A$4:$A$857,0)))*F69</f>
        <v>192.06001751318203</v>
      </c>
      <c r="BE69" s="74">
        <f t="shared" si="5"/>
        <v>165.17225106182158</v>
      </c>
    </row>
    <row r="70" spans="2:57" x14ac:dyDescent="0.25">
      <c r="B70" s="1901"/>
      <c r="C70" s="470" t="s">
        <v>747</v>
      </c>
      <c r="D70" s="2481" t="s">
        <v>667</v>
      </c>
      <c r="E70" s="346" t="s">
        <v>3352</v>
      </c>
      <c r="F70" s="336">
        <f>ROUND($F$101*$F$111*$F$121*$F$125*$F$126+$F$131*$F$135*29.3,2)</f>
        <v>41.85</v>
      </c>
      <c r="G70" s="337" t="s">
        <v>738</v>
      </c>
      <c r="H70" s="239">
        <f>VLOOKUP(G70,'CP FACTORS'!$A$3:$B$38, 2, FALSE)</f>
        <v>0</v>
      </c>
      <c r="I70" s="338">
        <f t="shared" si="1"/>
        <v>0</v>
      </c>
      <c r="J70" s="1503">
        <f t="shared" si="2"/>
        <v>10</v>
      </c>
      <c r="K70" s="426"/>
      <c r="L70" s="1903" t="s">
        <v>37</v>
      </c>
      <c r="M70" s="333"/>
      <c r="N70" s="339"/>
      <c r="O70" s="229"/>
      <c r="P70" s="351"/>
      <c r="R70" s="1894"/>
      <c r="V70" s="245" t="str">
        <f t="shared" si="3"/>
        <v>kWh Annual Savings</v>
      </c>
      <c r="W70" s="340">
        <v>46.295406399999997</v>
      </c>
      <c r="X70" s="340">
        <v>41.992474552808346</v>
      </c>
      <c r="Y70" s="342">
        <v>41.85</v>
      </c>
      <c r="Z70" s="343"/>
      <c r="AA70" s="344"/>
      <c r="AB70" s="245"/>
      <c r="AC70" s="245"/>
      <c r="AD70" s="245"/>
      <c r="AE70" s="245"/>
      <c r="AF70" s="245"/>
      <c r="AG70" s="245"/>
      <c r="AH70" s="248"/>
      <c r="AU70" s="249"/>
      <c r="BB70" s="348"/>
      <c r="BC70" s="346" t="str">
        <f t="shared" si="4"/>
        <v>Heating RES 10 Year EUL</v>
      </c>
      <c r="BD70" s="165">
        <f>(INDEX('Avoided Cost Benefits'!$C$4:$C$857,MATCH(BC70,'Avoided Cost Benefits'!$A$4:$A$857,0)))*F70</f>
        <v>11.372157900622877</v>
      </c>
      <c r="BE70" s="74">
        <f t="shared" si="5"/>
        <v>0</v>
      </c>
    </row>
    <row r="71" spans="2:57" x14ac:dyDescent="0.25">
      <c r="B71" s="1901"/>
      <c r="C71" s="470" t="s">
        <v>748</v>
      </c>
      <c r="D71" s="2481" t="s">
        <v>667</v>
      </c>
      <c r="E71" s="335" t="s">
        <v>749</v>
      </c>
      <c r="F71" s="336">
        <f>ROUND($F$141*(($F$145*$F$147*1/$F$148)/1000)*$F$149*$F$126,2)</f>
        <v>136.33000000000001</v>
      </c>
      <c r="G71" s="337" t="s">
        <v>737</v>
      </c>
      <c r="H71" s="239">
        <f>VLOOKUP(G71,'CP FACTORS'!$A$3:$B$38, 2, FALSE)</f>
        <v>9.4741810000000004E-4</v>
      </c>
      <c r="I71" s="338">
        <f t="shared" si="1"/>
        <v>0.129162</v>
      </c>
      <c r="J71" s="1503">
        <f t="shared" si="2"/>
        <v>10</v>
      </c>
      <c r="K71" s="426">
        <f>$F$160</f>
        <v>175</v>
      </c>
      <c r="L71" s="1903" t="s">
        <v>37</v>
      </c>
      <c r="M71" s="333"/>
      <c r="N71" s="339"/>
      <c r="O71" s="229"/>
      <c r="P71" s="351"/>
      <c r="R71" s="1894"/>
      <c r="V71" s="245" t="str">
        <f t="shared" si="3"/>
        <v>kWh Annual Savings</v>
      </c>
      <c r="W71" s="340"/>
      <c r="X71" s="340"/>
      <c r="Y71" s="342">
        <v>136.33000000000001</v>
      </c>
      <c r="Z71" s="343"/>
      <c r="AA71" s="344"/>
      <c r="AB71" s="245"/>
      <c r="AC71" s="245"/>
      <c r="AD71" s="245"/>
      <c r="AE71" s="245"/>
      <c r="AF71" s="245"/>
      <c r="AG71" s="245"/>
      <c r="AH71" s="248"/>
      <c r="AU71" s="249"/>
      <c r="BA71" s="269"/>
      <c r="BB71" s="350">
        <f>(BD71+BD72)/(BE71+BE72)</f>
        <v>0.89038308851846226</v>
      </c>
      <c r="BC71" s="335" t="str">
        <f t="shared" si="4"/>
        <v>Cooling RES 10 Year EUL</v>
      </c>
      <c r="BD71" s="165">
        <f>(INDEX('Avoided Cost Benefits'!$C$4:$C$857,MATCH(BC71,'Avoided Cost Benefits'!$A$4:$A$857,0)))*F71</f>
        <v>139.67535574294308</v>
      </c>
      <c r="BE71" s="74">
        <f t="shared" si="5"/>
        <v>165.17225106182158</v>
      </c>
    </row>
    <row r="72" spans="2:57" x14ac:dyDescent="0.25">
      <c r="B72" s="1901"/>
      <c r="C72" s="470" t="s">
        <v>748</v>
      </c>
      <c r="D72" s="2481" t="s">
        <v>667</v>
      </c>
      <c r="E72" s="346" t="s">
        <v>749</v>
      </c>
      <c r="F72" s="336">
        <f>ROUND($F$102*$F$112*$F$122*$F$125*$F$126+$F$132*$F$135*29.3,2)</f>
        <v>27.2</v>
      </c>
      <c r="G72" s="337" t="s">
        <v>738</v>
      </c>
      <c r="H72" s="239">
        <f>VLOOKUP(G72,'CP FACTORS'!$A$3:$B$38, 2, FALSE)</f>
        <v>0</v>
      </c>
      <c r="I72" s="338">
        <f t="shared" si="1"/>
        <v>0</v>
      </c>
      <c r="J72" s="1503">
        <f t="shared" si="2"/>
        <v>10</v>
      </c>
      <c r="K72" s="426"/>
      <c r="L72" s="1903" t="s">
        <v>37</v>
      </c>
      <c r="M72" s="333"/>
      <c r="N72" s="339"/>
      <c r="O72" s="229"/>
      <c r="P72" s="351"/>
      <c r="R72" s="1894"/>
      <c r="V72" s="245" t="str">
        <f t="shared" si="3"/>
        <v>kWh Annual Savings</v>
      </c>
      <c r="W72" s="340"/>
      <c r="X72" s="340"/>
      <c r="Y72" s="342">
        <v>27.2</v>
      </c>
      <c r="Z72" s="343"/>
      <c r="AA72" s="344"/>
      <c r="AB72" s="245"/>
      <c r="AC72" s="245"/>
      <c r="AD72" s="245"/>
      <c r="AE72" s="245"/>
      <c r="AF72" s="245"/>
      <c r="AG72" s="245"/>
      <c r="AH72" s="248"/>
      <c r="AU72" s="249"/>
      <c r="BB72" s="348"/>
      <c r="BC72" s="346" t="str">
        <f t="shared" si="4"/>
        <v>Heating RES 10 Year EUL</v>
      </c>
      <c r="BD72" s="165">
        <f>(INDEX('Avoided Cost Benefits'!$C$4:$C$857,MATCH(BC72,'Avoided Cost Benefits'!$A$4:$A$857,0)))*F72</f>
        <v>7.3912232950284888</v>
      </c>
      <c r="BE72" s="74">
        <f t="shared" si="5"/>
        <v>0</v>
      </c>
    </row>
    <row r="73" spans="2:57" x14ac:dyDescent="0.25">
      <c r="B73" s="1901"/>
      <c r="C73" s="470" t="s">
        <v>750</v>
      </c>
      <c r="D73" s="2572" t="str">
        <f>CONCATENATE(D71,"_CompE")</f>
        <v>Efficient Products_CompE</v>
      </c>
      <c r="E73" s="884" t="s">
        <v>751</v>
      </c>
      <c r="F73" s="336">
        <f>ROUND($F$141*(($F$145*$F$147*1/$F$148)/1000)*$F$149*$F$126,2)</f>
        <v>136.33000000000001</v>
      </c>
      <c r="G73" s="337" t="s">
        <v>737</v>
      </c>
      <c r="H73" s="239">
        <f>VLOOKUP(G73,'CP FACTORS'!$A$3:$B$38, 2, FALSE)</f>
        <v>9.4741810000000004E-4</v>
      </c>
      <c r="I73" s="338">
        <f t="shared" si="1"/>
        <v>0.129162</v>
      </c>
      <c r="J73" s="1503">
        <f t="shared" si="2"/>
        <v>10</v>
      </c>
      <c r="K73" s="426">
        <f>$F$160</f>
        <v>175</v>
      </c>
      <c r="L73" s="1903" t="s">
        <v>37</v>
      </c>
      <c r="M73" s="333"/>
      <c r="N73" s="339"/>
      <c r="O73" s="229"/>
      <c r="P73" s="351"/>
      <c r="R73" s="1894"/>
      <c r="V73" s="245" t="str">
        <f t="shared" si="3"/>
        <v>kWh Annual Savings</v>
      </c>
      <c r="W73" s="340"/>
      <c r="X73" s="340"/>
      <c r="Y73" s="342">
        <v>136.33000000000001</v>
      </c>
      <c r="Z73" s="343"/>
      <c r="AA73" s="344"/>
      <c r="AB73" s="245"/>
      <c r="AC73" s="245"/>
      <c r="AD73" s="245"/>
      <c r="AE73" s="245"/>
      <c r="AF73" s="245"/>
      <c r="AG73" s="245"/>
      <c r="AH73" s="248"/>
      <c r="AU73" s="249"/>
      <c r="BA73" s="269"/>
      <c r="BB73" s="350">
        <f>(BD73+BD74)/(BE73+BE74)</f>
        <v>0.89038308851846226</v>
      </c>
      <c r="BC73" s="335" t="str">
        <f t="shared" si="4"/>
        <v>Cooling RES 10 Year EUL</v>
      </c>
      <c r="BD73" s="165">
        <f>(INDEX('Avoided Cost Benefits'!$C$4:$C$857,MATCH(BC73,'Avoided Cost Benefits'!$A$4:$A$857,0)))*F73</f>
        <v>139.67535574294308</v>
      </c>
      <c r="BE73" s="74">
        <f t="shared" si="5"/>
        <v>165.17225106182158</v>
      </c>
    </row>
    <row r="74" spans="2:57" x14ac:dyDescent="0.25">
      <c r="B74" s="1901"/>
      <c r="C74" s="470" t="s">
        <v>750</v>
      </c>
      <c r="D74" s="2572" t="str">
        <f>CONCATENATE(D72,"_CompE")</f>
        <v>Efficient Products_CompE</v>
      </c>
      <c r="E74" s="892" t="s">
        <v>751</v>
      </c>
      <c r="F74" s="336">
        <f>ROUND($F$102*$F$113*$F$122*$F$125*$F$126+$F$132*$F$135*29.3,2)</f>
        <v>27.2</v>
      </c>
      <c r="G74" s="337" t="s">
        <v>738</v>
      </c>
      <c r="H74" s="239">
        <f>VLOOKUP(G74,'CP FACTORS'!$A$3:$B$38, 2, FALSE)</f>
        <v>0</v>
      </c>
      <c r="I74" s="338">
        <f t="shared" si="1"/>
        <v>0</v>
      </c>
      <c r="J74" s="1503">
        <f t="shared" si="2"/>
        <v>10</v>
      </c>
      <c r="K74" s="426"/>
      <c r="L74" s="1903" t="s">
        <v>37</v>
      </c>
      <c r="M74" s="333"/>
      <c r="N74" s="339"/>
      <c r="O74" s="229"/>
      <c r="P74" s="351"/>
      <c r="R74" s="1894"/>
      <c r="V74" s="245" t="str">
        <f t="shared" si="3"/>
        <v>kWh Annual Savings</v>
      </c>
      <c r="W74" s="340"/>
      <c r="X74" s="340"/>
      <c r="Y74" s="342">
        <v>27.2</v>
      </c>
      <c r="Z74" s="343"/>
      <c r="AA74" s="344"/>
      <c r="AB74" s="245"/>
      <c r="AC74" s="245"/>
      <c r="AD74" s="245"/>
      <c r="AE74" s="245"/>
      <c r="AF74" s="245"/>
      <c r="AG74" s="245"/>
      <c r="AH74" s="248"/>
      <c r="AU74" s="249"/>
      <c r="BB74" s="348"/>
      <c r="BC74" s="346" t="str">
        <f t="shared" si="4"/>
        <v>Heating RES 10 Year EUL</v>
      </c>
      <c r="BD74" s="165">
        <f>(INDEX('Avoided Cost Benefits'!$C$4:$C$857,MATCH(BC74,'Avoided Cost Benefits'!$A$4:$A$857,0)))*F74</f>
        <v>7.3912232950284888</v>
      </c>
      <c r="BE74" s="74">
        <f t="shared" si="5"/>
        <v>0</v>
      </c>
    </row>
    <row r="75" spans="2:57" x14ac:dyDescent="0.25">
      <c r="B75" s="1901"/>
      <c r="C75" s="470" t="s">
        <v>752</v>
      </c>
      <c r="D75" s="2481" t="s">
        <v>667</v>
      </c>
      <c r="E75" s="335" t="s">
        <v>3353</v>
      </c>
      <c r="F75" s="336">
        <f>ROUND($F$142*(($F$144*$F$146*1/$F$148)/1000)*$F$149*$F$126,2)</f>
        <v>187.46</v>
      </c>
      <c r="G75" s="337" t="s">
        <v>737</v>
      </c>
      <c r="H75" s="239">
        <f>VLOOKUP(G75,'CP FACTORS'!$A$3:$B$38, 2, FALSE)</f>
        <v>9.4741810000000004E-4</v>
      </c>
      <c r="I75" s="338">
        <f t="shared" si="1"/>
        <v>0.17760300000000001</v>
      </c>
      <c r="J75" s="1503">
        <f t="shared" si="2"/>
        <v>10</v>
      </c>
      <c r="K75" s="426">
        <f>$F$160</f>
        <v>175</v>
      </c>
      <c r="L75" s="1903" t="s">
        <v>37</v>
      </c>
      <c r="M75" s="333"/>
      <c r="N75" s="339"/>
      <c r="O75" s="229"/>
      <c r="P75" s="229"/>
      <c r="R75" s="1894"/>
      <c r="V75" s="245" t="str">
        <f t="shared" si="3"/>
        <v>kWh Annual Savings</v>
      </c>
      <c r="W75" s="340">
        <v>192.51692307692309</v>
      </c>
      <c r="X75" s="341">
        <v>187.92922225947771</v>
      </c>
      <c r="Y75" s="342">
        <v>187.46</v>
      </c>
      <c r="Z75" s="343"/>
      <c r="AA75" s="344"/>
      <c r="AB75" s="245"/>
      <c r="AC75" s="245"/>
      <c r="AD75" s="245"/>
      <c r="AE75" s="245"/>
      <c r="AF75" s="245"/>
      <c r="AG75" s="245"/>
      <c r="AH75" s="248"/>
      <c r="AU75" s="249"/>
      <c r="BB75" s="350">
        <f>(BD75+BD76)/(BE75+BE76)</f>
        <v>1.4268192798749677</v>
      </c>
      <c r="BC75" s="335" t="str">
        <f t="shared" si="4"/>
        <v>Cooling RES 10 Year EUL</v>
      </c>
      <c r="BD75" s="165">
        <f>(INDEX('Avoided Cost Benefits'!$C$4:$C$857,MATCH(BC75,'Avoided Cost Benefits'!$A$4:$A$857,0)))*F75</f>
        <v>192.06001751318203</v>
      </c>
      <c r="BE75" s="74">
        <f t="shared" si="5"/>
        <v>165.17225106182158</v>
      </c>
    </row>
    <row r="76" spans="2:57" x14ac:dyDescent="0.25">
      <c r="B76" s="1901"/>
      <c r="C76" s="470" t="s">
        <v>752</v>
      </c>
      <c r="D76" s="2481" t="s">
        <v>667</v>
      </c>
      <c r="E76" s="346" t="s">
        <v>3353</v>
      </c>
      <c r="F76" s="336">
        <f>ROUND($F$103*$F$114*$F$123*$F$125*$F$126+$F$133*$F$135*29.3,2)</f>
        <v>160.49</v>
      </c>
      <c r="G76" s="337" t="s">
        <v>738</v>
      </c>
      <c r="H76" s="239">
        <f>VLOOKUP(G76,'CP FACTORS'!$A$3:$B$38, 2, FALSE)</f>
        <v>0</v>
      </c>
      <c r="I76" s="338">
        <f t="shared" si="1"/>
        <v>0</v>
      </c>
      <c r="J76" s="1503">
        <f t="shared" si="2"/>
        <v>10</v>
      </c>
      <c r="K76" s="426"/>
      <c r="L76" s="1903" t="s">
        <v>37</v>
      </c>
      <c r="M76" s="333"/>
      <c r="N76" s="339"/>
      <c r="O76" s="333"/>
      <c r="P76" s="333"/>
      <c r="R76" s="1894"/>
      <c r="V76" s="245" t="str">
        <f t="shared" si="3"/>
        <v>kWh Annual Savings</v>
      </c>
      <c r="W76" s="340">
        <v>377.56641415999997</v>
      </c>
      <c r="X76" s="341">
        <v>226.28150936736847</v>
      </c>
      <c r="Y76" s="342">
        <v>160.49</v>
      </c>
      <c r="Z76" s="343"/>
      <c r="AA76" s="344"/>
      <c r="AB76" s="245"/>
      <c r="AC76" s="245"/>
      <c r="AD76" s="245"/>
      <c r="AE76" s="245"/>
      <c r="AF76" s="245"/>
      <c r="AG76" s="245"/>
      <c r="AH76" s="248"/>
      <c r="AU76" s="249"/>
      <c r="BB76" s="348"/>
      <c r="BC76" s="346" t="str">
        <f t="shared" si="4"/>
        <v>Heating RES 10 Year EUL</v>
      </c>
      <c r="BD76" s="165">
        <f>(INDEX('Avoided Cost Benefits'!$C$4:$C$857,MATCH(BC76,'Avoided Cost Benefits'!$A$4:$A$857,0)))*F76</f>
        <v>43.610934802173617</v>
      </c>
      <c r="BE76" s="74">
        <f t="shared" si="5"/>
        <v>0</v>
      </c>
    </row>
    <row r="77" spans="2:57" x14ac:dyDescent="0.25">
      <c r="B77" s="1901"/>
      <c r="C77" s="470" t="s">
        <v>753</v>
      </c>
      <c r="D77" s="2481" t="s">
        <v>667</v>
      </c>
      <c r="E77" s="335" t="s">
        <v>754</v>
      </c>
      <c r="F77" s="336">
        <f>ROUND($F$143*(($F$145*$F$147*1/$F$148)/1000)*$F$149*$F$126,2)</f>
        <v>136.33000000000001</v>
      </c>
      <c r="G77" s="337" t="s">
        <v>737</v>
      </c>
      <c r="H77" s="239">
        <f>VLOOKUP(G77,'CP FACTORS'!$A$3:$B$38, 2, FALSE)</f>
        <v>9.4741810000000004E-4</v>
      </c>
      <c r="I77" s="338">
        <f t="shared" si="1"/>
        <v>0.129162</v>
      </c>
      <c r="J77" s="1503">
        <f t="shared" si="2"/>
        <v>10</v>
      </c>
      <c r="K77" s="426">
        <f>$F$160</f>
        <v>175</v>
      </c>
      <c r="L77" s="1903" t="s">
        <v>37</v>
      </c>
      <c r="M77" s="333"/>
      <c r="N77" s="339"/>
      <c r="O77" s="333"/>
      <c r="P77" s="333"/>
      <c r="R77" s="1894"/>
      <c r="V77" s="245" t="str">
        <f t="shared" si="3"/>
        <v>kWh Annual Savings</v>
      </c>
      <c r="W77" s="340"/>
      <c r="X77" s="341"/>
      <c r="Y77" s="342">
        <v>136.33000000000001</v>
      </c>
      <c r="Z77" s="343"/>
      <c r="AA77" s="344"/>
      <c r="AB77" s="245"/>
      <c r="AC77" s="245"/>
      <c r="AD77" s="245"/>
      <c r="AE77" s="245"/>
      <c r="AF77" s="245"/>
      <c r="AG77" s="245"/>
      <c r="AH77" s="248"/>
      <c r="AU77" s="249"/>
      <c r="BA77" s="269"/>
      <c r="BB77" s="350">
        <f>(BD77+BD78)/(BE77+BE78)</f>
        <v>1.0172584673783565</v>
      </c>
      <c r="BC77" s="335" t="str">
        <f t="shared" si="4"/>
        <v>Cooling RES 10 Year EUL</v>
      </c>
      <c r="BD77" s="165">
        <f>(INDEX('Avoided Cost Benefits'!$C$4:$C$857,MATCH(BC77,'Avoided Cost Benefits'!$A$4:$A$857,0)))*F77</f>
        <v>139.67535574294308</v>
      </c>
      <c r="BE77" s="74">
        <f t="shared" si="5"/>
        <v>165.17225106182158</v>
      </c>
    </row>
    <row r="78" spans="2:57" x14ac:dyDescent="0.25">
      <c r="B78" s="1901"/>
      <c r="C78" s="470" t="s">
        <v>753</v>
      </c>
      <c r="D78" s="2481" t="s">
        <v>667</v>
      </c>
      <c r="E78" s="346" t="s">
        <v>754</v>
      </c>
      <c r="F78" s="336">
        <f>ROUND($F$104*$F$115*$F$124*$F$125*$F$126+$F$134*$F$135*29.3,2)</f>
        <v>104.32</v>
      </c>
      <c r="G78" s="337" t="s">
        <v>738</v>
      </c>
      <c r="H78" s="239">
        <f>VLOOKUP(G78,'CP FACTORS'!$A$3:$B$38, 2, FALSE)</f>
        <v>0</v>
      </c>
      <c r="I78" s="338">
        <f t="shared" si="1"/>
        <v>0</v>
      </c>
      <c r="J78" s="1503">
        <f t="shared" si="2"/>
        <v>10</v>
      </c>
      <c r="K78" s="426"/>
      <c r="L78" s="1903" t="s">
        <v>37</v>
      </c>
      <c r="M78" s="333"/>
      <c r="N78" s="339"/>
      <c r="O78" s="333"/>
      <c r="P78" s="333"/>
      <c r="R78" s="1894"/>
      <c r="V78" s="245" t="str">
        <f t="shared" si="3"/>
        <v>kWh Annual Savings</v>
      </c>
      <c r="W78" s="340"/>
      <c r="X78" s="341"/>
      <c r="Y78" s="342">
        <v>104.32</v>
      </c>
      <c r="Z78" s="343"/>
      <c r="AA78" s="344"/>
      <c r="AB78" s="245"/>
      <c r="AC78" s="245"/>
      <c r="AD78" s="245"/>
      <c r="AE78" s="245"/>
      <c r="AF78" s="245"/>
      <c r="AG78" s="245"/>
      <c r="AH78" s="248"/>
      <c r="AU78" s="249"/>
      <c r="BB78" s="348"/>
      <c r="BC78" s="346" t="str">
        <f t="shared" si="4"/>
        <v>Heating RES 10 Year EUL</v>
      </c>
      <c r="BD78" s="165">
        <f>(INDEX('Avoided Cost Benefits'!$C$4:$C$857,MATCH(BC78,'Avoided Cost Benefits'!$A$4:$A$857,0)))*F78</f>
        <v>28.347515225638674</v>
      </c>
      <c r="BE78" s="74">
        <f t="shared" si="5"/>
        <v>0</v>
      </c>
    </row>
    <row r="79" spans="2:57" x14ac:dyDescent="0.25">
      <c r="B79" s="1901"/>
      <c r="C79" s="470" t="s">
        <v>755</v>
      </c>
      <c r="D79" s="2572" t="str">
        <f>CONCATENATE(D77,"_CompE")</f>
        <v>Efficient Products_CompE</v>
      </c>
      <c r="E79" s="884" t="s">
        <v>756</v>
      </c>
      <c r="F79" s="336">
        <f>ROUND($F$143*(($F$145*$F$147*1/$F$148)/1000)*$F$149*$F$126,2)</f>
        <v>136.33000000000001</v>
      </c>
      <c r="G79" s="337" t="s">
        <v>737</v>
      </c>
      <c r="H79" s="239">
        <f>VLOOKUP(G79,'CP FACTORS'!$A$3:$B$38, 2, FALSE)</f>
        <v>9.4741810000000004E-4</v>
      </c>
      <c r="I79" s="338">
        <f t="shared" si="1"/>
        <v>0.129162</v>
      </c>
      <c r="J79" s="1503">
        <f t="shared" si="2"/>
        <v>10</v>
      </c>
      <c r="K79" s="426">
        <f>$F$160</f>
        <v>175</v>
      </c>
      <c r="L79" s="1903" t="s">
        <v>37</v>
      </c>
      <c r="M79" s="333"/>
      <c r="N79" s="339"/>
      <c r="O79" s="333"/>
      <c r="P79" s="333"/>
      <c r="R79" s="1894"/>
      <c r="V79" s="245" t="str">
        <f t="shared" si="3"/>
        <v>kWh Annual Savings</v>
      </c>
      <c r="W79" s="340"/>
      <c r="X79" s="341"/>
      <c r="Y79" s="342">
        <v>136.33000000000001</v>
      </c>
      <c r="Z79" s="343"/>
      <c r="AA79" s="344"/>
      <c r="AB79" s="245"/>
      <c r="AC79" s="245"/>
      <c r="AD79" s="245"/>
      <c r="AE79" s="245"/>
      <c r="AF79" s="245"/>
      <c r="AG79" s="245"/>
      <c r="AH79" s="248"/>
      <c r="AU79" s="249"/>
      <c r="BA79" s="269"/>
      <c r="BB79" s="350">
        <f>(BD79+BD80)/(BE79+BE80)</f>
        <v>0.92869905809375974</v>
      </c>
      <c r="BC79" s="335" t="str">
        <f t="shared" si="4"/>
        <v>Cooling RES 10 Year EUL</v>
      </c>
      <c r="BD79" s="165">
        <f>(INDEX('Avoided Cost Benefits'!$C$4:$C$857,MATCH(BC79,'Avoided Cost Benefits'!$A$4:$A$857,0)))*F79</f>
        <v>139.67535574294308</v>
      </c>
      <c r="BE79" s="74">
        <f t="shared" si="5"/>
        <v>165.17225106182158</v>
      </c>
    </row>
    <row r="80" spans="2:57" x14ac:dyDescent="0.25">
      <c r="B80" s="1901"/>
      <c r="C80" s="470" t="s">
        <v>755</v>
      </c>
      <c r="D80" s="2480" t="str">
        <f>CONCATENATE(D78,"_CompE")</f>
        <v>Efficient Products_CompE</v>
      </c>
      <c r="E80" s="892" t="s">
        <v>756</v>
      </c>
      <c r="F80" s="336">
        <f>ROUND($F$104*$F$116*$F$124*$F$125*$F$126+$F$134*$F$135*29.3,2)</f>
        <v>50.49</v>
      </c>
      <c r="G80" s="337" t="s">
        <v>738</v>
      </c>
      <c r="H80" s="239">
        <f>VLOOKUP(G80,'CP FACTORS'!$A$3:$B$38, 2, FALSE)</f>
        <v>0</v>
      </c>
      <c r="I80" s="338">
        <f t="shared" si="1"/>
        <v>0</v>
      </c>
      <c r="J80" s="1503">
        <f t="shared" si="2"/>
        <v>10</v>
      </c>
      <c r="K80" s="426"/>
      <c r="L80" s="1903" t="s">
        <v>37</v>
      </c>
      <c r="M80" s="333"/>
      <c r="N80" s="339"/>
      <c r="O80" s="333"/>
      <c r="P80" s="333"/>
      <c r="R80" s="1894"/>
      <c r="V80" s="245" t="str">
        <f t="shared" si="3"/>
        <v>kWh Annual Savings</v>
      </c>
      <c r="W80" s="340"/>
      <c r="X80" s="341"/>
      <c r="Y80" s="342">
        <v>50.49</v>
      </c>
      <c r="Z80" s="343"/>
      <c r="AA80" s="344"/>
      <c r="AB80" s="245"/>
      <c r="AC80" s="245"/>
      <c r="AD80" s="245"/>
      <c r="AE80" s="245"/>
      <c r="AF80" s="245"/>
      <c r="AG80" s="245"/>
      <c r="AH80" s="248"/>
      <c r="AU80" s="249"/>
      <c r="BB80" s="352"/>
      <c r="BC80" s="346" t="str">
        <f t="shared" si="4"/>
        <v>Heating RES 10 Year EUL</v>
      </c>
      <c r="BD80" s="170">
        <f>(INDEX('Avoided Cost Benefits'!$C$4:$C$857,MATCH(BC80,'Avoided Cost Benefits'!$A$4:$A$857,0)))*F80</f>
        <v>13.719958241396634</v>
      </c>
      <c r="BE80" s="76">
        <f t="shared" si="5"/>
        <v>0</v>
      </c>
    </row>
    <row r="81" spans="1:54" hidden="1" outlineLevel="1" x14ac:dyDescent="0.25">
      <c r="B81" s="1901"/>
      <c r="C81" s="329"/>
      <c r="D81" s="353"/>
      <c r="E81" s="353" t="s">
        <v>757</v>
      </c>
      <c r="F81" s="354"/>
      <c r="G81" s="355"/>
      <c r="H81" s="355"/>
      <c r="I81" s="355"/>
      <c r="J81" s="355"/>
      <c r="K81" s="355"/>
      <c r="L81" s="355"/>
      <c r="M81" s="355"/>
      <c r="N81" s="339"/>
      <c r="O81" s="333"/>
      <c r="P81" s="333"/>
      <c r="AU81" s="249"/>
    </row>
    <row r="82" spans="1:54" s="356" customFormat="1" hidden="1" outlineLevel="1" x14ac:dyDescent="0.25">
      <c r="A82" s="363"/>
      <c r="B82" s="1901"/>
      <c r="C82" s="329"/>
      <c r="D82" s="259" t="s">
        <v>617</v>
      </c>
      <c r="E82" s="353"/>
      <c r="F82" s="354"/>
      <c r="G82" s="355"/>
      <c r="H82" s="355"/>
      <c r="I82" s="355"/>
      <c r="J82" s="355"/>
      <c r="K82" s="355"/>
      <c r="L82" s="355"/>
      <c r="M82" s="355"/>
      <c r="N82" s="339"/>
      <c r="O82" s="333"/>
      <c r="P82" s="333"/>
      <c r="Q82" s="363"/>
      <c r="R82" s="363"/>
      <c r="S82" s="363"/>
      <c r="T82" s="363"/>
      <c r="U82" s="363"/>
      <c r="V82" s="357"/>
      <c r="AU82" s="249"/>
      <c r="BB82" s="358"/>
    </row>
    <row r="83" spans="1:54" s="356" customFormat="1" ht="18" hidden="1" customHeight="1" outlineLevel="1" x14ac:dyDescent="0.25">
      <c r="A83" s="363"/>
      <c r="B83" s="1901"/>
      <c r="C83" s="359"/>
      <c r="D83" s="360" t="s">
        <v>758</v>
      </c>
      <c r="E83" s="360"/>
      <c r="F83" s="361"/>
      <c r="G83" s="361"/>
      <c r="H83" s="361"/>
      <c r="I83" s="361"/>
      <c r="J83" s="361"/>
      <c r="K83" s="361"/>
      <c r="L83" s="361"/>
      <c r="M83" s="355"/>
      <c r="N83" s="339"/>
      <c r="O83" s="333"/>
      <c r="P83" s="362"/>
      <c r="Q83" s="363"/>
      <c r="R83" s="363"/>
      <c r="S83" s="363"/>
      <c r="T83" s="363"/>
      <c r="U83" s="363"/>
      <c r="AU83" s="249"/>
      <c r="BB83" s="358"/>
    </row>
    <row r="84" spans="1:54" s="356" customFormat="1" ht="18" hidden="1" customHeight="1" outlineLevel="1" x14ac:dyDescent="0.25">
      <c r="A84" s="363"/>
      <c r="B84" s="1901"/>
      <c r="C84" s="359"/>
      <c r="D84" s="360"/>
      <c r="E84" s="360"/>
      <c r="F84" s="361"/>
      <c r="G84" s="361"/>
      <c r="H84" s="361"/>
      <c r="I84" s="361"/>
      <c r="J84" s="361"/>
      <c r="K84" s="361"/>
      <c r="L84" s="361"/>
      <c r="M84" s="355"/>
      <c r="N84" s="339"/>
      <c r="O84" s="333"/>
      <c r="P84" s="362"/>
      <c r="Q84" s="363"/>
      <c r="R84" s="363"/>
      <c r="S84" s="363"/>
      <c r="T84" s="363"/>
      <c r="U84" s="363"/>
      <c r="AU84" s="249"/>
      <c r="BB84" s="358"/>
    </row>
    <row r="85" spans="1:54" s="356" customFormat="1" ht="18" hidden="1" customHeight="1" outlineLevel="1" x14ac:dyDescent="0.25">
      <c r="A85" s="363"/>
      <c r="B85" s="1901"/>
      <c r="C85" s="359"/>
      <c r="D85" s="360"/>
      <c r="E85" s="360"/>
      <c r="F85" s="361"/>
      <c r="G85" s="361"/>
      <c r="H85" s="361"/>
      <c r="I85" s="361"/>
      <c r="J85" s="361"/>
      <c r="K85" s="361"/>
      <c r="L85" s="361"/>
      <c r="M85" s="355"/>
      <c r="N85" s="339"/>
      <c r="O85" s="333"/>
      <c r="P85" s="362"/>
      <c r="Q85" s="363"/>
      <c r="R85" s="363"/>
      <c r="S85" s="363"/>
      <c r="T85" s="363"/>
      <c r="U85" s="363"/>
      <c r="AU85" s="249"/>
      <c r="BB85" s="358"/>
    </row>
    <row r="86" spans="1:54" s="356" customFormat="1" ht="18" hidden="1" customHeight="1" outlineLevel="1" x14ac:dyDescent="0.25">
      <c r="A86" s="363"/>
      <c r="B86" s="1901"/>
      <c r="C86" s="359"/>
      <c r="D86" s="360"/>
      <c r="E86" s="360"/>
      <c r="F86" s="361"/>
      <c r="G86" s="361"/>
      <c r="H86" s="361"/>
      <c r="I86" s="361"/>
      <c r="J86" s="361"/>
      <c r="K86" s="361"/>
      <c r="L86" s="361"/>
      <c r="M86" s="355"/>
      <c r="N86" s="339"/>
      <c r="O86" s="333"/>
      <c r="P86" s="362"/>
      <c r="Q86" s="363"/>
      <c r="R86" s="363"/>
      <c r="S86" s="363"/>
      <c r="T86" s="363"/>
      <c r="U86" s="363"/>
      <c r="AU86" s="249"/>
      <c r="BB86" s="358"/>
    </row>
    <row r="87" spans="1:54" s="356" customFormat="1" ht="18" hidden="1" customHeight="1" outlineLevel="1" x14ac:dyDescent="0.25">
      <c r="A87" s="363"/>
      <c r="B87" s="1901"/>
      <c r="C87" s="359"/>
      <c r="D87" s="360"/>
      <c r="E87" s="360"/>
      <c r="F87" s="361"/>
      <c r="G87" s="361"/>
      <c r="H87" s="361"/>
      <c r="I87" s="363"/>
      <c r="J87" s="361"/>
      <c r="K87" s="361"/>
      <c r="L87" s="361"/>
      <c r="M87" s="355"/>
      <c r="N87" s="339"/>
      <c r="O87" s="333"/>
      <c r="P87" s="362"/>
      <c r="Q87" s="363"/>
      <c r="R87" s="363"/>
      <c r="S87" s="363"/>
      <c r="T87" s="363"/>
      <c r="U87" s="363"/>
      <c r="X87" s="364" t="s">
        <v>759</v>
      </c>
      <c r="AU87" s="249"/>
      <c r="BB87" s="358"/>
    </row>
    <row r="88" spans="1:54" s="364" customFormat="1" ht="40.5" hidden="1" customHeight="1" outlineLevel="1" x14ac:dyDescent="0.25">
      <c r="A88" s="1904"/>
      <c r="B88" s="1905"/>
      <c r="C88" s="365"/>
      <c r="D88" s="360"/>
      <c r="E88" s="360"/>
      <c r="F88" s="361"/>
      <c r="G88" s="361"/>
      <c r="H88" s="361"/>
      <c r="I88" s="2345" t="s">
        <v>760</v>
      </c>
      <c r="J88" s="2345" t="s">
        <v>761</v>
      </c>
      <c r="K88" s="2345" t="s">
        <v>759</v>
      </c>
      <c r="L88" s="361"/>
      <c r="M88" s="1494"/>
      <c r="N88" s="339"/>
      <c r="O88" s="366"/>
      <c r="P88" s="367"/>
      <c r="Q88" s="1904"/>
      <c r="R88" s="1904"/>
      <c r="S88" s="1904"/>
      <c r="T88" s="1904"/>
      <c r="U88" s="1904"/>
      <c r="X88" s="56">
        <f>$X$6</f>
        <v>43465</v>
      </c>
      <c r="Y88" s="56">
        <f>$Y$6</f>
        <v>43800</v>
      </c>
      <c r="Z88" s="56">
        <f>$Z$6</f>
        <v>43862</v>
      </c>
      <c r="AA88" s="56" t="str">
        <f>$AA$6</f>
        <v>-</v>
      </c>
      <c r="AB88" s="56" t="str">
        <f>$AB$6</f>
        <v>-</v>
      </c>
      <c r="AC88" s="56" t="str">
        <f>$AC$6</f>
        <v>-</v>
      </c>
      <c r="AD88" s="56" t="str">
        <f>$AD$6</f>
        <v>-</v>
      </c>
      <c r="AE88" s="56" t="str">
        <f>$AE$6</f>
        <v>-</v>
      </c>
      <c r="AF88" s="56" t="str">
        <f>$AF$6</f>
        <v>-</v>
      </c>
      <c r="AG88" s="56" t="str">
        <f>$AG$6</f>
        <v>-</v>
      </c>
      <c r="AU88" s="368"/>
      <c r="BB88" s="369"/>
    </row>
    <row r="89" spans="1:54" s="356" customFormat="1" ht="18" hidden="1" customHeight="1" outlineLevel="1" x14ac:dyDescent="0.25">
      <c r="A89" s="363"/>
      <c r="B89" s="1901"/>
      <c r="C89" s="359"/>
      <c r="D89" s="360"/>
      <c r="E89" s="360"/>
      <c r="F89" s="361"/>
      <c r="G89" s="361"/>
      <c r="H89" s="361"/>
      <c r="I89" s="370" t="s">
        <v>762</v>
      </c>
      <c r="J89" s="371">
        <v>8.7999999999999995E-2</v>
      </c>
      <c r="K89" s="1906">
        <v>0.42820512820512818</v>
      </c>
      <c r="L89" s="361"/>
      <c r="M89" s="355"/>
      <c r="N89" s="339"/>
      <c r="O89" s="333"/>
      <c r="P89" s="362"/>
      <c r="Q89" s="363"/>
      <c r="R89" s="363"/>
      <c r="S89" s="363"/>
      <c r="T89" s="363"/>
      <c r="U89" s="363"/>
      <c r="X89" s="372">
        <v>0.41</v>
      </c>
      <c r="Y89" s="373">
        <v>0.42820512820512818</v>
      </c>
      <c r="Z89" s="374"/>
      <c r="AA89" s="374"/>
      <c r="AB89" s="374"/>
      <c r="AC89" s="374"/>
      <c r="AD89" s="374"/>
      <c r="AE89" s="374"/>
      <c r="AF89" s="374"/>
      <c r="AG89" s="374"/>
      <c r="AU89" s="249"/>
      <c r="BB89" s="358"/>
    </row>
    <row r="90" spans="1:54" s="356" customFormat="1" ht="18" hidden="1" customHeight="1" outlineLevel="1" x14ac:dyDescent="0.25">
      <c r="A90" s="363"/>
      <c r="B90" s="1901"/>
      <c r="C90" s="359"/>
      <c r="D90" s="360"/>
      <c r="E90" s="360"/>
      <c r="F90" s="361"/>
      <c r="G90" s="361"/>
      <c r="H90" s="361"/>
      <c r="I90" s="370" t="s">
        <v>763</v>
      </c>
      <c r="J90" s="371">
        <v>5.6000000000000001E-2</v>
      </c>
      <c r="K90" s="371">
        <v>0.517948717948718</v>
      </c>
      <c r="L90" s="361"/>
      <c r="M90" s="355"/>
      <c r="N90" s="339"/>
      <c r="O90" s="333"/>
      <c r="P90" s="362"/>
      <c r="Q90" s="363"/>
      <c r="R90" s="363"/>
      <c r="S90" s="363"/>
      <c r="T90" s="363"/>
      <c r="U90" s="363"/>
      <c r="X90" s="372">
        <v>0.55000000000000004</v>
      </c>
      <c r="Y90" s="373">
        <v>0.517948717948718</v>
      </c>
      <c r="Z90" s="374"/>
      <c r="AA90" s="374"/>
      <c r="AB90" s="374"/>
      <c r="AC90" s="374"/>
      <c r="AD90" s="374"/>
      <c r="AE90" s="374"/>
      <c r="AF90" s="374"/>
      <c r="AG90" s="374"/>
      <c r="AU90" s="249"/>
      <c r="BB90" s="358"/>
    </row>
    <row r="91" spans="1:54" s="356" customFormat="1" ht="18" hidden="1" customHeight="1" outlineLevel="1" x14ac:dyDescent="0.25">
      <c r="A91" s="363"/>
      <c r="B91" s="1901"/>
      <c r="C91" s="359"/>
      <c r="D91" s="360"/>
      <c r="E91" s="360"/>
      <c r="F91" s="361"/>
      <c r="G91" s="361"/>
      <c r="H91" s="361"/>
      <c r="I91" s="370" t="s">
        <v>764</v>
      </c>
      <c r="J91" s="1907">
        <f>(J89*K89+J90*K90)</f>
        <v>6.668717948717949E-2</v>
      </c>
      <c r="K91" s="371">
        <v>0</v>
      </c>
      <c r="L91" s="361"/>
      <c r="M91" s="355"/>
      <c r="N91" s="339"/>
      <c r="O91" s="333"/>
      <c r="P91" s="362"/>
      <c r="Q91" s="363"/>
      <c r="R91" s="363"/>
      <c r="S91" s="363"/>
      <c r="T91" s="363"/>
      <c r="U91" s="363"/>
      <c r="X91" s="372">
        <v>0</v>
      </c>
      <c r="Y91" s="372">
        <v>0</v>
      </c>
      <c r="Z91" s="374"/>
      <c r="AA91" s="374"/>
      <c r="AB91" s="374"/>
      <c r="AC91" s="374"/>
      <c r="AD91" s="374"/>
      <c r="AE91" s="374"/>
      <c r="AF91" s="374"/>
      <c r="AG91" s="374"/>
      <c r="AU91" s="249"/>
      <c r="BB91" s="358"/>
    </row>
    <row r="92" spans="1:54" s="356" customFormat="1" hidden="1" outlineLevel="1" x14ac:dyDescent="0.25">
      <c r="A92" s="363"/>
      <c r="B92" s="1901"/>
      <c r="C92" s="375"/>
      <c r="D92" s="360"/>
      <c r="E92" s="360"/>
      <c r="F92" s="361"/>
      <c r="G92" s="361"/>
      <c r="H92" s="361"/>
      <c r="I92" s="370" t="s">
        <v>765</v>
      </c>
      <c r="J92" s="371">
        <v>0</v>
      </c>
      <c r="K92" s="371">
        <v>5.3846153846153849E-2</v>
      </c>
      <c r="L92" s="361"/>
      <c r="M92" s="355"/>
      <c r="N92" s="339"/>
      <c r="O92" s="333"/>
      <c r="P92" s="333"/>
      <c r="Q92" s="363"/>
      <c r="R92" s="363"/>
      <c r="S92" s="363"/>
      <c r="T92" s="363"/>
      <c r="U92" s="363"/>
      <c r="X92" s="372">
        <v>0.04</v>
      </c>
      <c r="Y92" s="373">
        <v>5.3846153846153849E-2</v>
      </c>
      <c r="Z92" s="374"/>
      <c r="AA92" s="374"/>
      <c r="AB92" s="374"/>
      <c r="AC92" s="374"/>
      <c r="AD92" s="374"/>
      <c r="AE92" s="374"/>
      <c r="AF92" s="374"/>
      <c r="AG92" s="374"/>
      <c r="AU92" s="249"/>
      <c r="BB92" s="358"/>
    </row>
    <row r="93" spans="1:54" s="356" customFormat="1" ht="15" hidden="1" customHeight="1" outlineLevel="1" x14ac:dyDescent="0.25">
      <c r="A93" s="363"/>
      <c r="B93" s="1901"/>
      <c r="C93" s="375"/>
      <c r="D93" s="360"/>
      <c r="E93" s="360"/>
      <c r="F93" s="361"/>
      <c r="G93" s="361"/>
      <c r="H93" s="361"/>
      <c r="I93" s="361"/>
      <c r="J93" s="361"/>
      <c r="K93" s="361"/>
      <c r="L93" s="361"/>
      <c r="M93" s="355"/>
      <c r="N93" s="339"/>
      <c r="O93" s="333"/>
      <c r="P93" s="333"/>
      <c r="Q93" s="363"/>
      <c r="R93" s="363"/>
      <c r="S93" s="363"/>
      <c r="T93" s="363"/>
      <c r="U93" s="363"/>
      <c r="AU93" s="249"/>
      <c r="BB93" s="358"/>
    </row>
    <row r="94" spans="1:54" s="356" customFormat="1" ht="15" hidden="1" customHeight="1" outlineLevel="1" x14ac:dyDescent="0.25">
      <c r="A94" s="363"/>
      <c r="B94" s="1901"/>
      <c r="C94" s="376"/>
      <c r="D94" s="360"/>
      <c r="E94" s="360"/>
      <c r="F94" s="361"/>
      <c r="G94" s="361"/>
      <c r="H94" s="361"/>
      <c r="I94" s="361"/>
      <c r="J94" s="361"/>
      <c r="K94" s="361"/>
      <c r="L94" s="361"/>
      <c r="M94" s="355"/>
      <c r="N94" s="339"/>
      <c r="O94" s="333"/>
      <c r="P94" s="333"/>
      <c r="Q94" s="363"/>
      <c r="R94" s="363"/>
      <c r="S94" s="363"/>
      <c r="T94" s="363"/>
      <c r="U94" s="363"/>
      <c r="AU94" s="249"/>
      <c r="BB94" s="358"/>
    </row>
    <row r="95" spans="1:54" s="356" customFormat="1" hidden="1" outlineLevel="1" x14ac:dyDescent="0.25">
      <c r="A95" s="363"/>
      <c r="B95" s="1901"/>
      <c r="C95" s="329"/>
      <c r="D95" s="353"/>
      <c r="E95" s="353"/>
      <c r="F95" s="355"/>
      <c r="G95" s="355"/>
      <c r="H95" s="355"/>
      <c r="I95" s="355"/>
      <c r="J95" s="355"/>
      <c r="K95" s="355"/>
      <c r="L95" s="355"/>
      <c r="M95" s="333"/>
      <c r="N95" s="339"/>
      <c r="O95" s="333"/>
      <c r="P95" s="333"/>
      <c r="Q95" s="355"/>
      <c r="R95" s="363"/>
      <c r="S95" s="363"/>
      <c r="T95" s="363"/>
      <c r="U95" s="363"/>
      <c r="AU95" s="249"/>
      <c r="BB95" s="358"/>
    </row>
    <row r="96" spans="1:54" hidden="1" outlineLevel="1" x14ac:dyDescent="0.25">
      <c r="B96" s="1901"/>
      <c r="C96" s="329"/>
      <c r="D96" s="2365" t="s">
        <v>618</v>
      </c>
      <c r="E96" s="2365" t="s">
        <v>619</v>
      </c>
      <c r="F96" s="2345" t="s">
        <v>620</v>
      </c>
      <c r="G96" s="2345" t="s">
        <v>670</v>
      </c>
      <c r="H96" s="2345" t="s">
        <v>766</v>
      </c>
      <c r="I96" s="355"/>
      <c r="J96" s="355"/>
      <c r="M96" s="332"/>
      <c r="N96" s="339"/>
      <c r="O96" s="333"/>
      <c r="P96" s="333"/>
      <c r="Q96" s="355"/>
      <c r="V96" s="55" t="s">
        <v>27</v>
      </c>
      <c r="W96" s="56">
        <v>43252</v>
      </c>
      <c r="X96" s="56">
        <f>$X$6</f>
        <v>43465</v>
      </c>
      <c r="Y96" s="56">
        <f>$Y$6</f>
        <v>43800</v>
      </c>
      <c r="Z96" s="56">
        <f>$Z$6</f>
        <v>43862</v>
      </c>
      <c r="AA96" s="56" t="str">
        <f>$AA$6</f>
        <v>-</v>
      </c>
      <c r="AB96" s="56" t="str">
        <f>$AB$6</f>
        <v>-</v>
      </c>
      <c r="AC96" s="56" t="str">
        <f>$AC$6</f>
        <v>-</v>
      </c>
      <c r="AD96" s="56" t="str">
        <f>$AD$6</f>
        <v>-</v>
      </c>
      <c r="AE96" s="56" t="str">
        <f>$AE$6</f>
        <v>-</v>
      </c>
      <c r="AF96" s="56" t="str">
        <f>$AF$6</f>
        <v>-</v>
      </c>
      <c r="AG96" s="56" t="str">
        <f>$AG$6</f>
        <v>-</v>
      </c>
      <c r="AH96" s="356"/>
      <c r="AU96" s="249"/>
    </row>
    <row r="97" spans="2:47" hidden="1" outlineLevel="1" x14ac:dyDescent="0.25">
      <c r="B97" s="1901"/>
      <c r="C97" s="329"/>
      <c r="D97" s="2681" t="s">
        <v>200</v>
      </c>
      <c r="E97" s="377" t="str">
        <f>E57</f>
        <v>Learning Thermostat - ASHP heating/cooling SF</v>
      </c>
      <c r="F97" s="378">
        <v>1</v>
      </c>
      <c r="G97" s="379" t="s">
        <v>767</v>
      </c>
      <c r="H97" s="380"/>
      <c r="I97" s="355"/>
      <c r="J97" s="355"/>
      <c r="N97" s="339"/>
      <c r="O97" s="355"/>
      <c r="P97" s="355"/>
      <c r="Q97" s="355"/>
      <c r="V97" s="2681" t="str">
        <f>D97</f>
        <v>%ElectricHeat</v>
      </c>
      <c r="W97" s="381">
        <v>1</v>
      </c>
      <c r="X97" s="381">
        <v>1</v>
      </c>
      <c r="Y97" s="381">
        <v>1</v>
      </c>
      <c r="Z97" s="382"/>
      <c r="AA97" s="381"/>
      <c r="AB97" s="381"/>
      <c r="AC97" s="381"/>
      <c r="AD97" s="381"/>
      <c r="AE97" s="381"/>
      <c r="AF97" s="381"/>
      <c r="AG97" s="381"/>
      <c r="AH97" s="356"/>
      <c r="AU97" s="249"/>
    </row>
    <row r="98" spans="2:47" hidden="1" outlineLevel="1" x14ac:dyDescent="0.25">
      <c r="B98" s="1901"/>
      <c r="C98" s="329"/>
      <c r="D98" s="2682"/>
      <c r="E98" s="377" t="str">
        <f>E59</f>
        <v>Learning Thermostat - ASHP heating/cooling MF</v>
      </c>
      <c r="F98" s="378">
        <v>1</v>
      </c>
      <c r="G98" s="379" t="s">
        <v>767</v>
      </c>
      <c r="H98" s="380"/>
      <c r="I98" s="355"/>
      <c r="J98" s="355"/>
      <c r="N98" s="339"/>
      <c r="O98" s="355"/>
      <c r="P98" s="355"/>
      <c r="Q98" s="355"/>
      <c r="V98" s="2682"/>
      <c r="W98" s="381"/>
      <c r="X98" s="381"/>
      <c r="Y98" s="381">
        <v>1</v>
      </c>
      <c r="Z98" s="382"/>
      <c r="AA98" s="381"/>
      <c r="AB98" s="381"/>
      <c r="AC98" s="381"/>
      <c r="AD98" s="381"/>
      <c r="AE98" s="381"/>
      <c r="AF98" s="381"/>
      <c r="AG98" s="381"/>
      <c r="AH98" s="356"/>
      <c r="AU98" s="249"/>
    </row>
    <row r="99" spans="2:47" hidden="1" outlineLevel="1" x14ac:dyDescent="0.25">
      <c r="B99" s="1901"/>
      <c r="C99" s="329"/>
      <c r="D99" s="2682"/>
      <c r="E99" s="377" t="str">
        <f>E63</f>
        <v>Learning Thermostat - electric furnace heating / central AC MF</v>
      </c>
      <c r="F99" s="378">
        <v>1</v>
      </c>
      <c r="G99" s="379" t="s">
        <v>767</v>
      </c>
      <c r="H99" s="380"/>
      <c r="I99" s="355"/>
      <c r="J99" s="355"/>
      <c r="N99" s="339"/>
      <c r="O99" s="355"/>
      <c r="P99" s="355"/>
      <c r="Q99" s="355"/>
      <c r="V99" s="2682"/>
      <c r="W99" s="381">
        <v>1</v>
      </c>
      <c r="X99" s="381">
        <v>1</v>
      </c>
      <c r="Y99" s="381">
        <v>1</v>
      </c>
      <c r="Z99" s="382"/>
      <c r="AA99" s="381"/>
      <c r="AB99" s="381"/>
      <c r="AC99" s="381"/>
      <c r="AD99" s="381"/>
      <c r="AE99" s="381"/>
      <c r="AF99" s="381"/>
      <c r="AG99" s="381"/>
      <c r="AH99" s="356"/>
      <c r="AU99" s="249"/>
    </row>
    <row r="100" spans="2:47" hidden="1" outlineLevel="1" x14ac:dyDescent="0.25">
      <c r="B100" s="1901"/>
      <c r="C100" s="329"/>
      <c r="D100" s="2682"/>
      <c r="E100" s="383" t="str">
        <f>E67</f>
        <v>Learning Thermostat - electric furnace heating / central AC SF</v>
      </c>
      <c r="F100" s="378">
        <v>1</v>
      </c>
      <c r="G100" s="379" t="s">
        <v>767</v>
      </c>
      <c r="H100" s="380"/>
      <c r="I100" s="355"/>
      <c r="J100" s="355"/>
      <c r="N100" s="339"/>
      <c r="O100" s="355"/>
      <c r="P100" s="355"/>
      <c r="Q100" s="355"/>
      <c r="V100" s="2682"/>
      <c r="W100" s="381">
        <v>1</v>
      </c>
      <c r="X100" s="381">
        <v>1</v>
      </c>
      <c r="Y100" s="381">
        <v>1</v>
      </c>
      <c r="Z100" s="382"/>
      <c r="AA100" s="381"/>
      <c r="AB100" s="381"/>
      <c r="AC100" s="381"/>
      <c r="AD100" s="381"/>
      <c r="AE100" s="381"/>
      <c r="AF100" s="381"/>
      <c r="AG100" s="381"/>
      <c r="AH100" s="356"/>
      <c r="AU100" s="249"/>
    </row>
    <row r="101" spans="2:47" hidden="1" outlineLevel="1" x14ac:dyDescent="0.25">
      <c r="B101" s="1901"/>
      <c r="C101" s="329"/>
      <c r="D101" s="2682"/>
      <c r="E101" s="383" t="str">
        <f>E69</f>
        <v>Learning Thermostat - Gas Heated / central AC SF**</v>
      </c>
      <c r="F101" s="378">
        <v>0</v>
      </c>
      <c r="G101" s="379" t="s">
        <v>767</v>
      </c>
      <c r="H101" s="380"/>
      <c r="I101" s="355"/>
      <c r="J101" s="355"/>
      <c r="N101" s="339"/>
      <c r="O101" s="355"/>
      <c r="P101" s="355"/>
      <c r="Q101" s="355"/>
      <c r="V101" s="2682"/>
      <c r="W101" s="381">
        <v>0</v>
      </c>
      <c r="X101" s="381">
        <v>0</v>
      </c>
      <c r="Y101" s="381">
        <v>0</v>
      </c>
      <c r="Z101" s="382"/>
      <c r="AA101" s="381"/>
      <c r="AB101" s="381"/>
      <c r="AC101" s="381"/>
      <c r="AD101" s="381"/>
      <c r="AE101" s="381"/>
      <c r="AF101" s="381"/>
      <c r="AG101" s="381"/>
      <c r="AH101" s="356"/>
      <c r="AU101" s="249"/>
    </row>
    <row r="102" spans="2:47" hidden="1" outlineLevel="1" x14ac:dyDescent="0.25">
      <c r="B102" s="1901"/>
      <c r="C102" s="329"/>
      <c r="D102" s="2682"/>
      <c r="E102" s="383" t="str">
        <f>E71</f>
        <v>Learning Thermostat - Gas Heated / central AC MF**</v>
      </c>
      <c r="F102" s="378">
        <v>0</v>
      </c>
      <c r="G102" s="379" t="s">
        <v>767</v>
      </c>
      <c r="H102" s="380"/>
      <c r="I102" s="355"/>
      <c r="J102" s="355"/>
      <c r="N102" s="339"/>
      <c r="O102" s="355"/>
      <c r="P102" s="355"/>
      <c r="Q102" s="355"/>
      <c r="V102" s="2682"/>
      <c r="W102" s="381"/>
      <c r="X102" s="381"/>
      <c r="Y102" s="385">
        <v>0</v>
      </c>
      <c r="Z102" s="382"/>
      <c r="AA102" s="381"/>
      <c r="AB102" s="381"/>
      <c r="AC102" s="381"/>
      <c r="AD102" s="381"/>
      <c r="AE102" s="381"/>
      <c r="AF102" s="381"/>
      <c r="AG102" s="381"/>
      <c r="AH102" s="356"/>
      <c r="AU102" s="249"/>
    </row>
    <row r="103" spans="2:47" hidden="1" outlineLevel="1" x14ac:dyDescent="0.25">
      <c r="B103" s="1901"/>
      <c r="C103" s="329"/>
      <c r="D103" s="2682"/>
      <c r="E103" s="383" t="str">
        <f>E75</f>
        <v>Learning Thermostat - Unknown SF**</v>
      </c>
      <c r="F103" s="378">
        <v>0.16428797970187123</v>
      </c>
      <c r="G103" s="2685" t="s">
        <v>685</v>
      </c>
      <c r="H103" s="380"/>
      <c r="I103" s="355"/>
      <c r="J103" s="355"/>
      <c r="N103" s="339"/>
      <c r="O103" s="355"/>
      <c r="P103" s="355"/>
      <c r="Q103" s="355"/>
      <c r="V103" s="2682"/>
      <c r="W103" s="381">
        <v>0.35</v>
      </c>
      <c r="X103" s="384">
        <v>0.2446317798632098</v>
      </c>
      <c r="Y103" s="386">
        <v>0.16428797970187123</v>
      </c>
      <c r="Z103" s="382"/>
      <c r="AA103" s="381"/>
      <c r="AB103" s="381"/>
      <c r="AC103" s="381"/>
      <c r="AD103" s="381"/>
      <c r="AE103" s="381"/>
      <c r="AF103" s="381"/>
      <c r="AG103" s="381"/>
      <c r="AH103" s="356"/>
      <c r="AU103" s="249"/>
    </row>
    <row r="104" spans="2:47" hidden="1" outlineLevel="1" x14ac:dyDescent="0.25">
      <c r="B104" s="1901"/>
      <c r="C104" s="329"/>
      <c r="D104" s="2683"/>
      <c r="E104" s="383" t="str">
        <f>E77</f>
        <v>Learning Thermostat - Unknown MF**</v>
      </c>
      <c r="F104" s="378">
        <v>0.16428797970187123</v>
      </c>
      <c r="G104" s="2686"/>
      <c r="H104" s="380"/>
      <c r="I104" s="355"/>
      <c r="J104" s="355"/>
      <c r="N104" s="339"/>
      <c r="O104" s="355"/>
      <c r="P104" s="355"/>
      <c r="Q104" s="355"/>
      <c r="V104" s="2684"/>
      <c r="W104" s="381"/>
      <c r="X104" s="384"/>
      <c r="Y104" s="386">
        <v>0.16428797970187123</v>
      </c>
      <c r="Z104" s="382"/>
      <c r="AA104" s="381"/>
      <c r="AB104" s="381"/>
      <c r="AC104" s="381"/>
      <c r="AD104" s="381"/>
      <c r="AE104" s="381"/>
      <c r="AF104" s="381"/>
      <c r="AG104" s="381"/>
      <c r="AH104" s="356"/>
      <c r="AU104" s="249"/>
    </row>
    <row r="105" spans="2:47" ht="15" hidden="1" customHeight="1" outlineLevel="1" x14ac:dyDescent="0.25">
      <c r="B105" s="1901"/>
      <c r="C105" s="329"/>
      <c r="D105" s="2681" t="s">
        <v>768</v>
      </c>
      <c r="E105" s="377" t="str">
        <f>$E$97</f>
        <v>Learning Thermostat - ASHP heating/cooling SF</v>
      </c>
      <c r="F105" s="387">
        <v>8354.8764478764479</v>
      </c>
      <c r="G105" s="2688" t="s">
        <v>769</v>
      </c>
      <c r="H105" s="2688" t="s">
        <v>770</v>
      </c>
      <c r="I105" s="355"/>
      <c r="J105" s="355"/>
      <c r="N105" s="339"/>
      <c r="O105" s="355"/>
      <c r="P105" s="355"/>
      <c r="Q105" s="355"/>
      <c r="V105" s="2681" t="str">
        <f>D105</f>
        <v>HeatingConsumption_Electric</v>
      </c>
      <c r="W105" s="388">
        <v>8320</v>
      </c>
      <c r="X105" s="389">
        <f>206570/25</f>
        <v>8262.7999999999993</v>
      </c>
      <c r="Y105" s="389">
        <v>8354.8764478764479</v>
      </c>
      <c r="Z105" s="390"/>
      <c r="AA105" s="388"/>
      <c r="AB105" s="388"/>
      <c r="AC105" s="388"/>
      <c r="AD105" s="388"/>
      <c r="AE105" s="388"/>
      <c r="AF105" s="388"/>
      <c r="AG105" s="388"/>
      <c r="AH105" s="356"/>
      <c r="AU105" s="249"/>
    </row>
    <row r="106" spans="2:47" hidden="1" outlineLevel="1" x14ac:dyDescent="0.25">
      <c r="B106" s="1901"/>
      <c r="C106" s="329"/>
      <c r="D106" s="2682"/>
      <c r="E106" s="377" t="str">
        <f>$E$98</f>
        <v>Learning Thermostat - ASHP heating/cooling MF</v>
      </c>
      <c r="F106" s="387">
        <v>8355</v>
      </c>
      <c r="G106" s="2690"/>
      <c r="H106" s="2690"/>
      <c r="I106" s="355"/>
      <c r="J106" s="355"/>
      <c r="N106" s="339"/>
      <c r="O106" s="355"/>
      <c r="P106" s="355"/>
      <c r="Q106" s="355"/>
      <c r="V106" s="2682"/>
      <c r="W106" s="388"/>
      <c r="X106" s="389"/>
      <c r="Y106" s="389">
        <v>8355</v>
      </c>
      <c r="Z106" s="390"/>
      <c r="AA106" s="388"/>
      <c r="AB106" s="388"/>
      <c r="AC106" s="388"/>
      <c r="AD106" s="388"/>
      <c r="AE106" s="388"/>
      <c r="AF106" s="388"/>
      <c r="AG106" s="388"/>
      <c r="AH106" s="356"/>
      <c r="AU106" s="249"/>
    </row>
    <row r="107" spans="2:47" hidden="1" outlineLevel="1" x14ac:dyDescent="0.25">
      <c r="B107" s="1901"/>
      <c r="C107" s="329"/>
      <c r="D107" s="2682"/>
      <c r="E107" s="884" t="str">
        <f>E61</f>
        <v>Learning Thermostat - ASHP heating/cooling MF_CompE</v>
      </c>
      <c r="F107" s="387">
        <f>(509/1496)*F106</f>
        <v>2842.7105614973266</v>
      </c>
      <c r="G107" s="2690"/>
      <c r="H107" s="2690"/>
      <c r="I107" s="355"/>
      <c r="J107" s="355"/>
      <c r="N107" s="339"/>
      <c r="O107" s="355"/>
      <c r="P107" s="355"/>
      <c r="Q107" s="355"/>
      <c r="V107" s="2682"/>
      <c r="W107" s="388"/>
      <c r="X107" s="389"/>
      <c r="Y107" s="389">
        <v>2842.7105614973266</v>
      </c>
      <c r="Z107" s="390"/>
      <c r="AA107" s="388"/>
      <c r="AB107" s="388"/>
      <c r="AC107" s="388"/>
      <c r="AD107" s="388"/>
      <c r="AE107" s="388"/>
      <c r="AF107" s="388"/>
      <c r="AG107" s="388"/>
      <c r="AH107" s="356"/>
      <c r="AU107" s="249"/>
    </row>
    <row r="108" spans="2:47" hidden="1" outlineLevel="1" x14ac:dyDescent="0.25">
      <c r="B108" s="1901"/>
      <c r="C108" s="329"/>
      <c r="D108" s="2682"/>
      <c r="E108" s="377" t="str">
        <f>$E$99</f>
        <v>Learning Thermostat - electric furnace heating / central AC MF</v>
      </c>
      <c r="F108" s="387">
        <v>14201.965811965812</v>
      </c>
      <c r="G108" s="2676"/>
      <c r="H108" s="2676"/>
      <c r="I108" s="355"/>
      <c r="J108" s="355"/>
      <c r="N108" s="339"/>
      <c r="O108" s="355"/>
      <c r="P108" s="355"/>
      <c r="Q108" s="355"/>
      <c r="V108" s="2682"/>
      <c r="W108" s="388">
        <f>14144</f>
        <v>14144</v>
      </c>
      <c r="X108" s="389">
        <f>X110</f>
        <v>14193.886792452829</v>
      </c>
      <c r="Y108" s="389">
        <v>14201.965811965812</v>
      </c>
      <c r="Z108" s="390"/>
      <c r="AA108" s="388"/>
      <c r="AB108" s="388"/>
      <c r="AC108" s="388"/>
      <c r="AD108" s="388"/>
      <c r="AE108" s="388"/>
      <c r="AF108" s="388"/>
      <c r="AG108" s="388"/>
      <c r="AH108" s="356"/>
      <c r="AI108" s="391" t="s">
        <v>771</v>
      </c>
      <c r="AJ108" s="392">
        <v>17940</v>
      </c>
      <c r="AK108" s="392">
        <v>10553</v>
      </c>
      <c r="AL108" s="392">
        <v>17017</v>
      </c>
      <c r="AU108" s="249"/>
    </row>
    <row r="109" spans="2:47" hidden="1" outlineLevel="1" x14ac:dyDescent="0.25">
      <c r="B109" s="1901"/>
      <c r="C109" s="329"/>
      <c r="D109" s="2682"/>
      <c r="E109" s="884" t="str">
        <f>E65</f>
        <v>Learning Thermostat - electric furnace heating / central AC MF_CompE</v>
      </c>
      <c r="F109" s="387">
        <f>(509/1496)*F108</f>
        <v>4832.0859614241972</v>
      </c>
      <c r="G109" s="2676"/>
      <c r="H109" s="2676"/>
      <c r="I109" s="355"/>
      <c r="J109" s="355"/>
      <c r="N109" s="339"/>
      <c r="O109" s="355"/>
      <c r="P109" s="355"/>
      <c r="Q109" s="355"/>
      <c r="V109" s="2682"/>
      <c r="W109" s="388"/>
      <c r="X109" s="389"/>
      <c r="Y109" s="389">
        <v>4832.0859614241972</v>
      </c>
      <c r="Z109" s="390"/>
      <c r="AA109" s="388"/>
      <c r="AB109" s="388"/>
      <c r="AC109" s="388"/>
      <c r="AD109" s="388"/>
      <c r="AE109" s="388"/>
      <c r="AF109" s="388"/>
      <c r="AG109" s="388"/>
      <c r="AH109" s="356"/>
      <c r="AI109" s="391"/>
      <c r="AJ109" s="392"/>
      <c r="AK109" s="392"/>
      <c r="AL109" s="392"/>
      <c r="AU109" s="249"/>
    </row>
    <row r="110" spans="2:47" hidden="1" outlineLevel="1" x14ac:dyDescent="0.25">
      <c r="B110" s="1901"/>
      <c r="C110" s="329"/>
      <c r="D110" s="2682"/>
      <c r="E110" s="377" t="str">
        <f>$E$100</f>
        <v>Learning Thermostat - electric furnace heating / central AC SF</v>
      </c>
      <c r="F110" s="387">
        <v>14201.965811965812</v>
      </c>
      <c r="G110" s="2676"/>
      <c r="H110" s="2676"/>
      <c r="I110" s="355"/>
      <c r="J110" s="355"/>
      <c r="N110" s="339"/>
      <c r="O110" s="355"/>
      <c r="P110" s="355"/>
      <c r="Q110" s="355"/>
      <c r="V110" s="2682"/>
      <c r="W110" s="388">
        <v>14144</v>
      </c>
      <c r="X110" s="389">
        <f>752276/53</f>
        <v>14193.886792452829</v>
      </c>
      <c r="Y110" s="389">
        <v>14201.965811965812</v>
      </c>
      <c r="Z110" s="390"/>
      <c r="AA110" s="388"/>
      <c r="AB110" s="388"/>
      <c r="AC110" s="388"/>
      <c r="AD110" s="388"/>
      <c r="AE110" s="388"/>
      <c r="AF110" s="388"/>
      <c r="AG110" s="388"/>
      <c r="AH110" s="356"/>
      <c r="AI110" s="391" t="s">
        <v>772</v>
      </c>
      <c r="AJ110" s="391">
        <v>19664</v>
      </c>
      <c r="AK110" s="391">
        <v>11567</v>
      </c>
      <c r="AL110" s="391">
        <v>18652</v>
      </c>
      <c r="AU110" s="249"/>
    </row>
    <row r="111" spans="2:47" hidden="1" outlineLevel="1" x14ac:dyDescent="0.25">
      <c r="B111" s="1901"/>
      <c r="C111" s="329"/>
      <c r="D111" s="2682"/>
      <c r="E111" s="377" t="str">
        <f>$E$101</f>
        <v>Learning Thermostat - Gas Heated / central AC SF**</v>
      </c>
      <c r="F111" s="387">
        <v>0</v>
      </c>
      <c r="G111" s="2676"/>
      <c r="H111" s="2676"/>
      <c r="I111" s="355"/>
      <c r="J111" s="355"/>
      <c r="N111" s="339"/>
      <c r="O111" s="355"/>
      <c r="P111" s="355"/>
      <c r="Q111" s="355"/>
      <c r="V111" s="2682"/>
      <c r="W111" s="388">
        <v>0</v>
      </c>
      <c r="X111" s="390">
        <v>0</v>
      </c>
      <c r="Y111" s="387">
        <v>0</v>
      </c>
      <c r="Z111" s="390"/>
      <c r="AA111" s="388"/>
      <c r="AB111" s="388"/>
      <c r="AC111" s="388"/>
      <c r="AD111" s="388"/>
      <c r="AE111" s="388"/>
      <c r="AF111" s="388"/>
      <c r="AG111" s="388"/>
      <c r="AH111" s="356"/>
      <c r="AI111" s="391" t="s">
        <v>773</v>
      </c>
      <c r="AJ111" s="392">
        <v>13502</v>
      </c>
      <c r="AK111" s="392">
        <v>7943</v>
      </c>
      <c r="AL111" s="392">
        <v>12807</v>
      </c>
      <c r="AU111" s="249"/>
    </row>
    <row r="112" spans="2:47" hidden="1" outlineLevel="1" x14ac:dyDescent="0.25">
      <c r="B112" s="1901"/>
      <c r="C112" s="329"/>
      <c r="D112" s="2682"/>
      <c r="E112" s="377" t="str">
        <f>$E$102</f>
        <v>Learning Thermostat - Gas Heated / central AC MF**</v>
      </c>
      <c r="F112" s="387">
        <v>0</v>
      </c>
      <c r="G112" s="2676"/>
      <c r="H112" s="2676"/>
      <c r="I112" s="355"/>
      <c r="J112" s="355"/>
      <c r="N112" s="339"/>
      <c r="O112" s="355"/>
      <c r="P112" s="355"/>
      <c r="Q112" s="355"/>
      <c r="V112" s="2682"/>
      <c r="W112" s="388"/>
      <c r="X112" s="390"/>
      <c r="Y112" s="389">
        <v>0</v>
      </c>
      <c r="Z112" s="390"/>
      <c r="AA112" s="388"/>
      <c r="AB112" s="388"/>
      <c r="AC112" s="388"/>
      <c r="AD112" s="388"/>
      <c r="AE112" s="388"/>
      <c r="AF112" s="388"/>
      <c r="AG112" s="388"/>
      <c r="AH112" s="356"/>
      <c r="AI112" s="391"/>
      <c r="AJ112" s="392"/>
      <c r="AK112" s="392"/>
      <c r="AL112" s="392"/>
      <c r="AU112" s="249"/>
    </row>
    <row r="113" spans="2:47" hidden="1" outlineLevel="1" x14ac:dyDescent="0.25">
      <c r="B113" s="1901"/>
      <c r="C113" s="329"/>
      <c r="D113" s="2682"/>
      <c r="E113" s="884" t="str">
        <f>E73</f>
        <v>Learning Thermostat - Gas Heated / central AC MF_CompE**</v>
      </c>
      <c r="F113" s="387">
        <f>(509/1496)*F112</f>
        <v>0</v>
      </c>
      <c r="G113" s="2676"/>
      <c r="H113" s="2676"/>
      <c r="I113" s="355"/>
      <c r="J113" s="355"/>
      <c r="N113" s="339"/>
      <c r="O113" s="355"/>
      <c r="P113" s="355"/>
      <c r="Q113" s="355"/>
      <c r="V113" s="2682"/>
      <c r="W113" s="388"/>
      <c r="X113" s="390"/>
      <c r="Y113" s="389">
        <v>0</v>
      </c>
      <c r="Z113" s="390"/>
      <c r="AA113" s="388"/>
      <c r="AB113" s="388"/>
      <c r="AC113" s="388"/>
      <c r="AD113" s="388"/>
      <c r="AE113" s="388"/>
      <c r="AF113" s="388"/>
      <c r="AG113" s="388"/>
      <c r="AH113" s="356"/>
      <c r="AI113" s="391"/>
      <c r="AJ113" s="392"/>
      <c r="AK113" s="392"/>
      <c r="AL113" s="392"/>
      <c r="AU113" s="249"/>
    </row>
    <row r="114" spans="2:47" hidden="1" outlineLevel="1" x14ac:dyDescent="0.25">
      <c r="B114" s="1901"/>
      <c r="C114" s="329"/>
      <c r="D114" s="2682"/>
      <c r="E114" s="377" t="str">
        <f>$E$103</f>
        <v>Learning Thermostat - Unknown SF**</v>
      </c>
      <c r="F114" s="387">
        <v>11456.0072529465</v>
      </c>
      <c r="G114" s="2676"/>
      <c r="H114" s="2676"/>
      <c r="I114" s="355"/>
      <c r="J114" s="355"/>
      <c r="N114" s="339"/>
      <c r="O114" s="355"/>
      <c r="P114" s="355"/>
      <c r="Q114" s="355"/>
      <c r="V114" s="2682"/>
      <c r="W114" s="390">
        <v>13416</v>
      </c>
      <c r="X114" s="393">
        <v>12382.71</v>
      </c>
      <c r="Y114" s="389">
        <v>11456.0072529465</v>
      </c>
      <c r="Z114" s="390"/>
      <c r="AA114" s="388"/>
      <c r="AB114" s="388"/>
      <c r="AC114" s="388"/>
      <c r="AD114" s="388"/>
      <c r="AE114" s="388"/>
      <c r="AF114" s="388"/>
      <c r="AG114" s="388"/>
      <c r="AH114" s="356"/>
      <c r="AI114" s="391" t="s">
        <v>774</v>
      </c>
      <c r="AJ114" s="392">
        <v>14276</v>
      </c>
      <c r="AK114" s="392">
        <v>8398</v>
      </c>
      <c r="AL114" s="392">
        <v>13541</v>
      </c>
      <c r="AU114" s="249"/>
    </row>
    <row r="115" spans="2:47" hidden="1" outlineLevel="1" x14ac:dyDescent="0.25">
      <c r="B115" s="1901"/>
      <c r="C115" s="329"/>
      <c r="D115" s="2689"/>
      <c r="E115" s="377" t="str">
        <f>$E$104</f>
        <v>Learning Thermostat - Unknown MF**</v>
      </c>
      <c r="F115" s="387">
        <v>11456.0072529465</v>
      </c>
      <c r="G115" s="2676"/>
      <c r="H115" s="2676"/>
      <c r="I115" s="355"/>
      <c r="J115" s="355"/>
      <c r="N115" s="339"/>
      <c r="O115" s="355"/>
      <c r="P115" s="355"/>
      <c r="Q115" s="355"/>
      <c r="V115" s="2691"/>
      <c r="W115" s="390"/>
      <c r="X115" s="393"/>
      <c r="Y115" s="389">
        <v>11456.0072529465</v>
      </c>
      <c r="Z115" s="390"/>
      <c r="AA115" s="388"/>
      <c r="AB115" s="388"/>
      <c r="AC115" s="388"/>
      <c r="AD115" s="388"/>
      <c r="AE115" s="388"/>
      <c r="AF115" s="388"/>
      <c r="AG115" s="388"/>
      <c r="AH115" s="356"/>
      <c r="AI115" s="391"/>
      <c r="AJ115" s="392"/>
      <c r="AK115" s="392"/>
      <c r="AL115" s="392"/>
      <c r="AU115" s="249"/>
    </row>
    <row r="116" spans="2:47" hidden="1" outlineLevel="1" x14ac:dyDescent="0.25">
      <c r="B116" s="1901"/>
      <c r="C116" s="329"/>
      <c r="D116" s="2683"/>
      <c r="E116" s="884" t="str">
        <f>E79</f>
        <v>Learning Thermostat - Unknown MF_CompE**</v>
      </c>
      <c r="F116" s="387">
        <f>(509/1496)*F115</f>
        <v>3897.799259191022</v>
      </c>
      <c r="G116" s="2677"/>
      <c r="H116" s="2677"/>
      <c r="I116" s="355"/>
      <c r="J116" s="355"/>
      <c r="N116" s="339"/>
      <c r="O116" s="355"/>
      <c r="P116" s="355"/>
      <c r="Q116" s="355"/>
      <c r="V116" s="2684"/>
      <c r="W116" s="390"/>
      <c r="X116" s="393"/>
      <c r="Y116" s="389">
        <v>3897.799259191022</v>
      </c>
      <c r="Z116" s="390"/>
      <c r="AA116" s="388"/>
      <c r="AB116" s="388"/>
      <c r="AC116" s="388"/>
      <c r="AD116" s="388"/>
      <c r="AE116" s="388"/>
      <c r="AF116" s="388"/>
      <c r="AG116" s="388"/>
      <c r="AH116" s="356"/>
      <c r="AI116" s="391"/>
      <c r="AJ116" s="392"/>
      <c r="AK116" s="392"/>
      <c r="AL116" s="392"/>
      <c r="AU116" s="249"/>
    </row>
    <row r="117" spans="2:47" hidden="1" outlineLevel="1" x14ac:dyDescent="0.25">
      <c r="B117" s="1901"/>
      <c r="C117" s="329"/>
      <c r="D117" s="2681" t="s">
        <v>775</v>
      </c>
      <c r="E117" s="377" t="str">
        <f>$E$97</f>
        <v>Learning Thermostat - ASHP heating/cooling SF</v>
      </c>
      <c r="F117" s="378">
        <v>1</v>
      </c>
      <c r="G117" s="379" t="s">
        <v>767</v>
      </c>
      <c r="H117" s="380"/>
      <c r="I117" s="355"/>
      <c r="J117" s="355"/>
      <c r="N117" s="339"/>
      <c r="O117" s="355"/>
      <c r="P117" s="355"/>
      <c r="Q117" s="355"/>
      <c r="V117" s="2681" t="str">
        <f>D117</f>
        <v>HF</v>
      </c>
      <c r="W117" s="381">
        <v>1</v>
      </c>
      <c r="X117" s="381">
        <v>1</v>
      </c>
      <c r="Y117" s="382">
        <v>1</v>
      </c>
      <c r="Z117" s="382"/>
      <c r="AA117" s="381"/>
      <c r="AB117" s="381"/>
      <c r="AC117" s="381"/>
      <c r="AD117" s="381"/>
      <c r="AE117" s="381"/>
      <c r="AF117" s="381"/>
      <c r="AG117" s="381"/>
      <c r="AH117" s="356"/>
      <c r="AI117" s="391" t="s">
        <v>776</v>
      </c>
      <c r="AJ117" s="392">
        <v>14144</v>
      </c>
      <c r="AK117" s="392">
        <v>8320</v>
      </c>
      <c r="AL117" s="392">
        <v>13416</v>
      </c>
      <c r="AU117" s="249"/>
    </row>
    <row r="118" spans="2:47" hidden="1" outlineLevel="1" x14ac:dyDescent="0.25">
      <c r="B118" s="1901"/>
      <c r="C118" s="329"/>
      <c r="D118" s="2682"/>
      <c r="E118" s="377" t="str">
        <f>$E$98</f>
        <v>Learning Thermostat - ASHP heating/cooling MF</v>
      </c>
      <c r="F118" s="378">
        <v>0.65</v>
      </c>
      <c r="G118" s="379" t="s">
        <v>767</v>
      </c>
      <c r="H118" s="380"/>
      <c r="I118" s="355"/>
      <c r="J118" s="355"/>
      <c r="N118" s="339"/>
      <c r="O118" s="355"/>
      <c r="P118" s="355"/>
      <c r="Q118" s="355"/>
      <c r="V118" s="2682"/>
      <c r="W118" s="381"/>
      <c r="X118" s="381"/>
      <c r="Y118" s="384">
        <v>0.65</v>
      </c>
      <c r="Z118" s="382"/>
      <c r="AA118" s="381"/>
      <c r="AB118" s="381"/>
      <c r="AC118" s="381"/>
      <c r="AD118" s="381"/>
      <c r="AE118" s="381"/>
      <c r="AF118" s="381"/>
      <c r="AG118" s="381"/>
      <c r="AH118" s="356"/>
      <c r="AI118" s="391"/>
      <c r="AJ118" s="392"/>
      <c r="AK118" s="392"/>
      <c r="AL118" s="392"/>
      <c r="AU118" s="249"/>
    </row>
    <row r="119" spans="2:47" hidden="1" outlineLevel="1" x14ac:dyDescent="0.25">
      <c r="B119" s="1901"/>
      <c r="C119" s="329"/>
      <c r="D119" s="2682"/>
      <c r="E119" s="377" t="str">
        <f>$E$99</f>
        <v>Learning Thermostat - electric furnace heating / central AC MF</v>
      </c>
      <c r="F119" s="378">
        <v>0.65</v>
      </c>
      <c r="G119" s="379" t="s">
        <v>767</v>
      </c>
      <c r="H119" s="380"/>
      <c r="I119" s="355"/>
      <c r="J119" s="355"/>
      <c r="N119" s="339"/>
      <c r="O119" s="355"/>
      <c r="P119" s="355"/>
      <c r="Q119" s="355"/>
      <c r="V119" s="2682"/>
      <c r="W119" s="381">
        <v>0.65</v>
      </c>
      <c r="X119" s="381">
        <v>0.65</v>
      </c>
      <c r="Y119" s="382">
        <v>0.65</v>
      </c>
      <c r="Z119" s="382"/>
      <c r="AA119" s="381"/>
      <c r="AB119" s="381"/>
      <c r="AC119" s="381"/>
      <c r="AD119" s="381"/>
      <c r="AE119" s="381"/>
      <c r="AF119" s="381"/>
      <c r="AG119" s="381"/>
      <c r="AH119" s="356"/>
      <c r="AI119" s="391" t="s">
        <v>777</v>
      </c>
      <c r="AJ119" s="392">
        <v>16272</v>
      </c>
      <c r="AK119" s="392">
        <v>9572</v>
      </c>
      <c r="AL119" s="392">
        <v>15435</v>
      </c>
      <c r="AU119" s="249"/>
    </row>
    <row r="120" spans="2:47" hidden="1" outlineLevel="1" x14ac:dyDescent="0.25">
      <c r="B120" s="1901"/>
      <c r="C120" s="329"/>
      <c r="D120" s="2682"/>
      <c r="E120" s="377" t="str">
        <f>$E$100</f>
        <v>Learning Thermostat - electric furnace heating / central AC SF</v>
      </c>
      <c r="F120" s="378">
        <v>1</v>
      </c>
      <c r="G120" s="379" t="s">
        <v>767</v>
      </c>
      <c r="H120" s="380"/>
      <c r="I120" s="355"/>
      <c r="J120" s="355"/>
      <c r="N120" s="339"/>
      <c r="O120" s="355"/>
      <c r="P120" s="355"/>
      <c r="Q120" s="355"/>
      <c r="V120" s="2682"/>
      <c r="W120" s="381">
        <v>1</v>
      </c>
      <c r="X120" s="381">
        <v>1</v>
      </c>
      <c r="Y120" s="382">
        <v>1</v>
      </c>
      <c r="Z120" s="382"/>
      <c r="AA120" s="381"/>
      <c r="AB120" s="381"/>
      <c r="AC120" s="381"/>
      <c r="AD120" s="381"/>
      <c r="AE120" s="381"/>
      <c r="AF120" s="381"/>
      <c r="AG120" s="381"/>
      <c r="AH120" s="356"/>
      <c r="AI120" s="391" t="s">
        <v>778</v>
      </c>
      <c r="AJ120" s="392">
        <v>16184</v>
      </c>
      <c r="AK120" s="392">
        <v>9520</v>
      </c>
      <c r="AL120" s="392">
        <v>15351</v>
      </c>
      <c r="AU120" s="249"/>
    </row>
    <row r="121" spans="2:47" hidden="1" outlineLevel="1" x14ac:dyDescent="0.25">
      <c r="B121" s="1901"/>
      <c r="C121" s="329"/>
      <c r="D121" s="2682"/>
      <c r="E121" s="377" t="str">
        <f>$E$101</f>
        <v>Learning Thermostat - Gas Heated / central AC SF**</v>
      </c>
      <c r="F121" s="378">
        <v>1</v>
      </c>
      <c r="G121" s="379" t="s">
        <v>767</v>
      </c>
      <c r="H121" s="380"/>
      <c r="I121" s="355"/>
      <c r="J121" s="355"/>
      <c r="N121" s="339"/>
      <c r="O121" s="355"/>
      <c r="P121" s="355"/>
      <c r="Q121" s="355"/>
      <c r="V121" s="2682"/>
      <c r="W121" s="381">
        <v>1</v>
      </c>
      <c r="X121" s="381">
        <v>1</v>
      </c>
      <c r="Y121" s="381">
        <v>1</v>
      </c>
      <c r="Z121" s="382"/>
      <c r="AA121" s="381"/>
      <c r="AB121" s="381"/>
      <c r="AC121" s="381"/>
      <c r="AD121" s="381"/>
      <c r="AE121" s="381"/>
      <c r="AF121" s="381"/>
      <c r="AG121" s="381"/>
      <c r="AH121" s="356"/>
      <c r="AU121" s="249"/>
    </row>
    <row r="122" spans="2:47" hidden="1" outlineLevel="1" x14ac:dyDescent="0.25">
      <c r="B122" s="1901"/>
      <c r="C122" s="329"/>
      <c r="D122" s="2682"/>
      <c r="E122" s="377" t="str">
        <f>$E$102</f>
        <v>Learning Thermostat - Gas Heated / central AC MF**</v>
      </c>
      <c r="F122" s="378">
        <v>0.65</v>
      </c>
      <c r="G122" s="379"/>
      <c r="H122" s="380"/>
      <c r="I122" s="355"/>
      <c r="J122" s="355"/>
      <c r="N122" s="339"/>
      <c r="O122" s="355"/>
      <c r="P122" s="355"/>
      <c r="Q122" s="355"/>
      <c r="V122" s="2682"/>
      <c r="W122" s="381"/>
      <c r="X122" s="381"/>
      <c r="Y122" s="385">
        <v>0.65</v>
      </c>
      <c r="Z122" s="382"/>
      <c r="AA122" s="381"/>
      <c r="AB122" s="381"/>
      <c r="AC122" s="381"/>
      <c r="AD122" s="381"/>
      <c r="AE122" s="381"/>
      <c r="AF122" s="381"/>
      <c r="AG122" s="381"/>
      <c r="AH122" s="356"/>
      <c r="AU122" s="249"/>
    </row>
    <row r="123" spans="2:47" hidden="1" outlineLevel="1" x14ac:dyDescent="0.25">
      <c r="B123" s="1901"/>
      <c r="C123" s="329"/>
      <c r="D123" s="2682"/>
      <c r="E123" s="377" t="str">
        <f>$E$103</f>
        <v>Learning Thermostat - Unknown SF**</v>
      </c>
      <c r="F123" s="397">
        <v>1</v>
      </c>
      <c r="G123" s="2685" t="s">
        <v>685</v>
      </c>
      <c r="H123" s="380"/>
      <c r="I123" s="355"/>
      <c r="J123" s="355"/>
      <c r="N123" s="339"/>
      <c r="O123" s="355"/>
      <c r="P123" s="355"/>
      <c r="Q123" s="355"/>
      <c r="V123" s="2682"/>
      <c r="W123" s="381">
        <v>1</v>
      </c>
      <c r="X123" s="395">
        <v>0.96572336230188205</v>
      </c>
      <c r="Y123" s="394">
        <v>1</v>
      </c>
      <c r="Z123" s="382"/>
      <c r="AA123" s="381"/>
      <c r="AB123" s="381"/>
      <c r="AC123" s="381"/>
      <c r="AD123" s="381"/>
      <c r="AE123" s="381"/>
      <c r="AF123" s="381"/>
      <c r="AG123" s="381"/>
      <c r="AH123" s="356"/>
      <c r="AJ123" s="396"/>
      <c r="AU123" s="249"/>
    </row>
    <row r="124" spans="2:47" hidden="1" outlineLevel="1" x14ac:dyDescent="0.25">
      <c r="B124" s="1901"/>
      <c r="C124" s="329"/>
      <c r="D124" s="2683"/>
      <c r="E124" s="377" t="str">
        <f>$E$104</f>
        <v>Learning Thermostat - Unknown MF**</v>
      </c>
      <c r="F124" s="397">
        <v>0.65</v>
      </c>
      <c r="G124" s="2686"/>
      <c r="H124" s="380"/>
      <c r="I124" s="355"/>
      <c r="J124" s="355"/>
      <c r="N124" s="339"/>
      <c r="O124" s="355"/>
      <c r="P124" s="355"/>
      <c r="Q124" s="355"/>
      <c r="V124" s="2684"/>
      <c r="W124" s="381"/>
      <c r="X124" s="395"/>
      <c r="Y124" s="394">
        <v>0.65</v>
      </c>
      <c r="Z124" s="382"/>
      <c r="AA124" s="381"/>
      <c r="AB124" s="381"/>
      <c r="AC124" s="381"/>
      <c r="AD124" s="381"/>
      <c r="AE124" s="381"/>
      <c r="AF124" s="381"/>
      <c r="AG124" s="381"/>
      <c r="AH124" s="356"/>
      <c r="AJ124" s="396"/>
      <c r="AU124" s="249"/>
    </row>
    <row r="125" spans="2:47" ht="45" hidden="1" outlineLevel="1" x14ac:dyDescent="0.25">
      <c r="B125" s="1901"/>
      <c r="C125" s="329"/>
      <c r="D125" s="2347" t="s">
        <v>779</v>
      </c>
      <c r="E125" s="377" t="s">
        <v>637</v>
      </c>
      <c r="F125" s="397">
        <v>6.668717948717949E-2</v>
      </c>
      <c r="G125" s="366" t="s">
        <v>780</v>
      </c>
      <c r="H125" s="379" t="s">
        <v>781</v>
      </c>
      <c r="I125" s="355"/>
      <c r="J125" s="355"/>
      <c r="N125" s="339"/>
      <c r="O125" s="355"/>
      <c r="P125" s="355"/>
      <c r="Q125" s="355"/>
      <c r="V125" s="2347" t="str">
        <f>D125</f>
        <v>HeatingReduction</v>
      </c>
      <c r="W125" s="398">
        <v>7.3999999999999996E-2</v>
      </c>
      <c r="X125" s="399">
        <v>6.6879999999999995E-2</v>
      </c>
      <c r="Y125" s="399">
        <v>6.668717948717949E-2</v>
      </c>
      <c r="Z125" s="400"/>
      <c r="AA125" s="398"/>
      <c r="AB125" s="398"/>
      <c r="AC125" s="398"/>
      <c r="AD125" s="398"/>
      <c r="AE125" s="398"/>
      <c r="AF125" s="398"/>
      <c r="AG125" s="398"/>
      <c r="AH125" s="356"/>
      <c r="AJ125" s="396"/>
      <c r="AU125" s="249"/>
    </row>
    <row r="126" spans="2:47" ht="30" hidden="1" outlineLevel="1" x14ac:dyDescent="0.25">
      <c r="B126" s="1901"/>
      <c r="C126" s="329"/>
      <c r="D126" s="2347" t="s">
        <v>782</v>
      </c>
      <c r="E126" s="377" t="s">
        <v>637</v>
      </c>
      <c r="F126" s="378">
        <v>1</v>
      </c>
      <c r="G126" s="379" t="s">
        <v>685</v>
      </c>
      <c r="H126" s="380" t="s">
        <v>783</v>
      </c>
      <c r="I126" s="355"/>
      <c r="J126" s="355"/>
      <c r="L126" s="1908"/>
      <c r="N126" s="339"/>
      <c r="O126" s="355"/>
      <c r="P126" s="355"/>
      <c r="Q126" s="355"/>
      <c r="V126" s="2347" t="str">
        <f>D126</f>
        <v>Eff_ISR</v>
      </c>
      <c r="W126" s="381">
        <v>1</v>
      </c>
      <c r="X126" s="382">
        <v>1</v>
      </c>
      <c r="Y126" s="401">
        <v>1</v>
      </c>
      <c r="Z126" s="382"/>
      <c r="AA126" s="381"/>
      <c r="AB126" s="381"/>
      <c r="AC126" s="381"/>
      <c r="AD126" s="381"/>
      <c r="AE126" s="381"/>
      <c r="AF126" s="381"/>
      <c r="AG126" s="381"/>
      <c r="AH126" s="356"/>
      <c r="AJ126" s="396"/>
      <c r="AU126" s="249"/>
    </row>
    <row r="127" spans="2:47" hidden="1" outlineLevel="1" x14ac:dyDescent="0.25">
      <c r="B127" s="1901"/>
      <c r="C127" s="329"/>
      <c r="D127" s="2681" t="s">
        <v>784</v>
      </c>
      <c r="E127" s="377" t="str">
        <f>$E$97</f>
        <v>Learning Thermostat - ASHP heating/cooling SF</v>
      </c>
      <c r="F127" s="1909">
        <f t="shared" ref="F127:F134" si="6">F150*$F$158*F117*$F$125*$F$126</f>
        <v>0</v>
      </c>
      <c r="G127" s="2688" t="s">
        <v>785</v>
      </c>
      <c r="H127" s="380"/>
      <c r="I127" s="403"/>
      <c r="J127" s="355"/>
      <c r="N127" s="339"/>
      <c r="O127" s="355"/>
      <c r="P127" s="355"/>
      <c r="Q127" s="355"/>
      <c r="V127" s="2681" t="str">
        <f>D127</f>
        <v>∆Therms</v>
      </c>
      <c r="W127" s="404">
        <f>W150*W$158*W117*W$125*W$126</f>
        <v>50.32</v>
      </c>
      <c r="X127" s="404">
        <f>X150*X$158*X117*X$125*X$126</f>
        <v>0</v>
      </c>
      <c r="Y127" s="404">
        <v>0</v>
      </c>
      <c r="Z127" s="405"/>
      <c r="AA127" s="404"/>
      <c r="AB127" s="404"/>
      <c r="AC127" s="404"/>
      <c r="AD127" s="404"/>
      <c r="AE127" s="404"/>
      <c r="AF127" s="404"/>
      <c r="AG127" s="404"/>
      <c r="AH127" s="356"/>
      <c r="AU127" s="249"/>
    </row>
    <row r="128" spans="2:47" hidden="1" outlineLevel="1" x14ac:dyDescent="0.25">
      <c r="B128" s="1901"/>
      <c r="C128" s="329"/>
      <c r="D128" s="2682"/>
      <c r="E128" s="377" t="str">
        <f>$E$98</f>
        <v>Learning Thermostat - ASHP heating/cooling MF</v>
      </c>
      <c r="F128" s="1909">
        <f t="shared" si="6"/>
        <v>0</v>
      </c>
      <c r="G128" s="2676"/>
      <c r="H128" s="380"/>
      <c r="I128" s="403"/>
      <c r="J128" s="355"/>
      <c r="N128" s="339"/>
      <c r="O128" s="355"/>
      <c r="P128" s="355"/>
      <c r="Q128" s="355"/>
      <c r="V128" s="2682"/>
      <c r="W128" s="404"/>
      <c r="X128" s="404"/>
      <c r="Y128" s="406">
        <v>0</v>
      </c>
      <c r="Z128" s="405"/>
      <c r="AA128" s="404"/>
      <c r="AB128" s="404"/>
      <c r="AC128" s="404"/>
      <c r="AD128" s="404"/>
      <c r="AE128" s="404"/>
      <c r="AF128" s="404"/>
      <c r="AG128" s="404"/>
      <c r="AH128" s="356"/>
      <c r="AU128" s="249"/>
    </row>
    <row r="129" spans="2:47" hidden="1" outlineLevel="1" x14ac:dyDescent="0.25">
      <c r="B129" s="1901"/>
      <c r="C129" s="329"/>
      <c r="D129" s="2682"/>
      <c r="E129" s="377" t="str">
        <f>$E$99</f>
        <v>Learning Thermostat - electric furnace heating / central AC MF</v>
      </c>
      <c r="F129" s="1909">
        <f t="shared" si="6"/>
        <v>0</v>
      </c>
      <c r="G129" s="2676"/>
      <c r="H129" s="380"/>
      <c r="I129" s="403"/>
      <c r="J129" s="355"/>
      <c r="N129" s="339"/>
      <c r="O129" s="355"/>
      <c r="P129" s="355"/>
      <c r="Q129" s="355"/>
      <c r="V129" s="2682"/>
      <c r="W129" s="404">
        <f t="shared" ref="W129:X131" si="7">W152*W$158*W119*W$125*W$126</f>
        <v>32.707999999999998</v>
      </c>
      <c r="X129" s="404">
        <f t="shared" si="7"/>
        <v>0</v>
      </c>
      <c r="Y129" s="404">
        <v>0</v>
      </c>
      <c r="Z129" s="405"/>
      <c r="AA129" s="404"/>
      <c r="AB129" s="404"/>
      <c r="AC129" s="404"/>
      <c r="AD129" s="404"/>
      <c r="AE129" s="404"/>
      <c r="AF129" s="404"/>
      <c r="AG129" s="404"/>
      <c r="AH129" s="356"/>
      <c r="AJ129" s="396"/>
      <c r="AU129" s="249"/>
    </row>
    <row r="130" spans="2:47" hidden="1" outlineLevel="1" x14ac:dyDescent="0.25">
      <c r="B130" s="1901"/>
      <c r="C130" s="329"/>
      <c r="D130" s="2682"/>
      <c r="E130" s="377" t="str">
        <f>$E$100</f>
        <v>Learning Thermostat - electric furnace heating / central AC SF</v>
      </c>
      <c r="F130" s="1909">
        <f t="shared" si="6"/>
        <v>0</v>
      </c>
      <c r="G130" s="2676"/>
      <c r="H130" s="380"/>
      <c r="I130" s="403"/>
      <c r="J130" s="355"/>
      <c r="N130" s="339"/>
      <c r="O130" s="355"/>
      <c r="P130" s="355"/>
      <c r="Q130" s="355"/>
      <c r="V130" s="2682"/>
      <c r="W130" s="404">
        <f t="shared" si="7"/>
        <v>50.32</v>
      </c>
      <c r="X130" s="404">
        <f t="shared" si="7"/>
        <v>0</v>
      </c>
      <c r="Y130" s="404">
        <v>0</v>
      </c>
      <c r="Z130" s="405"/>
      <c r="AA130" s="404"/>
      <c r="AB130" s="404"/>
      <c r="AC130" s="404"/>
      <c r="AD130" s="404"/>
      <c r="AE130" s="404"/>
      <c r="AF130" s="404"/>
      <c r="AG130" s="404"/>
      <c r="AH130" s="356"/>
      <c r="AJ130" s="396"/>
      <c r="AU130" s="249"/>
    </row>
    <row r="131" spans="2:47" hidden="1" outlineLevel="1" x14ac:dyDescent="0.25">
      <c r="B131" s="1901"/>
      <c r="C131" s="329"/>
      <c r="D131" s="2682"/>
      <c r="E131" s="377" t="str">
        <f>$E$101</f>
        <v>Learning Thermostat - Gas Heated / central AC SF**</v>
      </c>
      <c r="F131" s="1909">
        <f t="shared" si="6"/>
        <v>45.490139449541282</v>
      </c>
      <c r="G131" s="2676"/>
      <c r="H131" s="380"/>
      <c r="I131" s="403"/>
      <c r="J131" s="355"/>
      <c r="N131" s="339"/>
      <c r="O131" s="355"/>
      <c r="P131" s="355"/>
      <c r="Q131" s="355"/>
      <c r="V131" s="2682"/>
      <c r="W131" s="404">
        <f t="shared" si="7"/>
        <v>50.32</v>
      </c>
      <c r="X131" s="404">
        <f t="shared" si="7"/>
        <v>45.643001839969074</v>
      </c>
      <c r="Y131" s="402">
        <v>45.490139449541282</v>
      </c>
      <c r="Z131" s="405"/>
      <c r="AA131" s="404"/>
      <c r="AB131" s="404"/>
      <c r="AC131" s="404"/>
      <c r="AD131" s="404"/>
      <c r="AE131" s="404"/>
      <c r="AF131" s="404"/>
      <c r="AG131" s="404"/>
      <c r="AH131" s="356"/>
      <c r="AJ131" s="396"/>
      <c r="AU131" s="249"/>
    </row>
    <row r="132" spans="2:47" hidden="1" outlineLevel="1" x14ac:dyDescent="0.25">
      <c r="B132" s="1901"/>
      <c r="C132" s="329"/>
      <c r="D132" s="2682"/>
      <c r="E132" s="377" t="str">
        <f>$E$102</f>
        <v>Learning Thermostat - Gas Heated / central AC MF**</v>
      </c>
      <c r="F132" s="1909">
        <f t="shared" si="6"/>
        <v>29.568590642201833</v>
      </c>
      <c r="G132" s="2676"/>
      <c r="H132" s="380"/>
      <c r="I132" s="403"/>
      <c r="J132" s="355"/>
      <c r="N132" s="339"/>
      <c r="O132" s="355"/>
      <c r="P132" s="355"/>
      <c r="Q132" s="355"/>
      <c r="V132" s="2682"/>
      <c r="W132" s="404"/>
      <c r="X132" s="404"/>
      <c r="Y132" s="402">
        <v>29.568590642201833</v>
      </c>
      <c r="Z132" s="405"/>
      <c r="AA132" s="404"/>
      <c r="AB132" s="404"/>
      <c r="AC132" s="404"/>
      <c r="AD132" s="404"/>
      <c r="AE132" s="404"/>
      <c r="AF132" s="404"/>
      <c r="AG132" s="404"/>
      <c r="AH132" s="356"/>
      <c r="AJ132" s="396"/>
      <c r="AU132" s="249"/>
    </row>
    <row r="133" spans="2:47" hidden="1" outlineLevel="1" x14ac:dyDescent="0.25">
      <c r="B133" s="1901"/>
      <c r="C133" s="329"/>
      <c r="D133" s="2682"/>
      <c r="E133" s="377" t="str">
        <f>$E$103</f>
        <v>Learning Thermostat - Unknown SF**</v>
      </c>
      <c r="F133" s="1909">
        <f t="shared" si="6"/>
        <v>38.016656343019747</v>
      </c>
      <c r="G133" s="2676"/>
      <c r="H133" s="380"/>
      <c r="I133" s="403"/>
      <c r="J133" s="355"/>
      <c r="N133" s="339"/>
      <c r="O133" s="355"/>
      <c r="P133" s="355"/>
      <c r="Q133" s="355"/>
      <c r="V133" s="2682"/>
      <c r="W133" s="404">
        <f>W156*W$158*W123*W$125*W$126</f>
        <v>32.707999999999998</v>
      </c>
      <c r="X133" s="404">
        <f>X156*X$158*X123*X$125*X$126</f>
        <v>33.295508064007585</v>
      </c>
      <c r="Y133" s="402">
        <v>37.134317317128989</v>
      </c>
      <c r="Z133" s="405"/>
      <c r="AA133" s="404"/>
      <c r="AB133" s="404"/>
      <c r="AC133" s="404"/>
      <c r="AD133" s="404"/>
      <c r="AE133" s="404"/>
      <c r="AF133" s="404"/>
      <c r="AG133" s="404"/>
      <c r="AH133" s="356"/>
      <c r="AU133" s="249"/>
    </row>
    <row r="134" spans="2:47" hidden="1" outlineLevel="1" x14ac:dyDescent="0.25">
      <c r="B134" s="1901"/>
      <c r="C134" s="329"/>
      <c r="D134" s="2683"/>
      <c r="E134" s="377" t="str">
        <f>$E$104</f>
        <v>Learning Thermostat - Unknown MF**</v>
      </c>
      <c r="F134" s="1909">
        <f t="shared" si="6"/>
        <v>24.710826622962838</v>
      </c>
      <c r="G134" s="2677"/>
      <c r="H134" s="380"/>
      <c r="I134" s="403"/>
      <c r="J134" s="355"/>
      <c r="N134" s="339"/>
      <c r="O134" s="355"/>
      <c r="P134" s="355"/>
      <c r="Q134" s="355"/>
      <c r="V134" s="2684"/>
      <c r="W134" s="404"/>
      <c r="X134" s="404"/>
      <c r="Y134" s="402">
        <v>24.137306256133844</v>
      </c>
      <c r="Z134" s="405"/>
      <c r="AA134" s="404"/>
      <c r="AB134" s="404"/>
      <c r="AC134" s="404"/>
      <c r="AD134" s="404"/>
      <c r="AE134" s="404"/>
      <c r="AF134" s="404"/>
      <c r="AG134" s="404"/>
      <c r="AH134" s="356"/>
      <c r="AU134" s="249"/>
    </row>
    <row r="135" spans="2:47" hidden="1" outlineLevel="1" x14ac:dyDescent="0.25">
      <c r="B135" s="1901"/>
      <c r="C135" s="329"/>
      <c r="D135" s="2352" t="s">
        <v>786</v>
      </c>
      <c r="E135" s="408" t="s">
        <v>637</v>
      </c>
      <c r="F135" s="409">
        <v>3.1399999999999997E-2</v>
      </c>
      <c r="G135" s="379" t="s">
        <v>767</v>
      </c>
      <c r="H135" s="380" t="s">
        <v>787</v>
      </c>
      <c r="I135" s="355"/>
      <c r="J135" s="355"/>
      <c r="N135" s="339"/>
      <c r="O135" s="355"/>
      <c r="P135" s="355"/>
      <c r="Q135" s="355"/>
      <c r="V135" s="2352" t="str">
        <f>D135</f>
        <v>Fe</v>
      </c>
      <c r="W135" s="410">
        <v>3.1399999999999997E-2</v>
      </c>
      <c r="X135" s="410">
        <v>3.1399999999999997E-2</v>
      </c>
      <c r="Y135" s="411">
        <v>3.1399999999999997E-2</v>
      </c>
      <c r="Z135" s="412"/>
      <c r="AA135" s="410"/>
      <c r="AB135" s="410"/>
      <c r="AC135" s="410"/>
      <c r="AD135" s="410"/>
      <c r="AE135" s="410"/>
      <c r="AF135" s="410"/>
      <c r="AG135" s="410"/>
      <c r="AH135" s="356"/>
      <c r="AJ135" s="396"/>
      <c r="AU135" s="249"/>
    </row>
    <row r="136" spans="2:47" hidden="1" outlineLevel="1" x14ac:dyDescent="0.25">
      <c r="B136" s="1901"/>
      <c r="C136" s="329"/>
      <c r="D136" s="2681" t="s">
        <v>788</v>
      </c>
      <c r="E136" s="377" t="str">
        <f>$E$97</f>
        <v>Learning Thermostat - ASHP heating/cooling SF</v>
      </c>
      <c r="F136" s="378">
        <v>1</v>
      </c>
      <c r="G136" s="379" t="s">
        <v>767</v>
      </c>
      <c r="H136" s="380"/>
      <c r="I136" s="355"/>
      <c r="J136" s="355"/>
      <c r="N136" s="339"/>
      <c r="O136" s="355"/>
      <c r="P136" s="355"/>
      <c r="Q136" s="355"/>
      <c r="V136" s="2681" t="str">
        <f>D136</f>
        <v>%AC</v>
      </c>
      <c r="W136" s="381">
        <v>1</v>
      </c>
      <c r="X136" s="381">
        <v>1</v>
      </c>
      <c r="Y136" s="381">
        <v>1</v>
      </c>
      <c r="Z136" s="382"/>
      <c r="AA136" s="381"/>
      <c r="AB136" s="381"/>
      <c r="AC136" s="381"/>
      <c r="AD136" s="381"/>
      <c r="AE136" s="381"/>
      <c r="AF136" s="381"/>
      <c r="AG136" s="381"/>
      <c r="AH136" s="356"/>
      <c r="AJ136" s="396"/>
      <c r="AU136" s="249"/>
    </row>
    <row r="137" spans="2:47" hidden="1" outlineLevel="1" x14ac:dyDescent="0.25">
      <c r="B137" s="1901"/>
      <c r="C137" s="329"/>
      <c r="D137" s="2682"/>
      <c r="E137" s="377" t="str">
        <f>$E$98</f>
        <v>Learning Thermostat - ASHP heating/cooling MF</v>
      </c>
      <c r="F137" s="378">
        <v>1</v>
      </c>
      <c r="G137" s="379"/>
      <c r="H137" s="380"/>
      <c r="I137" s="355"/>
      <c r="J137" s="355"/>
      <c r="N137" s="339"/>
      <c r="O137" s="355"/>
      <c r="P137" s="355"/>
      <c r="Q137" s="355"/>
      <c r="V137" s="2682"/>
      <c r="W137" s="381"/>
      <c r="X137" s="381"/>
      <c r="Y137" s="385">
        <v>1</v>
      </c>
      <c r="Z137" s="382"/>
      <c r="AA137" s="381"/>
      <c r="AB137" s="381"/>
      <c r="AC137" s="381"/>
      <c r="AD137" s="381"/>
      <c r="AE137" s="381"/>
      <c r="AF137" s="381"/>
      <c r="AG137" s="381"/>
      <c r="AH137" s="356"/>
      <c r="AJ137" s="396"/>
      <c r="AU137" s="249"/>
    </row>
    <row r="138" spans="2:47" hidden="1" outlineLevel="1" x14ac:dyDescent="0.25">
      <c r="B138" s="1901"/>
      <c r="C138" s="329"/>
      <c r="D138" s="2682"/>
      <c r="E138" s="377" t="str">
        <f>$E$99</f>
        <v>Learning Thermostat - electric furnace heating / central AC MF</v>
      </c>
      <c r="F138" s="378">
        <v>1</v>
      </c>
      <c r="G138" s="379" t="s">
        <v>767</v>
      </c>
      <c r="H138" s="380"/>
      <c r="I138" s="355"/>
      <c r="J138" s="355"/>
      <c r="N138" s="339"/>
      <c r="O138" s="355"/>
      <c r="P138" s="355"/>
      <c r="Q138" s="355"/>
      <c r="V138" s="2682"/>
      <c r="W138" s="381">
        <v>1</v>
      </c>
      <c r="X138" s="381">
        <v>1</v>
      </c>
      <c r="Y138" s="381">
        <v>1</v>
      </c>
      <c r="Z138" s="382"/>
      <c r="AA138" s="381"/>
      <c r="AB138" s="381"/>
      <c r="AC138" s="381"/>
      <c r="AD138" s="381"/>
      <c r="AE138" s="381"/>
      <c r="AF138" s="381"/>
      <c r="AG138" s="381"/>
      <c r="AH138" s="356"/>
      <c r="AJ138" s="396"/>
      <c r="AU138" s="249"/>
    </row>
    <row r="139" spans="2:47" hidden="1" outlineLevel="1" x14ac:dyDescent="0.25">
      <c r="B139" s="1901"/>
      <c r="C139" s="329"/>
      <c r="D139" s="2682"/>
      <c r="E139" s="377" t="str">
        <f>$E$100</f>
        <v>Learning Thermostat - electric furnace heating / central AC SF</v>
      </c>
      <c r="F139" s="378">
        <v>1</v>
      </c>
      <c r="G139" s="379" t="s">
        <v>767</v>
      </c>
      <c r="H139" s="380"/>
      <c r="I139" s="355"/>
      <c r="J139" s="355"/>
      <c r="N139" s="339"/>
      <c r="O139" s="355"/>
      <c r="P139" s="355"/>
      <c r="Q139" s="355"/>
      <c r="V139" s="2682"/>
      <c r="W139" s="381">
        <v>1</v>
      </c>
      <c r="X139" s="381">
        <v>1</v>
      </c>
      <c r="Y139" s="381">
        <v>1</v>
      </c>
      <c r="Z139" s="382"/>
      <c r="AA139" s="381"/>
      <c r="AB139" s="381"/>
      <c r="AC139" s="381"/>
      <c r="AD139" s="381"/>
      <c r="AE139" s="381"/>
      <c r="AF139" s="381"/>
      <c r="AG139" s="381"/>
      <c r="AH139" s="356"/>
      <c r="AU139" s="249"/>
    </row>
    <row r="140" spans="2:47" hidden="1" outlineLevel="1" x14ac:dyDescent="0.25">
      <c r="B140" s="1901"/>
      <c r="C140" s="329"/>
      <c r="D140" s="2682"/>
      <c r="E140" s="377" t="str">
        <f>$E$101</f>
        <v>Learning Thermostat - Gas Heated / central AC SF**</v>
      </c>
      <c r="F140" s="378">
        <v>1</v>
      </c>
      <c r="G140" s="379" t="s">
        <v>767</v>
      </c>
      <c r="H140" s="380"/>
      <c r="I140" s="355"/>
      <c r="J140" s="355"/>
      <c r="N140" s="339"/>
      <c r="O140" s="355"/>
      <c r="P140" s="355"/>
      <c r="Q140" s="355"/>
      <c r="V140" s="2682"/>
      <c r="W140" s="381">
        <v>1</v>
      </c>
      <c r="X140" s="381">
        <v>1</v>
      </c>
      <c r="Y140" s="381">
        <v>1</v>
      </c>
      <c r="Z140" s="382"/>
      <c r="AA140" s="381"/>
      <c r="AB140" s="381"/>
      <c r="AC140" s="381"/>
      <c r="AD140" s="381"/>
      <c r="AE140" s="381"/>
      <c r="AF140" s="381"/>
      <c r="AG140" s="381"/>
      <c r="AH140" s="356"/>
      <c r="AJ140" s="396"/>
      <c r="AU140" s="249"/>
    </row>
    <row r="141" spans="2:47" hidden="1" outlineLevel="1" x14ac:dyDescent="0.25">
      <c r="B141" s="1901"/>
      <c r="C141" s="329"/>
      <c r="D141" s="2682"/>
      <c r="E141" s="377" t="str">
        <f>$E$102</f>
        <v>Learning Thermostat - Gas Heated / central AC MF**</v>
      </c>
      <c r="F141" s="378">
        <v>1</v>
      </c>
      <c r="G141" s="379"/>
      <c r="H141" s="380"/>
      <c r="I141" s="355"/>
      <c r="J141" s="355"/>
      <c r="N141" s="339"/>
      <c r="O141" s="355"/>
      <c r="P141" s="355"/>
      <c r="Q141" s="355"/>
      <c r="V141" s="2682"/>
      <c r="W141" s="381"/>
      <c r="X141" s="381"/>
      <c r="Y141" s="385">
        <v>1</v>
      </c>
      <c r="Z141" s="382"/>
      <c r="AA141" s="381"/>
      <c r="AB141" s="381"/>
      <c r="AC141" s="381"/>
      <c r="AD141" s="381"/>
      <c r="AE141" s="381"/>
      <c r="AF141" s="381"/>
      <c r="AG141" s="381"/>
      <c r="AH141" s="356"/>
      <c r="AJ141" s="396"/>
      <c r="AU141" s="249"/>
    </row>
    <row r="142" spans="2:47" hidden="1" outlineLevel="1" x14ac:dyDescent="0.25">
      <c r="B142" s="1901"/>
      <c r="C142" s="329"/>
      <c r="D142" s="2682"/>
      <c r="E142" s="377" t="str">
        <f>$E$103</f>
        <v>Learning Thermostat - Unknown SF**</v>
      </c>
      <c r="F142" s="378">
        <v>1</v>
      </c>
      <c r="G142" s="379" t="s">
        <v>767</v>
      </c>
      <c r="H142" s="380"/>
      <c r="I142" s="355"/>
      <c r="J142" s="355"/>
      <c r="N142" s="339"/>
      <c r="O142" s="355"/>
      <c r="P142" s="355"/>
      <c r="Q142" s="355"/>
      <c r="V142" s="2682"/>
      <c r="W142" s="381">
        <v>1</v>
      </c>
      <c r="X142" s="381">
        <v>1</v>
      </c>
      <c r="Y142" s="381">
        <v>1</v>
      </c>
      <c r="Z142" s="382"/>
      <c r="AA142" s="381"/>
      <c r="AB142" s="381"/>
      <c r="AC142" s="381"/>
      <c r="AD142" s="381"/>
      <c r="AE142" s="381"/>
      <c r="AF142" s="381"/>
      <c r="AG142" s="381"/>
      <c r="AH142" s="356"/>
      <c r="AJ142" s="396"/>
      <c r="AU142" s="249"/>
    </row>
    <row r="143" spans="2:47" hidden="1" outlineLevel="1" x14ac:dyDescent="0.25">
      <c r="B143" s="1901"/>
      <c r="C143" s="329"/>
      <c r="D143" s="2683"/>
      <c r="E143" s="377" t="str">
        <f>$E$104</f>
        <v>Learning Thermostat - Unknown MF**</v>
      </c>
      <c r="F143" s="378">
        <v>1</v>
      </c>
      <c r="G143" s="379"/>
      <c r="H143" s="380"/>
      <c r="I143" s="355"/>
      <c r="J143" s="355"/>
      <c r="N143" s="339"/>
      <c r="O143" s="355"/>
      <c r="P143" s="355"/>
      <c r="Q143" s="355"/>
      <c r="V143" s="2684"/>
      <c r="W143" s="381"/>
      <c r="X143" s="381"/>
      <c r="Y143" s="385">
        <v>1</v>
      </c>
      <c r="Z143" s="382"/>
      <c r="AA143" s="381"/>
      <c r="AB143" s="381"/>
      <c r="AC143" s="381"/>
      <c r="AD143" s="381"/>
      <c r="AE143" s="381"/>
      <c r="AF143" s="381"/>
      <c r="AG143" s="381"/>
      <c r="AH143" s="356"/>
      <c r="AJ143" s="396"/>
      <c r="AU143" s="249"/>
    </row>
    <row r="144" spans="2:47" hidden="1" outlineLevel="1" x14ac:dyDescent="0.25">
      <c r="B144" s="1901"/>
      <c r="C144" s="329"/>
      <c r="D144" s="2681" t="s">
        <v>789</v>
      </c>
      <c r="E144" s="408" t="s">
        <v>790</v>
      </c>
      <c r="F144" s="413">
        <v>869</v>
      </c>
      <c r="G144" s="379" t="s">
        <v>767</v>
      </c>
      <c r="H144" s="380" t="s">
        <v>791</v>
      </c>
      <c r="I144" s="355"/>
      <c r="J144" s="355"/>
      <c r="N144" s="339"/>
      <c r="O144" s="355"/>
      <c r="P144" s="355"/>
      <c r="Q144" s="355"/>
      <c r="V144" s="2681" t="str">
        <f>D144</f>
        <v>EFLH cool</v>
      </c>
      <c r="W144" s="414">
        <v>869</v>
      </c>
      <c r="X144" s="414">
        <v>869</v>
      </c>
      <c r="Y144" s="415">
        <v>869</v>
      </c>
      <c r="Z144" s="382"/>
      <c r="AA144" s="414"/>
      <c r="AB144" s="414"/>
      <c r="AC144" s="414"/>
      <c r="AD144" s="414"/>
      <c r="AE144" s="414"/>
      <c r="AF144" s="414"/>
      <c r="AG144" s="414"/>
      <c r="AH144" s="356"/>
      <c r="AJ144" s="396"/>
      <c r="AU144" s="249"/>
    </row>
    <row r="145" spans="2:47" hidden="1" outlineLevel="1" x14ac:dyDescent="0.25">
      <c r="B145" s="1901"/>
      <c r="C145" s="329"/>
      <c r="D145" s="2683"/>
      <c r="E145" s="408" t="s">
        <v>792</v>
      </c>
      <c r="F145" s="413">
        <v>632</v>
      </c>
      <c r="G145" s="333" t="s">
        <v>793</v>
      </c>
      <c r="H145" s="380"/>
      <c r="I145" s="355"/>
      <c r="J145" s="355"/>
      <c r="N145" s="339"/>
      <c r="O145" s="355"/>
      <c r="P145" s="355"/>
      <c r="Q145" s="355"/>
      <c r="V145" s="2684"/>
      <c r="W145" s="414"/>
      <c r="X145" s="414"/>
      <c r="Y145" s="415">
        <v>632</v>
      </c>
      <c r="Z145" s="382"/>
      <c r="AA145" s="414"/>
      <c r="AB145" s="414"/>
      <c r="AC145" s="414"/>
      <c r="AD145" s="414"/>
      <c r="AE145" s="414"/>
      <c r="AF145" s="414"/>
      <c r="AG145" s="414"/>
      <c r="AH145" s="356"/>
      <c r="AJ145" s="396"/>
      <c r="AU145" s="249"/>
    </row>
    <row r="146" spans="2:47" hidden="1" outlineLevel="1" x14ac:dyDescent="0.25">
      <c r="B146" s="1901"/>
      <c r="C146" s="329"/>
      <c r="D146" s="416" t="s">
        <v>794</v>
      </c>
      <c r="E146" s="408" t="s">
        <v>795</v>
      </c>
      <c r="F146" s="413">
        <v>36552.308373947715</v>
      </c>
      <c r="G146" s="379" t="s">
        <v>767</v>
      </c>
      <c r="H146" s="380" t="s">
        <v>796</v>
      </c>
      <c r="I146" s="355"/>
      <c r="J146" s="355"/>
      <c r="N146" s="339"/>
      <c r="O146" s="355"/>
      <c r="P146" s="355"/>
      <c r="Q146" s="355"/>
      <c r="V146" s="416" t="str">
        <f>D146</f>
        <v>CapacityCool</v>
      </c>
      <c r="W146" s="414">
        <v>36000</v>
      </c>
      <c r="X146" s="415">
        <v>36065.201197692251</v>
      </c>
      <c r="Y146" s="415">
        <v>36552.308373947715</v>
      </c>
      <c r="Z146" s="417"/>
      <c r="AA146" s="414"/>
      <c r="AB146" s="414"/>
      <c r="AC146" s="414"/>
      <c r="AD146" s="414"/>
      <c r="AE146" s="414"/>
      <c r="AF146" s="414"/>
      <c r="AG146" s="414"/>
      <c r="AH146" s="356"/>
      <c r="AU146" s="249"/>
    </row>
    <row r="147" spans="2:47" hidden="1" outlineLevel="1" x14ac:dyDescent="0.25">
      <c r="B147" s="1901"/>
      <c r="C147" s="329"/>
      <c r="D147" s="416" t="s">
        <v>794</v>
      </c>
      <c r="E147" s="408" t="s">
        <v>797</v>
      </c>
      <c r="F147" s="413">
        <v>36552</v>
      </c>
      <c r="G147" s="379" t="s">
        <v>798</v>
      </c>
      <c r="H147" s="380" t="s">
        <v>796</v>
      </c>
      <c r="I147" s="355"/>
      <c r="J147" s="355"/>
      <c r="N147" s="339"/>
      <c r="O147" s="355"/>
      <c r="P147" s="355"/>
      <c r="Q147" s="355"/>
      <c r="V147" s="416" t="str">
        <f>D147</f>
        <v>CapacityCool</v>
      </c>
      <c r="W147" s="414" t="s">
        <v>799</v>
      </c>
      <c r="X147" s="415">
        <f>X146*0.65</f>
        <v>23442.380778499963</v>
      </c>
      <c r="Y147" s="415">
        <v>36552.308373947715</v>
      </c>
      <c r="Z147" s="417"/>
      <c r="AA147" s="414"/>
      <c r="AB147" s="414"/>
      <c r="AC147" s="414"/>
      <c r="AD147" s="414"/>
      <c r="AE147" s="414"/>
      <c r="AF147" s="414"/>
      <c r="AG147" s="414"/>
      <c r="AH147" s="356"/>
      <c r="AJ147" s="396"/>
      <c r="AU147" s="249"/>
    </row>
    <row r="148" spans="2:47" ht="60" hidden="1" outlineLevel="1" x14ac:dyDescent="0.25">
      <c r="B148" s="1901"/>
      <c r="C148" s="329"/>
      <c r="D148" s="416" t="s">
        <v>800</v>
      </c>
      <c r="E148" s="408" t="s">
        <v>637</v>
      </c>
      <c r="F148" s="418">
        <v>13.555486634175161</v>
      </c>
      <c r="G148" s="379" t="s">
        <v>767</v>
      </c>
      <c r="H148" s="1554" t="s">
        <v>770</v>
      </c>
      <c r="I148" s="355"/>
      <c r="J148" s="355"/>
      <c r="N148" s="339"/>
      <c r="O148" s="355"/>
      <c r="P148" s="355"/>
      <c r="Q148" s="355"/>
      <c r="V148" s="416" t="str">
        <f>D148</f>
        <v>SEER</v>
      </c>
      <c r="W148" s="414">
        <v>13</v>
      </c>
      <c r="X148" s="414">
        <v>13.148148689111222</v>
      </c>
      <c r="Y148" s="419">
        <v>13.555486634175161</v>
      </c>
      <c r="Z148" s="417"/>
      <c r="AA148" s="414"/>
      <c r="AB148" s="414"/>
      <c r="AC148" s="414"/>
      <c r="AD148" s="414"/>
      <c r="AE148" s="414"/>
      <c r="AF148" s="414"/>
      <c r="AG148" s="414"/>
      <c r="AH148" s="356"/>
      <c r="AJ148" s="396"/>
      <c r="AU148" s="249"/>
    </row>
    <row r="149" spans="2:47" hidden="1" outlineLevel="1" x14ac:dyDescent="0.25">
      <c r="B149" s="1901"/>
      <c r="C149" s="329"/>
      <c r="D149" s="2352" t="s">
        <v>801</v>
      </c>
      <c r="E149" s="408" t="s">
        <v>637</v>
      </c>
      <c r="F149" s="397">
        <v>0.08</v>
      </c>
      <c r="G149" s="379" t="s">
        <v>767</v>
      </c>
      <c r="H149" s="380" t="s">
        <v>787</v>
      </c>
      <c r="I149" s="355"/>
      <c r="J149" s="355"/>
      <c r="N149" s="339"/>
      <c r="O149" s="355"/>
      <c r="P149" s="355"/>
      <c r="Q149" s="355"/>
      <c r="V149" s="2352" t="str">
        <f>D149</f>
        <v>CoolingReduction</v>
      </c>
      <c r="W149" s="398">
        <v>0.08</v>
      </c>
      <c r="X149" s="398">
        <v>0.08</v>
      </c>
      <c r="Y149" s="420">
        <v>0.08</v>
      </c>
      <c r="Z149" s="400"/>
      <c r="AA149" s="398"/>
      <c r="AB149" s="398"/>
      <c r="AC149" s="398"/>
      <c r="AD149" s="398"/>
      <c r="AE149" s="398"/>
      <c r="AF149" s="398"/>
      <c r="AG149" s="398"/>
      <c r="AH149" s="356"/>
      <c r="AJ149" s="396"/>
      <c r="AU149" s="249"/>
    </row>
    <row r="150" spans="2:47" hidden="1" outlineLevel="1" x14ac:dyDescent="0.25">
      <c r="B150" s="1901"/>
      <c r="C150" s="329"/>
      <c r="D150" s="2681" t="s">
        <v>802</v>
      </c>
      <c r="E150" s="377" t="str">
        <f>$E$97</f>
        <v>Learning Thermostat - ASHP heating/cooling SF</v>
      </c>
      <c r="F150" s="378">
        <v>0</v>
      </c>
      <c r="G150" s="379" t="s">
        <v>767</v>
      </c>
      <c r="H150" s="380"/>
      <c r="I150" s="355"/>
      <c r="J150" s="355"/>
      <c r="N150" s="339"/>
      <c r="O150" s="355"/>
      <c r="P150" s="355"/>
      <c r="Q150" s="355"/>
      <c r="V150" s="2681" t="str">
        <f>D150</f>
        <v>%FossilHeat</v>
      </c>
      <c r="W150" s="381">
        <v>1</v>
      </c>
      <c r="X150" s="385">
        <v>0</v>
      </c>
      <c r="Y150" s="401">
        <v>0</v>
      </c>
      <c r="Z150" s="382"/>
      <c r="AA150" s="381"/>
      <c r="AB150" s="381"/>
      <c r="AC150" s="381"/>
      <c r="AD150" s="381"/>
      <c r="AE150" s="381"/>
      <c r="AF150" s="381"/>
      <c r="AG150" s="381"/>
      <c r="AH150" s="356"/>
      <c r="AU150" s="249"/>
    </row>
    <row r="151" spans="2:47" hidden="1" outlineLevel="1" x14ac:dyDescent="0.25">
      <c r="B151" s="1901"/>
      <c r="C151" s="329"/>
      <c r="D151" s="2682"/>
      <c r="E151" s="377" t="str">
        <f>$E$98</f>
        <v>Learning Thermostat - ASHP heating/cooling MF</v>
      </c>
      <c r="F151" s="378">
        <v>0</v>
      </c>
      <c r="G151" s="379"/>
      <c r="H151" s="380"/>
      <c r="I151" s="355"/>
      <c r="J151" s="355"/>
      <c r="N151" s="339"/>
      <c r="O151" s="355"/>
      <c r="P151" s="355"/>
      <c r="Q151" s="355"/>
      <c r="V151" s="2682"/>
      <c r="W151" s="381"/>
      <c r="X151" s="385"/>
      <c r="Y151" s="385">
        <v>0</v>
      </c>
      <c r="Z151" s="382"/>
      <c r="AA151" s="381"/>
      <c r="AB151" s="381"/>
      <c r="AC151" s="381"/>
      <c r="AD151" s="381"/>
      <c r="AE151" s="381"/>
      <c r="AF151" s="381"/>
      <c r="AG151" s="381"/>
      <c r="AH151" s="356"/>
      <c r="AU151" s="249"/>
    </row>
    <row r="152" spans="2:47" hidden="1" outlineLevel="1" x14ac:dyDescent="0.25">
      <c r="B152" s="1901"/>
      <c r="C152" s="329"/>
      <c r="D152" s="2682"/>
      <c r="E152" s="377" t="str">
        <f>$E$99</f>
        <v>Learning Thermostat - electric furnace heating / central AC MF</v>
      </c>
      <c r="F152" s="378">
        <v>0</v>
      </c>
      <c r="G152" s="379" t="s">
        <v>767</v>
      </c>
      <c r="H152" s="380"/>
      <c r="I152" s="355"/>
      <c r="J152" s="355"/>
      <c r="N152" s="339"/>
      <c r="O152" s="355"/>
      <c r="P152" s="355"/>
      <c r="Q152" s="355"/>
      <c r="V152" s="2682"/>
      <c r="W152" s="381">
        <v>1</v>
      </c>
      <c r="X152" s="385">
        <v>0</v>
      </c>
      <c r="Y152" s="401">
        <v>0</v>
      </c>
      <c r="Z152" s="382"/>
      <c r="AA152" s="381"/>
      <c r="AB152" s="381"/>
      <c r="AC152" s="381"/>
      <c r="AD152" s="381"/>
      <c r="AE152" s="381"/>
      <c r="AF152" s="381"/>
      <c r="AG152" s="381"/>
      <c r="AH152" s="356"/>
      <c r="AU152" s="249"/>
    </row>
    <row r="153" spans="2:47" hidden="1" outlineLevel="1" x14ac:dyDescent="0.25">
      <c r="B153" s="1901"/>
      <c r="C153" s="329"/>
      <c r="D153" s="2682"/>
      <c r="E153" s="377" t="str">
        <f>$E$100</f>
        <v>Learning Thermostat - electric furnace heating / central AC SF</v>
      </c>
      <c r="F153" s="378">
        <v>0</v>
      </c>
      <c r="G153" s="379" t="s">
        <v>767</v>
      </c>
      <c r="H153" s="380"/>
      <c r="I153" s="355"/>
      <c r="J153" s="355"/>
      <c r="N153" s="339"/>
      <c r="O153" s="355"/>
      <c r="P153" s="355"/>
      <c r="Q153" s="355"/>
      <c r="V153" s="2682"/>
      <c r="W153" s="381">
        <v>1</v>
      </c>
      <c r="X153" s="385">
        <v>0</v>
      </c>
      <c r="Y153" s="401">
        <v>0</v>
      </c>
      <c r="Z153" s="382"/>
      <c r="AA153" s="381"/>
      <c r="AB153" s="381"/>
      <c r="AC153" s="381"/>
      <c r="AD153" s="381"/>
      <c r="AE153" s="381"/>
      <c r="AF153" s="381"/>
      <c r="AG153" s="381"/>
      <c r="AH153" s="356"/>
      <c r="AU153" s="249"/>
    </row>
    <row r="154" spans="2:47" hidden="1" outlineLevel="1" x14ac:dyDescent="0.25">
      <c r="B154" s="1901"/>
      <c r="C154" s="329"/>
      <c r="D154" s="2682"/>
      <c r="E154" s="377" t="str">
        <f>$E$101</f>
        <v>Learning Thermostat - Gas Heated / central AC SF**</v>
      </c>
      <c r="F154" s="378">
        <v>1</v>
      </c>
      <c r="G154" s="379" t="s">
        <v>767</v>
      </c>
      <c r="H154" s="380"/>
      <c r="I154" s="355"/>
      <c r="J154" s="355"/>
      <c r="N154" s="339"/>
      <c r="O154" s="355"/>
      <c r="P154" s="355"/>
      <c r="Q154" s="355"/>
      <c r="V154" s="2682"/>
      <c r="W154" s="381">
        <v>1</v>
      </c>
      <c r="X154" s="381">
        <v>1</v>
      </c>
      <c r="Y154" s="401">
        <v>1</v>
      </c>
      <c r="Z154" s="382"/>
      <c r="AA154" s="381"/>
      <c r="AB154" s="381"/>
      <c r="AC154" s="381"/>
      <c r="AD154" s="381"/>
      <c r="AE154" s="381"/>
      <c r="AF154" s="381"/>
      <c r="AG154" s="381"/>
      <c r="AH154" s="356"/>
      <c r="AU154" s="249"/>
    </row>
    <row r="155" spans="2:47" hidden="1" outlineLevel="1" x14ac:dyDescent="0.25">
      <c r="B155" s="1901"/>
      <c r="C155" s="329"/>
      <c r="D155" s="2682"/>
      <c r="E155" s="377" t="str">
        <f>$E$102</f>
        <v>Learning Thermostat - Gas Heated / central AC MF**</v>
      </c>
      <c r="F155" s="378">
        <v>1</v>
      </c>
      <c r="G155" s="421"/>
      <c r="H155" s="380"/>
      <c r="I155" s="355"/>
      <c r="J155" s="355"/>
      <c r="N155" s="339"/>
      <c r="O155" s="355"/>
      <c r="P155" s="355"/>
      <c r="Q155" s="355"/>
      <c r="V155" s="2682"/>
      <c r="W155" s="381"/>
      <c r="X155" s="381"/>
      <c r="Y155" s="385">
        <v>1</v>
      </c>
      <c r="Z155" s="382"/>
      <c r="AA155" s="381"/>
      <c r="AB155" s="381"/>
      <c r="AC155" s="381"/>
      <c r="AD155" s="381"/>
      <c r="AE155" s="381"/>
      <c r="AF155" s="381"/>
      <c r="AG155" s="381"/>
      <c r="AH155" s="356"/>
      <c r="AU155" s="249"/>
    </row>
    <row r="156" spans="2:47" hidden="1" outlineLevel="1" x14ac:dyDescent="0.25">
      <c r="B156" s="1901"/>
      <c r="C156" s="329"/>
      <c r="D156" s="2682"/>
      <c r="E156" s="377" t="str">
        <f>$E$103</f>
        <v>Learning Thermostat - Unknown SF**</v>
      </c>
      <c r="F156" s="378">
        <v>0.83571202029812874</v>
      </c>
      <c r="G156" s="333" t="s">
        <v>803</v>
      </c>
      <c r="H156" s="380"/>
      <c r="I156" s="355"/>
      <c r="J156" s="355"/>
      <c r="N156" s="339"/>
      <c r="O156" s="355"/>
      <c r="P156" s="355"/>
      <c r="Q156" s="355"/>
      <c r="V156" s="2682"/>
      <c r="W156" s="381">
        <v>0.65</v>
      </c>
      <c r="X156" s="385">
        <v>0.75536822013679017</v>
      </c>
      <c r="Y156" s="385">
        <v>0.83571202029812874</v>
      </c>
      <c r="Z156" s="382"/>
      <c r="AA156" s="381"/>
      <c r="AB156" s="381"/>
      <c r="AC156" s="381"/>
      <c r="AD156" s="381"/>
      <c r="AE156" s="381"/>
      <c r="AF156" s="381"/>
      <c r="AG156" s="381"/>
      <c r="AH156" s="356"/>
      <c r="AU156" s="249"/>
    </row>
    <row r="157" spans="2:47" hidden="1" outlineLevel="1" x14ac:dyDescent="0.25">
      <c r="B157" s="1901"/>
      <c r="C157" s="329"/>
      <c r="D157" s="2683"/>
      <c r="E157" s="377" t="str">
        <f>$E$104</f>
        <v>Learning Thermostat - Unknown MF**</v>
      </c>
      <c r="F157" s="378">
        <v>0.83571202029812874</v>
      </c>
      <c r="G157" s="333"/>
      <c r="H157" s="380"/>
      <c r="I157" s="355"/>
      <c r="J157" s="355"/>
      <c r="N157" s="339"/>
      <c r="O157" s="355"/>
      <c r="P157" s="355"/>
      <c r="Q157" s="355"/>
      <c r="V157" s="2684"/>
      <c r="W157" s="381"/>
      <c r="X157" s="385"/>
      <c r="Y157" s="385">
        <v>0.83571202029812874</v>
      </c>
      <c r="Z157" s="382"/>
      <c r="AA157" s="381"/>
      <c r="AB157" s="381"/>
      <c r="AC157" s="381"/>
      <c r="AD157" s="381"/>
      <c r="AE157" s="381"/>
      <c r="AF157" s="381"/>
      <c r="AG157" s="381"/>
      <c r="AH157" s="356"/>
      <c r="AU157" s="249"/>
    </row>
    <row r="158" spans="2:47" ht="30" hidden="1" outlineLevel="1" x14ac:dyDescent="0.25">
      <c r="B158" s="1901"/>
      <c r="C158" s="329"/>
      <c r="D158" s="2352" t="s">
        <v>804</v>
      </c>
      <c r="E158" s="377" t="s">
        <v>637</v>
      </c>
      <c r="F158" s="387">
        <v>682.14220183486236</v>
      </c>
      <c r="G158" s="379" t="s">
        <v>805</v>
      </c>
      <c r="H158" s="380" t="s">
        <v>806</v>
      </c>
      <c r="I158" s="355"/>
      <c r="J158" s="355"/>
      <c r="N158" s="339"/>
      <c r="O158" s="355"/>
      <c r="P158" s="355"/>
      <c r="Q158" s="355"/>
      <c r="V158" s="2352" t="str">
        <f>D158</f>
        <v>HeatingConsumption_Gas</v>
      </c>
      <c r="W158" s="388">
        <v>680</v>
      </c>
      <c r="X158" s="422">
        <v>682.46115191341323</v>
      </c>
      <c r="Y158" s="422">
        <v>682.14220183486236</v>
      </c>
      <c r="Z158" s="390"/>
      <c r="AA158" s="388"/>
      <c r="AB158" s="388"/>
      <c r="AC158" s="388"/>
      <c r="AD158" s="388"/>
      <c r="AE158" s="388"/>
      <c r="AF158" s="388"/>
      <c r="AG158" s="388"/>
      <c r="AH158" s="356"/>
      <c r="AU158" s="249"/>
    </row>
    <row r="159" spans="2:47" hidden="1" outlineLevel="1" x14ac:dyDescent="0.25">
      <c r="B159" s="1901"/>
      <c r="C159" s="329"/>
      <c r="D159" s="423" t="str">
        <f>$D$50</f>
        <v>EUL</v>
      </c>
      <c r="E159" s="423" t="str">
        <f>$E$50</f>
        <v>Effective Useful Life</v>
      </c>
      <c r="F159" s="387">
        <v>10</v>
      </c>
      <c r="G159" s="379"/>
      <c r="H159" s="380"/>
      <c r="I159" s="355"/>
      <c r="J159" s="355"/>
      <c r="N159" s="339"/>
      <c r="O159" s="355"/>
      <c r="P159" s="355"/>
      <c r="Q159" s="355"/>
      <c r="V159" s="423" t="str">
        <f>D159</f>
        <v>EUL</v>
      </c>
      <c r="W159" s="424">
        <v>10</v>
      </c>
      <c r="X159" s="424">
        <v>10</v>
      </c>
      <c r="Y159" s="424">
        <v>10</v>
      </c>
      <c r="Z159" s="387"/>
      <c r="AA159" s="424"/>
      <c r="AB159" s="424"/>
      <c r="AC159" s="424"/>
      <c r="AD159" s="424"/>
      <c r="AE159" s="424"/>
      <c r="AF159" s="424"/>
      <c r="AG159" s="424"/>
      <c r="AH159" s="356"/>
      <c r="AU159" s="249"/>
    </row>
    <row r="160" spans="2:47" hidden="1" outlineLevel="1" x14ac:dyDescent="0.25">
      <c r="B160" s="1901"/>
      <c r="C160" s="329"/>
      <c r="D160" s="423" t="str">
        <f>$D$51</f>
        <v>Inc. Cost</v>
      </c>
      <c r="E160" s="423" t="str">
        <f>$E$51</f>
        <v>Incremental Cost ($)</v>
      </c>
      <c r="F160" s="425">
        <v>175</v>
      </c>
      <c r="G160" s="379"/>
      <c r="H160" s="380" t="s">
        <v>37</v>
      </c>
      <c r="I160" s="355"/>
      <c r="J160" s="355"/>
      <c r="N160" s="339"/>
      <c r="O160" s="355"/>
      <c r="P160" s="355"/>
      <c r="Q160" s="355"/>
      <c r="V160" s="423" t="str">
        <f>D160</f>
        <v>Inc. Cost</v>
      </c>
      <c r="W160" s="426">
        <v>175</v>
      </c>
      <c r="X160" s="426">
        <v>175</v>
      </c>
      <c r="Y160" s="426">
        <v>175</v>
      </c>
      <c r="Z160" s="425"/>
      <c r="AA160" s="426"/>
      <c r="AB160" s="426"/>
      <c r="AC160" s="426"/>
      <c r="AD160" s="426"/>
      <c r="AE160" s="426"/>
      <c r="AF160" s="426"/>
      <c r="AG160" s="426"/>
      <c r="AH160" s="356"/>
      <c r="AU160" s="249"/>
    </row>
    <row r="161" spans="1:57" collapsed="1" x14ac:dyDescent="0.25">
      <c r="B161" s="1901"/>
      <c r="C161" s="329"/>
      <c r="D161" s="353"/>
      <c r="E161" s="427"/>
      <c r="F161" s="355"/>
      <c r="G161" s="355"/>
      <c r="H161" s="355"/>
      <c r="I161" s="355"/>
      <c r="J161" s="355"/>
      <c r="K161" s="355"/>
      <c r="L161" s="355"/>
      <c r="M161" s="355"/>
      <c r="N161" s="355"/>
      <c r="O161" s="355"/>
      <c r="P161" s="355"/>
      <c r="Q161" s="355"/>
      <c r="AH161" s="356"/>
      <c r="AU161" s="249"/>
    </row>
    <row r="162" spans="1:57" x14ac:dyDescent="0.25">
      <c r="AH162" s="356"/>
      <c r="AU162" s="249"/>
    </row>
    <row r="163" spans="1:57" s="229" customFormat="1" x14ac:dyDescent="0.25">
      <c r="A163" s="177"/>
      <c r="B163" s="2639" t="s">
        <v>807</v>
      </c>
      <c r="C163" s="2640"/>
      <c r="D163" s="2640"/>
      <c r="E163" s="2640"/>
      <c r="F163" s="2640"/>
      <c r="G163" s="2640"/>
      <c r="H163" s="2640"/>
      <c r="I163" s="2641"/>
      <c r="J163" s="2641"/>
      <c r="K163" s="2641"/>
      <c r="L163" s="2641"/>
      <c r="M163" s="2641"/>
      <c r="N163" s="2641"/>
      <c r="O163" s="2642"/>
      <c r="V163" s="2639" t="str">
        <f>B163</f>
        <v>ENERGY STAR Pool Pump and motor w auto controls - multi speed</v>
      </c>
      <c r="W163" s="2640"/>
      <c r="X163" s="2640"/>
      <c r="Y163" s="2640"/>
      <c r="Z163" s="2640"/>
      <c r="AA163" s="2640"/>
      <c r="AB163" s="2640"/>
      <c r="AC163" s="2615"/>
      <c r="AD163" s="2615"/>
      <c r="AE163" s="2615"/>
      <c r="AF163" s="2615"/>
      <c r="AG163" s="2615"/>
      <c r="AH163" s="2615"/>
      <c r="AI163" s="2616"/>
      <c r="AU163" s="249"/>
      <c r="BB163" s="230"/>
    </row>
    <row r="164" spans="1:57" s="43" customFormat="1" x14ac:dyDescent="0.25">
      <c r="A164" s="233"/>
      <c r="B164" s="233"/>
      <c r="C164" s="231"/>
      <c r="D164" s="232"/>
      <c r="E164" s="232"/>
      <c r="F164" s="233"/>
      <c r="G164" s="233"/>
      <c r="H164" s="233"/>
      <c r="I164" s="233"/>
      <c r="J164" s="233"/>
      <c r="K164" s="233"/>
      <c r="L164" s="233"/>
      <c r="M164" s="233"/>
      <c r="N164" s="233"/>
      <c r="O164" s="233"/>
      <c r="P164" s="233"/>
      <c r="Q164" s="233"/>
      <c r="R164" s="233"/>
      <c r="S164" s="233"/>
      <c r="T164" s="233"/>
      <c r="U164" s="233"/>
      <c r="AH164" s="356"/>
      <c r="AU164" s="249"/>
      <c r="BB164" s="235"/>
    </row>
    <row r="165" spans="1:57" s="50" customFormat="1" ht="48.75" customHeight="1" x14ac:dyDescent="0.25">
      <c r="A165" s="1726"/>
      <c r="B165" s="1726"/>
      <c r="C165" s="2345" t="s">
        <v>17</v>
      </c>
      <c r="D165" s="2345" t="s">
        <v>662</v>
      </c>
      <c r="E165" s="2345" t="s">
        <v>19</v>
      </c>
      <c r="F165" s="2345" t="s">
        <v>20</v>
      </c>
      <c r="G165" s="2345" t="s">
        <v>21</v>
      </c>
      <c r="H165" s="2345" t="s">
        <v>22</v>
      </c>
      <c r="I165" s="2345" t="s">
        <v>808</v>
      </c>
      <c r="J165" s="2345" t="s">
        <v>24</v>
      </c>
      <c r="K165" s="2345" t="s">
        <v>25</v>
      </c>
      <c r="L165" s="2345" t="s">
        <v>26</v>
      </c>
      <c r="M165" s="1726"/>
      <c r="N165" s="1726"/>
      <c r="O165" s="1726"/>
      <c r="P165" s="1726"/>
      <c r="Q165" s="1726"/>
      <c r="R165" s="1726"/>
      <c r="S165" s="1726"/>
      <c r="T165" s="1726"/>
      <c r="U165" s="1726"/>
      <c r="V165" s="55" t="s">
        <v>27</v>
      </c>
      <c r="W165" s="56">
        <v>43252</v>
      </c>
      <c r="X165" s="56">
        <f>$X$6</f>
        <v>43465</v>
      </c>
      <c r="Y165" s="56">
        <f>$Y$6</f>
        <v>43800</v>
      </c>
      <c r="Z165" s="56">
        <f>$Z$6</f>
        <v>43862</v>
      </c>
      <c r="AA165" s="56" t="str">
        <f>$AA$6</f>
        <v>-</v>
      </c>
      <c r="AB165" s="56" t="str">
        <f>$AB$6</f>
        <v>-</v>
      </c>
      <c r="AC165" s="56" t="str">
        <f>$AC$6</f>
        <v>-</v>
      </c>
      <c r="AD165" s="56" t="str">
        <f>$AD$6</f>
        <v>-</v>
      </c>
      <c r="AE165" s="56" t="str">
        <f>$AE$6</f>
        <v>-</v>
      </c>
      <c r="AF165" s="56" t="str">
        <f>$AF$6</f>
        <v>-</v>
      </c>
      <c r="AG165" s="56" t="str">
        <f>$AG$6</f>
        <v>-</v>
      </c>
      <c r="AH165" s="356"/>
      <c r="AU165" s="249"/>
      <c r="BB165" s="103" t="str">
        <f>$BB$6</f>
        <v>TRC (2020)</v>
      </c>
      <c r="BC165" s="103" t="str">
        <f>$BC$6</f>
        <v>Benefit Lookup</v>
      </c>
      <c r="BD165" s="334" t="str">
        <f>$BD$6</f>
        <v>Benefits (2019 $)</v>
      </c>
      <c r="BE165" s="334" t="str">
        <f>$BE$6</f>
        <v>Incremental Cost (2019 $)</v>
      </c>
    </row>
    <row r="166" spans="1:57" s="43" customFormat="1" x14ac:dyDescent="0.25">
      <c r="A166" s="233"/>
      <c r="B166" s="233"/>
      <c r="C166" s="472" t="s">
        <v>809</v>
      </c>
      <c r="D166" s="2481" t="s">
        <v>667</v>
      </c>
      <c r="E166" s="428" t="s">
        <v>807</v>
      </c>
      <c r="F166" s="336">
        <f>ROUND(F184*0.06*(F185*F188/F191-F186*F189/F192-F187*F190/F193)*F194,2)</f>
        <v>1799.73</v>
      </c>
      <c r="G166" s="2364" t="s">
        <v>810</v>
      </c>
      <c r="H166" s="239">
        <f>VLOOKUP(G166,'CP FACTORS'!$A$3:$B$38, 2, FALSE)</f>
        <v>2.3544589999999999E-4</v>
      </c>
      <c r="I166" s="338">
        <f>ROUND(H166*F166,6)</f>
        <v>0.42373899999999998</v>
      </c>
      <c r="J166" s="452">
        <v>10</v>
      </c>
      <c r="K166" s="426">
        <v>235</v>
      </c>
      <c r="L166" s="472" t="s">
        <v>37</v>
      </c>
      <c r="M166" s="233"/>
      <c r="N166" s="233"/>
      <c r="O166" s="233"/>
      <c r="P166" s="233"/>
      <c r="Q166" s="233"/>
      <c r="R166" s="1894"/>
      <c r="S166" s="233"/>
      <c r="T166" s="233"/>
      <c r="U166" s="233"/>
      <c r="V166" s="429" t="s">
        <v>20</v>
      </c>
      <c r="W166" s="430">
        <v>1799.7340444444444</v>
      </c>
      <c r="X166" s="431">
        <v>1799.7340444444444</v>
      </c>
      <c r="Y166" s="432">
        <v>1799.73</v>
      </c>
      <c r="Z166" s="429"/>
      <c r="AA166" s="429"/>
      <c r="AB166" s="429"/>
      <c r="AC166" s="429"/>
      <c r="AD166" s="429"/>
      <c r="AE166" s="429"/>
      <c r="AF166" s="429"/>
      <c r="AG166" s="429"/>
      <c r="AH166" s="248"/>
      <c r="AU166" s="249"/>
      <c r="BB166" s="345">
        <f>(BD166)/(BE166)</f>
        <v>3.3867195659400693</v>
      </c>
      <c r="BC166" s="335" t="str">
        <f>CONCATENATE(G166," ",J166," Year EUL")</f>
        <v>Pool Spa RES 10 Year EUL</v>
      </c>
      <c r="BD166" s="162">
        <f>(INDEX('Avoided Cost Benefits'!$C$4:$C$857,MATCH(BC166,'Avoided Cost Benefits'!$A$4:$A$857,0)))*F166</f>
        <v>751.18366965164341</v>
      </c>
      <c r="BE166" s="70">
        <f>K166/(1.0595^(2020-2019))</f>
        <v>221.80273714016042</v>
      </c>
    </row>
    <row r="167" spans="1:57" s="43" customFormat="1" x14ac:dyDescent="0.25">
      <c r="A167" s="233"/>
      <c r="B167" s="233"/>
      <c r="C167" s="472" t="s">
        <v>811</v>
      </c>
      <c r="D167" s="2481" t="s">
        <v>667</v>
      </c>
      <c r="E167" s="2346" t="s">
        <v>812</v>
      </c>
      <c r="F167" s="336">
        <f>ROUND(G184*60/1000*(G185*G188/G191-G186*G189/G192-G187*G190/G193)*G194,2)</f>
        <v>2052.85</v>
      </c>
      <c r="G167" s="2364" t="s">
        <v>810</v>
      </c>
      <c r="H167" s="239">
        <f>VLOOKUP(G167,'CP FACTORS'!$A$3:$B$38, 2, FALSE)</f>
        <v>2.3544589999999999E-4</v>
      </c>
      <c r="I167" s="338">
        <f>ROUND(H167*F167,6)</f>
        <v>0.48333500000000001</v>
      </c>
      <c r="J167" s="452">
        <v>10</v>
      </c>
      <c r="K167" s="426">
        <v>549</v>
      </c>
      <c r="L167" s="472" t="s">
        <v>37</v>
      </c>
      <c r="M167" s="233"/>
      <c r="N167" s="233"/>
      <c r="O167" s="233"/>
      <c r="P167" s="233"/>
      <c r="Q167" s="233"/>
      <c r="R167" s="1894"/>
      <c r="S167" s="233"/>
      <c r="T167" s="233"/>
      <c r="U167" s="233"/>
      <c r="V167" s="429" t="s">
        <v>20</v>
      </c>
      <c r="W167" s="430">
        <v>2052.8492712328771</v>
      </c>
      <c r="X167" s="431">
        <v>2052.8492712328771</v>
      </c>
      <c r="Y167" s="432">
        <v>2052.85</v>
      </c>
      <c r="Z167" s="429"/>
      <c r="AA167" s="429"/>
      <c r="AB167" s="429"/>
      <c r="AC167" s="429"/>
      <c r="AD167" s="429"/>
      <c r="AE167" s="429"/>
      <c r="AF167" s="429"/>
      <c r="AG167" s="429"/>
      <c r="AH167" s="248"/>
      <c r="AU167" s="249"/>
      <c r="BB167" s="434">
        <f>(BD167)/(BE167)</f>
        <v>1.6535777334024884</v>
      </c>
      <c r="BC167" s="435" t="str">
        <f>CONCATENATE(G167," ",J167," Year EUL")</f>
        <v>Pool Spa RES 10 Year EUL</v>
      </c>
      <c r="BD167" s="170">
        <f>(INDEX('Avoided Cost Benefits'!$C$4:$C$857,MATCH(BC167,'Avoided Cost Benefits'!$A$4:$A$857,0)))*F167</f>
        <v>856.8326339197414</v>
      </c>
      <c r="BE167" s="76">
        <f>K167/(1.0595^(2020-2019))</f>
        <v>518.16894761680032</v>
      </c>
    </row>
    <row r="168" spans="1:57" s="43" customFormat="1" hidden="1" outlineLevel="1" x14ac:dyDescent="0.25">
      <c r="A168" s="233"/>
      <c r="B168" s="233"/>
      <c r="C168" s="231"/>
      <c r="D168" s="232"/>
      <c r="E168" s="436"/>
      <c r="F168" s="437"/>
      <c r="G168" s="233"/>
      <c r="H168" s="233"/>
      <c r="I168" s="177"/>
      <c r="J168" s="177"/>
      <c r="K168" s="177"/>
      <c r="L168" s="233"/>
      <c r="M168" s="233"/>
      <c r="N168" s="233"/>
      <c r="O168" s="233"/>
      <c r="P168" s="233"/>
      <c r="Q168" s="233"/>
      <c r="R168" s="233"/>
      <c r="S168" s="233"/>
      <c r="T168" s="233"/>
      <c r="U168" s="233"/>
      <c r="AF168" s="270"/>
      <c r="AH168" s="356"/>
      <c r="AU168" s="249"/>
      <c r="BB168" s="256"/>
      <c r="BC168" s="141"/>
      <c r="BD168" s="141"/>
      <c r="BE168" s="141"/>
    </row>
    <row r="169" spans="1:57" s="257" customFormat="1" hidden="1" outlineLevel="1" x14ac:dyDescent="0.25">
      <c r="A169" s="261"/>
      <c r="B169" s="261"/>
      <c r="C169" s="258"/>
      <c r="D169" s="259" t="s">
        <v>617</v>
      </c>
      <c r="E169" s="438"/>
      <c r="F169" s="261"/>
      <c r="G169" s="261"/>
      <c r="H169" s="261"/>
      <c r="I169" s="261"/>
      <c r="J169" s="261"/>
      <c r="K169" s="261"/>
      <c r="L169" s="261"/>
      <c r="M169" s="261"/>
      <c r="N169" s="261"/>
      <c r="O169" s="261"/>
      <c r="P169" s="261"/>
      <c r="Q169" s="261"/>
      <c r="R169" s="261"/>
      <c r="S169" s="261"/>
      <c r="T169" s="261"/>
      <c r="U169" s="261"/>
      <c r="AH169" s="356"/>
      <c r="AU169" s="249"/>
      <c r="BB169" s="256"/>
      <c r="BC169" s="141"/>
      <c r="BD169" s="141"/>
      <c r="BE169" s="141"/>
    </row>
    <row r="170" spans="1:57" s="257" customFormat="1" hidden="1" outlineLevel="1" x14ac:dyDescent="0.25">
      <c r="A170" s="261"/>
      <c r="B170" s="261"/>
      <c r="C170" s="258"/>
      <c r="D170" s="439"/>
      <c r="E170" s="436"/>
      <c r="F170" s="440"/>
      <c r="G170" s="261"/>
      <c r="H170" s="261"/>
      <c r="I170" s="261"/>
      <c r="J170" s="261"/>
      <c r="K170" s="261"/>
      <c r="L170" s="261"/>
      <c r="M170" s="261"/>
      <c r="N170" s="261"/>
      <c r="O170" s="261"/>
      <c r="P170" s="261"/>
      <c r="Q170" s="261"/>
      <c r="R170" s="261"/>
      <c r="S170" s="261"/>
      <c r="T170" s="261"/>
      <c r="U170" s="261"/>
      <c r="AH170" s="356"/>
      <c r="AU170" s="249"/>
      <c r="BB170" s="256"/>
      <c r="BC170" s="141"/>
      <c r="BD170" s="141"/>
      <c r="BE170" s="141"/>
    </row>
    <row r="171" spans="1:57" s="257" customFormat="1" hidden="1" outlineLevel="1" x14ac:dyDescent="0.25">
      <c r="A171" s="261"/>
      <c r="B171" s="261"/>
      <c r="C171" s="258"/>
      <c r="D171" s="439"/>
      <c r="E171" s="436"/>
      <c r="F171" s="440"/>
      <c r="G171" s="261"/>
      <c r="H171" s="261"/>
      <c r="I171" s="261"/>
      <c r="J171" s="261"/>
      <c r="K171" s="261"/>
      <c r="L171" s="177"/>
      <c r="M171" s="177"/>
      <c r="N171" s="177"/>
      <c r="O171" s="177"/>
      <c r="P171" s="177"/>
      <c r="Q171" s="261"/>
      <c r="R171" s="261"/>
      <c r="S171" s="261"/>
      <c r="T171" s="261"/>
      <c r="U171" s="261"/>
      <c r="AH171" s="356"/>
      <c r="AU171" s="249"/>
      <c r="BB171" s="256"/>
      <c r="BC171" s="141"/>
      <c r="BD171" s="141"/>
      <c r="BE171" s="141"/>
    </row>
    <row r="172" spans="1:57" s="257" customFormat="1" hidden="1" outlineLevel="1" x14ac:dyDescent="0.25">
      <c r="A172" s="261"/>
      <c r="B172" s="261"/>
      <c r="C172" s="258"/>
      <c r="D172" s="264"/>
      <c r="E172" s="265"/>
      <c r="F172" s="440"/>
      <c r="G172" s="261"/>
      <c r="H172" s="261"/>
      <c r="I172" s="261"/>
      <c r="J172" s="261"/>
      <c r="K172" s="261"/>
      <c r="L172" s="177"/>
      <c r="M172" s="177"/>
      <c r="N172" s="177"/>
      <c r="O172" s="177"/>
      <c r="P172" s="177"/>
      <c r="Q172" s="261"/>
      <c r="R172" s="261"/>
      <c r="S172" s="261"/>
      <c r="T172" s="261"/>
      <c r="U172" s="261"/>
      <c r="AH172" s="356"/>
      <c r="AU172" s="249"/>
      <c r="BB172" s="256"/>
      <c r="BC172" s="141"/>
      <c r="BD172" s="141"/>
      <c r="BE172" s="141"/>
    </row>
    <row r="173" spans="1:57" s="257" customFormat="1" hidden="1" outlineLevel="1" x14ac:dyDescent="0.25">
      <c r="A173" s="261"/>
      <c r="B173" s="261"/>
      <c r="C173" s="258"/>
      <c r="D173" s="264"/>
      <c r="E173" s="265"/>
      <c r="F173" s="440"/>
      <c r="G173" s="261"/>
      <c r="H173" s="261"/>
      <c r="I173" s="261"/>
      <c r="J173" s="261"/>
      <c r="K173" s="261"/>
      <c r="L173" s="177"/>
      <c r="M173" s="177"/>
      <c r="N173" s="177"/>
      <c r="O173" s="177"/>
      <c r="P173" s="177"/>
      <c r="Q173" s="261"/>
      <c r="R173" s="261"/>
      <c r="S173" s="261"/>
      <c r="T173" s="261"/>
      <c r="U173" s="261"/>
      <c r="AH173" s="356"/>
      <c r="AU173" s="249"/>
      <c r="BB173" s="256"/>
      <c r="BC173" s="141"/>
      <c r="BD173" s="141"/>
      <c r="BE173" s="141"/>
    </row>
    <row r="174" spans="1:57" s="257" customFormat="1" hidden="1" outlineLevel="1" x14ac:dyDescent="0.25">
      <c r="A174" s="261"/>
      <c r="B174" s="261"/>
      <c r="C174" s="258"/>
      <c r="D174" s="264"/>
      <c r="E174" s="265"/>
      <c r="F174" s="440"/>
      <c r="G174" s="261"/>
      <c r="H174" s="261"/>
      <c r="I174" s="261"/>
      <c r="J174" s="261"/>
      <c r="K174" s="261"/>
      <c r="L174" s="177"/>
      <c r="M174" s="177"/>
      <c r="N174" s="177"/>
      <c r="O174" s="177"/>
      <c r="P174" s="177"/>
      <c r="Q174" s="261"/>
      <c r="R174" s="261"/>
      <c r="S174" s="261"/>
      <c r="T174" s="261"/>
      <c r="U174" s="261"/>
      <c r="AH174" s="356"/>
      <c r="AU174" s="249"/>
      <c r="BB174" s="256"/>
      <c r="BC174" s="141"/>
      <c r="BD174" s="141"/>
      <c r="BE174" s="141"/>
    </row>
    <row r="175" spans="1:57" s="257" customFormat="1" hidden="1" outlineLevel="1" x14ac:dyDescent="0.25">
      <c r="A175" s="261"/>
      <c r="B175" s="261"/>
      <c r="C175" s="258"/>
      <c r="D175" s="264"/>
      <c r="E175" s="265"/>
      <c r="F175" s="440"/>
      <c r="G175" s="261"/>
      <c r="H175" s="261"/>
      <c r="I175" s="261"/>
      <c r="J175" s="261"/>
      <c r="K175" s="261"/>
      <c r="L175" s="177"/>
      <c r="M175" s="177"/>
      <c r="N175" s="177"/>
      <c r="O175" s="177"/>
      <c r="P175" s="177"/>
      <c r="Q175" s="261"/>
      <c r="R175" s="261"/>
      <c r="S175" s="261"/>
      <c r="T175" s="261"/>
      <c r="U175" s="261"/>
      <c r="AH175" s="356"/>
      <c r="AU175" s="249"/>
      <c r="BB175" s="256"/>
      <c r="BC175" s="141"/>
      <c r="BD175" s="141"/>
      <c r="BE175" s="141"/>
    </row>
    <row r="176" spans="1:57" s="257" customFormat="1" hidden="1" outlineLevel="1" x14ac:dyDescent="0.25">
      <c r="A176" s="261"/>
      <c r="B176" s="261"/>
      <c r="C176" s="258"/>
      <c r="D176" s="264"/>
      <c r="E176" s="265"/>
      <c r="F176" s="440"/>
      <c r="G176" s="261"/>
      <c r="H176" s="261"/>
      <c r="I176" s="261"/>
      <c r="J176" s="261"/>
      <c r="K176" s="261"/>
      <c r="L176" s="177"/>
      <c r="M176" s="177"/>
      <c r="N176" s="177"/>
      <c r="O176" s="177"/>
      <c r="P176" s="177"/>
      <c r="Q176" s="261"/>
      <c r="R176" s="261"/>
      <c r="S176" s="261"/>
      <c r="T176" s="261"/>
      <c r="U176" s="261"/>
      <c r="AH176" s="356"/>
      <c r="AU176" s="249"/>
      <c r="BB176" s="256"/>
      <c r="BC176" s="141"/>
      <c r="BD176" s="141"/>
      <c r="BE176" s="141"/>
    </row>
    <row r="177" spans="1:57" s="257" customFormat="1" hidden="1" outlineLevel="1" x14ac:dyDescent="0.25">
      <c r="A177" s="261"/>
      <c r="B177" s="261"/>
      <c r="C177" s="258"/>
      <c r="D177" s="264"/>
      <c r="E177" s="265"/>
      <c r="F177" s="440"/>
      <c r="G177" s="261"/>
      <c r="H177" s="261"/>
      <c r="I177" s="261"/>
      <c r="J177" s="261"/>
      <c r="K177" s="261"/>
      <c r="L177" s="177"/>
      <c r="M177" s="177"/>
      <c r="N177" s="177"/>
      <c r="O177" s="177"/>
      <c r="P177" s="177"/>
      <c r="Q177" s="261"/>
      <c r="R177" s="261"/>
      <c r="S177" s="261"/>
      <c r="T177" s="261"/>
      <c r="U177" s="261"/>
      <c r="AH177" s="356"/>
      <c r="AU177" s="249"/>
      <c r="BB177" s="256"/>
      <c r="BC177" s="141"/>
      <c r="BD177" s="141"/>
      <c r="BE177" s="141"/>
    </row>
    <row r="178" spans="1:57" s="257" customFormat="1" hidden="1" outlineLevel="1" x14ac:dyDescent="0.25">
      <c r="A178" s="261"/>
      <c r="B178" s="261"/>
      <c r="C178" s="258"/>
      <c r="D178" s="264"/>
      <c r="E178" s="265"/>
      <c r="F178" s="440"/>
      <c r="G178" s="261"/>
      <c r="H178" s="261"/>
      <c r="I178" s="261"/>
      <c r="J178" s="261"/>
      <c r="K178" s="261"/>
      <c r="L178" s="177"/>
      <c r="M178" s="177"/>
      <c r="N178" s="177"/>
      <c r="O178" s="177"/>
      <c r="P178" s="177"/>
      <c r="Q178" s="261"/>
      <c r="R178" s="261"/>
      <c r="S178" s="261"/>
      <c r="T178" s="261"/>
      <c r="U178" s="261"/>
      <c r="AH178" s="356"/>
      <c r="AU178" s="249"/>
      <c r="BB178" s="256"/>
      <c r="BC178" s="141"/>
      <c r="BD178" s="141"/>
      <c r="BE178" s="141"/>
    </row>
    <row r="179" spans="1:57" s="257" customFormat="1" hidden="1" outlineLevel="1" x14ac:dyDescent="0.25">
      <c r="A179" s="261"/>
      <c r="B179" s="261"/>
      <c r="C179" s="258"/>
      <c r="D179" s="264"/>
      <c r="E179" s="265"/>
      <c r="F179" s="440"/>
      <c r="G179" s="261"/>
      <c r="H179" s="261"/>
      <c r="I179" s="261"/>
      <c r="J179" s="261"/>
      <c r="K179" s="261"/>
      <c r="L179" s="177"/>
      <c r="M179" s="177"/>
      <c r="N179" s="177"/>
      <c r="O179" s="177"/>
      <c r="P179" s="177"/>
      <c r="Q179" s="261"/>
      <c r="R179" s="261"/>
      <c r="S179" s="261"/>
      <c r="T179" s="261"/>
      <c r="U179" s="261"/>
      <c r="AH179" s="356"/>
      <c r="AU179" s="249"/>
      <c r="BB179" s="256"/>
      <c r="BC179" s="141"/>
      <c r="BD179" s="141"/>
      <c r="BE179" s="141"/>
    </row>
    <row r="180" spans="1:57" s="257" customFormat="1" hidden="1" outlineLevel="1" x14ac:dyDescent="0.25">
      <c r="A180" s="261"/>
      <c r="B180" s="261"/>
      <c r="C180" s="258"/>
      <c r="D180" s="264"/>
      <c r="E180" s="265"/>
      <c r="F180" s="440"/>
      <c r="G180" s="261"/>
      <c r="H180" s="261"/>
      <c r="I180" s="261"/>
      <c r="J180" s="261"/>
      <c r="K180" s="261"/>
      <c r="L180" s="177"/>
      <c r="M180" s="177"/>
      <c r="N180" s="177"/>
      <c r="O180" s="177"/>
      <c r="P180" s="177"/>
      <c r="Q180" s="261"/>
      <c r="R180" s="261"/>
      <c r="S180" s="261"/>
      <c r="T180" s="261"/>
      <c r="U180" s="261"/>
      <c r="AH180" s="356"/>
      <c r="AU180" s="249"/>
      <c r="BB180" s="256"/>
      <c r="BC180" s="141"/>
      <c r="BD180" s="141"/>
      <c r="BE180" s="141"/>
    </row>
    <row r="181" spans="1:57" s="257" customFormat="1" hidden="1" outlineLevel="1" x14ac:dyDescent="0.25">
      <c r="A181" s="261"/>
      <c r="B181" s="261"/>
      <c r="C181" s="258"/>
      <c r="D181" s="264"/>
      <c r="E181" s="265"/>
      <c r="F181" s="440"/>
      <c r="G181" s="261"/>
      <c r="H181" s="261"/>
      <c r="I181" s="261"/>
      <c r="J181" s="261"/>
      <c r="K181" s="261"/>
      <c r="L181" s="177"/>
      <c r="M181" s="177"/>
      <c r="N181" s="177"/>
      <c r="O181" s="177"/>
      <c r="P181" s="177"/>
      <c r="Q181" s="261"/>
      <c r="R181" s="261"/>
      <c r="S181" s="261"/>
      <c r="T181" s="261"/>
      <c r="U181" s="261"/>
      <c r="AH181" s="356"/>
      <c r="AU181" s="249"/>
      <c r="BB181" s="256"/>
      <c r="BC181" s="141"/>
      <c r="BD181" s="141"/>
      <c r="BE181" s="141"/>
    </row>
    <row r="182" spans="1:57" s="257" customFormat="1" hidden="1" outlineLevel="1" x14ac:dyDescent="0.25">
      <c r="A182" s="261"/>
      <c r="B182" s="261"/>
      <c r="C182" s="258"/>
      <c r="D182" s="441"/>
      <c r="E182" s="265"/>
      <c r="F182" s="440"/>
      <c r="G182" s="261"/>
      <c r="H182" s="261"/>
      <c r="I182" s="261"/>
      <c r="J182" s="261"/>
      <c r="K182" s="261"/>
      <c r="L182" s="177"/>
      <c r="M182" s="443"/>
      <c r="N182" s="443"/>
      <c r="O182" s="443"/>
      <c r="P182" s="443"/>
      <c r="Q182" s="1910"/>
      <c r="R182" s="261"/>
      <c r="S182" s="261"/>
      <c r="T182" s="261"/>
      <c r="U182" s="261"/>
      <c r="V182" s="55" t="s">
        <v>27</v>
      </c>
      <c r="W182" s="56">
        <v>43252</v>
      </c>
      <c r="X182" s="56">
        <f>$X$6</f>
        <v>43465</v>
      </c>
      <c r="Y182" s="56">
        <f>$Y$6</f>
        <v>43800</v>
      </c>
      <c r="Z182" s="56">
        <f>$Z$6</f>
        <v>43862</v>
      </c>
      <c r="AA182" s="56" t="str">
        <f>$AA$6</f>
        <v>-</v>
      </c>
      <c r="AB182" s="56" t="str">
        <f>$AB$6</f>
        <v>-</v>
      </c>
      <c r="AC182" s="56" t="str">
        <f>$AC$6</f>
        <v>-</v>
      </c>
      <c r="AD182" s="56" t="str">
        <f>$AD$6</f>
        <v>-</v>
      </c>
      <c r="AE182" s="56" t="str">
        <f>$AE$6</f>
        <v>-</v>
      </c>
      <c r="AF182" s="56" t="str">
        <f>$AF$6</f>
        <v>-</v>
      </c>
      <c r="AG182" s="56" t="str">
        <f>$AG$6</f>
        <v>-</v>
      </c>
      <c r="AH182" s="356"/>
      <c r="AI182" s="56">
        <v>43252</v>
      </c>
      <c r="AJ182" s="56">
        <f>$Y$6</f>
        <v>43800</v>
      </c>
      <c r="AK182" s="56">
        <f>$Y$6</f>
        <v>43800</v>
      </c>
      <c r="AL182" s="56">
        <f>$Z$6</f>
        <v>43862</v>
      </c>
      <c r="AM182" s="56" t="str">
        <f>$AA$6</f>
        <v>-</v>
      </c>
      <c r="AN182" s="56" t="str">
        <f>$AB$6</f>
        <v>-</v>
      </c>
      <c r="AO182" s="56" t="str">
        <f>$AC$6</f>
        <v>-</v>
      </c>
      <c r="AP182" s="56" t="str">
        <f>$AD$6</f>
        <v>-</v>
      </c>
      <c r="AQ182" s="56" t="str">
        <f>$AE$6</f>
        <v>-</v>
      </c>
      <c r="AR182" s="56" t="str">
        <f>$AF$6</f>
        <v>-</v>
      </c>
      <c r="AS182" s="56" t="str">
        <f>$AG$6</f>
        <v>-</v>
      </c>
      <c r="AU182" s="249"/>
      <c r="BB182" s="256"/>
      <c r="BC182" s="141"/>
      <c r="BD182" s="141"/>
      <c r="BE182" s="141"/>
    </row>
    <row r="183" spans="1:57" s="78" customFormat="1" ht="15" hidden="1" customHeight="1" outlineLevel="1" x14ac:dyDescent="0.25">
      <c r="A183" s="553"/>
      <c r="B183" s="553"/>
      <c r="C183" s="231"/>
      <c r="D183" s="2365" t="s">
        <v>618</v>
      </c>
      <c r="E183" s="2365" t="s">
        <v>619</v>
      </c>
      <c r="F183" s="2345" t="s">
        <v>813</v>
      </c>
      <c r="G183" s="2345" t="s">
        <v>814</v>
      </c>
      <c r="H183" s="2669" t="s">
        <v>670</v>
      </c>
      <c r="I183" s="2669"/>
      <c r="J183" s="2669" t="s">
        <v>621</v>
      </c>
      <c r="K183" s="2669"/>
      <c r="L183" s="553"/>
      <c r="M183" s="229"/>
      <c r="N183" s="229"/>
      <c r="O183" s="229"/>
      <c r="P183" s="229"/>
      <c r="Q183" s="1726"/>
      <c r="R183" s="553"/>
      <c r="S183" s="553"/>
      <c r="T183" s="553"/>
      <c r="U183" s="553"/>
      <c r="V183" s="79"/>
      <c r="W183" s="80" t="s">
        <v>813</v>
      </c>
      <c r="X183" s="80" t="s">
        <v>813</v>
      </c>
      <c r="Y183" s="80" t="s">
        <v>813</v>
      </c>
      <c r="Z183" s="80" t="s">
        <v>813</v>
      </c>
      <c r="AA183" s="80" t="s">
        <v>813</v>
      </c>
      <c r="AB183" s="80" t="s">
        <v>813</v>
      </c>
      <c r="AC183" s="80" t="s">
        <v>813</v>
      </c>
      <c r="AD183" s="80" t="s">
        <v>813</v>
      </c>
      <c r="AE183" s="80" t="s">
        <v>813</v>
      </c>
      <c r="AF183" s="80" t="s">
        <v>813</v>
      </c>
      <c r="AG183" s="80" t="s">
        <v>813</v>
      </c>
      <c r="AH183" s="356"/>
      <c r="AI183" s="80" t="s">
        <v>814</v>
      </c>
      <c r="AJ183" s="80" t="s">
        <v>814</v>
      </c>
      <c r="AK183" s="80" t="s">
        <v>814</v>
      </c>
      <c r="AL183" s="80" t="s">
        <v>814</v>
      </c>
      <c r="AM183" s="80" t="s">
        <v>814</v>
      </c>
      <c r="AN183" s="80" t="s">
        <v>814</v>
      </c>
      <c r="AO183" s="80" t="s">
        <v>814</v>
      </c>
      <c r="AP183" s="80" t="s">
        <v>814</v>
      </c>
      <c r="AQ183" s="80" t="s">
        <v>814</v>
      </c>
      <c r="AR183" s="80" t="s">
        <v>814</v>
      </c>
      <c r="AS183" s="80" t="s">
        <v>814</v>
      </c>
      <c r="AT183" s="257"/>
      <c r="AU183" s="249"/>
      <c r="BB183" s="256"/>
      <c r="BC183" s="141"/>
      <c r="BD183" s="141"/>
      <c r="BE183" s="141"/>
    </row>
    <row r="184" spans="1:57" ht="45" hidden="1" customHeight="1" outlineLevel="1" x14ac:dyDescent="0.25">
      <c r="D184" s="2346" t="s">
        <v>815</v>
      </c>
      <c r="E184" s="2346" t="s">
        <v>816</v>
      </c>
      <c r="F184" s="444">
        <v>121.6</v>
      </c>
      <c r="G184" s="444">
        <v>121.6</v>
      </c>
      <c r="H184" s="2692" t="s">
        <v>817</v>
      </c>
      <c r="I184" s="2692"/>
      <c r="J184" s="2693" t="s">
        <v>678</v>
      </c>
      <c r="K184" s="2693"/>
      <c r="M184" s="1911"/>
      <c r="N184" s="1911"/>
      <c r="O184" s="1911"/>
      <c r="P184" s="1911"/>
      <c r="Q184" s="1912"/>
      <c r="V184" s="446" t="str">
        <f t="shared" ref="V184:V196" si="8">D184</f>
        <v>Daysoper</v>
      </c>
      <c r="W184" s="447">
        <v>121.6</v>
      </c>
      <c r="X184" s="447">
        <v>121.6</v>
      </c>
      <c r="Y184" s="448">
        <v>121.6</v>
      </c>
      <c r="Z184" s="447"/>
      <c r="AA184" s="447"/>
      <c r="AB184" s="447"/>
      <c r="AC184" s="447"/>
      <c r="AD184" s="447"/>
      <c r="AE184" s="447"/>
      <c r="AF184" s="447"/>
      <c r="AG184" s="447"/>
      <c r="AH184" s="356"/>
      <c r="AI184" s="447">
        <v>121.6</v>
      </c>
      <c r="AJ184" s="447">
        <v>121.6</v>
      </c>
      <c r="AK184" s="449">
        <v>121.6</v>
      </c>
      <c r="AL184" s="447"/>
      <c r="AM184" s="447"/>
      <c r="AN184" s="447"/>
      <c r="AO184" s="447"/>
      <c r="AP184" s="447"/>
      <c r="AQ184" s="447"/>
      <c r="AR184" s="447"/>
      <c r="AS184" s="447"/>
      <c r="AT184" s="257"/>
      <c r="AU184" s="249"/>
    </row>
    <row r="185" spans="1:57" ht="45" hidden="1" customHeight="1" outlineLevel="1" x14ac:dyDescent="0.25">
      <c r="D185" s="2346" t="s">
        <v>818</v>
      </c>
      <c r="E185" s="2346" t="s">
        <v>819</v>
      </c>
      <c r="F185" s="444">
        <v>11.4</v>
      </c>
      <c r="G185" s="444">
        <v>11.4</v>
      </c>
      <c r="H185" s="2692" t="s">
        <v>817</v>
      </c>
      <c r="I185" s="2692"/>
      <c r="J185" s="2693" t="s">
        <v>678</v>
      </c>
      <c r="K185" s="2693"/>
      <c r="M185" s="1911"/>
      <c r="N185" s="1911"/>
      <c r="O185" s="1911"/>
      <c r="P185" s="1911"/>
      <c r="Q185" s="1912"/>
      <c r="V185" s="446" t="str">
        <f t="shared" si="8"/>
        <v>RTss</v>
      </c>
      <c r="W185" s="447">
        <v>11.4</v>
      </c>
      <c r="X185" s="447">
        <v>11.4</v>
      </c>
      <c r="Y185" s="444">
        <v>11.4</v>
      </c>
      <c r="Z185" s="447"/>
      <c r="AA185" s="447"/>
      <c r="AB185" s="447"/>
      <c r="AC185" s="447"/>
      <c r="AD185" s="447"/>
      <c r="AE185" s="447"/>
      <c r="AF185" s="447"/>
      <c r="AG185" s="447"/>
      <c r="AH185" s="356"/>
      <c r="AI185" s="447">
        <v>11.4</v>
      </c>
      <c r="AJ185" s="447">
        <v>11.4</v>
      </c>
      <c r="AK185" s="447">
        <v>11.4</v>
      </c>
      <c r="AL185" s="447"/>
      <c r="AM185" s="447"/>
      <c r="AN185" s="447"/>
      <c r="AO185" s="447"/>
      <c r="AP185" s="447"/>
      <c r="AQ185" s="447"/>
      <c r="AR185" s="447"/>
      <c r="AS185" s="447"/>
      <c r="AT185" s="257"/>
      <c r="AU185" s="249"/>
    </row>
    <row r="186" spans="1:57" ht="45" hidden="1" customHeight="1" outlineLevel="1" x14ac:dyDescent="0.25">
      <c r="D186" s="2346" t="s">
        <v>820</v>
      </c>
      <c r="E186" s="2346" t="s">
        <v>821</v>
      </c>
      <c r="F186" s="444">
        <v>9.8000000000000007</v>
      </c>
      <c r="G186" s="444">
        <v>10</v>
      </c>
      <c r="H186" s="2692" t="s">
        <v>817</v>
      </c>
      <c r="I186" s="2692"/>
      <c r="J186" s="2693" t="s">
        <v>678</v>
      </c>
      <c r="K186" s="2693"/>
      <c r="M186" s="1911"/>
      <c r="N186" s="1911"/>
      <c r="O186" s="1911"/>
      <c r="P186" s="1911"/>
      <c r="Q186" s="1912"/>
      <c r="V186" s="446" t="str">
        <f t="shared" si="8"/>
        <v>RTls</v>
      </c>
      <c r="W186" s="447">
        <v>9.8000000000000007</v>
      </c>
      <c r="X186" s="447">
        <v>9.8000000000000007</v>
      </c>
      <c r="Y186" s="444">
        <v>9.8000000000000007</v>
      </c>
      <c r="Z186" s="447"/>
      <c r="AA186" s="447"/>
      <c r="AB186" s="447"/>
      <c r="AC186" s="447"/>
      <c r="AD186" s="447"/>
      <c r="AE186" s="447"/>
      <c r="AF186" s="447"/>
      <c r="AG186" s="447"/>
      <c r="AH186" s="356"/>
      <c r="AI186" s="447">
        <v>10</v>
      </c>
      <c r="AJ186" s="447">
        <v>10</v>
      </c>
      <c r="AK186" s="447">
        <v>10</v>
      </c>
      <c r="AL186" s="447"/>
      <c r="AM186" s="447"/>
      <c r="AN186" s="447"/>
      <c r="AO186" s="447"/>
      <c r="AP186" s="447"/>
      <c r="AQ186" s="447"/>
      <c r="AR186" s="447"/>
      <c r="AS186" s="447"/>
      <c r="AT186" s="257"/>
      <c r="AU186" s="249"/>
    </row>
    <row r="187" spans="1:57" ht="45" hidden="1" customHeight="1" outlineLevel="1" x14ac:dyDescent="0.25">
      <c r="D187" s="2346" t="s">
        <v>822</v>
      </c>
      <c r="E187" s="2346" t="s">
        <v>823</v>
      </c>
      <c r="F187" s="444">
        <v>2</v>
      </c>
      <c r="G187" s="444">
        <v>2</v>
      </c>
      <c r="H187" s="2692" t="s">
        <v>817</v>
      </c>
      <c r="I187" s="2692"/>
      <c r="J187" s="2693" t="s">
        <v>678</v>
      </c>
      <c r="K187" s="2693"/>
      <c r="M187" s="1911"/>
      <c r="N187" s="1911"/>
      <c r="O187" s="1911"/>
      <c r="P187" s="1911"/>
      <c r="Q187" s="1912"/>
      <c r="V187" s="446" t="str">
        <f t="shared" si="8"/>
        <v>RThs</v>
      </c>
      <c r="W187" s="447">
        <v>2</v>
      </c>
      <c r="X187" s="447">
        <v>2</v>
      </c>
      <c r="Y187" s="448">
        <v>2</v>
      </c>
      <c r="Z187" s="447"/>
      <c r="AA187" s="447"/>
      <c r="AB187" s="447"/>
      <c r="AC187" s="447"/>
      <c r="AD187" s="447"/>
      <c r="AE187" s="447"/>
      <c r="AF187" s="447"/>
      <c r="AG187" s="447"/>
      <c r="AI187" s="447">
        <v>2</v>
      </c>
      <c r="AJ187" s="447">
        <v>2</v>
      </c>
      <c r="AK187" s="449">
        <v>2</v>
      </c>
      <c r="AL187" s="447"/>
      <c r="AM187" s="447"/>
      <c r="AN187" s="447"/>
      <c r="AO187" s="447"/>
      <c r="AP187" s="447"/>
      <c r="AQ187" s="447"/>
      <c r="AR187" s="447"/>
      <c r="AS187" s="447"/>
      <c r="AT187" s="257"/>
      <c r="AU187" s="249"/>
    </row>
    <row r="188" spans="1:57" ht="45" hidden="1" customHeight="1" outlineLevel="1" x14ac:dyDescent="0.25">
      <c r="D188" s="2346" t="s">
        <v>824</v>
      </c>
      <c r="E188" s="2346" t="s">
        <v>825</v>
      </c>
      <c r="F188" s="444">
        <v>64.400000000000006</v>
      </c>
      <c r="G188" s="444">
        <v>64.400000000000006</v>
      </c>
      <c r="H188" s="2692" t="s">
        <v>817</v>
      </c>
      <c r="I188" s="2692"/>
      <c r="J188" s="2693" t="s">
        <v>678</v>
      </c>
      <c r="K188" s="2693"/>
      <c r="M188" s="1911"/>
      <c r="N188" s="1911"/>
      <c r="O188" s="1911"/>
      <c r="P188" s="1911"/>
      <c r="Q188" s="1912"/>
      <c r="V188" s="446" t="str">
        <f t="shared" si="8"/>
        <v>GPMss</v>
      </c>
      <c r="W188" s="447">
        <v>64.400000000000006</v>
      </c>
      <c r="X188" s="447">
        <v>64.400000000000006</v>
      </c>
      <c r="Y188" s="448">
        <v>64.400000000000006</v>
      </c>
      <c r="Z188" s="447"/>
      <c r="AA188" s="447"/>
      <c r="AB188" s="447"/>
      <c r="AC188" s="447"/>
      <c r="AD188" s="447"/>
      <c r="AE188" s="447"/>
      <c r="AF188" s="447"/>
      <c r="AG188" s="447"/>
      <c r="AI188" s="447">
        <v>64.400000000000006</v>
      </c>
      <c r="AJ188" s="447">
        <v>64.400000000000006</v>
      </c>
      <c r="AK188" s="449">
        <v>64.400000000000006</v>
      </c>
      <c r="AL188" s="447"/>
      <c r="AM188" s="447"/>
      <c r="AN188" s="447"/>
      <c r="AO188" s="447"/>
      <c r="AP188" s="447"/>
      <c r="AQ188" s="447"/>
      <c r="AR188" s="447"/>
      <c r="AS188" s="447"/>
      <c r="AT188" s="257"/>
      <c r="AU188" s="249"/>
    </row>
    <row r="189" spans="1:57" ht="45" hidden="1" customHeight="1" outlineLevel="1" x14ac:dyDescent="0.25">
      <c r="D189" s="2346" t="s">
        <v>826</v>
      </c>
      <c r="E189" s="2346" t="s">
        <v>827</v>
      </c>
      <c r="F189" s="444">
        <v>31</v>
      </c>
      <c r="G189" s="444">
        <v>30.6</v>
      </c>
      <c r="H189" s="2692" t="s">
        <v>817</v>
      </c>
      <c r="I189" s="2692"/>
      <c r="J189" s="2693" t="s">
        <v>678</v>
      </c>
      <c r="K189" s="2693"/>
      <c r="M189" s="1911"/>
      <c r="N189" s="1911"/>
      <c r="O189" s="1911"/>
      <c r="P189" s="1911"/>
      <c r="Q189" s="1912"/>
      <c r="V189" s="446" t="str">
        <f t="shared" si="8"/>
        <v>GPMls</v>
      </c>
      <c r="W189" s="447">
        <v>31</v>
      </c>
      <c r="X189" s="447">
        <v>31</v>
      </c>
      <c r="Y189" s="448">
        <v>31</v>
      </c>
      <c r="Z189" s="447"/>
      <c r="AA189" s="447"/>
      <c r="AB189" s="447"/>
      <c r="AC189" s="447"/>
      <c r="AD189" s="447"/>
      <c r="AE189" s="447"/>
      <c r="AF189" s="447"/>
      <c r="AG189" s="447"/>
      <c r="AI189" s="447">
        <v>30.6</v>
      </c>
      <c r="AJ189" s="447">
        <v>30.6</v>
      </c>
      <c r="AK189" s="449">
        <v>30.6</v>
      </c>
      <c r="AL189" s="447"/>
      <c r="AM189" s="447"/>
      <c r="AN189" s="447"/>
      <c r="AO189" s="447"/>
      <c r="AP189" s="447"/>
      <c r="AQ189" s="447"/>
      <c r="AR189" s="447"/>
      <c r="AS189" s="447"/>
      <c r="AT189" s="257"/>
      <c r="AU189" s="249"/>
    </row>
    <row r="190" spans="1:57" ht="45" hidden="1" customHeight="1" outlineLevel="1" x14ac:dyDescent="0.25">
      <c r="D190" s="2346" t="s">
        <v>828</v>
      </c>
      <c r="E190" s="2346" t="s">
        <v>829</v>
      </c>
      <c r="F190" s="444">
        <v>56</v>
      </c>
      <c r="G190" s="444">
        <v>50</v>
      </c>
      <c r="H190" s="2692" t="s">
        <v>817</v>
      </c>
      <c r="I190" s="2692"/>
      <c r="J190" s="2693" t="s">
        <v>678</v>
      </c>
      <c r="K190" s="2693"/>
      <c r="M190" s="1911"/>
      <c r="N190" s="1911"/>
      <c r="O190" s="1911"/>
      <c r="P190" s="1911"/>
      <c r="Q190" s="1912"/>
      <c r="V190" s="446" t="str">
        <f t="shared" si="8"/>
        <v>GPMhs</v>
      </c>
      <c r="W190" s="447">
        <v>56</v>
      </c>
      <c r="X190" s="447">
        <v>56</v>
      </c>
      <c r="Y190" s="448">
        <v>56</v>
      </c>
      <c r="Z190" s="447"/>
      <c r="AA190" s="447"/>
      <c r="AB190" s="447"/>
      <c r="AC190" s="447"/>
      <c r="AD190" s="447"/>
      <c r="AE190" s="447"/>
      <c r="AF190" s="447"/>
      <c r="AG190" s="447"/>
      <c r="AI190" s="447">
        <v>50</v>
      </c>
      <c r="AJ190" s="447">
        <v>50</v>
      </c>
      <c r="AK190" s="449">
        <v>50</v>
      </c>
      <c r="AL190" s="447"/>
      <c r="AM190" s="447"/>
      <c r="AN190" s="447"/>
      <c r="AO190" s="447"/>
      <c r="AP190" s="447"/>
      <c r="AQ190" s="447"/>
      <c r="AR190" s="447"/>
      <c r="AS190" s="447"/>
      <c r="AT190" s="257"/>
      <c r="AU190" s="249"/>
    </row>
    <row r="191" spans="1:57" ht="45" hidden="1" customHeight="1" outlineLevel="1" x14ac:dyDescent="0.25">
      <c r="D191" s="2346" t="s">
        <v>830</v>
      </c>
      <c r="E191" s="2346" t="s">
        <v>831</v>
      </c>
      <c r="F191" s="444">
        <v>2.1</v>
      </c>
      <c r="G191" s="444">
        <v>2.1</v>
      </c>
      <c r="H191" s="2692" t="s">
        <v>817</v>
      </c>
      <c r="I191" s="2692"/>
      <c r="J191" s="2693" t="s">
        <v>678</v>
      </c>
      <c r="K191" s="2693"/>
      <c r="M191" s="1911"/>
      <c r="N191" s="1911"/>
      <c r="O191" s="1911"/>
      <c r="P191" s="1911"/>
      <c r="Q191" s="1912"/>
      <c r="V191" s="446" t="str">
        <f t="shared" si="8"/>
        <v>Efss</v>
      </c>
      <c r="W191" s="447">
        <v>2.1</v>
      </c>
      <c r="X191" s="447">
        <v>2.1</v>
      </c>
      <c r="Y191" s="448">
        <v>2.1</v>
      </c>
      <c r="Z191" s="447"/>
      <c r="AA191" s="447"/>
      <c r="AB191" s="447"/>
      <c r="AC191" s="447"/>
      <c r="AD191" s="447"/>
      <c r="AE191" s="447"/>
      <c r="AF191" s="447"/>
      <c r="AG191" s="447"/>
      <c r="AI191" s="447">
        <v>2.1</v>
      </c>
      <c r="AJ191" s="447">
        <v>2.1</v>
      </c>
      <c r="AK191" s="449">
        <v>2.1</v>
      </c>
      <c r="AL191" s="447"/>
      <c r="AM191" s="447"/>
      <c r="AN191" s="447"/>
      <c r="AO191" s="447"/>
      <c r="AP191" s="447"/>
      <c r="AQ191" s="447"/>
      <c r="AR191" s="447"/>
      <c r="AS191" s="447"/>
      <c r="AT191" s="257"/>
      <c r="AU191" s="249"/>
    </row>
    <row r="192" spans="1:57" ht="45" hidden="1" customHeight="1" outlineLevel="1" x14ac:dyDescent="0.25">
      <c r="D192" s="2346" t="s">
        <v>832</v>
      </c>
      <c r="E192" s="2346" t="s">
        <v>833</v>
      </c>
      <c r="F192" s="444">
        <v>5.4</v>
      </c>
      <c r="G192" s="444">
        <v>7.3</v>
      </c>
      <c r="H192" s="2692" t="s">
        <v>817</v>
      </c>
      <c r="I192" s="2692"/>
      <c r="J192" s="2693" t="s">
        <v>678</v>
      </c>
      <c r="K192" s="2693"/>
      <c r="M192" s="1911"/>
      <c r="N192" s="1911"/>
      <c r="O192" s="1911"/>
      <c r="P192" s="1911"/>
      <c r="Q192" s="1912"/>
      <c r="V192" s="446" t="str">
        <f t="shared" si="8"/>
        <v>Efls</v>
      </c>
      <c r="W192" s="447">
        <v>5.4</v>
      </c>
      <c r="X192" s="447">
        <v>5.4</v>
      </c>
      <c r="Y192" s="448">
        <v>5.4</v>
      </c>
      <c r="Z192" s="447"/>
      <c r="AA192" s="447"/>
      <c r="AB192" s="447"/>
      <c r="AC192" s="447"/>
      <c r="AD192" s="447"/>
      <c r="AE192" s="447"/>
      <c r="AF192" s="447"/>
      <c r="AG192" s="447"/>
      <c r="AI192" s="447">
        <v>7.3</v>
      </c>
      <c r="AJ192" s="447">
        <v>7.3</v>
      </c>
      <c r="AK192" s="449">
        <v>7.3</v>
      </c>
      <c r="AL192" s="447"/>
      <c r="AM192" s="447"/>
      <c r="AN192" s="447"/>
      <c r="AO192" s="447"/>
      <c r="AP192" s="447"/>
      <c r="AQ192" s="447"/>
      <c r="AR192" s="447"/>
      <c r="AS192" s="447"/>
      <c r="AT192" s="257"/>
      <c r="AU192" s="249"/>
    </row>
    <row r="193" spans="1:57" ht="45" hidden="1" customHeight="1" outlineLevel="1" x14ac:dyDescent="0.25">
      <c r="D193" s="2346" t="s">
        <v>834</v>
      </c>
      <c r="E193" s="2346" t="s">
        <v>835</v>
      </c>
      <c r="F193" s="444">
        <v>2.4</v>
      </c>
      <c r="G193" s="444">
        <v>3.8</v>
      </c>
      <c r="H193" s="2692" t="s">
        <v>817</v>
      </c>
      <c r="I193" s="2692"/>
      <c r="J193" s="2693" t="s">
        <v>678</v>
      </c>
      <c r="K193" s="2693"/>
      <c r="M193" s="1911"/>
      <c r="N193" s="1911"/>
      <c r="O193" s="1911"/>
      <c r="P193" s="1911"/>
      <c r="Q193" s="1912"/>
      <c r="V193" s="446" t="str">
        <f t="shared" si="8"/>
        <v>Efhs</v>
      </c>
      <c r="W193" s="447">
        <v>2.4</v>
      </c>
      <c r="X193" s="447">
        <v>2.4</v>
      </c>
      <c r="Y193" s="448">
        <v>2.4</v>
      </c>
      <c r="Z193" s="447"/>
      <c r="AA193" s="447"/>
      <c r="AB193" s="447"/>
      <c r="AC193" s="447"/>
      <c r="AD193" s="447"/>
      <c r="AE193" s="447"/>
      <c r="AF193" s="447"/>
      <c r="AG193" s="447"/>
      <c r="AI193" s="447">
        <v>3.8</v>
      </c>
      <c r="AJ193" s="447">
        <v>3.8</v>
      </c>
      <c r="AK193" s="449">
        <v>3.8</v>
      </c>
      <c r="AL193" s="447"/>
      <c r="AM193" s="447"/>
      <c r="AN193" s="447"/>
      <c r="AO193" s="447"/>
      <c r="AP193" s="447"/>
      <c r="AQ193" s="447"/>
      <c r="AR193" s="447"/>
      <c r="AS193" s="447"/>
      <c r="AT193" s="257"/>
      <c r="AU193" s="249"/>
    </row>
    <row r="194" spans="1:57" s="43" customFormat="1" ht="45" hidden="1" customHeight="1" outlineLevel="1" x14ac:dyDescent="0.25">
      <c r="A194" s="233"/>
      <c r="B194" s="233"/>
      <c r="C194" s="231"/>
      <c r="D194" s="2346" t="s">
        <v>731</v>
      </c>
      <c r="E194" s="2346" t="s">
        <v>731</v>
      </c>
      <c r="F194" s="450">
        <v>1</v>
      </c>
      <c r="G194" s="450">
        <v>1</v>
      </c>
      <c r="H194" s="2692" t="s">
        <v>836</v>
      </c>
      <c r="I194" s="2692"/>
      <c r="J194" s="2693" t="s">
        <v>678</v>
      </c>
      <c r="K194" s="2693"/>
      <c r="L194" s="233"/>
      <c r="M194" s="1913"/>
      <c r="N194" s="1913"/>
      <c r="O194" s="1913"/>
      <c r="P194" s="1911"/>
      <c r="Q194" s="1912"/>
      <c r="R194" s="233"/>
      <c r="S194" s="233"/>
      <c r="T194" s="233"/>
      <c r="U194" s="233"/>
      <c r="V194" s="451" t="str">
        <f t="shared" si="8"/>
        <v>Installation Rate</v>
      </c>
      <c r="W194" s="320">
        <v>1</v>
      </c>
      <c r="X194" s="320">
        <v>1</v>
      </c>
      <c r="Y194" s="320">
        <v>1</v>
      </c>
      <c r="Z194" s="320"/>
      <c r="AA194" s="320"/>
      <c r="AB194" s="320"/>
      <c r="AC194" s="320"/>
      <c r="AD194" s="320"/>
      <c r="AE194" s="320"/>
      <c r="AF194" s="320"/>
      <c r="AG194" s="320"/>
      <c r="AI194" s="320">
        <v>1</v>
      </c>
      <c r="AJ194" s="320">
        <v>1</v>
      </c>
      <c r="AK194" s="320">
        <v>1</v>
      </c>
      <c r="AL194" s="320"/>
      <c r="AM194" s="320"/>
      <c r="AN194" s="320"/>
      <c r="AO194" s="320"/>
      <c r="AP194" s="320"/>
      <c r="AQ194" s="320"/>
      <c r="AR194" s="320"/>
      <c r="AS194" s="320"/>
      <c r="AT194" s="257"/>
      <c r="AU194" s="249"/>
      <c r="BB194" s="256"/>
      <c r="BC194" s="141"/>
      <c r="BD194" s="141"/>
      <c r="BE194" s="141"/>
    </row>
    <row r="195" spans="1:57" s="43" customFormat="1" hidden="1" outlineLevel="1" x14ac:dyDescent="0.25">
      <c r="A195" s="233"/>
      <c r="B195" s="233"/>
      <c r="C195" s="231"/>
      <c r="D195" s="423" t="str">
        <f>$D$50</f>
        <v>EUL</v>
      </c>
      <c r="E195" s="423" t="str">
        <f>$E$50</f>
        <v>Effective Useful Life</v>
      </c>
      <c r="F195" s="452">
        <v>10</v>
      </c>
      <c r="G195" s="452">
        <v>10</v>
      </c>
      <c r="H195" s="2692"/>
      <c r="I195" s="2692"/>
      <c r="J195" s="2692" t="s">
        <v>37</v>
      </c>
      <c r="K195" s="2692"/>
      <c r="L195" s="327"/>
      <c r="M195" s="1913"/>
      <c r="N195" s="1913"/>
      <c r="O195" s="1913"/>
      <c r="P195" s="1911"/>
      <c r="Q195" s="1912"/>
      <c r="R195" s="233"/>
      <c r="S195" s="233"/>
      <c r="T195" s="233"/>
      <c r="U195" s="233"/>
      <c r="V195" s="453" t="str">
        <f t="shared" si="8"/>
        <v>EUL</v>
      </c>
      <c r="W195" s="321">
        <v>10</v>
      </c>
      <c r="X195" s="321">
        <v>10</v>
      </c>
      <c r="Y195" s="321">
        <v>10</v>
      </c>
      <c r="Z195" s="321"/>
      <c r="AA195" s="321"/>
      <c r="AB195" s="321"/>
      <c r="AC195" s="321"/>
      <c r="AD195" s="321"/>
      <c r="AE195" s="321"/>
      <c r="AF195" s="321"/>
      <c r="AG195" s="321"/>
      <c r="AI195" s="321">
        <v>10</v>
      </c>
      <c r="AJ195" s="321">
        <v>10</v>
      </c>
      <c r="AK195" s="321">
        <v>10</v>
      </c>
      <c r="AL195" s="321"/>
      <c r="AM195" s="321"/>
      <c r="AN195" s="321"/>
      <c r="AO195" s="321"/>
      <c r="AP195" s="321"/>
      <c r="AQ195" s="321"/>
      <c r="AR195" s="321"/>
      <c r="AS195" s="321"/>
      <c r="AT195" s="257"/>
      <c r="AU195" s="249"/>
      <c r="BB195" s="256"/>
      <c r="BC195" s="141"/>
      <c r="BD195" s="141"/>
      <c r="BE195" s="141"/>
    </row>
    <row r="196" spans="1:57" s="43" customFormat="1" hidden="1" outlineLevel="1" x14ac:dyDescent="0.25">
      <c r="A196" s="233"/>
      <c r="B196" s="233"/>
      <c r="C196" s="231"/>
      <c r="D196" s="423" t="str">
        <f>$D$51</f>
        <v>Inc. Cost</v>
      </c>
      <c r="E196" s="423" t="str">
        <f>$E$51</f>
        <v>Incremental Cost ($)</v>
      </c>
      <c r="F196" s="426">
        <v>235</v>
      </c>
      <c r="G196" s="426">
        <v>549</v>
      </c>
      <c r="H196" s="2692"/>
      <c r="I196" s="2692"/>
      <c r="J196" s="2692" t="s">
        <v>37</v>
      </c>
      <c r="K196" s="2692"/>
      <c r="L196" s="327"/>
      <c r="M196" s="1913"/>
      <c r="N196" s="1913"/>
      <c r="O196" s="1913"/>
      <c r="P196" s="1911"/>
      <c r="Q196" s="1912"/>
      <c r="R196" s="233"/>
      <c r="S196" s="233"/>
      <c r="T196" s="233"/>
      <c r="U196" s="233"/>
      <c r="V196" s="453" t="str">
        <f t="shared" si="8"/>
        <v>Inc. Cost</v>
      </c>
      <c r="W196" s="454">
        <v>235</v>
      </c>
      <c r="X196" s="454">
        <v>235</v>
      </c>
      <c r="Y196" s="454">
        <v>235</v>
      </c>
      <c r="Z196" s="454"/>
      <c r="AA196" s="454"/>
      <c r="AB196" s="454"/>
      <c r="AC196" s="454"/>
      <c r="AD196" s="454"/>
      <c r="AE196" s="454"/>
      <c r="AF196" s="454"/>
      <c r="AG196" s="454"/>
      <c r="AI196" s="454">
        <v>549</v>
      </c>
      <c r="AJ196" s="454">
        <v>549</v>
      </c>
      <c r="AK196" s="454">
        <v>549</v>
      </c>
      <c r="AL196" s="454"/>
      <c r="AM196" s="454"/>
      <c r="AN196" s="454"/>
      <c r="AO196" s="454"/>
      <c r="AP196" s="454"/>
      <c r="AQ196" s="454"/>
      <c r="AR196" s="454"/>
      <c r="AS196" s="454"/>
      <c r="AT196" s="257"/>
      <c r="AU196" s="249"/>
      <c r="BB196" s="256"/>
      <c r="BC196" s="141"/>
      <c r="BD196" s="141"/>
      <c r="BE196" s="141"/>
    </row>
    <row r="197" spans="1:57" collapsed="1" x14ac:dyDescent="0.25">
      <c r="AT197" s="257"/>
      <c r="AU197" s="249"/>
    </row>
    <row r="198" spans="1:57" x14ac:dyDescent="0.25">
      <c r="AT198" s="257"/>
      <c r="AU198" s="249"/>
    </row>
    <row r="199" spans="1:57" x14ac:dyDescent="0.25">
      <c r="A199" s="177"/>
      <c r="B199" s="2639" t="s">
        <v>837</v>
      </c>
      <c r="C199" s="2640"/>
      <c r="D199" s="2640"/>
      <c r="E199" s="2640"/>
      <c r="F199" s="2640"/>
      <c r="G199" s="2640"/>
      <c r="H199" s="2640"/>
      <c r="I199" s="2641"/>
      <c r="J199" s="2641"/>
      <c r="K199" s="2641"/>
      <c r="L199" s="2641"/>
      <c r="M199" s="2641"/>
      <c r="N199" s="2641"/>
      <c r="O199" s="2642"/>
      <c r="V199" s="2639" t="str">
        <f>B199</f>
        <v>Advanced Power Strips Tier 2  /  Advanced Control Stategies</v>
      </c>
      <c r="W199" s="2640"/>
      <c r="X199" s="2640"/>
      <c r="Y199" s="2640"/>
      <c r="Z199" s="2640"/>
      <c r="AA199" s="2640"/>
      <c r="AB199" s="2640"/>
      <c r="AC199" s="2615"/>
      <c r="AD199" s="2615"/>
      <c r="AE199" s="2615"/>
      <c r="AF199" s="2615"/>
      <c r="AG199" s="2615"/>
      <c r="AH199" s="2615"/>
      <c r="AI199" s="2616"/>
      <c r="AU199" s="249"/>
    </row>
    <row r="200" spans="1:57" x14ac:dyDescent="0.25">
      <c r="A200" s="177"/>
      <c r="B200" s="177"/>
      <c r="C200" s="455"/>
      <c r="D200" s="456"/>
      <c r="E200" s="456"/>
      <c r="F200" s="177"/>
      <c r="G200" s="177"/>
      <c r="H200" s="177"/>
      <c r="I200" s="177"/>
      <c r="J200" s="177"/>
      <c r="K200" s="177"/>
      <c r="L200" s="177"/>
      <c r="AU200" s="249"/>
    </row>
    <row r="201" spans="1:57" ht="30" x14ac:dyDescent="0.25">
      <c r="A201" s="177"/>
      <c r="B201" s="177"/>
      <c r="C201" s="2345" t="s">
        <v>17</v>
      </c>
      <c r="D201" s="2345" t="s">
        <v>662</v>
      </c>
      <c r="E201" s="2345" t="s">
        <v>19</v>
      </c>
      <c r="F201" s="2345" t="s">
        <v>20</v>
      </c>
      <c r="G201" s="2345" t="s">
        <v>21</v>
      </c>
      <c r="H201" s="2345" t="s">
        <v>22</v>
      </c>
      <c r="I201" s="2345" t="s">
        <v>23</v>
      </c>
      <c r="J201" s="2345" t="s">
        <v>24</v>
      </c>
      <c r="K201" s="2345" t="s">
        <v>25</v>
      </c>
      <c r="L201" s="2345" t="s">
        <v>26</v>
      </c>
      <c r="V201" s="55" t="s">
        <v>27</v>
      </c>
      <c r="W201" s="56">
        <v>43252</v>
      </c>
      <c r="X201" s="56">
        <f>$X$6</f>
        <v>43465</v>
      </c>
      <c r="Y201" s="56">
        <f>$Y$6</f>
        <v>43800</v>
      </c>
      <c r="Z201" s="56">
        <f>$Z$6</f>
        <v>43862</v>
      </c>
      <c r="AA201" s="56" t="str">
        <f>$AA$6</f>
        <v>-</v>
      </c>
      <c r="AB201" s="56" t="str">
        <f>$AB$6</f>
        <v>-</v>
      </c>
      <c r="AC201" s="56" t="str">
        <f>$AC$6</f>
        <v>-</v>
      </c>
      <c r="AD201" s="56" t="str">
        <f>$AD$6</f>
        <v>-</v>
      </c>
      <c r="AE201" s="56" t="str">
        <f>$AE$6</f>
        <v>-</v>
      </c>
      <c r="AF201" s="56" t="str">
        <f>$AF$6</f>
        <v>-</v>
      </c>
      <c r="AG201" s="56" t="str">
        <f>$AG$6</f>
        <v>-</v>
      </c>
      <c r="AU201" s="249"/>
      <c r="BB201" s="103" t="str">
        <f>$BB$6</f>
        <v>TRC (2020)</v>
      </c>
      <c r="BC201" s="103" t="str">
        <f>$BC$6</f>
        <v>Benefit Lookup</v>
      </c>
      <c r="BD201" s="334" t="str">
        <f>$BD$6</f>
        <v>Benefits (2019 $)</v>
      </c>
      <c r="BE201" s="334" t="str">
        <f>$BE$6</f>
        <v>Incremental Cost (2019 $)</v>
      </c>
    </row>
    <row r="202" spans="1:57" x14ac:dyDescent="0.25">
      <c r="A202" s="177"/>
      <c r="B202" s="177"/>
      <c r="C202" s="150" t="s">
        <v>838</v>
      </c>
      <c r="D202" s="2481" t="s">
        <v>667</v>
      </c>
      <c r="E202" s="2351" t="s">
        <v>839</v>
      </c>
      <c r="F202" s="336">
        <f>ROUND(E218*F218,2)</f>
        <v>237.6</v>
      </c>
      <c r="G202" s="459" t="s">
        <v>840</v>
      </c>
      <c r="H202" s="239">
        <f>VLOOKUP(G202,'CP FACTORS'!$A$3:$B$38, 2, FALSE)</f>
        <v>1.148238E-4</v>
      </c>
      <c r="I202" s="338">
        <f t="shared" ref="I202:I210" si="9">ROUND(H202*F202,6)</f>
        <v>2.7282000000000001E-2</v>
      </c>
      <c r="J202" s="156">
        <f t="shared" ref="J202:J210" si="10">$F$227</f>
        <v>10</v>
      </c>
      <c r="K202" s="1163">
        <f t="shared" ref="K202:K210" si="11">$F$228</f>
        <v>30</v>
      </c>
      <c r="L202" s="1572" t="s">
        <v>37</v>
      </c>
      <c r="V202" s="391" t="s">
        <v>20</v>
      </c>
      <c r="W202" s="430">
        <v>237.60000000000002</v>
      </c>
      <c r="X202" s="430">
        <v>237.60000000000002</v>
      </c>
      <c r="Y202" s="461">
        <v>237.6</v>
      </c>
      <c r="Z202" s="430"/>
      <c r="AA202" s="430"/>
      <c r="AB202" s="430"/>
      <c r="AC202" s="430"/>
      <c r="AD202" s="430"/>
      <c r="AE202" s="430"/>
      <c r="AF202" s="430"/>
      <c r="AG202" s="430"/>
      <c r="AU202" s="249"/>
      <c r="BB202" s="345">
        <f t="shared" ref="BB202:BB210" si="12">(BD202)/(BE202)</f>
        <v>2.8935964717891705</v>
      </c>
      <c r="BC202" s="335" t="str">
        <f t="shared" ref="BC202:BC210" si="13">CONCATENATE(G202," ",J202," Year EUL")</f>
        <v>Miscellaneous RES 10 Year EUL</v>
      </c>
      <c r="BD202" s="162">
        <f>(INDEX('Avoided Cost Benefits'!$C$4:$C$857,MATCH(BC202,'Avoided Cost Benefits'!$A$4:$A$857,0)))*F202</f>
        <v>81.932887355993486</v>
      </c>
      <c r="BE202" s="70">
        <f t="shared" ref="BE202:BE210" si="14">K202/(1.0595^(2020-2019))</f>
        <v>28.315243039169417</v>
      </c>
    </row>
    <row r="203" spans="1:57" x14ac:dyDescent="0.25">
      <c r="A203" s="177"/>
      <c r="B203" s="177"/>
      <c r="C203" s="150" t="s">
        <v>841</v>
      </c>
      <c r="D203" s="2481" t="s">
        <v>667</v>
      </c>
      <c r="E203" s="2351" t="s">
        <v>842</v>
      </c>
      <c r="F203" s="336">
        <f>ROUND(E219*F219,2)</f>
        <v>216</v>
      </c>
      <c r="G203" s="459" t="s">
        <v>840</v>
      </c>
      <c r="H203" s="239">
        <f>VLOOKUP(G203,'CP FACTORS'!$A$3:$B$38, 2, FALSE)</f>
        <v>1.148238E-4</v>
      </c>
      <c r="I203" s="338">
        <f t="shared" si="9"/>
        <v>2.4802000000000001E-2</v>
      </c>
      <c r="J203" s="156">
        <f t="shared" si="10"/>
        <v>10</v>
      </c>
      <c r="K203" s="1163">
        <f t="shared" si="11"/>
        <v>30</v>
      </c>
      <c r="L203" s="1572" t="s">
        <v>37</v>
      </c>
      <c r="V203" s="391" t="s">
        <v>20</v>
      </c>
      <c r="W203" s="430">
        <v>216</v>
      </c>
      <c r="X203" s="430">
        <v>216</v>
      </c>
      <c r="Y203" s="461">
        <v>216</v>
      </c>
      <c r="Z203" s="430"/>
      <c r="AA203" s="430"/>
      <c r="AB203" s="430"/>
      <c r="AC203" s="430"/>
      <c r="AD203" s="430"/>
      <c r="AE203" s="430"/>
      <c r="AF203" s="430"/>
      <c r="AG203" s="430"/>
      <c r="AU203" s="249"/>
      <c r="BB203" s="350">
        <f t="shared" si="12"/>
        <v>2.6305422470810638</v>
      </c>
      <c r="BC203" s="335" t="str">
        <f t="shared" si="13"/>
        <v>Miscellaneous RES 10 Year EUL</v>
      </c>
      <c r="BD203" s="165">
        <f>(INDEX('Avoided Cost Benefits'!$C$4:$C$857,MATCH(BC203,'Avoided Cost Benefits'!$A$4:$A$857,0)))*F203</f>
        <v>74.484443050903167</v>
      </c>
      <c r="BE203" s="74">
        <f t="shared" si="14"/>
        <v>28.315243039169417</v>
      </c>
    </row>
    <row r="204" spans="1:57" x14ac:dyDescent="0.25">
      <c r="A204" s="177"/>
      <c r="B204" s="177"/>
      <c r="C204" s="150" t="s">
        <v>843</v>
      </c>
      <c r="D204" s="2481" t="s">
        <v>667</v>
      </c>
      <c r="E204" s="2351" t="s">
        <v>844</v>
      </c>
      <c r="F204" s="336">
        <f>ROUND(E220*F220,2)</f>
        <v>194.4</v>
      </c>
      <c r="G204" s="459" t="s">
        <v>840</v>
      </c>
      <c r="H204" s="239">
        <f>VLOOKUP(G204,'CP FACTORS'!$A$3:$B$38, 2, FALSE)</f>
        <v>1.148238E-4</v>
      </c>
      <c r="I204" s="338">
        <f t="shared" si="9"/>
        <v>2.2322000000000002E-2</v>
      </c>
      <c r="J204" s="156">
        <f t="shared" si="10"/>
        <v>10</v>
      </c>
      <c r="K204" s="1163">
        <f t="shared" si="11"/>
        <v>30</v>
      </c>
      <c r="L204" s="1572" t="s">
        <v>37</v>
      </c>
      <c r="V204" s="391" t="s">
        <v>20</v>
      </c>
      <c r="W204" s="430">
        <v>194.4</v>
      </c>
      <c r="X204" s="430">
        <v>194.4</v>
      </c>
      <c r="Y204" s="461">
        <v>194.4</v>
      </c>
      <c r="Z204" s="430"/>
      <c r="AA204" s="430"/>
      <c r="AB204" s="430"/>
      <c r="AC204" s="430"/>
      <c r="AD204" s="430"/>
      <c r="AE204" s="430"/>
      <c r="AF204" s="430"/>
      <c r="AG204" s="430"/>
      <c r="AU204" s="249"/>
      <c r="BB204" s="350">
        <f t="shared" si="12"/>
        <v>2.3674880223729571</v>
      </c>
      <c r="BC204" s="335" t="str">
        <f t="shared" si="13"/>
        <v>Miscellaneous RES 10 Year EUL</v>
      </c>
      <c r="BD204" s="165">
        <f>(INDEX('Avoided Cost Benefits'!$C$4:$C$857,MATCH(BC204,'Avoided Cost Benefits'!$A$4:$A$857,0)))*F204</f>
        <v>67.035998745812847</v>
      </c>
      <c r="BE204" s="74">
        <f t="shared" si="14"/>
        <v>28.315243039169417</v>
      </c>
    </row>
    <row r="205" spans="1:57" x14ac:dyDescent="0.25">
      <c r="A205" s="177"/>
      <c r="B205" s="177"/>
      <c r="C205" s="150" t="s">
        <v>845</v>
      </c>
      <c r="D205" s="2481" t="s">
        <v>667</v>
      </c>
      <c r="E205" s="2351" t="s">
        <v>846</v>
      </c>
      <c r="F205" s="336">
        <f>ROUND(E221*F221,2)</f>
        <v>172.8</v>
      </c>
      <c r="G205" s="459" t="s">
        <v>840</v>
      </c>
      <c r="H205" s="239">
        <f>VLOOKUP(G205,'CP FACTORS'!$A$3:$B$38, 2, FALSE)</f>
        <v>1.148238E-4</v>
      </c>
      <c r="I205" s="338">
        <f t="shared" si="9"/>
        <v>1.9841999999999999E-2</v>
      </c>
      <c r="J205" s="156">
        <f t="shared" si="10"/>
        <v>10</v>
      </c>
      <c r="K205" s="1163">
        <f t="shared" si="11"/>
        <v>30</v>
      </c>
      <c r="L205" s="1572" t="s">
        <v>37</v>
      </c>
      <c r="V205" s="391" t="s">
        <v>20</v>
      </c>
      <c r="W205" s="430">
        <v>172.8</v>
      </c>
      <c r="X205" s="430">
        <v>172.8</v>
      </c>
      <c r="Y205" s="461">
        <v>172.8</v>
      </c>
      <c r="Z205" s="430"/>
      <c r="AA205" s="430"/>
      <c r="AB205" s="430"/>
      <c r="AC205" s="430"/>
      <c r="AD205" s="430"/>
      <c r="AE205" s="430"/>
      <c r="AF205" s="430"/>
      <c r="AG205" s="430"/>
      <c r="AU205" s="249"/>
      <c r="BB205" s="350">
        <f t="shared" si="12"/>
        <v>2.1044337976648513</v>
      </c>
      <c r="BC205" s="335" t="str">
        <f t="shared" si="13"/>
        <v>Miscellaneous RES 10 Year EUL</v>
      </c>
      <c r="BD205" s="165">
        <f>(INDEX('Avoided Cost Benefits'!$C$4:$C$857,MATCH(BC205,'Avoided Cost Benefits'!$A$4:$A$857,0)))*F205</f>
        <v>59.587554440722535</v>
      </c>
      <c r="BE205" s="74">
        <f t="shared" si="14"/>
        <v>28.315243039169417</v>
      </c>
    </row>
    <row r="206" spans="1:57" x14ac:dyDescent="0.25">
      <c r="A206" s="177"/>
      <c r="B206" s="177"/>
      <c r="C206" s="150" t="s">
        <v>847</v>
      </c>
      <c r="D206" s="2481" t="s">
        <v>667</v>
      </c>
      <c r="E206" s="2351" t="s">
        <v>848</v>
      </c>
      <c r="F206" s="336">
        <f>ROUND(E222*F222,2)</f>
        <v>151.19999999999999</v>
      </c>
      <c r="G206" s="459" t="s">
        <v>840</v>
      </c>
      <c r="H206" s="239">
        <f>VLOOKUP(G206,'CP FACTORS'!$A$3:$B$38, 2, FALSE)</f>
        <v>1.148238E-4</v>
      </c>
      <c r="I206" s="338">
        <f t="shared" si="9"/>
        <v>1.7361000000000001E-2</v>
      </c>
      <c r="J206" s="156">
        <f t="shared" si="10"/>
        <v>10</v>
      </c>
      <c r="K206" s="1163">
        <f t="shared" si="11"/>
        <v>30</v>
      </c>
      <c r="L206" s="1572" t="s">
        <v>37</v>
      </c>
      <c r="V206" s="391" t="s">
        <v>20</v>
      </c>
      <c r="W206" s="430">
        <v>151.19999999999999</v>
      </c>
      <c r="X206" s="430">
        <v>151.19999999999999</v>
      </c>
      <c r="Y206" s="461">
        <v>151.19999999999999</v>
      </c>
      <c r="Z206" s="430"/>
      <c r="AA206" s="430"/>
      <c r="AB206" s="430"/>
      <c r="AC206" s="430"/>
      <c r="AD206" s="430"/>
      <c r="AE206" s="430"/>
      <c r="AF206" s="430"/>
      <c r="AG206" s="430"/>
      <c r="AU206" s="249"/>
      <c r="BB206" s="350">
        <f t="shared" si="12"/>
        <v>1.8413795729567446</v>
      </c>
      <c r="BC206" s="335" t="str">
        <f t="shared" si="13"/>
        <v>Miscellaneous RES 10 Year EUL</v>
      </c>
      <c r="BD206" s="165">
        <f>(INDEX('Avoided Cost Benefits'!$C$4:$C$857,MATCH(BC206,'Avoided Cost Benefits'!$A$4:$A$857,0)))*F206</f>
        <v>52.139110135632215</v>
      </c>
      <c r="BE206" s="74">
        <f t="shared" si="14"/>
        <v>28.315243039169417</v>
      </c>
    </row>
    <row r="207" spans="1:57" x14ac:dyDescent="0.25">
      <c r="A207" s="177"/>
      <c r="B207" s="177"/>
      <c r="C207" s="150" t="s">
        <v>849</v>
      </c>
      <c r="D207" s="2481" t="s">
        <v>667</v>
      </c>
      <c r="E207" s="2351" t="s">
        <v>850</v>
      </c>
      <c r="F207" s="336">
        <f>E223*F223</f>
        <v>129.6</v>
      </c>
      <c r="G207" s="459" t="s">
        <v>840</v>
      </c>
      <c r="H207" s="239">
        <f>VLOOKUP(G207,'CP FACTORS'!$A$3:$B$38, 2, FALSE)</f>
        <v>1.148238E-4</v>
      </c>
      <c r="I207" s="338">
        <f t="shared" si="9"/>
        <v>1.4881E-2</v>
      </c>
      <c r="J207" s="156">
        <f t="shared" si="10"/>
        <v>10</v>
      </c>
      <c r="K207" s="1163">
        <f t="shared" si="11"/>
        <v>30</v>
      </c>
      <c r="L207" s="1572" t="s">
        <v>37</v>
      </c>
      <c r="V207" s="391" t="s">
        <v>20</v>
      </c>
      <c r="W207" s="430">
        <v>129.6</v>
      </c>
      <c r="X207" s="430">
        <v>129.6</v>
      </c>
      <c r="Y207" s="461">
        <v>129.6</v>
      </c>
      <c r="Z207" s="430"/>
      <c r="AA207" s="430"/>
      <c r="AB207" s="430"/>
      <c r="AC207" s="430"/>
      <c r="AD207" s="430"/>
      <c r="AE207" s="430"/>
      <c r="AF207" s="430"/>
      <c r="AG207" s="430"/>
      <c r="AU207" s="249"/>
      <c r="BB207" s="350">
        <f t="shared" si="12"/>
        <v>1.5783253482486381</v>
      </c>
      <c r="BC207" s="335" t="str">
        <f t="shared" si="13"/>
        <v>Miscellaneous RES 10 Year EUL</v>
      </c>
      <c r="BD207" s="165">
        <f>(INDEX('Avoided Cost Benefits'!$C$4:$C$857,MATCH(BC207,'Avoided Cost Benefits'!$A$4:$A$857,0)))*F207</f>
        <v>44.690665830541896</v>
      </c>
      <c r="BE207" s="74">
        <f t="shared" si="14"/>
        <v>28.315243039169417</v>
      </c>
    </row>
    <row r="208" spans="1:57" x14ac:dyDescent="0.25">
      <c r="A208" s="177"/>
      <c r="B208" s="177"/>
      <c r="C208" s="150" t="s">
        <v>851</v>
      </c>
      <c r="D208" s="2481" t="s">
        <v>667</v>
      </c>
      <c r="E208" s="2351" t="s">
        <v>852</v>
      </c>
      <c r="F208" s="336">
        <f>E224*F224</f>
        <v>108</v>
      </c>
      <c r="G208" s="459" t="s">
        <v>840</v>
      </c>
      <c r="H208" s="239">
        <f>VLOOKUP(G208,'CP FACTORS'!$A$3:$B$38, 2, FALSE)</f>
        <v>1.148238E-4</v>
      </c>
      <c r="I208" s="338">
        <f t="shared" si="9"/>
        <v>1.2401000000000001E-2</v>
      </c>
      <c r="J208" s="156">
        <f t="shared" si="10"/>
        <v>10</v>
      </c>
      <c r="K208" s="1163">
        <f t="shared" si="11"/>
        <v>30</v>
      </c>
      <c r="L208" s="1572" t="s">
        <v>37</v>
      </c>
      <c r="V208" s="391" t="s">
        <v>20</v>
      </c>
      <c r="W208" s="430">
        <v>108</v>
      </c>
      <c r="X208" s="430">
        <v>108</v>
      </c>
      <c r="Y208" s="461">
        <v>108</v>
      </c>
      <c r="Z208" s="430"/>
      <c r="AA208" s="430"/>
      <c r="AB208" s="430"/>
      <c r="AC208" s="430"/>
      <c r="AD208" s="430"/>
      <c r="AE208" s="430"/>
      <c r="AF208" s="430"/>
      <c r="AG208" s="430"/>
      <c r="AU208" s="249"/>
      <c r="BB208" s="350">
        <f t="shared" si="12"/>
        <v>1.3152711235405319</v>
      </c>
      <c r="BC208" s="335" t="str">
        <f t="shared" si="13"/>
        <v>Miscellaneous RES 10 Year EUL</v>
      </c>
      <c r="BD208" s="165">
        <f>(INDEX('Avoided Cost Benefits'!$C$4:$C$857,MATCH(BC208,'Avoided Cost Benefits'!$A$4:$A$857,0)))*F208</f>
        <v>37.242221525451583</v>
      </c>
      <c r="BE208" s="74">
        <f t="shared" si="14"/>
        <v>28.315243039169417</v>
      </c>
    </row>
    <row r="209" spans="1:57" x14ac:dyDescent="0.25">
      <c r="A209" s="177"/>
      <c r="B209" s="177"/>
      <c r="C209" s="150" t="s">
        <v>853</v>
      </c>
      <c r="D209" s="2481" t="s">
        <v>667</v>
      </c>
      <c r="E209" s="2351" t="s">
        <v>854</v>
      </c>
      <c r="F209" s="336">
        <f>E225*F225</f>
        <v>86.4</v>
      </c>
      <c r="G209" s="459" t="s">
        <v>840</v>
      </c>
      <c r="H209" s="239">
        <f>VLOOKUP(G209,'CP FACTORS'!$A$3:$B$38, 2, FALSE)</f>
        <v>1.148238E-4</v>
      </c>
      <c r="I209" s="338">
        <f t="shared" si="9"/>
        <v>9.9209999999999993E-3</v>
      </c>
      <c r="J209" s="156">
        <f t="shared" si="10"/>
        <v>10</v>
      </c>
      <c r="K209" s="1163">
        <f t="shared" si="11"/>
        <v>30</v>
      </c>
      <c r="L209" s="1572" t="s">
        <v>37</v>
      </c>
      <c r="V209" s="391" t="s">
        <v>20</v>
      </c>
      <c r="W209" s="430">
        <v>86.4</v>
      </c>
      <c r="X209" s="430">
        <v>86.4</v>
      </c>
      <c r="Y209" s="461">
        <v>86.4</v>
      </c>
      <c r="Z209" s="430"/>
      <c r="AA209" s="430"/>
      <c r="AB209" s="430"/>
      <c r="AC209" s="430"/>
      <c r="AD209" s="430"/>
      <c r="AE209" s="430"/>
      <c r="AF209" s="430"/>
      <c r="AG209" s="430"/>
      <c r="AU209" s="249"/>
      <c r="BB209" s="350">
        <f t="shared" si="12"/>
        <v>1.0522168988324256</v>
      </c>
      <c r="BC209" s="335" t="str">
        <f t="shared" si="13"/>
        <v>Miscellaneous RES 10 Year EUL</v>
      </c>
      <c r="BD209" s="165">
        <f>(INDEX('Avoided Cost Benefits'!$C$4:$C$857,MATCH(BC209,'Avoided Cost Benefits'!$A$4:$A$857,0)))*F209</f>
        <v>29.793777220361267</v>
      </c>
      <c r="BE209" s="74">
        <f t="shared" si="14"/>
        <v>28.315243039169417</v>
      </c>
    </row>
    <row r="210" spans="1:57" s="466" customFormat="1" x14ac:dyDescent="0.25">
      <c r="A210" s="2356"/>
      <c r="B210" s="2356"/>
      <c r="C210" s="150" t="s">
        <v>855</v>
      </c>
      <c r="D210" s="2481" t="s">
        <v>667</v>
      </c>
      <c r="E210" s="2351" t="s">
        <v>856</v>
      </c>
      <c r="F210" s="336">
        <f>AVERAGE(F203,F208)</f>
        <v>162</v>
      </c>
      <c r="G210" s="462" t="s">
        <v>840</v>
      </c>
      <c r="H210" s="463">
        <f>VLOOKUP(G210,'CP FACTORS'!$A$3:$B$38, 2, FALSE)</f>
        <v>1.148238E-4</v>
      </c>
      <c r="I210" s="338">
        <f t="shared" si="9"/>
        <v>1.8600999999999999E-2</v>
      </c>
      <c r="J210" s="156">
        <f t="shared" si="10"/>
        <v>10</v>
      </c>
      <c r="K210" s="1163">
        <f t="shared" si="11"/>
        <v>30</v>
      </c>
      <c r="L210" s="2364" t="s">
        <v>37</v>
      </c>
      <c r="M210" s="465"/>
      <c r="N210" s="465"/>
      <c r="O210" s="465"/>
      <c r="P210" s="465"/>
      <c r="Q210" s="465"/>
      <c r="R210" s="465"/>
      <c r="S210" s="465"/>
      <c r="T210" s="465"/>
      <c r="U210" s="465"/>
      <c r="V210" s="467" t="s">
        <v>20</v>
      </c>
      <c r="W210" s="430">
        <v>162</v>
      </c>
      <c r="X210" s="430">
        <v>162</v>
      </c>
      <c r="Y210" s="461">
        <v>162</v>
      </c>
      <c r="Z210" s="430"/>
      <c r="AA210" s="430"/>
      <c r="AB210" s="430"/>
      <c r="AC210" s="430"/>
      <c r="AD210" s="430"/>
      <c r="AE210" s="430"/>
      <c r="AF210" s="430"/>
      <c r="AG210" s="430"/>
      <c r="AU210" s="249"/>
      <c r="BB210" s="434">
        <f t="shared" si="12"/>
        <v>1.9729066853107977</v>
      </c>
      <c r="BC210" s="435" t="str">
        <f t="shared" si="13"/>
        <v>Miscellaneous RES 10 Year EUL</v>
      </c>
      <c r="BD210" s="170">
        <f>(INDEX('Avoided Cost Benefits'!$C$4:$C$857,MATCH(BC210,'Avoided Cost Benefits'!$A$4:$A$857,0)))*F210</f>
        <v>55.863332288177375</v>
      </c>
      <c r="BE210" s="76">
        <f t="shared" si="14"/>
        <v>28.315243039169417</v>
      </c>
    </row>
    <row r="211" spans="1:57" hidden="1" outlineLevel="1" x14ac:dyDescent="0.25">
      <c r="A211" s="177"/>
      <c r="B211" s="177"/>
      <c r="C211" s="455"/>
      <c r="D211" s="456"/>
      <c r="E211" s="456"/>
      <c r="F211" s="177"/>
      <c r="G211" s="177"/>
      <c r="H211" s="177" t="s">
        <v>857</v>
      </c>
      <c r="I211" s="233"/>
      <c r="J211" s="177"/>
      <c r="K211" s="177"/>
      <c r="L211" s="785"/>
      <c r="X211" s="327" t="s">
        <v>858</v>
      </c>
      <c r="Y211" s="327" t="s">
        <v>859</v>
      </c>
      <c r="AU211" s="249"/>
    </row>
    <row r="212" spans="1:57" hidden="1" outlineLevel="1" x14ac:dyDescent="0.25">
      <c r="A212" s="177"/>
      <c r="B212" s="177"/>
      <c r="C212" s="455"/>
      <c r="D212" s="259" t="s">
        <v>617</v>
      </c>
      <c r="E212" s="456"/>
      <c r="F212" s="177"/>
      <c r="G212" s="177"/>
      <c r="H212" s="177"/>
      <c r="I212" s="177"/>
      <c r="J212" s="177"/>
      <c r="K212" s="177"/>
      <c r="L212" s="177"/>
      <c r="AU212" s="249"/>
    </row>
    <row r="213" spans="1:57" hidden="1" outlineLevel="1" x14ac:dyDescent="0.25">
      <c r="A213" s="177"/>
      <c r="B213" s="177"/>
      <c r="C213" s="455"/>
      <c r="D213" s="456"/>
      <c r="E213" s="456"/>
      <c r="F213" s="177"/>
      <c r="G213" s="177"/>
      <c r="H213" s="177"/>
      <c r="I213" s="177"/>
      <c r="J213" s="177"/>
      <c r="K213" s="177"/>
      <c r="L213" s="177"/>
      <c r="AU213" s="249"/>
    </row>
    <row r="214" spans="1:57" hidden="1" outlineLevel="1" x14ac:dyDescent="0.25">
      <c r="A214" s="177"/>
      <c r="B214" s="177"/>
      <c r="C214" s="455"/>
      <c r="D214" s="456"/>
      <c r="E214" s="456"/>
      <c r="F214" s="177"/>
      <c r="G214" s="177"/>
      <c r="H214" s="177"/>
      <c r="I214" s="177"/>
      <c r="J214" s="177"/>
      <c r="K214" s="177"/>
      <c r="L214" s="177"/>
      <c r="AU214" s="249"/>
    </row>
    <row r="215" spans="1:57" hidden="1" outlineLevel="1" x14ac:dyDescent="0.25">
      <c r="A215" s="177"/>
      <c r="B215" s="177"/>
      <c r="C215" s="455"/>
      <c r="D215" s="456"/>
      <c r="E215" s="456"/>
      <c r="F215" s="177"/>
      <c r="G215" s="177"/>
      <c r="H215" s="177"/>
      <c r="I215" s="177"/>
      <c r="J215" s="177"/>
      <c r="M215" s="443"/>
      <c r="N215" s="443"/>
      <c r="O215" s="443"/>
      <c r="P215" s="443"/>
      <c r="AU215" s="249"/>
    </row>
    <row r="216" spans="1:57" hidden="1" outlineLevel="1" x14ac:dyDescent="0.25">
      <c r="A216" s="177"/>
      <c r="B216" s="177"/>
      <c r="C216" s="455"/>
      <c r="D216" s="2365" t="s">
        <v>860</v>
      </c>
      <c r="E216" s="2365" t="s">
        <v>861</v>
      </c>
      <c r="F216" s="2345" t="s">
        <v>862</v>
      </c>
      <c r="G216" s="2345" t="s">
        <v>863</v>
      </c>
      <c r="H216" s="177"/>
      <c r="I216" s="177"/>
      <c r="J216" s="177"/>
      <c r="M216" s="229"/>
      <c r="N216" s="229"/>
      <c r="O216" s="229"/>
      <c r="P216" s="229"/>
      <c r="V216" s="55" t="s">
        <v>27</v>
      </c>
      <c r="W216" s="56">
        <v>43252</v>
      </c>
      <c r="X216" s="56">
        <f>$X$6</f>
        <v>43465</v>
      </c>
      <c r="Y216" s="56">
        <f>$Y$6</f>
        <v>43800</v>
      </c>
      <c r="Z216" s="56">
        <f>$Z$6</f>
        <v>43862</v>
      </c>
      <c r="AA216" s="56" t="str">
        <f>$AA$6</f>
        <v>-</v>
      </c>
      <c r="AB216" s="56" t="str">
        <f>$AB$6</f>
        <v>-</v>
      </c>
      <c r="AC216" s="56" t="str">
        <f>$AC$6</f>
        <v>-</v>
      </c>
      <c r="AD216" s="56" t="str">
        <f>$AD$6</f>
        <v>-</v>
      </c>
      <c r="AE216" s="56" t="str">
        <f>$AE$6</f>
        <v>-</v>
      </c>
      <c r="AF216" s="56" t="str">
        <f>$AF$6</f>
        <v>-</v>
      </c>
      <c r="AG216" s="56" t="str">
        <f>$AG$6</f>
        <v>-</v>
      </c>
      <c r="AI216" s="56">
        <v>43252</v>
      </c>
      <c r="AJ216" s="56">
        <f>$Y$6</f>
        <v>43800</v>
      </c>
      <c r="AK216" s="56">
        <f>$Y$6</f>
        <v>43800</v>
      </c>
      <c r="AL216" s="56">
        <f>$Z$6</f>
        <v>43862</v>
      </c>
      <c r="AM216" s="56" t="str">
        <f>$AA$6</f>
        <v>-</v>
      </c>
      <c r="AN216" s="56" t="str">
        <f>$AB$6</f>
        <v>-</v>
      </c>
      <c r="AO216" s="56" t="str">
        <f>$AC$6</f>
        <v>-</v>
      </c>
      <c r="AP216" s="56" t="str">
        <f>$AD$6</f>
        <v>-</v>
      </c>
      <c r="AQ216" s="56" t="str">
        <f>$AE$6</f>
        <v>-</v>
      </c>
      <c r="AR216" s="56" t="str">
        <f>$AF$6</f>
        <v>-</v>
      </c>
      <c r="AS216" s="56" t="str">
        <f>$AG$6</f>
        <v>-</v>
      </c>
      <c r="AU216" s="249"/>
    </row>
    <row r="217" spans="1:57" ht="30" hidden="1" outlineLevel="1" x14ac:dyDescent="0.25">
      <c r="A217" s="177"/>
      <c r="B217" s="177"/>
      <c r="C217" s="455"/>
      <c r="D217" s="2351"/>
      <c r="E217" s="2351"/>
      <c r="F217" s="2364"/>
      <c r="G217" s="2364"/>
      <c r="H217" s="177"/>
      <c r="I217" s="177"/>
      <c r="J217" s="177"/>
      <c r="K217" s="177"/>
      <c r="L217" s="177"/>
      <c r="M217" s="1912"/>
      <c r="N217" s="1912"/>
      <c r="O217" s="1912"/>
      <c r="P217" s="1912"/>
      <c r="V217" s="79"/>
      <c r="W217" s="469" t="s">
        <v>861</v>
      </c>
      <c r="X217" s="469" t="s">
        <v>861</v>
      </c>
      <c r="Y217" s="469" t="s">
        <v>861</v>
      </c>
      <c r="Z217" s="469" t="s">
        <v>861</v>
      </c>
      <c r="AA217" s="469" t="s">
        <v>861</v>
      </c>
      <c r="AB217" s="469" t="s">
        <v>861</v>
      </c>
      <c r="AC217" s="469" t="s">
        <v>861</v>
      </c>
      <c r="AD217" s="469" t="s">
        <v>861</v>
      </c>
      <c r="AE217" s="469" t="s">
        <v>861</v>
      </c>
      <c r="AF217" s="469" t="s">
        <v>861</v>
      </c>
      <c r="AG217" s="469" t="s">
        <v>861</v>
      </c>
      <c r="AI217" s="469" t="s">
        <v>862</v>
      </c>
      <c r="AJ217" s="469" t="s">
        <v>862</v>
      </c>
      <c r="AK217" s="469" t="s">
        <v>862</v>
      </c>
      <c r="AL217" s="469" t="s">
        <v>862</v>
      </c>
      <c r="AM217" s="469" t="s">
        <v>862</v>
      </c>
      <c r="AN217" s="469" t="s">
        <v>862</v>
      </c>
      <c r="AO217" s="469" t="s">
        <v>862</v>
      </c>
      <c r="AP217" s="469" t="s">
        <v>862</v>
      </c>
      <c r="AQ217" s="469" t="s">
        <v>862</v>
      </c>
      <c r="AR217" s="469" t="s">
        <v>862</v>
      </c>
      <c r="AS217" s="469" t="s">
        <v>862</v>
      </c>
      <c r="AU217" s="249"/>
    </row>
    <row r="218" spans="1:57" hidden="1" outlineLevel="1" x14ac:dyDescent="0.25">
      <c r="A218" s="233"/>
      <c r="B218" s="233"/>
      <c r="C218" s="231"/>
      <c r="D218" s="470" t="s">
        <v>144</v>
      </c>
      <c r="E218" s="471">
        <v>0.55000000000000004</v>
      </c>
      <c r="F218" s="472">
        <v>432</v>
      </c>
      <c r="G218" s="473"/>
      <c r="H218" s="233"/>
      <c r="I218" s="233"/>
      <c r="J218" s="233"/>
      <c r="K218" s="233"/>
      <c r="L218" s="233"/>
      <c r="M218" s="1915"/>
      <c r="N218" s="1916"/>
      <c r="O218" s="1915"/>
      <c r="P218" s="1916"/>
      <c r="V218" s="474" t="str">
        <f t="shared" ref="V218:V225" si="15">D218</f>
        <v>A</v>
      </c>
      <c r="W218" s="475">
        <v>0.55000000000000004</v>
      </c>
      <c r="X218" s="475">
        <v>0.55000000000000004</v>
      </c>
      <c r="Y218" s="475">
        <v>0.55000000000000004</v>
      </c>
      <c r="Z218" s="391"/>
      <c r="AA218" s="391"/>
      <c r="AB218" s="391"/>
      <c r="AC218" s="391"/>
      <c r="AD218" s="391"/>
      <c r="AE218" s="391"/>
      <c r="AF218" s="391"/>
      <c r="AG218" s="391"/>
      <c r="AI218" s="476">
        <v>432</v>
      </c>
      <c r="AJ218" s="476">
        <v>432</v>
      </c>
      <c r="AK218" s="476">
        <v>432</v>
      </c>
      <c r="AL218" s="391"/>
      <c r="AM218" s="391"/>
      <c r="AN218" s="391"/>
      <c r="AO218" s="391"/>
      <c r="AP218" s="391"/>
      <c r="AQ218" s="391"/>
      <c r="AR218" s="391"/>
      <c r="AS218" s="391"/>
      <c r="AU218" s="249"/>
    </row>
    <row r="219" spans="1:57" hidden="1" outlineLevel="1" x14ac:dyDescent="0.25">
      <c r="A219" s="233"/>
      <c r="B219" s="233"/>
      <c r="C219" s="231"/>
      <c r="D219" s="470" t="s">
        <v>145</v>
      </c>
      <c r="E219" s="471">
        <v>0.5</v>
      </c>
      <c r="F219" s="472">
        <v>432</v>
      </c>
      <c r="G219" s="473"/>
      <c r="H219" s="233"/>
      <c r="I219" s="233"/>
      <c r="J219" s="233"/>
      <c r="K219" s="233"/>
      <c r="L219" s="233"/>
      <c r="M219" s="1915"/>
      <c r="N219" s="1916"/>
      <c r="O219" s="1915"/>
      <c r="P219" s="1916"/>
      <c r="V219" s="474" t="str">
        <f t="shared" si="15"/>
        <v>B</v>
      </c>
      <c r="W219" s="475">
        <v>0.5</v>
      </c>
      <c r="X219" s="475">
        <v>0.5</v>
      </c>
      <c r="Y219" s="475">
        <v>0.5</v>
      </c>
      <c r="Z219" s="391"/>
      <c r="AA219" s="391"/>
      <c r="AB219" s="391"/>
      <c r="AC219" s="391"/>
      <c r="AD219" s="391"/>
      <c r="AE219" s="391"/>
      <c r="AF219" s="391"/>
      <c r="AG219" s="391"/>
      <c r="AI219" s="476">
        <v>432</v>
      </c>
      <c r="AJ219" s="476">
        <v>432</v>
      </c>
      <c r="AK219" s="476">
        <v>432</v>
      </c>
      <c r="AL219" s="391"/>
      <c r="AM219" s="391"/>
      <c r="AN219" s="391"/>
      <c r="AO219" s="391"/>
      <c r="AP219" s="391"/>
      <c r="AQ219" s="391"/>
      <c r="AR219" s="391"/>
      <c r="AS219" s="391"/>
      <c r="AU219" s="249"/>
    </row>
    <row r="220" spans="1:57" hidden="1" outlineLevel="1" x14ac:dyDescent="0.25">
      <c r="A220" s="233"/>
      <c r="B220" s="233"/>
      <c r="C220" s="231"/>
      <c r="D220" s="470" t="s">
        <v>146</v>
      </c>
      <c r="E220" s="471">
        <v>0.45</v>
      </c>
      <c r="F220" s="472">
        <v>432</v>
      </c>
      <c r="G220" s="473"/>
      <c r="H220" s="233"/>
      <c r="I220" s="233"/>
      <c r="J220" s="233"/>
      <c r="K220" s="233"/>
      <c r="L220" s="233"/>
      <c r="M220" s="1915"/>
      <c r="N220" s="1916"/>
      <c r="O220" s="1915"/>
      <c r="P220" s="1916"/>
      <c r="V220" s="474" t="str">
        <f t="shared" si="15"/>
        <v>C</v>
      </c>
      <c r="W220" s="475">
        <v>0.45</v>
      </c>
      <c r="X220" s="475">
        <v>0.45</v>
      </c>
      <c r="Y220" s="475">
        <v>0.45</v>
      </c>
      <c r="Z220" s="391"/>
      <c r="AA220" s="391"/>
      <c r="AB220" s="391"/>
      <c r="AC220" s="391"/>
      <c r="AD220" s="391"/>
      <c r="AE220" s="391"/>
      <c r="AF220" s="391"/>
      <c r="AG220" s="391"/>
      <c r="AI220" s="476">
        <v>432</v>
      </c>
      <c r="AJ220" s="476">
        <v>432</v>
      </c>
      <c r="AK220" s="476">
        <v>432</v>
      </c>
      <c r="AL220" s="391"/>
      <c r="AM220" s="391"/>
      <c r="AN220" s="391"/>
      <c r="AO220" s="391"/>
      <c r="AP220" s="391"/>
      <c r="AQ220" s="391"/>
      <c r="AR220" s="391"/>
      <c r="AS220" s="391"/>
      <c r="AU220" s="249"/>
    </row>
    <row r="221" spans="1:57" hidden="1" outlineLevel="1" x14ac:dyDescent="0.25">
      <c r="A221" s="233"/>
      <c r="B221" s="233"/>
      <c r="C221" s="231"/>
      <c r="D221" s="470" t="s">
        <v>147</v>
      </c>
      <c r="E221" s="471">
        <v>0.4</v>
      </c>
      <c r="F221" s="472">
        <v>432</v>
      </c>
      <c r="G221" s="473"/>
      <c r="H221" s="233"/>
      <c r="I221" s="233"/>
      <c r="J221" s="233"/>
      <c r="K221" s="233"/>
      <c r="L221" s="233"/>
      <c r="M221" s="1915"/>
      <c r="N221" s="1916"/>
      <c r="O221" s="1915"/>
      <c r="P221" s="1916"/>
      <c r="V221" s="474" t="str">
        <f t="shared" si="15"/>
        <v>D</v>
      </c>
      <c r="W221" s="475">
        <v>0.4</v>
      </c>
      <c r="X221" s="475">
        <v>0.4</v>
      </c>
      <c r="Y221" s="475">
        <v>0.4</v>
      </c>
      <c r="Z221" s="391"/>
      <c r="AA221" s="391"/>
      <c r="AB221" s="391"/>
      <c r="AC221" s="391"/>
      <c r="AD221" s="391"/>
      <c r="AE221" s="391"/>
      <c r="AF221" s="391"/>
      <c r="AG221" s="391"/>
      <c r="AI221" s="476">
        <v>432</v>
      </c>
      <c r="AJ221" s="476">
        <v>432</v>
      </c>
      <c r="AK221" s="476">
        <v>432</v>
      </c>
      <c r="AL221" s="391"/>
      <c r="AM221" s="391"/>
      <c r="AN221" s="391"/>
      <c r="AO221" s="391"/>
      <c r="AP221" s="391"/>
      <c r="AQ221" s="391"/>
      <c r="AR221" s="391"/>
      <c r="AS221" s="391"/>
      <c r="AU221" s="249"/>
    </row>
    <row r="222" spans="1:57" hidden="1" outlineLevel="1" x14ac:dyDescent="0.25">
      <c r="A222" s="233"/>
      <c r="B222" s="233"/>
      <c r="C222" s="231"/>
      <c r="D222" s="470" t="s">
        <v>864</v>
      </c>
      <c r="E222" s="471">
        <v>0.35</v>
      </c>
      <c r="F222" s="472">
        <v>432</v>
      </c>
      <c r="G222" s="473"/>
      <c r="H222" s="233"/>
      <c r="I222" s="233"/>
      <c r="J222" s="233"/>
      <c r="K222" s="233"/>
      <c r="L222" s="233"/>
      <c r="M222" s="1915"/>
      <c r="N222" s="1916"/>
      <c r="O222" s="1915"/>
      <c r="P222" s="1916"/>
      <c r="V222" s="474" t="str">
        <f t="shared" si="15"/>
        <v>E</v>
      </c>
      <c r="W222" s="475">
        <v>0.35</v>
      </c>
      <c r="X222" s="475">
        <v>0.35</v>
      </c>
      <c r="Y222" s="475">
        <v>0.35</v>
      </c>
      <c r="Z222" s="391"/>
      <c r="AA222" s="391"/>
      <c r="AB222" s="391"/>
      <c r="AC222" s="391"/>
      <c r="AD222" s="391"/>
      <c r="AE222" s="391"/>
      <c r="AF222" s="391"/>
      <c r="AG222" s="391"/>
      <c r="AI222" s="476">
        <v>432</v>
      </c>
      <c r="AJ222" s="476">
        <v>432</v>
      </c>
      <c r="AK222" s="476">
        <v>432</v>
      </c>
      <c r="AL222" s="391"/>
      <c r="AM222" s="391"/>
      <c r="AN222" s="391"/>
      <c r="AO222" s="391"/>
      <c r="AP222" s="391"/>
      <c r="AQ222" s="391"/>
      <c r="AR222" s="391"/>
      <c r="AS222" s="391"/>
      <c r="AU222" s="249"/>
    </row>
    <row r="223" spans="1:57" hidden="1" outlineLevel="1" x14ac:dyDescent="0.25">
      <c r="A223" s="233"/>
      <c r="B223" s="233"/>
      <c r="C223" s="231"/>
      <c r="D223" s="470" t="s">
        <v>865</v>
      </c>
      <c r="E223" s="471">
        <v>0.3</v>
      </c>
      <c r="F223" s="472">
        <v>432</v>
      </c>
      <c r="G223" s="473"/>
      <c r="H223" s="233"/>
      <c r="I223" s="233"/>
      <c r="J223" s="233"/>
      <c r="K223" s="233"/>
      <c r="L223" s="233"/>
      <c r="M223" s="1915"/>
      <c r="N223" s="1916"/>
      <c r="O223" s="1915"/>
      <c r="P223" s="1916"/>
      <c r="V223" s="474" t="str">
        <f t="shared" si="15"/>
        <v>F</v>
      </c>
      <c r="W223" s="475">
        <v>0.3</v>
      </c>
      <c r="X223" s="475">
        <v>0.3</v>
      </c>
      <c r="Y223" s="475">
        <v>0.3</v>
      </c>
      <c r="Z223" s="391"/>
      <c r="AA223" s="391"/>
      <c r="AB223" s="391"/>
      <c r="AC223" s="391"/>
      <c r="AD223" s="391"/>
      <c r="AE223" s="391"/>
      <c r="AF223" s="391"/>
      <c r="AG223" s="391"/>
      <c r="AI223" s="476">
        <v>432</v>
      </c>
      <c r="AJ223" s="476">
        <v>432</v>
      </c>
      <c r="AK223" s="476">
        <v>432</v>
      </c>
      <c r="AL223" s="391"/>
      <c r="AM223" s="391"/>
      <c r="AN223" s="391"/>
      <c r="AO223" s="391"/>
      <c r="AP223" s="391"/>
      <c r="AQ223" s="391"/>
      <c r="AR223" s="391"/>
      <c r="AS223" s="391"/>
      <c r="AU223" s="249"/>
    </row>
    <row r="224" spans="1:57" hidden="1" outlineLevel="1" x14ac:dyDescent="0.25">
      <c r="A224" s="233"/>
      <c r="B224" s="233"/>
      <c r="C224" s="231"/>
      <c r="D224" s="470" t="s">
        <v>866</v>
      </c>
      <c r="E224" s="471">
        <v>0.25</v>
      </c>
      <c r="F224" s="472">
        <v>432</v>
      </c>
      <c r="G224" s="473"/>
      <c r="H224" s="233"/>
      <c r="I224" s="233"/>
      <c r="J224" s="233"/>
      <c r="K224" s="233"/>
      <c r="L224" s="233"/>
      <c r="M224" s="1915"/>
      <c r="N224" s="1916"/>
      <c r="O224" s="1915"/>
      <c r="P224" s="1916"/>
      <c r="V224" s="474" t="str">
        <f t="shared" si="15"/>
        <v>G</v>
      </c>
      <c r="W224" s="475">
        <v>0.25</v>
      </c>
      <c r="X224" s="475">
        <v>0.25</v>
      </c>
      <c r="Y224" s="475">
        <v>0.25</v>
      </c>
      <c r="Z224" s="391"/>
      <c r="AA224" s="391"/>
      <c r="AB224" s="391"/>
      <c r="AC224" s="391"/>
      <c r="AD224" s="391"/>
      <c r="AE224" s="391"/>
      <c r="AF224" s="391"/>
      <c r="AG224" s="391"/>
      <c r="AI224" s="476">
        <v>432</v>
      </c>
      <c r="AJ224" s="476">
        <v>432</v>
      </c>
      <c r="AK224" s="476">
        <v>432</v>
      </c>
      <c r="AL224" s="391"/>
      <c r="AM224" s="391"/>
      <c r="AN224" s="391"/>
      <c r="AO224" s="391"/>
      <c r="AP224" s="391"/>
      <c r="AQ224" s="391"/>
      <c r="AR224" s="391"/>
      <c r="AS224" s="391"/>
      <c r="AU224" s="249"/>
    </row>
    <row r="225" spans="1:57" hidden="1" outlineLevel="1" x14ac:dyDescent="0.25">
      <c r="A225" s="233"/>
      <c r="B225" s="233"/>
      <c r="C225" s="231"/>
      <c r="D225" s="470" t="s">
        <v>867</v>
      </c>
      <c r="E225" s="471">
        <v>0.2</v>
      </c>
      <c r="F225" s="472">
        <v>432</v>
      </c>
      <c r="G225" s="473"/>
      <c r="H225" s="233"/>
      <c r="I225" s="233"/>
      <c r="J225" s="233"/>
      <c r="K225" s="233"/>
      <c r="L225" s="233"/>
      <c r="M225" s="1915"/>
      <c r="N225" s="1916"/>
      <c r="O225" s="1915"/>
      <c r="P225" s="1916"/>
      <c r="V225" s="474" t="str">
        <f t="shared" si="15"/>
        <v>H</v>
      </c>
      <c r="W225" s="475">
        <v>0.2</v>
      </c>
      <c r="X225" s="475">
        <v>0.2</v>
      </c>
      <c r="Y225" s="475">
        <v>0.2</v>
      </c>
      <c r="Z225" s="391"/>
      <c r="AA225" s="391"/>
      <c r="AB225" s="391"/>
      <c r="AC225" s="391"/>
      <c r="AD225" s="391"/>
      <c r="AE225" s="391"/>
      <c r="AF225" s="391"/>
      <c r="AG225" s="391"/>
      <c r="AI225" s="476">
        <v>432</v>
      </c>
      <c r="AJ225" s="476">
        <v>432</v>
      </c>
      <c r="AK225" s="476">
        <v>432</v>
      </c>
      <c r="AL225" s="391"/>
      <c r="AM225" s="391"/>
      <c r="AN225" s="391"/>
      <c r="AO225" s="391"/>
      <c r="AP225" s="391"/>
      <c r="AQ225" s="391"/>
      <c r="AR225" s="391"/>
      <c r="AS225" s="391"/>
      <c r="AU225" s="249"/>
    </row>
    <row r="226" spans="1:57" hidden="1" outlineLevel="1" x14ac:dyDescent="0.25">
      <c r="A226" s="233"/>
      <c r="B226" s="233"/>
      <c r="C226" s="231"/>
      <c r="D226" s="2365" t="s">
        <v>618</v>
      </c>
      <c r="E226" s="2365" t="s">
        <v>619</v>
      </c>
      <c r="F226" s="2345" t="s">
        <v>620</v>
      </c>
      <c r="G226" s="2345" t="s">
        <v>863</v>
      </c>
      <c r="H226" s="233"/>
      <c r="I226" s="233"/>
      <c r="J226" s="233"/>
      <c r="K226" s="233"/>
      <c r="L226" s="233"/>
      <c r="M226" s="1915"/>
      <c r="N226" s="1916"/>
      <c r="O226" s="1915"/>
      <c r="P226" s="1916"/>
      <c r="V226" s="477"/>
      <c r="W226" s="478"/>
      <c r="X226" s="478"/>
      <c r="Y226" s="478"/>
      <c r="Z226" s="479"/>
      <c r="AA226" s="479"/>
      <c r="AB226" s="479"/>
      <c r="AC226" s="479"/>
      <c r="AD226" s="479"/>
      <c r="AE226" s="479"/>
      <c r="AF226" s="479"/>
      <c r="AG226" s="479"/>
      <c r="AI226" s="480"/>
      <c r="AJ226" s="480"/>
      <c r="AK226" s="445"/>
      <c r="AL226" s="445"/>
      <c r="AM226" s="445"/>
      <c r="AN226" s="445"/>
      <c r="AO226" s="445"/>
      <c r="AP226" s="445"/>
      <c r="AQ226" s="445"/>
      <c r="AR226" s="445"/>
      <c r="AS226" s="445"/>
      <c r="AU226" s="249"/>
    </row>
    <row r="227" spans="1:57" hidden="1" outlineLevel="1" x14ac:dyDescent="0.25">
      <c r="A227" s="233"/>
      <c r="B227" s="233"/>
      <c r="C227" s="231"/>
      <c r="D227" s="423" t="str">
        <f>$D$50</f>
        <v>EUL</v>
      </c>
      <c r="E227" s="423" t="str">
        <f>$E$50</f>
        <v>Effective Useful Life</v>
      </c>
      <c r="F227" s="452">
        <v>10</v>
      </c>
      <c r="G227" s="481" t="s">
        <v>37</v>
      </c>
      <c r="H227" s="233"/>
      <c r="I227" s="233"/>
      <c r="J227" s="233"/>
      <c r="K227" s="233"/>
      <c r="L227" s="233"/>
      <c r="M227" s="1915"/>
      <c r="N227" s="1916"/>
      <c r="O227" s="1915"/>
      <c r="P227" s="1916"/>
      <c r="V227" s="474" t="str">
        <f>D227</f>
        <v>EUL</v>
      </c>
      <c r="W227" s="482">
        <v>10</v>
      </c>
      <c r="X227" s="482">
        <v>10</v>
      </c>
      <c r="Y227" s="482">
        <v>10</v>
      </c>
      <c r="Z227" s="482"/>
      <c r="AA227" s="482"/>
      <c r="AB227" s="482"/>
      <c r="AC227" s="482"/>
      <c r="AD227" s="482"/>
      <c r="AE227" s="482"/>
      <c r="AF227" s="482"/>
      <c r="AG227" s="482"/>
      <c r="AI227" s="480"/>
      <c r="AJ227" s="480"/>
      <c r="AK227" s="445"/>
      <c r="AL227" s="445"/>
      <c r="AM227" s="445"/>
      <c r="AN227" s="445"/>
      <c r="AO227" s="445"/>
      <c r="AP227" s="445"/>
      <c r="AQ227" s="445"/>
      <c r="AR227" s="445"/>
      <c r="AS227" s="445"/>
      <c r="AU227" s="249"/>
    </row>
    <row r="228" spans="1:57" hidden="1" outlineLevel="1" x14ac:dyDescent="0.25">
      <c r="A228" s="233"/>
      <c r="B228" s="233"/>
      <c r="C228" s="231"/>
      <c r="D228" s="423" t="str">
        <f>$D$51</f>
        <v>Inc. Cost</v>
      </c>
      <c r="E228" s="423" t="str">
        <f>$E$51</f>
        <v>Incremental Cost ($)</v>
      </c>
      <c r="F228" s="483">
        <v>30</v>
      </c>
      <c r="G228" s="481" t="s">
        <v>37</v>
      </c>
      <c r="H228" s="233"/>
      <c r="I228" s="233"/>
      <c r="J228" s="233"/>
      <c r="K228" s="233"/>
      <c r="L228" s="233"/>
      <c r="M228" s="1915"/>
      <c r="N228" s="1916"/>
      <c r="O228" s="1915"/>
      <c r="P228" s="1916"/>
      <c r="V228" s="474" t="str">
        <f>D228</f>
        <v>Inc. Cost</v>
      </c>
      <c r="W228" s="484">
        <v>30</v>
      </c>
      <c r="X228" s="484">
        <v>30</v>
      </c>
      <c r="Y228" s="484">
        <v>30</v>
      </c>
      <c r="Z228" s="484"/>
      <c r="AA228" s="484"/>
      <c r="AB228" s="484"/>
      <c r="AC228" s="484"/>
      <c r="AD228" s="484"/>
      <c r="AE228" s="484"/>
      <c r="AF228" s="484"/>
      <c r="AG228" s="484"/>
      <c r="AI228" s="480"/>
      <c r="AJ228" s="480"/>
      <c r="AK228" s="445"/>
      <c r="AL228" s="445"/>
      <c r="AM228" s="445"/>
      <c r="AN228" s="445"/>
      <c r="AO228" s="445"/>
      <c r="AP228" s="445"/>
      <c r="AQ228" s="445"/>
      <c r="AR228" s="445"/>
      <c r="AS228" s="445"/>
      <c r="AU228" s="249"/>
    </row>
    <row r="229" spans="1:57" collapsed="1" x14ac:dyDescent="0.25">
      <c r="X229" s="270"/>
      <c r="AU229" s="249"/>
    </row>
    <row r="230" spans="1:57" x14ac:dyDescent="0.25">
      <c r="AU230" s="249"/>
    </row>
    <row r="231" spans="1:57" x14ac:dyDescent="0.25">
      <c r="A231" s="485"/>
      <c r="B231" s="2639" t="s">
        <v>868</v>
      </c>
      <c r="C231" s="2640"/>
      <c r="D231" s="2640"/>
      <c r="E231" s="2640"/>
      <c r="F231" s="2640"/>
      <c r="G231" s="2640"/>
      <c r="H231" s="2640"/>
      <c r="I231" s="2641"/>
      <c r="J231" s="2641"/>
      <c r="K231" s="2641"/>
      <c r="L231" s="2641"/>
      <c r="M231" s="2641"/>
      <c r="N231" s="2641"/>
      <c r="O231" s="2642"/>
      <c r="V231" s="2639" t="str">
        <f>B231</f>
        <v>ENERGY STAR Air Purifier</v>
      </c>
      <c r="W231" s="2640"/>
      <c r="X231" s="2640"/>
      <c r="Y231" s="2640"/>
      <c r="Z231" s="2640"/>
      <c r="AA231" s="2640"/>
      <c r="AB231" s="2640"/>
      <c r="AC231" s="2615"/>
      <c r="AD231" s="2615"/>
      <c r="AE231" s="2615"/>
      <c r="AF231" s="2615"/>
      <c r="AG231" s="2615"/>
      <c r="AH231" s="2615"/>
      <c r="AI231" s="2616"/>
      <c r="AU231" s="249"/>
    </row>
    <row r="232" spans="1:57" x14ac:dyDescent="0.25">
      <c r="A232" s="486"/>
      <c r="B232" s="486"/>
      <c r="C232" s="231"/>
      <c r="D232" s="232"/>
      <c r="E232" s="232"/>
      <c r="F232" s="486"/>
      <c r="G232" s="486"/>
      <c r="H232" s="486"/>
      <c r="I232" s="486"/>
      <c r="J232" s="486"/>
      <c r="K232" s="486"/>
      <c r="L232" s="486"/>
      <c r="AU232" s="249"/>
    </row>
    <row r="233" spans="1:57" ht="30" x14ac:dyDescent="0.25">
      <c r="A233" s="1839"/>
      <c r="B233" s="1839"/>
      <c r="C233" s="2345" t="s">
        <v>17</v>
      </c>
      <c r="D233" s="2345" t="s">
        <v>662</v>
      </c>
      <c r="E233" s="487" t="s">
        <v>19</v>
      </c>
      <c r="F233" s="2345" t="s">
        <v>20</v>
      </c>
      <c r="G233" s="487" t="s">
        <v>21</v>
      </c>
      <c r="H233" s="487" t="s">
        <v>22</v>
      </c>
      <c r="I233" s="487" t="s">
        <v>23</v>
      </c>
      <c r="J233" s="487" t="s">
        <v>24</v>
      </c>
      <c r="K233" s="487" t="s">
        <v>25</v>
      </c>
      <c r="L233" s="2345" t="s">
        <v>26</v>
      </c>
      <c r="M233" s="332"/>
      <c r="N233" s="332"/>
      <c r="V233" s="55" t="s">
        <v>27</v>
      </c>
      <c r="W233" s="56">
        <v>43252</v>
      </c>
      <c r="X233" s="56">
        <f>$X$6</f>
        <v>43465</v>
      </c>
      <c r="Y233" s="56">
        <f>$Y$6</f>
        <v>43800</v>
      </c>
      <c r="Z233" s="56">
        <f>$Z$6</f>
        <v>43862</v>
      </c>
      <c r="AA233" s="56" t="str">
        <f>$AA$6</f>
        <v>-</v>
      </c>
      <c r="AB233" s="56" t="str">
        <f>$AB$6</f>
        <v>-</v>
      </c>
      <c r="AC233" s="56" t="str">
        <f>$AC$6</f>
        <v>-</v>
      </c>
      <c r="AD233" s="56" t="str">
        <f>$AD$6</f>
        <v>-</v>
      </c>
      <c r="AE233" s="56" t="str">
        <f>$AE$6</f>
        <v>-</v>
      </c>
      <c r="AF233" s="56" t="str">
        <f>$AF$6</f>
        <v>-</v>
      </c>
      <c r="AG233" s="56" t="str">
        <f>$AG$6</f>
        <v>-</v>
      </c>
      <c r="AU233" s="249"/>
      <c r="BB233" s="103" t="str">
        <f>$BB$6</f>
        <v>TRC (2020)</v>
      </c>
      <c r="BC233" s="103" t="str">
        <f>$BC$6</f>
        <v>Benefit Lookup</v>
      </c>
      <c r="BD233" s="334" t="str">
        <f>$BD$6</f>
        <v>Benefits (2019 $)</v>
      </c>
      <c r="BE233" s="334" t="str">
        <f>$BE$6</f>
        <v>Incremental Cost (2019 $)</v>
      </c>
    </row>
    <row r="234" spans="1:57" x14ac:dyDescent="0.25">
      <c r="A234" s="486"/>
      <c r="B234" s="486"/>
      <c r="C234" s="472" t="s">
        <v>869</v>
      </c>
      <c r="D234" s="2481" t="s">
        <v>667</v>
      </c>
      <c r="E234" s="237" t="s">
        <v>870</v>
      </c>
      <c r="F234" s="488">
        <f>ROUND((F247*((1/F244)-(1/F243))*(F248)+(F246-F245)*(24-F248))*365/1000*F250,2)</f>
        <v>578.86</v>
      </c>
      <c r="G234" s="670" t="s">
        <v>941</v>
      </c>
      <c r="H234" s="239">
        <f>VLOOKUP(G234,'CP FACTORS'!$A$3:$B$38, 2, FALSE)</f>
        <v>4.6608050000000002E-4</v>
      </c>
      <c r="I234" s="338">
        <f>ROUND(H234*F234,6)</f>
        <v>0.26979500000000001</v>
      </c>
      <c r="J234" s="452">
        <f>F251</f>
        <v>9</v>
      </c>
      <c r="K234" s="1505">
        <f>F252</f>
        <v>70</v>
      </c>
      <c r="L234" s="2364" t="s">
        <v>37</v>
      </c>
      <c r="N234" s="1893"/>
      <c r="O234" s="1894"/>
      <c r="R234" s="1894"/>
      <c r="V234" s="391" t="s">
        <v>20</v>
      </c>
      <c r="W234" s="129">
        <v>555.64466268041224</v>
      </c>
      <c r="X234" s="129">
        <v>588.78703639406001</v>
      </c>
      <c r="Y234" s="247">
        <v>578.86</v>
      </c>
      <c r="Z234" s="391"/>
      <c r="AA234" s="391"/>
      <c r="AB234" s="391"/>
      <c r="AC234" s="391"/>
      <c r="AD234" s="391"/>
      <c r="AE234" s="391"/>
      <c r="AF234" s="391"/>
      <c r="AG234" s="391"/>
      <c r="AH234" s="248"/>
      <c r="AU234" s="249"/>
      <c r="BB234" s="250">
        <f>(BD234)/(BE234)</f>
        <v>5.0190719138903406</v>
      </c>
      <c r="BC234" s="435" t="str">
        <f>CONCATENATE(G234," ",J234," Year EUL")</f>
        <v>HVAC RES 9 Year EUL</v>
      </c>
      <c r="BD234" s="251">
        <f>(INDEX('Avoided Cost Benefits'!$C$4:$C$857,MATCH(BC234,'Avoided Cost Benefits'!$A$4:$A$857,0)))*F234</f>
        <v>331.60456250337313</v>
      </c>
      <c r="BE234" s="122">
        <f>K234/(1.0595^(2020-2019))</f>
        <v>66.068900424728639</v>
      </c>
    </row>
    <row r="235" spans="1:57" hidden="1" outlineLevel="1" x14ac:dyDescent="0.25">
      <c r="A235" s="486"/>
      <c r="B235" s="486"/>
      <c r="C235" s="231"/>
      <c r="D235" s="232"/>
      <c r="E235" s="252"/>
      <c r="F235" s="491"/>
      <c r="G235" s="492"/>
      <c r="H235" s="486"/>
      <c r="I235" s="493"/>
      <c r="J235" s="493"/>
      <c r="K235" s="493"/>
      <c r="L235" s="486"/>
      <c r="W235" s="285"/>
      <c r="X235" s="285"/>
      <c r="AU235" s="249"/>
    </row>
    <row r="236" spans="1:57" s="356" customFormat="1" hidden="1" outlineLevel="1" x14ac:dyDescent="0.25">
      <c r="A236" s="496"/>
      <c r="B236" s="496"/>
      <c r="C236" s="258"/>
      <c r="D236" s="265" t="s">
        <v>617</v>
      </c>
      <c r="E236" s="494"/>
      <c r="F236" s="495"/>
      <c r="G236" s="496"/>
      <c r="H236" s="496"/>
      <c r="I236" s="493"/>
      <c r="J236" s="493"/>
      <c r="K236" s="493"/>
      <c r="L236" s="496"/>
      <c r="M236" s="363"/>
      <c r="N236" s="363"/>
      <c r="O236" s="363"/>
      <c r="P236" s="363"/>
      <c r="Q236" s="363"/>
      <c r="R236" s="363"/>
      <c r="S236" s="363"/>
      <c r="T236" s="363"/>
      <c r="U236" s="363"/>
      <c r="W236" s="497"/>
      <c r="X236" s="497"/>
      <c r="AU236" s="249"/>
      <c r="BB236" s="358"/>
    </row>
    <row r="237" spans="1:57" s="356" customFormat="1" hidden="1" outlineLevel="1" x14ac:dyDescent="0.25">
      <c r="A237" s="496"/>
      <c r="B237" s="496"/>
      <c r="C237" s="258"/>
      <c r="D237" s="498"/>
      <c r="E237" s="494"/>
      <c r="F237" s="495"/>
      <c r="G237" s="496"/>
      <c r="H237" s="496"/>
      <c r="I237" s="493"/>
      <c r="J237" s="493"/>
      <c r="K237" s="493"/>
      <c r="L237" s="496"/>
      <c r="M237" s="363"/>
      <c r="N237" s="363"/>
      <c r="O237" s="363"/>
      <c r="P237" s="363"/>
      <c r="Q237" s="363"/>
      <c r="R237" s="363"/>
      <c r="S237" s="363"/>
      <c r="T237" s="363"/>
      <c r="U237" s="363"/>
      <c r="W237" s="497"/>
      <c r="X237" s="497"/>
      <c r="AU237" s="249"/>
      <c r="BB237" s="358"/>
    </row>
    <row r="238" spans="1:57" s="356" customFormat="1" hidden="1" outlineLevel="1" x14ac:dyDescent="0.25">
      <c r="A238" s="496"/>
      <c r="B238" s="496"/>
      <c r="C238" s="258"/>
      <c r="D238" s="498"/>
      <c r="E238" s="494"/>
      <c r="F238" s="495"/>
      <c r="G238" s="496"/>
      <c r="H238" s="496"/>
      <c r="I238" s="496"/>
      <c r="J238" s="496"/>
      <c r="K238" s="496"/>
      <c r="L238" s="496"/>
      <c r="M238" s="363"/>
      <c r="N238" s="363"/>
      <c r="O238" s="363"/>
      <c r="P238" s="363"/>
      <c r="Q238" s="363"/>
      <c r="R238" s="363"/>
      <c r="S238" s="363"/>
      <c r="T238" s="363"/>
      <c r="U238" s="363"/>
      <c r="W238" s="497"/>
      <c r="X238" s="497"/>
      <c r="AU238" s="249"/>
      <c r="BB238" s="358"/>
    </row>
    <row r="239" spans="1:57" s="356" customFormat="1" hidden="1" outlineLevel="1" x14ac:dyDescent="0.25">
      <c r="A239" s="496"/>
      <c r="B239" s="496"/>
      <c r="C239" s="258"/>
      <c r="D239" s="498"/>
      <c r="E239" s="494"/>
      <c r="F239" s="495"/>
      <c r="G239" s="496"/>
      <c r="H239" s="496"/>
      <c r="I239" s="496"/>
      <c r="J239" s="496"/>
      <c r="K239" s="496"/>
      <c r="L239" s="496"/>
      <c r="M239" s="363"/>
      <c r="N239" s="363"/>
      <c r="O239" s="363"/>
      <c r="P239" s="363"/>
      <c r="Q239" s="363"/>
      <c r="R239" s="363"/>
      <c r="S239" s="363"/>
      <c r="T239" s="363"/>
      <c r="U239" s="363"/>
      <c r="W239" s="497"/>
      <c r="X239" s="497"/>
      <c r="AU239" s="249"/>
      <c r="BB239" s="358"/>
    </row>
    <row r="240" spans="1:57" s="356" customFormat="1" hidden="1" outlineLevel="1" x14ac:dyDescent="0.25">
      <c r="A240" s="496"/>
      <c r="B240" s="496"/>
      <c r="C240" s="258"/>
      <c r="D240" s="498"/>
      <c r="E240" s="494"/>
      <c r="F240" s="495"/>
      <c r="G240" s="496"/>
      <c r="H240" s="496"/>
      <c r="I240" s="496"/>
      <c r="J240" s="496"/>
      <c r="K240" s="496"/>
      <c r="L240" s="496"/>
      <c r="M240" s="363"/>
      <c r="N240" s="363"/>
      <c r="O240" s="363"/>
      <c r="P240" s="363"/>
      <c r="Q240" s="363"/>
      <c r="R240" s="363"/>
      <c r="S240" s="363"/>
      <c r="T240" s="363"/>
      <c r="U240" s="363"/>
      <c r="W240" s="497"/>
      <c r="X240" s="497"/>
      <c r="AU240" s="249"/>
      <c r="BB240" s="358"/>
    </row>
    <row r="241" spans="1:54" s="356" customFormat="1" hidden="1" outlineLevel="1" x14ac:dyDescent="0.25">
      <c r="A241" s="496"/>
      <c r="B241" s="496"/>
      <c r="C241" s="258"/>
      <c r="D241" s="265"/>
      <c r="E241" s="265"/>
      <c r="F241" s="496"/>
      <c r="G241" s="496"/>
      <c r="H241" s="496"/>
      <c r="I241" s="496"/>
      <c r="J241" s="496"/>
      <c r="K241" s="496"/>
      <c r="L241" s="496"/>
      <c r="M241" s="363"/>
      <c r="N241" s="363"/>
      <c r="O241" s="363"/>
      <c r="P241" s="363"/>
      <c r="Q241" s="363"/>
      <c r="R241" s="363"/>
      <c r="S241" s="363"/>
      <c r="T241" s="363"/>
      <c r="U241" s="363"/>
      <c r="W241" s="497"/>
      <c r="X241" s="497"/>
      <c r="AU241" s="249"/>
      <c r="BB241" s="358"/>
    </row>
    <row r="242" spans="1:54" hidden="1" outlineLevel="1" x14ac:dyDescent="0.25">
      <c r="A242" s="1917"/>
      <c r="B242" s="1917"/>
      <c r="C242" s="231"/>
      <c r="D242" s="2365" t="s">
        <v>618</v>
      </c>
      <c r="E242" s="2365" t="s">
        <v>619</v>
      </c>
      <c r="F242" s="499" t="s">
        <v>620</v>
      </c>
      <c r="G242" s="2669" t="s">
        <v>670</v>
      </c>
      <c r="H242" s="2694"/>
      <c r="I242" s="486"/>
      <c r="J242" s="486"/>
      <c r="K242" s="486"/>
      <c r="L242" s="1917"/>
      <c r="M242" s="332"/>
      <c r="N242" s="332"/>
      <c r="V242" s="55" t="s">
        <v>27</v>
      </c>
      <c r="W242" s="500">
        <v>43252</v>
      </c>
      <c r="X242" s="56">
        <f>$X$6</f>
        <v>43465</v>
      </c>
      <c r="Y242" s="56">
        <f>$Y$6</f>
        <v>43800</v>
      </c>
      <c r="Z242" s="56">
        <f>$Z$6</f>
        <v>43862</v>
      </c>
      <c r="AA242" s="56" t="str">
        <f>$AA$6</f>
        <v>-</v>
      </c>
      <c r="AB242" s="56" t="str">
        <f>$AB$6</f>
        <v>-</v>
      </c>
      <c r="AC242" s="56" t="str">
        <f>$AC$6</f>
        <v>-</v>
      </c>
      <c r="AD242" s="56" t="str">
        <f>$AD$6</f>
        <v>-</v>
      </c>
      <c r="AE242" s="56" t="str">
        <f>$AE$6</f>
        <v>-</v>
      </c>
      <c r="AF242" s="56" t="str">
        <f>$AF$6</f>
        <v>-</v>
      </c>
      <c r="AG242" s="56" t="str">
        <f>$AG$6</f>
        <v>-</v>
      </c>
      <c r="AU242" s="249"/>
    </row>
    <row r="243" spans="1:54" ht="36" hidden="1" customHeight="1" outlineLevel="1" x14ac:dyDescent="0.25">
      <c r="A243" s="507"/>
      <c r="B243" s="507"/>
      <c r="D243" s="2346" t="s">
        <v>871</v>
      </c>
      <c r="E243" s="481" t="s">
        <v>872</v>
      </c>
      <c r="F243" s="501">
        <v>3.0027007072388932</v>
      </c>
      <c r="G243" s="2695" t="s">
        <v>873</v>
      </c>
      <c r="H243" s="2696"/>
      <c r="I243" s="486"/>
      <c r="J243" s="486"/>
      <c r="K243" s="486"/>
      <c r="L243" s="507"/>
      <c r="V243" s="451" t="str">
        <f t="shared" ref="V243:V252" si="16">D243</f>
        <v xml:space="preserve">EffES </v>
      </c>
      <c r="W243" s="501">
        <v>2.91</v>
      </c>
      <c r="X243" s="502">
        <v>3.0238677849037763</v>
      </c>
      <c r="Y243" s="502">
        <v>3.0027007072388932</v>
      </c>
      <c r="Z243" s="391"/>
      <c r="AA243" s="391"/>
      <c r="AB243" s="391"/>
      <c r="AC243" s="391"/>
      <c r="AD243" s="391"/>
      <c r="AE243" s="391"/>
      <c r="AF243" s="391"/>
      <c r="AG243" s="391"/>
      <c r="AU243" s="249"/>
    </row>
    <row r="244" spans="1:54" ht="37.5" hidden="1" customHeight="1" outlineLevel="1" x14ac:dyDescent="0.25">
      <c r="A244" s="507"/>
      <c r="B244" s="507"/>
      <c r="D244" s="2346" t="s">
        <v>874</v>
      </c>
      <c r="E244" s="481" t="s">
        <v>875</v>
      </c>
      <c r="F244" s="501">
        <v>1</v>
      </c>
      <c r="G244" s="2692" t="s">
        <v>876</v>
      </c>
      <c r="H244" s="2697"/>
      <c r="I244" s="486"/>
      <c r="J244" s="486"/>
      <c r="K244" s="486"/>
      <c r="L244" s="507"/>
      <c r="V244" s="451" t="str">
        <f t="shared" si="16"/>
        <v>EffBL</v>
      </c>
      <c r="W244" s="501">
        <v>1</v>
      </c>
      <c r="X244" s="503">
        <v>1</v>
      </c>
      <c r="Y244" s="503">
        <v>1</v>
      </c>
      <c r="Z244" s="391"/>
      <c r="AA244" s="391"/>
      <c r="AB244" s="391"/>
      <c r="AC244" s="391"/>
      <c r="AD244" s="391"/>
      <c r="AE244" s="391"/>
      <c r="AF244" s="391"/>
      <c r="AG244" s="391"/>
      <c r="AU244" s="249"/>
    </row>
    <row r="245" spans="1:54" ht="31.5" hidden="1" customHeight="1" outlineLevel="1" x14ac:dyDescent="0.25">
      <c r="A245" s="507"/>
      <c r="B245" s="507"/>
      <c r="D245" s="2346" t="s">
        <v>877</v>
      </c>
      <c r="E245" s="481" t="s">
        <v>878</v>
      </c>
      <c r="F245" s="504">
        <v>0.39132024229062107</v>
      </c>
      <c r="G245" s="2692" t="s">
        <v>873</v>
      </c>
      <c r="H245" s="2697"/>
      <c r="I245" s="486"/>
      <c r="J245" s="486"/>
      <c r="K245" s="486"/>
      <c r="L245" s="507"/>
      <c r="V245" s="451" t="str">
        <f t="shared" si="16"/>
        <v xml:space="preserve">SBES </v>
      </c>
      <c r="W245" s="504">
        <v>0.29299999999999998</v>
      </c>
      <c r="X245" s="505">
        <v>0.3657961405244905</v>
      </c>
      <c r="Y245" s="505">
        <v>0.39132024229062107</v>
      </c>
      <c r="Z245" s="391"/>
      <c r="AA245" s="391"/>
      <c r="AB245" s="391"/>
      <c r="AC245" s="391"/>
      <c r="AD245" s="391"/>
      <c r="AE245" s="391"/>
      <c r="AF245" s="391"/>
      <c r="AG245" s="391"/>
      <c r="AU245" s="249"/>
    </row>
    <row r="246" spans="1:54" ht="38.25" hidden="1" customHeight="1" outlineLevel="1" x14ac:dyDescent="0.25">
      <c r="A246" s="507"/>
      <c r="B246" s="507"/>
      <c r="D246" s="2346" t="s">
        <v>879</v>
      </c>
      <c r="E246" s="481" t="s">
        <v>880</v>
      </c>
      <c r="F246" s="501">
        <v>1</v>
      </c>
      <c r="G246" s="2692" t="s">
        <v>876</v>
      </c>
      <c r="H246" s="2697"/>
      <c r="I246" s="486"/>
      <c r="J246" s="486"/>
      <c r="K246" s="486"/>
      <c r="L246" s="507"/>
      <c r="V246" s="451" t="str">
        <f t="shared" si="16"/>
        <v xml:space="preserve">SBBL </v>
      </c>
      <c r="W246" s="501">
        <v>1</v>
      </c>
      <c r="X246" s="503">
        <v>1</v>
      </c>
      <c r="Y246" s="503">
        <v>1</v>
      </c>
      <c r="Z246" s="391"/>
      <c r="AA246" s="391"/>
      <c r="AB246" s="391"/>
      <c r="AC246" s="391"/>
      <c r="AD246" s="391"/>
      <c r="AE246" s="391"/>
      <c r="AF246" s="391"/>
      <c r="AG246" s="391"/>
      <c r="AU246" s="249"/>
    </row>
    <row r="247" spans="1:54" ht="15" hidden="1" customHeight="1" outlineLevel="1" x14ac:dyDescent="0.25">
      <c r="A247" s="507"/>
      <c r="B247" s="507"/>
      <c r="D247" s="2346" t="s">
        <v>881</v>
      </c>
      <c r="E247" s="481" t="s">
        <v>882</v>
      </c>
      <c r="F247" s="501">
        <v>157.56188608132925</v>
      </c>
      <c r="G247" s="2692" t="s">
        <v>873</v>
      </c>
      <c r="H247" s="2697"/>
      <c r="I247" s="486"/>
      <c r="J247" s="486"/>
      <c r="K247" s="486"/>
      <c r="L247" s="507"/>
      <c r="V247" s="451" t="str">
        <f t="shared" si="16"/>
        <v>CADR</v>
      </c>
      <c r="W247" s="501">
        <v>144.41999999999999</v>
      </c>
      <c r="X247" s="502">
        <v>150.16127281696868</v>
      </c>
      <c r="Y247" s="506">
        <v>157.56188608132925</v>
      </c>
      <c r="Z247" s="391"/>
      <c r="AA247" s="391"/>
      <c r="AB247" s="391"/>
      <c r="AC247" s="391"/>
      <c r="AD247" s="391"/>
      <c r="AE247" s="391"/>
      <c r="AF247" s="391"/>
      <c r="AG247" s="391"/>
      <c r="AU247" s="249"/>
    </row>
    <row r="248" spans="1:54" ht="36.75" hidden="1" customHeight="1" outlineLevel="1" x14ac:dyDescent="0.25">
      <c r="A248" s="507"/>
      <c r="B248" s="507"/>
      <c r="D248" s="2346" t="s">
        <v>883</v>
      </c>
      <c r="E248" s="481" t="s">
        <v>884</v>
      </c>
      <c r="F248" s="504">
        <v>16</v>
      </c>
      <c r="G248" s="2692" t="s">
        <v>876</v>
      </c>
      <c r="H248" s="2697"/>
      <c r="I248" s="507"/>
      <c r="J248" s="507"/>
      <c r="K248" s="507"/>
      <c r="L248" s="507"/>
      <c r="V248" s="451" t="str">
        <f t="shared" si="16"/>
        <v>Hroper</v>
      </c>
      <c r="W248" s="501">
        <v>16</v>
      </c>
      <c r="X248" s="503">
        <v>16</v>
      </c>
      <c r="Y248" s="503">
        <v>16</v>
      </c>
      <c r="Z248" s="391"/>
      <c r="AA248" s="391"/>
      <c r="AB248" s="391"/>
      <c r="AC248" s="391"/>
      <c r="AD248" s="391"/>
      <c r="AE248" s="391"/>
      <c r="AF248" s="391"/>
      <c r="AG248" s="391"/>
      <c r="AU248" s="249"/>
    </row>
    <row r="249" spans="1:54" hidden="1" outlineLevel="1" x14ac:dyDescent="0.25">
      <c r="A249" s="486"/>
      <c r="B249" s="486"/>
      <c r="C249" s="231"/>
      <c r="D249" s="2346" t="s">
        <v>885</v>
      </c>
      <c r="E249" s="481" t="s">
        <v>816</v>
      </c>
      <c r="F249" s="504">
        <v>365</v>
      </c>
      <c r="G249" s="2692" t="s">
        <v>876</v>
      </c>
      <c r="H249" s="2697"/>
      <c r="I249" s="507"/>
      <c r="J249" s="507"/>
      <c r="K249" s="507"/>
      <c r="L249" s="486"/>
      <c r="V249" s="451" t="str">
        <f t="shared" si="16"/>
        <v>Days per Year</v>
      </c>
      <c r="W249" s="501">
        <v>365</v>
      </c>
      <c r="X249" s="503">
        <v>365</v>
      </c>
      <c r="Y249" s="503">
        <v>365</v>
      </c>
      <c r="Z249" s="391"/>
      <c r="AA249" s="391"/>
      <c r="AB249" s="391"/>
      <c r="AC249" s="391"/>
      <c r="AD249" s="391"/>
      <c r="AE249" s="391"/>
      <c r="AF249" s="391"/>
      <c r="AG249" s="391"/>
      <c r="AU249" s="249"/>
    </row>
    <row r="250" spans="1:54" hidden="1" outlineLevel="1" x14ac:dyDescent="0.25">
      <c r="A250" s="486"/>
      <c r="B250" s="486"/>
      <c r="C250" s="231"/>
      <c r="D250" s="2346" t="s">
        <v>82</v>
      </c>
      <c r="E250" s="481" t="s">
        <v>731</v>
      </c>
      <c r="F250" s="504">
        <v>0.94047619047619047</v>
      </c>
      <c r="G250" s="2692" t="s">
        <v>732</v>
      </c>
      <c r="H250" s="2697"/>
      <c r="I250" s="486" t="s">
        <v>886</v>
      </c>
      <c r="J250" s="486"/>
      <c r="K250" s="486"/>
      <c r="L250" s="486"/>
      <c r="V250" s="451" t="str">
        <f t="shared" si="16"/>
        <v>ISR</v>
      </c>
      <c r="W250" s="132">
        <v>1</v>
      </c>
      <c r="X250" s="508">
        <v>1</v>
      </c>
      <c r="Y250" s="509">
        <v>0.94047619047619047</v>
      </c>
      <c r="Z250" s="391"/>
      <c r="AA250" s="391"/>
      <c r="AB250" s="391"/>
      <c r="AC250" s="391"/>
      <c r="AD250" s="391"/>
      <c r="AE250" s="391"/>
      <c r="AF250" s="391"/>
      <c r="AG250" s="391"/>
      <c r="AU250" s="249"/>
    </row>
    <row r="251" spans="1:54" hidden="1" outlineLevel="1" x14ac:dyDescent="0.25">
      <c r="A251" s="486"/>
      <c r="B251" s="486"/>
      <c r="C251" s="231"/>
      <c r="D251" s="423" t="str">
        <f>$D$50</f>
        <v>EUL</v>
      </c>
      <c r="E251" s="423" t="str">
        <f>$E$50</f>
        <v>Effective Useful Life</v>
      </c>
      <c r="F251" s="501">
        <v>9</v>
      </c>
      <c r="G251" s="2692"/>
      <c r="H251" s="2697"/>
      <c r="I251" s="486"/>
      <c r="J251" s="486"/>
      <c r="K251" s="486"/>
      <c r="L251" s="486"/>
      <c r="V251" s="451" t="str">
        <f t="shared" si="16"/>
        <v>EUL</v>
      </c>
      <c r="W251" s="501">
        <v>9</v>
      </c>
      <c r="X251" s="503">
        <v>9</v>
      </c>
      <c r="Y251" s="503">
        <v>9</v>
      </c>
      <c r="Z251" s="503"/>
      <c r="AA251" s="503"/>
      <c r="AB251" s="503"/>
      <c r="AC251" s="503"/>
      <c r="AD251" s="503"/>
      <c r="AE251" s="503"/>
      <c r="AF251" s="503"/>
      <c r="AG251" s="503"/>
      <c r="AU251" s="249"/>
    </row>
    <row r="252" spans="1:54" hidden="1" outlineLevel="1" x14ac:dyDescent="0.25">
      <c r="A252" s="486"/>
      <c r="B252" s="486"/>
      <c r="C252" s="231"/>
      <c r="D252" s="423" t="str">
        <f>$D$51</f>
        <v>Inc. Cost</v>
      </c>
      <c r="E252" s="423" t="str">
        <f>$E$51</f>
        <v>Incremental Cost ($)</v>
      </c>
      <c r="F252" s="510">
        <v>70</v>
      </c>
      <c r="G252" s="2692"/>
      <c r="H252" s="2697"/>
      <c r="I252" s="486"/>
      <c r="J252" s="486"/>
      <c r="K252" s="486"/>
      <c r="L252" s="486"/>
      <c r="V252" s="451" t="str">
        <f t="shared" si="16"/>
        <v>Inc. Cost</v>
      </c>
      <c r="W252" s="510">
        <v>70</v>
      </c>
      <c r="X252" s="490">
        <v>70</v>
      </c>
      <c r="Y252" s="490">
        <v>70</v>
      </c>
      <c r="Z252" s="490"/>
      <c r="AA252" s="490"/>
      <c r="AB252" s="490"/>
      <c r="AC252" s="490"/>
      <c r="AD252" s="490"/>
      <c r="AE252" s="490"/>
      <c r="AF252" s="490"/>
      <c r="AG252" s="490"/>
      <c r="AU252" s="249"/>
    </row>
    <row r="253" spans="1:54" collapsed="1" x14ac:dyDescent="0.25">
      <c r="A253" s="486"/>
      <c r="B253" s="486"/>
      <c r="C253" s="231"/>
      <c r="D253" s="511"/>
      <c r="E253" s="512"/>
      <c r="F253" s="511"/>
      <c r="G253" s="486"/>
      <c r="H253" s="486"/>
      <c r="I253" s="486"/>
      <c r="J253" s="486"/>
      <c r="K253" s="486"/>
      <c r="L253" s="486"/>
      <c r="X253" s="327"/>
      <c r="AU253" s="249"/>
    </row>
    <row r="254" spans="1:54" x14ac:dyDescent="0.25">
      <c r="A254" s="233"/>
      <c r="B254" s="233"/>
      <c r="C254" s="231"/>
      <c r="D254" s="511"/>
      <c r="E254" s="513"/>
      <c r="F254" s="511"/>
      <c r="G254" s="233"/>
      <c r="H254" s="233"/>
      <c r="I254" s="233"/>
      <c r="J254" s="233"/>
      <c r="K254" s="233"/>
      <c r="L254" s="233"/>
      <c r="AU254" s="249"/>
    </row>
    <row r="255" spans="1:54" x14ac:dyDescent="0.25">
      <c r="A255" s="485"/>
      <c r="B255" s="2639" t="s">
        <v>887</v>
      </c>
      <c r="C255" s="2640"/>
      <c r="D255" s="2640"/>
      <c r="E255" s="2640"/>
      <c r="F255" s="2640"/>
      <c r="G255" s="2640"/>
      <c r="H255" s="2640"/>
      <c r="I255" s="2641"/>
      <c r="J255" s="2641"/>
      <c r="K255" s="2641"/>
      <c r="L255" s="2641"/>
      <c r="M255" s="2641"/>
      <c r="N255" s="2641"/>
      <c r="O255" s="2642"/>
      <c r="V255" s="2639" t="str">
        <f>B255</f>
        <v>ENERGY STAR Dehumidifier</v>
      </c>
      <c r="W255" s="2640"/>
      <c r="X255" s="2640"/>
      <c r="Y255" s="2640"/>
      <c r="Z255" s="2640"/>
      <c r="AA255" s="2640"/>
      <c r="AB255" s="2640"/>
      <c r="AC255" s="2615"/>
      <c r="AD255" s="2615"/>
      <c r="AE255" s="2615"/>
      <c r="AF255" s="2615"/>
      <c r="AG255" s="2615"/>
      <c r="AH255" s="2615"/>
      <c r="AI255" s="2616"/>
      <c r="AU255" s="249"/>
    </row>
    <row r="256" spans="1:54" x14ac:dyDescent="0.25">
      <c r="AU256" s="249"/>
    </row>
    <row r="257" spans="1:57" ht="30" x14ac:dyDescent="0.25">
      <c r="A257" s="177"/>
      <c r="B257" s="177"/>
      <c r="C257" s="2345" t="s">
        <v>17</v>
      </c>
      <c r="D257" s="2345" t="s">
        <v>662</v>
      </c>
      <c r="E257" s="2345" t="s">
        <v>19</v>
      </c>
      <c r="F257" s="2345" t="s">
        <v>20</v>
      </c>
      <c r="G257" s="2345" t="s">
        <v>21</v>
      </c>
      <c r="H257" s="2345" t="s">
        <v>22</v>
      </c>
      <c r="I257" s="2345" t="s">
        <v>23</v>
      </c>
      <c r="J257" s="2345" t="s">
        <v>24</v>
      </c>
      <c r="K257" s="2345" t="s">
        <v>25</v>
      </c>
      <c r="L257" s="2345" t="s">
        <v>26</v>
      </c>
      <c r="M257" s="229"/>
      <c r="N257" s="229"/>
      <c r="O257" s="1912"/>
      <c r="V257" s="55" t="s">
        <v>27</v>
      </c>
      <c r="W257" s="56">
        <v>43252</v>
      </c>
      <c r="X257" s="56">
        <f>$X$6</f>
        <v>43465</v>
      </c>
      <c r="Y257" s="56">
        <f>$Y$6</f>
        <v>43800</v>
      </c>
      <c r="Z257" s="56">
        <f>$Z$6</f>
        <v>43862</v>
      </c>
      <c r="AA257" s="56" t="str">
        <f>$AA$6</f>
        <v>-</v>
      </c>
      <c r="AB257" s="56" t="str">
        <f>$AB$6</f>
        <v>-</v>
      </c>
      <c r="AC257" s="56" t="str">
        <f>$AC$6</f>
        <v>-</v>
      </c>
      <c r="AD257" s="56" t="str">
        <f>$AD$6</f>
        <v>-</v>
      </c>
      <c r="AE257" s="56" t="str">
        <f>$AE$6</f>
        <v>-</v>
      </c>
      <c r="AF257" s="56" t="str">
        <f>$AF$6</f>
        <v>-</v>
      </c>
      <c r="AG257" s="56" t="str">
        <f>$AG$6</f>
        <v>-</v>
      </c>
      <c r="AU257" s="249"/>
      <c r="BB257" s="103" t="str">
        <f>$BB$6</f>
        <v>TRC (2020)</v>
      </c>
      <c r="BC257" s="103" t="str">
        <f>$BC$6</f>
        <v>Benefit Lookup</v>
      </c>
      <c r="BD257" s="334" t="str">
        <f>$BD$6</f>
        <v>Benefits (2019 $)</v>
      </c>
      <c r="BE257" s="334" t="str">
        <f>$BE$6</f>
        <v>Incremental Cost (2019 $)</v>
      </c>
    </row>
    <row r="258" spans="1:57" s="466" customFormat="1" x14ac:dyDescent="0.25">
      <c r="A258" s="2356"/>
      <c r="B258" s="2356"/>
      <c r="C258" s="637" t="s">
        <v>888</v>
      </c>
      <c r="D258" s="2481" t="s">
        <v>667</v>
      </c>
      <c r="E258" s="2354" t="s">
        <v>887</v>
      </c>
      <c r="F258" s="336">
        <f>ROUND(G277,2)</f>
        <v>204</v>
      </c>
      <c r="G258" s="515" t="s">
        <v>737</v>
      </c>
      <c r="H258" s="463">
        <f>VLOOKUP(G258,'CP FACTORS'!$A$3:$B$38, 2, FALSE)</f>
        <v>9.4741810000000004E-4</v>
      </c>
      <c r="I258" s="338">
        <f>ROUND(H258*F258,6)</f>
        <v>0.193273</v>
      </c>
      <c r="J258" s="156">
        <f>G278</f>
        <v>12</v>
      </c>
      <c r="K258" s="1505">
        <f>G279</f>
        <v>5</v>
      </c>
      <c r="L258" s="2364" t="s">
        <v>37</v>
      </c>
      <c r="M258" s="1918"/>
      <c r="N258" s="1919"/>
      <c r="O258" s="1920"/>
      <c r="P258" s="465"/>
      <c r="Q258" s="465"/>
      <c r="R258" s="465"/>
      <c r="S258" s="465"/>
      <c r="T258" s="465"/>
      <c r="U258" s="465"/>
      <c r="V258" s="467" t="s">
        <v>20</v>
      </c>
      <c r="W258" s="516">
        <v>204</v>
      </c>
      <c r="X258" s="516">
        <v>204</v>
      </c>
      <c r="Y258" s="517">
        <v>204</v>
      </c>
      <c r="Z258" s="467"/>
      <c r="AA258" s="467"/>
      <c r="AB258" s="467"/>
      <c r="AC258" s="467"/>
      <c r="AD258" s="467"/>
      <c r="AE258" s="467"/>
      <c r="AF258" s="467"/>
      <c r="AG258" s="467"/>
      <c r="AU258" s="249"/>
      <c r="BB258" s="250">
        <f>(BD258)/(BE258)</f>
        <v>53.365598107834487</v>
      </c>
      <c r="BC258" s="435" t="str">
        <f>CONCATENATE(G258," ",J258," Year EUL")</f>
        <v>Cooling RES 12 Year EUL</v>
      </c>
      <c r="BD258" s="251">
        <f>(INDEX('Avoided Cost Benefits'!$C$4:$C$857,MATCH(BC258,'Avoided Cost Benefits'!$A$4:$A$857,0)))*F258</f>
        <v>251.84331339232884</v>
      </c>
      <c r="BE258" s="122">
        <f>K258/(1.0595^(2020-2019))</f>
        <v>4.7192071731949028</v>
      </c>
    </row>
    <row r="259" spans="1:57" hidden="1" outlineLevel="1" x14ac:dyDescent="0.25">
      <c r="M259" s="1912"/>
      <c r="N259" s="1912"/>
      <c r="O259" s="1912"/>
      <c r="AU259" s="249"/>
    </row>
    <row r="260" spans="1:57" hidden="1" outlineLevel="1" x14ac:dyDescent="0.25">
      <c r="C260" s="518"/>
      <c r="D260" s="259" t="s">
        <v>617</v>
      </c>
      <c r="E260" s="519"/>
      <c r="F260" s="363"/>
      <c r="G260" s="363"/>
      <c r="M260" s="1912"/>
      <c r="N260" s="1912"/>
      <c r="O260" s="1912"/>
      <c r="AU260" s="249"/>
    </row>
    <row r="261" spans="1:57" hidden="1" outlineLevel="1" x14ac:dyDescent="0.25">
      <c r="C261" s="518"/>
      <c r="D261" s="519"/>
      <c r="E261" s="519"/>
      <c r="F261" s="363"/>
      <c r="G261" s="363"/>
      <c r="M261" s="1912"/>
      <c r="N261" s="1912"/>
      <c r="O261" s="1912"/>
      <c r="AU261" s="249"/>
    </row>
    <row r="262" spans="1:57" hidden="1" outlineLevel="1" x14ac:dyDescent="0.25">
      <c r="C262" s="518"/>
      <c r="D262" s="519"/>
      <c r="E262" s="519"/>
      <c r="F262" s="363"/>
      <c r="G262" s="363"/>
      <c r="M262" s="1912"/>
      <c r="N262" s="1912"/>
      <c r="O262" s="1912"/>
      <c r="AU262" s="249"/>
    </row>
    <row r="263" spans="1:57" hidden="1" outlineLevel="1" x14ac:dyDescent="0.25">
      <c r="M263" s="1912"/>
      <c r="N263" s="1912"/>
      <c r="O263" s="1912"/>
      <c r="AU263" s="249"/>
    </row>
    <row r="264" spans="1:57" ht="15.75" hidden="1" outlineLevel="1" thickBot="1" x14ac:dyDescent="0.3">
      <c r="D264" s="520" t="s">
        <v>618</v>
      </c>
      <c r="E264" s="521" t="s">
        <v>619</v>
      </c>
      <c r="F264" s="522" t="s">
        <v>669</v>
      </c>
      <c r="G264" s="522" t="s">
        <v>620</v>
      </c>
      <c r="H264" s="2353" t="s">
        <v>863</v>
      </c>
      <c r="M264" s="229"/>
      <c r="N264" s="229"/>
      <c r="O264" s="1912"/>
      <c r="V264" s="55" t="s">
        <v>27</v>
      </c>
      <c r="W264" s="56">
        <v>43252</v>
      </c>
      <c r="X264" s="56">
        <f>$X$6</f>
        <v>43465</v>
      </c>
      <c r="Y264" s="56">
        <f>$Y$6</f>
        <v>43800</v>
      </c>
      <c r="Z264" s="56">
        <f>$Z$6</f>
        <v>43862</v>
      </c>
      <c r="AA264" s="56" t="str">
        <f>$AA$6</f>
        <v>-</v>
      </c>
      <c r="AB264" s="56" t="str">
        <f>$AB$6</f>
        <v>-</v>
      </c>
      <c r="AC264" s="56" t="str">
        <f>$AC$6</f>
        <v>-</v>
      </c>
      <c r="AD264" s="56" t="str">
        <f>$AD$6</f>
        <v>-</v>
      </c>
      <c r="AE264" s="56" t="str">
        <f>$AE$6</f>
        <v>-</v>
      </c>
      <c r="AF264" s="56" t="str">
        <f>$AF$6</f>
        <v>-</v>
      </c>
      <c r="AG264" s="56" t="str">
        <f>$AG$6</f>
        <v>-</v>
      </c>
      <c r="AU264" s="249"/>
    </row>
    <row r="265" spans="1:57" ht="31.5" hidden="1" customHeight="1" outlineLevel="1" x14ac:dyDescent="0.25">
      <c r="D265" s="2698" t="s">
        <v>889</v>
      </c>
      <c r="E265" s="2701" t="s">
        <v>890</v>
      </c>
      <c r="F265" s="523" t="s">
        <v>891</v>
      </c>
      <c r="G265" s="523">
        <v>322</v>
      </c>
      <c r="H265" s="523" t="s">
        <v>892</v>
      </c>
      <c r="M265" s="1921"/>
      <c r="N265" s="1921"/>
      <c r="O265" s="1912"/>
      <c r="V265" s="2704" t="s">
        <v>893</v>
      </c>
      <c r="W265" s="524">
        <v>322</v>
      </c>
      <c r="X265" s="524">
        <v>322</v>
      </c>
      <c r="Y265" s="524">
        <v>322</v>
      </c>
      <c r="Z265" s="524"/>
      <c r="AA265" s="524"/>
      <c r="AB265" s="524"/>
      <c r="AC265" s="524"/>
      <c r="AD265" s="524"/>
      <c r="AE265" s="524"/>
      <c r="AF265" s="524"/>
      <c r="AG265" s="524"/>
      <c r="AU265" s="249"/>
    </row>
    <row r="266" spans="1:57" hidden="1" outlineLevel="1" x14ac:dyDescent="0.25">
      <c r="D266" s="2699"/>
      <c r="E266" s="2702"/>
      <c r="F266" s="150" t="s">
        <v>894</v>
      </c>
      <c r="G266" s="150">
        <v>482</v>
      </c>
      <c r="H266" s="150" t="s">
        <v>892</v>
      </c>
      <c r="M266" s="1921"/>
      <c r="N266" s="1921"/>
      <c r="O266" s="1912"/>
      <c r="V266" s="2705"/>
      <c r="W266" s="525">
        <v>482</v>
      </c>
      <c r="X266" s="525">
        <v>482</v>
      </c>
      <c r="Y266" s="525">
        <v>482</v>
      </c>
      <c r="Z266" s="525"/>
      <c r="AA266" s="525"/>
      <c r="AB266" s="525"/>
      <c r="AC266" s="525"/>
      <c r="AD266" s="525"/>
      <c r="AE266" s="525"/>
      <c r="AF266" s="525"/>
      <c r="AG266" s="525"/>
      <c r="AU266" s="249"/>
    </row>
    <row r="267" spans="1:57" hidden="1" outlineLevel="1" x14ac:dyDescent="0.25">
      <c r="D267" s="2699"/>
      <c r="E267" s="2702"/>
      <c r="F267" s="150" t="s">
        <v>895</v>
      </c>
      <c r="G267" s="150">
        <v>643</v>
      </c>
      <c r="H267" s="150" t="s">
        <v>896</v>
      </c>
      <c r="M267" s="1921"/>
      <c r="N267" s="1921"/>
      <c r="O267" s="1912"/>
      <c r="V267" s="2705"/>
      <c r="W267" s="525">
        <v>643</v>
      </c>
      <c r="X267" s="525">
        <v>643</v>
      </c>
      <c r="Y267" s="525">
        <v>643</v>
      </c>
      <c r="Z267" s="525"/>
      <c r="AA267" s="525"/>
      <c r="AB267" s="525"/>
      <c r="AC267" s="525"/>
      <c r="AD267" s="525"/>
      <c r="AE267" s="525"/>
      <c r="AF267" s="525"/>
      <c r="AG267" s="525"/>
      <c r="AU267" s="249"/>
    </row>
    <row r="268" spans="1:57" hidden="1" outlineLevel="1" x14ac:dyDescent="0.25">
      <c r="D268" s="2699"/>
      <c r="E268" s="2702"/>
      <c r="F268" s="150" t="s">
        <v>897</v>
      </c>
      <c r="G268" s="150">
        <v>804</v>
      </c>
      <c r="H268" s="150" t="s">
        <v>898</v>
      </c>
      <c r="M268" s="1921"/>
      <c r="N268" s="1921"/>
      <c r="O268" s="1912"/>
      <c r="V268" s="2705"/>
      <c r="W268" s="525">
        <v>804</v>
      </c>
      <c r="X268" s="525">
        <v>804</v>
      </c>
      <c r="Y268" s="525">
        <v>804</v>
      </c>
      <c r="Z268" s="525"/>
      <c r="AA268" s="525"/>
      <c r="AB268" s="525"/>
      <c r="AC268" s="525"/>
      <c r="AD268" s="525"/>
      <c r="AE268" s="525"/>
      <c r="AF268" s="525"/>
      <c r="AG268" s="525"/>
      <c r="AU268" s="249"/>
    </row>
    <row r="269" spans="1:57" hidden="1" outlineLevel="1" x14ac:dyDescent="0.25">
      <c r="D269" s="2699"/>
      <c r="E269" s="2702"/>
      <c r="F269" s="150" t="s">
        <v>899</v>
      </c>
      <c r="G269" s="526">
        <v>1045</v>
      </c>
      <c r="H269" s="150" t="s">
        <v>900</v>
      </c>
      <c r="M269" s="1922"/>
      <c r="N269" s="1922"/>
      <c r="O269" s="1912"/>
      <c r="V269" s="2705"/>
      <c r="W269" s="527">
        <v>1045</v>
      </c>
      <c r="X269" s="527">
        <v>1045</v>
      </c>
      <c r="Y269" s="527">
        <v>1045</v>
      </c>
      <c r="Z269" s="527"/>
      <c r="AA269" s="527"/>
      <c r="AB269" s="527"/>
      <c r="AC269" s="527"/>
      <c r="AD269" s="527"/>
      <c r="AE269" s="527"/>
      <c r="AF269" s="527"/>
      <c r="AG269" s="527"/>
      <c r="AU269" s="249"/>
    </row>
    <row r="270" spans="1:57" ht="15.75" hidden="1" outlineLevel="1" thickBot="1" x14ac:dyDescent="0.3">
      <c r="D270" s="2700"/>
      <c r="E270" s="2703"/>
      <c r="F270" s="528" t="s">
        <v>901</v>
      </c>
      <c r="G270" s="529">
        <v>1493</v>
      </c>
      <c r="H270" s="528" t="s">
        <v>902</v>
      </c>
      <c r="M270" s="1922"/>
      <c r="N270" s="1922"/>
      <c r="O270" s="1912"/>
      <c r="V270" s="2706"/>
      <c r="W270" s="530">
        <v>1493</v>
      </c>
      <c r="X270" s="530">
        <v>1493</v>
      </c>
      <c r="Y270" s="530">
        <v>1493</v>
      </c>
      <c r="Z270" s="530"/>
      <c r="AA270" s="530"/>
      <c r="AB270" s="530"/>
      <c r="AC270" s="530"/>
      <c r="AD270" s="530"/>
      <c r="AE270" s="530"/>
      <c r="AF270" s="530"/>
      <c r="AG270" s="530"/>
      <c r="AU270" s="249"/>
    </row>
    <row r="271" spans="1:57" ht="15" hidden="1" customHeight="1" outlineLevel="1" x14ac:dyDescent="0.25">
      <c r="D271" s="2698" t="s">
        <v>893</v>
      </c>
      <c r="E271" s="2701" t="s">
        <v>903</v>
      </c>
      <c r="F271" s="523" t="s">
        <v>891</v>
      </c>
      <c r="G271" s="523">
        <v>477</v>
      </c>
      <c r="H271" s="523" t="s">
        <v>904</v>
      </c>
      <c r="M271" s="1921"/>
      <c r="N271" s="1921"/>
      <c r="O271" s="1912"/>
      <c r="V271" s="2704" t="s">
        <v>889</v>
      </c>
      <c r="W271" s="531">
        <v>477</v>
      </c>
      <c r="X271" s="531">
        <v>477</v>
      </c>
      <c r="Y271" s="531">
        <v>477</v>
      </c>
      <c r="Z271" s="531"/>
      <c r="AA271" s="531"/>
      <c r="AB271" s="531"/>
      <c r="AC271" s="531"/>
      <c r="AD271" s="531"/>
      <c r="AE271" s="531"/>
      <c r="AF271" s="531"/>
      <c r="AG271" s="531"/>
      <c r="AU271" s="249"/>
    </row>
    <row r="272" spans="1:57" hidden="1" outlineLevel="1" x14ac:dyDescent="0.25">
      <c r="D272" s="2699"/>
      <c r="E272" s="2702"/>
      <c r="F272" s="150" t="s">
        <v>894</v>
      </c>
      <c r="G272" s="150">
        <v>714</v>
      </c>
      <c r="H272" s="150" t="s">
        <v>904</v>
      </c>
      <c r="M272" s="1921"/>
      <c r="N272" s="1921"/>
      <c r="O272" s="1912"/>
      <c r="V272" s="2705"/>
      <c r="W272" s="532">
        <v>714</v>
      </c>
      <c r="X272" s="532">
        <v>714</v>
      </c>
      <c r="Y272" s="532">
        <v>714</v>
      </c>
      <c r="Z272" s="532"/>
      <c r="AA272" s="532"/>
      <c r="AB272" s="532"/>
      <c r="AC272" s="532"/>
      <c r="AD272" s="532"/>
      <c r="AE272" s="532"/>
      <c r="AF272" s="532"/>
      <c r="AG272" s="532"/>
      <c r="AU272" s="249"/>
    </row>
    <row r="273" spans="1:57" hidden="1" outlineLevel="1" x14ac:dyDescent="0.25">
      <c r="D273" s="2699"/>
      <c r="E273" s="2702"/>
      <c r="F273" s="150" t="s">
        <v>895</v>
      </c>
      <c r="G273" s="150">
        <v>857</v>
      </c>
      <c r="H273" s="150" t="s">
        <v>904</v>
      </c>
      <c r="M273" s="1921"/>
      <c r="N273" s="1921"/>
      <c r="O273" s="1912"/>
      <c r="V273" s="2705"/>
      <c r="W273" s="532">
        <v>857</v>
      </c>
      <c r="X273" s="532">
        <v>857</v>
      </c>
      <c r="Y273" s="532">
        <v>857</v>
      </c>
      <c r="Z273" s="532"/>
      <c r="AA273" s="532"/>
      <c r="AB273" s="532"/>
      <c r="AC273" s="532"/>
      <c r="AD273" s="532"/>
      <c r="AE273" s="532"/>
      <c r="AF273" s="532"/>
      <c r="AG273" s="532"/>
      <c r="AU273" s="249"/>
    </row>
    <row r="274" spans="1:57" hidden="1" outlineLevel="1" x14ac:dyDescent="0.25">
      <c r="D274" s="2699"/>
      <c r="E274" s="2702"/>
      <c r="F274" s="150" t="s">
        <v>897</v>
      </c>
      <c r="G274" s="150">
        <v>1005</v>
      </c>
      <c r="H274" s="150" t="s">
        <v>904</v>
      </c>
      <c r="M274" s="1921"/>
      <c r="N274" s="1921"/>
      <c r="O274" s="1912"/>
      <c r="V274" s="2705"/>
      <c r="W274" s="532">
        <v>1005</v>
      </c>
      <c r="X274" s="532">
        <v>1005</v>
      </c>
      <c r="Y274" s="532">
        <v>1005</v>
      </c>
      <c r="Z274" s="532"/>
      <c r="AA274" s="532"/>
      <c r="AB274" s="532"/>
      <c r="AC274" s="532"/>
      <c r="AD274" s="532"/>
      <c r="AE274" s="532"/>
      <c r="AF274" s="532"/>
      <c r="AG274" s="532"/>
      <c r="AU274" s="249"/>
    </row>
    <row r="275" spans="1:57" hidden="1" outlineLevel="1" x14ac:dyDescent="0.25">
      <c r="D275" s="2699"/>
      <c r="E275" s="2702"/>
      <c r="F275" s="150" t="s">
        <v>899</v>
      </c>
      <c r="G275" s="526">
        <v>1229</v>
      </c>
      <c r="H275" s="150" t="s">
        <v>904</v>
      </c>
      <c r="M275" s="1922"/>
      <c r="N275" s="1922"/>
      <c r="O275" s="1912"/>
      <c r="V275" s="2705"/>
      <c r="W275" s="533">
        <v>1229</v>
      </c>
      <c r="X275" s="533">
        <v>1229</v>
      </c>
      <c r="Y275" s="533">
        <v>1229</v>
      </c>
      <c r="Z275" s="533"/>
      <c r="AA275" s="533"/>
      <c r="AB275" s="533"/>
      <c r="AC275" s="533"/>
      <c r="AD275" s="533"/>
      <c r="AE275" s="533"/>
      <c r="AF275" s="533"/>
      <c r="AG275" s="533"/>
      <c r="AU275" s="249"/>
    </row>
    <row r="276" spans="1:57" ht="15.75" hidden="1" outlineLevel="1" thickBot="1" x14ac:dyDescent="0.3">
      <c r="D276" s="2700"/>
      <c r="E276" s="2707"/>
      <c r="F276" s="534" t="s">
        <v>901</v>
      </c>
      <c r="G276" s="535">
        <v>1672</v>
      </c>
      <c r="H276" s="534" t="s">
        <v>905</v>
      </c>
      <c r="M276" s="1922"/>
      <c r="N276" s="1922"/>
      <c r="O276" s="1912"/>
      <c r="V276" s="2706"/>
      <c r="W276" s="536">
        <v>1672</v>
      </c>
      <c r="X276" s="536">
        <v>1672</v>
      </c>
      <c r="Y276" s="536">
        <v>1672</v>
      </c>
      <c r="Z276" s="536"/>
      <c r="AA276" s="536"/>
      <c r="AB276" s="536"/>
      <c r="AC276" s="536"/>
      <c r="AD276" s="536"/>
      <c r="AE276" s="536"/>
      <c r="AF276" s="536"/>
      <c r="AG276" s="536"/>
      <c r="AU276" s="249"/>
    </row>
    <row r="277" spans="1:57" ht="45" hidden="1" outlineLevel="1" x14ac:dyDescent="0.25">
      <c r="D277" s="2362" t="s">
        <v>906</v>
      </c>
      <c r="E277" s="2359" t="s">
        <v>907</v>
      </c>
      <c r="F277" s="2360"/>
      <c r="G277" s="2360">
        <v>204</v>
      </c>
      <c r="H277" s="2360"/>
      <c r="M277" s="1921"/>
      <c r="N277" s="1921"/>
      <c r="O277" s="1912"/>
      <c r="V277" s="538" t="s">
        <v>906</v>
      </c>
      <c r="W277" s="539">
        <v>204</v>
      </c>
      <c r="X277" s="539">
        <v>204</v>
      </c>
      <c r="Y277" s="539">
        <v>204</v>
      </c>
      <c r="Z277" s="539"/>
      <c r="AA277" s="539"/>
      <c r="AB277" s="539"/>
      <c r="AC277" s="539"/>
      <c r="AD277" s="539"/>
      <c r="AE277" s="539"/>
      <c r="AF277" s="539"/>
      <c r="AG277" s="539"/>
      <c r="AU277" s="249"/>
    </row>
    <row r="278" spans="1:57" ht="15" hidden="1" customHeight="1" outlineLevel="1" x14ac:dyDescent="0.25">
      <c r="A278" s="486"/>
      <c r="B278" s="486"/>
      <c r="C278" s="231"/>
      <c r="D278" s="2362" t="str">
        <f>$D$50</f>
        <v>EUL</v>
      </c>
      <c r="E278" s="2362" t="str">
        <f>$E$50</f>
        <v>Effective Useful Life</v>
      </c>
      <c r="F278" s="540" t="s">
        <v>37</v>
      </c>
      <c r="G278" s="541">
        <v>12</v>
      </c>
      <c r="H278" s="540"/>
      <c r="I278" s="486"/>
      <c r="J278" s="486"/>
      <c r="K278" s="486"/>
      <c r="L278" s="486"/>
      <c r="V278" s="451" t="str">
        <f>D278</f>
        <v>EUL</v>
      </c>
      <c r="W278" s="503">
        <v>12</v>
      </c>
      <c r="X278" s="503">
        <v>12</v>
      </c>
      <c r="Y278" s="503">
        <v>12</v>
      </c>
      <c r="Z278" s="503"/>
      <c r="AA278" s="503"/>
      <c r="AB278" s="503"/>
      <c r="AC278" s="503"/>
      <c r="AD278" s="503"/>
      <c r="AE278" s="503"/>
      <c r="AF278" s="503"/>
      <c r="AG278" s="503"/>
      <c r="AU278" s="249"/>
    </row>
    <row r="279" spans="1:57" ht="15" hidden="1" customHeight="1" outlineLevel="1" x14ac:dyDescent="0.25">
      <c r="A279" s="486"/>
      <c r="B279" s="486"/>
      <c r="C279" s="231"/>
      <c r="D279" s="2362" t="str">
        <f>$D$51</f>
        <v>Inc. Cost</v>
      </c>
      <c r="E279" s="2362" t="str">
        <f>$E$51</f>
        <v>Incremental Cost ($)</v>
      </c>
      <c r="F279" s="540" t="s">
        <v>37</v>
      </c>
      <c r="G279" s="510">
        <v>5</v>
      </c>
      <c r="H279" s="540"/>
      <c r="I279" s="486"/>
      <c r="J279" s="486"/>
      <c r="K279" s="486"/>
      <c r="L279" s="486"/>
      <c r="V279" s="451" t="str">
        <f>D279</f>
        <v>Inc. Cost</v>
      </c>
      <c r="W279" s="490">
        <v>5</v>
      </c>
      <c r="X279" s="490">
        <v>5</v>
      </c>
      <c r="Y279" s="490">
        <v>5</v>
      </c>
      <c r="Z279" s="490"/>
      <c r="AA279" s="490"/>
      <c r="AB279" s="490"/>
      <c r="AC279" s="490"/>
      <c r="AD279" s="490"/>
      <c r="AE279" s="490"/>
      <c r="AF279" s="490"/>
      <c r="AG279" s="490"/>
      <c r="AU279" s="249"/>
    </row>
    <row r="280" spans="1:57" collapsed="1" x14ac:dyDescent="0.25">
      <c r="D280" s="542"/>
      <c r="E280" s="542"/>
      <c r="F280" s="543"/>
      <c r="G280" s="543"/>
      <c r="H280" s="543"/>
      <c r="Y280" s="327" t="s">
        <v>859</v>
      </c>
      <c r="AU280" s="249"/>
    </row>
    <row r="281" spans="1:57" x14ac:dyDescent="0.25">
      <c r="AU281" s="249"/>
    </row>
    <row r="282" spans="1:57" x14ac:dyDescent="0.25">
      <c r="B282" s="2639" t="s">
        <v>908</v>
      </c>
      <c r="C282" s="2640"/>
      <c r="D282" s="2640"/>
      <c r="E282" s="2640"/>
      <c r="F282" s="2640"/>
      <c r="G282" s="2640"/>
      <c r="H282" s="2640"/>
      <c r="I282" s="2641"/>
      <c r="J282" s="2641"/>
      <c r="K282" s="2641"/>
      <c r="L282" s="2641"/>
      <c r="M282" s="2641"/>
      <c r="N282" s="2641"/>
      <c r="O282" s="2642"/>
      <c r="V282" s="2639" t="str">
        <f>B282</f>
        <v>Energy Star Room AC</v>
      </c>
      <c r="W282" s="2640"/>
      <c r="X282" s="2640"/>
      <c r="Y282" s="2640"/>
      <c r="Z282" s="2640"/>
      <c r="AA282" s="2640"/>
      <c r="AB282" s="2640"/>
      <c r="AC282" s="2615"/>
      <c r="AD282" s="2615"/>
      <c r="AE282" s="2615"/>
      <c r="AF282" s="2615"/>
      <c r="AG282" s="2615"/>
      <c r="AH282" s="2615"/>
      <c r="AI282" s="2616"/>
      <c r="AU282" s="249"/>
    </row>
    <row r="283" spans="1:57" x14ac:dyDescent="0.25">
      <c r="B283" s="177"/>
      <c r="C283" s="455"/>
      <c r="D283" s="456"/>
      <c r="E283" s="456"/>
      <c r="F283" s="177"/>
      <c r="G283" s="177"/>
      <c r="H283" s="177"/>
      <c r="I283" s="177"/>
      <c r="J283" s="177"/>
      <c r="K283" s="177"/>
      <c r="L283" s="177"/>
      <c r="M283" s="177"/>
      <c r="N283" s="177"/>
      <c r="O283" s="177"/>
      <c r="AU283" s="249"/>
    </row>
    <row r="284" spans="1:57" ht="30" x14ac:dyDescent="0.25">
      <c r="B284" s="1726"/>
      <c r="C284" s="2345" t="s">
        <v>17</v>
      </c>
      <c r="D284" s="2345" t="s">
        <v>662</v>
      </c>
      <c r="E284" s="2345" t="s">
        <v>19</v>
      </c>
      <c r="F284" s="2345" t="s">
        <v>20</v>
      </c>
      <c r="G284" s="2345" t="s">
        <v>21</v>
      </c>
      <c r="H284" s="2345" t="s">
        <v>22</v>
      </c>
      <c r="I284" s="2345" t="s">
        <v>23</v>
      </c>
      <c r="J284" s="2345" t="s">
        <v>24</v>
      </c>
      <c r="K284" s="2345" t="s">
        <v>25</v>
      </c>
      <c r="L284" s="2345" t="s">
        <v>26</v>
      </c>
      <c r="M284" s="332"/>
      <c r="N284" s="332"/>
      <c r="O284" s="1726"/>
      <c r="V284" s="55" t="s">
        <v>27</v>
      </c>
      <c r="W284" s="56">
        <v>43252</v>
      </c>
      <c r="X284" s="56">
        <f>$X$6</f>
        <v>43465</v>
      </c>
      <c r="Y284" s="56">
        <f>$Y$6</f>
        <v>43800</v>
      </c>
      <c r="Z284" s="56">
        <f>$Z$6</f>
        <v>43862</v>
      </c>
      <c r="AA284" s="56" t="str">
        <f>$AA$6</f>
        <v>-</v>
      </c>
      <c r="AB284" s="56" t="str">
        <f>$AB$6</f>
        <v>-</v>
      </c>
      <c r="AC284" s="56" t="str">
        <f>$AC$6</f>
        <v>-</v>
      </c>
      <c r="AD284" s="56" t="str">
        <f>$AD$6</f>
        <v>-</v>
      </c>
      <c r="AE284" s="56" t="str">
        <f>$AE$6</f>
        <v>-</v>
      </c>
      <c r="AF284" s="56" t="str">
        <f>$AF$6</f>
        <v>-</v>
      </c>
      <c r="AG284" s="56" t="str">
        <f>$AG$6</f>
        <v>-</v>
      </c>
      <c r="AU284" s="249"/>
      <c r="BB284" s="103" t="str">
        <f>$BB$6</f>
        <v>TRC (2020)</v>
      </c>
      <c r="BC284" s="103" t="str">
        <f>$BC$6</f>
        <v>Benefit Lookup</v>
      </c>
      <c r="BD284" s="334" t="str">
        <f>$BD$6</f>
        <v>Benefits (2019 $)</v>
      </c>
      <c r="BE284" s="334" t="str">
        <f>$BE$6</f>
        <v>Incremental Cost (2019 $)</v>
      </c>
    </row>
    <row r="285" spans="1:57" s="544" customFormat="1" x14ac:dyDescent="0.25">
      <c r="A285" s="327"/>
      <c r="B285" s="233"/>
      <c r="C285" s="472" t="s">
        <v>909</v>
      </c>
      <c r="D285" s="2481" t="s">
        <v>667</v>
      </c>
      <c r="E285" s="237" t="s">
        <v>3354</v>
      </c>
      <c r="F285" s="545">
        <f>ROUND((F300*F296*(1/F297-1/F298)/1000)*F303,2)</f>
        <v>49.46</v>
      </c>
      <c r="G285" s="2364" t="s">
        <v>737</v>
      </c>
      <c r="H285" s="239">
        <f>VLOOKUP(G285,'CP FACTORS'!$A$3:$B$38, 2, FALSE)</f>
        <v>9.4741810000000004E-4</v>
      </c>
      <c r="I285" s="338">
        <f>ROUND(H285*F285,6)</f>
        <v>4.6858999999999998E-2</v>
      </c>
      <c r="J285" s="452">
        <f>$F$304</f>
        <v>9</v>
      </c>
      <c r="K285" s="1505">
        <f>$F$305</f>
        <v>20</v>
      </c>
      <c r="L285" s="291" t="s">
        <v>37</v>
      </c>
      <c r="M285" s="327"/>
      <c r="N285" s="1893"/>
      <c r="O285" s="1453"/>
      <c r="P285" s="327"/>
      <c r="Q285" s="327"/>
      <c r="R285" s="1894"/>
      <c r="S285" s="327"/>
      <c r="T285" s="327"/>
      <c r="U285" s="327"/>
      <c r="V285" s="547" t="s">
        <v>20</v>
      </c>
      <c r="W285" s="548">
        <v>39.971901865754226</v>
      </c>
      <c r="X285" s="452">
        <v>48.514633185797841</v>
      </c>
      <c r="Y285" s="549">
        <v>49.46</v>
      </c>
      <c r="Z285" s="547"/>
      <c r="AA285" s="547"/>
      <c r="AB285" s="547"/>
      <c r="AC285" s="547"/>
      <c r="AD285" s="547"/>
      <c r="AE285" s="547"/>
      <c r="AF285" s="547"/>
      <c r="AG285" s="547"/>
      <c r="AH285" s="248"/>
      <c r="AI285" s="141"/>
      <c r="AJ285" s="141"/>
      <c r="AK285" s="141"/>
      <c r="AL285" s="141"/>
      <c r="AM285" s="141"/>
      <c r="AN285" s="141"/>
      <c r="AO285" s="141"/>
      <c r="AP285" s="141"/>
      <c r="AQ285" s="141"/>
      <c r="AR285" s="141"/>
      <c r="AS285" s="141"/>
      <c r="AU285" s="249"/>
      <c r="BB285" s="345">
        <f>(BD285)/(BE285)</f>
        <v>2.3992673568852143</v>
      </c>
      <c r="BC285" s="335" t="str">
        <f>CONCATENATE(G285," ",J285," Year EUL")</f>
        <v>Cooling RES 9 Year EUL</v>
      </c>
      <c r="BD285" s="162">
        <f>(INDEX('Avoided Cost Benefits'!$C$4:$C$857,MATCH(BC285,'Avoided Cost Benefits'!$A$4:$A$857,0)))*F285</f>
        <v>45.290558884100314</v>
      </c>
      <c r="BE285" s="70">
        <f>K285/(1.0595^(2020-2019))</f>
        <v>18.876828692779611</v>
      </c>
    </row>
    <row r="286" spans="1:57" s="544" customFormat="1" x14ac:dyDescent="0.25">
      <c r="A286" s="327"/>
      <c r="B286" s="233"/>
      <c r="C286" s="472" t="s">
        <v>910</v>
      </c>
      <c r="D286" s="2481" t="s">
        <v>667</v>
      </c>
      <c r="E286" s="237" t="s">
        <v>3355</v>
      </c>
      <c r="F286" s="545">
        <f>ROUND((F300*F296*(1/F297-1/F298)/1000),2)</f>
        <v>50.74</v>
      </c>
      <c r="G286" s="2364" t="s">
        <v>737</v>
      </c>
      <c r="H286" s="239">
        <f>VLOOKUP(G286,'CP FACTORS'!$A$3:$B$38, 2, FALSE)</f>
        <v>9.4741810000000004E-4</v>
      </c>
      <c r="I286" s="338">
        <f>ROUND(H286*F286,6)</f>
        <v>4.8071999999999997E-2</v>
      </c>
      <c r="J286" s="452">
        <f>$F$304</f>
        <v>9</v>
      </c>
      <c r="K286" s="1505">
        <f>$F$305</f>
        <v>20</v>
      </c>
      <c r="L286" s="291" t="s">
        <v>37</v>
      </c>
      <c r="M286" s="327"/>
      <c r="N286" s="1893"/>
      <c r="O286" s="1453"/>
      <c r="P286" s="327"/>
      <c r="Q286" s="327"/>
      <c r="R286" s="1894"/>
      <c r="S286" s="327"/>
      <c r="T286" s="327"/>
      <c r="U286" s="327"/>
      <c r="V286" s="547" t="s">
        <v>20</v>
      </c>
      <c r="W286" s="548">
        <v>40.971199412398086</v>
      </c>
      <c r="X286" s="452">
        <v>49.727499015442788</v>
      </c>
      <c r="Y286" s="549">
        <v>50.74</v>
      </c>
      <c r="Z286" s="547"/>
      <c r="AA286" s="547"/>
      <c r="AB286" s="547"/>
      <c r="AC286" s="547"/>
      <c r="AD286" s="547"/>
      <c r="AE286" s="547"/>
      <c r="AF286" s="547"/>
      <c r="AG286" s="547"/>
      <c r="AH286" s="248"/>
      <c r="AI286" s="141"/>
      <c r="AJ286" s="141"/>
      <c r="AK286" s="141"/>
      <c r="AL286" s="141"/>
      <c r="AM286" s="141"/>
      <c r="AN286" s="141"/>
      <c r="AO286" s="141"/>
      <c r="AP286" s="141"/>
      <c r="AQ286" s="141"/>
      <c r="AR286" s="141"/>
      <c r="AS286" s="141"/>
      <c r="AU286" s="249"/>
      <c r="BB286" s="434">
        <f>(BD286)/(BE286)</f>
        <v>2.4613591930520777</v>
      </c>
      <c r="BC286" s="435" t="str">
        <f>CONCATENATE(G286," ",J286," Year EUL")</f>
        <v>Cooling RES 9 Year EUL</v>
      </c>
      <c r="BD286" s="170">
        <f>(INDEX('Avoided Cost Benefits'!$C$4:$C$857,MATCH(BC286,'Avoided Cost Benefits'!$A$4:$A$857,0)))*F286</f>
        <v>46.462655838642334</v>
      </c>
      <c r="BE286" s="76">
        <f>K286/(1.0595^(2020-2019))</f>
        <v>18.876828692779611</v>
      </c>
    </row>
    <row r="287" spans="1:57" hidden="1" outlineLevel="1" x14ac:dyDescent="0.25">
      <c r="B287" s="553"/>
      <c r="C287" s="231"/>
      <c r="D287" s="265"/>
      <c r="E287" s="550"/>
      <c r="F287" s="551"/>
      <c r="G287" s="233"/>
      <c r="H287" s="233"/>
      <c r="I287" s="177"/>
      <c r="J287" s="177"/>
      <c r="K287" s="177"/>
      <c r="L287" s="1912"/>
      <c r="M287" s="1898"/>
      <c r="N287" s="1898"/>
      <c r="O287" s="553"/>
      <c r="AU287" s="249"/>
    </row>
    <row r="288" spans="1:57" hidden="1" outlineLevel="1" x14ac:dyDescent="0.25">
      <c r="B288" s="553"/>
      <c r="C288" s="231"/>
      <c r="D288" s="259" t="s">
        <v>617</v>
      </c>
      <c r="E288" s="552"/>
      <c r="F288" s="261"/>
      <c r="G288" s="233"/>
      <c r="H288" s="553"/>
      <c r="I288" s="177"/>
      <c r="J288" s="177"/>
      <c r="K288" s="177"/>
      <c r="L288" s="233"/>
      <c r="M288" s="1898"/>
      <c r="N288" s="1898"/>
      <c r="O288" s="553"/>
      <c r="AU288" s="249"/>
    </row>
    <row r="289" spans="1:47" hidden="1" outlineLevel="1" x14ac:dyDescent="0.25">
      <c r="B289" s="553"/>
      <c r="C289" s="231"/>
      <c r="D289" s="265"/>
      <c r="E289" s="554"/>
      <c r="F289" s="261"/>
      <c r="G289" s="233"/>
      <c r="H289" s="553"/>
      <c r="I289" s="177"/>
      <c r="J289" s="177"/>
      <c r="K289" s="177"/>
      <c r="L289" s="233"/>
      <c r="M289" s="1898"/>
      <c r="N289" s="1898"/>
      <c r="O289" s="553"/>
      <c r="AU289" s="249"/>
    </row>
    <row r="290" spans="1:47" hidden="1" outlineLevel="1" x14ac:dyDescent="0.25">
      <c r="B290" s="553"/>
      <c r="C290" s="231"/>
      <c r="D290" s="265"/>
      <c r="E290" s="265"/>
      <c r="F290" s="261"/>
      <c r="G290" s="233"/>
      <c r="H290" s="553"/>
      <c r="I290" s="177"/>
      <c r="J290" s="177"/>
      <c r="K290" s="177"/>
      <c r="L290" s="233"/>
      <c r="M290" s="1898"/>
      <c r="N290" s="1898"/>
      <c r="O290" s="553"/>
      <c r="AU290" s="249"/>
    </row>
    <row r="291" spans="1:47" hidden="1" outlineLevel="1" x14ac:dyDescent="0.25">
      <c r="B291" s="553"/>
      <c r="C291" s="231"/>
      <c r="D291" s="265"/>
      <c r="E291" s="265"/>
      <c r="F291" s="261"/>
      <c r="G291" s="233"/>
      <c r="H291" s="553"/>
      <c r="I291" s="177"/>
      <c r="J291" s="177"/>
      <c r="K291" s="177"/>
      <c r="L291" s="233"/>
      <c r="M291" s="1898"/>
      <c r="N291" s="1898"/>
      <c r="O291" s="553"/>
      <c r="AU291" s="249"/>
    </row>
    <row r="292" spans="1:47" hidden="1" outlineLevel="1" x14ac:dyDescent="0.25">
      <c r="B292" s="553"/>
      <c r="C292" s="231"/>
      <c r="D292" s="265"/>
      <c r="E292" s="265"/>
      <c r="F292" s="261"/>
      <c r="G292" s="233"/>
      <c r="H292" s="177"/>
      <c r="I292" s="177"/>
      <c r="J292" s="177"/>
      <c r="K292" s="177"/>
      <c r="L292" s="233"/>
      <c r="M292" s="1898"/>
      <c r="N292" s="1898"/>
      <c r="O292" s="553"/>
      <c r="AU292" s="249"/>
    </row>
    <row r="293" spans="1:47" hidden="1" outlineLevel="1" x14ac:dyDescent="0.25">
      <c r="B293" s="553"/>
      <c r="C293" s="231"/>
      <c r="D293" s="265"/>
      <c r="E293" s="265"/>
      <c r="F293" s="261"/>
      <c r="G293" s="233"/>
      <c r="H293" s="553"/>
      <c r="I293" s="233"/>
      <c r="J293" s="233"/>
      <c r="K293" s="233"/>
      <c r="L293" s="233"/>
      <c r="M293" s="1898"/>
      <c r="N293" s="1898"/>
      <c r="O293" s="553"/>
      <c r="AU293" s="249"/>
    </row>
    <row r="294" spans="1:47" hidden="1" outlineLevel="1" x14ac:dyDescent="0.25">
      <c r="B294" s="553"/>
      <c r="C294" s="231"/>
      <c r="D294" s="265"/>
      <c r="E294" s="265"/>
      <c r="F294" s="261"/>
      <c r="G294" s="233"/>
      <c r="H294" s="233"/>
      <c r="I294" s="233"/>
      <c r="J294" s="233"/>
      <c r="K294" s="233"/>
      <c r="L294" s="233"/>
      <c r="M294" s="1898"/>
      <c r="N294" s="1898"/>
      <c r="O294" s="553"/>
      <c r="V294" s="55" t="s">
        <v>27</v>
      </c>
      <c r="W294" s="56">
        <v>43252</v>
      </c>
      <c r="X294" s="56">
        <f>$X$6</f>
        <v>43465</v>
      </c>
      <c r="Y294" s="56">
        <f>$Y$6</f>
        <v>43800</v>
      </c>
      <c r="Z294" s="56">
        <f>$Z$6</f>
        <v>43862</v>
      </c>
      <c r="AA294" s="56" t="str">
        <f>$AA$6</f>
        <v>-</v>
      </c>
      <c r="AB294" s="56" t="str">
        <f>$AB$6</f>
        <v>-</v>
      </c>
      <c r="AC294" s="56" t="str">
        <f>$AC$6</f>
        <v>-</v>
      </c>
      <c r="AD294" s="56" t="str">
        <f>$AD$6</f>
        <v>-</v>
      </c>
      <c r="AE294" s="56" t="str">
        <f>$AE$6</f>
        <v>-</v>
      </c>
      <c r="AF294" s="56" t="str">
        <f>$AF$6</f>
        <v>-</v>
      </c>
      <c r="AG294" s="56" t="str">
        <f>$AG$6</f>
        <v>-</v>
      </c>
      <c r="AU294" s="249"/>
    </row>
    <row r="295" spans="1:47" ht="30" hidden="1" outlineLevel="1" x14ac:dyDescent="0.25">
      <c r="B295" s="553"/>
      <c r="C295" s="231"/>
      <c r="D295" s="2365" t="s">
        <v>619</v>
      </c>
      <c r="E295" s="2345" t="s">
        <v>911</v>
      </c>
      <c r="F295" s="2365" t="s">
        <v>912</v>
      </c>
      <c r="G295" s="2669" t="s">
        <v>863</v>
      </c>
      <c r="H295" s="2709"/>
      <c r="I295" s="2709"/>
      <c r="J295" s="233"/>
      <c r="K295" s="233"/>
      <c r="L295" s="233"/>
      <c r="M295" s="332"/>
      <c r="N295" s="332"/>
      <c r="O295" s="553"/>
      <c r="V295" s="79"/>
      <c r="W295" s="80" t="s">
        <v>913</v>
      </c>
      <c r="X295" s="80" t="s">
        <v>913</v>
      </c>
      <c r="Y295" s="80" t="s">
        <v>913</v>
      </c>
      <c r="Z295" s="80" t="s">
        <v>913</v>
      </c>
      <c r="AA295" s="80" t="s">
        <v>913</v>
      </c>
      <c r="AB295" s="80" t="s">
        <v>913</v>
      </c>
      <c r="AC295" s="80" t="s">
        <v>913</v>
      </c>
      <c r="AD295" s="80" t="s">
        <v>913</v>
      </c>
      <c r="AE295" s="80" t="s">
        <v>913</v>
      </c>
      <c r="AF295" s="80" t="s">
        <v>913</v>
      </c>
      <c r="AG295" s="80" t="s">
        <v>913</v>
      </c>
      <c r="AU295" s="249"/>
    </row>
    <row r="296" spans="1:47" hidden="1" outlineLevel="1" x14ac:dyDescent="0.25">
      <c r="B296" s="553"/>
      <c r="C296" s="231"/>
      <c r="D296" s="2346" t="s">
        <v>914</v>
      </c>
      <c r="E296" s="2346" t="s">
        <v>915</v>
      </c>
      <c r="F296" s="444">
        <v>10328.926572223787</v>
      </c>
      <c r="G296" s="2708"/>
      <c r="H296" s="2694"/>
      <c r="I296" s="2694"/>
      <c r="J296" s="233"/>
      <c r="K296" s="233"/>
      <c r="L296" s="233"/>
      <c r="O296" s="553"/>
      <c r="V296" s="451" t="s">
        <v>914</v>
      </c>
      <c r="W296" s="447">
        <v>9558.22711471611</v>
      </c>
      <c r="X296" s="556">
        <v>10322.173207292981</v>
      </c>
      <c r="Y296" s="556">
        <v>10328.926572223787</v>
      </c>
      <c r="Z296" s="391"/>
      <c r="AA296" s="391"/>
      <c r="AB296" s="391"/>
      <c r="AC296" s="391"/>
      <c r="AD296" s="391"/>
      <c r="AE296" s="391"/>
      <c r="AF296" s="391"/>
      <c r="AG296" s="391"/>
      <c r="AU296" s="249"/>
    </row>
    <row r="297" spans="1:47" ht="18" hidden="1" outlineLevel="1" x14ac:dyDescent="0.25">
      <c r="B297" s="553"/>
      <c r="C297" s="231"/>
      <c r="D297" s="2346" t="s">
        <v>916</v>
      </c>
      <c r="E297" s="2346" t="s">
        <v>917</v>
      </c>
      <c r="F297" s="444">
        <v>10.826666666666537</v>
      </c>
      <c r="G297" s="2708"/>
      <c r="H297" s="2694"/>
      <c r="I297" s="2694"/>
      <c r="J297" s="233"/>
      <c r="K297" s="233"/>
      <c r="L297" s="233"/>
      <c r="O297" s="553"/>
      <c r="V297" s="451" t="s">
        <v>918</v>
      </c>
      <c r="W297" s="447">
        <v>10.9</v>
      </c>
      <c r="X297" s="556">
        <v>10.833666904931999</v>
      </c>
      <c r="Y297" s="556">
        <v>10.826666666666537</v>
      </c>
      <c r="Z297" s="391"/>
      <c r="AA297" s="391"/>
      <c r="AB297" s="391"/>
      <c r="AC297" s="391"/>
      <c r="AD297" s="391"/>
      <c r="AE297" s="391"/>
      <c r="AF297" s="391"/>
      <c r="AG297" s="391"/>
      <c r="AU297" s="249"/>
    </row>
    <row r="298" spans="1:47" ht="46.5" hidden="1" customHeight="1" outlineLevel="1" x14ac:dyDescent="0.25">
      <c r="B298" s="553"/>
      <c r="C298" s="231"/>
      <c r="D298" s="2346" t="s">
        <v>919</v>
      </c>
      <c r="E298" s="2346" t="s">
        <v>920</v>
      </c>
      <c r="F298" s="557">
        <v>11.971947099252425</v>
      </c>
      <c r="G298" s="2708"/>
      <c r="H298" s="2694"/>
      <c r="I298" s="2694"/>
      <c r="J298" s="233"/>
      <c r="K298" s="233"/>
      <c r="L298" s="233"/>
      <c r="O298" s="553"/>
      <c r="V298" s="451" t="s">
        <v>921</v>
      </c>
      <c r="W298" s="447">
        <v>11.9</v>
      </c>
      <c r="X298" s="556">
        <v>11.955972333179155</v>
      </c>
      <c r="Y298" s="556">
        <v>11.971947099252425</v>
      </c>
      <c r="Z298" s="391"/>
      <c r="AA298" s="391"/>
      <c r="AB298" s="391"/>
      <c r="AC298" s="391"/>
      <c r="AD298" s="391"/>
      <c r="AE298" s="391"/>
      <c r="AF298" s="391"/>
      <c r="AG298" s="391"/>
      <c r="AU298" s="249"/>
    </row>
    <row r="299" spans="1:47" ht="46.5" hidden="1" customHeight="1" outlineLevel="1" x14ac:dyDescent="0.25">
      <c r="B299" s="553"/>
      <c r="C299" s="231"/>
      <c r="D299" s="2346" t="s">
        <v>922</v>
      </c>
      <c r="E299" s="2346"/>
      <c r="F299" s="557" t="s">
        <v>923</v>
      </c>
      <c r="G299" s="2708"/>
      <c r="H299" s="2694"/>
      <c r="I299" s="2694"/>
      <c r="J299" s="233"/>
      <c r="K299" s="233"/>
      <c r="L299" s="233"/>
      <c r="O299" s="553"/>
      <c r="V299" s="451" t="s">
        <v>924</v>
      </c>
      <c r="W299" s="447"/>
      <c r="X299" s="558"/>
      <c r="Y299" s="558"/>
      <c r="Z299" s="391"/>
      <c r="AA299" s="391"/>
      <c r="AB299" s="391"/>
      <c r="AC299" s="391"/>
      <c r="AD299" s="391"/>
      <c r="AE299" s="391"/>
      <c r="AF299" s="391"/>
      <c r="AG299" s="391"/>
      <c r="AU299" s="249"/>
    </row>
    <row r="300" spans="1:47" ht="45" hidden="1" customHeight="1" outlineLevel="1" x14ac:dyDescent="0.25">
      <c r="B300" s="1923"/>
      <c r="C300" s="559"/>
      <c r="D300" s="2346" t="s">
        <v>925</v>
      </c>
      <c r="E300" s="2346" t="s">
        <v>926</v>
      </c>
      <c r="F300" s="444">
        <v>556</v>
      </c>
      <c r="G300" s="2708"/>
      <c r="H300" s="2694"/>
      <c r="I300" s="2694"/>
      <c r="J300" s="233"/>
      <c r="K300" s="233"/>
      <c r="L300" s="233"/>
      <c r="O300" s="1923"/>
      <c r="V300" s="451" t="s">
        <v>927</v>
      </c>
      <c r="W300" s="560">
        <v>556</v>
      </c>
      <c r="X300" s="560">
        <v>556</v>
      </c>
      <c r="Y300" s="560">
        <v>556</v>
      </c>
      <c r="Z300" s="561"/>
      <c r="AA300" s="391"/>
      <c r="AB300" s="391"/>
      <c r="AC300" s="391"/>
      <c r="AD300" s="391"/>
      <c r="AE300" s="391"/>
      <c r="AF300" s="391"/>
      <c r="AG300" s="391"/>
      <c r="AU300" s="249"/>
    </row>
    <row r="301" spans="1:47" ht="30" hidden="1" customHeight="1" outlineLevel="1" x14ac:dyDescent="0.25">
      <c r="B301" s="1923"/>
      <c r="C301" s="559"/>
      <c r="D301" s="2346" t="s">
        <v>928</v>
      </c>
      <c r="E301" s="2346" t="s">
        <v>929</v>
      </c>
      <c r="F301" s="444">
        <v>860</v>
      </c>
      <c r="G301" s="2708"/>
      <c r="H301" s="2694"/>
      <c r="I301" s="2694"/>
      <c r="J301" s="233"/>
      <c r="K301" s="233"/>
      <c r="L301" s="233"/>
      <c r="O301" s="1923"/>
      <c r="V301" s="451" t="s">
        <v>930</v>
      </c>
      <c r="W301" s="560">
        <v>860</v>
      </c>
      <c r="X301" s="560">
        <v>860</v>
      </c>
      <c r="Y301" s="560">
        <v>860</v>
      </c>
      <c r="Z301" s="561"/>
      <c r="AA301" s="391"/>
      <c r="AB301" s="391"/>
      <c r="AC301" s="391"/>
      <c r="AD301" s="391"/>
      <c r="AE301" s="391"/>
      <c r="AF301" s="391"/>
      <c r="AG301" s="391"/>
      <c r="AU301" s="249"/>
    </row>
    <row r="302" spans="1:47" ht="30" hidden="1" customHeight="1" outlineLevel="1" x14ac:dyDescent="0.25">
      <c r="B302" s="1923"/>
      <c r="C302" s="559"/>
      <c r="D302" s="2346" t="s">
        <v>931</v>
      </c>
      <c r="E302" s="2346" t="s">
        <v>932</v>
      </c>
      <c r="F302" s="444">
        <v>1000</v>
      </c>
      <c r="G302" s="2708"/>
      <c r="H302" s="2694"/>
      <c r="I302" s="2694"/>
      <c r="J302" s="233"/>
      <c r="K302" s="233"/>
      <c r="L302" s="233"/>
      <c r="O302" s="1923"/>
      <c r="V302" s="451" t="s">
        <v>931</v>
      </c>
      <c r="W302" s="447">
        <v>1000</v>
      </c>
      <c r="X302" s="447">
        <v>1000</v>
      </c>
      <c r="Y302" s="447">
        <v>1000</v>
      </c>
      <c r="Z302" s="391"/>
      <c r="AA302" s="391"/>
      <c r="AB302" s="391"/>
      <c r="AC302" s="391"/>
      <c r="AD302" s="391"/>
      <c r="AE302" s="391"/>
      <c r="AF302" s="391"/>
      <c r="AG302" s="391"/>
      <c r="AU302" s="249"/>
    </row>
    <row r="303" spans="1:47" ht="30" hidden="1" customHeight="1" outlineLevel="1" thickBot="1" x14ac:dyDescent="0.3">
      <c r="B303" s="1923"/>
      <c r="C303" s="559"/>
      <c r="D303" s="2346" t="s">
        <v>731</v>
      </c>
      <c r="E303" s="2346" t="s">
        <v>933</v>
      </c>
      <c r="F303" s="450">
        <v>0.97468354430379744</v>
      </c>
      <c r="G303" s="2708"/>
      <c r="H303" s="2694"/>
      <c r="I303" s="2694"/>
      <c r="J303" s="233"/>
      <c r="K303" s="233"/>
      <c r="L303" s="233"/>
      <c r="O303" s="1923"/>
      <c r="V303" s="562" t="s">
        <v>731</v>
      </c>
      <c r="W303" s="563">
        <v>0.97560975609756095</v>
      </c>
      <c r="X303" s="563">
        <v>0.97560975609756095</v>
      </c>
      <c r="Y303" s="564">
        <v>0.97468354430379744</v>
      </c>
      <c r="Z303" s="565"/>
      <c r="AA303" s="565"/>
      <c r="AB303" s="565"/>
      <c r="AC303" s="565"/>
      <c r="AD303" s="565"/>
      <c r="AE303" s="565"/>
      <c r="AF303" s="565"/>
      <c r="AG303" s="565"/>
      <c r="AU303" s="249"/>
    </row>
    <row r="304" spans="1:47" ht="15" hidden="1" customHeight="1" outlineLevel="1" x14ac:dyDescent="0.25">
      <c r="A304" s="486"/>
      <c r="B304" s="486"/>
      <c r="C304" s="231"/>
      <c r="D304" s="423" t="str">
        <f>$D$50</f>
        <v>EUL</v>
      </c>
      <c r="E304" s="423"/>
      <c r="F304" s="2357">
        <v>9</v>
      </c>
      <c r="G304" s="2708" t="s">
        <v>37</v>
      </c>
      <c r="H304" s="2694"/>
      <c r="I304" s="2694"/>
      <c r="J304" s="486"/>
      <c r="K304" s="486"/>
      <c r="L304" s="486"/>
      <c r="V304" s="566" t="str">
        <f>D304</f>
        <v>EUL</v>
      </c>
      <c r="W304" s="567">
        <v>9</v>
      </c>
      <c r="X304" s="567">
        <v>9</v>
      </c>
      <c r="Y304" s="567">
        <v>10</v>
      </c>
      <c r="Z304" s="567"/>
      <c r="AA304" s="567"/>
      <c r="AB304" s="567"/>
      <c r="AC304" s="567"/>
      <c r="AD304" s="567"/>
      <c r="AE304" s="567"/>
      <c r="AF304" s="567"/>
      <c r="AG304" s="567"/>
      <c r="AU304" s="249"/>
    </row>
    <row r="305" spans="1:47" ht="15" hidden="1" customHeight="1" outlineLevel="1" x14ac:dyDescent="0.25">
      <c r="A305" s="486"/>
      <c r="B305" s="486"/>
      <c r="C305" s="231"/>
      <c r="D305" s="423" t="str">
        <f>$D$51</f>
        <v>Inc. Cost</v>
      </c>
      <c r="E305" s="423"/>
      <c r="F305" s="2358">
        <v>20</v>
      </c>
      <c r="G305" s="2708" t="s">
        <v>37</v>
      </c>
      <c r="H305" s="2694"/>
      <c r="I305" s="2694"/>
      <c r="J305" s="486"/>
      <c r="K305" s="486"/>
      <c r="L305" s="486"/>
      <c r="V305" s="451" t="str">
        <f>D305</f>
        <v>Inc. Cost</v>
      </c>
      <c r="W305" s="490">
        <v>20</v>
      </c>
      <c r="X305" s="490">
        <v>20</v>
      </c>
      <c r="Y305" s="490">
        <v>20</v>
      </c>
      <c r="Z305" s="490"/>
      <c r="AA305" s="490"/>
      <c r="AB305" s="490"/>
      <c r="AC305" s="490"/>
      <c r="AD305" s="490"/>
      <c r="AE305" s="490"/>
      <c r="AF305" s="490"/>
      <c r="AG305" s="490"/>
      <c r="AU305" s="249"/>
    </row>
    <row r="306" spans="1:47" collapsed="1" x14ac:dyDescent="0.25">
      <c r="B306" s="233"/>
      <c r="C306" s="231"/>
      <c r="D306" s="568"/>
      <c r="E306" s="568"/>
      <c r="F306" s="569"/>
      <c r="G306" s="570"/>
      <c r="H306" s="233"/>
      <c r="I306" s="233"/>
      <c r="J306" s="233"/>
      <c r="K306" s="233"/>
      <c r="L306" s="233"/>
      <c r="N306" s="233"/>
      <c r="O306" s="233"/>
      <c r="AU306" s="249"/>
    </row>
    <row r="307" spans="1:47" x14ac:dyDescent="0.25">
      <c r="B307" s="233"/>
      <c r="C307" s="231"/>
      <c r="D307" s="232"/>
      <c r="E307" s="232"/>
      <c r="F307" s="233"/>
      <c r="G307" s="233"/>
      <c r="H307" s="233"/>
      <c r="I307" s="233"/>
      <c r="J307" s="233"/>
      <c r="K307" s="233"/>
      <c r="L307" s="233"/>
      <c r="M307" s="233"/>
      <c r="N307" s="233"/>
      <c r="O307" s="233"/>
      <c r="AU307" s="249"/>
    </row>
    <row r="308" spans="1:47" x14ac:dyDescent="0.25">
      <c r="M308" s="233"/>
      <c r="N308" s="233"/>
      <c r="O308" s="233"/>
      <c r="AU308" s="249"/>
    </row>
    <row r="309" spans="1:47" x14ac:dyDescent="0.25">
      <c r="M309" s="177"/>
      <c r="N309" s="177"/>
      <c r="O309" s="177"/>
      <c r="AU309" s="249"/>
    </row>
    <row r="310" spans="1:47" x14ac:dyDescent="0.25">
      <c r="M310" s="233"/>
      <c r="N310" s="233"/>
      <c r="O310" s="233"/>
      <c r="AU310" s="249"/>
    </row>
    <row r="311" spans="1:47" x14ac:dyDescent="0.25">
      <c r="M311" s="233"/>
      <c r="N311" s="233"/>
      <c r="O311" s="233"/>
    </row>
    <row r="338" spans="1:12" x14ac:dyDescent="0.25">
      <c r="A338" s="177"/>
      <c r="B338" s="177"/>
      <c r="K338" s="1924"/>
      <c r="L338" s="177"/>
    </row>
  </sheetData>
  <mergeCells count="120">
    <mergeCell ref="G305:I305"/>
    <mergeCell ref="G299:I299"/>
    <mergeCell ref="G300:I300"/>
    <mergeCell ref="G301:I301"/>
    <mergeCell ref="G302:I302"/>
    <mergeCell ref="G303:I303"/>
    <mergeCell ref="G304:I304"/>
    <mergeCell ref="B282:O282"/>
    <mergeCell ref="V282:AI282"/>
    <mergeCell ref="G295:I295"/>
    <mergeCell ref="G296:I296"/>
    <mergeCell ref="G297:I297"/>
    <mergeCell ref="G298:I298"/>
    <mergeCell ref="V255:AI255"/>
    <mergeCell ref="D265:D270"/>
    <mergeCell ref="E265:E270"/>
    <mergeCell ref="V265:V270"/>
    <mergeCell ref="D271:D276"/>
    <mergeCell ref="E271:E276"/>
    <mergeCell ref="V271:V276"/>
    <mergeCell ref="G248:H248"/>
    <mergeCell ref="G249:H249"/>
    <mergeCell ref="G250:H250"/>
    <mergeCell ref="G251:H251"/>
    <mergeCell ref="G252:H252"/>
    <mergeCell ref="B255:O255"/>
    <mergeCell ref="G242:H242"/>
    <mergeCell ref="G243:H243"/>
    <mergeCell ref="G244:H244"/>
    <mergeCell ref="G245:H245"/>
    <mergeCell ref="G246:H246"/>
    <mergeCell ref="G247:H247"/>
    <mergeCell ref="H196:I196"/>
    <mergeCell ref="J196:K196"/>
    <mergeCell ref="B199:O199"/>
    <mergeCell ref="V199:AI199"/>
    <mergeCell ref="B231:O231"/>
    <mergeCell ref="V231:AI231"/>
    <mergeCell ref="H193:I193"/>
    <mergeCell ref="J193:K193"/>
    <mergeCell ref="H194:I194"/>
    <mergeCell ref="J194:K194"/>
    <mergeCell ref="H195:I195"/>
    <mergeCell ref="J195:K195"/>
    <mergeCell ref="H190:I190"/>
    <mergeCell ref="J190:K190"/>
    <mergeCell ref="H191:I191"/>
    <mergeCell ref="J191:K191"/>
    <mergeCell ref="H192:I192"/>
    <mergeCell ref="J192:K192"/>
    <mergeCell ref="H187:I187"/>
    <mergeCell ref="J187:K187"/>
    <mergeCell ref="H188:I188"/>
    <mergeCell ref="J188:K188"/>
    <mergeCell ref="H189:I189"/>
    <mergeCell ref="J189:K189"/>
    <mergeCell ref="H184:I184"/>
    <mergeCell ref="J184:K184"/>
    <mergeCell ref="H185:I185"/>
    <mergeCell ref="J185:K185"/>
    <mergeCell ref="H186:I186"/>
    <mergeCell ref="J186:K186"/>
    <mergeCell ref="D150:D157"/>
    <mergeCell ref="V150:V157"/>
    <mergeCell ref="B163:O163"/>
    <mergeCell ref="V163:AI163"/>
    <mergeCell ref="H183:I183"/>
    <mergeCell ref="J183:K183"/>
    <mergeCell ref="D127:D134"/>
    <mergeCell ref="G127:G134"/>
    <mergeCell ref="V127:V134"/>
    <mergeCell ref="D136:D143"/>
    <mergeCell ref="V136:V143"/>
    <mergeCell ref="D144:D145"/>
    <mergeCell ref="V144:V145"/>
    <mergeCell ref="D105:D116"/>
    <mergeCell ref="G105:G116"/>
    <mergeCell ref="H105:H116"/>
    <mergeCell ref="V105:V116"/>
    <mergeCell ref="D117:D124"/>
    <mergeCell ref="V117:V124"/>
    <mergeCell ref="G123:G124"/>
    <mergeCell ref="D97:D104"/>
    <mergeCell ref="V97:V104"/>
    <mergeCell ref="G103:G104"/>
    <mergeCell ref="G45:H45"/>
    <mergeCell ref="G46:H46"/>
    <mergeCell ref="G47:H47"/>
    <mergeCell ref="G48:H48"/>
    <mergeCell ref="G49:H49"/>
    <mergeCell ref="V54:AI54"/>
    <mergeCell ref="G50:H50"/>
    <mergeCell ref="G51:H51"/>
    <mergeCell ref="B54:O54"/>
    <mergeCell ref="A1:P1"/>
    <mergeCell ref="D2:J2"/>
    <mergeCell ref="B4:O4"/>
    <mergeCell ref="G40:H40"/>
    <mergeCell ref="D41:D44"/>
    <mergeCell ref="G41:H41"/>
    <mergeCell ref="G38:H38"/>
    <mergeCell ref="G39:H39"/>
    <mergeCell ref="G31:H31"/>
    <mergeCell ref="G32:H32"/>
    <mergeCell ref="G33:H33"/>
    <mergeCell ref="V4:AI4"/>
    <mergeCell ref="G26:H26"/>
    <mergeCell ref="G27:H27"/>
    <mergeCell ref="G28:H28"/>
    <mergeCell ref="G29:H29"/>
    <mergeCell ref="G30:H30"/>
    <mergeCell ref="V41:V44"/>
    <mergeCell ref="G42:H42"/>
    <mergeCell ref="G43:H43"/>
    <mergeCell ref="G44:H44"/>
    <mergeCell ref="G34:H34"/>
    <mergeCell ref="G35:H35"/>
    <mergeCell ref="G36:H36"/>
    <mergeCell ref="G37:H37"/>
    <mergeCell ref="I41:I44"/>
  </mergeCells>
  <conditionalFormatting sqref="AH7 AH57:AH78">
    <cfRule type="cellIs" dxfId="144" priority="13" operator="lessThan">
      <formula>-0.1</formula>
    </cfRule>
    <cfRule type="cellIs" dxfId="143" priority="14" operator="greaterThan">
      <formula>0.1</formula>
    </cfRule>
  </conditionalFormatting>
  <conditionalFormatting sqref="AH166:AH167">
    <cfRule type="cellIs" dxfId="142" priority="11" operator="lessThan">
      <formula>-0.1</formula>
    </cfRule>
    <cfRule type="cellIs" dxfId="141" priority="12" operator="greaterThan">
      <formula>0.1</formula>
    </cfRule>
  </conditionalFormatting>
  <conditionalFormatting sqref="AH234">
    <cfRule type="cellIs" dxfId="140" priority="9" operator="lessThan">
      <formula>-0.1</formula>
    </cfRule>
    <cfRule type="cellIs" dxfId="139" priority="10" operator="greaterThan">
      <formula>0.1</formula>
    </cfRule>
  </conditionalFormatting>
  <conditionalFormatting sqref="AH285:AH286">
    <cfRule type="cellIs" dxfId="138" priority="7" operator="lessThan">
      <formula>-0.1</formula>
    </cfRule>
    <cfRule type="cellIs" dxfId="137" priority="8" operator="greaterThan">
      <formula>0.1</formula>
    </cfRule>
  </conditionalFormatting>
  <conditionalFormatting sqref="A91:I91 K91:P91 A1:P54 A92:P103 A116:F116 A105:G115 I105:P116 A104:F104 H104:P104 A117:P127 A135:P1048576 A128:F134 H128:P134 A56:P90 A55:C55 F55:P55">
    <cfRule type="cellIs" dxfId="136" priority="6" operator="equal">
      <formula>"x"</formula>
    </cfRule>
  </conditionalFormatting>
  <conditionalFormatting sqref="AH79:AH80">
    <cfRule type="cellIs" dxfId="135" priority="4" operator="lessThan">
      <formula>-0.1</formula>
    </cfRule>
    <cfRule type="cellIs" dxfId="134" priority="5" operator="greaterThan">
      <formula>0.1</formula>
    </cfRule>
  </conditionalFormatting>
  <conditionalFormatting sqref="V97:V160">
    <cfRule type="cellIs" dxfId="133" priority="3" operator="equal">
      <formula>"x"</formula>
    </cfRule>
  </conditionalFormatting>
  <conditionalFormatting sqref="Y123:Y124">
    <cfRule type="cellIs" dxfId="132" priority="2" operator="equal">
      <formula>"x"</formula>
    </cfRule>
  </conditionalFormatting>
  <conditionalFormatting sqref="H105:H115">
    <cfRule type="cellIs" dxfId="131" priority="1" operator="equal">
      <formula>"x"</formula>
    </cfRule>
  </conditionalFormatting>
  <hyperlinks>
    <hyperlink ref="C273" location="_ftn2" display="_ftn2"/>
    <hyperlink ref="C276" location="_ftnref1" display="_ftnref1"/>
  </hyperlinks>
  <pageMargins left="0.7" right="0.7" top="0.75" bottom="0.75" header="0.3" footer="0.3"/>
  <pageSetup scale="10" fitToHeight="0" orientation="portrait" r:id="rId1"/>
  <rowBreaks count="1" manualBreakCount="1">
    <brk id="253" max="16383"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233"/>
  <sheetViews>
    <sheetView showGridLines="0" zoomScale="70" zoomScaleNormal="70" workbookViewId="0">
      <selection sqref="A1:O1"/>
    </sheetView>
  </sheetViews>
  <sheetFormatPr defaultColWidth="16.42578125" defaultRowHeight="15" outlineLevelRow="1" x14ac:dyDescent="0.25"/>
  <cols>
    <col min="1" max="1" width="5.5703125" style="177" customWidth="1"/>
    <col min="2" max="2" width="16.42578125" style="177"/>
    <col min="3" max="3" width="20.140625" style="455" bestFit="1" customWidth="1"/>
    <col min="4" max="4" width="16.42578125" style="456"/>
    <col min="5" max="5" width="33" style="456" customWidth="1"/>
    <col min="6" max="6" width="41.42578125" style="177" bestFit="1" customWidth="1"/>
    <col min="7" max="7" width="46.42578125" style="177" customWidth="1"/>
    <col min="8" max="8" width="25.140625" style="177" customWidth="1"/>
    <col min="9" max="9" width="43.140625" style="177" customWidth="1"/>
    <col min="10" max="10" width="20.28515625" style="177" customWidth="1"/>
    <col min="11" max="12" width="16.42578125" style="177" customWidth="1"/>
    <col min="13" max="13" width="16.42578125" style="763" customWidth="1"/>
    <col min="14" max="21" width="16.42578125" style="177" customWidth="1"/>
    <col min="22" max="22" width="29.42578125" bestFit="1" customWidth="1"/>
    <col min="23" max="23" width="16.42578125" customWidth="1"/>
    <col min="24" max="24" width="18" customWidth="1"/>
    <col min="25" max="25" width="17.140625" customWidth="1"/>
    <col min="26" max="35" width="16.42578125" customWidth="1"/>
    <col min="36" max="37" width="18" bestFit="1" customWidth="1"/>
    <col min="38" max="53" width="16.42578125" customWidth="1"/>
    <col min="55" max="55" width="33.140625" bestFit="1" customWidth="1"/>
    <col min="56" max="56" width="13.85546875" style="1" customWidth="1"/>
    <col min="57" max="57" width="20.42578125" style="1" customWidth="1"/>
  </cols>
  <sheetData>
    <row r="1" spans="1:57" s="26" customFormat="1" ht="18.75" x14ac:dyDescent="0.3">
      <c r="A1" s="2633" t="s">
        <v>934</v>
      </c>
      <c r="B1" s="2710"/>
      <c r="C1" s="2710"/>
      <c r="D1" s="2710"/>
      <c r="E1" s="2710"/>
      <c r="F1" s="2710"/>
      <c r="G1" s="2710"/>
      <c r="H1" s="2710"/>
      <c r="I1" s="2710"/>
      <c r="J1" s="2710"/>
      <c r="K1" s="2710"/>
      <c r="L1" s="2710"/>
      <c r="M1" s="2710"/>
      <c r="N1" s="2710"/>
      <c r="O1" s="2710"/>
      <c r="P1" s="1717"/>
      <c r="Q1" s="1717"/>
      <c r="R1" s="1157"/>
      <c r="S1" s="1716"/>
      <c r="T1" s="1716"/>
      <c r="U1" s="1716"/>
      <c r="V1" s="33"/>
      <c r="W1" s="34"/>
      <c r="X1" s="34"/>
      <c r="Y1" s="35"/>
      <c r="Z1" s="35"/>
      <c r="AA1" s="35"/>
      <c r="AB1" s="35"/>
      <c r="AC1" s="35"/>
      <c r="AD1" s="35"/>
      <c r="AE1" s="35"/>
      <c r="AF1" s="35"/>
      <c r="AG1" s="35"/>
      <c r="AH1" s="35"/>
      <c r="BD1" s="571"/>
      <c r="BE1" s="571"/>
    </row>
    <row r="2" spans="1:57" s="26" customFormat="1" ht="30" hidden="1" customHeight="1" outlineLevel="1" x14ac:dyDescent="0.35">
      <c r="A2" s="1716"/>
      <c r="B2" s="1718"/>
      <c r="C2" s="225"/>
      <c r="D2" s="2622" t="s">
        <v>3345</v>
      </c>
      <c r="E2" s="2637"/>
      <c r="F2" s="2638"/>
      <c r="G2" s="2638"/>
      <c r="H2" s="2638"/>
      <c r="I2" s="2638"/>
      <c r="J2" s="2638"/>
      <c r="K2" s="1156"/>
      <c r="L2" s="1156"/>
      <c r="M2" s="1716"/>
      <c r="N2" s="1716"/>
      <c r="O2" s="1716"/>
      <c r="P2" s="1716"/>
      <c r="Q2" s="1716"/>
      <c r="R2" s="1716"/>
      <c r="S2" s="1716"/>
      <c r="T2" s="1716"/>
      <c r="U2" s="1716"/>
      <c r="BD2" s="571"/>
      <c r="BE2" s="571"/>
    </row>
    <row r="3" spans="1:57" s="29" customFormat="1" ht="33.75" customHeight="1" collapsed="1" x14ac:dyDescent="0.25">
      <c r="A3" s="1157"/>
      <c r="B3" s="1157"/>
      <c r="C3" s="226"/>
      <c r="D3" s="227"/>
      <c r="E3" s="227"/>
      <c r="F3" s="226"/>
      <c r="G3" s="226"/>
      <c r="H3" s="226"/>
      <c r="I3" s="226"/>
      <c r="J3" s="226"/>
      <c r="K3" s="1157"/>
      <c r="L3" s="1157"/>
      <c r="M3" s="1925"/>
      <c r="N3" s="1157"/>
      <c r="O3" s="1157"/>
      <c r="P3" s="1157"/>
      <c r="Q3" s="1157"/>
      <c r="R3" s="1157"/>
      <c r="S3" s="1157"/>
      <c r="T3" s="1157"/>
      <c r="U3" s="1157"/>
      <c r="BD3" s="572"/>
      <c r="BE3" s="572"/>
    </row>
    <row r="4" spans="1:57" x14ac:dyDescent="0.25">
      <c r="B4" s="2639" t="s">
        <v>935</v>
      </c>
      <c r="C4" s="2640"/>
      <c r="D4" s="2640"/>
      <c r="E4" s="2640"/>
      <c r="F4" s="2640"/>
      <c r="G4" s="2640"/>
      <c r="H4" s="2640"/>
      <c r="I4" s="2641"/>
      <c r="J4" s="2641"/>
      <c r="K4" s="2641"/>
      <c r="L4" s="2641"/>
      <c r="M4" s="2641"/>
      <c r="N4" s="2642"/>
      <c r="O4" s="355"/>
      <c r="P4" s="355"/>
      <c r="Q4" s="355"/>
      <c r="V4" s="2639" t="str">
        <f>B4</f>
        <v>Dirty Filter Alarm</v>
      </c>
      <c r="W4" s="2640"/>
      <c r="X4" s="2640"/>
      <c r="Y4" s="2640"/>
      <c r="Z4" s="2640"/>
      <c r="AA4" s="2640"/>
      <c r="AB4" s="2640"/>
      <c r="AC4" s="2615"/>
      <c r="AD4" s="2615"/>
      <c r="AE4" s="2615"/>
      <c r="AF4" s="2615"/>
      <c r="AG4" s="2615"/>
      <c r="AH4" s="2616"/>
    </row>
    <row r="5" spans="1:57" x14ac:dyDescent="0.25">
      <c r="B5" s="1926"/>
      <c r="C5" s="329"/>
      <c r="D5" s="573"/>
      <c r="E5" s="573"/>
      <c r="F5" s="330"/>
      <c r="G5" s="330"/>
      <c r="H5" s="330"/>
      <c r="I5" s="330"/>
      <c r="J5" s="330"/>
      <c r="K5" s="330"/>
      <c r="L5" s="1902"/>
      <c r="M5" s="1494"/>
      <c r="N5" s="355"/>
      <c r="O5" s="355"/>
      <c r="P5" s="355"/>
      <c r="Q5" s="355"/>
    </row>
    <row r="6" spans="1:57" ht="30" x14ac:dyDescent="0.25">
      <c r="B6" s="1580"/>
      <c r="C6" s="1641" t="s">
        <v>17</v>
      </c>
      <c r="D6" s="1641" t="s">
        <v>662</v>
      </c>
      <c r="E6" s="1641" t="s">
        <v>19</v>
      </c>
      <c r="F6" s="1641" t="s">
        <v>20</v>
      </c>
      <c r="G6" s="1641" t="s">
        <v>21</v>
      </c>
      <c r="H6" s="1641" t="s">
        <v>22</v>
      </c>
      <c r="I6" s="1641" t="s">
        <v>936</v>
      </c>
      <c r="J6" s="1641" t="s">
        <v>937</v>
      </c>
      <c r="K6" s="1641" t="s">
        <v>23</v>
      </c>
      <c r="L6" s="1646" t="s">
        <v>24</v>
      </c>
      <c r="M6" s="1641" t="s">
        <v>25</v>
      </c>
      <c r="N6" s="1641" t="s">
        <v>26</v>
      </c>
      <c r="P6" s="332"/>
      <c r="Q6" s="332"/>
      <c r="V6" s="55" t="s">
        <v>27</v>
      </c>
      <c r="W6" s="56">
        <v>43252</v>
      </c>
      <c r="X6" s="56">
        <v>43465</v>
      </c>
      <c r="Y6" s="56">
        <v>43800</v>
      </c>
      <c r="Z6" s="56">
        <v>43862</v>
      </c>
      <c r="AA6" s="56" t="s">
        <v>28</v>
      </c>
      <c r="AB6" s="56" t="s">
        <v>28</v>
      </c>
      <c r="AC6" s="56" t="s">
        <v>28</v>
      </c>
      <c r="AD6" s="56" t="s">
        <v>28</v>
      </c>
      <c r="AE6" s="56" t="s">
        <v>28</v>
      </c>
      <c r="AF6" s="56" t="s">
        <v>28</v>
      </c>
      <c r="AG6" s="56" t="s">
        <v>28</v>
      </c>
      <c r="BB6" s="103" t="s">
        <v>29</v>
      </c>
      <c r="BC6" s="58" t="s">
        <v>30</v>
      </c>
      <c r="BD6" s="59" t="s">
        <v>31</v>
      </c>
      <c r="BE6" s="59" t="s">
        <v>32</v>
      </c>
    </row>
    <row r="7" spans="1:57" x14ac:dyDescent="0.25">
      <c r="B7" s="1580"/>
      <c r="C7" s="1927" t="s">
        <v>938</v>
      </c>
      <c r="D7" s="1927" t="s">
        <v>939</v>
      </c>
      <c r="E7" s="574" t="s">
        <v>940</v>
      </c>
      <c r="F7" s="788">
        <f>ROUND(I7+J7,2)</f>
        <v>61.06</v>
      </c>
      <c r="G7" s="1672" t="s">
        <v>941</v>
      </c>
      <c r="H7" s="239">
        <f>VLOOKUP(G7,'CP FACTORS'!$A$3:$B$38, 2, FALSE)</f>
        <v>4.6608050000000002E-4</v>
      </c>
      <c r="I7" s="1928">
        <f>F$18*F$20*F$21*F$23*F24*F26</f>
        <v>38.625425835948</v>
      </c>
      <c r="J7" s="1928">
        <f>F$28*F$20*F$30*F$23*F24*F26</f>
        <v>22.436828242940383</v>
      </c>
      <c r="K7" s="576">
        <f>ROUND(H7*F7,6)</f>
        <v>2.8459000000000002E-2</v>
      </c>
      <c r="L7" s="1647">
        <f>$F$32</f>
        <v>14</v>
      </c>
      <c r="M7" s="612">
        <f>F33</f>
        <v>5</v>
      </c>
      <c r="N7" s="1927" t="s">
        <v>37</v>
      </c>
      <c r="Q7" s="785"/>
      <c r="R7" s="1894"/>
      <c r="V7" s="245" t="str">
        <f>F6</f>
        <v>kWh Annual Savings</v>
      </c>
      <c r="W7" s="578">
        <v>68.110226249999997</v>
      </c>
      <c r="X7" s="579">
        <v>64.253294436813192</v>
      </c>
      <c r="Y7" s="580">
        <v>61.06</v>
      </c>
      <c r="Z7" s="245"/>
      <c r="AA7" s="245"/>
      <c r="AB7" s="245"/>
      <c r="AC7" s="245"/>
      <c r="AD7" s="245"/>
      <c r="AE7" s="245"/>
      <c r="AF7" s="245"/>
      <c r="AG7" s="245"/>
      <c r="AH7" s="248"/>
      <c r="BB7" s="161">
        <f>(BD7)/(BE7)</f>
        <v>11.488423725983893</v>
      </c>
      <c r="BC7" s="69" t="str">
        <f>CONCATENATE(G7," ",L7," Year EUL")</f>
        <v>HVAC RES 14 Year EUL</v>
      </c>
      <c r="BD7" s="581">
        <f>(INDEX('Avoided Cost Benefits'!$C$4:$C$857,MATCH(BC7,'Avoided Cost Benefits'!$A$4:$A$857,0)))*F7</f>
        <v>54.216251656365699</v>
      </c>
      <c r="BE7" s="582">
        <f>M7/(1.0595^(2020-2019))</f>
        <v>4.7192071731949028</v>
      </c>
    </row>
    <row r="8" spans="1:57" x14ac:dyDescent="0.25">
      <c r="B8" s="1580"/>
      <c r="C8" s="1927" t="s">
        <v>942</v>
      </c>
      <c r="D8" s="1927" t="s">
        <v>939</v>
      </c>
      <c r="E8" s="583" t="s">
        <v>943</v>
      </c>
      <c r="F8" s="788">
        <f>ROUND(I8+J8,2)</f>
        <v>177.38</v>
      </c>
      <c r="G8" s="1672" t="s">
        <v>941</v>
      </c>
      <c r="H8" s="239">
        <f>VLOOKUP(G8,'CP FACTORS'!$A$3:$B$38, 2, FALSE)</f>
        <v>4.6608050000000002E-4</v>
      </c>
      <c r="I8" s="1928">
        <f>F$19*F$20*F$21*F$23*F25*F27</f>
        <v>112.2</v>
      </c>
      <c r="J8" s="1928">
        <f>F$29*F$20*F$30*F$23*F25*F27</f>
        <v>65.174999999999997</v>
      </c>
      <c r="K8" s="576">
        <f>ROUND(H8*F8,6)</f>
        <v>8.2672999999999996E-2</v>
      </c>
      <c r="L8" s="1647">
        <f>$F$32</f>
        <v>14</v>
      </c>
      <c r="M8" s="612">
        <f>F34</f>
        <v>5</v>
      </c>
      <c r="N8" s="1927" t="s">
        <v>37</v>
      </c>
      <c r="Q8" s="785"/>
      <c r="R8" s="1894"/>
      <c r="V8" s="245" t="str">
        <f>V7</f>
        <v>kWh Annual Savings</v>
      </c>
      <c r="W8" s="578">
        <v>79.197937499999995</v>
      </c>
      <c r="X8" s="579">
        <v>171.76499999999999</v>
      </c>
      <c r="Y8" s="580">
        <v>177.38</v>
      </c>
      <c r="Z8" s="245"/>
      <c r="AA8" s="245"/>
      <c r="AB8" s="245"/>
      <c r="AC8" s="245"/>
      <c r="AD8" s="245"/>
      <c r="AE8" s="245"/>
      <c r="AF8" s="245"/>
      <c r="AG8" s="245"/>
      <c r="AH8" s="248"/>
      <c r="BB8" s="164">
        <f>(BD8)/(BE8)</f>
        <v>33.374002628808107</v>
      </c>
      <c r="BC8" s="73" t="str">
        <f>CONCATENATE(G8," ",L8," Year EUL")</f>
        <v>HVAC RES 14 Year EUL</v>
      </c>
      <c r="BD8" s="584">
        <f>(INDEX('Avoided Cost Benefits'!$C$4:$C$857,MATCH(BC8,'Avoided Cost Benefits'!$A$4:$A$857,0)))*F8</f>
        <v>157.49883260409675</v>
      </c>
      <c r="BE8" s="585">
        <f t="shared" ref="BE8:BE9" si="0">M8/(1.0595^(2020-2019))</f>
        <v>4.7192071731949028</v>
      </c>
    </row>
    <row r="9" spans="1:57" x14ac:dyDescent="0.25">
      <c r="B9" s="1580"/>
      <c r="C9" s="1927" t="s">
        <v>944</v>
      </c>
      <c r="D9" s="2571" t="s">
        <v>939</v>
      </c>
      <c r="E9" s="458" t="str">
        <f>CONCATENATE(E8,"_CompE")</f>
        <v>Dirty Filter Alarm_MF_CompE</v>
      </c>
      <c r="F9" s="1929">
        <f>ROUND(I9+J9,2)</f>
        <v>85.65</v>
      </c>
      <c r="G9" s="1672" t="s">
        <v>941</v>
      </c>
      <c r="H9" s="239">
        <f>VLOOKUP(G9,'CP FACTORS'!$A$3:$B$38, 2, FALSE)</f>
        <v>4.6608050000000002E-4</v>
      </c>
      <c r="I9" s="1928">
        <f>F$19*F$20*F$22*F$23*F25*F27</f>
        <v>38.25</v>
      </c>
      <c r="J9" s="1928">
        <f>F$29*F$20*F$31*F$23*F25*F27</f>
        <v>47.4</v>
      </c>
      <c r="K9" s="576">
        <f>ROUND(H9*F9,6)</f>
        <v>3.9919999999999997E-2</v>
      </c>
      <c r="L9" s="1647">
        <f>$F$32</f>
        <v>14</v>
      </c>
      <c r="M9" s="612">
        <f>F34</f>
        <v>5</v>
      </c>
      <c r="N9" s="1927" t="s">
        <v>37</v>
      </c>
      <c r="Q9" s="785"/>
      <c r="R9" s="1894"/>
      <c r="V9" s="245" t="str">
        <f>V8</f>
        <v>kWh Annual Savings</v>
      </c>
      <c r="W9" s="578"/>
      <c r="X9" s="579"/>
      <c r="Y9" s="580">
        <v>85.65</v>
      </c>
      <c r="Z9" s="245"/>
      <c r="AA9" s="245"/>
      <c r="AB9" s="245"/>
      <c r="AC9" s="245"/>
      <c r="AD9" s="245"/>
      <c r="AE9" s="245"/>
      <c r="AF9" s="245"/>
      <c r="AG9" s="245"/>
      <c r="AH9" s="248"/>
      <c r="BB9" s="169">
        <f>(BD9)/(BE9)</f>
        <v>16.115026074852938</v>
      </c>
      <c r="BC9" s="73" t="str">
        <f>CONCATENATE(G9," ",L9," Year EUL")</f>
        <v>HVAC RES 14 Year EUL</v>
      </c>
      <c r="BD9" s="586">
        <f>(INDEX('Avoided Cost Benefits'!$C$4:$C$857,MATCH(BC9,'Avoided Cost Benefits'!$A$4:$A$857,0)))*F9</f>
        <v>76.050146648668886</v>
      </c>
      <c r="BE9" s="587">
        <f t="shared" si="0"/>
        <v>4.7192071731949028</v>
      </c>
    </row>
    <row r="10" spans="1:57" hidden="1" outlineLevel="1" x14ac:dyDescent="0.25">
      <c r="B10" s="1580"/>
      <c r="C10" s="1194"/>
      <c r="D10" s="588"/>
      <c r="E10" s="588"/>
      <c r="F10" s="1930"/>
      <c r="G10" s="1931"/>
      <c r="H10" s="1932"/>
      <c r="I10" s="1933"/>
      <c r="J10" s="1934"/>
      <c r="K10" s="1935"/>
      <c r="L10" s="1936"/>
      <c r="M10" s="1937"/>
      <c r="N10" s="1205"/>
      <c r="R10" s="1894"/>
      <c r="W10" s="65"/>
      <c r="BE10" s="589"/>
    </row>
    <row r="11" spans="1:57" hidden="1" outlineLevel="1" x14ac:dyDescent="0.25">
      <c r="B11" s="1580"/>
      <c r="C11" s="329"/>
      <c r="D11" s="259" t="s">
        <v>617</v>
      </c>
      <c r="E11" s="590"/>
      <c r="F11" s="1938"/>
      <c r="G11" s="1197"/>
      <c r="H11" s="355"/>
      <c r="I11" s="355"/>
      <c r="J11" s="355"/>
      <c r="K11" s="355"/>
      <c r="L11" s="355"/>
      <c r="M11" s="1494"/>
      <c r="N11" s="355"/>
      <c r="O11" s="355"/>
      <c r="P11" s="355"/>
      <c r="Q11" s="355"/>
      <c r="R11" s="1894"/>
      <c r="BE11" s="589"/>
    </row>
    <row r="12" spans="1:57" hidden="1" outlineLevel="1" x14ac:dyDescent="0.25">
      <c r="B12" s="1580"/>
      <c r="C12" s="329"/>
      <c r="D12" s="591"/>
      <c r="E12" s="591"/>
      <c r="F12" s="1215"/>
      <c r="G12" s="1215"/>
      <c r="H12" s="355"/>
      <c r="I12" s="355"/>
      <c r="J12" s="355"/>
      <c r="K12" s="355"/>
      <c r="L12" s="355"/>
      <c r="M12" s="1494"/>
      <c r="N12" s="355"/>
      <c r="O12" s="355"/>
      <c r="P12" s="355"/>
      <c r="Q12" s="355"/>
      <c r="R12" s="1894"/>
      <c r="BE12" s="589"/>
    </row>
    <row r="13" spans="1:57" hidden="1" outlineLevel="1" x14ac:dyDescent="0.25">
      <c r="B13" s="1580"/>
      <c r="C13" s="329"/>
      <c r="D13" s="591"/>
      <c r="E13" s="591"/>
      <c r="F13" s="1215"/>
      <c r="G13" s="1215"/>
      <c r="H13" s="355"/>
      <c r="I13" s="355"/>
      <c r="J13" s="355"/>
      <c r="K13" s="355"/>
      <c r="L13" s="355"/>
      <c r="M13" s="1494"/>
      <c r="N13" s="355"/>
      <c r="O13" s="355"/>
      <c r="P13" s="355"/>
      <c r="Q13" s="355"/>
      <c r="R13" s="1894"/>
      <c r="BE13" s="589"/>
    </row>
    <row r="14" spans="1:57" hidden="1" outlineLevel="1" x14ac:dyDescent="0.25">
      <c r="B14" s="1580"/>
      <c r="C14" s="329"/>
      <c r="D14" s="591"/>
      <c r="E14" s="591"/>
      <c r="F14" s="1215"/>
      <c r="G14" s="1215"/>
      <c r="H14" s="355"/>
      <c r="I14" s="355"/>
      <c r="J14" s="355"/>
      <c r="K14" s="355"/>
      <c r="L14" s="355"/>
      <c r="M14" s="1494"/>
      <c r="N14" s="355"/>
      <c r="O14" s="355"/>
      <c r="P14" s="355"/>
      <c r="Q14" s="355"/>
      <c r="R14" s="1894"/>
      <c r="BE14" s="589"/>
    </row>
    <row r="15" spans="1:57" hidden="1" outlineLevel="1" x14ac:dyDescent="0.25">
      <c r="B15" s="1580"/>
      <c r="C15" s="329"/>
      <c r="D15" s="591"/>
      <c r="E15" s="591"/>
      <c r="F15" s="1215"/>
      <c r="G15" s="1215"/>
      <c r="H15" s="355"/>
      <c r="I15" s="355"/>
      <c r="J15" s="355"/>
      <c r="K15" s="355"/>
      <c r="L15" s="355"/>
      <c r="M15" s="1494"/>
      <c r="N15" s="355"/>
      <c r="O15" s="355"/>
      <c r="P15" s="355"/>
      <c r="Q15" s="355"/>
      <c r="R15" s="1894"/>
      <c r="BE15" s="589"/>
    </row>
    <row r="16" spans="1:57" hidden="1" outlineLevel="1" x14ac:dyDescent="0.25">
      <c r="B16" s="1580"/>
      <c r="C16" s="329"/>
      <c r="D16" s="590"/>
      <c r="E16" s="590"/>
      <c r="F16" s="1197"/>
      <c r="G16" s="1197"/>
      <c r="H16" s="355"/>
      <c r="I16" s="355"/>
      <c r="J16" s="355"/>
      <c r="K16" s="355"/>
      <c r="L16" s="355"/>
      <c r="M16" s="1494"/>
      <c r="N16" s="355"/>
      <c r="O16" s="355"/>
      <c r="P16" s="355"/>
      <c r="Q16" s="355"/>
      <c r="R16" s="1894"/>
      <c r="BE16" s="589"/>
    </row>
    <row r="17" spans="2:57" hidden="1" outlineLevel="1" x14ac:dyDescent="0.25">
      <c r="B17" s="1580"/>
      <c r="C17" s="329"/>
      <c r="D17" s="1701" t="s">
        <v>618</v>
      </c>
      <c r="E17" s="1701" t="s">
        <v>619</v>
      </c>
      <c r="F17" s="1641" t="s">
        <v>620</v>
      </c>
      <c r="G17" s="1641" t="s">
        <v>670</v>
      </c>
      <c r="H17" s="1641" t="s">
        <v>766</v>
      </c>
      <c r="I17" s="355"/>
      <c r="J17" s="355"/>
      <c r="K17" s="355"/>
      <c r="L17" s="355"/>
      <c r="M17" s="785"/>
      <c r="N17" s="785"/>
      <c r="O17" s="1325"/>
      <c r="P17" s="355"/>
      <c r="Q17" s="355"/>
      <c r="R17" s="1894"/>
      <c r="V17" s="55" t="s">
        <v>27</v>
      </c>
      <c r="W17" s="56">
        <f>$W$6</f>
        <v>43252</v>
      </c>
      <c r="X17" s="56">
        <f>$X$6</f>
        <v>43465</v>
      </c>
      <c r="Y17" s="56">
        <f>$Y$6</f>
        <v>43800</v>
      </c>
      <c r="Z17" s="56">
        <f>$Z$6</f>
        <v>43862</v>
      </c>
      <c r="AA17" s="56" t="str">
        <f>$AA$6</f>
        <v>-</v>
      </c>
      <c r="AB17" s="56" t="str">
        <f>$AB$6</f>
        <v>-</v>
      </c>
      <c r="AC17" s="56" t="str">
        <f>$AC$6</f>
        <v>-</v>
      </c>
      <c r="AD17" s="56" t="str">
        <f>$AD$6</f>
        <v>-</v>
      </c>
      <c r="AE17" s="56" t="str">
        <f>$AE$6</f>
        <v>-</v>
      </c>
      <c r="AF17" s="56" t="str">
        <f>$AF$6</f>
        <v>-</v>
      </c>
      <c r="AG17" s="56" t="str">
        <f>$AG$6</f>
        <v>-</v>
      </c>
      <c r="AH17" s="593"/>
      <c r="AI17" s="593"/>
      <c r="AJ17" s="593"/>
      <c r="BE17" s="589"/>
    </row>
    <row r="18" spans="2:57" hidden="1" outlineLevel="1" x14ac:dyDescent="0.25">
      <c r="B18" s="1580"/>
      <c r="C18" s="329"/>
      <c r="D18" s="2681" t="s">
        <v>945</v>
      </c>
      <c r="E18" s="377" t="s">
        <v>946</v>
      </c>
      <c r="F18" s="594">
        <v>0.95652173913043481</v>
      </c>
      <c r="G18" s="597" t="s">
        <v>947</v>
      </c>
      <c r="H18" s="380"/>
      <c r="I18" s="355"/>
      <c r="J18" s="355"/>
      <c r="K18" s="355"/>
      <c r="L18" s="355"/>
      <c r="M18" s="1939"/>
      <c r="N18" s="1325"/>
      <c r="O18" s="1325"/>
      <c r="P18" s="355"/>
      <c r="Q18" s="355"/>
      <c r="R18" s="1894"/>
      <c r="V18" s="2681" t="str">
        <f>D18</f>
        <v>%Heating</v>
      </c>
      <c r="W18" s="381">
        <v>0.95</v>
      </c>
      <c r="X18" s="411">
        <v>0.8571428571428571</v>
      </c>
      <c r="Y18" s="411">
        <v>0.95652173913043481</v>
      </c>
      <c r="Z18" s="245"/>
      <c r="AA18" s="245"/>
      <c r="AB18" s="245"/>
      <c r="AC18" s="245"/>
      <c r="AD18" s="245"/>
      <c r="AE18" s="245"/>
      <c r="AF18" s="245"/>
      <c r="AG18" s="245"/>
      <c r="BE18" s="589"/>
    </row>
    <row r="19" spans="2:57" hidden="1" outlineLevel="1" x14ac:dyDescent="0.25">
      <c r="B19" s="1580"/>
      <c r="C19" s="329"/>
      <c r="D19" s="2682"/>
      <c r="E19" s="377" t="s">
        <v>948</v>
      </c>
      <c r="F19" s="378">
        <v>1</v>
      </c>
      <c r="G19" s="597" t="s">
        <v>949</v>
      </c>
      <c r="H19" s="380"/>
      <c r="I19" s="355"/>
      <c r="J19" s="355"/>
      <c r="K19" s="355"/>
      <c r="L19" s="355"/>
      <c r="M19" s="1494"/>
      <c r="N19" s="355"/>
      <c r="O19" s="355"/>
      <c r="P19" s="355"/>
      <c r="Q19" s="355"/>
      <c r="R19" s="1894"/>
      <c r="V19" s="2682"/>
      <c r="W19" s="401">
        <f>W18</f>
        <v>0.95</v>
      </c>
      <c r="X19" s="401">
        <v>0.95</v>
      </c>
      <c r="Y19" s="385">
        <v>1</v>
      </c>
      <c r="Z19" s="245"/>
      <c r="AA19" s="245"/>
      <c r="AB19" s="245"/>
      <c r="AC19" s="245"/>
      <c r="AD19" s="245"/>
      <c r="AE19" s="245"/>
      <c r="AF19" s="245"/>
      <c r="AG19" s="245"/>
      <c r="BE19" s="589"/>
    </row>
    <row r="20" spans="2:57" hidden="1" outlineLevel="1" x14ac:dyDescent="0.25">
      <c r="B20" s="1580"/>
      <c r="C20" s="329"/>
      <c r="D20" s="1653" t="s">
        <v>23</v>
      </c>
      <c r="E20" s="377" t="s">
        <v>637</v>
      </c>
      <c r="F20" s="596">
        <v>0.5</v>
      </c>
      <c r="G20" s="597" t="s">
        <v>767</v>
      </c>
      <c r="H20" s="380"/>
      <c r="I20" s="355"/>
      <c r="J20" s="355"/>
      <c r="K20" s="355"/>
      <c r="L20" s="355"/>
      <c r="M20" s="1494"/>
      <c r="N20" s="355"/>
      <c r="O20" s="355"/>
      <c r="P20" s="355"/>
      <c r="Q20" s="355"/>
      <c r="R20" s="1894"/>
      <c r="V20" s="407" t="str">
        <f>D20</f>
        <v>kW</v>
      </c>
      <c r="W20" s="598">
        <v>0.5</v>
      </c>
      <c r="X20" s="598">
        <v>0.5</v>
      </c>
      <c r="Y20" s="598">
        <v>0.5</v>
      </c>
      <c r="Z20" s="245"/>
      <c r="AA20" s="245"/>
      <c r="AB20" s="245"/>
      <c r="AC20" s="245"/>
      <c r="AD20" s="245"/>
      <c r="AE20" s="245"/>
      <c r="AF20" s="245"/>
      <c r="AG20" s="245"/>
      <c r="BE20" s="589"/>
    </row>
    <row r="21" spans="2:57" hidden="1" outlineLevel="1" x14ac:dyDescent="0.25">
      <c r="B21" s="1580"/>
      <c r="C21" s="329"/>
      <c r="D21" s="2681" t="s">
        <v>950</v>
      </c>
      <c r="E21" s="377" t="s">
        <v>790</v>
      </c>
      <c r="F21" s="599">
        <v>1496</v>
      </c>
      <c r="G21" s="1940" t="s">
        <v>951</v>
      </c>
      <c r="H21" s="380"/>
      <c r="I21" s="355"/>
      <c r="J21" s="355"/>
      <c r="K21" s="355"/>
      <c r="L21" s="355"/>
      <c r="M21" s="1494"/>
      <c r="N21" s="355"/>
      <c r="O21" s="355"/>
      <c r="P21" s="355"/>
      <c r="Q21" s="355"/>
      <c r="R21" s="1894"/>
      <c r="V21" s="2681" t="str">
        <f>D21</f>
        <v>EFLHheat</v>
      </c>
      <c r="W21" s="424">
        <v>1496</v>
      </c>
      <c r="X21" s="424">
        <v>1496</v>
      </c>
      <c r="Y21" s="424">
        <v>1496</v>
      </c>
      <c r="Z21" s="245"/>
      <c r="AA21" s="245"/>
      <c r="AB21" s="245"/>
      <c r="AC21" s="245"/>
      <c r="AD21" s="245"/>
      <c r="AE21" s="245"/>
      <c r="AF21" s="245"/>
      <c r="AG21" s="245"/>
      <c r="BE21" s="589"/>
    </row>
    <row r="22" spans="2:57" hidden="1" outlineLevel="1" x14ac:dyDescent="0.25">
      <c r="B22" s="1580"/>
      <c r="C22" s="329"/>
      <c r="D22" s="2683"/>
      <c r="E22" s="377" t="s">
        <v>952</v>
      </c>
      <c r="F22" s="604">
        <v>510</v>
      </c>
      <c r="G22" s="605" t="s">
        <v>953</v>
      </c>
      <c r="H22" s="600"/>
      <c r="I22" s="355"/>
      <c r="J22" s="355"/>
      <c r="K22" s="355"/>
      <c r="L22" s="355"/>
      <c r="M22" s="1494"/>
      <c r="N22" s="355"/>
      <c r="O22" s="355"/>
      <c r="P22" s="355"/>
      <c r="Q22" s="355"/>
      <c r="R22" s="1894"/>
      <c r="V22" s="2684"/>
      <c r="W22" s="424"/>
      <c r="X22" s="424"/>
      <c r="Y22" s="422">
        <v>510</v>
      </c>
      <c r="Z22" s="245"/>
      <c r="AA22" s="245"/>
      <c r="AB22" s="245"/>
      <c r="AC22" s="245"/>
      <c r="AD22" s="245"/>
      <c r="AE22" s="245"/>
      <c r="AF22" s="245"/>
      <c r="AG22" s="245"/>
      <c r="BE22" s="589"/>
    </row>
    <row r="23" spans="2:57" ht="51" hidden="1" customHeight="1" outlineLevel="1" x14ac:dyDescent="0.25">
      <c r="B23" s="1580"/>
      <c r="C23" s="329"/>
      <c r="D23" s="377" t="s">
        <v>954</v>
      </c>
      <c r="E23" s="377" t="s">
        <v>637</v>
      </c>
      <c r="F23" s="601">
        <v>0.15</v>
      </c>
      <c r="G23" s="605" t="s">
        <v>955</v>
      </c>
      <c r="H23" s="600"/>
      <c r="I23" s="355"/>
      <c r="J23" s="355"/>
      <c r="K23" s="355"/>
      <c r="L23" s="355"/>
      <c r="M23" s="1494"/>
      <c r="N23" s="355"/>
      <c r="O23" s="355"/>
      <c r="P23" s="355"/>
      <c r="Q23" s="355"/>
      <c r="R23" s="1894"/>
      <c r="V23" s="377" t="str">
        <f>D23</f>
        <v>EI</v>
      </c>
      <c r="W23" s="401">
        <v>0.15</v>
      </c>
      <c r="X23" s="401">
        <v>0.15</v>
      </c>
      <c r="Y23" s="401">
        <v>0.15</v>
      </c>
      <c r="Z23" s="245"/>
      <c r="AA23" s="245"/>
      <c r="AB23" s="245"/>
      <c r="AC23" s="245"/>
      <c r="AD23" s="245"/>
      <c r="AE23" s="245"/>
      <c r="AF23" s="245"/>
      <c r="AG23" s="245"/>
      <c r="BE23" s="589"/>
    </row>
    <row r="24" spans="2:57" hidden="1" outlineLevel="1" x14ac:dyDescent="0.25">
      <c r="B24" s="1580"/>
      <c r="C24" s="329"/>
      <c r="D24" s="2681" t="s">
        <v>956</v>
      </c>
      <c r="E24" s="377" t="s">
        <v>946</v>
      </c>
      <c r="F24" s="601">
        <v>0.91869999999999996</v>
      </c>
      <c r="G24" s="1941" t="s">
        <v>957</v>
      </c>
      <c r="H24" s="600"/>
      <c r="I24" s="355"/>
      <c r="J24" s="355"/>
      <c r="K24" s="355"/>
      <c r="L24" s="355"/>
      <c r="M24" s="1494"/>
      <c r="N24" s="355"/>
      <c r="O24" s="355"/>
      <c r="P24" s="355"/>
      <c r="Q24" s="355"/>
      <c r="R24" s="1894"/>
      <c r="V24" s="2681" t="str">
        <f>D24</f>
        <v>Utility Adjustment</v>
      </c>
      <c r="W24" s="378">
        <v>0.86</v>
      </c>
      <c r="X24" s="602">
        <v>0.89859999999999995</v>
      </c>
      <c r="Y24" s="602">
        <v>0.91869999999999996</v>
      </c>
      <c r="Z24" s="245"/>
      <c r="AA24" s="245"/>
      <c r="AB24" s="245"/>
      <c r="AC24" s="245"/>
      <c r="AD24" s="245"/>
      <c r="AE24" s="245"/>
      <c r="AF24" s="245"/>
      <c r="AG24" s="245"/>
      <c r="BE24" s="589"/>
    </row>
    <row r="25" spans="2:57" hidden="1" outlineLevel="1" x14ac:dyDescent="0.25">
      <c r="B25" s="1580"/>
      <c r="C25" s="329"/>
      <c r="D25" s="2682"/>
      <c r="E25" s="377" t="s">
        <v>948</v>
      </c>
      <c r="F25" s="601">
        <v>1</v>
      </c>
      <c r="G25" s="1941" t="s">
        <v>957</v>
      </c>
      <c r="H25" s="600"/>
      <c r="I25" s="355"/>
      <c r="J25" s="355"/>
      <c r="K25" s="355"/>
      <c r="L25" s="355"/>
      <c r="M25" s="1494"/>
      <c r="N25" s="355"/>
      <c r="O25" s="355"/>
      <c r="P25" s="355"/>
      <c r="Q25" s="355"/>
      <c r="V25" s="2682"/>
      <c r="W25" s="378">
        <v>1</v>
      </c>
      <c r="X25" s="378">
        <v>1</v>
      </c>
      <c r="Y25" s="378">
        <v>1</v>
      </c>
      <c r="Z25" s="245"/>
      <c r="AA25" s="245"/>
      <c r="AB25" s="245"/>
      <c r="AC25" s="245"/>
      <c r="AD25" s="245"/>
      <c r="AE25" s="245"/>
      <c r="AF25" s="245"/>
      <c r="AG25" s="245"/>
      <c r="BE25" s="589"/>
    </row>
    <row r="26" spans="2:57" ht="24.75" hidden="1" customHeight="1" outlineLevel="1" x14ac:dyDescent="0.25">
      <c r="B26" s="1580"/>
      <c r="C26" s="329"/>
      <c r="D26" s="2681" t="s">
        <v>82</v>
      </c>
      <c r="E26" s="377" t="s">
        <v>946</v>
      </c>
      <c r="F26" s="601">
        <v>0.39175257731958762</v>
      </c>
      <c r="G26" s="1941" t="s">
        <v>958</v>
      </c>
      <c r="H26" s="600"/>
      <c r="I26" s="355"/>
      <c r="J26" s="355"/>
      <c r="K26" s="355"/>
      <c r="L26" s="355"/>
      <c r="M26" s="1494"/>
      <c r="N26" s="355"/>
      <c r="O26" s="355"/>
      <c r="P26" s="355"/>
      <c r="Q26" s="355"/>
      <c r="V26" s="2681" t="str">
        <f>D26</f>
        <v>ISR</v>
      </c>
      <c r="W26" s="401">
        <v>0.47</v>
      </c>
      <c r="X26" s="411">
        <v>0.44871794871794873</v>
      </c>
      <c r="Y26" s="411">
        <v>0.39175257731958762</v>
      </c>
      <c r="Z26" s="245"/>
      <c r="AA26" s="245"/>
      <c r="AB26" s="245"/>
      <c r="AC26" s="245"/>
      <c r="AD26" s="245"/>
      <c r="AE26" s="245"/>
      <c r="AF26" s="245"/>
      <c r="AG26" s="245"/>
      <c r="BE26" s="589"/>
    </row>
    <row r="27" spans="2:57" hidden="1" outlineLevel="1" x14ac:dyDescent="0.25">
      <c r="B27" s="1580"/>
      <c r="C27" s="329"/>
      <c r="D27" s="2682"/>
      <c r="E27" s="377" t="s">
        <v>948</v>
      </c>
      <c r="F27" s="601">
        <v>1</v>
      </c>
      <c r="G27" s="1941" t="s">
        <v>957</v>
      </c>
      <c r="H27" s="600"/>
      <c r="I27" s="355"/>
      <c r="J27" s="355"/>
      <c r="K27" s="355"/>
      <c r="L27" s="355"/>
      <c r="M27" s="1494"/>
      <c r="N27" s="355"/>
      <c r="O27" s="355"/>
      <c r="P27" s="355"/>
      <c r="Q27" s="355"/>
      <c r="V27" s="2682"/>
      <c r="W27" s="401">
        <v>0.47</v>
      </c>
      <c r="X27" s="603">
        <v>1</v>
      </c>
      <c r="Y27" s="603">
        <v>1</v>
      </c>
      <c r="Z27" s="245"/>
      <c r="AA27" s="245"/>
      <c r="AB27" s="245"/>
      <c r="AC27" s="245"/>
      <c r="AD27" s="245"/>
      <c r="AE27" s="245"/>
      <c r="AF27" s="245"/>
      <c r="AG27" s="245"/>
      <c r="BE27" s="589"/>
    </row>
    <row r="28" spans="2:57" hidden="1" outlineLevel="1" x14ac:dyDescent="0.25">
      <c r="B28" s="1580"/>
      <c r="C28" s="329"/>
      <c r="D28" s="2681" t="s">
        <v>788</v>
      </c>
      <c r="E28" s="377" t="s">
        <v>946</v>
      </c>
      <c r="F28" s="601">
        <v>0.95652173913043481</v>
      </c>
      <c r="G28" s="1941" t="s">
        <v>957</v>
      </c>
      <c r="H28" s="600"/>
      <c r="I28" s="355"/>
      <c r="J28" s="355"/>
      <c r="K28" s="355"/>
      <c r="L28" s="355"/>
      <c r="M28" s="1494"/>
      <c r="N28" s="355"/>
      <c r="O28" s="355"/>
      <c r="P28" s="355"/>
      <c r="Q28" s="355"/>
      <c r="V28" s="2681" t="str">
        <f>D28</f>
        <v>%AC</v>
      </c>
      <c r="W28" s="401">
        <v>0.95</v>
      </c>
      <c r="X28" s="411">
        <v>0.96938775510204078</v>
      </c>
      <c r="Y28" s="411">
        <v>0.95652173913043481</v>
      </c>
      <c r="Z28" s="245"/>
      <c r="AA28" s="245"/>
      <c r="AB28" s="245"/>
      <c r="AC28" s="245"/>
      <c r="AD28" s="245"/>
      <c r="AE28" s="245"/>
      <c r="AF28" s="245"/>
      <c r="AG28" s="245"/>
      <c r="BE28" s="589"/>
    </row>
    <row r="29" spans="2:57" hidden="1" outlineLevel="1" x14ac:dyDescent="0.25">
      <c r="B29" s="1580"/>
      <c r="C29" s="329"/>
      <c r="D29" s="2682"/>
      <c r="E29" s="377" t="s">
        <v>948</v>
      </c>
      <c r="F29" s="601">
        <v>1</v>
      </c>
      <c r="G29" s="1941" t="s">
        <v>957</v>
      </c>
      <c r="H29" s="600"/>
      <c r="I29" s="355"/>
      <c r="J29" s="355"/>
      <c r="K29" s="355"/>
      <c r="L29" s="355"/>
      <c r="M29" s="1494"/>
      <c r="N29" s="355"/>
      <c r="O29" s="355"/>
      <c r="P29" s="355"/>
      <c r="Q29" s="355"/>
      <c r="V29" s="2682"/>
      <c r="W29" s="401">
        <f>W28</f>
        <v>0.95</v>
      </c>
      <c r="X29" s="603">
        <v>1</v>
      </c>
      <c r="Y29" s="603">
        <v>1</v>
      </c>
      <c r="Z29" s="245"/>
      <c r="AA29" s="245"/>
      <c r="AB29" s="245"/>
      <c r="AC29" s="245"/>
      <c r="AD29" s="245"/>
      <c r="AE29" s="245"/>
      <c r="AF29" s="245"/>
      <c r="AG29" s="245"/>
      <c r="BE29" s="589"/>
    </row>
    <row r="30" spans="2:57" hidden="1" outlineLevel="1" x14ac:dyDescent="0.25">
      <c r="B30" s="1580"/>
      <c r="C30" s="329"/>
      <c r="D30" s="2681" t="s">
        <v>959</v>
      </c>
      <c r="E30" s="377" t="s">
        <v>790</v>
      </c>
      <c r="F30" s="604">
        <v>869</v>
      </c>
      <c r="G30" s="605" t="s">
        <v>960</v>
      </c>
      <c r="H30" s="600"/>
      <c r="I30" s="355"/>
      <c r="J30" s="355"/>
      <c r="K30" s="355"/>
      <c r="L30" s="355"/>
      <c r="M30" s="1494"/>
      <c r="N30" s="355"/>
      <c r="O30" s="355"/>
      <c r="P30" s="355"/>
      <c r="Q30" s="355"/>
      <c r="V30" s="2681" t="str">
        <f>D30</f>
        <v>EFLHcool</v>
      </c>
      <c r="W30" s="388">
        <v>869</v>
      </c>
      <c r="X30" s="424">
        <v>869</v>
      </c>
      <c r="Y30" s="424">
        <v>869</v>
      </c>
      <c r="Z30" s="245"/>
      <c r="AA30" s="245"/>
      <c r="AB30" s="245"/>
      <c r="AC30" s="245"/>
      <c r="AD30" s="245"/>
      <c r="AE30" s="245"/>
      <c r="AF30" s="245"/>
      <c r="AG30" s="245"/>
      <c r="BE30" s="589"/>
    </row>
    <row r="31" spans="2:57" hidden="1" outlineLevel="1" x14ac:dyDescent="0.25">
      <c r="B31" s="1580"/>
      <c r="C31" s="329"/>
      <c r="D31" s="2683"/>
      <c r="E31" s="377" t="s">
        <v>952</v>
      </c>
      <c r="F31" s="604">
        <v>632</v>
      </c>
      <c r="G31" s="606"/>
      <c r="H31" s="600"/>
      <c r="I31" s="355"/>
      <c r="J31" s="355"/>
      <c r="K31" s="355"/>
      <c r="L31" s="355"/>
      <c r="M31" s="1494"/>
      <c r="N31" s="355"/>
      <c r="O31" s="355"/>
      <c r="P31" s="355"/>
      <c r="Q31" s="355"/>
      <c r="V31" s="2684"/>
      <c r="W31" s="388"/>
      <c r="X31" s="424"/>
      <c r="Y31" s="422">
        <v>632</v>
      </c>
      <c r="Z31" s="245"/>
      <c r="AA31" s="245"/>
      <c r="AB31" s="245"/>
      <c r="AC31" s="245"/>
      <c r="AD31" s="245"/>
      <c r="AE31" s="245"/>
      <c r="AF31" s="245"/>
      <c r="AG31" s="245"/>
      <c r="BE31" s="589"/>
    </row>
    <row r="32" spans="2:57" hidden="1" outlineLevel="1" x14ac:dyDescent="0.25">
      <c r="B32" s="1580"/>
      <c r="C32" s="329"/>
      <c r="D32" s="377" t="s">
        <v>961</v>
      </c>
      <c r="E32" s="377" t="s">
        <v>657</v>
      </c>
      <c r="F32" s="1647">
        <v>14</v>
      </c>
      <c r="G32" s="607"/>
      <c r="H32" s="380"/>
      <c r="I32" s="355"/>
      <c r="J32" s="355"/>
      <c r="K32" s="355"/>
      <c r="L32" s="355"/>
      <c r="M32" s="1494"/>
      <c r="N32" s="355"/>
      <c r="O32" s="355"/>
      <c r="P32" s="355"/>
      <c r="Q32" s="355"/>
      <c r="V32" s="377" t="str">
        <f>D32</f>
        <v xml:space="preserve">EUL </v>
      </c>
      <c r="W32" s="608">
        <v>14</v>
      </c>
      <c r="X32" s="608">
        <v>14</v>
      </c>
      <c r="Y32" s="608">
        <v>14</v>
      </c>
      <c r="Z32" s="608"/>
      <c r="AA32" s="608"/>
      <c r="AB32" s="608"/>
      <c r="AC32" s="608"/>
      <c r="AD32" s="608"/>
      <c r="AE32" s="608"/>
      <c r="AF32" s="608"/>
      <c r="AG32" s="608"/>
      <c r="BE32" s="589"/>
    </row>
    <row r="33" spans="1:57" hidden="1" outlineLevel="1" x14ac:dyDescent="0.25">
      <c r="B33" s="1580"/>
      <c r="C33" s="329"/>
      <c r="D33" s="2719" t="s">
        <v>25</v>
      </c>
      <c r="E33" s="377" t="s">
        <v>962</v>
      </c>
      <c r="F33" s="1648">
        <v>5</v>
      </c>
      <c r="G33" s="597"/>
      <c r="H33" s="380"/>
      <c r="I33" s="355"/>
      <c r="J33" s="355"/>
      <c r="K33" s="355"/>
      <c r="L33" s="355"/>
      <c r="M33" s="1494"/>
      <c r="N33" s="355"/>
      <c r="O33" s="355"/>
      <c r="P33" s="355"/>
      <c r="Q33" s="355"/>
      <c r="V33" s="2719" t="str">
        <f>D33</f>
        <v>Inc. Cost</v>
      </c>
      <c r="W33" s="610">
        <v>5</v>
      </c>
      <c r="X33" s="610">
        <v>5</v>
      </c>
      <c r="Y33" s="610">
        <v>5</v>
      </c>
      <c r="Z33" s="611"/>
      <c r="AA33" s="611"/>
      <c r="AB33" s="611"/>
      <c r="AC33" s="611"/>
      <c r="AD33" s="611"/>
      <c r="AE33" s="611"/>
      <c r="AF33" s="611"/>
      <c r="AG33" s="611"/>
      <c r="BE33" s="589"/>
    </row>
    <row r="34" spans="1:57" hidden="1" outlineLevel="1" x14ac:dyDescent="0.25">
      <c r="B34" s="1580"/>
      <c r="C34" s="1237"/>
      <c r="D34" s="2719" t="s">
        <v>25</v>
      </c>
      <c r="E34" s="377" t="s">
        <v>962</v>
      </c>
      <c r="F34" s="612">
        <v>5</v>
      </c>
      <c r="G34" s="597"/>
      <c r="H34" s="380"/>
      <c r="I34" s="355"/>
      <c r="J34" s="355"/>
      <c r="K34" s="355"/>
      <c r="L34" s="355"/>
      <c r="M34" s="1494"/>
      <c r="N34" s="355"/>
      <c r="O34" s="355"/>
      <c r="P34" s="355"/>
      <c r="Q34" s="355"/>
      <c r="V34" s="2719"/>
      <c r="W34" s="322">
        <v>5</v>
      </c>
      <c r="X34" s="322">
        <v>5</v>
      </c>
      <c r="Y34" s="322">
        <v>5</v>
      </c>
      <c r="Z34" s="613"/>
      <c r="AA34" s="613"/>
      <c r="AB34" s="613"/>
      <c r="AC34" s="613"/>
      <c r="AD34" s="613"/>
      <c r="AE34" s="613"/>
      <c r="AF34" s="613"/>
      <c r="AG34" s="613"/>
      <c r="BE34" s="589"/>
    </row>
    <row r="35" spans="1:57" hidden="1" outlineLevel="1" x14ac:dyDescent="0.25">
      <c r="B35" s="1580"/>
      <c r="C35" s="1237"/>
      <c r="D35" s="1653" t="s">
        <v>963</v>
      </c>
      <c r="E35" s="377" t="s">
        <v>964</v>
      </c>
      <c r="F35" s="612" t="s">
        <v>965</v>
      </c>
      <c r="G35" s="597"/>
      <c r="H35" s="380"/>
      <c r="I35" s="355"/>
      <c r="J35" s="355"/>
      <c r="K35" s="355"/>
      <c r="L35" s="355"/>
      <c r="M35" s="1494"/>
      <c r="N35" s="355"/>
      <c r="O35" s="355"/>
      <c r="P35" s="355"/>
      <c r="Q35" s="355"/>
      <c r="V35" s="407" t="str">
        <f>D35</f>
        <v>P</v>
      </c>
      <c r="W35" s="608" t="s">
        <v>965</v>
      </c>
      <c r="X35" s="608" t="s">
        <v>965</v>
      </c>
      <c r="Y35" s="608" t="s">
        <v>965</v>
      </c>
      <c r="Z35" s="608"/>
      <c r="AA35" s="608"/>
      <c r="AB35" s="608"/>
      <c r="AC35" s="608"/>
      <c r="AD35" s="608"/>
      <c r="AE35" s="608"/>
      <c r="AF35" s="608"/>
      <c r="AG35" s="608"/>
      <c r="BE35" s="589"/>
    </row>
    <row r="36" spans="1:57" collapsed="1" x14ac:dyDescent="0.25">
      <c r="B36" s="1580"/>
      <c r="C36" s="329"/>
      <c r="D36" s="353"/>
      <c r="E36" s="427"/>
      <c r="F36" s="355"/>
      <c r="G36" s="355"/>
      <c r="H36" s="355"/>
      <c r="I36" s="355"/>
      <c r="J36" s="355"/>
      <c r="K36" s="355"/>
      <c r="L36" s="355"/>
      <c r="M36" s="1494"/>
      <c r="N36" s="355"/>
      <c r="O36" s="355"/>
      <c r="P36" s="355"/>
      <c r="Q36" s="355"/>
    </row>
    <row r="37" spans="1:57" x14ac:dyDescent="0.25">
      <c r="A37" s="485"/>
      <c r="B37" s="2639" t="s">
        <v>966</v>
      </c>
      <c r="C37" s="2640"/>
      <c r="D37" s="2640"/>
      <c r="E37" s="2640"/>
      <c r="F37" s="2640"/>
      <c r="G37" s="2640"/>
      <c r="H37" s="2640"/>
      <c r="I37" s="2641"/>
      <c r="J37" s="2641"/>
      <c r="K37" s="2641"/>
      <c r="L37" s="2641"/>
      <c r="M37" s="2641"/>
      <c r="N37" s="2642"/>
      <c r="O37" s="355"/>
      <c r="P37" s="355"/>
      <c r="Q37" s="355"/>
      <c r="V37" s="2639" t="str">
        <f>B37</f>
        <v xml:space="preserve">LEDs (per bulb) </v>
      </c>
      <c r="W37" s="2640"/>
      <c r="X37" s="2640"/>
      <c r="Y37" s="2640"/>
      <c r="Z37" s="2640"/>
      <c r="AA37" s="2640"/>
      <c r="AB37" s="2640"/>
      <c r="AC37" s="2615"/>
      <c r="AD37" s="2615"/>
      <c r="AE37" s="2615"/>
      <c r="AF37" s="2615"/>
      <c r="AG37" s="2615"/>
      <c r="AH37" s="2616"/>
    </row>
    <row r="38" spans="1:57" x14ac:dyDescent="0.25">
      <c r="F38" s="493"/>
      <c r="G38" s="493"/>
      <c r="H38" s="493"/>
      <c r="I38" s="493"/>
      <c r="J38" s="493"/>
      <c r="K38" s="493"/>
      <c r="L38" s="493"/>
      <c r="M38" s="1494"/>
      <c r="N38" s="355"/>
      <c r="O38" s="355"/>
      <c r="P38" s="355"/>
      <c r="Q38" s="355"/>
    </row>
    <row r="39" spans="1:57" ht="30" x14ac:dyDescent="0.25">
      <c r="C39" s="1641" t="s">
        <v>17</v>
      </c>
      <c r="D39" s="1641" t="s">
        <v>662</v>
      </c>
      <c r="E39" s="487" t="s">
        <v>19</v>
      </c>
      <c r="F39" s="1641" t="s">
        <v>20</v>
      </c>
      <c r="G39" s="487" t="s">
        <v>21</v>
      </c>
      <c r="H39" s="487" t="s">
        <v>22</v>
      </c>
      <c r="I39" s="487" t="s">
        <v>23</v>
      </c>
      <c r="J39" s="487" t="s">
        <v>24</v>
      </c>
      <c r="K39" s="487" t="s">
        <v>25</v>
      </c>
      <c r="L39" s="1641" t="s">
        <v>26</v>
      </c>
      <c r="M39" s="1494"/>
      <c r="N39" s="355"/>
      <c r="O39" s="355"/>
      <c r="P39" s="355"/>
      <c r="Q39" s="355"/>
      <c r="V39" s="55" t="s">
        <v>27</v>
      </c>
      <c r="W39" s="56">
        <f>$W$6</f>
        <v>43252</v>
      </c>
      <c r="X39" s="56">
        <f>$X$6</f>
        <v>43465</v>
      </c>
      <c r="Y39" s="56">
        <f>$Y$6</f>
        <v>43800</v>
      </c>
      <c r="Z39" s="56">
        <f>$Z$6</f>
        <v>43862</v>
      </c>
      <c r="AA39" s="56" t="str">
        <f>$AA$6</f>
        <v>-</v>
      </c>
      <c r="AB39" s="56" t="str">
        <f>$AB$6</f>
        <v>-</v>
      </c>
      <c r="AC39" s="56" t="str">
        <f>$AC$6</f>
        <v>-</v>
      </c>
      <c r="AD39" s="56" t="str">
        <f>$AD$6</f>
        <v>-</v>
      </c>
      <c r="AE39" s="56" t="str">
        <f>$AE$6</f>
        <v>-</v>
      </c>
      <c r="AF39" s="56" t="str">
        <f>$AF$6</f>
        <v>-</v>
      </c>
      <c r="AG39" s="56" t="str">
        <f>$AG$6</f>
        <v>-</v>
      </c>
      <c r="BB39" s="103" t="str">
        <f>$BB$6</f>
        <v>TRC (2020)</v>
      </c>
      <c r="BC39" s="103" t="str">
        <f>$BC$6</f>
        <v>Benefit Lookup</v>
      </c>
      <c r="BD39" s="334" t="str">
        <f>$BD$6</f>
        <v>Benefits (2019 $)</v>
      </c>
      <c r="BE39" s="334" t="str">
        <f>$BE$6</f>
        <v>Incremental Cost (2019 $)</v>
      </c>
    </row>
    <row r="40" spans="1:57" x14ac:dyDescent="0.25">
      <c r="C40" s="1942" t="s">
        <v>967</v>
      </c>
      <c r="D40" s="637" t="s">
        <v>939</v>
      </c>
      <c r="E40" s="383" t="str">
        <f>F58</f>
        <v>LED - 10W (CFL baseline)</v>
      </c>
      <c r="F40" s="616">
        <f>ROUND((($G$58-$G$61)*$G$70*($G$69)*$G$64*$G$65*$G$67)/$G$66,2)</f>
        <v>3.57</v>
      </c>
      <c r="G40" s="515" t="s">
        <v>571</v>
      </c>
      <c r="H40" s="617">
        <f>VLOOKUP(G40,'CP FACTORS'!$A$3:$B$38, 2, FALSE)</f>
        <v>1.4925290000000001E-4</v>
      </c>
      <c r="I40" s="618">
        <f>ROUND(F40*H40,6)</f>
        <v>5.3300000000000005E-4</v>
      </c>
      <c r="J40" s="157">
        <f>$G$71</f>
        <v>19</v>
      </c>
      <c r="K40" s="612">
        <f>$G$72</f>
        <v>1.95</v>
      </c>
      <c r="L40" s="619" t="s">
        <v>37</v>
      </c>
      <c r="M40" s="620"/>
      <c r="N40" s="355"/>
      <c r="O40" s="355"/>
      <c r="P40" s="355"/>
      <c r="Q40" s="355"/>
      <c r="R40" s="1894"/>
      <c r="V40" s="245" t="str">
        <f>F39</f>
        <v>kWh Annual Savings</v>
      </c>
      <c r="W40" s="621">
        <v>3.2707779028380117</v>
      </c>
      <c r="X40" s="219">
        <v>3.5883733629744001</v>
      </c>
      <c r="Y40" s="622">
        <v>3.57</v>
      </c>
      <c r="Z40" s="245"/>
      <c r="AA40" s="245"/>
      <c r="AB40" s="245"/>
      <c r="AC40" s="245"/>
      <c r="AD40" s="245"/>
      <c r="AE40" s="245"/>
      <c r="AF40" s="245"/>
      <c r="AG40" s="245"/>
      <c r="AH40" s="248"/>
      <c r="BB40" s="161">
        <f>(BD40)/(BE40)</f>
        <v>1.1362601139985353</v>
      </c>
      <c r="BC40" s="69" t="str">
        <f>CONCATENATE(G40," ",J40," Year EUL")</f>
        <v>Lighting RES 19 Year EUL</v>
      </c>
      <c r="BD40" s="581">
        <f>(INDEX('Avoided Cost Benefits'!$C$4:$C$857,MATCH(BC40,'Avoided Cost Benefits'!$A$4:$A$857,0)))*F40</f>
        <v>2.0912762834328871</v>
      </c>
      <c r="BE40" s="582">
        <f>K40/(1.0595^(2020-2019))</f>
        <v>1.8404907975460121</v>
      </c>
    </row>
    <row r="41" spans="1:57" x14ac:dyDescent="0.25">
      <c r="C41" s="1942" t="s">
        <v>968</v>
      </c>
      <c r="D41" s="637" t="s">
        <v>797</v>
      </c>
      <c r="E41" s="383" t="str">
        <f>F58</f>
        <v>LED - 10W (CFL baseline)</v>
      </c>
      <c r="F41" s="616">
        <f>ROUND((($I$58-$I$62)*$I$70*($I$69)*$I$64*$I$65*$I$67)/$I$66,2)</f>
        <v>4.34</v>
      </c>
      <c r="G41" s="515" t="s">
        <v>571</v>
      </c>
      <c r="H41" s="617">
        <f>VLOOKUP(G41,'CP FACTORS'!$A$3:$B$38, 2, FALSE)</f>
        <v>1.4925290000000001E-4</v>
      </c>
      <c r="I41" s="618">
        <f>ROUND(F41*H41,6)</f>
        <v>6.4800000000000003E-4</v>
      </c>
      <c r="J41" s="157">
        <f>$I$71</f>
        <v>19</v>
      </c>
      <c r="K41" s="612">
        <f>$I$72</f>
        <v>1.95</v>
      </c>
      <c r="L41" s="619" t="s">
        <v>37</v>
      </c>
      <c r="M41" s="620"/>
      <c r="N41" s="355"/>
      <c r="O41" s="355"/>
      <c r="P41" s="355"/>
      <c r="Q41" s="355"/>
      <c r="R41" s="1894"/>
      <c r="V41" s="245" t="str">
        <f>V40</f>
        <v>kWh Annual Savings</v>
      </c>
      <c r="W41" s="621">
        <v>3.3468425052295938</v>
      </c>
      <c r="X41" s="219">
        <v>3.5883733629744001</v>
      </c>
      <c r="Y41" s="622">
        <v>4.34</v>
      </c>
      <c r="Z41" s="245"/>
      <c r="AA41" s="245"/>
      <c r="AB41" s="245"/>
      <c r="AC41" s="245"/>
      <c r="AD41" s="245"/>
      <c r="AE41" s="245"/>
      <c r="AF41" s="245"/>
      <c r="AG41" s="245"/>
      <c r="AH41" s="248"/>
      <c r="BB41" s="164">
        <f t="shared" ref="BB41:BB45" si="1">(BD41)/(BE41)</f>
        <v>1.3813358248609648</v>
      </c>
      <c r="BC41" s="73" t="str">
        <f t="shared" ref="BC41:BC45" si="2">CONCATENATE(G41," ",J41," Year EUL")</f>
        <v>Lighting RES 19 Year EUL</v>
      </c>
      <c r="BD41" s="584">
        <f>(INDEX('Avoided Cost Benefits'!$C$4:$C$857,MATCH(BC41,'Avoided Cost Benefits'!$A$4:$A$857,0)))*F41</f>
        <v>2.5423358739772355</v>
      </c>
      <c r="BE41" s="585">
        <f t="shared" ref="BE41:BE45" si="3">K41/(1.0595^(2020-2019))</f>
        <v>1.8404907975460121</v>
      </c>
    </row>
    <row r="42" spans="1:57" x14ac:dyDescent="0.25">
      <c r="C42" s="1942" t="s">
        <v>969</v>
      </c>
      <c r="D42" s="637" t="s">
        <v>939</v>
      </c>
      <c r="E42" s="383" t="str">
        <f>F59</f>
        <v>LED - 10W (Halogen baseline)</v>
      </c>
      <c r="F42" s="616">
        <f>ROUND((($G$59-$G$62)*$G$70*($G$69)*$G$64*$G$65*$G$67)/$G$66,2)</f>
        <v>27.59</v>
      </c>
      <c r="G42" s="515" t="s">
        <v>571</v>
      </c>
      <c r="H42" s="617">
        <f>VLOOKUP(G42,'CP FACTORS'!$A$3:$B$38, 2, FALSE)</f>
        <v>1.4925290000000001E-4</v>
      </c>
      <c r="I42" s="618">
        <f t="shared" ref="I42:I45" si="4">ROUND(F42*H42,6)</f>
        <v>4.1180000000000001E-3</v>
      </c>
      <c r="J42" s="157">
        <f>$G$71</f>
        <v>19</v>
      </c>
      <c r="K42" s="612">
        <f>$G$72</f>
        <v>1.95</v>
      </c>
      <c r="L42" s="619" t="s">
        <v>37</v>
      </c>
      <c r="M42" s="620"/>
      <c r="N42" s="355"/>
      <c r="O42" s="355"/>
      <c r="P42" s="355"/>
      <c r="Q42" s="355"/>
      <c r="R42" s="1894"/>
      <c r="V42" s="245" t="str">
        <f>V41</f>
        <v>kWh Annual Savings</v>
      </c>
      <c r="W42" s="621">
        <v>24.41673736769771</v>
      </c>
      <c r="X42" s="219">
        <v>27.728339622984002</v>
      </c>
      <c r="Y42" s="622">
        <v>27.59</v>
      </c>
      <c r="Z42" s="245"/>
      <c r="AA42" s="245"/>
      <c r="AB42" s="245"/>
      <c r="AC42" s="245"/>
      <c r="AD42" s="245"/>
      <c r="AE42" s="245"/>
      <c r="AF42" s="245"/>
      <c r="AG42" s="245"/>
      <c r="AH42" s="248"/>
      <c r="BB42" s="164">
        <f t="shared" si="1"/>
        <v>8.7813491723304189</v>
      </c>
      <c r="BC42" s="73" t="str">
        <f t="shared" si="2"/>
        <v>Lighting RES 19 Year EUL</v>
      </c>
      <c r="BD42" s="584">
        <f>(INDEX('Avoided Cost Benefits'!$C$4:$C$857,MATCH(BC42,'Avoided Cost Benefits'!$A$4:$A$857,0)))*F42</f>
        <v>16.161992341712427</v>
      </c>
      <c r="BE42" s="585">
        <f t="shared" si="3"/>
        <v>1.8404907975460121</v>
      </c>
    </row>
    <row r="43" spans="1:57" x14ac:dyDescent="0.25">
      <c r="C43" s="1942" t="s">
        <v>970</v>
      </c>
      <c r="D43" s="637" t="s">
        <v>797</v>
      </c>
      <c r="E43" s="383" t="str">
        <f>F59</f>
        <v>LED - 10W (Halogen baseline)</v>
      </c>
      <c r="F43" s="616">
        <f>ROUND((($I$59-$I$62)*$I$70*($I$69)*$I$64*$I$65*$I$67)/$I$66,2)</f>
        <v>33.54</v>
      </c>
      <c r="G43" s="515" t="s">
        <v>571</v>
      </c>
      <c r="H43" s="617">
        <f>VLOOKUP(G43,'CP FACTORS'!$A$3:$B$38, 2, FALSE)</f>
        <v>1.4925290000000001E-4</v>
      </c>
      <c r="I43" s="618">
        <f t="shared" si="4"/>
        <v>5.006E-3</v>
      </c>
      <c r="J43" s="157">
        <f>$I$71</f>
        <v>19</v>
      </c>
      <c r="K43" s="612">
        <f>$I$72</f>
        <v>1.95</v>
      </c>
      <c r="L43" s="619" t="s">
        <v>37</v>
      </c>
      <c r="M43" s="620"/>
      <c r="N43" s="355"/>
      <c r="O43" s="355"/>
      <c r="P43" s="355"/>
      <c r="Q43" s="355"/>
      <c r="R43" s="1894"/>
      <c r="V43" s="245" t="str">
        <f>V42</f>
        <v>kWh Annual Savings</v>
      </c>
      <c r="W43" s="621">
        <v>24.584079492959191</v>
      </c>
      <c r="X43" s="219">
        <v>27.728339622984002</v>
      </c>
      <c r="Y43" s="622">
        <v>33.54</v>
      </c>
      <c r="Z43" s="245"/>
      <c r="AA43" s="245"/>
      <c r="AB43" s="245"/>
      <c r="AC43" s="245"/>
      <c r="AD43" s="245"/>
      <c r="AE43" s="245"/>
      <c r="AF43" s="245"/>
      <c r="AG43" s="245"/>
      <c r="AH43" s="248"/>
      <c r="BB43" s="164">
        <f t="shared" si="1"/>
        <v>10.675116028994644</v>
      </c>
      <c r="BC43" s="73" t="str">
        <f t="shared" si="2"/>
        <v>Lighting RES 19 Year EUL</v>
      </c>
      <c r="BD43" s="584">
        <f>(INDEX('Avoided Cost Benefits'!$C$4:$C$857,MATCH(BC43,'Avoided Cost Benefits'!$A$4:$A$857,0)))*F43</f>
        <v>19.647452814100571</v>
      </c>
      <c r="BE43" s="585">
        <f t="shared" si="3"/>
        <v>1.8404907975460121</v>
      </c>
    </row>
    <row r="44" spans="1:57" x14ac:dyDescent="0.25">
      <c r="C44" s="1942" t="s">
        <v>971</v>
      </c>
      <c r="D44" s="637" t="s">
        <v>939</v>
      </c>
      <c r="E44" s="383" t="s">
        <v>570</v>
      </c>
      <c r="F44" s="616">
        <f>ROUND((($G$59-$G$62)*$G$70*($G$69)*$G$64*$G$65*$G$67)/$G$66,2)</f>
        <v>27.59</v>
      </c>
      <c r="G44" s="515" t="s">
        <v>571</v>
      </c>
      <c r="H44" s="617">
        <f>VLOOKUP(G44,'CP FACTORS'!$A$3:$B$38, 2, FALSE)</f>
        <v>1.4925290000000001E-4</v>
      </c>
      <c r="I44" s="618">
        <f t="shared" si="4"/>
        <v>4.1180000000000001E-3</v>
      </c>
      <c r="J44" s="157">
        <f>$G$71</f>
        <v>19</v>
      </c>
      <c r="K44" s="612">
        <f>$G$72</f>
        <v>1.95</v>
      </c>
      <c r="L44" s="619" t="s">
        <v>37</v>
      </c>
      <c r="M44" s="620"/>
      <c r="N44" s="355"/>
      <c r="O44" s="355"/>
      <c r="P44" s="355"/>
      <c r="Q44" s="355"/>
      <c r="R44" s="1894"/>
      <c r="V44" s="245" t="str">
        <f>V43</f>
        <v>kWh Annual Savings</v>
      </c>
      <c r="W44" s="621">
        <v>25.861964813137764</v>
      </c>
      <c r="X44" s="219">
        <v>27.728339622984002</v>
      </c>
      <c r="Y44" s="622">
        <v>27.59</v>
      </c>
      <c r="Z44" s="245"/>
      <c r="AA44" s="245"/>
      <c r="AB44" s="245"/>
      <c r="AC44" s="245"/>
      <c r="AD44" s="245"/>
      <c r="AE44" s="245"/>
      <c r="AF44" s="245"/>
      <c r="AG44" s="245"/>
      <c r="AH44" s="248"/>
      <c r="BB44" s="164">
        <f t="shared" si="1"/>
        <v>8.7813491723304189</v>
      </c>
      <c r="BC44" s="73" t="str">
        <f t="shared" si="2"/>
        <v>Lighting RES 19 Year EUL</v>
      </c>
      <c r="BD44" s="584">
        <f>(INDEX('Avoided Cost Benefits'!$C$4:$C$857,MATCH(BC44,'Avoided Cost Benefits'!$A$4:$A$857,0)))*F44</f>
        <v>16.161992341712427</v>
      </c>
      <c r="BE44" s="585">
        <f t="shared" si="3"/>
        <v>1.8404907975460121</v>
      </c>
    </row>
    <row r="45" spans="1:57" x14ac:dyDescent="0.25">
      <c r="C45" s="2495" t="s">
        <v>3445</v>
      </c>
      <c r="D45" s="637" t="s">
        <v>797</v>
      </c>
      <c r="E45" s="383" t="s">
        <v>570</v>
      </c>
      <c r="F45" s="616">
        <f>ROUND(((I60-I63)*I70*(I69)*I64*I65*I67)/I66,2)</f>
        <v>33.54</v>
      </c>
      <c r="G45" s="515" t="s">
        <v>571</v>
      </c>
      <c r="H45" s="617">
        <f>VLOOKUP(G45,'CP FACTORS'!$A$3:$B$38, 2, FALSE)</f>
        <v>1.4925290000000001E-4</v>
      </c>
      <c r="I45" s="618">
        <f t="shared" si="4"/>
        <v>5.006E-3</v>
      </c>
      <c r="J45" s="157">
        <f>$I$71</f>
        <v>19</v>
      </c>
      <c r="K45" s="612">
        <f>$I$72</f>
        <v>1.95</v>
      </c>
      <c r="L45" s="619" t="s">
        <v>37</v>
      </c>
      <c r="M45" s="620"/>
      <c r="N45" s="355"/>
      <c r="O45" s="355"/>
      <c r="P45" s="355"/>
      <c r="Q45" s="355"/>
      <c r="R45" s="1894"/>
      <c r="V45" s="245" t="str">
        <f>V44</f>
        <v>kWh Annual Savings</v>
      </c>
      <c r="W45" s="621">
        <v>37.153826041105866</v>
      </c>
      <c r="X45" s="219">
        <v>33.540506999999998</v>
      </c>
      <c r="Y45" s="616">
        <v>33.54</v>
      </c>
      <c r="Z45" s="245"/>
      <c r="AA45" s="245"/>
      <c r="AB45" s="245"/>
      <c r="AC45" s="245"/>
      <c r="AD45" s="245"/>
      <c r="AE45" s="245"/>
      <c r="AF45" s="245"/>
      <c r="AG45" s="245"/>
      <c r="AH45" s="248"/>
      <c r="BB45" s="169">
        <f t="shared" si="1"/>
        <v>10.675116028994644</v>
      </c>
      <c r="BC45" s="73" t="str">
        <f t="shared" si="2"/>
        <v>Lighting RES 19 Year EUL</v>
      </c>
      <c r="BD45" s="586">
        <f>(INDEX('Avoided Cost Benefits'!$C$4:$C$857,MATCH(BC45,'Avoided Cost Benefits'!$A$4:$A$857,0)))*F45</f>
        <v>19.647452814100571</v>
      </c>
      <c r="BE45" s="587">
        <f t="shared" si="3"/>
        <v>1.8404907975460121</v>
      </c>
    </row>
    <row r="46" spans="1:57" hidden="1" outlineLevel="1" x14ac:dyDescent="0.25">
      <c r="F46" s="493"/>
      <c r="G46" s="1943"/>
      <c r="H46" s="493"/>
      <c r="K46" s="177" t="s">
        <v>972</v>
      </c>
      <c r="L46" s="493"/>
    </row>
    <row r="47" spans="1:57" hidden="1" outlineLevel="1" x14ac:dyDescent="0.25">
      <c r="D47" s="456" t="s">
        <v>617</v>
      </c>
      <c r="G47" s="493"/>
      <c r="H47" s="493"/>
      <c r="I47" s="493"/>
      <c r="J47" s="493"/>
      <c r="K47" s="493"/>
      <c r="L47" s="493"/>
    </row>
    <row r="48" spans="1:57" hidden="1" outlineLevel="1" x14ac:dyDescent="0.25">
      <c r="I48" s="493"/>
      <c r="J48" s="493"/>
      <c r="K48" s="493"/>
    </row>
    <row r="49" spans="4:45" hidden="1" outlineLevel="1" x14ac:dyDescent="0.25">
      <c r="I49" s="493"/>
      <c r="J49" s="493"/>
      <c r="K49" s="493"/>
    </row>
    <row r="50" spans="4:45" hidden="1" outlineLevel="1" x14ac:dyDescent="0.25">
      <c r="I50" s="493"/>
      <c r="J50" s="493"/>
      <c r="K50" s="493"/>
    </row>
    <row r="51" spans="4:45" hidden="1" outlineLevel="1" x14ac:dyDescent="0.25">
      <c r="E51" s="326"/>
      <c r="F51" s="327"/>
    </row>
    <row r="52" spans="4:45" hidden="1" outlineLevel="1" x14ac:dyDescent="0.25"/>
    <row r="53" spans="4:45" hidden="1" outlineLevel="1" x14ac:dyDescent="0.25"/>
    <row r="54" spans="4:45" hidden="1" outlineLevel="1" x14ac:dyDescent="0.25"/>
    <row r="55" spans="4:45" hidden="1" outlineLevel="1" x14ac:dyDescent="0.25"/>
    <row r="56" spans="4:45" hidden="1" outlineLevel="1" x14ac:dyDescent="0.25">
      <c r="M56" s="785"/>
      <c r="N56" s="785"/>
      <c r="O56" s="785"/>
      <c r="P56" s="785"/>
      <c r="Q56" s="785"/>
      <c r="R56" s="785"/>
      <c r="V56" s="55" t="s">
        <v>27</v>
      </c>
      <c r="W56" s="56">
        <f>$W$6</f>
        <v>43252</v>
      </c>
      <c r="X56" s="56">
        <f>$X$6</f>
        <v>43465</v>
      </c>
      <c r="Y56" s="56">
        <f>$Y$6</f>
        <v>43800</v>
      </c>
      <c r="Z56" s="56">
        <f>$Z$6</f>
        <v>43862</v>
      </c>
      <c r="AA56" s="56" t="str">
        <f>$AA$6</f>
        <v>-</v>
      </c>
      <c r="AB56" s="56" t="str">
        <f>$AB$6</f>
        <v>-</v>
      </c>
      <c r="AC56" s="56" t="str">
        <f>$AC$6</f>
        <v>-</v>
      </c>
      <c r="AD56" s="56" t="str">
        <f>$AD$6</f>
        <v>-</v>
      </c>
      <c r="AE56" s="56" t="str">
        <f>$AE$6</f>
        <v>-</v>
      </c>
      <c r="AF56" s="56" t="str">
        <f>$AF$6</f>
        <v>-</v>
      </c>
      <c r="AG56" s="56" t="str">
        <f>$AG$6</f>
        <v>-</v>
      </c>
      <c r="AI56" s="56">
        <f>$W$6</f>
        <v>43252</v>
      </c>
      <c r="AJ56" s="56">
        <f>$X$6</f>
        <v>43465</v>
      </c>
      <c r="AK56" s="56">
        <f>$Y$6</f>
        <v>43800</v>
      </c>
      <c r="AL56" s="56">
        <f>$Z$6</f>
        <v>43862</v>
      </c>
      <c r="AM56" s="56" t="str">
        <f>$AA$6</f>
        <v>-</v>
      </c>
      <c r="AN56" s="56" t="str">
        <f>$AB$6</f>
        <v>-</v>
      </c>
      <c r="AO56" s="56" t="str">
        <f>$AC$6</f>
        <v>-</v>
      </c>
      <c r="AP56" s="56" t="str">
        <f>$AD$6</f>
        <v>-</v>
      </c>
      <c r="AQ56" s="56" t="str">
        <f>$AE$6</f>
        <v>-</v>
      </c>
      <c r="AR56" s="56" t="str">
        <f>$AF$6</f>
        <v>-</v>
      </c>
      <c r="AS56" s="56" t="str">
        <f>$AG$6</f>
        <v>-</v>
      </c>
    </row>
    <row r="57" spans="4:45" ht="30" hidden="1" outlineLevel="1" x14ac:dyDescent="0.25">
      <c r="D57" s="499" t="s">
        <v>618</v>
      </c>
      <c r="E57" s="499" t="s">
        <v>619</v>
      </c>
      <c r="F57" s="499" t="s">
        <v>973</v>
      </c>
      <c r="G57" s="487" t="s">
        <v>974</v>
      </c>
      <c r="H57" s="487" t="s">
        <v>975</v>
      </c>
      <c r="I57" s="487" t="s">
        <v>976</v>
      </c>
      <c r="J57" s="487" t="s">
        <v>977</v>
      </c>
      <c r="K57" s="625"/>
      <c r="L57" s="625"/>
      <c r="M57" s="785"/>
      <c r="N57" s="1944"/>
      <c r="O57" s="785"/>
      <c r="P57" s="785"/>
      <c r="Q57" s="785"/>
      <c r="R57" s="785"/>
      <c r="V57" s="79"/>
      <c r="W57" s="80" t="s">
        <v>974</v>
      </c>
      <c r="X57" s="80" t="s">
        <v>974</v>
      </c>
      <c r="Y57" s="80" t="s">
        <v>974</v>
      </c>
      <c r="Z57" s="80" t="s">
        <v>974</v>
      </c>
      <c r="AA57" s="80" t="s">
        <v>974</v>
      </c>
      <c r="AB57" s="80" t="s">
        <v>974</v>
      </c>
      <c r="AC57" s="80" t="s">
        <v>974</v>
      </c>
      <c r="AD57" s="80" t="s">
        <v>974</v>
      </c>
      <c r="AE57" s="80" t="s">
        <v>974</v>
      </c>
      <c r="AF57" s="80" t="s">
        <v>974</v>
      </c>
      <c r="AG57" s="80" t="s">
        <v>974</v>
      </c>
      <c r="AH57" s="177"/>
      <c r="AI57" s="80" t="s">
        <v>976</v>
      </c>
      <c r="AJ57" s="80" t="s">
        <v>976</v>
      </c>
      <c r="AK57" s="80" t="s">
        <v>976</v>
      </c>
      <c r="AL57" s="80" t="s">
        <v>976</v>
      </c>
      <c r="AM57" s="80" t="s">
        <v>976</v>
      </c>
      <c r="AN57" s="80" t="s">
        <v>976</v>
      </c>
      <c r="AO57" s="80" t="s">
        <v>976</v>
      </c>
      <c r="AP57" s="80" t="s">
        <v>976</v>
      </c>
      <c r="AQ57" s="80" t="s">
        <v>976</v>
      </c>
      <c r="AR57" s="80" t="s">
        <v>976</v>
      </c>
      <c r="AS57" s="80" t="s">
        <v>976</v>
      </c>
    </row>
    <row r="58" spans="4:45" hidden="1" outlineLevel="1" x14ac:dyDescent="0.25">
      <c r="D58" s="2711" t="s">
        <v>978</v>
      </c>
      <c r="E58" s="2711" t="s">
        <v>979</v>
      </c>
      <c r="F58" s="633" t="str">
        <f>'Lighting Deemed Table'!F42</f>
        <v>LED - 10W (CFL baseline)</v>
      </c>
      <c r="G58" s="627">
        <v>13.4</v>
      </c>
      <c r="H58" s="633"/>
      <c r="I58" s="627">
        <v>13.4</v>
      </c>
      <c r="J58" s="1697"/>
      <c r="K58" s="1945"/>
      <c r="L58" s="1945"/>
      <c r="M58" s="177"/>
      <c r="N58" s="763"/>
      <c r="V58" s="2716" t="s">
        <v>980</v>
      </c>
      <c r="W58" s="628">
        <v>13.4</v>
      </c>
      <c r="X58" s="627">
        <v>13.4</v>
      </c>
      <c r="Y58" s="627">
        <v>13.4</v>
      </c>
      <c r="Z58" s="628"/>
      <c r="AA58" s="628"/>
      <c r="AB58" s="628"/>
      <c r="AC58" s="628"/>
      <c r="AD58" s="628"/>
      <c r="AE58" s="628"/>
      <c r="AF58" s="628"/>
      <c r="AG58" s="628"/>
      <c r="AI58" s="628">
        <v>13.4</v>
      </c>
      <c r="AJ58" s="627">
        <v>13.4</v>
      </c>
      <c r="AK58" s="627">
        <v>13.4</v>
      </c>
      <c r="AL58" s="628"/>
      <c r="AM58" s="628"/>
      <c r="AN58" s="628"/>
      <c r="AO58" s="628"/>
      <c r="AP58" s="628"/>
      <c r="AQ58" s="628"/>
      <c r="AR58" s="628"/>
      <c r="AS58" s="628"/>
    </row>
    <row r="59" spans="4:45" ht="82.5" hidden="1" customHeight="1" outlineLevel="1" x14ac:dyDescent="0.25">
      <c r="D59" s="2712"/>
      <c r="E59" s="2714"/>
      <c r="F59" s="633" t="str">
        <f>'Lighting Deemed Table'!F43</f>
        <v>LED - 10W (Halogen baseline)</v>
      </c>
      <c r="G59" s="627">
        <v>43</v>
      </c>
      <c r="H59" s="1642" t="s">
        <v>981</v>
      </c>
      <c r="I59" s="627">
        <v>43</v>
      </c>
      <c r="J59" s="1642" t="s">
        <v>981</v>
      </c>
      <c r="K59" s="625"/>
      <c r="L59" s="625"/>
      <c r="M59" s="177"/>
      <c r="N59" s="763"/>
      <c r="V59" s="2717"/>
      <c r="W59" s="628">
        <v>39.5</v>
      </c>
      <c r="X59" s="629">
        <v>43</v>
      </c>
      <c r="Y59" s="627">
        <v>43</v>
      </c>
      <c r="Z59" s="628"/>
      <c r="AA59" s="628"/>
      <c r="AB59" s="628"/>
      <c r="AC59" s="628"/>
      <c r="AD59" s="628"/>
      <c r="AE59" s="628"/>
      <c r="AF59" s="628"/>
      <c r="AG59" s="628"/>
      <c r="AI59" s="628">
        <v>41.32</v>
      </c>
      <c r="AJ59" s="627">
        <v>43</v>
      </c>
      <c r="AK59" s="627">
        <v>43</v>
      </c>
      <c r="AL59" s="628"/>
      <c r="AM59" s="628"/>
      <c r="AN59" s="628"/>
      <c r="AO59" s="628"/>
      <c r="AP59" s="628"/>
      <c r="AQ59" s="628"/>
      <c r="AR59" s="628"/>
      <c r="AS59" s="628"/>
    </row>
    <row r="60" spans="4:45" ht="45" hidden="1" outlineLevel="1" x14ac:dyDescent="0.25">
      <c r="D60" s="2713"/>
      <c r="E60" s="2715"/>
      <c r="F60" s="633" t="s">
        <v>570</v>
      </c>
      <c r="G60" s="627">
        <v>43</v>
      </c>
      <c r="H60" s="1642" t="s">
        <v>982</v>
      </c>
      <c r="I60" s="627">
        <v>43</v>
      </c>
      <c r="J60" s="1697" t="s">
        <v>983</v>
      </c>
      <c r="K60" s="1945"/>
      <c r="L60" s="1945"/>
      <c r="M60" s="177"/>
      <c r="N60" s="763"/>
      <c r="V60" s="2718"/>
      <c r="W60" s="628">
        <v>43</v>
      </c>
      <c r="X60" s="628">
        <v>43</v>
      </c>
      <c r="Y60" s="628">
        <v>43</v>
      </c>
      <c r="Z60" s="628"/>
      <c r="AA60" s="628"/>
      <c r="AB60" s="628"/>
      <c r="AC60" s="628"/>
      <c r="AD60" s="628"/>
      <c r="AE60" s="628"/>
      <c r="AF60" s="628"/>
      <c r="AG60" s="628"/>
      <c r="AI60" s="631">
        <v>43</v>
      </c>
      <c r="AJ60" s="628">
        <v>43</v>
      </c>
      <c r="AK60" s="628">
        <v>43</v>
      </c>
      <c r="AL60" s="628"/>
      <c r="AM60" s="628"/>
      <c r="AN60" s="628"/>
      <c r="AO60" s="628"/>
      <c r="AP60" s="628"/>
      <c r="AQ60" s="628"/>
      <c r="AR60" s="628"/>
      <c r="AS60" s="628"/>
    </row>
    <row r="61" spans="4:45" hidden="1" outlineLevel="1" x14ac:dyDescent="0.25">
      <c r="D61" s="2711" t="s">
        <v>984</v>
      </c>
      <c r="E61" s="2711" t="s">
        <v>985</v>
      </c>
      <c r="F61" s="633" t="s">
        <v>576</v>
      </c>
      <c r="G61" s="627">
        <v>9</v>
      </c>
      <c r="H61" s="1642"/>
      <c r="I61" s="627"/>
      <c r="J61" s="1697"/>
      <c r="K61" s="1945"/>
      <c r="L61" s="1945"/>
      <c r="M61" s="177"/>
      <c r="N61" s="763"/>
      <c r="V61" s="2716" t="s">
        <v>986</v>
      </c>
      <c r="W61" s="632">
        <v>9</v>
      </c>
      <c r="X61" s="627">
        <v>9</v>
      </c>
      <c r="Y61" s="627">
        <v>9</v>
      </c>
      <c r="Z61" s="628"/>
      <c r="AA61" s="628"/>
      <c r="AB61" s="628"/>
      <c r="AC61" s="628"/>
      <c r="AD61" s="628"/>
      <c r="AE61" s="628"/>
      <c r="AF61" s="628"/>
      <c r="AG61" s="628"/>
      <c r="AI61" s="631">
        <f>G61</f>
        <v>9</v>
      </c>
      <c r="AJ61" s="627">
        <v>9</v>
      </c>
      <c r="AK61" s="628"/>
      <c r="AL61" s="628"/>
      <c r="AM61" s="628"/>
      <c r="AN61" s="628"/>
      <c r="AO61" s="628"/>
      <c r="AP61" s="628"/>
      <c r="AQ61" s="628"/>
      <c r="AR61" s="628"/>
      <c r="AS61" s="628"/>
    </row>
    <row r="62" spans="4:45" ht="15" hidden="1" customHeight="1" outlineLevel="1" x14ac:dyDescent="0.25">
      <c r="D62" s="2712"/>
      <c r="E62" s="2714"/>
      <c r="F62" s="633" t="s">
        <v>578</v>
      </c>
      <c r="G62" s="627">
        <v>9</v>
      </c>
      <c r="H62" s="1642"/>
      <c r="I62" s="627">
        <v>9</v>
      </c>
      <c r="J62" s="1697"/>
      <c r="K62" s="1945"/>
      <c r="L62" s="1945"/>
      <c r="M62" s="177"/>
      <c r="N62" s="763"/>
      <c r="V62" s="2717"/>
      <c r="W62" s="632">
        <v>9</v>
      </c>
      <c r="X62" s="627">
        <v>9</v>
      </c>
      <c r="Y62" s="627">
        <v>9</v>
      </c>
      <c r="Z62" s="628"/>
      <c r="AA62" s="628"/>
      <c r="AB62" s="628"/>
      <c r="AC62" s="628"/>
      <c r="AD62" s="628"/>
      <c r="AE62" s="628"/>
      <c r="AF62" s="628"/>
      <c r="AG62" s="628"/>
      <c r="AI62" s="631">
        <f>G62</f>
        <v>9</v>
      </c>
      <c r="AJ62" s="627">
        <v>9</v>
      </c>
      <c r="AK62" s="627">
        <v>9</v>
      </c>
      <c r="AL62" s="628"/>
      <c r="AM62" s="628"/>
      <c r="AN62" s="628"/>
      <c r="AO62" s="628"/>
      <c r="AP62" s="628"/>
      <c r="AQ62" s="628"/>
      <c r="AR62" s="628"/>
      <c r="AS62" s="628"/>
    </row>
    <row r="63" spans="4:45" ht="45" hidden="1" outlineLevel="1" x14ac:dyDescent="0.25">
      <c r="D63" s="2713"/>
      <c r="E63" s="2715"/>
      <c r="F63" s="633" t="s">
        <v>570</v>
      </c>
      <c r="G63" s="627">
        <v>9</v>
      </c>
      <c r="H63" s="1642" t="s">
        <v>987</v>
      </c>
      <c r="I63" s="627">
        <v>9</v>
      </c>
      <c r="J63" s="1642" t="s">
        <v>987</v>
      </c>
      <c r="K63" s="1946"/>
      <c r="L63" s="1946"/>
      <c r="M63" s="177"/>
      <c r="N63" s="763"/>
      <c r="V63" s="2718"/>
      <c r="W63" s="628">
        <v>9</v>
      </c>
      <c r="X63" s="628">
        <v>9</v>
      </c>
      <c r="Y63" s="628">
        <v>9</v>
      </c>
      <c r="Z63" s="628"/>
      <c r="AA63" s="628"/>
      <c r="AB63" s="628"/>
      <c r="AC63" s="628"/>
      <c r="AD63" s="628"/>
      <c r="AE63" s="628"/>
      <c r="AF63" s="628"/>
      <c r="AG63" s="628"/>
      <c r="AI63" s="631">
        <v>9</v>
      </c>
      <c r="AJ63" s="628">
        <v>9</v>
      </c>
      <c r="AK63" s="628">
        <v>9</v>
      </c>
      <c r="AL63" s="628"/>
      <c r="AM63" s="628"/>
      <c r="AN63" s="628"/>
      <c r="AO63" s="628"/>
      <c r="AP63" s="628"/>
      <c r="AQ63" s="628"/>
      <c r="AR63" s="628"/>
      <c r="AS63" s="628"/>
    </row>
    <row r="64" spans="4:45" ht="30" hidden="1" outlineLevel="1" x14ac:dyDescent="0.25">
      <c r="D64" s="633" t="s">
        <v>988</v>
      </c>
      <c r="E64" s="633" t="s">
        <v>989</v>
      </c>
      <c r="F64" s="633"/>
      <c r="G64" s="634">
        <v>2.73</v>
      </c>
      <c r="H64" s="1642" t="s">
        <v>990</v>
      </c>
      <c r="I64" s="634">
        <v>2.73</v>
      </c>
      <c r="J64" s="1642" t="s">
        <v>990</v>
      </c>
      <c r="K64" s="1946"/>
      <c r="L64" s="1946"/>
      <c r="M64" s="177"/>
      <c r="N64" s="763"/>
      <c r="V64" s="635" t="s">
        <v>991</v>
      </c>
      <c r="W64" s="636">
        <v>2.73</v>
      </c>
      <c r="X64" s="634">
        <v>2.73</v>
      </c>
      <c r="Y64" s="634">
        <v>2.73</v>
      </c>
      <c r="Z64" s="636"/>
      <c r="AA64" s="636"/>
      <c r="AB64" s="636"/>
      <c r="AC64" s="636"/>
      <c r="AD64" s="636"/>
      <c r="AE64" s="636"/>
      <c r="AF64" s="636"/>
      <c r="AG64" s="636"/>
      <c r="AI64" s="636">
        <v>3.1494444444440002</v>
      </c>
      <c r="AJ64" s="636">
        <v>2.73</v>
      </c>
      <c r="AK64" s="634">
        <v>2.73</v>
      </c>
      <c r="AL64" s="636"/>
      <c r="AM64" s="636"/>
      <c r="AN64" s="636"/>
      <c r="AO64" s="636"/>
      <c r="AP64" s="636"/>
      <c r="AQ64" s="636"/>
      <c r="AR64" s="636"/>
      <c r="AS64" s="636"/>
    </row>
    <row r="65" spans="2:57" ht="30" hidden="1" outlineLevel="1" x14ac:dyDescent="0.25">
      <c r="D65" s="633" t="s">
        <v>235</v>
      </c>
      <c r="E65" s="633" t="s">
        <v>992</v>
      </c>
      <c r="F65" s="633"/>
      <c r="G65" s="637">
        <v>365</v>
      </c>
      <c r="H65" s="1642" t="s">
        <v>992</v>
      </c>
      <c r="I65" s="637">
        <v>365</v>
      </c>
      <c r="J65" s="1642" t="s">
        <v>992</v>
      </c>
      <c r="K65" s="1946"/>
      <c r="L65" s="1946"/>
      <c r="M65" s="177"/>
      <c r="N65" s="763"/>
      <c r="V65" s="635" t="s">
        <v>235</v>
      </c>
      <c r="W65" s="638">
        <v>365</v>
      </c>
      <c r="X65" s="637">
        <v>365</v>
      </c>
      <c r="Y65" s="637">
        <v>365</v>
      </c>
      <c r="Z65" s="638"/>
      <c r="AA65" s="638"/>
      <c r="AB65" s="638"/>
      <c r="AC65" s="638"/>
      <c r="AD65" s="638"/>
      <c r="AE65" s="638"/>
      <c r="AF65" s="638"/>
      <c r="AG65" s="638"/>
      <c r="AI65" s="638">
        <v>365</v>
      </c>
      <c r="AJ65" s="638">
        <v>365</v>
      </c>
      <c r="AK65" s="637">
        <v>365</v>
      </c>
      <c r="AL65" s="638"/>
      <c r="AM65" s="638"/>
      <c r="AN65" s="638"/>
      <c r="AO65" s="638"/>
      <c r="AP65" s="638"/>
      <c r="AQ65" s="638"/>
      <c r="AR65" s="638"/>
      <c r="AS65" s="638"/>
    </row>
    <row r="66" spans="2:57" ht="30" hidden="1" outlineLevel="1" x14ac:dyDescent="0.25">
      <c r="D66" s="639">
        <v>1000</v>
      </c>
      <c r="E66" s="633" t="s">
        <v>993</v>
      </c>
      <c r="F66" s="639"/>
      <c r="G66" s="640">
        <v>1000</v>
      </c>
      <c r="H66" s="1642" t="s">
        <v>993</v>
      </c>
      <c r="I66" s="640">
        <v>1000</v>
      </c>
      <c r="J66" s="1642" t="s">
        <v>993</v>
      </c>
      <c r="K66" s="1946"/>
      <c r="L66" s="1946"/>
      <c r="M66" s="177"/>
      <c r="N66" s="763"/>
      <c r="V66" s="641">
        <v>1000</v>
      </c>
      <c r="W66" s="642">
        <v>1000</v>
      </c>
      <c r="X66" s="640">
        <v>1000</v>
      </c>
      <c r="Y66" s="640">
        <v>1000</v>
      </c>
      <c r="Z66" s="642"/>
      <c r="AA66" s="642"/>
      <c r="AB66" s="642"/>
      <c r="AC66" s="642"/>
      <c r="AD66" s="642"/>
      <c r="AE66" s="642"/>
      <c r="AF66" s="642"/>
      <c r="AG66" s="642"/>
      <c r="AI66" s="642">
        <v>1000</v>
      </c>
      <c r="AJ66" s="642">
        <v>1000</v>
      </c>
      <c r="AK66" s="640">
        <v>1000</v>
      </c>
      <c r="AL66" s="642"/>
      <c r="AM66" s="642"/>
      <c r="AN66" s="642"/>
      <c r="AO66" s="642"/>
      <c r="AP66" s="642"/>
      <c r="AQ66" s="642"/>
      <c r="AR66" s="642"/>
      <c r="AS66" s="642"/>
    </row>
    <row r="67" spans="2:57" ht="30" hidden="1" outlineLevel="1" x14ac:dyDescent="0.25">
      <c r="D67" s="633" t="s">
        <v>994</v>
      </c>
      <c r="E67" s="633" t="s">
        <v>995</v>
      </c>
      <c r="F67" s="633"/>
      <c r="G67" s="515">
        <v>0.99</v>
      </c>
      <c r="H67" s="1642" t="s">
        <v>990</v>
      </c>
      <c r="I67" s="515">
        <v>0.99</v>
      </c>
      <c r="J67" s="1642" t="s">
        <v>990</v>
      </c>
      <c r="K67" s="653"/>
      <c r="L67" s="1946"/>
      <c r="M67" s="177"/>
      <c r="N67" s="763"/>
      <c r="V67" s="626" t="s">
        <v>994</v>
      </c>
      <c r="W67" s="643">
        <v>0.97</v>
      </c>
      <c r="X67" s="644">
        <v>0.99</v>
      </c>
      <c r="Y67" s="515">
        <v>0.99</v>
      </c>
      <c r="Z67" s="643"/>
      <c r="AA67" s="643"/>
      <c r="AB67" s="643"/>
      <c r="AC67" s="643"/>
      <c r="AD67" s="643"/>
      <c r="AE67" s="643"/>
      <c r="AF67" s="643"/>
      <c r="AG67" s="643"/>
      <c r="AI67" s="643">
        <v>0.97</v>
      </c>
      <c r="AJ67" s="644">
        <v>0.99</v>
      </c>
      <c r="AK67" s="515">
        <v>0.99</v>
      </c>
      <c r="AL67" s="643"/>
      <c r="AM67" s="643"/>
      <c r="AN67" s="643"/>
      <c r="AO67" s="643"/>
      <c r="AP67" s="643"/>
      <c r="AQ67" s="643"/>
      <c r="AR67" s="643"/>
      <c r="AS67" s="643"/>
    </row>
    <row r="68" spans="2:57" ht="30" hidden="1" outlineLevel="1" x14ac:dyDescent="0.25">
      <c r="D68" s="633" t="s">
        <v>996</v>
      </c>
      <c r="E68" s="633" t="s">
        <v>997</v>
      </c>
      <c r="F68" s="633"/>
      <c r="G68" s="645">
        <v>1</v>
      </c>
      <c r="H68" s="1642" t="s">
        <v>998</v>
      </c>
      <c r="I68" s="646">
        <v>1</v>
      </c>
      <c r="J68" s="1680" t="s">
        <v>999</v>
      </c>
      <c r="K68" s="1924"/>
      <c r="L68" s="653"/>
      <c r="M68" s="177"/>
      <c r="N68" s="763"/>
      <c r="V68" s="626" t="s">
        <v>996</v>
      </c>
      <c r="W68" s="647">
        <v>1</v>
      </c>
      <c r="X68" s="647">
        <v>1</v>
      </c>
      <c r="Y68" s="645">
        <v>1</v>
      </c>
      <c r="Z68" s="647"/>
      <c r="AA68" s="647"/>
      <c r="AB68" s="647"/>
      <c r="AC68" s="647"/>
      <c r="AD68" s="647"/>
      <c r="AE68" s="647"/>
      <c r="AF68" s="647"/>
      <c r="AG68" s="647"/>
      <c r="AI68" s="647">
        <v>1</v>
      </c>
      <c r="AJ68" s="647">
        <v>1</v>
      </c>
      <c r="AK68" s="645">
        <v>1</v>
      </c>
      <c r="AL68" s="647"/>
      <c r="AM68" s="647"/>
      <c r="AN68" s="647"/>
      <c r="AO68" s="647"/>
      <c r="AP68" s="647"/>
      <c r="AQ68" s="647"/>
      <c r="AR68" s="647"/>
      <c r="AS68" s="647"/>
    </row>
    <row r="69" spans="2:57" ht="30" hidden="1" outlineLevel="1" x14ac:dyDescent="0.25">
      <c r="D69" s="633" t="s">
        <v>1000</v>
      </c>
      <c r="E69" s="633" t="s">
        <v>1001</v>
      </c>
      <c r="F69" s="633"/>
      <c r="G69" s="645">
        <v>0.91869999999999996</v>
      </c>
      <c r="H69" s="1642" t="s">
        <v>1002</v>
      </c>
      <c r="I69" s="646">
        <v>1</v>
      </c>
      <c r="J69" s="1642" t="s">
        <v>1003</v>
      </c>
      <c r="K69" s="1924"/>
      <c r="L69" s="1924"/>
      <c r="M69" s="177"/>
      <c r="N69" s="763"/>
      <c r="V69" s="633" t="s">
        <v>1000</v>
      </c>
      <c r="W69" s="647">
        <v>0.86</v>
      </c>
      <c r="X69" s="648">
        <v>0.89859999999999995</v>
      </c>
      <c r="Y69" s="648">
        <v>0.91869999999999996</v>
      </c>
      <c r="Z69" s="647"/>
      <c r="AA69" s="647"/>
      <c r="AB69" s="647"/>
      <c r="AC69" s="647"/>
      <c r="AD69" s="647"/>
      <c r="AE69" s="647"/>
      <c r="AF69" s="647"/>
      <c r="AG69" s="647"/>
      <c r="AI69" s="647">
        <v>1</v>
      </c>
      <c r="AJ69" s="648">
        <v>1</v>
      </c>
      <c r="AK69" s="645">
        <v>1</v>
      </c>
      <c r="AL69" s="647"/>
      <c r="AM69" s="647"/>
      <c r="AN69" s="647"/>
      <c r="AO69" s="647"/>
      <c r="AP69" s="647"/>
      <c r="AQ69" s="647"/>
      <c r="AR69" s="647"/>
      <c r="AS69" s="647"/>
    </row>
    <row r="70" spans="2:57" ht="45" hidden="1" outlineLevel="1" x14ac:dyDescent="0.25">
      <c r="D70" s="633" t="s">
        <v>82</v>
      </c>
      <c r="E70" s="633" t="s">
        <v>731</v>
      </c>
      <c r="F70" s="633"/>
      <c r="G70" s="649">
        <v>0.89554140127388537</v>
      </c>
      <c r="H70" s="1642" t="s">
        <v>1004</v>
      </c>
      <c r="I70" s="650">
        <v>1</v>
      </c>
      <c r="J70" s="1947" t="s">
        <v>1005</v>
      </c>
      <c r="K70" s="1924"/>
      <c r="L70" s="1924"/>
      <c r="M70" s="177"/>
      <c r="N70" s="763"/>
      <c r="V70" s="626" t="s">
        <v>82</v>
      </c>
      <c r="W70" s="138">
        <v>0.91507544652831463</v>
      </c>
      <c r="X70" s="651">
        <v>0.92</v>
      </c>
      <c r="Y70" s="651">
        <v>0.89554140127388537</v>
      </c>
      <c r="Z70" s="138"/>
      <c r="AA70" s="138"/>
      <c r="AB70" s="138"/>
      <c r="AC70" s="138"/>
      <c r="AD70" s="138"/>
      <c r="AE70" s="138"/>
      <c r="AF70" s="138"/>
      <c r="AG70" s="138"/>
      <c r="AI70" s="652">
        <v>0.98</v>
      </c>
      <c r="AJ70" s="651">
        <v>1</v>
      </c>
      <c r="AK70" s="649">
        <v>1</v>
      </c>
      <c r="AL70" s="138"/>
      <c r="AM70" s="138"/>
      <c r="AN70" s="138"/>
      <c r="AO70" s="138"/>
      <c r="AP70" s="138"/>
      <c r="AQ70" s="138"/>
      <c r="AR70" s="138"/>
      <c r="AS70" s="138"/>
    </row>
    <row r="71" spans="2:57" hidden="1" outlineLevel="1" x14ac:dyDescent="0.25">
      <c r="B71" s="1580"/>
      <c r="C71" s="329"/>
      <c r="D71" s="377" t="s">
        <v>961</v>
      </c>
      <c r="E71" s="377" t="s">
        <v>657</v>
      </c>
      <c r="F71" s="633"/>
      <c r="G71" s="608">
        <v>19</v>
      </c>
      <c r="H71" s="380"/>
      <c r="I71" s="608">
        <v>19</v>
      </c>
      <c r="J71" s="1948"/>
      <c r="K71" s="355"/>
      <c r="L71" s="355"/>
      <c r="M71" s="1494"/>
      <c r="N71" s="355"/>
      <c r="O71" s="355"/>
      <c r="P71" s="355"/>
      <c r="Q71" s="355"/>
      <c r="V71" s="217" t="s">
        <v>961</v>
      </c>
      <c r="W71" s="608">
        <v>19</v>
      </c>
      <c r="X71" s="608">
        <v>19</v>
      </c>
      <c r="Y71" s="608">
        <v>19</v>
      </c>
      <c r="Z71" s="608"/>
      <c r="AA71" s="608"/>
      <c r="AB71" s="608"/>
      <c r="AC71" s="608"/>
      <c r="AD71" s="608"/>
      <c r="AE71" s="608"/>
      <c r="AF71" s="608"/>
      <c r="AG71" s="608"/>
      <c r="AI71" s="608">
        <v>19</v>
      </c>
      <c r="AJ71" s="608">
        <v>19</v>
      </c>
      <c r="AK71" s="608">
        <v>19</v>
      </c>
      <c r="AL71" s="608"/>
      <c r="AM71" s="608"/>
      <c r="AN71" s="608"/>
      <c r="AO71" s="608"/>
      <c r="AP71" s="608"/>
      <c r="AQ71" s="608"/>
      <c r="AR71" s="608"/>
      <c r="AS71" s="608"/>
    </row>
    <row r="72" spans="2:57" hidden="1" outlineLevel="1" x14ac:dyDescent="0.25">
      <c r="B72" s="1580"/>
      <c r="C72" s="329"/>
      <c r="D72" s="1653" t="s">
        <v>25</v>
      </c>
      <c r="E72" s="377" t="s">
        <v>659</v>
      </c>
      <c r="F72" s="633"/>
      <c r="G72" s="610">
        <v>1.95</v>
      </c>
      <c r="H72" s="380"/>
      <c r="I72" s="610">
        <v>1.95</v>
      </c>
      <c r="J72" s="1680"/>
      <c r="K72" s="355"/>
      <c r="L72" s="355"/>
      <c r="M72" s="1494"/>
      <c r="N72" s="355"/>
      <c r="O72" s="355"/>
      <c r="P72" s="355"/>
      <c r="Q72" s="355"/>
      <c r="V72" s="220" t="s">
        <v>25</v>
      </c>
      <c r="W72" s="610">
        <v>1.95</v>
      </c>
      <c r="X72" s="610">
        <v>1.95</v>
      </c>
      <c r="Y72" s="610">
        <v>1.95</v>
      </c>
      <c r="Z72" s="611"/>
      <c r="AA72" s="611"/>
      <c r="AB72" s="611"/>
      <c r="AC72" s="611"/>
      <c r="AD72" s="611"/>
      <c r="AE72" s="611"/>
      <c r="AF72" s="611"/>
      <c r="AG72" s="611"/>
      <c r="AI72" s="610">
        <v>1.95</v>
      </c>
      <c r="AJ72" s="610">
        <v>1.95</v>
      </c>
      <c r="AK72" s="611">
        <v>1.95</v>
      </c>
      <c r="AL72" s="611"/>
      <c r="AM72" s="611"/>
      <c r="AN72" s="611"/>
      <c r="AO72" s="611"/>
      <c r="AP72" s="611"/>
      <c r="AQ72" s="611"/>
      <c r="AR72" s="611"/>
      <c r="AS72" s="611"/>
    </row>
    <row r="73" spans="2:57" collapsed="1" x14ac:dyDescent="0.25">
      <c r="D73" s="653"/>
      <c r="E73" s="653"/>
      <c r="F73" s="1949"/>
      <c r="G73" s="653"/>
      <c r="H73" s="1950"/>
      <c r="I73" s="1924"/>
      <c r="J73" s="1924"/>
      <c r="K73" s="1924"/>
    </row>
    <row r="75" spans="2:57" s="229" customFormat="1" x14ac:dyDescent="0.25">
      <c r="B75" s="2639" t="s">
        <v>1006</v>
      </c>
      <c r="C75" s="2640"/>
      <c r="D75" s="2640"/>
      <c r="E75" s="2640"/>
      <c r="F75" s="2640"/>
      <c r="G75" s="2640"/>
      <c r="H75" s="2640"/>
      <c r="I75" s="2641"/>
      <c r="J75" s="2641"/>
      <c r="K75" s="2641"/>
      <c r="L75" s="2641"/>
      <c r="M75" s="2641"/>
      <c r="N75" s="2642"/>
      <c r="V75" s="2639" t="str">
        <f>B75</f>
        <v>Kit Faucet Aerators (Kitchen)</v>
      </c>
      <c r="W75" s="2640"/>
      <c r="X75" s="2640"/>
      <c r="Y75" s="2640"/>
      <c r="Z75" s="2640"/>
      <c r="AA75" s="2640"/>
      <c r="AB75" s="2640"/>
      <c r="AC75" s="2615"/>
      <c r="AD75" s="2615"/>
      <c r="AE75" s="2615"/>
      <c r="AF75" s="2615"/>
      <c r="AG75" s="2615"/>
      <c r="AH75" s="2616"/>
      <c r="BD75" s="654"/>
      <c r="BE75" s="654"/>
    </row>
    <row r="77" spans="2:57" ht="30" x14ac:dyDescent="0.25">
      <c r="C77" s="1641" t="s">
        <v>17</v>
      </c>
      <c r="D77" s="1641" t="s">
        <v>662</v>
      </c>
      <c r="E77" s="1641" t="s">
        <v>19</v>
      </c>
      <c r="F77" s="1641" t="s">
        <v>20</v>
      </c>
      <c r="G77" s="1641" t="s">
        <v>21</v>
      </c>
      <c r="H77" s="1641" t="s">
        <v>22</v>
      </c>
      <c r="I77" s="1641" t="s">
        <v>1007</v>
      </c>
      <c r="J77" s="1641" t="s">
        <v>23</v>
      </c>
      <c r="K77" s="1641" t="s">
        <v>24</v>
      </c>
      <c r="L77" s="1641" t="s">
        <v>25</v>
      </c>
      <c r="M77" s="1641" t="s">
        <v>26</v>
      </c>
      <c r="Q77" s="785"/>
      <c r="R77" s="785"/>
      <c r="V77" s="55" t="s">
        <v>27</v>
      </c>
      <c r="W77" s="56">
        <f>$W$6</f>
        <v>43252</v>
      </c>
      <c r="X77" s="56">
        <f>$X$6</f>
        <v>43465</v>
      </c>
      <c r="Y77" s="56">
        <f>$Y$6</f>
        <v>43800</v>
      </c>
      <c r="Z77" s="56">
        <f>$Z$6</f>
        <v>43862</v>
      </c>
      <c r="AA77" s="56" t="str">
        <f>$AA$6</f>
        <v>-</v>
      </c>
      <c r="AB77" s="56" t="str">
        <f>$AB$6</f>
        <v>-</v>
      </c>
      <c r="AC77" s="56" t="str">
        <f>$AC$6</f>
        <v>-</v>
      </c>
      <c r="AD77" s="56" t="str">
        <f>$AD$6</f>
        <v>-</v>
      </c>
      <c r="AE77" s="56" t="str">
        <f>$AE$6</f>
        <v>-</v>
      </c>
      <c r="AF77" s="56" t="str">
        <f>$AF$6</f>
        <v>-</v>
      </c>
      <c r="AG77" s="56" t="str">
        <f>$AG$6</f>
        <v>-</v>
      </c>
      <c r="BB77" s="103" t="str">
        <f>$BB$6</f>
        <v>TRC (2020)</v>
      </c>
      <c r="BC77" s="103" t="str">
        <f>$BC$6</f>
        <v>Benefit Lookup</v>
      </c>
      <c r="BD77" s="334" t="str">
        <f>$BD$6</f>
        <v>Benefits (2019 $)</v>
      </c>
      <c r="BE77" s="334" t="str">
        <f>$BE$6</f>
        <v>Incremental Cost (2019 $)</v>
      </c>
    </row>
    <row r="78" spans="2:57" x14ac:dyDescent="0.25">
      <c r="C78" s="92" t="s">
        <v>1008</v>
      </c>
      <c r="D78" s="150" t="s">
        <v>939</v>
      </c>
      <c r="E78" s="1666" t="s">
        <v>1009</v>
      </c>
      <c r="F78" s="712">
        <f>ROUND(F89*(F90*F91-F92*F93)*F94*F95*F96/F97*I78*F105*F104,2)</f>
        <v>52.47</v>
      </c>
      <c r="G78" s="1699" t="s">
        <v>668</v>
      </c>
      <c r="H78" s="239">
        <f>VLOOKUP(G78,'CP FACTORS'!$A$3:$B$38, 2, FALSE)</f>
        <v>8.8731800000000003E-5</v>
      </c>
      <c r="I78" s="707">
        <f>F98*F99*(F100-F101)/(F102*F103)</f>
        <v>7.894813946674481E-2</v>
      </c>
      <c r="J78" s="153">
        <f>ROUND(F78*H78,6)</f>
        <v>4.6560000000000004E-3</v>
      </c>
      <c r="K78" s="156">
        <f>F106</f>
        <v>10</v>
      </c>
      <c r="L78" s="658">
        <f>F107</f>
        <v>3</v>
      </c>
      <c r="M78" s="1927" t="s">
        <v>37</v>
      </c>
      <c r="Q78" s="659"/>
      <c r="R78" s="1894"/>
      <c r="V78" s="245" t="str">
        <f>F77</f>
        <v>kWh Annual Savings</v>
      </c>
      <c r="W78" s="660">
        <v>45.9</v>
      </c>
      <c r="X78" s="661">
        <v>40.741488532871308</v>
      </c>
      <c r="Y78" s="163">
        <v>52.47</v>
      </c>
      <c r="Z78" s="245"/>
      <c r="AA78" s="245"/>
      <c r="AB78" s="245"/>
      <c r="AC78" s="245"/>
      <c r="AD78" s="245"/>
      <c r="AE78" s="245"/>
      <c r="AF78" s="245"/>
      <c r="AG78" s="245"/>
      <c r="AH78" s="248"/>
      <c r="BB78" s="161">
        <f t="shared" ref="BB78:BB79" si="5">(BD78)/(BE78)</f>
        <v>6.2500458119540374</v>
      </c>
      <c r="BC78" s="69" t="str">
        <f>CONCATENATE(G78," ",K78," Year EUL")</f>
        <v>Water Heating RES 10 Year EUL</v>
      </c>
      <c r="BD78" s="581">
        <f>(INDEX('Avoided Cost Benefits'!$C$4:$C$857,MATCH(BC78,'Avoided Cost Benefits'!$A$4:$A$857,0)))*F78</f>
        <v>17.697156617142152</v>
      </c>
      <c r="BE78" s="582">
        <f>L78/(1.0595^(2020-2019))</f>
        <v>2.8315243039169418</v>
      </c>
    </row>
    <row r="79" spans="2:57" x14ac:dyDescent="0.25">
      <c r="C79" s="92" t="s">
        <v>1010</v>
      </c>
      <c r="D79" s="637" t="s">
        <v>797</v>
      </c>
      <c r="E79" s="1666" t="s">
        <v>1009</v>
      </c>
      <c r="F79" s="712">
        <f>ROUND(H89*(H90*H91-H92*H93)*H94*H95*H96/H97*I79*H105*H104,2)</f>
        <v>99.45</v>
      </c>
      <c r="G79" s="1699" t="s">
        <v>668</v>
      </c>
      <c r="H79" s="239">
        <f>VLOOKUP(G79,'CP FACTORS'!$A$3:$B$38, 2, FALSE)</f>
        <v>8.8731800000000003E-5</v>
      </c>
      <c r="I79" s="707">
        <f>H98*H99*(H100-H101)/(H102*H103)</f>
        <v>7.894813946674481E-2</v>
      </c>
      <c r="J79" s="153">
        <f>ROUND(F79*H79,6)</f>
        <v>8.8240000000000002E-3</v>
      </c>
      <c r="K79" s="156">
        <f>H106</f>
        <v>10</v>
      </c>
      <c r="L79" s="658">
        <f>H107</f>
        <v>3</v>
      </c>
      <c r="M79" s="1927" t="s">
        <v>37</v>
      </c>
      <c r="Q79" s="785"/>
      <c r="R79" s="1894"/>
      <c r="V79" s="245" t="str">
        <f>V78</f>
        <v>kWh Annual Savings</v>
      </c>
      <c r="W79" s="660">
        <v>115.9</v>
      </c>
      <c r="X79" s="661">
        <v>113.15036771306985</v>
      </c>
      <c r="Y79" s="163">
        <v>99.45</v>
      </c>
      <c r="Z79" s="245"/>
      <c r="AA79" s="245"/>
      <c r="AB79" s="245"/>
      <c r="AC79" s="245"/>
      <c r="AD79" s="245"/>
      <c r="AE79" s="245"/>
      <c r="AF79" s="245"/>
      <c r="AG79" s="245"/>
      <c r="AH79" s="248"/>
      <c r="BB79" s="169">
        <f t="shared" si="5"/>
        <v>11.846141719055252</v>
      </c>
      <c r="BC79" s="73" t="str">
        <f>CONCATENATE(G79," ",K79," Year EUL")</f>
        <v>Water Heating RES 10 Year EUL</v>
      </c>
      <c r="BD79" s="586">
        <f>(INDEX('Avoided Cost Benefits'!$C$4:$C$857,MATCH(BC79,'Avoided Cost Benefits'!$A$4:$A$857,0)))*F79</f>
        <v>33.542638185149364</v>
      </c>
      <c r="BE79" s="587">
        <f>L79/(1.0595^(2020-2019))</f>
        <v>2.8315243039169418</v>
      </c>
    </row>
    <row r="80" spans="2:57" hidden="1" outlineLevel="1" x14ac:dyDescent="0.25">
      <c r="D80" s="662"/>
      <c r="E80" s="662"/>
      <c r="G80" s="1951"/>
      <c r="H80" s="1952"/>
      <c r="I80" s="1953"/>
      <c r="J80" s="1953"/>
      <c r="K80" s="1953"/>
      <c r="L80" s="1954"/>
    </row>
    <row r="81" spans="1:57" hidden="1" outlineLevel="1" x14ac:dyDescent="0.25">
      <c r="D81" s="259" t="s">
        <v>617</v>
      </c>
    </row>
    <row r="82" spans="1:57" hidden="1" outlineLevel="1" x14ac:dyDescent="0.25"/>
    <row r="83" spans="1:57" hidden="1" outlineLevel="1" x14ac:dyDescent="0.25"/>
    <row r="84" spans="1:57" hidden="1" outlineLevel="1" x14ac:dyDescent="0.25"/>
    <row r="85" spans="1:57" hidden="1" outlineLevel="1" x14ac:dyDescent="0.25"/>
    <row r="86" spans="1:57" hidden="1" outlineLevel="1" x14ac:dyDescent="0.25"/>
    <row r="87" spans="1:57" hidden="1" outlineLevel="1" x14ac:dyDescent="0.25">
      <c r="M87" s="698"/>
      <c r="N87" s="698"/>
      <c r="O87" s="698"/>
      <c r="P87" s="698"/>
      <c r="Q87" s="698"/>
      <c r="V87" s="55" t="s">
        <v>27</v>
      </c>
      <c r="W87" s="56">
        <f>$W$6</f>
        <v>43252</v>
      </c>
      <c r="X87" s="56">
        <f>$X$6</f>
        <v>43465</v>
      </c>
      <c r="Y87" s="56">
        <f>$Y$6</f>
        <v>43800</v>
      </c>
      <c r="Z87" s="56">
        <f>$Z$6</f>
        <v>43862</v>
      </c>
      <c r="AA87" s="56" t="str">
        <f>$AA$6</f>
        <v>-</v>
      </c>
      <c r="AB87" s="56" t="str">
        <f>$AB$6</f>
        <v>-</v>
      </c>
      <c r="AC87" s="56" t="str">
        <f>$AC$6</f>
        <v>-</v>
      </c>
      <c r="AD87" s="56" t="str">
        <f>$AD$6</f>
        <v>-</v>
      </c>
      <c r="AE87" s="56" t="str">
        <f>$AE$6</f>
        <v>-</v>
      </c>
      <c r="AF87" s="56" t="str">
        <f>$AF$6</f>
        <v>-</v>
      </c>
      <c r="AG87" s="56" t="str">
        <f>$AG$6</f>
        <v>-</v>
      </c>
      <c r="AH87" s="663"/>
      <c r="AI87" s="56">
        <f>$W$6</f>
        <v>43252</v>
      </c>
      <c r="AJ87" s="56">
        <f>$X$6</f>
        <v>43465</v>
      </c>
      <c r="AK87" s="56">
        <f>$Y$6</f>
        <v>43800</v>
      </c>
      <c r="AL87" s="56">
        <f>$Z$6</f>
        <v>43862</v>
      </c>
      <c r="AM87" s="56" t="str">
        <f>$AA$6</f>
        <v>-</v>
      </c>
      <c r="AN87" s="56" t="str">
        <f>$AB$6</f>
        <v>-</v>
      </c>
      <c r="AO87" s="56" t="str">
        <f>$AC$6</f>
        <v>-</v>
      </c>
      <c r="AP87" s="56" t="str">
        <f>$AD$6</f>
        <v>-</v>
      </c>
      <c r="AQ87" s="56" t="str">
        <f>$AE$6</f>
        <v>-</v>
      </c>
      <c r="AR87" s="56" t="str">
        <f>$AF$6</f>
        <v>-</v>
      </c>
      <c r="AS87" s="56" t="str">
        <f>$AG$6</f>
        <v>-</v>
      </c>
    </row>
    <row r="88" spans="1:57" ht="15" hidden="1" customHeight="1" outlineLevel="1" x14ac:dyDescent="0.25">
      <c r="D88" s="1701" t="s">
        <v>618</v>
      </c>
      <c r="E88" s="1701" t="s">
        <v>619</v>
      </c>
      <c r="F88" s="1641" t="s">
        <v>974</v>
      </c>
      <c r="G88" s="1641" t="s">
        <v>975</v>
      </c>
      <c r="H88" s="1641" t="s">
        <v>976</v>
      </c>
      <c r="I88" s="1641" t="s">
        <v>977</v>
      </c>
      <c r="J88" s="2722" t="s">
        <v>621</v>
      </c>
      <c r="K88" s="2723"/>
      <c r="M88" s="664"/>
      <c r="N88" s="664"/>
      <c r="O88" s="664"/>
      <c r="P88" s="664"/>
      <c r="Q88" s="698"/>
      <c r="V88" s="79"/>
      <c r="W88" s="80" t="s">
        <v>974</v>
      </c>
      <c r="X88" s="80" t="s">
        <v>974</v>
      </c>
      <c r="Y88" s="80" t="s">
        <v>974</v>
      </c>
      <c r="Z88" s="80" t="s">
        <v>974</v>
      </c>
      <c r="AA88" s="80" t="s">
        <v>974</v>
      </c>
      <c r="AB88" s="80" t="s">
        <v>974</v>
      </c>
      <c r="AC88" s="80" t="s">
        <v>974</v>
      </c>
      <c r="AD88" s="80" t="s">
        <v>974</v>
      </c>
      <c r="AE88" s="80" t="s">
        <v>974</v>
      </c>
      <c r="AF88" s="80" t="s">
        <v>974</v>
      </c>
      <c r="AG88" s="80" t="s">
        <v>974</v>
      </c>
      <c r="AH88" s="177"/>
      <c r="AI88" s="80" t="s">
        <v>976</v>
      </c>
      <c r="AJ88" s="80" t="s">
        <v>976</v>
      </c>
      <c r="AK88" s="80" t="s">
        <v>976</v>
      </c>
      <c r="AL88" s="80" t="s">
        <v>976</v>
      </c>
      <c r="AM88" s="80" t="s">
        <v>976</v>
      </c>
      <c r="AN88" s="80" t="s">
        <v>976</v>
      </c>
      <c r="AO88" s="80" t="s">
        <v>976</v>
      </c>
      <c r="AP88" s="80" t="s">
        <v>976</v>
      </c>
      <c r="AQ88" s="80" t="s">
        <v>976</v>
      </c>
      <c r="AR88" s="80" t="s">
        <v>976</v>
      </c>
      <c r="AS88" s="80" t="s">
        <v>976</v>
      </c>
    </row>
    <row r="89" spans="1:57" ht="49.5" hidden="1" customHeight="1" outlineLevel="1" x14ac:dyDescent="0.25">
      <c r="C89" s="1955"/>
      <c r="D89" s="1642" t="s">
        <v>1011</v>
      </c>
      <c r="E89" s="1642" t="s">
        <v>1012</v>
      </c>
      <c r="F89" s="665">
        <v>0.46360000000000001</v>
      </c>
      <c r="G89" s="1642" t="s">
        <v>1013</v>
      </c>
      <c r="H89" s="665">
        <v>1</v>
      </c>
      <c r="I89" s="1680" t="s">
        <v>1014</v>
      </c>
      <c r="J89" s="2724"/>
      <c r="K89" s="2725"/>
      <c r="M89" s="720"/>
      <c r="N89" s="720"/>
      <c r="O89" s="720"/>
      <c r="P89" s="720"/>
      <c r="Q89" s="698"/>
      <c r="V89" s="630" t="s">
        <v>1011</v>
      </c>
      <c r="W89" s="667">
        <v>0.4</v>
      </c>
      <c r="X89" s="668">
        <v>0.34429999999999999</v>
      </c>
      <c r="Y89" s="668">
        <v>0.46360000000000001</v>
      </c>
      <c r="Z89" s="667"/>
      <c r="AA89" s="667"/>
      <c r="AB89" s="667"/>
      <c r="AC89" s="667"/>
      <c r="AD89" s="667"/>
      <c r="AE89" s="667"/>
      <c r="AF89" s="667"/>
      <c r="AG89" s="667"/>
      <c r="AI89" s="667">
        <v>1</v>
      </c>
      <c r="AJ89" s="666">
        <v>1</v>
      </c>
      <c r="AK89" s="668">
        <v>1</v>
      </c>
      <c r="AL89" s="667"/>
      <c r="AM89" s="667"/>
      <c r="AN89" s="667"/>
      <c r="AO89" s="667"/>
      <c r="AP89" s="667"/>
      <c r="AQ89" s="667"/>
      <c r="AR89" s="667"/>
      <c r="AS89" s="667"/>
    </row>
    <row r="90" spans="1:57" ht="15" hidden="1" customHeight="1" outlineLevel="1" x14ac:dyDescent="0.25">
      <c r="C90" s="1955"/>
      <c r="D90" s="1642" t="s">
        <v>1015</v>
      </c>
      <c r="E90" s="1642" t="s">
        <v>1016</v>
      </c>
      <c r="F90" s="61">
        <v>2.2000000000000002</v>
      </c>
      <c r="G90" s="1642" t="s">
        <v>1017</v>
      </c>
      <c r="H90" s="61">
        <v>2.2000000000000002</v>
      </c>
      <c r="I90" s="1642" t="s">
        <v>1017</v>
      </c>
      <c r="J90" s="2720"/>
      <c r="K90" s="2721"/>
      <c r="M90" s="664"/>
      <c r="N90" s="664"/>
      <c r="O90" s="664"/>
      <c r="P90" s="664"/>
      <c r="Q90" s="698"/>
      <c r="V90" s="630" t="s">
        <v>1015</v>
      </c>
      <c r="W90" s="657">
        <v>2.2000000000000002</v>
      </c>
      <c r="X90" s="669">
        <v>2.2000000000000002</v>
      </c>
      <c r="Y90" s="61">
        <v>2.2000000000000002</v>
      </c>
      <c r="Z90" s="657"/>
      <c r="AA90" s="657"/>
      <c r="AB90" s="657"/>
      <c r="AC90" s="657"/>
      <c r="AD90" s="657"/>
      <c r="AE90" s="657"/>
      <c r="AF90" s="657"/>
      <c r="AG90" s="657"/>
      <c r="AI90" s="657">
        <v>2.2000000000000002</v>
      </c>
      <c r="AJ90" s="61">
        <v>2.2000000000000002</v>
      </c>
      <c r="AK90" s="61">
        <v>2.2000000000000002</v>
      </c>
      <c r="AL90" s="657"/>
      <c r="AM90" s="657"/>
      <c r="AN90" s="657"/>
      <c r="AO90" s="657"/>
      <c r="AP90" s="657"/>
      <c r="AQ90" s="657"/>
      <c r="AR90" s="657"/>
      <c r="AS90" s="657"/>
    </row>
    <row r="91" spans="1:57" ht="30" hidden="1" customHeight="1" outlineLevel="1" x14ac:dyDescent="0.25">
      <c r="C91" s="1955"/>
      <c r="D91" s="1642" t="s">
        <v>1018</v>
      </c>
      <c r="E91" s="1642" t="s">
        <v>1019</v>
      </c>
      <c r="F91" s="670">
        <v>4.5</v>
      </c>
      <c r="G91" s="1642" t="s">
        <v>1020</v>
      </c>
      <c r="H91" s="670">
        <v>3.7</v>
      </c>
      <c r="I91" s="1642" t="s">
        <v>1021</v>
      </c>
      <c r="J91" s="2720"/>
      <c r="K91" s="2721"/>
      <c r="M91" s="625"/>
      <c r="N91" s="1956"/>
      <c r="O91" s="664"/>
      <c r="P91" s="664"/>
      <c r="Q91" s="698"/>
      <c r="V91" s="630" t="s">
        <v>1018</v>
      </c>
      <c r="W91" s="638">
        <v>4.5</v>
      </c>
      <c r="X91" s="671">
        <v>4.5</v>
      </c>
      <c r="Y91" s="670">
        <v>4.5</v>
      </c>
      <c r="Z91" s="638"/>
      <c r="AA91" s="638"/>
      <c r="AB91" s="638"/>
      <c r="AC91" s="638"/>
      <c r="AD91" s="638"/>
      <c r="AE91" s="638"/>
      <c r="AF91" s="638"/>
      <c r="AG91" s="638"/>
      <c r="AI91" s="657">
        <v>3.7</v>
      </c>
      <c r="AJ91" s="670">
        <v>3.7</v>
      </c>
      <c r="AK91" s="670">
        <v>3.7</v>
      </c>
      <c r="AL91" s="657"/>
      <c r="AM91" s="657"/>
      <c r="AN91" s="657"/>
      <c r="AO91" s="657"/>
      <c r="AP91" s="657"/>
      <c r="AQ91" s="657"/>
      <c r="AR91" s="657"/>
      <c r="AS91" s="657"/>
    </row>
    <row r="92" spans="1:57" s="624" customFormat="1" ht="15" hidden="1" customHeight="1" outlineLevel="1" x14ac:dyDescent="0.25">
      <c r="A92" s="763"/>
      <c r="B92" s="763"/>
      <c r="C92" s="1955"/>
      <c r="D92" s="1642" t="s">
        <v>1022</v>
      </c>
      <c r="E92" s="1642" t="s">
        <v>1023</v>
      </c>
      <c r="F92" s="670">
        <v>1.5</v>
      </c>
      <c r="G92" s="1642" t="s">
        <v>509</v>
      </c>
      <c r="H92" s="670">
        <v>1.5</v>
      </c>
      <c r="I92" s="1642" t="s">
        <v>509</v>
      </c>
      <c r="J92" s="2720"/>
      <c r="K92" s="2721"/>
      <c r="L92" s="177"/>
      <c r="M92" s="625"/>
      <c r="N92" s="625"/>
      <c r="O92" s="625"/>
      <c r="P92" s="625"/>
      <c r="Q92" s="718"/>
      <c r="R92" s="763"/>
      <c r="S92" s="763"/>
      <c r="T92" s="763"/>
      <c r="U92" s="763"/>
      <c r="V92" s="630" t="s">
        <v>1022</v>
      </c>
      <c r="W92" s="638">
        <v>1.5</v>
      </c>
      <c r="X92" s="671">
        <v>1.5</v>
      </c>
      <c r="Y92" s="637">
        <v>1.5</v>
      </c>
      <c r="Z92" s="638"/>
      <c r="AA92" s="638"/>
      <c r="AB92" s="638"/>
      <c r="AC92" s="638"/>
      <c r="AD92" s="638"/>
      <c r="AE92" s="638"/>
      <c r="AF92" s="638"/>
      <c r="AG92" s="638"/>
      <c r="AI92" s="638">
        <v>1.5</v>
      </c>
      <c r="AJ92" s="670">
        <v>1.5</v>
      </c>
      <c r="AK92" s="670">
        <v>1.5</v>
      </c>
      <c r="AL92" s="638"/>
      <c r="AM92" s="638"/>
      <c r="AN92" s="638"/>
      <c r="AO92" s="638"/>
      <c r="AP92" s="638"/>
      <c r="AQ92" s="638"/>
      <c r="AR92" s="638"/>
      <c r="AS92" s="638"/>
      <c r="BD92" s="1"/>
      <c r="BE92" s="1"/>
    </row>
    <row r="93" spans="1:57" ht="30" hidden="1" customHeight="1" outlineLevel="1" x14ac:dyDescent="0.25">
      <c r="C93" s="1955"/>
      <c r="D93" s="1642" t="s">
        <v>1024</v>
      </c>
      <c r="E93" s="1642" t="s">
        <v>1025</v>
      </c>
      <c r="F93" s="670">
        <v>4.5</v>
      </c>
      <c r="G93" s="1642" t="s">
        <v>1020</v>
      </c>
      <c r="H93" s="670">
        <v>3.7</v>
      </c>
      <c r="I93" s="1642" t="s">
        <v>1021</v>
      </c>
      <c r="J93" s="2720"/>
      <c r="K93" s="2721"/>
      <c r="M93" s="625"/>
      <c r="N93" s="664"/>
      <c r="O93" s="664"/>
      <c r="P93" s="664"/>
      <c r="Q93" s="698"/>
      <c r="V93" s="630" t="s">
        <v>1024</v>
      </c>
      <c r="W93" s="638">
        <v>4.5</v>
      </c>
      <c r="X93" s="671">
        <v>4.5</v>
      </c>
      <c r="Y93" s="637">
        <v>4.5</v>
      </c>
      <c r="Z93" s="638"/>
      <c r="AA93" s="638"/>
      <c r="AB93" s="638"/>
      <c r="AC93" s="638"/>
      <c r="AD93" s="638"/>
      <c r="AE93" s="638"/>
      <c r="AF93" s="638"/>
      <c r="AG93" s="638"/>
      <c r="AI93" s="657">
        <v>3.7</v>
      </c>
      <c r="AJ93" s="670">
        <v>3.7</v>
      </c>
      <c r="AK93" s="672">
        <v>3.7</v>
      </c>
      <c r="AL93" s="657"/>
      <c r="AM93" s="657"/>
      <c r="AN93" s="657"/>
      <c r="AO93" s="657"/>
      <c r="AP93" s="657"/>
      <c r="AQ93" s="657"/>
      <c r="AR93" s="657"/>
      <c r="AS93" s="657"/>
    </row>
    <row r="94" spans="1:57" ht="46.5" hidden="1" customHeight="1" outlineLevel="1" x14ac:dyDescent="0.25">
      <c r="C94" s="1955"/>
      <c r="D94" s="1642" t="s">
        <v>683</v>
      </c>
      <c r="E94" s="1642" t="s">
        <v>1026</v>
      </c>
      <c r="F94" s="673">
        <v>4.2329545454545459</v>
      </c>
      <c r="G94" s="1642" t="s">
        <v>1013</v>
      </c>
      <c r="H94" s="673">
        <v>1.7767584097859328</v>
      </c>
      <c r="I94" s="1642" t="s">
        <v>1027</v>
      </c>
      <c r="J94" s="2720"/>
      <c r="K94" s="2721"/>
      <c r="M94" s="1957"/>
      <c r="N94" s="664"/>
      <c r="O94" s="664"/>
      <c r="P94" s="664"/>
      <c r="Q94" s="698"/>
      <c r="V94" s="630" t="s">
        <v>683</v>
      </c>
      <c r="W94" s="674">
        <v>4.3185840707964598</v>
      </c>
      <c r="X94" s="675">
        <v>4.2926829268292686</v>
      </c>
      <c r="Y94" s="676">
        <v>4.2329545454545459</v>
      </c>
      <c r="Z94" s="674"/>
      <c r="AA94" s="674"/>
      <c r="AB94" s="674"/>
      <c r="AC94" s="674"/>
      <c r="AD94" s="674"/>
      <c r="AE94" s="674"/>
      <c r="AF94" s="674"/>
      <c r="AG94" s="674"/>
      <c r="AI94" s="657">
        <v>2.0699999999999998</v>
      </c>
      <c r="AJ94" s="675">
        <v>2.0214368482039395</v>
      </c>
      <c r="AK94" s="677">
        <v>1.7767584097859328</v>
      </c>
      <c r="AL94" s="657"/>
      <c r="AM94" s="657"/>
      <c r="AN94" s="657"/>
      <c r="AO94" s="657"/>
      <c r="AP94" s="657"/>
      <c r="AQ94" s="657"/>
      <c r="AR94" s="657"/>
      <c r="AS94" s="657"/>
    </row>
    <row r="95" spans="1:57" ht="117.75" hidden="1" customHeight="1" outlineLevel="1" x14ac:dyDescent="0.25">
      <c r="C95" s="1955"/>
      <c r="D95" s="633" t="s">
        <v>1028</v>
      </c>
      <c r="E95" s="1642" t="s">
        <v>1029</v>
      </c>
      <c r="F95" s="61">
        <v>0.75</v>
      </c>
      <c r="G95" s="1642" t="s">
        <v>1030</v>
      </c>
      <c r="H95" s="1699">
        <v>0.75</v>
      </c>
      <c r="I95" s="1642" t="s">
        <v>1030</v>
      </c>
      <c r="J95" s="2720"/>
      <c r="K95" s="2721"/>
      <c r="M95" s="664"/>
      <c r="N95" s="664"/>
      <c r="O95" s="664"/>
      <c r="P95" s="664"/>
      <c r="Q95" s="698"/>
      <c r="V95" s="635" t="s">
        <v>1028</v>
      </c>
      <c r="W95" s="678">
        <v>0.75</v>
      </c>
      <c r="X95" s="669">
        <v>0.75</v>
      </c>
      <c r="Y95" s="61">
        <v>0.75</v>
      </c>
      <c r="Z95" s="678"/>
      <c r="AA95" s="678"/>
      <c r="AB95" s="678"/>
      <c r="AC95" s="678"/>
      <c r="AD95" s="678"/>
      <c r="AE95" s="678"/>
      <c r="AF95" s="678"/>
      <c r="AG95" s="678"/>
      <c r="AI95" s="678">
        <v>0.75</v>
      </c>
      <c r="AJ95" s="669">
        <v>0.75</v>
      </c>
      <c r="AK95" s="61">
        <v>0.75</v>
      </c>
      <c r="AL95" s="678"/>
      <c r="AM95" s="678"/>
      <c r="AN95" s="678"/>
      <c r="AO95" s="678"/>
      <c r="AP95" s="678"/>
      <c r="AQ95" s="678"/>
      <c r="AR95" s="678"/>
      <c r="AS95" s="678"/>
    </row>
    <row r="96" spans="1:57" ht="15" hidden="1" customHeight="1" outlineLevel="1" x14ac:dyDescent="0.25">
      <c r="C96" s="1955"/>
      <c r="D96" s="633">
        <v>365.25</v>
      </c>
      <c r="E96" s="1642" t="s">
        <v>235</v>
      </c>
      <c r="F96" s="670">
        <v>365</v>
      </c>
      <c r="G96" s="1642" t="s">
        <v>992</v>
      </c>
      <c r="H96" s="515">
        <v>365</v>
      </c>
      <c r="I96" s="1642"/>
      <c r="J96" s="2720"/>
      <c r="K96" s="2721"/>
      <c r="M96" s="625"/>
      <c r="N96" s="664"/>
      <c r="O96" s="664"/>
      <c r="P96" s="664"/>
      <c r="Q96" s="698"/>
      <c r="V96" s="635">
        <v>365.25</v>
      </c>
      <c r="W96" s="638">
        <v>365</v>
      </c>
      <c r="X96" s="671">
        <v>365</v>
      </c>
      <c r="Y96" s="489">
        <v>365</v>
      </c>
      <c r="Z96" s="638"/>
      <c r="AA96" s="638"/>
      <c r="AB96" s="638"/>
      <c r="AC96" s="638"/>
      <c r="AD96" s="638"/>
      <c r="AE96" s="638"/>
      <c r="AF96" s="638"/>
      <c r="AG96" s="638"/>
      <c r="AI96" s="678">
        <v>365</v>
      </c>
      <c r="AJ96" s="671">
        <v>365</v>
      </c>
      <c r="AK96" s="670">
        <v>365</v>
      </c>
      <c r="AL96" s="678"/>
      <c r="AM96" s="678"/>
      <c r="AN96" s="678"/>
      <c r="AO96" s="678"/>
      <c r="AP96" s="678"/>
      <c r="AQ96" s="678"/>
      <c r="AR96" s="678"/>
      <c r="AS96" s="678"/>
    </row>
    <row r="97" spans="1:57" ht="39.75" hidden="1" customHeight="1" outlineLevel="1" x14ac:dyDescent="0.25">
      <c r="C97" s="1955"/>
      <c r="D97" s="633" t="s">
        <v>1031</v>
      </c>
      <c r="E97" s="1642" t="s">
        <v>1032</v>
      </c>
      <c r="F97" s="679">
        <v>1.1875</v>
      </c>
      <c r="G97" s="1642" t="s">
        <v>1013</v>
      </c>
      <c r="H97" s="680">
        <v>1</v>
      </c>
      <c r="I97" s="1680" t="s">
        <v>1014</v>
      </c>
      <c r="J97" s="2720"/>
      <c r="K97" s="2721"/>
      <c r="M97" s="1958"/>
      <c r="N97" s="1959"/>
      <c r="O97" s="1960"/>
      <c r="P97" s="1960"/>
      <c r="Q97" s="698"/>
      <c r="V97" s="635" t="s">
        <v>1031</v>
      </c>
      <c r="W97" s="681">
        <v>1.1754385964912279</v>
      </c>
      <c r="X97" s="682">
        <v>1.1754385964912279</v>
      </c>
      <c r="Y97" s="683">
        <v>1.1875</v>
      </c>
      <c r="Z97" s="681"/>
      <c r="AA97" s="681"/>
      <c r="AB97" s="681"/>
      <c r="AC97" s="681"/>
      <c r="AD97" s="681"/>
      <c r="AE97" s="681"/>
      <c r="AF97" s="681"/>
      <c r="AG97" s="681"/>
      <c r="AI97" s="684">
        <v>1</v>
      </c>
      <c r="AJ97" s="682">
        <v>1</v>
      </c>
      <c r="AK97" s="679">
        <v>1</v>
      </c>
      <c r="AL97" s="684"/>
      <c r="AM97" s="684"/>
      <c r="AN97" s="684"/>
      <c r="AO97" s="684"/>
      <c r="AP97" s="684"/>
      <c r="AQ97" s="684"/>
      <c r="AR97" s="684"/>
      <c r="AS97" s="684"/>
    </row>
    <row r="98" spans="1:57" ht="15" hidden="1" customHeight="1" outlineLevel="1" x14ac:dyDescent="0.25">
      <c r="C98" s="1955"/>
      <c r="D98" s="633">
        <v>8.33</v>
      </c>
      <c r="E98" s="1680" t="s">
        <v>1033</v>
      </c>
      <c r="F98" s="61">
        <v>8.33</v>
      </c>
      <c r="G98" s="1680" t="s">
        <v>1034</v>
      </c>
      <c r="H98" s="1699">
        <v>8.33</v>
      </c>
      <c r="I98" s="1680" t="s">
        <v>1034</v>
      </c>
      <c r="J98" s="2720"/>
      <c r="K98" s="2721"/>
      <c r="M98" s="664"/>
      <c r="N98" s="664"/>
      <c r="O98" s="664"/>
      <c r="P98" s="664"/>
      <c r="Q98" s="698"/>
      <c r="V98" s="635">
        <v>8.33</v>
      </c>
      <c r="W98" s="678">
        <v>8.33</v>
      </c>
      <c r="X98" s="669">
        <v>8.33</v>
      </c>
      <c r="Y98" s="143">
        <v>8.33</v>
      </c>
      <c r="Z98" s="678"/>
      <c r="AA98" s="678"/>
      <c r="AB98" s="678"/>
      <c r="AC98" s="678"/>
      <c r="AD98" s="678"/>
      <c r="AE98" s="678"/>
      <c r="AF98" s="678"/>
      <c r="AG98" s="678"/>
      <c r="AI98" s="678">
        <v>8.33</v>
      </c>
      <c r="AJ98" s="669">
        <v>8.33</v>
      </c>
      <c r="AK98" s="61">
        <v>8.33</v>
      </c>
      <c r="AL98" s="678"/>
      <c r="AM98" s="678"/>
      <c r="AN98" s="678"/>
      <c r="AO98" s="678"/>
      <c r="AP98" s="678"/>
      <c r="AQ98" s="678"/>
      <c r="AR98" s="678"/>
      <c r="AS98" s="678"/>
    </row>
    <row r="99" spans="1:57" ht="39.75" hidden="1" customHeight="1" outlineLevel="1" x14ac:dyDescent="0.25">
      <c r="C99" s="1955"/>
      <c r="D99" s="633">
        <v>1</v>
      </c>
      <c r="E99" s="1642" t="s">
        <v>1035</v>
      </c>
      <c r="F99" s="61">
        <v>1</v>
      </c>
      <c r="G99" s="1642" t="s">
        <v>1036</v>
      </c>
      <c r="H99" s="1699">
        <v>1</v>
      </c>
      <c r="I99" s="1642" t="s">
        <v>1036</v>
      </c>
      <c r="J99" s="2720"/>
      <c r="K99" s="2721"/>
      <c r="M99" s="664"/>
      <c r="N99" s="727"/>
      <c r="O99" s="727"/>
      <c r="P99" s="727"/>
      <c r="Q99" s="698"/>
      <c r="V99" s="635">
        <v>1</v>
      </c>
      <c r="W99" s="678">
        <v>1</v>
      </c>
      <c r="X99" s="669">
        <v>1</v>
      </c>
      <c r="Y99" s="61">
        <v>1</v>
      </c>
      <c r="Z99" s="678"/>
      <c r="AA99" s="678"/>
      <c r="AB99" s="678"/>
      <c r="AC99" s="678"/>
      <c r="AD99" s="678"/>
      <c r="AE99" s="678"/>
      <c r="AF99" s="678"/>
      <c r="AG99" s="678"/>
      <c r="AI99" s="460">
        <v>1</v>
      </c>
      <c r="AJ99" s="669">
        <v>1</v>
      </c>
      <c r="AK99" s="61">
        <v>1</v>
      </c>
      <c r="AL99" s="460"/>
      <c r="AM99" s="460"/>
      <c r="AN99" s="460"/>
      <c r="AO99" s="460"/>
      <c r="AP99" s="460"/>
      <c r="AQ99" s="460"/>
      <c r="AR99" s="460"/>
      <c r="AS99" s="460"/>
    </row>
    <row r="100" spans="1:57" ht="84.75" hidden="1" customHeight="1" outlineLevel="1" x14ac:dyDescent="0.25">
      <c r="C100" s="1955"/>
      <c r="D100" s="1642" t="s">
        <v>1037</v>
      </c>
      <c r="E100" s="1642" t="s">
        <v>1038</v>
      </c>
      <c r="F100" s="670">
        <v>93</v>
      </c>
      <c r="G100" s="1642" t="s">
        <v>1039</v>
      </c>
      <c r="H100" s="515">
        <v>93</v>
      </c>
      <c r="I100" s="1642" t="s">
        <v>1039</v>
      </c>
      <c r="J100" s="2720"/>
      <c r="K100" s="2721"/>
      <c r="M100" s="625"/>
      <c r="N100" s="664"/>
      <c r="O100" s="664"/>
      <c r="P100" s="664"/>
      <c r="Q100" s="698"/>
      <c r="V100" s="630" t="s">
        <v>1037</v>
      </c>
      <c r="W100" s="638">
        <v>93</v>
      </c>
      <c r="X100" s="670">
        <v>93</v>
      </c>
      <c r="Y100" s="670">
        <v>93</v>
      </c>
      <c r="Z100" s="638"/>
      <c r="AA100" s="638"/>
      <c r="AB100" s="638"/>
      <c r="AC100" s="638"/>
      <c r="AD100" s="638"/>
      <c r="AE100" s="638"/>
      <c r="AF100" s="638"/>
      <c r="AG100" s="638"/>
      <c r="AI100" s="678">
        <v>93</v>
      </c>
      <c r="AJ100" s="671">
        <v>93</v>
      </c>
      <c r="AK100" s="670">
        <v>93</v>
      </c>
      <c r="AL100" s="678"/>
      <c r="AM100" s="678"/>
      <c r="AN100" s="678"/>
      <c r="AO100" s="678"/>
      <c r="AP100" s="678"/>
      <c r="AQ100" s="678"/>
      <c r="AR100" s="678"/>
      <c r="AS100" s="678"/>
    </row>
    <row r="101" spans="1:57" s="624" customFormat="1" ht="75" hidden="1" outlineLevel="1" x14ac:dyDescent="0.25">
      <c r="A101" s="763"/>
      <c r="B101" s="763"/>
      <c r="C101" s="1955"/>
      <c r="D101" s="1642" t="s">
        <v>1040</v>
      </c>
      <c r="E101" s="1642" t="s">
        <v>1041</v>
      </c>
      <c r="F101" s="670">
        <v>61.3</v>
      </c>
      <c r="G101" s="1642" t="s">
        <v>1042</v>
      </c>
      <c r="H101" s="515">
        <v>61.3</v>
      </c>
      <c r="I101" s="1642" t="s">
        <v>1042</v>
      </c>
      <c r="J101" s="2720"/>
      <c r="K101" s="2721"/>
      <c r="L101" s="177"/>
      <c r="M101" s="625"/>
      <c r="N101" s="664"/>
      <c r="O101" s="664"/>
      <c r="P101" s="664"/>
      <c r="Q101" s="718"/>
      <c r="R101" s="763"/>
      <c r="S101" s="763"/>
      <c r="T101" s="763"/>
      <c r="U101" s="763"/>
      <c r="V101" s="630" t="s">
        <v>1040</v>
      </c>
      <c r="W101" s="638">
        <v>61.3</v>
      </c>
      <c r="X101" s="670">
        <v>61.3</v>
      </c>
      <c r="Y101" s="670">
        <v>61.3</v>
      </c>
      <c r="Z101" s="638"/>
      <c r="AA101" s="638"/>
      <c r="AB101" s="638"/>
      <c r="AC101" s="638"/>
      <c r="AD101" s="638"/>
      <c r="AE101" s="638"/>
      <c r="AF101" s="638"/>
      <c r="AG101" s="638"/>
      <c r="AI101" s="678">
        <v>61.3</v>
      </c>
      <c r="AJ101" s="671">
        <v>61.3</v>
      </c>
      <c r="AK101" s="670">
        <v>61.3</v>
      </c>
      <c r="AL101" s="678"/>
      <c r="AM101" s="678"/>
      <c r="AN101" s="678"/>
      <c r="AO101" s="678"/>
      <c r="AP101" s="678"/>
      <c r="AQ101" s="678"/>
      <c r="AR101" s="678"/>
      <c r="AS101" s="678"/>
      <c r="BD101" s="1"/>
      <c r="BE101" s="1"/>
    </row>
    <row r="102" spans="1:57" s="624" customFormat="1" ht="45" hidden="1" customHeight="1" outlineLevel="1" x14ac:dyDescent="0.25">
      <c r="A102" s="763"/>
      <c r="B102" s="763"/>
      <c r="C102" s="1955"/>
      <c r="D102" s="1642" t="s">
        <v>1043</v>
      </c>
      <c r="E102" s="1642" t="s">
        <v>1044</v>
      </c>
      <c r="F102" s="61">
        <v>0.98</v>
      </c>
      <c r="G102" s="1680" t="s">
        <v>1045</v>
      </c>
      <c r="H102" s="1699">
        <v>0.98</v>
      </c>
      <c r="I102" s="1680" t="s">
        <v>1045</v>
      </c>
      <c r="J102" s="2720"/>
      <c r="K102" s="2721"/>
      <c r="L102" s="177"/>
      <c r="M102" s="664"/>
      <c r="N102" s="664"/>
      <c r="O102" s="664"/>
      <c r="P102" s="664"/>
      <c r="Q102" s="718"/>
      <c r="R102" s="763"/>
      <c r="S102" s="763"/>
      <c r="T102" s="763"/>
      <c r="U102" s="763"/>
      <c r="V102" s="630" t="s">
        <v>1043</v>
      </c>
      <c r="W102" s="678">
        <v>0.98</v>
      </c>
      <c r="X102" s="669">
        <v>0.98</v>
      </c>
      <c r="Y102" s="143">
        <v>0.98</v>
      </c>
      <c r="Z102" s="678"/>
      <c r="AA102" s="678"/>
      <c r="AB102" s="678"/>
      <c r="AC102" s="678"/>
      <c r="AD102" s="678"/>
      <c r="AE102" s="678"/>
      <c r="AF102" s="678"/>
      <c r="AG102" s="678"/>
      <c r="AI102" s="678">
        <v>0.98</v>
      </c>
      <c r="AJ102" s="669">
        <v>0.98</v>
      </c>
      <c r="AK102" s="61">
        <v>0.98</v>
      </c>
      <c r="AL102" s="678"/>
      <c r="AM102" s="678"/>
      <c r="AN102" s="678"/>
      <c r="AO102" s="678"/>
      <c r="AP102" s="678"/>
      <c r="AQ102" s="678"/>
      <c r="AR102" s="678"/>
      <c r="AS102" s="678"/>
      <c r="BD102" s="1"/>
      <c r="BE102" s="1"/>
    </row>
    <row r="103" spans="1:57" s="624" customFormat="1" ht="30" hidden="1" customHeight="1" outlineLevel="1" x14ac:dyDescent="0.25">
      <c r="A103" s="763"/>
      <c r="B103" s="763"/>
      <c r="C103" s="1955"/>
      <c r="D103" s="1642">
        <v>3412</v>
      </c>
      <c r="E103" s="1680" t="s">
        <v>1046</v>
      </c>
      <c r="F103" s="685">
        <v>3413</v>
      </c>
      <c r="G103" s="1680" t="s">
        <v>701</v>
      </c>
      <c r="H103" s="686">
        <v>3413</v>
      </c>
      <c r="I103" s="1680" t="s">
        <v>701</v>
      </c>
      <c r="J103" s="2720"/>
      <c r="K103" s="2721"/>
      <c r="L103" s="177"/>
      <c r="M103" s="731"/>
      <c r="N103" s="664"/>
      <c r="O103" s="731"/>
      <c r="P103" s="664"/>
      <c r="Q103" s="718"/>
      <c r="R103" s="763"/>
      <c r="S103" s="763"/>
      <c r="T103" s="763"/>
      <c r="U103" s="763"/>
      <c r="V103" s="630">
        <v>3412</v>
      </c>
      <c r="W103" s="687">
        <v>3413</v>
      </c>
      <c r="X103" s="688">
        <v>3413</v>
      </c>
      <c r="Y103" s="689">
        <v>3413</v>
      </c>
      <c r="Z103" s="687"/>
      <c r="AA103" s="687"/>
      <c r="AB103" s="687"/>
      <c r="AC103" s="687"/>
      <c r="AD103" s="687"/>
      <c r="AE103" s="687"/>
      <c r="AF103" s="687"/>
      <c r="AG103" s="687"/>
      <c r="AI103" s="687">
        <v>3413</v>
      </c>
      <c r="AJ103" s="688">
        <v>3413</v>
      </c>
      <c r="AK103" s="685">
        <v>3413</v>
      </c>
      <c r="AL103" s="687"/>
      <c r="AM103" s="687"/>
      <c r="AN103" s="687"/>
      <c r="AO103" s="687"/>
      <c r="AP103" s="687"/>
      <c r="AQ103" s="687"/>
      <c r="AR103" s="687"/>
      <c r="AS103" s="687"/>
      <c r="BD103" s="1"/>
      <c r="BE103" s="1"/>
    </row>
    <row r="104" spans="1:57" s="624" customFormat="1" ht="15" hidden="1" customHeight="1" outlineLevel="1" x14ac:dyDescent="0.25">
      <c r="A104" s="763"/>
      <c r="B104" s="763"/>
      <c r="C104" s="1955"/>
      <c r="D104" s="1642" t="s">
        <v>956</v>
      </c>
      <c r="E104" s="1642" t="s">
        <v>1001</v>
      </c>
      <c r="F104" s="690">
        <v>0.91869999999999996</v>
      </c>
      <c r="G104" s="1642" t="s">
        <v>1013</v>
      </c>
      <c r="H104" s="691">
        <v>1</v>
      </c>
      <c r="I104" s="1680" t="s">
        <v>1014</v>
      </c>
      <c r="J104" s="2720"/>
      <c r="K104" s="2721"/>
      <c r="L104" s="177"/>
      <c r="M104" s="720"/>
      <c r="N104" s="1961"/>
      <c r="O104" s="1961"/>
      <c r="P104" s="720"/>
      <c r="Q104" s="718"/>
      <c r="R104" s="763"/>
      <c r="S104" s="763"/>
      <c r="T104" s="763"/>
      <c r="U104" s="763"/>
      <c r="V104" s="630" t="s">
        <v>956</v>
      </c>
      <c r="W104" s="692">
        <v>0.86</v>
      </c>
      <c r="X104" s="693">
        <v>0.89859999999999995</v>
      </c>
      <c r="Y104" s="694">
        <v>0.91869999999999996</v>
      </c>
      <c r="Z104" s="692"/>
      <c r="AA104" s="692"/>
      <c r="AB104" s="692"/>
      <c r="AC104" s="692"/>
      <c r="AD104" s="692"/>
      <c r="AE104" s="692"/>
      <c r="AF104" s="692"/>
      <c r="AG104" s="692"/>
      <c r="AI104" s="695">
        <v>1</v>
      </c>
      <c r="AJ104" s="696">
        <v>1</v>
      </c>
      <c r="AK104" s="665">
        <v>1</v>
      </c>
      <c r="AL104" s="695"/>
      <c r="AM104" s="695"/>
      <c r="AN104" s="695"/>
      <c r="AO104" s="695"/>
      <c r="AP104" s="695"/>
      <c r="AQ104" s="695"/>
      <c r="AR104" s="695"/>
      <c r="AS104" s="695"/>
      <c r="BD104" s="1"/>
      <c r="BE104" s="1"/>
    </row>
    <row r="105" spans="1:57" s="624" customFormat="1" ht="15" hidden="1" customHeight="1" outlineLevel="1" x14ac:dyDescent="0.25">
      <c r="A105" s="763"/>
      <c r="B105" s="763"/>
      <c r="C105" s="1955"/>
      <c r="D105" s="1642" t="s">
        <v>82</v>
      </c>
      <c r="E105" s="1642" t="s">
        <v>731</v>
      </c>
      <c r="F105" s="690">
        <v>0.50769230769230766</v>
      </c>
      <c r="G105" s="1642" t="s">
        <v>1013</v>
      </c>
      <c r="H105" s="691">
        <v>1</v>
      </c>
      <c r="I105" s="1680" t="s">
        <v>1014</v>
      </c>
      <c r="J105" s="2720"/>
      <c r="K105" s="2721"/>
      <c r="L105" s="177"/>
      <c r="M105" s="1962"/>
      <c r="N105" s="1961"/>
      <c r="O105" s="1961"/>
      <c r="P105" s="720"/>
      <c r="Q105" s="718"/>
      <c r="R105" s="763"/>
      <c r="S105" s="763"/>
      <c r="T105" s="763"/>
      <c r="U105" s="763"/>
      <c r="V105" s="630" t="s">
        <v>82</v>
      </c>
      <c r="W105" s="692">
        <v>0.53354522213777378</v>
      </c>
      <c r="X105" s="693">
        <v>0.52966101694915257</v>
      </c>
      <c r="Y105" s="694">
        <v>0.50769230769230766</v>
      </c>
      <c r="Z105" s="692"/>
      <c r="AA105" s="692"/>
      <c r="AB105" s="692"/>
      <c r="AC105" s="692"/>
      <c r="AD105" s="692"/>
      <c r="AE105" s="692"/>
      <c r="AF105" s="692"/>
      <c r="AG105" s="692"/>
      <c r="AI105" s="695">
        <v>1</v>
      </c>
      <c r="AJ105" s="696">
        <v>1</v>
      </c>
      <c r="AK105" s="665">
        <v>1</v>
      </c>
      <c r="AL105" s="695"/>
      <c r="AM105" s="695"/>
      <c r="AN105" s="695"/>
      <c r="AO105" s="695"/>
      <c r="AP105" s="695"/>
      <c r="AQ105" s="695"/>
      <c r="AR105" s="695"/>
      <c r="AS105" s="695"/>
      <c r="BD105" s="1"/>
      <c r="BE105" s="1"/>
    </row>
    <row r="106" spans="1:57" hidden="1" outlineLevel="1" x14ac:dyDescent="0.25">
      <c r="B106" s="1580"/>
      <c r="C106" s="329"/>
      <c r="D106" s="377" t="s">
        <v>961</v>
      </c>
      <c r="E106" s="377" t="s">
        <v>657</v>
      </c>
      <c r="F106" s="1647">
        <v>10</v>
      </c>
      <c r="G106" s="1647"/>
      <c r="H106" s="1647">
        <v>10</v>
      </c>
      <c r="I106" s="1647"/>
      <c r="J106" s="2720"/>
      <c r="K106" s="2721"/>
      <c r="L106" s="355"/>
      <c r="M106" s="1494"/>
      <c r="N106" s="355"/>
      <c r="O106" s="355"/>
      <c r="P106" s="355"/>
      <c r="Q106" s="355"/>
      <c r="V106" s="217" t="s">
        <v>961</v>
      </c>
      <c r="W106" s="608">
        <v>10</v>
      </c>
      <c r="X106" s="608">
        <v>10</v>
      </c>
      <c r="Y106" s="608">
        <v>10</v>
      </c>
      <c r="Z106" s="608"/>
      <c r="AA106" s="608"/>
      <c r="AB106" s="608"/>
      <c r="AC106" s="608"/>
      <c r="AD106" s="608"/>
      <c r="AE106" s="608"/>
      <c r="AF106" s="608"/>
      <c r="AG106" s="608"/>
      <c r="AI106" s="608">
        <v>10</v>
      </c>
      <c r="AJ106" s="608">
        <v>10</v>
      </c>
      <c r="AK106" s="608">
        <v>10</v>
      </c>
      <c r="AL106" s="608"/>
      <c r="AM106" s="608"/>
      <c r="AN106" s="608"/>
      <c r="AO106" s="608"/>
      <c r="AP106" s="608"/>
      <c r="AQ106" s="608"/>
      <c r="AR106" s="608"/>
      <c r="AS106" s="608"/>
    </row>
    <row r="107" spans="1:57" hidden="1" outlineLevel="1" x14ac:dyDescent="0.25">
      <c r="B107" s="1580"/>
      <c r="C107" s="329"/>
      <c r="D107" s="1653" t="s">
        <v>25</v>
      </c>
      <c r="E107" s="377" t="s">
        <v>659</v>
      </c>
      <c r="F107" s="1648">
        <v>3</v>
      </c>
      <c r="G107" s="1648"/>
      <c r="H107" s="1648">
        <v>3</v>
      </c>
      <c r="I107" s="1648"/>
      <c r="J107" s="2720"/>
      <c r="K107" s="2721"/>
      <c r="L107" s="355"/>
      <c r="M107" s="1494"/>
      <c r="N107" s="355"/>
      <c r="O107" s="355"/>
      <c r="P107" s="355"/>
      <c r="Q107" s="355"/>
      <c r="V107" s="220" t="s">
        <v>25</v>
      </c>
      <c r="W107" s="610">
        <v>3</v>
      </c>
      <c r="X107" s="610">
        <v>3</v>
      </c>
      <c r="Y107" s="610">
        <v>3</v>
      </c>
      <c r="Z107" s="610"/>
      <c r="AA107" s="610"/>
      <c r="AB107" s="610"/>
      <c r="AC107" s="610"/>
      <c r="AD107" s="610"/>
      <c r="AE107" s="610"/>
      <c r="AF107" s="610"/>
      <c r="AG107" s="610"/>
      <c r="AI107" s="610">
        <v>3</v>
      </c>
      <c r="AJ107" s="610">
        <v>3</v>
      </c>
      <c r="AK107" s="610">
        <v>3</v>
      </c>
      <c r="AL107" s="610"/>
      <c r="AM107" s="610"/>
      <c r="AN107" s="610"/>
      <c r="AO107" s="610"/>
      <c r="AP107" s="610"/>
      <c r="AQ107" s="610"/>
      <c r="AR107" s="610"/>
      <c r="AS107" s="610"/>
    </row>
    <row r="108" spans="1:57" collapsed="1" x14ac:dyDescent="0.25">
      <c r="D108" s="697"/>
      <c r="E108" s="697"/>
      <c r="F108" s="332"/>
      <c r="G108" s="332"/>
      <c r="H108" s="332"/>
      <c r="I108" s="332"/>
      <c r="J108" s="332"/>
      <c r="K108" s="332"/>
    </row>
    <row r="110" spans="1:57" s="229" customFormat="1" x14ac:dyDescent="0.25">
      <c r="B110" s="2639" t="s">
        <v>1047</v>
      </c>
      <c r="C110" s="2640"/>
      <c r="D110" s="2640"/>
      <c r="E110" s="2640"/>
      <c r="F110" s="2640"/>
      <c r="G110" s="2640"/>
      <c r="H110" s="2640"/>
      <c r="I110" s="2641"/>
      <c r="J110" s="2641"/>
      <c r="K110" s="2641"/>
      <c r="L110" s="2641"/>
      <c r="M110" s="2641"/>
      <c r="N110" s="2642"/>
      <c r="V110" s="2639" t="str">
        <f>B110</f>
        <v>Kit Faucet Aerators (Bathroom)</v>
      </c>
      <c r="W110" s="2640"/>
      <c r="X110" s="2640"/>
      <c r="Y110" s="2640"/>
      <c r="Z110" s="2640"/>
      <c r="AA110" s="2640"/>
      <c r="AB110" s="2640"/>
      <c r="AC110" s="2615"/>
      <c r="AD110" s="2615"/>
      <c r="AE110" s="2615"/>
      <c r="AF110" s="2615"/>
      <c r="AG110" s="2615"/>
      <c r="AH110" s="2616"/>
      <c r="BD110" s="654"/>
      <c r="BE110" s="654"/>
    </row>
    <row r="111" spans="1:57" ht="18" customHeight="1" x14ac:dyDescent="0.25"/>
    <row r="112" spans="1:57" ht="30" x14ac:dyDescent="0.25">
      <c r="C112" s="1641" t="s">
        <v>17</v>
      </c>
      <c r="D112" s="1641" t="s">
        <v>662</v>
      </c>
      <c r="E112" s="1641" t="s">
        <v>19</v>
      </c>
      <c r="F112" s="1641" t="s">
        <v>20</v>
      </c>
      <c r="G112" s="1641" t="s">
        <v>21</v>
      </c>
      <c r="H112" s="1641" t="s">
        <v>22</v>
      </c>
      <c r="I112" s="1641" t="s">
        <v>1007</v>
      </c>
      <c r="J112" s="1641" t="s">
        <v>23</v>
      </c>
      <c r="K112" s="1641" t="s">
        <v>24</v>
      </c>
      <c r="L112" s="1641" t="s">
        <v>25</v>
      </c>
      <c r="M112" s="1641" t="s">
        <v>26</v>
      </c>
      <c r="P112" s="698"/>
      <c r="Q112" s="698"/>
      <c r="V112" s="55"/>
      <c r="W112" s="56">
        <f>$W$6</f>
        <v>43252</v>
      </c>
      <c r="X112" s="56">
        <f>$X$6</f>
        <v>43465</v>
      </c>
      <c r="Y112" s="56">
        <f>$Y$6</f>
        <v>43800</v>
      </c>
      <c r="Z112" s="56">
        <f>$Z$6</f>
        <v>43862</v>
      </c>
      <c r="AA112" s="56" t="str">
        <f>$AA$6</f>
        <v>-</v>
      </c>
      <c r="AB112" s="56" t="str">
        <f>$AB$6</f>
        <v>-</v>
      </c>
      <c r="AC112" s="56" t="str">
        <f>$AC$6</f>
        <v>-</v>
      </c>
      <c r="AD112" s="56" t="str">
        <f>$AD$6</f>
        <v>-</v>
      </c>
      <c r="AE112" s="56" t="str">
        <f>$AE$6</f>
        <v>-</v>
      </c>
      <c r="AF112" s="56" t="str">
        <f>$AF$6</f>
        <v>-</v>
      </c>
      <c r="AG112" s="56" t="str">
        <f>$AG$6</f>
        <v>-</v>
      </c>
      <c r="BB112" s="103" t="str">
        <f>$BB$6</f>
        <v>TRC (2020)</v>
      </c>
      <c r="BC112" s="103" t="str">
        <f>$BC$6</f>
        <v>Benefit Lookup</v>
      </c>
      <c r="BD112" s="334" t="str">
        <f>$BD$6</f>
        <v>Benefits (2019 $)</v>
      </c>
      <c r="BE112" s="334" t="str">
        <f>$BE$6</f>
        <v>Incremental Cost (2019 $)</v>
      </c>
    </row>
    <row r="113" spans="3:57" x14ac:dyDescent="0.25">
      <c r="C113" s="92" t="s">
        <v>1048</v>
      </c>
      <c r="D113" s="150" t="s">
        <v>939</v>
      </c>
      <c r="E113" s="1666" t="s">
        <v>1049</v>
      </c>
      <c r="F113" s="712">
        <f>ROUND(F124*(F125*F126-F127*F128)*F129*F130*F131/F132*I113*F140*F139,2)</f>
        <v>10.220000000000001</v>
      </c>
      <c r="G113" s="1699" t="s">
        <v>668</v>
      </c>
      <c r="H113" s="239">
        <f>VLOOKUP(G113,'CP FACTORS'!$A$3:$B$38, 2, FALSE)</f>
        <v>8.8731800000000003E-5</v>
      </c>
      <c r="I113" s="1963">
        <f>F133*F134*(F135-F136)/(F137*F138)</f>
        <v>6.1514796366832714E-2</v>
      </c>
      <c r="J113" s="153">
        <f t="shared" ref="J113:J114" si="6">ROUND(F113*H113,6)</f>
        <v>9.0700000000000004E-4</v>
      </c>
      <c r="K113" s="157">
        <f>F141</f>
        <v>10</v>
      </c>
      <c r="L113" s="700">
        <f>F142</f>
        <v>3</v>
      </c>
      <c r="M113" s="1927" t="s">
        <v>37</v>
      </c>
      <c r="P113" s="698"/>
      <c r="Q113" s="701"/>
      <c r="R113" s="1894"/>
      <c r="V113" s="245" t="str">
        <f>F112</f>
        <v>kWh Annual Savings</v>
      </c>
      <c r="W113" s="660">
        <v>7.963038337806803</v>
      </c>
      <c r="X113" s="661">
        <v>6.9503628343201109</v>
      </c>
      <c r="Y113" s="163">
        <v>10.220000000000001</v>
      </c>
      <c r="Z113" s="245"/>
      <c r="AA113" s="245"/>
      <c r="AB113" s="245"/>
      <c r="AC113" s="245"/>
      <c r="AD113" s="245"/>
      <c r="AE113" s="245"/>
      <c r="AF113" s="245"/>
      <c r="AG113" s="245"/>
      <c r="AH113" s="248"/>
      <c r="BB113" s="161">
        <f t="shared" ref="BB113:BB114" si="7">(BD113)/(BE113)</f>
        <v>1.2173712254272968</v>
      </c>
      <c r="BC113" s="69" t="str">
        <f>CONCATENATE(G113," ",K113," Year EUL")</f>
        <v>Water Heating RES 10 Year EUL</v>
      </c>
      <c r="BD113" s="581">
        <f>(INDEX('Avoided Cost Benefits'!$C$4:$C$857,MATCH(BC113,'Avoided Cost Benefits'!$A$4:$A$857,0)))*F113</f>
        <v>3.4470162116865413</v>
      </c>
      <c r="BE113" s="582">
        <f>L113/(1.0595^(2020-2019))</f>
        <v>2.8315243039169418</v>
      </c>
    </row>
    <row r="114" spans="3:57" x14ac:dyDescent="0.25">
      <c r="C114" s="92" t="s">
        <v>1050</v>
      </c>
      <c r="D114" s="637" t="s">
        <v>797</v>
      </c>
      <c r="E114" s="1666" t="str">
        <f>E113</f>
        <v>Kit Faucet Aerator (Bathroom)</v>
      </c>
      <c r="F114" s="1964">
        <f>ROUND(H124*(H125*H126-H127*H128)*H129*H130*H131/H132*I114*H140*H139,2)</f>
        <v>30.07</v>
      </c>
      <c r="G114" s="1699" t="s">
        <v>668</v>
      </c>
      <c r="H114" s="239">
        <f>VLOOKUP(G114,'CP FACTORS'!$A$3:$B$38, 2, FALSE)</f>
        <v>8.8731800000000003E-5</v>
      </c>
      <c r="I114" s="1963">
        <f>H133*H134*(H135-H136)/(H137*H138)</f>
        <v>6.1514796366832714E-2</v>
      </c>
      <c r="J114" s="153">
        <f t="shared" si="6"/>
        <v>2.6679999999999998E-3</v>
      </c>
      <c r="K114" s="157">
        <f>H141</f>
        <v>10</v>
      </c>
      <c r="L114" s="700">
        <f>H142</f>
        <v>3</v>
      </c>
      <c r="M114" s="1927" t="s">
        <v>37</v>
      </c>
      <c r="P114" s="698"/>
      <c r="Q114" s="698"/>
      <c r="R114" s="1894"/>
      <c r="V114" s="245" t="str">
        <f>V113</f>
        <v>kWh Annual Savings</v>
      </c>
      <c r="W114" s="660">
        <v>33.463803164371527</v>
      </c>
      <c r="X114" s="661">
        <v>37.583340890617215</v>
      </c>
      <c r="Y114" s="163">
        <v>30.07</v>
      </c>
      <c r="Z114" s="245"/>
      <c r="AA114" s="245"/>
      <c r="AB114" s="245"/>
      <c r="AC114" s="245"/>
      <c r="AD114" s="245"/>
      <c r="AE114" s="245"/>
      <c r="AF114" s="245"/>
      <c r="AG114" s="245"/>
      <c r="AH114" s="248"/>
      <c r="BB114" s="169">
        <f t="shared" si="7"/>
        <v>3.5818349069079076</v>
      </c>
      <c r="BC114" s="73" t="str">
        <f>CONCATENATE(G114," ",K114," Year EUL")</f>
        <v>Water Heating RES 10 Year EUL</v>
      </c>
      <c r="BD114" s="586">
        <f>(INDEX('Avoided Cost Benefits'!$C$4:$C$857,MATCH(BC114,'Avoided Cost Benefits'!$A$4:$A$857,0)))*F114</f>
        <v>10.142052591527817</v>
      </c>
      <c r="BE114" s="587">
        <f>L114/(1.0595^(2020-2019))</f>
        <v>2.8315243039169418</v>
      </c>
    </row>
    <row r="115" spans="3:57" hidden="1" outlineLevel="1" x14ac:dyDescent="0.25">
      <c r="G115" s="1965"/>
      <c r="P115" s="698"/>
      <c r="Q115" s="698"/>
    </row>
    <row r="116" spans="3:57" hidden="1" outlineLevel="1" x14ac:dyDescent="0.25">
      <c r="D116" s="259" t="s">
        <v>617</v>
      </c>
    </row>
    <row r="117" spans="3:57" hidden="1" outlineLevel="1" x14ac:dyDescent="0.25"/>
    <row r="118" spans="3:57" hidden="1" outlineLevel="1" x14ac:dyDescent="0.25"/>
    <row r="119" spans="3:57" hidden="1" outlineLevel="1" x14ac:dyDescent="0.25"/>
    <row r="120" spans="3:57" hidden="1" outlineLevel="1" x14ac:dyDescent="0.25"/>
    <row r="121" spans="3:57" hidden="1" outlineLevel="1" x14ac:dyDescent="0.25"/>
    <row r="122" spans="3:57" hidden="1" outlineLevel="1" x14ac:dyDescent="0.25">
      <c r="J122" s="763"/>
      <c r="K122" s="763"/>
      <c r="L122" s="763"/>
      <c r="V122" s="55" t="s">
        <v>27</v>
      </c>
      <c r="W122" s="56">
        <f>$W$6</f>
        <v>43252</v>
      </c>
      <c r="X122" s="56">
        <f>$X$6</f>
        <v>43465</v>
      </c>
      <c r="Y122" s="56">
        <f>$Y$6</f>
        <v>43800</v>
      </c>
      <c r="Z122" s="56">
        <f>$Z$6</f>
        <v>43862</v>
      </c>
      <c r="AA122" s="56" t="str">
        <f>$AA$6</f>
        <v>-</v>
      </c>
      <c r="AB122" s="56" t="str">
        <f>$AB$6</f>
        <v>-</v>
      </c>
      <c r="AC122" s="56" t="str">
        <f>$AC$6</f>
        <v>-</v>
      </c>
      <c r="AD122" s="56" t="str">
        <f>$AD$6</f>
        <v>-</v>
      </c>
      <c r="AE122" s="56" t="str">
        <f>$AE$6</f>
        <v>-</v>
      </c>
      <c r="AF122" s="56" t="str">
        <f>$AF$6</f>
        <v>-</v>
      </c>
      <c r="AG122" s="56" t="str">
        <f>$AG$6</f>
        <v>-</v>
      </c>
      <c r="AH122" s="663"/>
      <c r="AI122" s="56">
        <f>$W$6</f>
        <v>43252</v>
      </c>
      <c r="AJ122" s="56">
        <f>$X$6</f>
        <v>43465</v>
      </c>
      <c r="AK122" s="56">
        <f>$Y$6</f>
        <v>43800</v>
      </c>
      <c r="AL122" s="56">
        <f>$Z$6</f>
        <v>43862</v>
      </c>
      <c r="AM122" s="56" t="str">
        <f>$AA$6</f>
        <v>-</v>
      </c>
      <c r="AN122" s="56" t="str">
        <f>$AB$6</f>
        <v>-</v>
      </c>
      <c r="AO122" s="56" t="str">
        <f>$AC$6</f>
        <v>-</v>
      </c>
      <c r="AP122" s="56" t="str">
        <f>$AD$6</f>
        <v>-</v>
      </c>
      <c r="AQ122" s="56" t="str">
        <f>$AE$6</f>
        <v>-</v>
      </c>
      <c r="AR122" s="56" t="str">
        <f>$AF$6</f>
        <v>-</v>
      </c>
      <c r="AS122" s="56" t="str">
        <f>$AG$6</f>
        <v>-</v>
      </c>
    </row>
    <row r="123" spans="3:57" ht="15" hidden="1" customHeight="1" outlineLevel="1" x14ac:dyDescent="0.25">
      <c r="D123" s="1701" t="s">
        <v>618</v>
      </c>
      <c r="E123" s="1701" t="s">
        <v>619</v>
      </c>
      <c r="F123" s="1641" t="s">
        <v>974</v>
      </c>
      <c r="G123" s="1641" t="s">
        <v>975</v>
      </c>
      <c r="H123" s="1641" t="s">
        <v>976</v>
      </c>
      <c r="I123" s="1641" t="s">
        <v>977</v>
      </c>
      <c r="J123" s="2722" t="s">
        <v>621</v>
      </c>
      <c r="K123" s="2726"/>
      <c r="V123" s="79"/>
      <c r="W123" s="80" t="s">
        <v>974</v>
      </c>
      <c r="X123" s="80" t="s">
        <v>974</v>
      </c>
      <c r="Y123" s="80" t="s">
        <v>974</v>
      </c>
      <c r="Z123" s="80" t="s">
        <v>974</v>
      </c>
      <c r="AA123" s="80" t="s">
        <v>974</v>
      </c>
      <c r="AB123" s="80" t="s">
        <v>974</v>
      </c>
      <c r="AC123" s="80" t="s">
        <v>974</v>
      </c>
      <c r="AD123" s="80" t="s">
        <v>974</v>
      </c>
      <c r="AE123" s="80" t="s">
        <v>974</v>
      </c>
      <c r="AF123" s="80" t="s">
        <v>974</v>
      </c>
      <c r="AG123" s="80" t="s">
        <v>974</v>
      </c>
      <c r="AH123" s="177"/>
      <c r="AI123" s="80" t="s">
        <v>976</v>
      </c>
      <c r="AJ123" s="80" t="s">
        <v>976</v>
      </c>
      <c r="AK123" s="80" t="s">
        <v>976</v>
      </c>
      <c r="AL123" s="80" t="s">
        <v>976</v>
      </c>
      <c r="AM123" s="80" t="s">
        <v>976</v>
      </c>
      <c r="AN123" s="80" t="s">
        <v>976</v>
      </c>
      <c r="AO123" s="80" t="s">
        <v>976</v>
      </c>
      <c r="AP123" s="80" t="s">
        <v>976</v>
      </c>
      <c r="AQ123" s="80" t="s">
        <v>976</v>
      </c>
      <c r="AR123" s="80" t="s">
        <v>976</v>
      </c>
      <c r="AS123" s="80" t="s">
        <v>976</v>
      </c>
    </row>
    <row r="124" spans="3:57" ht="15" hidden="1" customHeight="1" outlineLevel="1" x14ac:dyDescent="0.25">
      <c r="D124" s="1642" t="s">
        <v>1011</v>
      </c>
      <c r="E124" s="1642" t="s">
        <v>1012</v>
      </c>
      <c r="F124" s="702">
        <v>0.46360000000000001</v>
      </c>
      <c r="G124" s="1642" t="s">
        <v>1013</v>
      </c>
      <c r="H124" s="665">
        <v>1</v>
      </c>
      <c r="I124" s="1642" t="s">
        <v>1014</v>
      </c>
      <c r="J124" s="2720"/>
      <c r="K124" s="2721"/>
      <c r="L124" s="763"/>
      <c r="V124" s="630" t="s">
        <v>1011</v>
      </c>
      <c r="W124" s="692">
        <v>0.4</v>
      </c>
      <c r="X124" s="703">
        <v>0.34429999999999999</v>
      </c>
      <c r="Y124" s="704">
        <v>0.46360000000000001</v>
      </c>
      <c r="Z124" s="667"/>
      <c r="AA124" s="667"/>
      <c r="AB124" s="667"/>
      <c r="AC124" s="667"/>
      <c r="AD124" s="667"/>
      <c r="AE124" s="667"/>
      <c r="AF124" s="667"/>
      <c r="AG124" s="667"/>
      <c r="AI124" s="667">
        <v>1</v>
      </c>
      <c r="AJ124" s="666">
        <v>1</v>
      </c>
      <c r="AK124" s="666">
        <v>1</v>
      </c>
      <c r="AL124" s="667"/>
      <c r="AM124" s="667"/>
      <c r="AN124" s="667"/>
      <c r="AO124" s="667"/>
      <c r="AP124" s="667"/>
      <c r="AQ124" s="667"/>
      <c r="AR124" s="667"/>
      <c r="AS124" s="667"/>
    </row>
    <row r="125" spans="3:57" ht="15" hidden="1" customHeight="1" outlineLevel="1" x14ac:dyDescent="0.25">
      <c r="D125" s="1642" t="s">
        <v>1015</v>
      </c>
      <c r="E125" s="1642" t="s">
        <v>1016</v>
      </c>
      <c r="F125" s="61">
        <v>2.2000000000000002</v>
      </c>
      <c r="G125" s="1642" t="s">
        <v>1017</v>
      </c>
      <c r="H125" s="61">
        <v>2.2000000000000002</v>
      </c>
      <c r="I125" s="1642" t="s">
        <v>1017</v>
      </c>
      <c r="J125" s="2720"/>
      <c r="K125" s="2721"/>
      <c r="L125" s="763"/>
      <c r="V125" s="630" t="s">
        <v>1015</v>
      </c>
      <c r="W125" s="657">
        <v>2.2000000000000002</v>
      </c>
      <c r="X125" s="669">
        <v>2.2000000000000002</v>
      </c>
      <c r="Y125" s="669">
        <v>2.2000000000000002</v>
      </c>
      <c r="Z125" s="657"/>
      <c r="AA125" s="657"/>
      <c r="AB125" s="657"/>
      <c r="AC125" s="657"/>
      <c r="AD125" s="657"/>
      <c r="AE125" s="657"/>
      <c r="AF125" s="657"/>
      <c r="AG125" s="657"/>
      <c r="AI125" s="657">
        <v>2.2000000000000002</v>
      </c>
      <c r="AJ125" s="669">
        <v>2.2000000000000002</v>
      </c>
      <c r="AK125" s="669">
        <v>2.2000000000000002</v>
      </c>
      <c r="AL125" s="657"/>
      <c r="AM125" s="657"/>
      <c r="AN125" s="657"/>
      <c r="AO125" s="657"/>
      <c r="AP125" s="657"/>
      <c r="AQ125" s="657"/>
      <c r="AR125" s="657"/>
      <c r="AS125" s="657"/>
    </row>
    <row r="126" spans="3:57" ht="30" hidden="1" customHeight="1" outlineLevel="1" x14ac:dyDescent="0.25">
      <c r="D126" s="1642" t="s">
        <v>1018</v>
      </c>
      <c r="E126" s="1666" t="s">
        <v>1019</v>
      </c>
      <c r="F126" s="670">
        <v>1.6</v>
      </c>
      <c r="G126" s="1642" t="s">
        <v>1051</v>
      </c>
      <c r="H126" s="670">
        <v>1.6</v>
      </c>
      <c r="I126" s="1642" t="s">
        <v>1051</v>
      </c>
      <c r="J126" s="2720"/>
      <c r="K126" s="2721"/>
      <c r="L126" s="763"/>
      <c r="V126" s="630" t="s">
        <v>1018</v>
      </c>
      <c r="W126" s="638">
        <v>1.6</v>
      </c>
      <c r="X126" s="671">
        <v>1.6</v>
      </c>
      <c r="Y126" s="638">
        <v>1.6</v>
      </c>
      <c r="Z126" s="638"/>
      <c r="AA126" s="638"/>
      <c r="AB126" s="638"/>
      <c r="AC126" s="638"/>
      <c r="AD126" s="638"/>
      <c r="AE126" s="638"/>
      <c r="AF126" s="638"/>
      <c r="AG126" s="638"/>
      <c r="AI126" s="657">
        <v>1.6</v>
      </c>
      <c r="AJ126" s="671">
        <v>1.6</v>
      </c>
      <c r="AK126" s="671">
        <v>1.6</v>
      </c>
      <c r="AL126" s="657"/>
      <c r="AM126" s="657"/>
      <c r="AN126" s="657"/>
      <c r="AO126" s="657"/>
      <c r="AP126" s="657"/>
      <c r="AQ126" s="657"/>
      <c r="AR126" s="657"/>
      <c r="AS126" s="657"/>
    </row>
    <row r="127" spans="3:57" ht="15" hidden="1" customHeight="1" outlineLevel="1" x14ac:dyDescent="0.25">
      <c r="D127" s="1642" t="s">
        <v>1022</v>
      </c>
      <c r="E127" s="1642" t="s">
        <v>1023</v>
      </c>
      <c r="F127" s="670">
        <v>1.5</v>
      </c>
      <c r="G127" s="1642" t="s">
        <v>509</v>
      </c>
      <c r="H127" s="670">
        <v>1.5</v>
      </c>
      <c r="I127" s="1642" t="s">
        <v>509</v>
      </c>
      <c r="J127" s="2720"/>
      <c r="K127" s="2721"/>
      <c r="L127" s="763"/>
      <c r="V127" s="630" t="s">
        <v>1022</v>
      </c>
      <c r="W127" s="638">
        <v>1.5</v>
      </c>
      <c r="X127" s="671">
        <v>1.5</v>
      </c>
      <c r="Y127" s="671">
        <v>1.5</v>
      </c>
      <c r="Z127" s="638"/>
      <c r="AA127" s="638"/>
      <c r="AB127" s="638"/>
      <c r="AC127" s="638"/>
      <c r="AD127" s="638"/>
      <c r="AE127" s="638"/>
      <c r="AF127" s="638"/>
      <c r="AG127" s="638"/>
      <c r="AH127" s="624"/>
      <c r="AI127" s="638">
        <v>1.5</v>
      </c>
      <c r="AJ127" s="671">
        <v>1.5</v>
      </c>
      <c r="AK127" s="671">
        <v>1.5</v>
      </c>
      <c r="AL127" s="638"/>
      <c r="AM127" s="638"/>
      <c r="AN127" s="638"/>
      <c r="AO127" s="638"/>
      <c r="AP127" s="638"/>
      <c r="AQ127" s="638"/>
      <c r="AR127" s="638"/>
      <c r="AS127" s="638"/>
    </row>
    <row r="128" spans="3:57" ht="30" hidden="1" customHeight="1" outlineLevel="1" x14ac:dyDescent="0.25">
      <c r="D128" s="1642" t="s">
        <v>1024</v>
      </c>
      <c r="E128" s="1666" t="s">
        <v>1025</v>
      </c>
      <c r="F128" s="670">
        <v>1.6</v>
      </c>
      <c r="G128" s="1642" t="s">
        <v>1051</v>
      </c>
      <c r="H128" s="670">
        <v>1.6</v>
      </c>
      <c r="I128" s="1642" t="s">
        <v>1051</v>
      </c>
      <c r="J128" s="2720"/>
      <c r="K128" s="2721"/>
      <c r="L128" s="763"/>
      <c r="V128" s="630" t="s">
        <v>1024</v>
      </c>
      <c r="W128" s="638">
        <v>1.6</v>
      </c>
      <c r="X128" s="671">
        <v>1.6</v>
      </c>
      <c r="Y128" s="671">
        <v>1.6</v>
      </c>
      <c r="Z128" s="638"/>
      <c r="AA128" s="638"/>
      <c r="AB128" s="638"/>
      <c r="AC128" s="638"/>
      <c r="AD128" s="638"/>
      <c r="AE128" s="638"/>
      <c r="AF128" s="638"/>
      <c r="AG128" s="638"/>
      <c r="AI128" s="657">
        <v>1.6</v>
      </c>
      <c r="AJ128" s="671">
        <v>1.6</v>
      </c>
      <c r="AK128" s="671">
        <v>1.6</v>
      </c>
      <c r="AL128" s="657"/>
      <c r="AM128" s="657"/>
      <c r="AN128" s="657"/>
      <c r="AO128" s="657"/>
      <c r="AP128" s="657"/>
      <c r="AQ128" s="657"/>
      <c r="AR128" s="657"/>
      <c r="AS128" s="657"/>
    </row>
    <row r="129" spans="1:57" ht="30" hidden="1" outlineLevel="1" x14ac:dyDescent="0.25">
      <c r="D129" s="1642" t="s">
        <v>683</v>
      </c>
      <c r="E129" s="458" t="s">
        <v>1026</v>
      </c>
      <c r="F129" s="673">
        <v>4.2329545454545459</v>
      </c>
      <c r="G129" s="1642" t="s">
        <v>1013</v>
      </c>
      <c r="H129" s="673">
        <v>1.7767584097859328</v>
      </c>
      <c r="I129" s="1642" t="s">
        <v>1052</v>
      </c>
      <c r="J129" s="2720"/>
      <c r="K129" s="2721"/>
      <c r="L129" s="763"/>
      <c r="V129" s="630" t="s">
        <v>683</v>
      </c>
      <c r="W129" s="705">
        <v>4.3185840707964598</v>
      </c>
      <c r="X129" s="622">
        <v>4.2926829268292686</v>
      </c>
      <c r="Y129" s="706">
        <v>4.2329545454545459</v>
      </c>
      <c r="Z129" s="674"/>
      <c r="AA129" s="674"/>
      <c r="AB129" s="674"/>
      <c r="AC129" s="674"/>
      <c r="AD129" s="674"/>
      <c r="AE129" s="674"/>
      <c r="AF129" s="674"/>
      <c r="AG129" s="674"/>
      <c r="AI129" s="707">
        <v>2.0214368482039395</v>
      </c>
      <c r="AJ129" s="622">
        <v>2.02</v>
      </c>
      <c r="AK129" s="708">
        <v>1.7767584097859328</v>
      </c>
      <c r="AL129" s="657"/>
      <c r="AM129" s="657"/>
      <c r="AN129" s="657"/>
      <c r="AO129" s="657"/>
      <c r="AP129" s="657"/>
      <c r="AQ129" s="657"/>
      <c r="AR129" s="657"/>
      <c r="AS129" s="657"/>
    </row>
    <row r="130" spans="1:57" ht="105" hidden="1" outlineLevel="1" x14ac:dyDescent="0.25">
      <c r="D130" s="633" t="s">
        <v>1028</v>
      </c>
      <c r="E130" s="1680" t="s">
        <v>1029</v>
      </c>
      <c r="F130" s="61">
        <v>0.9</v>
      </c>
      <c r="G130" s="1642" t="s">
        <v>1030</v>
      </c>
      <c r="H130" s="61">
        <v>0.9</v>
      </c>
      <c r="I130" s="1642" t="s">
        <v>1030</v>
      </c>
      <c r="J130" s="2720"/>
      <c r="K130" s="2721"/>
      <c r="L130" s="763"/>
      <c r="V130" s="635" t="s">
        <v>1028</v>
      </c>
      <c r="W130" s="678">
        <v>0.9</v>
      </c>
      <c r="X130" s="669">
        <v>0.9</v>
      </c>
      <c r="Y130" s="669">
        <v>0.9</v>
      </c>
      <c r="Z130" s="678"/>
      <c r="AA130" s="678"/>
      <c r="AB130" s="678"/>
      <c r="AC130" s="678"/>
      <c r="AD130" s="678"/>
      <c r="AE130" s="678"/>
      <c r="AF130" s="678"/>
      <c r="AG130" s="678"/>
      <c r="AI130" s="678">
        <v>0.9</v>
      </c>
      <c r="AJ130" s="669">
        <v>0.9</v>
      </c>
      <c r="AK130" s="669">
        <v>0.9</v>
      </c>
      <c r="AL130" s="678"/>
      <c r="AM130" s="678"/>
      <c r="AN130" s="678"/>
      <c r="AO130" s="678"/>
      <c r="AP130" s="678"/>
      <c r="AQ130" s="678"/>
      <c r="AR130" s="678"/>
      <c r="AS130" s="678"/>
    </row>
    <row r="131" spans="1:57" ht="15" hidden="1" customHeight="1" outlineLevel="1" x14ac:dyDescent="0.25">
      <c r="D131" s="633">
        <v>365.25</v>
      </c>
      <c r="E131" s="1642" t="s">
        <v>235</v>
      </c>
      <c r="F131" s="670">
        <v>365</v>
      </c>
      <c r="G131" s="1642" t="s">
        <v>992</v>
      </c>
      <c r="H131" s="670">
        <v>365</v>
      </c>
      <c r="I131" s="1642"/>
      <c r="J131" s="2720"/>
      <c r="K131" s="2721"/>
      <c r="L131" s="763"/>
      <c r="V131" s="635">
        <v>365.25</v>
      </c>
      <c r="W131" s="638">
        <v>365</v>
      </c>
      <c r="X131" s="671">
        <v>365</v>
      </c>
      <c r="Y131" s="671">
        <v>365</v>
      </c>
      <c r="Z131" s="638"/>
      <c r="AA131" s="638"/>
      <c r="AB131" s="638"/>
      <c r="AC131" s="638"/>
      <c r="AD131" s="638"/>
      <c r="AE131" s="638"/>
      <c r="AF131" s="638"/>
      <c r="AG131" s="638"/>
      <c r="AI131" s="678">
        <v>365</v>
      </c>
      <c r="AJ131" s="671">
        <v>365</v>
      </c>
      <c r="AK131" s="671">
        <v>365</v>
      </c>
      <c r="AL131" s="678"/>
      <c r="AM131" s="678"/>
      <c r="AN131" s="678"/>
      <c r="AO131" s="678"/>
      <c r="AP131" s="678"/>
      <c r="AQ131" s="678"/>
      <c r="AR131" s="678"/>
      <c r="AS131" s="678"/>
    </row>
    <row r="132" spans="1:57" ht="30" hidden="1" customHeight="1" outlineLevel="1" thickBot="1" x14ac:dyDescent="0.3">
      <c r="D132" s="633" t="s">
        <v>1031</v>
      </c>
      <c r="E132" s="1642" t="s">
        <v>1032</v>
      </c>
      <c r="F132" s="679">
        <v>2.2839</v>
      </c>
      <c r="G132" s="1680" t="s">
        <v>1013</v>
      </c>
      <c r="H132" s="679">
        <v>1.3371757925072045</v>
      </c>
      <c r="I132" s="1966" t="s">
        <v>1053</v>
      </c>
      <c r="J132" s="2720"/>
      <c r="K132" s="2721"/>
      <c r="L132" s="763"/>
      <c r="V132" s="635" t="s">
        <v>1031</v>
      </c>
      <c r="W132" s="705">
        <v>2.4005847953216377</v>
      </c>
      <c r="X132" s="709">
        <v>2.4005847953216377</v>
      </c>
      <c r="Y132" s="622">
        <v>2.2839</v>
      </c>
      <c r="Z132" s="681"/>
      <c r="AA132" s="681"/>
      <c r="AB132" s="681"/>
      <c r="AC132" s="681"/>
      <c r="AD132" s="681"/>
      <c r="AE132" s="681"/>
      <c r="AF132" s="681"/>
      <c r="AG132" s="681"/>
      <c r="AI132" s="684">
        <v>1.4</v>
      </c>
      <c r="AJ132" s="622">
        <v>1.2164351851851851</v>
      </c>
      <c r="AK132" s="708">
        <v>1.3371757925072045</v>
      </c>
      <c r="AL132" s="684"/>
      <c r="AM132" s="684"/>
      <c r="AN132" s="684"/>
      <c r="AO132" s="684"/>
      <c r="AP132" s="684"/>
      <c r="AQ132" s="684"/>
      <c r="AR132" s="684"/>
      <c r="AS132" s="684"/>
    </row>
    <row r="133" spans="1:57" ht="15" hidden="1" customHeight="1" outlineLevel="1" x14ac:dyDescent="0.25">
      <c r="D133" s="633">
        <v>8.33</v>
      </c>
      <c r="E133" s="1680" t="s">
        <v>1033</v>
      </c>
      <c r="F133" s="61">
        <v>8.33</v>
      </c>
      <c r="G133" s="1680" t="s">
        <v>1034</v>
      </c>
      <c r="H133" s="1699">
        <v>8.33</v>
      </c>
      <c r="I133" s="1680" t="s">
        <v>1034</v>
      </c>
      <c r="J133" s="2720"/>
      <c r="K133" s="2721"/>
      <c r="L133" s="763"/>
      <c r="V133" s="635">
        <v>8.33</v>
      </c>
      <c r="W133" s="678">
        <v>8.33</v>
      </c>
      <c r="X133" s="669">
        <v>8.33</v>
      </c>
      <c r="Y133" s="669">
        <v>8.33</v>
      </c>
      <c r="Z133" s="678"/>
      <c r="AA133" s="678"/>
      <c r="AB133" s="678"/>
      <c r="AC133" s="678"/>
      <c r="AD133" s="678"/>
      <c r="AE133" s="678"/>
      <c r="AF133" s="678"/>
      <c r="AG133" s="678"/>
      <c r="AI133" s="678">
        <v>8.33</v>
      </c>
      <c r="AJ133" s="669">
        <v>8.33</v>
      </c>
      <c r="AK133" s="669">
        <v>8.33</v>
      </c>
      <c r="AL133" s="678"/>
      <c r="AM133" s="678"/>
      <c r="AN133" s="678"/>
      <c r="AO133" s="678"/>
      <c r="AP133" s="678"/>
      <c r="AQ133" s="678"/>
      <c r="AR133" s="678"/>
      <c r="AS133" s="678"/>
    </row>
    <row r="134" spans="1:57" ht="15" hidden="1" customHeight="1" outlineLevel="1" x14ac:dyDescent="0.25">
      <c r="D134" s="633">
        <v>1</v>
      </c>
      <c r="E134" s="1642" t="s">
        <v>1035</v>
      </c>
      <c r="F134" s="61">
        <v>1</v>
      </c>
      <c r="G134" s="1642" t="s">
        <v>1036</v>
      </c>
      <c r="H134" s="1699">
        <v>1</v>
      </c>
      <c r="I134" s="1642" t="s">
        <v>1036</v>
      </c>
      <c r="J134" s="2720"/>
      <c r="K134" s="2721"/>
      <c r="L134" s="763"/>
      <c r="V134" s="635">
        <v>1</v>
      </c>
      <c r="W134" s="678">
        <v>1</v>
      </c>
      <c r="X134" s="669">
        <v>1</v>
      </c>
      <c r="Y134" s="669">
        <v>1</v>
      </c>
      <c r="Z134" s="678"/>
      <c r="AA134" s="678"/>
      <c r="AB134" s="678"/>
      <c r="AC134" s="678"/>
      <c r="AD134" s="678"/>
      <c r="AE134" s="678"/>
      <c r="AF134" s="678"/>
      <c r="AG134" s="678"/>
      <c r="AI134" s="460">
        <v>1</v>
      </c>
      <c r="AJ134" s="669">
        <v>1</v>
      </c>
      <c r="AK134" s="669">
        <v>1</v>
      </c>
      <c r="AL134" s="460"/>
      <c r="AM134" s="460"/>
      <c r="AN134" s="460"/>
      <c r="AO134" s="460"/>
      <c r="AP134" s="460"/>
      <c r="AQ134" s="460"/>
      <c r="AR134" s="460"/>
      <c r="AS134" s="460"/>
    </row>
    <row r="135" spans="1:57" ht="105" hidden="1" outlineLevel="1" x14ac:dyDescent="0.25">
      <c r="D135" s="1642" t="s">
        <v>1037</v>
      </c>
      <c r="E135" s="1642" t="s">
        <v>1038</v>
      </c>
      <c r="F135" s="670">
        <v>86</v>
      </c>
      <c r="G135" s="1642" t="s">
        <v>1039</v>
      </c>
      <c r="H135" s="157">
        <v>86</v>
      </c>
      <c r="I135" s="1642" t="s">
        <v>1039</v>
      </c>
      <c r="J135" s="2720"/>
      <c r="K135" s="2721"/>
      <c r="L135" s="763"/>
      <c r="V135" s="630" t="s">
        <v>1037</v>
      </c>
      <c r="W135" s="638">
        <v>86</v>
      </c>
      <c r="X135" s="671">
        <v>86</v>
      </c>
      <c r="Y135" s="671">
        <v>86</v>
      </c>
      <c r="Z135" s="638"/>
      <c r="AA135" s="638"/>
      <c r="AB135" s="638"/>
      <c r="AC135" s="638"/>
      <c r="AD135" s="638"/>
      <c r="AE135" s="638"/>
      <c r="AF135" s="638"/>
      <c r="AG135" s="638"/>
      <c r="AI135" s="678">
        <v>86</v>
      </c>
      <c r="AJ135" s="671">
        <v>86</v>
      </c>
      <c r="AK135" s="671">
        <v>86</v>
      </c>
      <c r="AL135" s="678"/>
      <c r="AM135" s="678"/>
      <c r="AN135" s="678"/>
      <c r="AO135" s="678"/>
      <c r="AP135" s="678"/>
      <c r="AQ135" s="678"/>
      <c r="AR135" s="678"/>
      <c r="AS135" s="678"/>
    </row>
    <row r="136" spans="1:57" s="624" customFormat="1" ht="45" hidden="1" customHeight="1" outlineLevel="1" x14ac:dyDescent="0.25">
      <c r="A136" s="763"/>
      <c r="B136" s="763"/>
      <c r="C136" s="455"/>
      <c r="D136" s="1642" t="s">
        <v>1040</v>
      </c>
      <c r="E136" s="1642" t="s">
        <v>1041</v>
      </c>
      <c r="F136" s="670">
        <v>61.3</v>
      </c>
      <c r="G136" s="1680" t="s">
        <v>1042</v>
      </c>
      <c r="H136" s="730">
        <v>61.3</v>
      </c>
      <c r="I136" s="1680" t="s">
        <v>1042</v>
      </c>
      <c r="J136" s="2720"/>
      <c r="K136" s="2721"/>
      <c r="L136" s="763"/>
      <c r="M136" s="763"/>
      <c r="N136" s="763"/>
      <c r="O136" s="763"/>
      <c r="P136" s="763"/>
      <c r="Q136" s="763"/>
      <c r="R136" s="763"/>
      <c r="S136" s="763"/>
      <c r="T136" s="763"/>
      <c r="U136" s="763"/>
      <c r="V136" s="630" t="s">
        <v>1040</v>
      </c>
      <c r="W136" s="638">
        <v>61.3</v>
      </c>
      <c r="X136" s="671">
        <v>61.3</v>
      </c>
      <c r="Y136" s="671">
        <v>61.3</v>
      </c>
      <c r="Z136" s="638"/>
      <c r="AA136" s="638"/>
      <c r="AB136" s="638"/>
      <c r="AC136" s="638"/>
      <c r="AD136" s="638"/>
      <c r="AE136" s="638"/>
      <c r="AF136" s="638"/>
      <c r="AG136" s="638"/>
      <c r="AI136" s="678">
        <v>61.3</v>
      </c>
      <c r="AJ136" s="671">
        <v>61.3</v>
      </c>
      <c r="AK136" s="671">
        <v>61.3</v>
      </c>
      <c r="AL136" s="678"/>
      <c r="AM136" s="678"/>
      <c r="AN136" s="678"/>
      <c r="AO136" s="678"/>
      <c r="AP136" s="678"/>
      <c r="AQ136" s="678"/>
      <c r="AR136" s="678"/>
      <c r="AS136" s="678"/>
      <c r="BD136" s="1"/>
      <c r="BE136" s="1"/>
    </row>
    <row r="137" spans="1:57" s="624" customFormat="1" ht="45" hidden="1" customHeight="1" outlineLevel="1" x14ac:dyDescent="0.25">
      <c r="A137" s="763"/>
      <c r="B137" s="763"/>
      <c r="C137" s="455"/>
      <c r="D137" s="1642" t="s">
        <v>1043</v>
      </c>
      <c r="E137" s="1642" t="s">
        <v>1044</v>
      </c>
      <c r="F137" s="61">
        <v>0.98</v>
      </c>
      <c r="G137" s="1680" t="s">
        <v>1045</v>
      </c>
      <c r="H137" s="1699">
        <v>0.98</v>
      </c>
      <c r="I137" s="1680" t="s">
        <v>1045</v>
      </c>
      <c r="J137" s="2720"/>
      <c r="K137" s="2721"/>
      <c r="L137" s="763"/>
      <c r="M137" s="763"/>
      <c r="N137" s="763"/>
      <c r="O137" s="763"/>
      <c r="P137" s="763"/>
      <c r="Q137" s="763"/>
      <c r="R137" s="763"/>
      <c r="S137" s="763"/>
      <c r="T137" s="763"/>
      <c r="U137" s="763"/>
      <c r="V137" s="630" t="s">
        <v>1043</v>
      </c>
      <c r="W137" s="678">
        <v>0.98</v>
      </c>
      <c r="X137" s="669">
        <v>0.98</v>
      </c>
      <c r="Y137" s="669">
        <v>0.98</v>
      </c>
      <c r="Z137" s="678"/>
      <c r="AA137" s="678"/>
      <c r="AB137" s="678"/>
      <c r="AC137" s="678"/>
      <c r="AD137" s="678"/>
      <c r="AE137" s="678"/>
      <c r="AF137" s="678"/>
      <c r="AG137" s="678"/>
      <c r="AI137" s="678">
        <v>0.98</v>
      </c>
      <c r="AJ137" s="669">
        <v>0.98</v>
      </c>
      <c r="AK137" s="669">
        <v>0.98</v>
      </c>
      <c r="AL137" s="678"/>
      <c r="AM137" s="678"/>
      <c r="AN137" s="678"/>
      <c r="AO137" s="678"/>
      <c r="AP137" s="678"/>
      <c r="AQ137" s="678"/>
      <c r="AR137" s="678"/>
      <c r="AS137" s="678"/>
      <c r="BD137" s="1"/>
      <c r="BE137" s="1"/>
    </row>
    <row r="138" spans="1:57" s="624" customFormat="1" ht="30" hidden="1" customHeight="1" outlineLevel="1" x14ac:dyDescent="0.25">
      <c r="A138" s="763"/>
      <c r="B138" s="763"/>
      <c r="C138" s="455"/>
      <c r="D138" s="1642">
        <v>3412</v>
      </c>
      <c r="E138" s="1680" t="s">
        <v>1046</v>
      </c>
      <c r="F138" s="685">
        <v>3413</v>
      </c>
      <c r="G138" s="1680" t="s">
        <v>701</v>
      </c>
      <c r="H138" s="686">
        <v>3413</v>
      </c>
      <c r="I138" s="1680" t="s">
        <v>701</v>
      </c>
      <c r="J138" s="2720"/>
      <c r="K138" s="2721"/>
      <c r="L138" s="763"/>
      <c r="M138" s="763"/>
      <c r="N138" s="763"/>
      <c r="O138" s="763"/>
      <c r="P138" s="763"/>
      <c r="Q138" s="763"/>
      <c r="R138" s="763"/>
      <c r="S138" s="763"/>
      <c r="T138" s="763"/>
      <c r="U138" s="763"/>
      <c r="V138" s="630">
        <v>3412</v>
      </c>
      <c r="W138" s="687">
        <v>3412</v>
      </c>
      <c r="X138" s="688">
        <v>3413</v>
      </c>
      <c r="Y138" s="688">
        <v>3413</v>
      </c>
      <c r="Z138" s="687"/>
      <c r="AA138" s="687"/>
      <c r="AB138" s="687"/>
      <c r="AC138" s="687"/>
      <c r="AD138" s="687"/>
      <c r="AE138" s="687"/>
      <c r="AF138" s="687"/>
      <c r="AG138" s="687"/>
      <c r="AI138" s="687">
        <v>3413</v>
      </c>
      <c r="AJ138" s="688">
        <v>3413</v>
      </c>
      <c r="AK138" s="688">
        <v>3413</v>
      </c>
      <c r="AL138" s="687"/>
      <c r="AM138" s="687"/>
      <c r="AN138" s="687"/>
      <c r="AO138" s="687"/>
      <c r="AP138" s="687"/>
      <c r="AQ138" s="687"/>
      <c r="AR138" s="687"/>
      <c r="AS138" s="687"/>
      <c r="BD138" s="1"/>
      <c r="BE138" s="1"/>
    </row>
    <row r="139" spans="1:57" s="624" customFormat="1" ht="15" hidden="1" customHeight="1" outlineLevel="1" x14ac:dyDescent="0.25">
      <c r="A139" s="763"/>
      <c r="B139" s="763"/>
      <c r="C139" s="455"/>
      <c r="D139" s="1642" t="s">
        <v>956</v>
      </c>
      <c r="E139" s="1642" t="s">
        <v>1001</v>
      </c>
      <c r="F139" s="690">
        <v>0.91869999999999996</v>
      </c>
      <c r="G139" s="1642" t="s">
        <v>1013</v>
      </c>
      <c r="H139" s="1341">
        <v>1</v>
      </c>
      <c r="I139" s="1680" t="s">
        <v>1014</v>
      </c>
      <c r="J139" s="2720"/>
      <c r="K139" s="2721"/>
      <c r="L139" s="763"/>
      <c r="M139" s="763"/>
      <c r="N139" s="763"/>
      <c r="O139" s="763"/>
      <c r="P139" s="763"/>
      <c r="Q139" s="763"/>
      <c r="R139" s="763"/>
      <c r="S139" s="763"/>
      <c r="T139" s="763"/>
      <c r="U139" s="763"/>
      <c r="V139" s="630" t="s">
        <v>956</v>
      </c>
      <c r="W139" s="692">
        <v>0.86</v>
      </c>
      <c r="X139" s="693">
        <v>0.89859999999999995</v>
      </c>
      <c r="Y139" s="694">
        <v>0.91869999999999996</v>
      </c>
      <c r="Z139" s="692"/>
      <c r="AA139" s="692"/>
      <c r="AB139" s="692"/>
      <c r="AC139" s="692"/>
      <c r="AD139" s="692"/>
      <c r="AE139" s="692"/>
      <c r="AF139" s="692"/>
      <c r="AG139" s="692"/>
      <c r="AI139" s="695">
        <v>1</v>
      </c>
      <c r="AJ139" s="696">
        <v>1</v>
      </c>
      <c r="AK139" s="696">
        <v>1</v>
      </c>
      <c r="AL139" s="695"/>
      <c r="AM139" s="695"/>
      <c r="AN139" s="695"/>
      <c r="AO139" s="695"/>
      <c r="AP139" s="695"/>
      <c r="AQ139" s="695"/>
      <c r="AR139" s="695"/>
      <c r="AS139" s="695"/>
      <c r="BD139" s="1"/>
      <c r="BE139" s="1"/>
    </row>
    <row r="140" spans="1:57" s="624" customFormat="1" ht="15" hidden="1" customHeight="1" outlineLevel="1" x14ac:dyDescent="0.25">
      <c r="A140" s="763"/>
      <c r="B140" s="763"/>
      <c r="C140" s="455"/>
      <c r="D140" s="1642" t="s">
        <v>82</v>
      </c>
      <c r="E140" s="1642" t="s">
        <v>731</v>
      </c>
      <c r="F140" s="690">
        <v>0.57216494845360821</v>
      </c>
      <c r="G140" s="1642" t="s">
        <v>1013</v>
      </c>
      <c r="H140" s="1341">
        <v>1</v>
      </c>
      <c r="I140" s="1680" t="s">
        <v>1014</v>
      </c>
      <c r="J140" s="2720"/>
      <c r="K140" s="2721"/>
      <c r="L140" s="763"/>
      <c r="M140" s="763"/>
      <c r="N140" s="763"/>
      <c r="O140" s="763"/>
      <c r="P140" s="763"/>
      <c r="Q140" s="763"/>
      <c r="R140" s="763"/>
      <c r="S140" s="763"/>
      <c r="T140" s="763"/>
      <c r="U140" s="763"/>
      <c r="V140" s="630" t="s">
        <v>82</v>
      </c>
      <c r="W140" s="692">
        <v>0.56837606837606836</v>
      </c>
      <c r="X140" s="693">
        <v>0.55508474576271183</v>
      </c>
      <c r="Y140" s="694">
        <v>0.57216494845360821</v>
      </c>
      <c r="Z140" s="692"/>
      <c r="AA140" s="692"/>
      <c r="AB140" s="692"/>
      <c r="AC140" s="692"/>
      <c r="AD140" s="692"/>
      <c r="AE140" s="692"/>
      <c r="AF140" s="692"/>
      <c r="AG140" s="692"/>
      <c r="AI140" s="695">
        <v>1</v>
      </c>
      <c r="AJ140" s="696">
        <v>1</v>
      </c>
      <c r="AK140" s="696">
        <v>1</v>
      </c>
      <c r="AL140" s="695"/>
      <c r="AM140" s="695"/>
      <c r="AN140" s="695"/>
      <c r="AO140" s="695"/>
      <c r="AP140" s="695"/>
      <c r="AQ140" s="695"/>
      <c r="AR140" s="695"/>
      <c r="AS140" s="695"/>
      <c r="BD140" s="1"/>
      <c r="BE140" s="1"/>
    </row>
    <row r="141" spans="1:57" hidden="1" outlineLevel="1" x14ac:dyDescent="0.25">
      <c r="B141" s="1580"/>
      <c r="C141" s="329"/>
      <c r="D141" s="377" t="s">
        <v>961</v>
      </c>
      <c r="E141" s="377" t="s">
        <v>657</v>
      </c>
      <c r="F141" s="1647">
        <v>10</v>
      </c>
      <c r="G141" s="1642"/>
      <c r="H141" s="1647">
        <v>10</v>
      </c>
      <c r="I141" s="1647"/>
      <c r="J141" s="2720"/>
      <c r="K141" s="2721"/>
      <c r="L141" s="355"/>
      <c r="M141" s="1494"/>
      <c r="N141" s="355"/>
      <c r="O141" s="355"/>
      <c r="P141" s="355"/>
      <c r="Q141" s="355"/>
      <c r="V141" s="217" t="s">
        <v>961</v>
      </c>
      <c r="W141" s="608">
        <v>10</v>
      </c>
      <c r="X141" s="608">
        <v>10</v>
      </c>
      <c r="Y141" s="608">
        <v>10</v>
      </c>
      <c r="Z141" s="608"/>
      <c r="AA141" s="608"/>
      <c r="AB141" s="608"/>
      <c r="AC141" s="608"/>
      <c r="AD141" s="608"/>
      <c r="AE141" s="608"/>
      <c r="AF141" s="608"/>
      <c r="AG141" s="608"/>
      <c r="AI141" s="608">
        <v>10</v>
      </c>
      <c r="AJ141" s="608">
        <v>10</v>
      </c>
      <c r="AK141" s="608">
        <v>10</v>
      </c>
      <c r="AL141" s="608"/>
      <c r="AM141" s="608"/>
      <c r="AN141" s="608"/>
      <c r="AO141" s="608"/>
      <c r="AP141" s="608"/>
      <c r="AQ141" s="608"/>
      <c r="AR141" s="608"/>
      <c r="AS141" s="608"/>
    </row>
    <row r="142" spans="1:57" hidden="1" outlineLevel="1" x14ac:dyDescent="0.25">
      <c r="B142" s="1580"/>
      <c r="C142" s="329"/>
      <c r="D142" s="1653" t="s">
        <v>25</v>
      </c>
      <c r="E142" s="377" t="s">
        <v>659</v>
      </c>
      <c r="F142" s="1648">
        <v>3</v>
      </c>
      <c r="G142" s="1648"/>
      <c r="H142" s="1648">
        <v>3</v>
      </c>
      <c r="I142" s="1648"/>
      <c r="J142" s="2720"/>
      <c r="K142" s="2721"/>
      <c r="L142" s="355"/>
      <c r="M142" s="1494"/>
      <c r="N142" s="355"/>
      <c r="O142" s="355"/>
      <c r="P142" s="355"/>
      <c r="Q142" s="355"/>
      <c r="V142" s="220" t="s">
        <v>25</v>
      </c>
      <c r="W142" s="610">
        <v>3</v>
      </c>
      <c r="X142" s="610">
        <v>3</v>
      </c>
      <c r="Y142" s="610">
        <v>3</v>
      </c>
      <c r="Z142" s="610"/>
      <c r="AA142" s="610"/>
      <c r="AB142" s="610"/>
      <c r="AC142" s="610"/>
      <c r="AD142" s="610"/>
      <c r="AE142" s="610"/>
      <c r="AF142" s="610"/>
      <c r="AG142" s="610"/>
      <c r="AI142" s="610">
        <v>3</v>
      </c>
      <c r="AJ142" s="610">
        <v>3</v>
      </c>
      <c r="AK142" s="610">
        <v>3</v>
      </c>
      <c r="AL142" s="610"/>
      <c r="AM142" s="610"/>
      <c r="AN142" s="610"/>
      <c r="AO142" s="610"/>
      <c r="AP142" s="610"/>
      <c r="AQ142" s="610"/>
      <c r="AR142" s="610"/>
      <c r="AS142" s="610"/>
    </row>
    <row r="143" spans="1:57" collapsed="1" x14ac:dyDescent="0.25"/>
    <row r="145" spans="1:57" s="229" customFormat="1" x14ac:dyDescent="0.25">
      <c r="B145" s="2639" t="s">
        <v>1054</v>
      </c>
      <c r="C145" s="2640"/>
      <c r="D145" s="2640"/>
      <c r="E145" s="2640"/>
      <c r="F145" s="2640"/>
      <c r="G145" s="2640"/>
      <c r="H145" s="2640"/>
      <c r="I145" s="2641"/>
      <c r="J145" s="2641"/>
      <c r="K145" s="2641"/>
      <c r="L145" s="2641"/>
      <c r="M145" s="2641"/>
      <c r="N145" s="2642"/>
      <c r="V145" s="2639" t="str">
        <f>B145</f>
        <v xml:space="preserve">Low Flow Showerheads </v>
      </c>
      <c r="W145" s="2640"/>
      <c r="X145" s="2640"/>
      <c r="Y145" s="2640"/>
      <c r="Z145" s="2640"/>
      <c r="AA145" s="2640"/>
      <c r="AB145" s="2640"/>
      <c r="AC145" s="2615"/>
      <c r="AD145" s="2615"/>
      <c r="AE145" s="2615"/>
      <c r="AF145" s="2615"/>
      <c r="AG145" s="2615"/>
      <c r="AH145" s="2616"/>
      <c r="BD145" s="654"/>
      <c r="BE145" s="654"/>
    </row>
    <row r="146" spans="1:57" ht="15.75" customHeight="1" x14ac:dyDescent="0.25">
      <c r="D146" s="711"/>
      <c r="P146" s="698"/>
      <c r="Q146" s="698"/>
      <c r="R146" s="698"/>
    </row>
    <row r="147" spans="1:57" ht="48.75" customHeight="1" x14ac:dyDescent="0.25">
      <c r="C147" s="1641" t="s">
        <v>17</v>
      </c>
      <c r="D147" s="1641" t="s">
        <v>662</v>
      </c>
      <c r="E147" s="1641" t="s">
        <v>19</v>
      </c>
      <c r="F147" s="1641" t="s">
        <v>20</v>
      </c>
      <c r="G147" s="1641" t="s">
        <v>21</v>
      </c>
      <c r="H147" s="1641" t="s">
        <v>22</v>
      </c>
      <c r="I147" s="1641" t="s">
        <v>1007</v>
      </c>
      <c r="J147" s="1641" t="s">
        <v>23</v>
      </c>
      <c r="K147" s="1641" t="s">
        <v>24</v>
      </c>
      <c r="L147" s="1641" t="s">
        <v>25</v>
      </c>
      <c r="M147" s="1641" t="s">
        <v>26</v>
      </c>
      <c r="P147" s="698"/>
      <c r="Q147" s="698"/>
      <c r="R147" s="698"/>
      <c r="V147" s="55" t="s">
        <v>27</v>
      </c>
      <c r="W147" s="56">
        <f>$W$6</f>
        <v>43252</v>
      </c>
      <c r="X147" s="56">
        <f>$X$6</f>
        <v>43465</v>
      </c>
      <c r="Y147" s="56">
        <f>$Y$6</f>
        <v>43800</v>
      </c>
      <c r="Z147" s="56">
        <f>$Z$6</f>
        <v>43862</v>
      </c>
      <c r="AA147" s="56" t="str">
        <f>$AA$6</f>
        <v>-</v>
      </c>
      <c r="AB147" s="56" t="str">
        <f>$AB$6</f>
        <v>-</v>
      </c>
      <c r="AC147" s="56" t="str">
        <f>$AC$6</f>
        <v>-</v>
      </c>
      <c r="AD147" s="56" t="str">
        <f>$AD$6</f>
        <v>-</v>
      </c>
      <c r="AE147" s="56" t="str">
        <f>$AE$6</f>
        <v>-</v>
      </c>
      <c r="AF147" s="56" t="str">
        <f>$AF$6</f>
        <v>-</v>
      </c>
      <c r="AG147" s="56" t="str">
        <f>$AG$6</f>
        <v>-</v>
      </c>
      <c r="BB147" s="103" t="str">
        <f>$BB$6</f>
        <v>TRC (2020)</v>
      </c>
      <c r="BC147" s="103" t="str">
        <f>$BC$6</f>
        <v>Benefit Lookup</v>
      </c>
      <c r="BD147" s="334" t="str">
        <f>$BD$6</f>
        <v>Benefits (2019 $)</v>
      </c>
      <c r="BE147" s="334" t="str">
        <f>$BE$6</f>
        <v>Incremental Cost (2019 $)</v>
      </c>
    </row>
    <row r="148" spans="1:57" x14ac:dyDescent="0.25">
      <c r="C148" s="1942" t="s">
        <v>1055</v>
      </c>
      <c r="D148" s="2481" t="s">
        <v>939</v>
      </c>
      <c r="E148" s="1642" t="s">
        <v>1056</v>
      </c>
      <c r="F148" s="712">
        <f>ROUND($F$159*($F$160*$F$161-$F$162*$F$163)*$F$164*$F$165*$F$166/$F$167*$I$148*$F$175*$F$174,2)</f>
        <v>85.23</v>
      </c>
      <c r="G148" s="1699" t="s">
        <v>668</v>
      </c>
      <c r="H148" s="617">
        <f>VLOOKUP(G148,'CP FACTORS'!$A$3:$B$38, 2, FALSE)</f>
        <v>8.8731800000000003E-5</v>
      </c>
      <c r="I148" s="707">
        <f>$F$168*$F$169*($F$170-$F$171)/($F$172*$F$173)</f>
        <v>0.10883387049516556</v>
      </c>
      <c r="J148" s="153">
        <f t="shared" ref="J148:J149" si="8">ROUND(F148*H148,6)</f>
        <v>7.5630000000000003E-3</v>
      </c>
      <c r="K148" s="219">
        <f>H176</f>
        <v>10</v>
      </c>
      <c r="L148" s="713">
        <f>F177</f>
        <v>7</v>
      </c>
      <c r="M148" s="619" t="s">
        <v>37</v>
      </c>
      <c r="P148" s="698"/>
      <c r="Q148" s="714"/>
      <c r="R148" s="1894"/>
      <c r="V148" s="245" t="str">
        <f>F147</f>
        <v>kWh Annual Savings</v>
      </c>
      <c r="W148" s="660">
        <v>73.604221215365854</v>
      </c>
      <c r="X148" s="715">
        <v>59.397111130550108</v>
      </c>
      <c r="Y148" s="163">
        <v>85.23</v>
      </c>
      <c r="Z148" s="245"/>
      <c r="AA148" s="245"/>
      <c r="AB148" s="245"/>
      <c r="AC148" s="245"/>
      <c r="AD148" s="245"/>
      <c r="AE148" s="245"/>
      <c r="AF148" s="245"/>
      <c r="AG148" s="245"/>
      <c r="AH148" s="248"/>
      <c r="BB148" s="161">
        <f t="shared" ref="BB148:BB149" si="9">(BD148)/(BE148)</f>
        <v>4.3509875402502871</v>
      </c>
      <c r="BC148" s="69" t="str">
        <f>CONCATENATE(G148," ",K148," Year EUL")</f>
        <v>Water Heating RES 10 Year EUL</v>
      </c>
      <c r="BD148" s="581">
        <f>(INDEX('Avoided Cost Benefits'!$C$4:$C$857,MATCH(BC148,'Avoided Cost Benefits'!$A$4:$A$857,0)))*F148</f>
        <v>28.746496254603123</v>
      </c>
      <c r="BE148" s="582">
        <f>L148/(1.0595^(2020-2019))</f>
        <v>6.6068900424728643</v>
      </c>
    </row>
    <row r="149" spans="1:57" x14ac:dyDescent="0.25">
      <c r="C149" s="1942" t="s">
        <v>1057</v>
      </c>
      <c r="D149" s="2481" t="s">
        <v>797</v>
      </c>
      <c r="E149" s="1642" t="s">
        <v>1056</v>
      </c>
      <c r="F149" s="712">
        <f>ROUND($H$159*($H$160*$H$161-$H$162*$H$163)*$H$164*$H$165*$H$166/$H$167*$I$148*$H$175*$H$174,2)</f>
        <v>209.97</v>
      </c>
      <c r="G149" s="1699" t="s">
        <v>668</v>
      </c>
      <c r="H149" s="617">
        <f>VLOOKUP(G149,'CP FACTORS'!$A$3:$B$38, 2, FALSE)</f>
        <v>8.8731800000000003E-5</v>
      </c>
      <c r="I149" s="707">
        <f>$H$168*$H$169*($H$170-$H$171)/($H$172*$H$173)</f>
        <v>0.10883387049516556</v>
      </c>
      <c r="J149" s="153">
        <f t="shared" si="8"/>
        <v>1.8631000000000002E-2</v>
      </c>
      <c r="K149" s="219">
        <f>F176</f>
        <v>10</v>
      </c>
      <c r="L149" s="713">
        <f>H177</f>
        <v>7</v>
      </c>
      <c r="M149" s="619" t="s">
        <v>37</v>
      </c>
      <c r="P149" s="698"/>
      <c r="Q149" s="714"/>
      <c r="R149" s="1894"/>
      <c r="V149" s="1115" t="str">
        <f>V148</f>
        <v>kWh Annual Savings</v>
      </c>
      <c r="W149" s="94"/>
      <c r="X149" s="168">
        <v>259.13086719005258</v>
      </c>
      <c r="Y149" s="163">
        <v>209.97</v>
      </c>
      <c r="Z149" s="144"/>
      <c r="AA149" s="144"/>
      <c r="AB149" s="144"/>
      <c r="AC149" s="144"/>
      <c r="AD149" s="144"/>
      <c r="AE149" s="144"/>
      <c r="AF149" s="144"/>
      <c r="AG149" s="144"/>
      <c r="AH149" s="248"/>
      <c r="BB149" s="169">
        <f t="shared" si="9"/>
        <v>10.718958744882702</v>
      </c>
      <c r="BC149" s="73" t="str">
        <f>CONCATENATE(G149," ",K149," Year EUL")</f>
        <v>Water Heating RES 10 Year EUL</v>
      </c>
      <c r="BD149" s="586">
        <f>(INDEX('Avoided Cost Benefits'!$C$4:$C$857,MATCH(BC149,'Avoided Cost Benefits'!$A$4:$A$857,0)))*F149</f>
        <v>70.818981797242955</v>
      </c>
      <c r="BE149" s="587">
        <f>L149/(1.0595^(2020-2019))</f>
        <v>6.6068900424728643</v>
      </c>
    </row>
    <row r="150" spans="1:57" hidden="1" outlineLevel="1" x14ac:dyDescent="0.25">
      <c r="D150" s="697"/>
      <c r="E150" s="717"/>
      <c r="F150" s="1967"/>
      <c r="G150" s="332"/>
      <c r="H150" s="332"/>
      <c r="J150" s="332"/>
      <c r="K150" s="332"/>
      <c r="L150" s="332"/>
      <c r="P150" s="698"/>
      <c r="Q150" s="698"/>
      <c r="R150" s="1894"/>
    </row>
    <row r="151" spans="1:57" hidden="1" outlineLevel="1" x14ac:dyDescent="0.25">
      <c r="D151" s="259" t="s">
        <v>617</v>
      </c>
      <c r="E151" s="697"/>
      <c r="F151" s="332"/>
      <c r="G151" s="332"/>
      <c r="H151" s="332"/>
      <c r="I151" s="332"/>
      <c r="J151" s="332"/>
      <c r="K151" s="332"/>
      <c r="P151" s="698"/>
      <c r="Q151" s="698"/>
      <c r="R151" s="698"/>
    </row>
    <row r="152" spans="1:57" hidden="1" outlineLevel="1" x14ac:dyDescent="0.25">
      <c r="D152" s="697"/>
      <c r="E152" s="697"/>
      <c r="F152" s="332"/>
      <c r="G152" s="332"/>
      <c r="I152" s="332"/>
      <c r="J152" s="332"/>
      <c r="K152" s="332"/>
    </row>
    <row r="153" spans="1:57" hidden="1" outlineLevel="1" x14ac:dyDescent="0.25">
      <c r="D153" s="697"/>
      <c r="E153" s="697"/>
      <c r="F153" s="332"/>
      <c r="G153" s="332"/>
      <c r="I153" s="332"/>
      <c r="J153" s="332"/>
      <c r="K153" s="332"/>
    </row>
    <row r="154" spans="1:57" ht="24" hidden="1" customHeight="1" outlineLevel="1" x14ac:dyDescent="0.25">
      <c r="D154" s="697"/>
      <c r="E154" s="697"/>
      <c r="F154" s="332"/>
      <c r="G154" s="332"/>
      <c r="I154" s="332"/>
      <c r="J154" s="332"/>
      <c r="K154" s="332"/>
    </row>
    <row r="155" spans="1:57" hidden="1" outlineLevel="1" x14ac:dyDescent="0.25">
      <c r="D155" s="697"/>
      <c r="F155" s="332"/>
      <c r="G155" s="332"/>
      <c r="H155" s="332"/>
      <c r="I155" s="332"/>
      <c r="J155" s="332"/>
      <c r="K155" s="332"/>
    </row>
    <row r="156" spans="1:57" hidden="1" outlineLevel="1" x14ac:dyDescent="0.25">
      <c r="D156" s="697"/>
      <c r="F156" s="332"/>
      <c r="G156" s="332"/>
      <c r="H156" s="332"/>
      <c r="I156" s="332"/>
      <c r="J156" s="332"/>
      <c r="K156" s="332"/>
    </row>
    <row r="157" spans="1:57" hidden="1" outlineLevel="1" x14ac:dyDescent="0.25">
      <c r="D157" s="697"/>
      <c r="E157" s="697"/>
      <c r="F157" s="332"/>
      <c r="G157" s="332"/>
      <c r="H157" s="332"/>
      <c r="I157" s="332"/>
      <c r="J157" s="332"/>
      <c r="K157" s="332"/>
      <c r="M157" s="698"/>
      <c r="N157" s="698"/>
      <c r="V157" s="55" t="s">
        <v>27</v>
      </c>
      <c r="W157" s="56">
        <f>$W$6</f>
        <v>43252</v>
      </c>
      <c r="X157" s="56">
        <f>$X$6</f>
        <v>43465</v>
      </c>
      <c r="Y157" s="56">
        <f>$Y$6</f>
        <v>43800</v>
      </c>
      <c r="Z157" s="56">
        <f>$Z$6</f>
        <v>43862</v>
      </c>
      <c r="AA157" s="56" t="str">
        <f>$AA$6</f>
        <v>-</v>
      </c>
      <c r="AB157" s="56" t="str">
        <f>$AB$6</f>
        <v>-</v>
      </c>
      <c r="AC157" s="56" t="str">
        <f>$AC$6</f>
        <v>-</v>
      </c>
      <c r="AD157" s="56" t="str">
        <f>$AD$6</f>
        <v>-</v>
      </c>
      <c r="AE157" s="56" t="str">
        <f>$AE$6</f>
        <v>-</v>
      </c>
      <c r="AF157" s="56" t="str">
        <f>$AF$6</f>
        <v>-</v>
      </c>
      <c r="AG157" s="56" t="str">
        <f>$AG$6</f>
        <v>-</v>
      </c>
      <c r="AI157" s="747">
        <f>$W$6</f>
        <v>43252</v>
      </c>
      <c r="AJ157" s="747">
        <f>$X$6</f>
        <v>43465</v>
      </c>
      <c r="AK157" s="747">
        <f>$Y$6</f>
        <v>43800</v>
      </c>
      <c r="AL157" s="747">
        <f>$Z$6</f>
        <v>43862</v>
      </c>
      <c r="AM157" s="747" t="str">
        <f>$AA$6</f>
        <v>-</v>
      </c>
      <c r="AN157" s="747" t="str">
        <f>$AB$6</f>
        <v>-</v>
      </c>
      <c r="AO157" s="747" t="str">
        <f>$AC$6</f>
        <v>-</v>
      </c>
      <c r="AP157" s="747" t="str">
        <f>$AD$6</f>
        <v>-</v>
      </c>
      <c r="AQ157" s="747" t="str">
        <f>$AE$6</f>
        <v>-</v>
      </c>
      <c r="AR157" s="747" t="str">
        <f>$AF$6</f>
        <v>-</v>
      </c>
      <c r="AS157" s="747" t="str">
        <f>$AG$6</f>
        <v>-</v>
      </c>
    </row>
    <row r="158" spans="1:57" ht="15" hidden="1" customHeight="1" outlineLevel="1" x14ac:dyDescent="0.25">
      <c r="D158" s="1701" t="s">
        <v>618</v>
      </c>
      <c r="E158" s="1701" t="s">
        <v>619</v>
      </c>
      <c r="F158" s="1641" t="s">
        <v>974</v>
      </c>
      <c r="G158" s="1641" t="s">
        <v>975</v>
      </c>
      <c r="H158" s="1641" t="s">
        <v>976</v>
      </c>
      <c r="I158" s="1641" t="s">
        <v>977</v>
      </c>
      <c r="J158" s="1641" t="s">
        <v>621</v>
      </c>
      <c r="M158" s="664"/>
      <c r="N158" s="718"/>
      <c r="V158" s="79"/>
      <c r="W158" s="80" t="s">
        <v>974</v>
      </c>
      <c r="X158" s="80" t="s">
        <v>974</v>
      </c>
      <c r="Y158" s="80" t="s">
        <v>974</v>
      </c>
      <c r="Z158" s="80" t="s">
        <v>974</v>
      </c>
      <c r="AA158" s="80" t="s">
        <v>974</v>
      </c>
      <c r="AB158" s="80" t="s">
        <v>974</v>
      </c>
      <c r="AC158" s="80" t="s">
        <v>974</v>
      </c>
      <c r="AD158" s="80" t="s">
        <v>974</v>
      </c>
      <c r="AE158" s="80" t="s">
        <v>974</v>
      </c>
      <c r="AF158" s="80" t="s">
        <v>974</v>
      </c>
      <c r="AG158" s="80" t="s">
        <v>974</v>
      </c>
      <c r="AI158" s="80" t="s">
        <v>976</v>
      </c>
      <c r="AJ158" s="80" t="s">
        <v>976</v>
      </c>
      <c r="AK158" s="80" t="s">
        <v>976</v>
      </c>
      <c r="AL158" s="80" t="s">
        <v>976</v>
      </c>
      <c r="AM158" s="80" t="s">
        <v>976</v>
      </c>
      <c r="AN158" s="80" t="s">
        <v>976</v>
      </c>
      <c r="AO158" s="80" t="s">
        <v>976</v>
      </c>
      <c r="AP158" s="80" t="s">
        <v>976</v>
      </c>
      <c r="AQ158" s="80" t="s">
        <v>976</v>
      </c>
      <c r="AR158" s="80" t="s">
        <v>976</v>
      </c>
      <c r="AS158" s="80" t="s">
        <v>976</v>
      </c>
    </row>
    <row r="159" spans="1:57" s="624" customFormat="1" ht="30" hidden="1" outlineLevel="1" x14ac:dyDescent="0.25">
      <c r="A159" s="763"/>
      <c r="B159" s="763"/>
      <c r="C159" s="1955"/>
      <c r="D159" s="1642" t="s">
        <v>1011</v>
      </c>
      <c r="E159" s="1642" t="s">
        <v>1012</v>
      </c>
      <c r="F159" s="702">
        <v>0.46360000000000001</v>
      </c>
      <c r="G159" s="1968" t="s">
        <v>1013</v>
      </c>
      <c r="H159" s="719">
        <v>1</v>
      </c>
      <c r="I159" s="150" t="s">
        <v>1058</v>
      </c>
      <c r="J159" s="1650"/>
      <c r="K159" s="763"/>
      <c r="L159" s="177"/>
      <c r="M159" s="720"/>
      <c r="N159" s="720"/>
      <c r="O159" s="763"/>
      <c r="P159" s="763"/>
      <c r="Q159" s="763"/>
      <c r="R159" s="763"/>
      <c r="S159" s="763"/>
      <c r="T159" s="763"/>
      <c r="U159" s="763"/>
      <c r="V159" s="630" t="s">
        <v>1011</v>
      </c>
      <c r="W159" s="692">
        <v>0.4</v>
      </c>
      <c r="X159" s="703">
        <v>0.34429999999999999</v>
      </c>
      <c r="Y159" s="703">
        <v>0.46360000000000001</v>
      </c>
      <c r="Z159" s="665"/>
      <c r="AA159" s="665"/>
      <c r="AB159" s="665"/>
      <c r="AC159" s="665"/>
      <c r="AD159" s="665"/>
      <c r="AE159" s="665"/>
      <c r="AF159" s="665"/>
      <c r="AG159" s="665"/>
      <c r="AI159" s="1341" t="s">
        <v>965</v>
      </c>
      <c r="AJ159" s="665">
        <v>1</v>
      </c>
      <c r="AK159" s="665">
        <v>1</v>
      </c>
      <c r="AL159" s="721"/>
      <c r="AM159" s="721"/>
      <c r="AN159" s="721"/>
      <c r="AO159" s="721"/>
      <c r="AP159" s="721"/>
      <c r="AQ159" s="721"/>
      <c r="AR159" s="721"/>
      <c r="AS159" s="721"/>
      <c r="BD159" s="1"/>
      <c r="BE159" s="1"/>
    </row>
    <row r="160" spans="1:57" s="624" customFormat="1" ht="120" hidden="1" outlineLevel="1" x14ac:dyDescent="0.25">
      <c r="A160" s="763"/>
      <c r="B160" s="763"/>
      <c r="C160" s="1955"/>
      <c r="D160" s="1642" t="s">
        <v>1015</v>
      </c>
      <c r="E160" s="1642" t="s">
        <v>1059</v>
      </c>
      <c r="F160" s="61">
        <v>2.35</v>
      </c>
      <c r="G160" s="1642" t="s">
        <v>1060</v>
      </c>
      <c r="H160" s="722">
        <v>2.35</v>
      </c>
      <c r="I160" s="1642" t="s">
        <v>1061</v>
      </c>
      <c r="J160" s="1650"/>
      <c r="K160" s="763"/>
      <c r="L160" s="177"/>
      <c r="M160" s="664"/>
      <c r="N160" s="664"/>
      <c r="O160" s="763"/>
      <c r="P160" s="763"/>
      <c r="Q160" s="763"/>
      <c r="R160" s="763"/>
      <c r="S160" s="763"/>
      <c r="T160" s="763"/>
      <c r="U160" s="763"/>
      <c r="V160" s="630" t="s">
        <v>1015</v>
      </c>
      <c r="W160" s="657">
        <v>2.35</v>
      </c>
      <c r="X160" s="669">
        <v>2.35</v>
      </c>
      <c r="Y160" s="657">
        <v>2.35</v>
      </c>
      <c r="Z160" s="61"/>
      <c r="AA160" s="61"/>
      <c r="AB160" s="61"/>
      <c r="AC160" s="61"/>
      <c r="AD160" s="61"/>
      <c r="AE160" s="61"/>
      <c r="AF160" s="61"/>
      <c r="AG160" s="61"/>
      <c r="AI160" s="1341" t="s">
        <v>965</v>
      </c>
      <c r="AJ160" s="61">
        <v>2.35</v>
      </c>
      <c r="AK160" s="61">
        <v>2.35</v>
      </c>
      <c r="AL160" s="723"/>
      <c r="AM160" s="723"/>
      <c r="AN160" s="723"/>
      <c r="AO160" s="723"/>
      <c r="AP160" s="723"/>
      <c r="AQ160" s="723"/>
      <c r="AR160" s="723"/>
      <c r="AS160" s="723"/>
      <c r="BD160" s="1"/>
      <c r="BE160" s="1"/>
    </row>
    <row r="161" spans="1:57" s="624" customFormat="1" ht="60" hidden="1" outlineLevel="1" x14ac:dyDescent="0.25">
      <c r="A161" s="763"/>
      <c r="B161" s="763"/>
      <c r="C161" s="1955"/>
      <c r="D161" s="1642" t="s">
        <v>1018</v>
      </c>
      <c r="E161" s="1642" t="s">
        <v>1062</v>
      </c>
      <c r="F161" s="724">
        <v>7.8</v>
      </c>
      <c r="G161" s="1642" t="s">
        <v>1063</v>
      </c>
      <c r="H161" s="724">
        <v>7.8</v>
      </c>
      <c r="I161" s="1642" t="s">
        <v>1058</v>
      </c>
      <c r="J161" s="1685"/>
      <c r="K161" s="763"/>
      <c r="L161" s="177"/>
      <c r="M161" s="664"/>
      <c r="N161" s="664"/>
      <c r="O161" s="763"/>
      <c r="P161" s="763"/>
      <c r="Q161" s="763"/>
      <c r="R161" s="763"/>
      <c r="S161" s="763"/>
      <c r="T161" s="763"/>
      <c r="U161" s="763"/>
      <c r="V161" s="630" t="s">
        <v>1018</v>
      </c>
      <c r="W161" s="657">
        <v>7.8</v>
      </c>
      <c r="X161" s="657">
        <v>7.8</v>
      </c>
      <c r="Y161" s="657">
        <v>7.8</v>
      </c>
      <c r="Z161" s="725"/>
      <c r="AA161" s="725"/>
      <c r="AB161" s="725"/>
      <c r="AC161" s="725"/>
      <c r="AD161" s="725"/>
      <c r="AE161" s="725"/>
      <c r="AF161" s="725"/>
      <c r="AG161" s="725"/>
      <c r="AI161" s="1341" t="s">
        <v>965</v>
      </c>
      <c r="AJ161" s="724">
        <v>7.8</v>
      </c>
      <c r="AK161" s="724">
        <v>7.8</v>
      </c>
      <c r="AL161" s="723"/>
      <c r="AM161" s="723"/>
      <c r="AN161" s="723"/>
      <c r="AO161" s="723"/>
      <c r="AP161" s="723"/>
      <c r="AQ161" s="723"/>
      <c r="AR161" s="723"/>
      <c r="AS161" s="723"/>
      <c r="BD161" s="1"/>
      <c r="BE161" s="1"/>
    </row>
    <row r="162" spans="1:57" s="624" customFormat="1" ht="30" hidden="1" outlineLevel="1" x14ac:dyDescent="0.25">
      <c r="A162" s="763"/>
      <c r="B162" s="763"/>
      <c r="C162" s="1955"/>
      <c r="D162" s="1642" t="s">
        <v>1022</v>
      </c>
      <c r="E162" s="1642" t="s">
        <v>1064</v>
      </c>
      <c r="F162" s="724">
        <v>1.5</v>
      </c>
      <c r="G162" s="1642" t="s">
        <v>509</v>
      </c>
      <c r="H162" s="724">
        <v>1.5</v>
      </c>
      <c r="I162" s="1642" t="s">
        <v>1061</v>
      </c>
      <c r="J162" s="1685"/>
      <c r="K162" s="763"/>
      <c r="L162" s="177"/>
      <c r="M162" s="664"/>
      <c r="N162" s="664"/>
      <c r="O162" s="763"/>
      <c r="P162" s="763"/>
      <c r="Q162" s="763"/>
      <c r="R162" s="763"/>
      <c r="S162" s="763"/>
      <c r="T162" s="763"/>
      <c r="U162" s="763"/>
      <c r="V162" s="630" t="s">
        <v>1022</v>
      </c>
      <c r="W162" s="657">
        <v>1.5</v>
      </c>
      <c r="X162" s="657">
        <v>1.5</v>
      </c>
      <c r="Y162" s="657">
        <v>1.5</v>
      </c>
      <c r="Z162" s="725"/>
      <c r="AA162" s="725"/>
      <c r="AB162" s="725"/>
      <c r="AC162" s="725"/>
      <c r="AD162" s="725"/>
      <c r="AE162" s="725"/>
      <c r="AF162" s="725"/>
      <c r="AG162" s="725"/>
      <c r="AI162" s="1341" t="s">
        <v>965</v>
      </c>
      <c r="AJ162" s="724">
        <v>1.5</v>
      </c>
      <c r="AK162" s="724">
        <v>1.5</v>
      </c>
      <c r="AL162" s="514"/>
      <c r="AM162" s="514"/>
      <c r="AN162" s="514"/>
      <c r="AO162" s="514"/>
      <c r="AP162" s="514"/>
      <c r="AQ162" s="514"/>
      <c r="AR162" s="514"/>
      <c r="AS162" s="514"/>
      <c r="BD162" s="1"/>
      <c r="BE162" s="1"/>
    </row>
    <row r="163" spans="1:57" s="624" customFormat="1" ht="60" hidden="1" outlineLevel="1" x14ac:dyDescent="0.25">
      <c r="A163" s="763"/>
      <c r="B163" s="763"/>
      <c r="C163" s="1955"/>
      <c r="D163" s="1642" t="s">
        <v>1024</v>
      </c>
      <c r="E163" s="1642" t="s">
        <v>1065</v>
      </c>
      <c r="F163" s="724">
        <v>7.8</v>
      </c>
      <c r="G163" s="1642" t="s">
        <v>1020</v>
      </c>
      <c r="H163" s="670">
        <v>7.8</v>
      </c>
      <c r="I163" s="1642" t="s">
        <v>1058</v>
      </c>
      <c r="J163" s="1685"/>
      <c r="K163" s="763"/>
      <c r="L163" s="177"/>
      <c r="M163" s="664"/>
      <c r="N163" s="664"/>
      <c r="O163" s="763"/>
      <c r="P163" s="763"/>
      <c r="Q163" s="763"/>
      <c r="R163" s="763"/>
      <c r="S163" s="763"/>
      <c r="T163" s="763"/>
      <c r="U163" s="763"/>
      <c r="V163" s="630" t="s">
        <v>1024</v>
      </c>
      <c r="W163" s="657">
        <v>7.8</v>
      </c>
      <c r="X163" s="657">
        <v>7.8</v>
      </c>
      <c r="Y163" s="657">
        <v>7.8</v>
      </c>
      <c r="Z163" s="725"/>
      <c r="AA163" s="725"/>
      <c r="AB163" s="725"/>
      <c r="AC163" s="725"/>
      <c r="AD163" s="725"/>
      <c r="AE163" s="725"/>
      <c r="AF163" s="725"/>
      <c r="AG163" s="725"/>
      <c r="AI163" s="1341" t="s">
        <v>965</v>
      </c>
      <c r="AJ163" s="670">
        <v>7.8</v>
      </c>
      <c r="AK163" s="1699">
        <v>7.8</v>
      </c>
      <c r="AL163" s="723"/>
      <c r="AM163" s="723"/>
      <c r="AN163" s="723"/>
      <c r="AO163" s="723"/>
      <c r="AP163" s="723"/>
      <c r="AQ163" s="723"/>
      <c r="AR163" s="723"/>
      <c r="AS163" s="723"/>
      <c r="BD163" s="1"/>
      <c r="BE163" s="1"/>
    </row>
    <row r="164" spans="1:57" s="624" customFormat="1" ht="30" hidden="1" outlineLevel="1" x14ac:dyDescent="0.25">
      <c r="A164" s="763"/>
      <c r="B164" s="763"/>
      <c r="C164" s="1955"/>
      <c r="D164" s="1642" t="s">
        <v>683</v>
      </c>
      <c r="E164" s="1642" t="s">
        <v>1066</v>
      </c>
      <c r="F164" s="726">
        <v>4.2329545454545459</v>
      </c>
      <c r="G164" s="1968" t="s">
        <v>1013</v>
      </c>
      <c r="H164" s="673">
        <v>1.7767584097859328</v>
      </c>
      <c r="I164" s="1642" t="s">
        <v>1058</v>
      </c>
      <c r="J164" s="1685"/>
      <c r="K164" s="763"/>
      <c r="L164" s="763"/>
      <c r="M164" s="727"/>
      <c r="N164" s="727"/>
      <c r="O164" s="763"/>
      <c r="P164" s="763"/>
      <c r="Q164" s="763"/>
      <c r="R164" s="763"/>
      <c r="S164" s="763"/>
      <c r="T164" s="763"/>
      <c r="U164" s="763"/>
      <c r="V164" s="630" t="s">
        <v>683</v>
      </c>
      <c r="W164" s="656">
        <v>4.3185840707964598</v>
      </c>
      <c r="X164" s="622">
        <v>4.2926829268292686</v>
      </c>
      <c r="Y164" s="622">
        <v>4.2329545454545459</v>
      </c>
      <c r="Z164" s="725"/>
      <c r="AA164" s="725"/>
      <c r="AB164" s="725"/>
      <c r="AC164" s="725"/>
      <c r="AD164" s="725"/>
      <c r="AE164" s="725"/>
      <c r="AF164" s="725"/>
      <c r="AG164" s="725"/>
      <c r="AI164" s="1341" t="s">
        <v>965</v>
      </c>
      <c r="AJ164" s="616">
        <v>2</v>
      </c>
      <c r="AK164" s="712">
        <v>1.7767584097859328</v>
      </c>
      <c r="AL164" s="723"/>
      <c r="AM164" s="723"/>
      <c r="AN164" s="723"/>
      <c r="AO164" s="723"/>
      <c r="AP164" s="723"/>
      <c r="AQ164" s="723"/>
      <c r="AR164" s="723"/>
      <c r="AS164" s="723"/>
      <c r="BD164" s="1"/>
      <c r="BE164" s="1"/>
    </row>
    <row r="165" spans="1:57" s="624" customFormat="1" ht="60" hidden="1" outlineLevel="1" x14ac:dyDescent="0.25">
      <c r="A165" s="763"/>
      <c r="B165" s="763"/>
      <c r="C165" s="1955"/>
      <c r="D165" s="1642" t="s">
        <v>1067</v>
      </c>
      <c r="E165" s="1642" t="s">
        <v>1068</v>
      </c>
      <c r="F165" s="1699">
        <v>0.6</v>
      </c>
      <c r="G165" s="1642" t="s">
        <v>1069</v>
      </c>
      <c r="H165" s="61">
        <v>0.6</v>
      </c>
      <c r="I165" s="1642" t="s">
        <v>1058</v>
      </c>
      <c r="J165" s="1685"/>
      <c r="K165" s="763"/>
      <c r="L165" s="763"/>
      <c r="M165" s="664"/>
      <c r="N165" s="664"/>
      <c r="O165" s="763"/>
      <c r="P165" s="763"/>
      <c r="Q165" s="763"/>
      <c r="R165" s="763"/>
      <c r="S165" s="763"/>
      <c r="T165" s="763"/>
      <c r="U165" s="763"/>
      <c r="V165" s="630" t="s">
        <v>1067</v>
      </c>
      <c r="W165" s="657">
        <v>0.6</v>
      </c>
      <c r="X165" s="657">
        <v>0.6</v>
      </c>
      <c r="Y165" s="657">
        <v>0.6</v>
      </c>
      <c r="Z165" s="725"/>
      <c r="AA165" s="725"/>
      <c r="AB165" s="725"/>
      <c r="AC165" s="725"/>
      <c r="AD165" s="725"/>
      <c r="AE165" s="725"/>
      <c r="AF165" s="725"/>
      <c r="AG165" s="725"/>
      <c r="AI165" s="1341" t="s">
        <v>965</v>
      </c>
      <c r="AJ165" s="61">
        <v>0.6</v>
      </c>
      <c r="AK165" s="61">
        <v>0.6</v>
      </c>
      <c r="AL165" s="457"/>
      <c r="AM165" s="457"/>
      <c r="AN165" s="457"/>
      <c r="AO165" s="457"/>
      <c r="AP165" s="457"/>
      <c r="AQ165" s="457"/>
      <c r="AR165" s="457"/>
      <c r="AS165" s="457"/>
      <c r="BD165" s="1"/>
      <c r="BE165" s="1"/>
    </row>
    <row r="166" spans="1:57" s="624" customFormat="1" ht="30" hidden="1" outlineLevel="1" x14ac:dyDescent="0.25">
      <c r="A166" s="763"/>
      <c r="B166" s="763"/>
      <c r="C166" s="1955"/>
      <c r="D166" s="1642">
        <v>365.25</v>
      </c>
      <c r="E166" s="1642" t="s">
        <v>1070</v>
      </c>
      <c r="F166" s="724">
        <v>365</v>
      </c>
      <c r="G166" s="1642" t="s">
        <v>992</v>
      </c>
      <c r="H166" s="670">
        <v>365</v>
      </c>
      <c r="I166" s="1642" t="s">
        <v>1058</v>
      </c>
      <c r="J166" s="1685"/>
      <c r="K166" s="763"/>
      <c r="L166" s="763"/>
      <c r="M166" s="664"/>
      <c r="N166" s="664"/>
      <c r="O166" s="763"/>
      <c r="P166" s="763"/>
      <c r="Q166" s="763"/>
      <c r="R166" s="763"/>
      <c r="S166" s="763"/>
      <c r="T166" s="763"/>
      <c r="U166" s="763"/>
      <c r="V166" s="630">
        <v>365.25</v>
      </c>
      <c r="W166" s="657">
        <v>365</v>
      </c>
      <c r="X166" s="657">
        <v>365</v>
      </c>
      <c r="Y166" s="657">
        <v>365</v>
      </c>
      <c r="Z166" s="725"/>
      <c r="AA166" s="725"/>
      <c r="AB166" s="725"/>
      <c r="AC166" s="725"/>
      <c r="AD166" s="725"/>
      <c r="AE166" s="725"/>
      <c r="AF166" s="725"/>
      <c r="AG166" s="725"/>
      <c r="AI166" s="1341" t="s">
        <v>965</v>
      </c>
      <c r="AJ166" s="670">
        <v>365</v>
      </c>
      <c r="AK166" s="670">
        <v>365</v>
      </c>
      <c r="AL166" s="457"/>
      <c r="AM166" s="457"/>
      <c r="AN166" s="457"/>
      <c r="AO166" s="457"/>
      <c r="AP166" s="457"/>
      <c r="AQ166" s="457"/>
      <c r="AR166" s="457"/>
      <c r="AS166" s="457"/>
      <c r="BD166" s="1"/>
      <c r="BE166" s="1"/>
    </row>
    <row r="167" spans="1:57" s="624" customFormat="1" ht="30" hidden="1" outlineLevel="1" x14ac:dyDescent="0.25">
      <c r="A167" s="763"/>
      <c r="B167" s="763"/>
      <c r="C167" s="1955"/>
      <c r="D167" s="1642" t="s">
        <v>1071</v>
      </c>
      <c r="E167" s="1642" t="s">
        <v>1072</v>
      </c>
      <c r="F167" s="726">
        <v>1.9570000000000001</v>
      </c>
      <c r="G167" s="1968" t="s">
        <v>1013</v>
      </c>
      <c r="H167" s="616">
        <v>1.3371757925072045</v>
      </c>
      <c r="I167" s="1969" t="s">
        <v>1058</v>
      </c>
      <c r="J167" s="1685"/>
      <c r="K167" s="763"/>
      <c r="L167" s="763"/>
      <c r="M167" s="727"/>
      <c r="N167" s="727"/>
      <c r="O167" s="763"/>
      <c r="P167" s="763"/>
      <c r="Q167" s="763"/>
      <c r="R167" s="763"/>
      <c r="S167" s="763"/>
      <c r="T167" s="763"/>
      <c r="U167" s="763"/>
      <c r="V167" s="630" t="s">
        <v>1071</v>
      </c>
      <c r="W167" s="656">
        <v>2.0647058823529409</v>
      </c>
      <c r="X167" s="622">
        <v>2.0048076923076925</v>
      </c>
      <c r="Y167" s="622">
        <v>1.9570000000000001</v>
      </c>
      <c r="Z167" s="725"/>
      <c r="AA167" s="725"/>
      <c r="AB167" s="725"/>
      <c r="AC167" s="725"/>
      <c r="AD167" s="725"/>
      <c r="AE167" s="725"/>
      <c r="AF167" s="725"/>
      <c r="AG167" s="725"/>
      <c r="AI167" s="1341" t="s">
        <v>965</v>
      </c>
      <c r="AJ167" s="616">
        <v>1.22</v>
      </c>
      <c r="AK167" s="616">
        <v>1.3371757925072045</v>
      </c>
      <c r="AL167" s="728"/>
      <c r="AM167" s="728"/>
      <c r="AN167" s="728"/>
      <c r="AO167" s="728"/>
      <c r="AP167" s="728"/>
      <c r="AQ167" s="728"/>
      <c r="AR167" s="728"/>
      <c r="AS167" s="728"/>
      <c r="BD167" s="1"/>
      <c r="BE167" s="1"/>
    </row>
    <row r="168" spans="1:57" s="624" customFormat="1" hidden="1" outlineLevel="1" x14ac:dyDescent="0.25">
      <c r="A168" s="763"/>
      <c r="B168" s="763"/>
      <c r="C168" s="1955"/>
      <c r="D168" s="1642">
        <v>8.33</v>
      </c>
      <c r="E168" s="1680" t="s">
        <v>1033</v>
      </c>
      <c r="F168" s="724">
        <v>8.33</v>
      </c>
      <c r="G168" s="1680" t="s">
        <v>1034</v>
      </c>
      <c r="H168" s="1699">
        <v>8.33</v>
      </c>
      <c r="I168" s="1680"/>
      <c r="J168" s="1685"/>
      <c r="K168" s="763"/>
      <c r="L168" s="763"/>
      <c r="M168" s="664"/>
      <c r="N168" s="664"/>
      <c r="O168" s="763"/>
      <c r="P168" s="763"/>
      <c r="Q168" s="763"/>
      <c r="R168" s="763"/>
      <c r="S168" s="763"/>
      <c r="T168" s="763"/>
      <c r="U168" s="763"/>
      <c r="V168" s="630">
        <v>8.33</v>
      </c>
      <c r="W168" s="657">
        <v>8.33</v>
      </c>
      <c r="X168" s="729">
        <v>8.33</v>
      </c>
      <c r="Y168" s="729">
        <v>8.33</v>
      </c>
      <c r="Z168" s="725"/>
      <c r="AA168" s="725"/>
      <c r="AB168" s="725"/>
      <c r="AC168" s="725"/>
      <c r="AD168" s="725"/>
      <c r="AE168" s="725"/>
      <c r="AF168" s="725"/>
      <c r="AG168" s="725"/>
      <c r="AI168" s="1341" t="s">
        <v>965</v>
      </c>
      <c r="AJ168" s="1699">
        <v>8.33</v>
      </c>
      <c r="AK168" s="1699">
        <v>8.33</v>
      </c>
      <c r="AL168" s="457"/>
      <c r="AM168" s="457"/>
      <c r="AN168" s="457"/>
      <c r="AO168" s="457"/>
      <c r="AP168" s="457"/>
      <c r="AQ168" s="457"/>
      <c r="AR168" s="457"/>
      <c r="AS168" s="457"/>
      <c r="BD168" s="1"/>
      <c r="BE168" s="1"/>
    </row>
    <row r="169" spans="1:57" s="624" customFormat="1" ht="30" hidden="1" outlineLevel="1" x14ac:dyDescent="0.25">
      <c r="A169" s="763"/>
      <c r="B169" s="763"/>
      <c r="C169" s="1955"/>
      <c r="D169" s="1642">
        <v>1</v>
      </c>
      <c r="E169" s="1642" t="s">
        <v>1035</v>
      </c>
      <c r="F169" s="724">
        <v>1</v>
      </c>
      <c r="G169" s="1642" t="s">
        <v>1036</v>
      </c>
      <c r="H169" s="1699">
        <v>1</v>
      </c>
      <c r="I169" s="1642"/>
      <c r="J169" s="1685"/>
      <c r="K169" s="763"/>
      <c r="L169" s="763"/>
      <c r="M169" s="664"/>
      <c r="N169" s="664"/>
      <c r="O169" s="763"/>
      <c r="P169" s="763"/>
      <c r="Q169" s="763"/>
      <c r="R169" s="763"/>
      <c r="S169" s="763"/>
      <c r="T169" s="763"/>
      <c r="U169" s="763"/>
      <c r="V169" s="630">
        <v>1</v>
      </c>
      <c r="W169" s="657">
        <v>1</v>
      </c>
      <c r="X169" s="729">
        <v>1</v>
      </c>
      <c r="Y169" s="729">
        <v>1</v>
      </c>
      <c r="Z169" s="725"/>
      <c r="AA169" s="725"/>
      <c r="AB169" s="725"/>
      <c r="AC169" s="725"/>
      <c r="AD169" s="725"/>
      <c r="AE169" s="725"/>
      <c r="AF169" s="725"/>
      <c r="AG169" s="725"/>
      <c r="AI169" s="1341" t="s">
        <v>965</v>
      </c>
      <c r="AJ169" s="1699">
        <v>1</v>
      </c>
      <c r="AK169" s="1699">
        <v>1</v>
      </c>
      <c r="AL169" s="167"/>
      <c r="AM169" s="167"/>
      <c r="AN169" s="167"/>
      <c r="AO169" s="167"/>
      <c r="AP169" s="167"/>
      <c r="AQ169" s="167"/>
      <c r="AR169" s="167"/>
      <c r="AS169" s="167"/>
      <c r="BD169" s="1"/>
      <c r="BE169" s="1"/>
    </row>
    <row r="170" spans="1:57" s="624" customFormat="1" ht="105" hidden="1" outlineLevel="1" x14ac:dyDescent="0.25">
      <c r="A170" s="763"/>
      <c r="B170" s="763"/>
      <c r="C170" s="1955"/>
      <c r="D170" s="1642" t="s">
        <v>1073</v>
      </c>
      <c r="E170" s="1642" t="s">
        <v>1074</v>
      </c>
      <c r="F170" s="1699">
        <v>105</v>
      </c>
      <c r="G170" s="1642" t="s">
        <v>1075</v>
      </c>
      <c r="H170" s="157">
        <v>105</v>
      </c>
      <c r="I170" s="1642" t="s">
        <v>1058</v>
      </c>
      <c r="J170" s="1685"/>
      <c r="K170" s="763"/>
      <c r="L170" s="763"/>
      <c r="M170" s="664"/>
      <c r="N170" s="664"/>
      <c r="O170" s="763"/>
      <c r="P170" s="763"/>
      <c r="Q170" s="763"/>
      <c r="R170" s="763"/>
      <c r="S170" s="763"/>
      <c r="T170" s="763"/>
      <c r="U170" s="763"/>
      <c r="V170" s="630" t="s">
        <v>1073</v>
      </c>
      <c r="W170" s="657">
        <v>105</v>
      </c>
      <c r="X170" s="657">
        <v>105</v>
      </c>
      <c r="Y170" s="657">
        <v>105</v>
      </c>
      <c r="Z170" s="725"/>
      <c r="AA170" s="725"/>
      <c r="AB170" s="725"/>
      <c r="AC170" s="725"/>
      <c r="AD170" s="725"/>
      <c r="AE170" s="725"/>
      <c r="AF170" s="725"/>
      <c r="AG170" s="725"/>
      <c r="AI170" s="1341" t="s">
        <v>965</v>
      </c>
      <c r="AJ170" s="157">
        <v>105</v>
      </c>
      <c r="AK170" s="157">
        <v>105</v>
      </c>
      <c r="AL170" s="457"/>
      <c r="AM170" s="457"/>
      <c r="AN170" s="457"/>
      <c r="AO170" s="457"/>
      <c r="AP170" s="457"/>
      <c r="AQ170" s="457"/>
      <c r="AR170" s="457"/>
      <c r="AS170" s="457"/>
      <c r="BD170" s="1"/>
      <c r="BE170" s="1"/>
    </row>
    <row r="171" spans="1:57" s="624" customFormat="1" ht="60" hidden="1" outlineLevel="1" x14ac:dyDescent="0.25">
      <c r="A171" s="763"/>
      <c r="B171" s="763"/>
      <c r="C171" s="1955"/>
      <c r="D171" s="1642" t="s">
        <v>1040</v>
      </c>
      <c r="E171" s="1642" t="s">
        <v>1041</v>
      </c>
      <c r="F171" s="1699">
        <v>61.3</v>
      </c>
      <c r="G171" s="1642" t="s">
        <v>1042</v>
      </c>
      <c r="H171" s="730">
        <v>61.3</v>
      </c>
      <c r="I171" s="1680" t="s">
        <v>1058</v>
      </c>
      <c r="J171" s="1685"/>
      <c r="K171" s="763"/>
      <c r="L171" s="763"/>
      <c r="M171" s="664"/>
      <c r="N171" s="664"/>
      <c r="O171" s="763"/>
      <c r="P171" s="763"/>
      <c r="Q171" s="763"/>
      <c r="R171" s="763"/>
      <c r="S171" s="763"/>
      <c r="T171" s="763"/>
      <c r="U171" s="763"/>
      <c r="V171" s="630" t="s">
        <v>1040</v>
      </c>
      <c r="W171" s="657">
        <v>61.3</v>
      </c>
      <c r="X171" s="657">
        <v>61.3</v>
      </c>
      <c r="Y171" s="657">
        <v>61.3</v>
      </c>
      <c r="Z171" s="725"/>
      <c r="AA171" s="725"/>
      <c r="AB171" s="725"/>
      <c r="AC171" s="725"/>
      <c r="AD171" s="725"/>
      <c r="AE171" s="725"/>
      <c r="AF171" s="725"/>
      <c r="AG171" s="725"/>
      <c r="AI171" s="1341" t="s">
        <v>965</v>
      </c>
      <c r="AJ171" s="730">
        <v>61.3</v>
      </c>
      <c r="AK171" s="730">
        <v>61.3</v>
      </c>
      <c r="AL171" s="457"/>
      <c r="AM171" s="457"/>
      <c r="AN171" s="457"/>
      <c r="AO171" s="457"/>
      <c r="AP171" s="457"/>
      <c r="AQ171" s="457"/>
      <c r="AR171" s="457"/>
      <c r="AS171" s="457"/>
      <c r="BD171" s="1"/>
      <c r="BE171" s="1"/>
    </row>
    <row r="172" spans="1:57" s="624" customFormat="1" ht="75" hidden="1" outlineLevel="1" x14ac:dyDescent="0.25">
      <c r="A172" s="763"/>
      <c r="B172" s="763"/>
      <c r="C172" s="1955"/>
      <c r="D172" s="1642" t="s">
        <v>1043</v>
      </c>
      <c r="E172" s="1642" t="s">
        <v>1044</v>
      </c>
      <c r="F172" s="1699">
        <v>0.98</v>
      </c>
      <c r="G172" s="1680" t="s">
        <v>1045</v>
      </c>
      <c r="H172" s="1699">
        <v>0.98</v>
      </c>
      <c r="I172" s="1680" t="s">
        <v>1058</v>
      </c>
      <c r="J172" s="1685"/>
      <c r="K172" s="763"/>
      <c r="L172" s="763"/>
      <c r="M172" s="664"/>
      <c r="N172" s="664"/>
      <c r="O172" s="763"/>
      <c r="P172" s="763"/>
      <c r="Q172" s="763"/>
      <c r="R172" s="763"/>
      <c r="S172" s="763"/>
      <c r="T172" s="763"/>
      <c r="U172" s="763"/>
      <c r="V172" s="630" t="s">
        <v>1043</v>
      </c>
      <c r="W172" s="657">
        <v>0.98</v>
      </c>
      <c r="X172" s="657">
        <v>0.98</v>
      </c>
      <c r="Y172" s="657">
        <v>0.98</v>
      </c>
      <c r="Z172" s="725"/>
      <c r="AA172" s="725"/>
      <c r="AB172" s="725"/>
      <c r="AC172" s="725"/>
      <c r="AD172" s="725"/>
      <c r="AE172" s="725"/>
      <c r="AF172" s="725"/>
      <c r="AG172" s="725"/>
      <c r="AI172" s="1341" t="s">
        <v>965</v>
      </c>
      <c r="AJ172" s="1699">
        <v>0.98</v>
      </c>
      <c r="AK172" s="1699">
        <v>0.98</v>
      </c>
      <c r="AL172" s="457"/>
      <c r="AM172" s="457"/>
      <c r="AN172" s="457"/>
      <c r="AO172" s="457"/>
      <c r="AP172" s="457"/>
      <c r="AQ172" s="457"/>
      <c r="AR172" s="457"/>
      <c r="AS172" s="457"/>
      <c r="BD172" s="1"/>
      <c r="BE172" s="1"/>
    </row>
    <row r="173" spans="1:57" s="624" customFormat="1" ht="30" hidden="1" outlineLevel="1" x14ac:dyDescent="0.25">
      <c r="A173" s="763"/>
      <c r="B173" s="763"/>
      <c r="C173" s="1955"/>
      <c r="D173" s="1642">
        <v>3412</v>
      </c>
      <c r="E173" s="1680" t="s">
        <v>1046</v>
      </c>
      <c r="F173" s="686">
        <v>3413</v>
      </c>
      <c r="G173" s="1680" t="s">
        <v>701</v>
      </c>
      <c r="H173" s="686">
        <v>3413</v>
      </c>
      <c r="I173" s="1680" t="s">
        <v>1058</v>
      </c>
      <c r="J173" s="1685"/>
      <c r="K173" s="763"/>
      <c r="L173" s="763"/>
      <c r="M173" s="731"/>
      <c r="N173" s="731"/>
      <c r="O173" s="763"/>
      <c r="P173" s="763"/>
      <c r="Q173" s="763"/>
      <c r="R173" s="763"/>
      <c r="S173" s="763"/>
      <c r="T173" s="763"/>
      <c r="U173" s="763"/>
      <c r="V173" s="630">
        <v>3412</v>
      </c>
      <c r="W173" s="710">
        <v>3412</v>
      </c>
      <c r="X173" s="710">
        <v>3412</v>
      </c>
      <c r="Y173" s="732">
        <v>3413</v>
      </c>
      <c r="Z173" s="725"/>
      <c r="AA173" s="725"/>
      <c r="AB173" s="725"/>
      <c r="AC173" s="725"/>
      <c r="AD173" s="725"/>
      <c r="AE173" s="725"/>
      <c r="AF173" s="725"/>
      <c r="AG173" s="725"/>
      <c r="AI173" s="1341" t="s">
        <v>965</v>
      </c>
      <c r="AJ173" s="686">
        <v>3412</v>
      </c>
      <c r="AK173" s="686">
        <v>3413</v>
      </c>
      <c r="AL173" s="733"/>
      <c r="AM173" s="733"/>
      <c r="AN173" s="733"/>
      <c r="AO173" s="733"/>
      <c r="AP173" s="733"/>
      <c r="AQ173" s="733"/>
      <c r="AR173" s="733"/>
      <c r="AS173" s="733"/>
      <c r="BD173" s="1"/>
      <c r="BE173" s="1"/>
    </row>
    <row r="174" spans="1:57" s="624" customFormat="1" ht="30" hidden="1" outlineLevel="1" x14ac:dyDescent="0.25">
      <c r="A174" s="763"/>
      <c r="B174" s="763"/>
      <c r="C174" s="1955"/>
      <c r="D174" s="1642" t="s">
        <v>956</v>
      </c>
      <c r="E174" s="1642" t="s">
        <v>1001</v>
      </c>
      <c r="F174" s="734">
        <v>0.91869999999999996</v>
      </c>
      <c r="G174" s="150" t="s">
        <v>1013</v>
      </c>
      <c r="H174" s="735">
        <v>1</v>
      </c>
      <c r="I174" s="1680" t="s">
        <v>1058</v>
      </c>
      <c r="J174" s="1685"/>
      <c r="K174" s="763"/>
      <c r="L174" s="763"/>
      <c r="M174" s="720"/>
      <c r="N174" s="720"/>
      <c r="O174" s="763"/>
      <c r="P174" s="763"/>
      <c r="Q174" s="763"/>
      <c r="R174" s="763"/>
      <c r="S174" s="763"/>
      <c r="T174" s="763"/>
      <c r="U174" s="763"/>
      <c r="V174" s="630" t="s">
        <v>956</v>
      </c>
      <c r="W174" s="695">
        <v>0.86</v>
      </c>
      <c r="X174" s="736">
        <v>0.89859999999999995</v>
      </c>
      <c r="Y174" s="736">
        <v>0.91869999999999996</v>
      </c>
      <c r="Z174" s="725"/>
      <c r="AA174" s="725"/>
      <c r="AB174" s="725"/>
      <c r="AC174" s="725"/>
      <c r="AD174" s="725"/>
      <c r="AE174" s="725"/>
      <c r="AF174" s="725"/>
      <c r="AG174" s="725"/>
      <c r="AI174" s="1341" t="s">
        <v>965</v>
      </c>
      <c r="AJ174" s="1341">
        <v>1</v>
      </c>
      <c r="AK174" s="1341">
        <v>1</v>
      </c>
      <c r="AL174" s="737"/>
      <c r="AM174" s="737"/>
      <c r="AN174" s="737"/>
      <c r="AO174" s="737"/>
      <c r="AP174" s="737"/>
      <c r="AQ174" s="737"/>
      <c r="AR174" s="737"/>
      <c r="AS174" s="737"/>
      <c r="BD174" s="1"/>
      <c r="BE174" s="1"/>
    </row>
    <row r="175" spans="1:57" s="624" customFormat="1" ht="31.5" hidden="1" customHeight="1" outlineLevel="1" x14ac:dyDescent="0.25">
      <c r="A175" s="763"/>
      <c r="B175" s="763"/>
      <c r="C175" s="1955"/>
      <c r="D175" s="1642" t="s">
        <v>82</v>
      </c>
      <c r="E175" s="1642" t="s">
        <v>731</v>
      </c>
      <c r="F175" s="738">
        <v>0.58549222797927458</v>
      </c>
      <c r="G175" s="150" t="s">
        <v>1013</v>
      </c>
      <c r="H175" s="735">
        <v>1</v>
      </c>
      <c r="I175" s="1680" t="s">
        <v>1058</v>
      </c>
      <c r="J175" s="1685"/>
      <c r="K175" s="763"/>
      <c r="L175" s="763"/>
      <c r="M175" s="720"/>
      <c r="N175" s="720"/>
      <c r="O175" s="763"/>
      <c r="P175" s="763"/>
      <c r="Q175" s="763"/>
      <c r="R175" s="763"/>
      <c r="S175" s="763"/>
      <c r="T175" s="763"/>
      <c r="U175" s="763"/>
      <c r="V175" s="630" t="s">
        <v>82</v>
      </c>
      <c r="W175" s="695">
        <v>0.64716066481994461</v>
      </c>
      <c r="X175" s="736">
        <v>0.5672268907563025</v>
      </c>
      <c r="Y175" s="736">
        <v>0.58549222797927458</v>
      </c>
      <c r="Z175" s="61"/>
      <c r="AA175" s="61"/>
      <c r="AB175" s="61"/>
      <c r="AC175" s="61"/>
      <c r="AD175" s="61"/>
      <c r="AE175" s="61"/>
      <c r="AF175" s="61"/>
      <c r="AG175" s="61"/>
      <c r="AI175" s="1341" t="s">
        <v>965</v>
      </c>
      <c r="AJ175" s="1341">
        <v>1</v>
      </c>
      <c r="AK175" s="1341">
        <v>1</v>
      </c>
      <c r="AL175" s="737"/>
      <c r="AM175" s="737"/>
      <c r="AN175" s="737"/>
      <c r="AO175" s="737"/>
      <c r="AP175" s="737"/>
      <c r="AQ175" s="737"/>
      <c r="AR175" s="737"/>
      <c r="AS175" s="737"/>
      <c r="BD175" s="1"/>
      <c r="BE175" s="1"/>
    </row>
    <row r="176" spans="1:57" hidden="1" outlineLevel="1" x14ac:dyDescent="0.25">
      <c r="B176" s="1580"/>
      <c r="C176" s="329"/>
      <c r="D176" s="377" t="s">
        <v>961</v>
      </c>
      <c r="E176" s="377" t="s">
        <v>657</v>
      </c>
      <c r="F176" s="1647">
        <v>10</v>
      </c>
      <c r="G176" s="1642"/>
      <c r="H176" s="1647">
        <v>10</v>
      </c>
      <c r="I176" s="1647"/>
      <c r="J176" s="1685"/>
      <c r="K176" s="763"/>
      <c r="L176" s="355"/>
      <c r="M176" s="1494"/>
      <c r="N176" s="355"/>
      <c r="O176" s="355"/>
      <c r="P176" s="355"/>
      <c r="Q176" s="355"/>
      <c r="V176" s="217" t="s">
        <v>961</v>
      </c>
      <c r="W176" s="608">
        <v>10</v>
      </c>
      <c r="X176" s="608">
        <v>10</v>
      </c>
      <c r="Y176" s="608">
        <v>10</v>
      </c>
      <c r="Z176" s="608"/>
      <c r="AA176" s="608"/>
      <c r="AB176" s="608"/>
      <c r="AC176" s="608"/>
      <c r="AD176" s="608"/>
      <c r="AE176" s="608"/>
      <c r="AF176" s="608"/>
      <c r="AG176" s="608"/>
      <c r="AI176" s="1341" t="s">
        <v>965</v>
      </c>
      <c r="AJ176" s="1647">
        <v>10</v>
      </c>
      <c r="AK176" s="608">
        <v>10</v>
      </c>
      <c r="AL176" s="739"/>
      <c r="AM176" s="739"/>
      <c r="AN176" s="739"/>
      <c r="AO176" s="739"/>
      <c r="AP176" s="739"/>
      <c r="AQ176" s="739"/>
      <c r="AR176" s="739"/>
      <c r="AS176" s="739"/>
    </row>
    <row r="177" spans="2:57" hidden="1" outlineLevel="1" x14ac:dyDescent="0.25">
      <c r="B177" s="1580"/>
      <c r="C177" s="329"/>
      <c r="D177" s="1653" t="s">
        <v>25</v>
      </c>
      <c r="E177" s="377" t="s">
        <v>659</v>
      </c>
      <c r="F177" s="1648">
        <v>7</v>
      </c>
      <c r="G177" s="1642"/>
      <c r="H177" s="1648">
        <v>7</v>
      </c>
      <c r="I177" s="1648"/>
      <c r="J177" s="1685"/>
      <c r="K177" s="763"/>
      <c r="L177" s="355"/>
      <c r="M177" s="1494"/>
      <c r="N177" s="355"/>
      <c r="O177" s="355"/>
      <c r="P177" s="355"/>
      <c r="Q177" s="355"/>
      <c r="V177" s="220" t="s">
        <v>25</v>
      </c>
      <c r="W177" s="610">
        <v>7</v>
      </c>
      <c r="X177" s="610">
        <v>7</v>
      </c>
      <c r="Y177" s="610">
        <v>7</v>
      </c>
      <c r="Z177" s="611"/>
      <c r="AA177" s="611"/>
      <c r="AB177" s="611"/>
      <c r="AC177" s="611"/>
      <c r="AD177" s="611"/>
      <c r="AE177" s="611"/>
      <c r="AF177" s="611"/>
      <c r="AG177" s="611"/>
      <c r="AI177" s="1341" t="s">
        <v>965</v>
      </c>
      <c r="AJ177" s="1648">
        <v>7</v>
      </c>
      <c r="AK177" s="610">
        <v>7</v>
      </c>
      <c r="AL177" s="741"/>
      <c r="AM177" s="741"/>
      <c r="AN177" s="741"/>
      <c r="AO177" s="741"/>
      <c r="AP177" s="741"/>
      <c r="AQ177" s="741"/>
      <c r="AR177" s="741"/>
      <c r="AS177" s="741"/>
    </row>
    <row r="178" spans="2:57" collapsed="1" x14ac:dyDescent="0.25"/>
    <row r="180" spans="2:57" s="229" customFormat="1" x14ac:dyDescent="0.25">
      <c r="B180" s="2639" t="s">
        <v>1076</v>
      </c>
      <c r="C180" s="2640"/>
      <c r="D180" s="2640"/>
      <c r="E180" s="2640"/>
      <c r="F180" s="2640"/>
      <c r="G180" s="2640"/>
      <c r="H180" s="2640"/>
      <c r="I180" s="2641"/>
      <c r="J180" s="2641"/>
      <c r="K180" s="2641"/>
      <c r="L180" s="2641"/>
      <c r="M180" s="2641"/>
      <c r="N180" s="2642"/>
      <c r="V180" s="2639" t="str">
        <f>B180</f>
        <v>Pipe Insulation</v>
      </c>
      <c r="W180" s="2640"/>
      <c r="X180" s="2640"/>
      <c r="Y180" s="2640"/>
      <c r="Z180" s="2640"/>
      <c r="AA180" s="2640"/>
      <c r="AB180" s="2640"/>
      <c r="AC180" s="2615"/>
      <c r="AD180" s="2615"/>
      <c r="AE180" s="2615"/>
      <c r="AF180" s="2615"/>
      <c r="AG180" s="2615"/>
      <c r="AH180" s="2616"/>
      <c r="BD180" s="654"/>
      <c r="BE180" s="654"/>
    </row>
    <row r="181" spans="2:57" ht="18" customHeight="1" x14ac:dyDescent="0.25"/>
    <row r="182" spans="2:57" ht="30" x14ac:dyDescent="0.25">
      <c r="C182" s="1641" t="s">
        <v>17</v>
      </c>
      <c r="D182" s="1641" t="s">
        <v>662</v>
      </c>
      <c r="E182" s="1641" t="s">
        <v>19</v>
      </c>
      <c r="F182" s="1641" t="s">
        <v>20</v>
      </c>
      <c r="G182" s="1641" t="s">
        <v>21</v>
      </c>
      <c r="H182" s="1641" t="s">
        <v>22</v>
      </c>
      <c r="I182" s="1641" t="s">
        <v>23</v>
      </c>
      <c r="J182" s="1641" t="s">
        <v>24</v>
      </c>
      <c r="K182" s="1641" t="s">
        <v>25</v>
      </c>
      <c r="L182" s="1641" t="s">
        <v>26</v>
      </c>
      <c r="P182" s="911"/>
      <c r="Q182" s="911"/>
      <c r="V182" s="55" t="s">
        <v>27</v>
      </c>
      <c r="W182" s="56">
        <f>$W$6</f>
        <v>43252</v>
      </c>
      <c r="X182" s="56">
        <f>$X$6</f>
        <v>43465</v>
      </c>
      <c r="Y182" s="56">
        <f>$Y$6</f>
        <v>43800</v>
      </c>
      <c r="Z182" s="56">
        <f>$Z$6</f>
        <v>43862</v>
      </c>
      <c r="AA182" s="56" t="str">
        <f>$AA$6</f>
        <v>-</v>
      </c>
      <c r="AB182" s="56" t="str">
        <f>$AB$6</f>
        <v>-</v>
      </c>
      <c r="AC182" s="56" t="str">
        <f>$AC$6</f>
        <v>-</v>
      </c>
      <c r="AD182" s="56" t="str">
        <f>$AD$6</f>
        <v>-</v>
      </c>
      <c r="AE182" s="56" t="str">
        <f>$AE$6</f>
        <v>-</v>
      </c>
      <c r="AF182" s="56" t="str">
        <f>$AF$6</f>
        <v>-</v>
      </c>
      <c r="AG182" s="56" t="str">
        <f>$AG$6</f>
        <v>-</v>
      </c>
      <c r="AH182" s="663"/>
      <c r="AI182" s="663"/>
      <c r="AJ182" s="663"/>
      <c r="AK182" s="663"/>
      <c r="AL182" s="663"/>
      <c r="AM182" s="663"/>
      <c r="AN182" s="663"/>
      <c r="AO182" s="663"/>
      <c r="AP182" s="663"/>
      <c r="AQ182" s="663"/>
      <c r="AR182" s="663"/>
      <c r="AS182" s="663"/>
      <c r="BB182" s="103" t="str">
        <f>$BB$6</f>
        <v>TRC (2020)</v>
      </c>
      <c r="BC182" s="103" t="str">
        <f>$BC$6</f>
        <v>Benefit Lookup</v>
      </c>
      <c r="BD182" s="334" t="str">
        <f>$BD$6</f>
        <v>Benefits (2019 $)</v>
      </c>
      <c r="BE182" s="334" t="str">
        <f>$BE$6</f>
        <v>Incremental Cost (2019 $)</v>
      </c>
    </row>
    <row r="183" spans="2:57" x14ac:dyDescent="0.25">
      <c r="C183" s="1942" t="s">
        <v>1077</v>
      </c>
      <c r="D183" s="2481" t="s">
        <v>939</v>
      </c>
      <c r="E183" s="1642" t="s">
        <v>1076</v>
      </c>
      <c r="F183" s="712">
        <f>ROUND(((((F191/F192)-(F193/F194))*F195*F196*F197)/(F198*F199))*F200*F201*F202,2)</f>
        <v>4.09</v>
      </c>
      <c r="G183" s="1699" t="s">
        <v>668</v>
      </c>
      <c r="H183" s="617">
        <f>VLOOKUP(G183,'CP FACTORS'!$A$3:$B$38, 2, FALSE)</f>
        <v>8.8731800000000003E-5</v>
      </c>
      <c r="I183" s="618">
        <f t="shared" ref="I183:I184" si="10">ROUND(F183*H183,6)</f>
        <v>3.6299999999999999E-4</v>
      </c>
      <c r="J183" s="219">
        <f>F205</f>
        <v>12</v>
      </c>
      <c r="K183" s="742">
        <f>F206</f>
        <v>2.87</v>
      </c>
      <c r="L183" s="1970" t="s">
        <v>1078</v>
      </c>
      <c r="M183" s="493"/>
      <c r="P183" s="229"/>
      <c r="Q183" s="714"/>
      <c r="R183" s="1894"/>
      <c r="S183" s="785"/>
      <c r="T183" s="1951"/>
      <c r="U183" s="911"/>
      <c r="V183" s="245" t="str">
        <f>F182</f>
        <v>kWh Annual Savings</v>
      </c>
      <c r="W183" s="101">
        <v>10.441734565420308</v>
      </c>
      <c r="X183" s="743">
        <v>3.3686994747178916</v>
      </c>
      <c r="Y183" s="744">
        <v>4.09</v>
      </c>
      <c r="Z183" s="745"/>
      <c r="AA183" s="745"/>
      <c r="AB183" s="745"/>
      <c r="AC183" s="745"/>
      <c r="AD183" s="745"/>
      <c r="AE183" s="745"/>
      <c r="AF183" s="745"/>
      <c r="AG183" s="745"/>
      <c r="AH183" s="248"/>
      <c r="BB183" s="161">
        <f t="shared" ref="BB183:BB184" si="11">(BD183)/(BE183)</f>
        <v>0.60902631985876754</v>
      </c>
      <c r="BC183" s="69" t="str">
        <f>CONCATENATE(G183," ",J183," Year EUL")</f>
        <v>Water Heating RES 12 Year EUL</v>
      </c>
      <c r="BD183" s="581">
        <f>(INDEX('Avoided Cost Benefits'!$C$4:$C$857,MATCH(BC183,'Avoided Cost Benefits'!$A$4:$A$857,0)))*F183</f>
        <v>1.6497456705943017</v>
      </c>
      <c r="BE183" s="582">
        <f>K183/(1.0595^(2020-2019))</f>
        <v>2.7088249174138741</v>
      </c>
    </row>
    <row r="184" spans="2:57" x14ac:dyDescent="0.25">
      <c r="C184" s="1942" t="s">
        <v>1079</v>
      </c>
      <c r="D184" s="637" t="s">
        <v>797</v>
      </c>
      <c r="E184" s="1642" t="s">
        <v>1076</v>
      </c>
      <c r="F184" s="712">
        <f>ROUND(((((H191/H192)-(H193/H194))*H195*H196*H197)/(H198*H199))*H200*H201*H202,2)</f>
        <v>15.01</v>
      </c>
      <c r="G184" s="1699" t="s">
        <v>668</v>
      </c>
      <c r="H184" s="617">
        <f>VLOOKUP(G184,'CP FACTORS'!$A$3:$B$38, 2, FALSE)</f>
        <v>8.8731800000000003E-5</v>
      </c>
      <c r="I184" s="618">
        <f t="shared" si="10"/>
        <v>1.3320000000000001E-3</v>
      </c>
      <c r="J184" s="219">
        <f>H205</f>
        <v>12</v>
      </c>
      <c r="K184" s="742">
        <f>H206</f>
        <v>2.87</v>
      </c>
      <c r="L184" s="1970" t="s">
        <v>1078</v>
      </c>
      <c r="M184" s="493"/>
      <c r="O184" s="332"/>
      <c r="P184" s="229"/>
      <c r="Q184" s="229"/>
      <c r="R184" s="1894"/>
      <c r="S184" s="785"/>
      <c r="T184" s="911"/>
      <c r="U184" s="911"/>
      <c r="V184" s="245" t="str">
        <f>V183</f>
        <v>kWh Annual Savings</v>
      </c>
      <c r="W184" s="101">
        <v>16.471996316343358</v>
      </c>
      <c r="X184" s="97">
        <v>16.471996316343358</v>
      </c>
      <c r="Y184" s="744">
        <v>15.01</v>
      </c>
      <c r="Z184" s="745"/>
      <c r="AA184" s="745"/>
      <c r="AB184" s="745"/>
      <c r="AC184" s="745"/>
      <c r="AD184" s="745"/>
      <c r="AE184" s="745"/>
      <c r="AF184" s="745"/>
      <c r="AG184" s="745"/>
      <c r="AH184" s="248"/>
      <c r="BB184" s="169">
        <f t="shared" si="11"/>
        <v>2.2350819220244746</v>
      </c>
      <c r="BC184" s="73" t="str">
        <f>CONCATENATE(G184," ",J184," Year EUL")</f>
        <v>Water Heating RES 12 Year EUL</v>
      </c>
      <c r="BD184" s="586">
        <f>(INDEX('Avoided Cost Benefits'!$C$4:$C$857,MATCH(BC184,'Avoided Cost Benefits'!$A$4:$A$857,0)))*F184</f>
        <v>6.0544456028411906</v>
      </c>
      <c r="BE184" s="587">
        <f>K184/(1.0595^(2020-2019))</f>
        <v>2.7088249174138741</v>
      </c>
    </row>
    <row r="185" spans="2:57" hidden="1" outlineLevel="1" x14ac:dyDescent="0.25">
      <c r="O185" s="332"/>
      <c r="P185" s="229"/>
      <c r="Q185" s="229"/>
    </row>
    <row r="186" spans="2:57" hidden="1" outlineLevel="1" x14ac:dyDescent="0.25">
      <c r="D186" s="259" t="s">
        <v>617</v>
      </c>
      <c r="O186" s="1971"/>
      <c r="P186" s="1971"/>
      <c r="Q186" s="1971"/>
    </row>
    <row r="187" spans="2:57" hidden="1" outlineLevel="1" x14ac:dyDescent="0.25">
      <c r="O187" s="1971"/>
      <c r="P187" s="1971"/>
      <c r="Q187" s="1971"/>
    </row>
    <row r="188" spans="2:57" hidden="1" outlineLevel="1" x14ac:dyDescent="0.25">
      <c r="M188" s="757"/>
      <c r="N188" s="332"/>
      <c r="O188" s="332"/>
      <c r="P188" s="332"/>
      <c r="Q188" s="332"/>
    </row>
    <row r="189" spans="2:57" hidden="1" outlineLevel="1" x14ac:dyDescent="0.25">
      <c r="M189" s="757"/>
      <c r="N189" s="332"/>
      <c r="O189" s="332"/>
      <c r="P189" s="332"/>
      <c r="V189" s="746" t="s">
        <v>27</v>
      </c>
      <c r="W189" s="747">
        <f>$W$6</f>
        <v>43252</v>
      </c>
      <c r="X189" s="747">
        <f>$X$6</f>
        <v>43465</v>
      </c>
      <c r="Y189" s="747">
        <f>$Y$6</f>
        <v>43800</v>
      </c>
      <c r="Z189" s="747">
        <f>$Z$6</f>
        <v>43862</v>
      </c>
      <c r="AA189" s="747" t="str">
        <f>$AA$6</f>
        <v>-</v>
      </c>
      <c r="AB189" s="747" t="str">
        <f>$AB$6</f>
        <v>-</v>
      </c>
      <c r="AC189" s="747" t="str">
        <f>$AC$6</f>
        <v>-</v>
      </c>
      <c r="AD189" s="747" t="str">
        <f>$AD$6</f>
        <v>-</v>
      </c>
      <c r="AE189" s="747" t="str">
        <f>$AE$6</f>
        <v>-</v>
      </c>
      <c r="AF189" s="747" t="str">
        <f>$AF$6</f>
        <v>-</v>
      </c>
      <c r="AG189" s="747" t="str">
        <f>$AG$6</f>
        <v>-</v>
      </c>
      <c r="AH189" s="663"/>
      <c r="AI189" s="747">
        <f>$W$6</f>
        <v>43252</v>
      </c>
      <c r="AJ189" s="747">
        <f>$X$6</f>
        <v>43465</v>
      </c>
      <c r="AK189" s="747">
        <f>$Y$6</f>
        <v>43800</v>
      </c>
      <c r="AL189" s="747">
        <f>$Z$6</f>
        <v>43862</v>
      </c>
      <c r="AM189" s="747" t="str">
        <f>$AA$6</f>
        <v>-</v>
      </c>
      <c r="AN189" s="747" t="str">
        <f>$AB$6</f>
        <v>-</v>
      </c>
      <c r="AO189" s="747" t="str">
        <f>$AC$6</f>
        <v>-</v>
      </c>
      <c r="AP189" s="747" t="str">
        <f>$AD$6</f>
        <v>-</v>
      </c>
      <c r="AQ189" s="747" t="str">
        <f>$AE$6</f>
        <v>-</v>
      </c>
      <c r="AR189" s="747" t="str">
        <f>$AF$6</f>
        <v>-</v>
      </c>
      <c r="AS189" s="747" t="str">
        <f>$AG$6</f>
        <v>-</v>
      </c>
    </row>
    <row r="190" spans="2:57" ht="15" hidden="1" customHeight="1" outlineLevel="1" x14ac:dyDescent="0.25">
      <c r="D190" s="1701" t="s">
        <v>618</v>
      </c>
      <c r="E190" s="1701" t="s">
        <v>619</v>
      </c>
      <c r="F190" s="1641" t="s">
        <v>974</v>
      </c>
      <c r="G190" s="1641" t="s">
        <v>975</v>
      </c>
      <c r="H190" s="1641" t="s">
        <v>976</v>
      </c>
      <c r="I190" s="1641" t="s">
        <v>977</v>
      </c>
      <c r="J190" s="2722" t="s">
        <v>621</v>
      </c>
      <c r="K190" s="2727"/>
      <c r="L190" s="2723"/>
      <c r="M190" s="1972"/>
      <c r="N190" s="443"/>
      <c r="O190" s="332"/>
      <c r="P190" s="332"/>
      <c r="V190" s="748"/>
      <c r="W190" s="80" t="s">
        <v>974</v>
      </c>
      <c r="X190" s="80" t="s">
        <v>974</v>
      </c>
      <c r="Y190" s="80" t="s">
        <v>974</v>
      </c>
      <c r="Z190" s="80" t="s">
        <v>974</v>
      </c>
      <c r="AA190" s="80" t="s">
        <v>974</v>
      </c>
      <c r="AB190" s="80" t="s">
        <v>974</v>
      </c>
      <c r="AC190" s="80" t="s">
        <v>974</v>
      </c>
      <c r="AD190" s="80" t="s">
        <v>974</v>
      </c>
      <c r="AE190" s="80" t="s">
        <v>974</v>
      </c>
      <c r="AF190" s="80" t="s">
        <v>974</v>
      </c>
      <c r="AG190" s="80" t="s">
        <v>974</v>
      </c>
      <c r="AI190" s="80" t="s">
        <v>976</v>
      </c>
      <c r="AJ190" s="80" t="s">
        <v>976</v>
      </c>
      <c r="AK190" s="80" t="s">
        <v>976</v>
      </c>
      <c r="AL190" s="80" t="s">
        <v>976</v>
      </c>
      <c r="AM190" s="80" t="s">
        <v>976</v>
      </c>
      <c r="AN190" s="80" t="s">
        <v>976</v>
      </c>
      <c r="AO190" s="80" t="s">
        <v>976</v>
      </c>
      <c r="AP190" s="80" t="s">
        <v>976</v>
      </c>
      <c r="AQ190" s="80" t="s">
        <v>976</v>
      </c>
      <c r="AR190" s="80" t="s">
        <v>976</v>
      </c>
      <c r="AS190" s="80" t="s">
        <v>976</v>
      </c>
    </row>
    <row r="191" spans="2:57" ht="30" hidden="1" customHeight="1" outlineLevel="1" x14ac:dyDescent="0.25">
      <c r="D191" s="749" t="s">
        <v>1080</v>
      </c>
      <c r="E191" s="458" t="s">
        <v>1081</v>
      </c>
      <c r="F191" s="750">
        <f>(PI()*F203)/12</f>
        <v>0.19634954084936207</v>
      </c>
      <c r="G191" s="458"/>
      <c r="H191" s="750">
        <f>(PI()*H203)/12</f>
        <v>0.19634954084936207</v>
      </c>
      <c r="I191" s="458"/>
      <c r="J191" s="2728" t="s">
        <v>1082</v>
      </c>
      <c r="K191" s="2728"/>
      <c r="L191" s="2728"/>
      <c r="M191" s="757"/>
      <c r="N191" s="332"/>
      <c r="O191" s="332"/>
      <c r="P191" s="332"/>
      <c r="V191" s="751" t="s">
        <v>1083</v>
      </c>
      <c r="W191" s="752">
        <f>(PI()*W203)/12</f>
        <v>0.19634954084936207</v>
      </c>
      <c r="X191" s="752">
        <f>(PI()*X203)/12</f>
        <v>0.19634954084936207</v>
      </c>
      <c r="Y191" s="752">
        <f>(PI()*Y203)/12</f>
        <v>0.19634954084936207</v>
      </c>
      <c r="Z191" s="752">
        <f t="shared" ref="Z191:AG206" si="12">IF(Z$6="-","",Y191)</f>
        <v>0.19634954084936207</v>
      </c>
      <c r="AA191" s="752" t="str">
        <f t="shared" si="12"/>
        <v/>
      </c>
      <c r="AB191" s="752" t="str">
        <f t="shared" si="12"/>
        <v/>
      </c>
      <c r="AC191" s="752" t="str">
        <f t="shared" si="12"/>
        <v/>
      </c>
      <c r="AD191" s="752" t="str">
        <f t="shared" si="12"/>
        <v/>
      </c>
      <c r="AE191" s="752" t="str">
        <f t="shared" si="12"/>
        <v/>
      </c>
      <c r="AF191" s="752" t="str">
        <f t="shared" si="12"/>
        <v/>
      </c>
      <c r="AG191" s="752" t="str">
        <f t="shared" si="12"/>
        <v/>
      </c>
      <c r="AI191" s="752">
        <f>(PI()*AI203)/12</f>
        <v>0.19634954084936207</v>
      </c>
      <c r="AJ191" s="752">
        <f>(PI()*AJ203)/12</f>
        <v>0.19634954084936207</v>
      </c>
      <c r="AK191" s="752">
        <f>(PI()*AK203)/12</f>
        <v>0.19634954084936207</v>
      </c>
      <c r="AL191" s="750"/>
      <c r="AM191" s="750"/>
      <c r="AN191" s="750"/>
      <c r="AO191" s="750"/>
      <c r="AP191" s="750"/>
      <c r="AQ191" s="750"/>
      <c r="AR191" s="750"/>
      <c r="AS191" s="750"/>
    </row>
    <row r="192" spans="2:57" ht="45" hidden="1" outlineLevel="1" x14ac:dyDescent="0.25">
      <c r="D192" s="749" t="s">
        <v>1084</v>
      </c>
      <c r="E192" s="458" t="s">
        <v>1085</v>
      </c>
      <c r="F192" s="219">
        <v>1</v>
      </c>
      <c r="G192" s="1973" t="s">
        <v>1086</v>
      </c>
      <c r="H192" s="219">
        <v>1</v>
      </c>
      <c r="I192" s="458" t="s">
        <v>1086</v>
      </c>
      <c r="J192" s="2729" t="s">
        <v>678</v>
      </c>
      <c r="K192" s="2729" t="s">
        <v>678</v>
      </c>
      <c r="L192" s="2729" t="s">
        <v>678</v>
      </c>
      <c r="M192" s="757"/>
      <c r="N192" s="332"/>
      <c r="O192" s="332"/>
      <c r="P192" s="332"/>
      <c r="V192" s="751" t="s">
        <v>1087</v>
      </c>
      <c r="W192" s="219">
        <v>1</v>
      </c>
      <c r="X192" s="219">
        <v>1</v>
      </c>
      <c r="Y192" s="219">
        <v>1</v>
      </c>
      <c r="Z192" s="219">
        <f t="shared" si="12"/>
        <v>1</v>
      </c>
      <c r="AA192" s="219" t="str">
        <f t="shared" si="12"/>
        <v/>
      </c>
      <c r="AB192" s="219" t="str">
        <f t="shared" si="12"/>
        <v/>
      </c>
      <c r="AC192" s="219" t="str">
        <f t="shared" si="12"/>
        <v/>
      </c>
      <c r="AD192" s="219" t="str">
        <f t="shared" si="12"/>
        <v/>
      </c>
      <c r="AE192" s="219" t="str">
        <f t="shared" si="12"/>
        <v/>
      </c>
      <c r="AF192" s="219" t="str">
        <f t="shared" si="12"/>
        <v/>
      </c>
      <c r="AG192" s="219" t="str">
        <f t="shared" si="12"/>
        <v/>
      </c>
      <c r="AI192" s="219">
        <v>1</v>
      </c>
      <c r="AJ192" s="219">
        <v>1</v>
      </c>
      <c r="AK192" s="219">
        <v>1</v>
      </c>
      <c r="AL192" s="219"/>
      <c r="AM192" s="219"/>
      <c r="AN192" s="219"/>
      <c r="AO192" s="219"/>
      <c r="AP192" s="219"/>
      <c r="AQ192" s="219"/>
      <c r="AR192" s="219"/>
      <c r="AS192" s="219"/>
    </row>
    <row r="193" spans="1:57" ht="60" hidden="1" customHeight="1" outlineLevel="1" x14ac:dyDescent="0.4">
      <c r="D193" s="633" t="s">
        <v>1088</v>
      </c>
      <c r="E193" s="1642" t="s">
        <v>1089</v>
      </c>
      <c r="F193" s="95">
        <f>(PI()*(F203+(F204*2))/12)</f>
        <v>0.45814892864851148</v>
      </c>
      <c r="G193" s="1642" t="s">
        <v>1090</v>
      </c>
      <c r="H193" s="95">
        <f>(PI()*(H203+(H204*2))/12)</f>
        <v>0.45814892864851148</v>
      </c>
      <c r="I193" s="1642" t="s">
        <v>1090</v>
      </c>
      <c r="J193" s="2699" t="s">
        <v>1091</v>
      </c>
      <c r="K193" s="2699"/>
      <c r="L193" s="2699"/>
      <c r="M193" s="757"/>
      <c r="N193" s="332"/>
      <c r="O193" s="332"/>
      <c r="P193" s="332"/>
      <c r="V193" s="751" t="s">
        <v>1092</v>
      </c>
      <c r="W193" s="753">
        <f>(PI()*(W203+(W204*2))/12)</f>
        <v>0.45814892864851148</v>
      </c>
      <c r="X193" s="753">
        <f>(PI()*(X203+(X204*2))/12)</f>
        <v>0.45814892864851148</v>
      </c>
      <c r="Y193" s="753">
        <f>(PI()*(Y203+(Y204*2))/12)</f>
        <v>0.45814892864851148</v>
      </c>
      <c r="Z193" s="753">
        <f t="shared" si="12"/>
        <v>0.45814892864851148</v>
      </c>
      <c r="AA193" s="753" t="str">
        <f t="shared" si="12"/>
        <v/>
      </c>
      <c r="AB193" s="753" t="str">
        <f t="shared" si="12"/>
        <v/>
      </c>
      <c r="AC193" s="753" t="str">
        <f t="shared" si="12"/>
        <v/>
      </c>
      <c r="AD193" s="753" t="str">
        <f t="shared" si="12"/>
        <v/>
      </c>
      <c r="AE193" s="753" t="str">
        <f t="shared" si="12"/>
        <v/>
      </c>
      <c r="AF193" s="753" t="str">
        <f t="shared" si="12"/>
        <v/>
      </c>
      <c r="AG193" s="753" t="str">
        <f t="shared" si="12"/>
        <v/>
      </c>
      <c r="AI193" s="753">
        <f>(PI()*(AI203+(AI204*2))/12)</f>
        <v>0.45814892864851148</v>
      </c>
      <c r="AJ193" s="753">
        <f>(PI()*(AJ203+(AJ204*2))/12)</f>
        <v>0.45814892864851148</v>
      </c>
      <c r="AK193" s="753">
        <f>(PI()*(AK203+(AK204*2))/12)</f>
        <v>0.45814892864851148</v>
      </c>
      <c r="AL193" s="754"/>
      <c r="AM193" s="754"/>
      <c r="AN193" s="754"/>
      <c r="AO193" s="754"/>
      <c r="AP193" s="754"/>
      <c r="AQ193" s="754"/>
      <c r="AR193" s="754"/>
      <c r="AS193" s="754"/>
    </row>
    <row r="194" spans="1:57" ht="30" hidden="1" customHeight="1" outlineLevel="1" x14ac:dyDescent="0.25">
      <c r="D194" s="633" t="s">
        <v>1093</v>
      </c>
      <c r="E194" s="1642" t="s">
        <v>1094</v>
      </c>
      <c r="F194" s="152">
        <f>1+3.54</f>
        <v>4.54</v>
      </c>
      <c r="G194" s="1642" t="s">
        <v>1090</v>
      </c>
      <c r="H194" s="152">
        <f>1+3.54</f>
        <v>4.54</v>
      </c>
      <c r="I194" s="1642" t="s">
        <v>1090</v>
      </c>
      <c r="J194" s="2699" t="s">
        <v>1095</v>
      </c>
      <c r="K194" s="2699"/>
      <c r="L194" s="2699"/>
      <c r="M194" s="757"/>
      <c r="N194" s="332"/>
      <c r="O194" s="332"/>
      <c r="P194" s="332"/>
      <c r="V194" s="751" t="s">
        <v>1096</v>
      </c>
      <c r="W194" s="152">
        <f>4+1</f>
        <v>5</v>
      </c>
      <c r="X194" s="152">
        <f>4+1</f>
        <v>5</v>
      </c>
      <c r="Y194" s="166">
        <f>1+3.54</f>
        <v>4.54</v>
      </c>
      <c r="Z194" s="152">
        <f t="shared" si="12"/>
        <v>4.54</v>
      </c>
      <c r="AA194" s="152" t="str">
        <f t="shared" si="12"/>
        <v/>
      </c>
      <c r="AB194" s="152" t="str">
        <f t="shared" si="12"/>
        <v/>
      </c>
      <c r="AC194" s="152" t="str">
        <f t="shared" si="12"/>
        <v/>
      </c>
      <c r="AD194" s="152" t="str">
        <f t="shared" si="12"/>
        <v/>
      </c>
      <c r="AE194" s="152" t="str">
        <f t="shared" si="12"/>
        <v/>
      </c>
      <c r="AF194" s="152" t="str">
        <f t="shared" si="12"/>
        <v/>
      </c>
      <c r="AG194" s="152" t="str">
        <f t="shared" si="12"/>
        <v/>
      </c>
      <c r="AI194" s="152">
        <v>5</v>
      </c>
      <c r="AJ194" s="152">
        <v>5</v>
      </c>
      <c r="AK194" s="166">
        <f>1+3.54</f>
        <v>4.54</v>
      </c>
      <c r="AL194" s="152"/>
      <c r="AM194" s="152"/>
      <c r="AN194" s="152"/>
      <c r="AO194" s="152"/>
      <c r="AP194" s="152"/>
      <c r="AQ194" s="152"/>
      <c r="AR194" s="152"/>
      <c r="AS194" s="152"/>
    </row>
    <row r="195" spans="1:57" ht="30" hidden="1" customHeight="1" outlineLevel="1" x14ac:dyDescent="0.25">
      <c r="D195" s="639" t="s">
        <v>1097</v>
      </c>
      <c r="E195" s="1642" t="s">
        <v>1098</v>
      </c>
      <c r="F195" s="755">
        <v>1</v>
      </c>
      <c r="G195" s="1642" t="s">
        <v>1099</v>
      </c>
      <c r="H195" s="755">
        <v>1</v>
      </c>
      <c r="I195" s="1642" t="s">
        <v>1099</v>
      </c>
      <c r="J195" s="2699" t="s">
        <v>678</v>
      </c>
      <c r="K195" s="2699" t="s">
        <v>678</v>
      </c>
      <c r="L195" s="2699" t="s">
        <v>678</v>
      </c>
      <c r="M195" s="757"/>
      <c r="N195" s="332"/>
      <c r="O195" s="332"/>
      <c r="P195" s="332"/>
      <c r="V195" s="756" t="s">
        <v>1097</v>
      </c>
      <c r="W195" s="755">
        <v>1</v>
      </c>
      <c r="X195" s="755">
        <v>1</v>
      </c>
      <c r="Y195" s="755">
        <v>1</v>
      </c>
      <c r="Z195" s="755">
        <f t="shared" si="12"/>
        <v>1</v>
      </c>
      <c r="AA195" s="755" t="str">
        <f t="shared" si="12"/>
        <v/>
      </c>
      <c r="AB195" s="755" t="str">
        <f t="shared" si="12"/>
        <v/>
      </c>
      <c r="AC195" s="755" t="str">
        <f t="shared" si="12"/>
        <v/>
      </c>
      <c r="AD195" s="755" t="str">
        <f t="shared" si="12"/>
        <v/>
      </c>
      <c r="AE195" s="755" t="str">
        <f t="shared" si="12"/>
        <v/>
      </c>
      <c r="AF195" s="755" t="str">
        <f t="shared" si="12"/>
        <v/>
      </c>
      <c r="AG195" s="755" t="str">
        <f t="shared" si="12"/>
        <v/>
      </c>
      <c r="AI195" s="755">
        <v>1</v>
      </c>
      <c r="AJ195" s="755">
        <v>1</v>
      </c>
      <c r="AK195" s="755">
        <v>1</v>
      </c>
      <c r="AL195" s="755"/>
      <c r="AM195" s="755"/>
      <c r="AN195" s="755"/>
      <c r="AO195" s="755"/>
      <c r="AP195" s="755"/>
      <c r="AQ195" s="755"/>
      <c r="AR195" s="755"/>
      <c r="AS195" s="755"/>
    </row>
    <row r="196" spans="1:57" ht="45" hidden="1" outlineLevel="1" x14ac:dyDescent="0.25">
      <c r="D196" s="633" t="s">
        <v>1100</v>
      </c>
      <c r="E196" s="1642" t="s">
        <v>1101</v>
      </c>
      <c r="F196" s="755">
        <v>60</v>
      </c>
      <c r="G196" s="1642" t="s">
        <v>1086</v>
      </c>
      <c r="H196" s="755">
        <v>60</v>
      </c>
      <c r="I196" s="1642" t="s">
        <v>1086</v>
      </c>
      <c r="J196" s="2699" t="s">
        <v>1102</v>
      </c>
      <c r="K196" s="2699"/>
      <c r="L196" s="2699"/>
      <c r="M196" s="757"/>
      <c r="N196" s="332"/>
      <c r="O196" s="332"/>
      <c r="P196" s="332"/>
      <c r="V196" s="751" t="s">
        <v>1103</v>
      </c>
      <c r="W196" s="755">
        <v>60</v>
      </c>
      <c r="X196" s="755">
        <v>60</v>
      </c>
      <c r="Y196" s="755">
        <v>60</v>
      </c>
      <c r="Z196" s="755">
        <f t="shared" si="12"/>
        <v>60</v>
      </c>
      <c r="AA196" s="755" t="str">
        <f t="shared" si="12"/>
        <v/>
      </c>
      <c r="AB196" s="755" t="str">
        <f t="shared" si="12"/>
        <v/>
      </c>
      <c r="AC196" s="755" t="str">
        <f t="shared" si="12"/>
        <v/>
      </c>
      <c r="AD196" s="755" t="str">
        <f t="shared" si="12"/>
        <v/>
      </c>
      <c r="AE196" s="755" t="str">
        <f t="shared" si="12"/>
        <v/>
      </c>
      <c r="AF196" s="755" t="str">
        <f t="shared" si="12"/>
        <v/>
      </c>
      <c r="AG196" s="755" t="str">
        <f t="shared" si="12"/>
        <v/>
      </c>
      <c r="AI196" s="755">
        <v>60</v>
      </c>
      <c r="AJ196" s="755">
        <v>60</v>
      </c>
      <c r="AK196" s="755">
        <v>60</v>
      </c>
      <c r="AL196" s="755"/>
      <c r="AM196" s="755"/>
      <c r="AN196" s="755"/>
      <c r="AO196" s="755"/>
      <c r="AP196" s="755"/>
      <c r="AQ196" s="755"/>
      <c r="AR196" s="755"/>
      <c r="AS196" s="755"/>
    </row>
    <row r="197" spans="1:57" ht="30" hidden="1" customHeight="1" outlineLevel="1" x14ac:dyDescent="0.25">
      <c r="D197" s="633" t="s">
        <v>94</v>
      </c>
      <c r="E197" s="1642" t="s">
        <v>1104</v>
      </c>
      <c r="F197" s="61">
        <v>8766</v>
      </c>
      <c r="G197" s="1642" t="s">
        <v>1086</v>
      </c>
      <c r="H197" s="755">
        <v>8766</v>
      </c>
      <c r="I197" s="1642" t="s">
        <v>1086</v>
      </c>
      <c r="J197" s="2699" t="s">
        <v>1102</v>
      </c>
      <c r="K197" s="2699"/>
      <c r="L197" s="2699"/>
      <c r="M197" s="757"/>
      <c r="N197" s="332"/>
      <c r="O197" s="332"/>
      <c r="P197" s="332"/>
      <c r="V197" s="751" t="s">
        <v>94</v>
      </c>
      <c r="W197" s="61">
        <v>8766</v>
      </c>
      <c r="X197" s="61">
        <v>8766</v>
      </c>
      <c r="Y197" s="61">
        <v>8766</v>
      </c>
      <c r="Z197" s="61">
        <f t="shared" si="12"/>
        <v>8766</v>
      </c>
      <c r="AA197" s="61" t="str">
        <f t="shared" si="12"/>
        <v/>
      </c>
      <c r="AB197" s="61" t="str">
        <f t="shared" si="12"/>
        <v/>
      </c>
      <c r="AC197" s="61" t="str">
        <f t="shared" si="12"/>
        <v/>
      </c>
      <c r="AD197" s="61" t="str">
        <f t="shared" si="12"/>
        <v/>
      </c>
      <c r="AE197" s="61" t="str">
        <f t="shared" si="12"/>
        <v/>
      </c>
      <c r="AF197" s="61" t="str">
        <f t="shared" si="12"/>
        <v/>
      </c>
      <c r="AG197" s="61" t="str">
        <f t="shared" si="12"/>
        <v/>
      </c>
      <c r="AI197" s="755">
        <v>8766</v>
      </c>
      <c r="AJ197" s="755">
        <v>8766</v>
      </c>
      <c r="AK197" s="755">
        <v>8766</v>
      </c>
      <c r="AL197" s="61"/>
      <c r="AM197" s="61"/>
      <c r="AN197" s="61"/>
      <c r="AO197" s="61"/>
      <c r="AP197" s="61"/>
      <c r="AQ197" s="61"/>
      <c r="AR197" s="61"/>
      <c r="AS197" s="61"/>
    </row>
    <row r="198" spans="1:57" ht="30" hidden="1" customHeight="1" outlineLevel="1" x14ac:dyDescent="0.25">
      <c r="D198" s="633" t="s">
        <v>1105</v>
      </c>
      <c r="E198" s="1642" t="s">
        <v>1106</v>
      </c>
      <c r="F198" s="758">
        <v>0.98</v>
      </c>
      <c r="G198" s="1642" t="s">
        <v>1086</v>
      </c>
      <c r="H198" s="758">
        <v>0.98</v>
      </c>
      <c r="I198" s="1642" t="s">
        <v>1086</v>
      </c>
      <c r="J198" s="2699" t="s">
        <v>678</v>
      </c>
      <c r="K198" s="2699" t="s">
        <v>678</v>
      </c>
      <c r="L198" s="2699" t="s">
        <v>678</v>
      </c>
      <c r="M198" s="757"/>
      <c r="N198" s="332"/>
      <c r="O198" s="332"/>
      <c r="P198" s="332"/>
      <c r="V198" s="751" t="s">
        <v>1107</v>
      </c>
      <c r="W198" s="758">
        <v>0.98</v>
      </c>
      <c r="X198" s="758">
        <v>0.98</v>
      </c>
      <c r="Y198" s="758">
        <v>0.98</v>
      </c>
      <c r="Z198" s="758">
        <f t="shared" si="12"/>
        <v>0.98</v>
      </c>
      <c r="AA198" s="758" t="str">
        <f t="shared" si="12"/>
        <v/>
      </c>
      <c r="AB198" s="758" t="str">
        <f t="shared" si="12"/>
        <v/>
      </c>
      <c r="AC198" s="758" t="str">
        <f t="shared" si="12"/>
        <v/>
      </c>
      <c r="AD198" s="758" t="str">
        <f t="shared" si="12"/>
        <v/>
      </c>
      <c r="AE198" s="758" t="str">
        <f t="shared" si="12"/>
        <v/>
      </c>
      <c r="AF198" s="758" t="str">
        <f t="shared" si="12"/>
        <v/>
      </c>
      <c r="AG198" s="758" t="str">
        <f t="shared" si="12"/>
        <v/>
      </c>
      <c r="AI198" s="758">
        <v>0.98</v>
      </c>
      <c r="AJ198" s="758">
        <v>0.98</v>
      </c>
      <c r="AK198" s="758">
        <v>0.98</v>
      </c>
      <c r="AL198" s="758"/>
      <c r="AM198" s="758"/>
      <c r="AN198" s="758"/>
      <c r="AO198" s="758"/>
      <c r="AP198" s="758"/>
      <c r="AQ198" s="758"/>
      <c r="AR198" s="758"/>
      <c r="AS198" s="758"/>
    </row>
    <row r="199" spans="1:57" ht="30" hidden="1" customHeight="1" outlineLevel="1" x14ac:dyDescent="0.25">
      <c r="D199" s="633">
        <v>3412</v>
      </c>
      <c r="E199" s="1642" t="s">
        <v>1108</v>
      </c>
      <c r="F199" s="685">
        <v>3412</v>
      </c>
      <c r="G199" s="1642" t="s">
        <v>1086</v>
      </c>
      <c r="H199" s="755">
        <v>3412</v>
      </c>
      <c r="I199" s="1642" t="s">
        <v>1086</v>
      </c>
      <c r="J199" s="2699" t="s">
        <v>1102</v>
      </c>
      <c r="K199" s="2699"/>
      <c r="L199" s="2699"/>
      <c r="O199" s="332"/>
      <c r="P199" s="332"/>
      <c r="V199" s="751">
        <v>3412</v>
      </c>
      <c r="W199" s="685">
        <v>3412</v>
      </c>
      <c r="X199" s="685">
        <v>3412</v>
      </c>
      <c r="Y199" s="685">
        <v>3412</v>
      </c>
      <c r="Z199" s="685">
        <f t="shared" si="12"/>
        <v>3412</v>
      </c>
      <c r="AA199" s="685" t="str">
        <f t="shared" si="12"/>
        <v/>
      </c>
      <c r="AB199" s="685" t="str">
        <f t="shared" si="12"/>
        <v/>
      </c>
      <c r="AC199" s="685" t="str">
        <f t="shared" si="12"/>
        <v/>
      </c>
      <c r="AD199" s="685" t="str">
        <f t="shared" si="12"/>
        <v/>
      </c>
      <c r="AE199" s="685" t="str">
        <f t="shared" si="12"/>
        <v/>
      </c>
      <c r="AF199" s="685" t="str">
        <f t="shared" si="12"/>
        <v/>
      </c>
      <c r="AG199" s="685" t="str">
        <f t="shared" si="12"/>
        <v/>
      </c>
      <c r="AI199" s="755">
        <v>3412</v>
      </c>
      <c r="AJ199" s="755">
        <v>3412</v>
      </c>
      <c r="AK199" s="755">
        <v>3412</v>
      </c>
      <c r="AL199" s="685"/>
      <c r="AM199" s="685"/>
      <c r="AN199" s="685"/>
      <c r="AO199" s="685"/>
      <c r="AP199" s="685"/>
      <c r="AQ199" s="685"/>
      <c r="AR199" s="685"/>
      <c r="AS199" s="685"/>
    </row>
    <row r="200" spans="1:57" s="624" customFormat="1" ht="30" hidden="1" customHeight="1" outlineLevel="1" x14ac:dyDescent="0.25">
      <c r="A200" s="763"/>
      <c r="B200" s="763"/>
      <c r="C200" s="1955"/>
      <c r="D200" s="1642" t="s">
        <v>1109</v>
      </c>
      <c r="E200" s="1642" t="s">
        <v>1012</v>
      </c>
      <c r="F200" s="690">
        <v>0.46360000000000001</v>
      </c>
      <c r="G200" s="1642" t="s">
        <v>1110</v>
      </c>
      <c r="H200" s="665">
        <v>1</v>
      </c>
      <c r="I200" s="1680" t="s">
        <v>1111</v>
      </c>
      <c r="J200" s="2699" t="s">
        <v>1112</v>
      </c>
      <c r="K200" s="2699" t="s">
        <v>678</v>
      </c>
      <c r="L200" s="2699" t="s">
        <v>678</v>
      </c>
      <c r="M200" s="757"/>
      <c r="N200" s="757"/>
      <c r="O200" s="757"/>
      <c r="P200" s="757"/>
      <c r="Q200" s="763"/>
      <c r="R200" s="763"/>
      <c r="S200" s="763"/>
      <c r="T200" s="763"/>
      <c r="U200" s="763"/>
      <c r="V200" s="151" t="s">
        <v>1109</v>
      </c>
      <c r="W200" s="690">
        <v>1</v>
      </c>
      <c r="X200" s="693">
        <v>0.34429999999999999</v>
      </c>
      <c r="Y200" s="693">
        <v>0.46360000000000001</v>
      </c>
      <c r="Z200" s="690">
        <f t="shared" si="12"/>
        <v>0.46360000000000001</v>
      </c>
      <c r="AA200" s="690" t="str">
        <f t="shared" si="12"/>
        <v/>
      </c>
      <c r="AB200" s="690" t="str">
        <f t="shared" si="12"/>
        <v/>
      </c>
      <c r="AC200" s="690" t="str">
        <f t="shared" si="12"/>
        <v/>
      </c>
      <c r="AD200" s="690" t="str">
        <f t="shared" si="12"/>
        <v/>
      </c>
      <c r="AE200" s="690" t="str">
        <f t="shared" si="12"/>
        <v/>
      </c>
      <c r="AF200" s="690" t="str">
        <f t="shared" si="12"/>
        <v/>
      </c>
      <c r="AG200" s="690" t="str">
        <f t="shared" si="12"/>
        <v/>
      </c>
      <c r="AI200" s="665">
        <v>1</v>
      </c>
      <c r="AJ200" s="665">
        <v>1</v>
      </c>
      <c r="AK200" s="665">
        <v>1</v>
      </c>
      <c r="AL200" s="759"/>
      <c r="AM200" s="759"/>
      <c r="AN200" s="759"/>
      <c r="AO200" s="759"/>
      <c r="AP200" s="759"/>
      <c r="AQ200" s="759"/>
      <c r="AR200" s="759"/>
      <c r="AS200" s="759"/>
      <c r="BD200" s="1"/>
      <c r="BE200" s="1"/>
    </row>
    <row r="201" spans="1:57" s="624" customFormat="1" ht="30" hidden="1" customHeight="1" outlineLevel="1" x14ac:dyDescent="0.25">
      <c r="A201" s="763"/>
      <c r="B201" s="763"/>
      <c r="C201" s="1955"/>
      <c r="D201" s="1642" t="s">
        <v>956</v>
      </c>
      <c r="E201" s="1642" t="s">
        <v>1001</v>
      </c>
      <c r="F201" s="702">
        <v>0.91869999999999996</v>
      </c>
      <c r="G201" s="1642" t="s">
        <v>1110</v>
      </c>
      <c r="H201" s="665">
        <v>1</v>
      </c>
      <c r="I201" s="1680" t="s">
        <v>1111</v>
      </c>
      <c r="J201" s="2699" t="s">
        <v>1112</v>
      </c>
      <c r="K201" s="2699" t="s">
        <v>678</v>
      </c>
      <c r="L201" s="2699" t="s">
        <v>678</v>
      </c>
      <c r="M201" s="757"/>
      <c r="N201" s="757"/>
      <c r="O201" s="757"/>
      <c r="P201" s="757"/>
      <c r="Q201" s="763"/>
      <c r="R201" s="763"/>
      <c r="S201" s="763"/>
      <c r="T201" s="763"/>
      <c r="U201" s="763"/>
      <c r="V201" s="151" t="s">
        <v>956</v>
      </c>
      <c r="W201" s="702">
        <v>0.86</v>
      </c>
      <c r="X201" s="703">
        <v>0.89859999999999995</v>
      </c>
      <c r="Y201" s="703">
        <v>0.91869999999999996</v>
      </c>
      <c r="Z201" s="702">
        <f t="shared" si="12"/>
        <v>0.91869999999999996</v>
      </c>
      <c r="AA201" s="702" t="str">
        <f t="shared" si="12"/>
        <v/>
      </c>
      <c r="AB201" s="702" t="str">
        <f t="shared" si="12"/>
        <v/>
      </c>
      <c r="AC201" s="702" t="str">
        <f t="shared" si="12"/>
        <v/>
      </c>
      <c r="AD201" s="702" t="str">
        <f t="shared" si="12"/>
        <v/>
      </c>
      <c r="AE201" s="702" t="str">
        <f t="shared" si="12"/>
        <v/>
      </c>
      <c r="AF201" s="702" t="str">
        <f t="shared" si="12"/>
        <v/>
      </c>
      <c r="AG201" s="702" t="str">
        <f t="shared" si="12"/>
        <v/>
      </c>
      <c r="AI201" s="665">
        <v>1</v>
      </c>
      <c r="AJ201" s="665">
        <v>1</v>
      </c>
      <c r="AK201" s="665">
        <v>1</v>
      </c>
      <c r="AL201" s="760"/>
      <c r="AM201" s="760"/>
      <c r="AN201" s="760"/>
      <c r="AO201" s="760"/>
      <c r="AP201" s="760"/>
      <c r="AQ201" s="760"/>
      <c r="AR201" s="760"/>
      <c r="AS201" s="760"/>
      <c r="BD201" s="1"/>
      <c r="BE201" s="1"/>
    </row>
    <row r="202" spans="1:57" s="624" customFormat="1" hidden="1" outlineLevel="1" x14ac:dyDescent="0.25">
      <c r="A202" s="763"/>
      <c r="B202" s="763"/>
      <c r="C202" s="1955"/>
      <c r="D202" s="1642" t="s">
        <v>82</v>
      </c>
      <c r="E202" s="1642" t="s">
        <v>731</v>
      </c>
      <c r="F202" s="702">
        <v>0.63917525773195871</v>
      </c>
      <c r="G202" s="1642" t="s">
        <v>1110</v>
      </c>
      <c r="H202" s="665">
        <v>1</v>
      </c>
      <c r="I202" s="1680" t="s">
        <v>1111</v>
      </c>
      <c r="J202" s="2699" t="s">
        <v>1112</v>
      </c>
      <c r="K202" s="2699" t="s">
        <v>678</v>
      </c>
      <c r="L202" s="2699" t="s">
        <v>678</v>
      </c>
      <c r="M202" s="757"/>
      <c r="N202" s="757"/>
      <c r="O202" s="757"/>
      <c r="P202" s="757"/>
      <c r="Q202" s="763"/>
      <c r="R202" s="763"/>
      <c r="S202" s="763"/>
      <c r="T202" s="763"/>
      <c r="U202" s="763"/>
      <c r="V202" s="151" t="s">
        <v>82</v>
      </c>
      <c r="W202" s="702">
        <v>0.73710263085776917</v>
      </c>
      <c r="X202" s="703">
        <v>0.66101694915254239</v>
      </c>
      <c r="Y202" s="703">
        <v>0.63917525773195871</v>
      </c>
      <c r="Z202" s="702">
        <f t="shared" si="12"/>
        <v>0.63917525773195871</v>
      </c>
      <c r="AA202" s="702" t="str">
        <f t="shared" si="12"/>
        <v/>
      </c>
      <c r="AB202" s="702" t="str">
        <f t="shared" si="12"/>
        <v/>
      </c>
      <c r="AC202" s="702" t="str">
        <f t="shared" si="12"/>
        <v/>
      </c>
      <c r="AD202" s="702" t="str">
        <f t="shared" si="12"/>
        <v/>
      </c>
      <c r="AE202" s="702" t="str">
        <f t="shared" si="12"/>
        <v/>
      </c>
      <c r="AF202" s="702" t="str">
        <f t="shared" si="12"/>
        <v/>
      </c>
      <c r="AG202" s="702" t="str">
        <f t="shared" si="12"/>
        <v/>
      </c>
      <c r="AI202" s="665">
        <v>1</v>
      </c>
      <c r="AJ202" s="665">
        <v>1</v>
      </c>
      <c r="AK202" s="665">
        <v>1</v>
      </c>
      <c r="AL202" s="665"/>
      <c r="AM202" s="665"/>
      <c r="AN202" s="665"/>
      <c r="AO202" s="665"/>
      <c r="AP202" s="665"/>
      <c r="AQ202" s="665"/>
      <c r="AR202" s="665"/>
      <c r="AS202" s="665"/>
      <c r="BD202" s="1"/>
      <c r="BE202" s="1"/>
    </row>
    <row r="203" spans="1:57" s="624" customFormat="1" ht="30" hidden="1" outlineLevel="1" x14ac:dyDescent="0.25">
      <c r="A203" s="763"/>
      <c r="B203" s="763"/>
      <c r="C203" s="1955"/>
      <c r="D203" s="1642" t="s">
        <v>1113</v>
      </c>
      <c r="E203" s="1642" t="s">
        <v>1114</v>
      </c>
      <c r="F203" s="761">
        <v>0.75</v>
      </c>
      <c r="G203" s="1495" t="s">
        <v>1111</v>
      </c>
      <c r="H203" s="761">
        <v>0.75</v>
      </c>
      <c r="I203" s="1680" t="s">
        <v>1111</v>
      </c>
      <c r="J203" s="2699"/>
      <c r="K203" s="2699"/>
      <c r="L203" s="2699"/>
      <c r="M203" s="757"/>
      <c r="N203" s="1974" t="s">
        <v>1115</v>
      </c>
      <c r="O203" s="757"/>
      <c r="P203" s="757"/>
      <c r="Q203" s="763"/>
      <c r="R203" s="763"/>
      <c r="S203" s="763"/>
      <c r="T203" s="763"/>
      <c r="U203" s="763"/>
      <c r="V203" s="458" t="s">
        <v>1113</v>
      </c>
      <c r="W203" s="761">
        <v>0.75</v>
      </c>
      <c r="X203" s="761">
        <v>0.75</v>
      </c>
      <c r="Y203" s="761">
        <v>0.75</v>
      </c>
      <c r="Z203" s="761"/>
      <c r="AA203" s="761"/>
      <c r="AB203" s="761"/>
      <c r="AC203" s="761"/>
      <c r="AD203" s="761"/>
      <c r="AE203" s="761"/>
      <c r="AF203" s="761"/>
      <c r="AG203" s="761"/>
      <c r="AH203" s="763"/>
      <c r="AI203" s="761">
        <v>0.75</v>
      </c>
      <c r="AJ203" s="761">
        <v>0.75</v>
      </c>
      <c r="AK203" s="761">
        <v>0.75</v>
      </c>
      <c r="AL203" s="761"/>
      <c r="AM203" s="761"/>
      <c r="AN203" s="761"/>
      <c r="AO203" s="761"/>
      <c r="AP203" s="761"/>
      <c r="AQ203" s="761"/>
      <c r="AR203" s="761"/>
      <c r="AS203" s="761"/>
      <c r="BD203" s="1"/>
      <c r="BE203" s="1"/>
    </row>
    <row r="204" spans="1:57" s="624" customFormat="1" hidden="1" outlineLevel="1" x14ac:dyDescent="0.25">
      <c r="A204" s="763"/>
      <c r="B204" s="763"/>
      <c r="C204" s="1955"/>
      <c r="D204" s="1642" t="s">
        <v>1116</v>
      </c>
      <c r="E204" s="1642" t="s">
        <v>1117</v>
      </c>
      <c r="F204" s="761">
        <v>0.5</v>
      </c>
      <c r="G204" s="1495" t="s">
        <v>1111</v>
      </c>
      <c r="H204" s="761">
        <v>0.5</v>
      </c>
      <c r="I204" s="1680" t="s">
        <v>1111</v>
      </c>
      <c r="J204" s="2699"/>
      <c r="K204" s="2699"/>
      <c r="L204" s="2699"/>
      <c r="M204" s="757"/>
      <c r="N204" s="757"/>
      <c r="O204" s="757"/>
      <c r="P204" s="757"/>
      <c r="Q204" s="763"/>
      <c r="R204" s="763"/>
      <c r="S204" s="763"/>
      <c r="T204" s="763"/>
      <c r="U204" s="763"/>
      <c r="V204" s="236" t="s">
        <v>1117</v>
      </c>
      <c r="W204" s="761">
        <v>0.5</v>
      </c>
      <c r="X204" s="764">
        <v>0.5</v>
      </c>
      <c r="Y204" s="764">
        <v>0.5</v>
      </c>
      <c r="Z204" s="764"/>
      <c r="AA204" s="764"/>
      <c r="AB204" s="764"/>
      <c r="AC204" s="764"/>
      <c r="AD204" s="764"/>
      <c r="AE204" s="764"/>
      <c r="AF204" s="764"/>
      <c r="AG204" s="764"/>
      <c r="AH204" s="655"/>
      <c r="AI204" s="761">
        <v>0.5</v>
      </c>
      <c r="AJ204" s="764">
        <v>0.5</v>
      </c>
      <c r="AK204" s="764">
        <v>0.5</v>
      </c>
      <c r="AL204" s="761"/>
      <c r="AM204" s="761"/>
      <c r="AN204" s="761"/>
      <c r="AO204" s="761"/>
      <c r="AP204" s="761"/>
      <c r="AQ204" s="761"/>
      <c r="AR204" s="761"/>
      <c r="AS204" s="761"/>
      <c r="BD204" s="1"/>
      <c r="BE204" s="1"/>
    </row>
    <row r="205" spans="1:57" hidden="1" outlineLevel="1" x14ac:dyDescent="0.25">
      <c r="B205" s="1580"/>
      <c r="C205" s="329"/>
      <c r="D205" s="377" t="s">
        <v>961</v>
      </c>
      <c r="E205" s="377" t="s">
        <v>657</v>
      </c>
      <c r="F205" s="157">
        <v>12</v>
      </c>
      <c r="G205" s="1647"/>
      <c r="H205" s="219">
        <v>12</v>
      </c>
      <c r="I205" s="1680"/>
      <c r="J205" s="2699"/>
      <c r="K205" s="2699"/>
      <c r="L205" s="2699"/>
      <c r="M205" s="1494"/>
      <c r="N205" s="355"/>
      <c r="O205" s="355"/>
      <c r="P205" s="355"/>
      <c r="Q205" s="355"/>
      <c r="V205" s="217" t="s">
        <v>961</v>
      </c>
      <c r="W205" s="157">
        <v>12</v>
      </c>
      <c r="X205" s="157">
        <v>12</v>
      </c>
      <c r="Y205" s="157">
        <v>12</v>
      </c>
      <c r="Z205" s="157">
        <f t="shared" si="12"/>
        <v>12</v>
      </c>
      <c r="AA205" s="157" t="str">
        <f t="shared" si="12"/>
        <v/>
      </c>
      <c r="AB205" s="157" t="str">
        <f t="shared" si="12"/>
        <v/>
      </c>
      <c r="AC205" s="157" t="str">
        <f t="shared" si="12"/>
        <v/>
      </c>
      <c r="AD205" s="157" t="str">
        <f t="shared" si="12"/>
        <v/>
      </c>
      <c r="AE205" s="157" t="str">
        <f t="shared" si="12"/>
        <v/>
      </c>
      <c r="AF205" s="157" t="str">
        <f t="shared" si="12"/>
        <v/>
      </c>
      <c r="AG205" s="157" t="str">
        <f t="shared" si="12"/>
        <v/>
      </c>
      <c r="AI205" s="157">
        <v>12</v>
      </c>
      <c r="AJ205" s="157">
        <v>12</v>
      </c>
      <c r="AK205" s="157">
        <v>12</v>
      </c>
      <c r="AL205" s="608"/>
      <c r="AM205" s="608"/>
      <c r="AN205" s="608"/>
      <c r="AO205" s="608"/>
      <c r="AP205" s="608"/>
      <c r="AQ205" s="608"/>
      <c r="AR205" s="608"/>
      <c r="AS205" s="608"/>
    </row>
    <row r="206" spans="1:57" hidden="1" outlineLevel="1" x14ac:dyDescent="0.25">
      <c r="B206" s="1580"/>
      <c r="C206" s="329"/>
      <c r="D206" s="1653" t="s">
        <v>25</v>
      </c>
      <c r="E206" s="377" t="s">
        <v>659</v>
      </c>
      <c r="F206" s="742">
        <v>2.87</v>
      </c>
      <c r="G206" s="1648"/>
      <c r="H206" s="742">
        <v>2.87</v>
      </c>
      <c r="I206" s="1680"/>
      <c r="J206" s="2699"/>
      <c r="K206" s="2699"/>
      <c r="L206" s="2699"/>
      <c r="M206" s="1494"/>
      <c r="N206" s="355"/>
      <c r="O206" s="355"/>
      <c r="P206" s="355"/>
      <c r="Q206" s="355"/>
      <c r="V206" s="220" t="s">
        <v>25</v>
      </c>
      <c r="W206" s="742">
        <v>2.87</v>
      </c>
      <c r="X206" s="742">
        <v>2.87</v>
      </c>
      <c r="Y206" s="742">
        <v>2.87</v>
      </c>
      <c r="Z206" s="742">
        <f t="shared" si="12"/>
        <v>2.87</v>
      </c>
      <c r="AA206" s="742" t="str">
        <f t="shared" si="12"/>
        <v/>
      </c>
      <c r="AB206" s="742" t="str">
        <f t="shared" si="12"/>
        <v/>
      </c>
      <c r="AC206" s="742" t="str">
        <f t="shared" si="12"/>
        <v/>
      </c>
      <c r="AD206" s="742" t="str">
        <f t="shared" si="12"/>
        <v/>
      </c>
      <c r="AE206" s="742" t="str">
        <f t="shared" si="12"/>
        <v/>
      </c>
      <c r="AF206" s="742" t="str">
        <f t="shared" si="12"/>
        <v/>
      </c>
      <c r="AG206" s="742" t="str">
        <f t="shared" si="12"/>
        <v/>
      </c>
      <c r="AI206" s="742">
        <v>2.87</v>
      </c>
      <c r="AJ206" s="742">
        <v>2.87</v>
      </c>
      <c r="AK206" s="742">
        <v>2.87</v>
      </c>
      <c r="AL206" s="611"/>
      <c r="AM206" s="611"/>
      <c r="AN206" s="611"/>
      <c r="AO206" s="611"/>
      <c r="AP206" s="611"/>
      <c r="AQ206" s="611"/>
      <c r="AR206" s="611"/>
      <c r="AS206" s="611"/>
    </row>
    <row r="207" spans="1:57" collapsed="1" x14ac:dyDescent="0.25">
      <c r="M207" s="757"/>
      <c r="N207" s="332"/>
      <c r="O207" s="332"/>
      <c r="P207" s="332"/>
    </row>
    <row r="208" spans="1:57" x14ac:dyDescent="0.25">
      <c r="M208" s="757"/>
      <c r="N208" s="332"/>
      <c r="O208" s="332"/>
      <c r="P208" s="332"/>
    </row>
    <row r="209" spans="1:69" x14ac:dyDescent="0.25">
      <c r="B209" s="2639" t="s">
        <v>1118</v>
      </c>
      <c r="C209" s="2640"/>
      <c r="D209" s="2640"/>
      <c r="E209" s="2640"/>
      <c r="F209" s="2640"/>
      <c r="G209" s="2640"/>
      <c r="H209" s="2640"/>
      <c r="I209" s="2641"/>
      <c r="J209" s="2641"/>
      <c r="K209" s="2641"/>
      <c r="L209" s="2641"/>
      <c r="M209" s="2641"/>
      <c r="N209" s="2642"/>
      <c r="V209" s="2639" t="str">
        <f>B209</f>
        <v>Advanced Power Strips Tier 1  / Load Sensing</v>
      </c>
      <c r="W209" s="2640"/>
      <c r="X209" s="2640"/>
      <c r="Y209" s="2640"/>
      <c r="Z209" s="2640"/>
      <c r="AA209" s="2640"/>
      <c r="AB209" s="2640"/>
      <c r="AC209" s="2615"/>
      <c r="AD209" s="2615"/>
      <c r="AE209" s="2615"/>
      <c r="AF209" s="2615"/>
      <c r="AG209" s="2615"/>
      <c r="AH209" s="2616"/>
    </row>
    <row r="211" spans="1:69" ht="30" x14ac:dyDescent="0.25">
      <c r="C211" s="1641" t="s">
        <v>17</v>
      </c>
      <c r="D211" s="1641" t="s">
        <v>662</v>
      </c>
      <c r="E211" s="1641" t="s">
        <v>19</v>
      </c>
      <c r="F211" s="1641" t="s">
        <v>20</v>
      </c>
      <c r="G211" s="1641" t="s">
        <v>21</v>
      </c>
      <c r="H211" s="1641" t="s">
        <v>22</v>
      </c>
      <c r="I211" s="1641" t="s">
        <v>23</v>
      </c>
      <c r="J211" s="1641" t="s">
        <v>24</v>
      </c>
      <c r="K211" s="1641" t="s">
        <v>25</v>
      </c>
      <c r="L211" s="1641" t="s">
        <v>26</v>
      </c>
      <c r="V211" s="55" t="s">
        <v>27</v>
      </c>
      <c r="W211" s="56">
        <f>$W$6</f>
        <v>43252</v>
      </c>
      <c r="X211" s="56">
        <f>$X$6</f>
        <v>43465</v>
      </c>
      <c r="Y211" s="56">
        <f>$Y$6</f>
        <v>43800</v>
      </c>
      <c r="Z211" s="56">
        <f>$Z$6</f>
        <v>43862</v>
      </c>
      <c r="AA211" s="56" t="str">
        <f>$AA$6</f>
        <v>-</v>
      </c>
      <c r="AB211" s="56" t="str">
        <f>$AB$6</f>
        <v>-</v>
      </c>
      <c r="AC211" s="56" t="str">
        <f>$AC$6</f>
        <v>-</v>
      </c>
      <c r="AD211" s="56" t="str">
        <f>$AD$6</f>
        <v>-</v>
      </c>
      <c r="AE211" s="56" t="str">
        <f>$AE$6</f>
        <v>-</v>
      </c>
      <c r="AF211" s="56" t="str">
        <f>$AF$6</f>
        <v>-</v>
      </c>
      <c r="AG211" s="56" t="str">
        <f>$AG$6</f>
        <v>-</v>
      </c>
      <c r="BB211" s="103" t="str">
        <f>$BB$6</f>
        <v>TRC (2020)</v>
      </c>
      <c r="BC211" s="103" t="str">
        <f>$BC$6</f>
        <v>Benefit Lookup</v>
      </c>
      <c r="BD211" s="334" t="str">
        <f>$BD$6</f>
        <v>Benefits (2019 $)</v>
      </c>
      <c r="BE211" s="334" t="str">
        <f>$BE$6</f>
        <v>Incremental Cost (2019 $)</v>
      </c>
    </row>
    <row r="212" spans="1:69" s="65" customFormat="1" ht="30" x14ac:dyDescent="0.25">
      <c r="A212" s="177"/>
      <c r="B212" s="177"/>
      <c r="C212" s="1942" t="s">
        <v>1119</v>
      </c>
      <c r="D212" s="2481" t="s">
        <v>1120</v>
      </c>
      <c r="E212" s="1642" t="s">
        <v>1121</v>
      </c>
      <c r="F212" s="712">
        <f>ROUND((F226*F228+G226*G228)*H229,2)</f>
        <v>31</v>
      </c>
      <c r="G212" s="765" t="s">
        <v>840</v>
      </c>
      <c r="H212" s="617">
        <f>VLOOKUP(G212,'CP FACTORS'!$A$3:$B$38, 2, FALSE)</f>
        <v>1.148238E-4</v>
      </c>
      <c r="I212" s="618">
        <f t="shared" ref="I212:I217" si="13">ROUND(F212*H212,6)</f>
        <v>3.5599999999999998E-3</v>
      </c>
      <c r="J212" s="157">
        <f t="shared" ref="J212:J217" si="14">$F$231</f>
        <v>10</v>
      </c>
      <c r="K212" s="700">
        <f t="shared" ref="K212:K217" si="15">$F$232</f>
        <v>20</v>
      </c>
      <c r="L212" s="619" t="s">
        <v>37</v>
      </c>
      <c r="M212" s="757"/>
      <c r="N212" s="332"/>
      <c r="O212" s="177"/>
      <c r="P212" s="177"/>
      <c r="Q212" s="177"/>
      <c r="R212" s="1894"/>
      <c r="S212" s="177"/>
      <c r="T212" s="177"/>
      <c r="U212" s="177"/>
      <c r="V212" s="245" t="str">
        <f>F211</f>
        <v>kWh Annual Savings</v>
      </c>
      <c r="W212" s="766">
        <v>31</v>
      </c>
      <c r="X212" s="766">
        <v>31</v>
      </c>
      <c r="Y212" s="767">
        <v>31</v>
      </c>
      <c r="Z212" s="245"/>
      <c r="AA212" s="245"/>
      <c r="AB212" s="245"/>
      <c r="AC212" s="245"/>
      <c r="AD212" s="245"/>
      <c r="AE212" s="245"/>
      <c r="AF212" s="245"/>
      <c r="AG212" s="245"/>
      <c r="AH212" s="248"/>
      <c r="BB212" s="161">
        <f t="shared" ref="BB212:BB217" si="16">(BD212)/(BE212)</f>
        <v>0.56629728930217338</v>
      </c>
      <c r="BC212" s="69" t="str">
        <f>CONCATENATE(G212," ",J212," Year EUL")</f>
        <v>Miscellaneous RES 10 Year EUL</v>
      </c>
      <c r="BD212" s="581">
        <f>(INDEX('Avoided Cost Benefits'!$C$4:$C$857,MATCH(BC212,'Avoided Cost Benefits'!$A$4:$A$857,0)))*F212</f>
        <v>10.689896919342583</v>
      </c>
      <c r="BE212" s="582">
        <f>K212/(1.0595^(2020-2019))</f>
        <v>18.876828692779611</v>
      </c>
    </row>
    <row r="213" spans="1:69" s="65" customFormat="1" ht="30" x14ac:dyDescent="0.25">
      <c r="A213" s="177"/>
      <c r="B213" s="177"/>
      <c r="C213" s="1942" t="s">
        <v>1122</v>
      </c>
      <c r="D213" s="2481" t="s">
        <v>1120</v>
      </c>
      <c r="E213" s="1642" t="s">
        <v>1123</v>
      </c>
      <c r="F213" s="712">
        <f>ROUND((F226*F228+G226*G228)*I229,2)</f>
        <v>24.18</v>
      </c>
      <c r="G213" s="765" t="s">
        <v>840</v>
      </c>
      <c r="H213" s="617">
        <f>VLOOKUP(G213,'CP FACTORS'!$A$3:$B$38, 2, FALSE)</f>
        <v>1.148238E-4</v>
      </c>
      <c r="I213" s="618">
        <f t="shared" si="13"/>
        <v>2.7759999999999998E-3</v>
      </c>
      <c r="J213" s="157">
        <f t="shared" si="14"/>
        <v>10</v>
      </c>
      <c r="K213" s="700">
        <f t="shared" si="15"/>
        <v>20</v>
      </c>
      <c r="L213" s="619" t="s">
        <v>37</v>
      </c>
      <c r="M213" s="757"/>
      <c r="N213" s="332"/>
      <c r="O213" s="177"/>
      <c r="P213" s="177"/>
      <c r="Q213" s="177"/>
      <c r="R213" s="1894"/>
      <c r="S213" s="177"/>
      <c r="T213" s="177"/>
      <c r="U213" s="177"/>
      <c r="V213" s="245" t="str">
        <f>V212</f>
        <v>kWh Annual Savings</v>
      </c>
      <c r="W213" s="766">
        <v>24.18</v>
      </c>
      <c r="X213" s="766">
        <v>24.18</v>
      </c>
      <c r="Y213" s="767">
        <v>24.18</v>
      </c>
      <c r="Z213" s="245"/>
      <c r="AA213" s="245"/>
      <c r="AB213" s="245"/>
      <c r="AC213" s="245"/>
      <c r="AD213" s="245"/>
      <c r="AE213" s="245"/>
      <c r="AF213" s="245"/>
      <c r="AG213" s="245"/>
      <c r="AH213" s="248"/>
      <c r="BB213" s="164">
        <f t="shared" si="16"/>
        <v>0.4417118856556953</v>
      </c>
      <c r="BC213" s="73" t="str">
        <f t="shared" ref="BC213:BC217" si="17">CONCATENATE(G213," ",J213," Year EUL")</f>
        <v>Miscellaneous RES 10 Year EUL</v>
      </c>
      <c r="BD213" s="584">
        <f>(INDEX('Avoided Cost Benefits'!$C$4:$C$857,MATCH(BC213,'Avoided Cost Benefits'!$A$4:$A$857,0)))*F213</f>
        <v>8.338119597087216</v>
      </c>
      <c r="BE213" s="585">
        <f t="shared" ref="BE213:BE217" si="18">K213/(1.0595^(2020-2019))</f>
        <v>18.876828692779611</v>
      </c>
    </row>
    <row r="214" spans="1:69" s="65" customFormat="1" ht="30" x14ac:dyDescent="0.25">
      <c r="A214" s="177"/>
      <c r="B214" s="177"/>
      <c r="C214" s="1942" t="s">
        <v>1124</v>
      </c>
      <c r="D214" s="2481" t="s">
        <v>1120</v>
      </c>
      <c r="E214" s="1642" t="s">
        <v>1125</v>
      </c>
      <c r="F214" s="712">
        <f>ROUND((F226*F227+G226*G227)*H229,2)</f>
        <v>75.099999999999994</v>
      </c>
      <c r="G214" s="765" t="s">
        <v>840</v>
      </c>
      <c r="H214" s="617">
        <f>VLOOKUP(G214,'CP FACTORS'!$A$3:$B$38, 2, FALSE)</f>
        <v>1.148238E-4</v>
      </c>
      <c r="I214" s="618">
        <f t="shared" si="13"/>
        <v>8.6230000000000005E-3</v>
      </c>
      <c r="J214" s="157">
        <f t="shared" si="14"/>
        <v>10</v>
      </c>
      <c r="K214" s="700">
        <f t="shared" si="15"/>
        <v>20</v>
      </c>
      <c r="L214" s="619" t="s">
        <v>37</v>
      </c>
      <c r="M214" s="757"/>
      <c r="N214" s="332"/>
      <c r="O214" s="177"/>
      <c r="P214" s="177"/>
      <c r="Q214" s="177"/>
      <c r="R214" s="1894"/>
      <c r="S214" s="177"/>
      <c r="T214" s="177"/>
      <c r="U214" s="177"/>
      <c r="V214" s="245" t="str">
        <f>V213</f>
        <v>kWh Annual Savings</v>
      </c>
      <c r="W214" s="766">
        <v>75.099999999999994</v>
      </c>
      <c r="X214" s="766">
        <v>75.099999999999994</v>
      </c>
      <c r="Y214" s="767">
        <v>75.099999999999994</v>
      </c>
      <c r="Z214" s="245"/>
      <c r="AA214" s="245"/>
      <c r="AB214" s="245"/>
      <c r="AC214" s="245"/>
      <c r="AD214" s="245"/>
      <c r="AE214" s="245"/>
      <c r="AF214" s="245"/>
      <c r="AG214" s="245"/>
      <c r="AH214" s="248"/>
      <c r="BB214" s="164">
        <f t="shared" si="16"/>
        <v>1.3719008524707492</v>
      </c>
      <c r="BC214" s="73" t="str">
        <f t="shared" si="17"/>
        <v>Miscellaneous RES 10 Year EUL</v>
      </c>
      <c r="BD214" s="584">
        <f>(INDEX('Avoided Cost Benefits'!$C$4:$C$857,MATCH(BC214,'Avoided Cost Benefits'!$A$4:$A$857,0)))*F214</f>
        <v>25.897137375568647</v>
      </c>
      <c r="BE214" s="585">
        <f t="shared" si="18"/>
        <v>18.876828692779611</v>
      </c>
    </row>
    <row r="215" spans="1:69" s="65" customFormat="1" ht="30" x14ac:dyDescent="0.25">
      <c r="A215" s="177"/>
      <c r="B215" s="177"/>
      <c r="C215" s="1942" t="s">
        <v>1126</v>
      </c>
      <c r="D215" s="2481" t="s">
        <v>1120</v>
      </c>
      <c r="E215" s="1642" t="s">
        <v>1127</v>
      </c>
      <c r="F215" s="712">
        <f>ROUND((F226*F227+G226*G227)*I229,2)</f>
        <v>58.58</v>
      </c>
      <c r="G215" s="765" t="s">
        <v>840</v>
      </c>
      <c r="H215" s="617">
        <f>VLOOKUP(G215,'CP FACTORS'!$A$3:$B$38, 2, FALSE)</f>
        <v>1.148238E-4</v>
      </c>
      <c r="I215" s="618">
        <f t="shared" si="13"/>
        <v>6.7260000000000002E-3</v>
      </c>
      <c r="J215" s="157">
        <f t="shared" si="14"/>
        <v>10</v>
      </c>
      <c r="K215" s="700">
        <f t="shared" si="15"/>
        <v>20</v>
      </c>
      <c r="L215" s="619" t="s">
        <v>37</v>
      </c>
      <c r="M215" s="757"/>
      <c r="N215" s="332"/>
      <c r="O215" s="177"/>
      <c r="P215" s="177"/>
      <c r="Q215" s="177"/>
      <c r="R215" s="1894"/>
      <c r="S215" s="177"/>
      <c r="T215" s="177"/>
      <c r="U215" s="177"/>
      <c r="V215" s="245" t="str">
        <f>V214</f>
        <v>kWh Annual Savings</v>
      </c>
      <c r="W215" s="766">
        <v>58.577999999999996</v>
      </c>
      <c r="X215" s="766">
        <v>58.577999999999996</v>
      </c>
      <c r="Y215" s="767">
        <v>58.58</v>
      </c>
      <c r="Z215" s="245"/>
      <c r="AA215" s="245"/>
      <c r="AB215" s="245"/>
      <c r="AC215" s="245"/>
      <c r="AD215" s="245"/>
      <c r="AE215" s="245"/>
      <c r="AF215" s="245"/>
      <c r="AG215" s="245"/>
      <c r="AH215" s="248"/>
      <c r="BB215" s="164">
        <f t="shared" si="16"/>
        <v>1.0701192002361717</v>
      </c>
      <c r="BC215" s="73" t="str">
        <f t="shared" si="17"/>
        <v>Miscellaneous RES 10 Year EUL</v>
      </c>
      <c r="BD215" s="584">
        <f>(INDEX('Avoided Cost Benefits'!$C$4:$C$857,MATCH(BC215,'Avoided Cost Benefits'!$A$4:$A$857,0)))*F215</f>
        <v>20.200456823712535</v>
      </c>
      <c r="BE215" s="585">
        <f t="shared" si="18"/>
        <v>18.876828692779611</v>
      </c>
    </row>
    <row r="216" spans="1:69" s="65" customFormat="1" ht="30" x14ac:dyDescent="0.25">
      <c r="A216" s="177"/>
      <c r="B216" s="177"/>
      <c r="C216" s="1942" t="s">
        <v>1128</v>
      </c>
      <c r="D216" s="2481" t="s">
        <v>1120</v>
      </c>
      <c r="E216" s="1642" t="s">
        <v>1129</v>
      </c>
      <c r="F216" s="712">
        <f>ROUND((F226*H228+G226*H227)*H229,2)</f>
        <v>59.22</v>
      </c>
      <c r="G216" s="765" t="s">
        <v>840</v>
      </c>
      <c r="H216" s="617">
        <f>VLOOKUP(G216,'CP FACTORS'!$A$3:$B$38, 2, FALSE)</f>
        <v>1.148238E-4</v>
      </c>
      <c r="I216" s="618">
        <f t="shared" si="13"/>
        <v>6.7999999999999996E-3</v>
      </c>
      <c r="J216" s="157">
        <f t="shared" si="14"/>
        <v>10</v>
      </c>
      <c r="K216" s="700">
        <f t="shared" si="15"/>
        <v>20</v>
      </c>
      <c r="L216" s="619" t="s">
        <v>37</v>
      </c>
      <c r="M216" s="757"/>
      <c r="N216" s="332"/>
      <c r="O216" s="177"/>
      <c r="P216" s="177"/>
      <c r="Q216" s="177"/>
      <c r="R216" s="1894"/>
      <c r="S216" s="177"/>
      <c r="T216" s="177"/>
      <c r="U216" s="177"/>
      <c r="V216" s="245" t="str">
        <f>V215</f>
        <v>kWh Annual Savings</v>
      </c>
      <c r="W216" s="766">
        <v>59.224000000000004</v>
      </c>
      <c r="X216" s="766">
        <v>59.224000000000004</v>
      </c>
      <c r="Y216" s="767">
        <v>59.22</v>
      </c>
      <c r="Z216" s="245"/>
      <c r="AA216" s="245"/>
      <c r="AB216" s="245"/>
      <c r="AC216" s="245"/>
      <c r="AD216" s="245"/>
      <c r="AE216" s="245"/>
      <c r="AF216" s="245"/>
      <c r="AG216" s="245"/>
      <c r="AH216" s="248"/>
      <c r="BB216" s="164">
        <f t="shared" si="16"/>
        <v>1.0818104991120874</v>
      </c>
      <c r="BC216" s="73" t="str">
        <f t="shared" si="17"/>
        <v>Miscellaneous RES 10 Year EUL</v>
      </c>
      <c r="BD216" s="584">
        <f>(INDEX('Avoided Cost Benefits'!$C$4:$C$857,MATCH(BC216,'Avoided Cost Benefits'!$A$4:$A$857,0)))*F216</f>
        <v>20.421151469789283</v>
      </c>
      <c r="BE216" s="585">
        <f t="shared" si="18"/>
        <v>18.876828692779611</v>
      </c>
    </row>
    <row r="217" spans="1:69" s="65" customFormat="1" ht="30" x14ac:dyDescent="0.25">
      <c r="A217" s="177"/>
      <c r="B217" s="177"/>
      <c r="C217" s="1942" t="s">
        <v>1130</v>
      </c>
      <c r="D217" s="2481" t="s">
        <v>1120</v>
      </c>
      <c r="E217" s="1642" t="s">
        <v>1131</v>
      </c>
      <c r="F217" s="712">
        <f>ROUND((F226*I228+G226*I227)*I229,2)</f>
        <v>42.07</v>
      </c>
      <c r="G217" s="765" t="s">
        <v>840</v>
      </c>
      <c r="H217" s="617">
        <f>VLOOKUP(G217,'CP FACTORS'!$A$3:$B$38, 2, FALSE)</f>
        <v>1.148238E-4</v>
      </c>
      <c r="I217" s="618">
        <f t="shared" si="13"/>
        <v>4.8310000000000002E-3</v>
      </c>
      <c r="J217" s="157">
        <f t="shared" si="14"/>
        <v>10</v>
      </c>
      <c r="K217" s="700">
        <f t="shared" si="15"/>
        <v>20</v>
      </c>
      <c r="L217" s="619" t="s">
        <v>37</v>
      </c>
      <c r="M217" s="757"/>
      <c r="N217" s="332"/>
      <c r="O217" s="177"/>
      <c r="P217" s="177"/>
      <c r="Q217" s="177"/>
      <c r="R217" s="1894"/>
      <c r="S217" s="177"/>
      <c r="T217" s="177"/>
      <c r="U217" s="177"/>
      <c r="V217" s="245" t="str">
        <f>V216</f>
        <v>kWh Annual Savings</v>
      </c>
      <c r="W217" s="766">
        <v>42.066960000000002</v>
      </c>
      <c r="X217" s="766">
        <v>42.066960000000002</v>
      </c>
      <c r="Y217" s="767">
        <v>42.07</v>
      </c>
      <c r="Z217" s="245"/>
      <c r="AA217" s="245"/>
      <c r="AB217" s="245"/>
      <c r="AC217" s="245"/>
      <c r="AD217" s="245"/>
      <c r="AE217" s="245"/>
      <c r="AF217" s="245"/>
      <c r="AG217" s="245"/>
      <c r="AH217" s="248"/>
      <c r="BB217" s="169">
        <f t="shared" si="16"/>
        <v>0.76852022454653024</v>
      </c>
      <c r="BC217" s="73" t="str">
        <f t="shared" si="17"/>
        <v>Miscellaneous RES 10 Year EUL</v>
      </c>
      <c r="BD217" s="586">
        <f>(INDEX('Avoided Cost Benefits'!$C$4:$C$857,MATCH(BC217,'Avoided Cost Benefits'!$A$4:$A$857,0)))*F217</f>
        <v>14.507224625701372</v>
      </c>
      <c r="BE217" s="587">
        <f t="shared" si="18"/>
        <v>18.876828692779611</v>
      </c>
    </row>
    <row r="218" spans="1:69" hidden="1" outlineLevel="1" x14ac:dyDescent="0.25">
      <c r="X218" s="327" t="s">
        <v>858</v>
      </c>
      <c r="Y218" s="327" t="s">
        <v>859</v>
      </c>
    </row>
    <row r="219" spans="1:69" hidden="1" outlineLevel="1" x14ac:dyDescent="0.25">
      <c r="D219" s="259" t="s">
        <v>617</v>
      </c>
    </row>
    <row r="220" spans="1:69" hidden="1" outlineLevel="1" x14ac:dyDescent="0.25"/>
    <row r="221" spans="1:69" hidden="1" outlineLevel="1" x14ac:dyDescent="0.25"/>
    <row r="222" spans="1:69" hidden="1" outlineLevel="1" x14ac:dyDescent="0.25"/>
    <row r="223" spans="1:69" hidden="1" outlineLevel="1" x14ac:dyDescent="0.25"/>
    <row r="224" spans="1:69" hidden="1" outlineLevel="1" x14ac:dyDescent="0.25">
      <c r="D224" s="520" t="s">
        <v>618</v>
      </c>
      <c r="E224" s="1659" t="s">
        <v>619</v>
      </c>
      <c r="F224" s="1659" t="s">
        <v>1132</v>
      </c>
      <c r="G224" s="1659" t="s">
        <v>1133</v>
      </c>
      <c r="H224" s="2722" t="s">
        <v>1134</v>
      </c>
      <c r="I224" s="2723"/>
      <c r="J224" s="1659" t="s">
        <v>863</v>
      </c>
      <c r="K224" s="763"/>
      <c r="M224" s="177"/>
      <c r="V224" s="55" t="s">
        <v>27</v>
      </c>
      <c r="W224" s="56">
        <f>$W$6</f>
        <v>43252</v>
      </c>
      <c r="X224" s="56">
        <f>$X$6</f>
        <v>43465</v>
      </c>
      <c r="Y224" s="56">
        <f>$Y$6</f>
        <v>43800</v>
      </c>
      <c r="Z224" s="56">
        <f>$Z$6</f>
        <v>43862</v>
      </c>
      <c r="AA224" s="56" t="str">
        <f>$AA$6</f>
        <v>-</v>
      </c>
      <c r="AB224" s="56" t="str">
        <f>$AB$6</f>
        <v>-</v>
      </c>
      <c r="AC224" s="56" t="str">
        <f>$AC$6</f>
        <v>-</v>
      </c>
      <c r="AD224" s="56" t="str">
        <f>$AD$6</f>
        <v>-</v>
      </c>
      <c r="AE224" s="56" t="str">
        <f>$AE$6</f>
        <v>-</v>
      </c>
      <c r="AF224" s="56" t="str">
        <f>$AF$6</f>
        <v>-</v>
      </c>
      <c r="AG224" s="56" t="str">
        <f>$AG$6</f>
        <v>-</v>
      </c>
      <c r="AH224" s="663"/>
      <c r="AI224" s="56">
        <f>$W$6</f>
        <v>43252</v>
      </c>
      <c r="AJ224" s="56">
        <f>$X$6</f>
        <v>43465</v>
      </c>
      <c r="AK224" s="56">
        <f>$Y$6</f>
        <v>43800</v>
      </c>
      <c r="AL224" s="56">
        <f>$Z$6</f>
        <v>43862</v>
      </c>
      <c r="AM224" s="56" t="str">
        <f>$AA$6</f>
        <v>-</v>
      </c>
      <c r="AN224" s="56" t="str">
        <f>$AB$6</f>
        <v>-</v>
      </c>
      <c r="AO224" s="56" t="str">
        <f>$AC$6</f>
        <v>-</v>
      </c>
      <c r="AP224" s="56" t="str">
        <f>$AD$6</f>
        <v>-</v>
      </c>
      <c r="AQ224" s="56" t="str">
        <f>$AE$6</f>
        <v>-</v>
      </c>
      <c r="AR224" s="56" t="str">
        <f>$AF$6</f>
        <v>-</v>
      </c>
      <c r="AS224" s="56" t="str">
        <f>$AG$6</f>
        <v>-</v>
      </c>
      <c r="AT224" s="663"/>
      <c r="AU224" s="56">
        <f>$W$6</f>
        <v>43252</v>
      </c>
      <c r="AV224" s="56">
        <f>$X$6</f>
        <v>43465</v>
      </c>
      <c r="AW224" s="56">
        <f>$Y$6</f>
        <v>43800</v>
      </c>
      <c r="AX224" s="56">
        <f>$Z$6</f>
        <v>43862</v>
      </c>
      <c r="AY224" s="56" t="str">
        <f>$AA$6</f>
        <v>-</v>
      </c>
      <c r="AZ224" s="56" t="str">
        <f>$AB$6</f>
        <v>-</v>
      </c>
      <c r="BA224" s="56" t="str">
        <f>$AC$6</f>
        <v>-</v>
      </c>
      <c r="BB224" s="56" t="str">
        <f>$AD$6</f>
        <v>-</v>
      </c>
      <c r="BC224" s="56" t="str">
        <f>$AE$6</f>
        <v>-</v>
      </c>
      <c r="BD224" s="768" t="str">
        <f>$AF$6</f>
        <v>-</v>
      </c>
      <c r="BE224" s="768" t="str">
        <f>$AG$6</f>
        <v>-</v>
      </c>
      <c r="BF224" s="663"/>
      <c r="BG224" s="56">
        <f>$W$6</f>
        <v>43252</v>
      </c>
      <c r="BH224" s="56">
        <f>$X$6</f>
        <v>43465</v>
      </c>
      <c r="BI224" s="56">
        <f>$Y$6</f>
        <v>43800</v>
      </c>
      <c r="BJ224" s="56">
        <f>$Z$6</f>
        <v>43862</v>
      </c>
      <c r="BK224" s="56" t="str">
        <f>$AA$6</f>
        <v>-</v>
      </c>
      <c r="BL224" s="56" t="str">
        <f>$AB$6</f>
        <v>-</v>
      </c>
      <c r="BM224" s="56" t="str">
        <f>$AC$6</f>
        <v>-</v>
      </c>
      <c r="BN224" s="56" t="str">
        <f>$AD$6</f>
        <v>-</v>
      </c>
      <c r="BO224" s="56" t="str">
        <f>$AE$6</f>
        <v>-</v>
      </c>
      <c r="BP224" s="56" t="str">
        <f>$AF$6</f>
        <v>-</v>
      </c>
      <c r="BQ224" s="56" t="str">
        <f>$AG$6</f>
        <v>-</v>
      </c>
    </row>
    <row r="225" spans="2:69" ht="45" hidden="1" outlineLevel="1" x14ac:dyDescent="0.25">
      <c r="D225" s="769"/>
      <c r="E225" s="770"/>
      <c r="F225" s="770"/>
      <c r="G225" s="770"/>
      <c r="H225" s="1641" t="s">
        <v>1135</v>
      </c>
      <c r="I225" s="1641" t="s">
        <v>1136</v>
      </c>
      <c r="J225" s="770"/>
      <c r="K225" s="763"/>
      <c r="M225" s="177"/>
      <c r="V225" s="79"/>
      <c r="W225" s="80" t="s">
        <v>1132</v>
      </c>
      <c r="X225" s="80" t="s">
        <v>1132</v>
      </c>
      <c r="Y225" s="80" t="s">
        <v>1132</v>
      </c>
      <c r="Z225" s="80" t="s">
        <v>1132</v>
      </c>
      <c r="AA225" s="80" t="s">
        <v>1132</v>
      </c>
      <c r="AB225" s="80" t="s">
        <v>1132</v>
      </c>
      <c r="AC225" s="80" t="s">
        <v>1132</v>
      </c>
      <c r="AD225" s="80" t="s">
        <v>1132</v>
      </c>
      <c r="AE225" s="80" t="s">
        <v>1132</v>
      </c>
      <c r="AF225" s="80" t="s">
        <v>1132</v>
      </c>
      <c r="AG225" s="80" t="s">
        <v>1132</v>
      </c>
      <c r="AI225" s="80" t="str">
        <f>G224</f>
        <v>Entertainment</v>
      </c>
      <c r="AJ225" s="80" t="str">
        <f>AI225</f>
        <v>Entertainment</v>
      </c>
      <c r="AK225" s="80" t="str">
        <f t="shared" ref="AK225:AS225" si="19">AJ225</f>
        <v>Entertainment</v>
      </c>
      <c r="AL225" s="80" t="str">
        <f t="shared" si="19"/>
        <v>Entertainment</v>
      </c>
      <c r="AM225" s="80" t="str">
        <f t="shared" si="19"/>
        <v>Entertainment</v>
      </c>
      <c r="AN225" s="80" t="str">
        <f t="shared" si="19"/>
        <v>Entertainment</v>
      </c>
      <c r="AO225" s="80" t="str">
        <f t="shared" si="19"/>
        <v>Entertainment</v>
      </c>
      <c r="AP225" s="80" t="str">
        <f t="shared" si="19"/>
        <v>Entertainment</v>
      </c>
      <c r="AQ225" s="80" t="str">
        <f t="shared" si="19"/>
        <v>Entertainment</v>
      </c>
      <c r="AR225" s="80" t="str">
        <f t="shared" si="19"/>
        <v>Entertainment</v>
      </c>
      <c r="AS225" s="80" t="str">
        <f t="shared" si="19"/>
        <v>Entertainment</v>
      </c>
      <c r="AU225" s="80" t="str">
        <f>CONCATENATE(H224," ",H225)</f>
        <v>Location Unknown TOS / NC / DI</v>
      </c>
      <c r="AV225" s="80" t="str">
        <f>AU225</f>
        <v>Location Unknown TOS / NC / DI</v>
      </c>
      <c r="AW225" s="80" t="str">
        <f t="shared" ref="AW225:BE225" si="20">AV225</f>
        <v>Location Unknown TOS / NC / DI</v>
      </c>
      <c r="AX225" s="80" t="str">
        <f t="shared" si="20"/>
        <v>Location Unknown TOS / NC / DI</v>
      </c>
      <c r="AY225" s="80" t="str">
        <f t="shared" si="20"/>
        <v>Location Unknown TOS / NC / DI</v>
      </c>
      <c r="AZ225" s="80" t="str">
        <f t="shared" si="20"/>
        <v>Location Unknown TOS / NC / DI</v>
      </c>
      <c r="BA225" s="80" t="str">
        <f t="shared" si="20"/>
        <v>Location Unknown TOS / NC / DI</v>
      </c>
      <c r="BB225" s="80" t="str">
        <f t="shared" si="20"/>
        <v>Location Unknown TOS / NC / DI</v>
      </c>
      <c r="BC225" s="80" t="str">
        <f t="shared" si="20"/>
        <v>Location Unknown TOS / NC / DI</v>
      </c>
      <c r="BD225" s="80" t="str">
        <f t="shared" si="20"/>
        <v>Location Unknown TOS / NC / DI</v>
      </c>
      <c r="BE225" s="80" t="str">
        <f t="shared" si="20"/>
        <v>Location Unknown TOS / NC / DI</v>
      </c>
      <c r="BG225" s="80" t="str">
        <f>CONCATENATE(H224," ",I225)</f>
        <v>Location Unknown KITS</v>
      </c>
      <c r="BH225" s="80" t="str">
        <f>BG225</f>
        <v>Location Unknown KITS</v>
      </c>
      <c r="BI225" s="80" t="str">
        <f t="shared" ref="BI225:BQ225" si="21">BH225</f>
        <v>Location Unknown KITS</v>
      </c>
      <c r="BJ225" s="80" t="str">
        <f t="shared" si="21"/>
        <v>Location Unknown KITS</v>
      </c>
      <c r="BK225" s="80" t="str">
        <f t="shared" si="21"/>
        <v>Location Unknown KITS</v>
      </c>
      <c r="BL225" s="80" t="str">
        <f t="shared" si="21"/>
        <v>Location Unknown KITS</v>
      </c>
      <c r="BM225" s="80" t="str">
        <f t="shared" si="21"/>
        <v>Location Unknown KITS</v>
      </c>
      <c r="BN225" s="80" t="str">
        <f t="shared" si="21"/>
        <v>Location Unknown KITS</v>
      </c>
      <c r="BO225" s="80" t="str">
        <f t="shared" si="21"/>
        <v>Location Unknown KITS</v>
      </c>
      <c r="BP225" s="80" t="str">
        <f t="shared" si="21"/>
        <v>Location Unknown KITS</v>
      </c>
      <c r="BQ225" s="80" t="str">
        <f t="shared" si="21"/>
        <v>Location Unknown KITS</v>
      </c>
    </row>
    <row r="226" spans="2:69" hidden="1" outlineLevel="1" x14ac:dyDescent="0.25">
      <c r="D226" s="458" t="s">
        <v>1137</v>
      </c>
      <c r="E226" s="458" t="s">
        <v>1138</v>
      </c>
      <c r="F226" s="61">
        <v>31</v>
      </c>
      <c r="G226" s="61">
        <v>75.099999999999994</v>
      </c>
      <c r="H226" s="1975"/>
      <c r="I226" s="1975"/>
      <c r="J226" s="150"/>
      <c r="K226" s="763"/>
      <c r="M226" s="177"/>
      <c r="V226" s="151" t="s">
        <v>1138</v>
      </c>
      <c r="W226" s="771">
        <v>31</v>
      </c>
      <c r="X226" s="771">
        <v>31</v>
      </c>
      <c r="Y226" s="771">
        <v>31</v>
      </c>
      <c r="Z226" s="771"/>
      <c r="AA226" s="771"/>
      <c r="AB226" s="771"/>
      <c r="AC226" s="771"/>
      <c r="AD226" s="771"/>
      <c r="AE226" s="771"/>
      <c r="AF226" s="771"/>
      <c r="AG226" s="771"/>
      <c r="AI226" s="669">
        <v>75.099999999999994</v>
      </c>
      <c r="AJ226" s="669">
        <v>75.099999999999994</v>
      </c>
      <c r="AK226" s="669">
        <v>75.099999999999994</v>
      </c>
      <c r="AL226" s="771"/>
      <c r="AM226" s="771"/>
      <c r="AN226" s="771"/>
      <c r="AO226" s="771"/>
      <c r="AP226" s="771"/>
      <c r="AQ226" s="771"/>
      <c r="AR226" s="771"/>
      <c r="AS226" s="771"/>
      <c r="AU226" s="669"/>
      <c r="AV226" s="669"/>
      <c r="AW226" s="669"/>
      <c r="AX226" s="771"/>
      <c r="AY226" s="771"/>
      <c r="AZ226" s="771"/>
      <c r="BA226" s="771"/>
      <c r="BB226" s="771"/>
      <c r="BC226" s="771"/>
      <c r="BD226" s="771"/>
      <c r="BE226" s="771"/>
      <c r="BG226" s="771"/>
      <c r="BH226" s="771"/>
      <c r="BI226" s="771"/>
      <c r="BJ226" s="771"/>
      <c r="BK226" s="771"/>
      <c r="BL226" s="771"/>
      <c r="BM226" s="771"/>
      <c r="BN226" s="771"/>
      <c r="BO226" s="771"/>
      <c r="BP226" s="771"/>
      <c r="BQ226" s="771"/>
    </row>
    <row r="227" spans="2:69" ht="27" hidden="1" customHeight="1" outlineLevel="1" x14ac:dyDescent="0.25">
      <c r="D227" s="458" t="s">
        <v>1139</v>
      </c>
      <c r="E227" s="1666" t="s">
        <v>1140</v>
      </c>
      <c r="F227" s="318">
        <v>0</v>
      </c>
      <c r="G227" s="318">
        <v>1</v>
      </c>
      <c r="H227" s="318">
        <v>0.64</v>
      </c>
      <c r="I227" s="318">
        <v>0.52</v>
      </c>
      <c r="J227" s="1699"/>
      <c r="K227" s="763"/>
      <c r="M227" s="177"/>
      <c r="V227" s="773" t="s">
        <v>1140</v>
      </c>
      <c r="W227" s="774">
        <v>0</v>
      </c>
      <c r="X227" s="774">
        <v>0</v>
      </c>
      <c r="Y227" s="774">
        <v>0</v>
      </c>
      <c r="Z227" s="774"/>
      <c r="AA227" s="774"/>
      <c r="AB227" s="774"/>
      <c r="AC227" s="774"/>
      <c r="AD227" s="774"/>
      <c r="AE227" s="774"/>
      <c r="AF227" s="774"/>
      <c r="AG227" s="774"/>
      <c r="AI227" s="772">
        <v>1</v>
      </c>
      <c r="AJ227" s="772">
        <v>1</v>
      </c>
      <c r="AK227" s="772">
        <v>1</v>
      </c>
      <c r="AL227" s="774"/>
      <c r="AM227" s="774"/>
      <c r="AN227" s="774"/>
      <c r="AO227" s="774"/>
      <c r="AP227" s="774"/>
      <c r="AQ227" s="774"/>
      <c r="AR227" s="774"/>
      <c r="AS227" s="774"/>
      <c r="AU227" s="772">
        <f>1-AU228</f>
        <v>0.64</v>
      </c>
      <c r="AV227" s="772">
        <f>1-AV228</f>
        <v>0.64</v>
      </c>
      <c r="AW227" s="772">
        <f>1-AW228</f>
        <v>0.64</v>
      </c>
      <c r="AX227" s="774"/>
      <c r="AY227" s="774"/>
      <c r="AZ227" s="774"/>
      <c r="BA227" s="774"/>
      <c r="BB227" s="774"/>
      <c r="BC227" s="774"/>
      <c r="BD227" s="775"/>
      <c r="BE227" s="775"/>
      <c r="BG227" s="772">
        <f>1-BG228</f>
        <v>0.52</v>
      </c>
      <c r="BH227" s="772">
        <f>1-BH228</f>
        <v>0.52</v>
      </c>
      <c r="BI227" s="772">
        <f>1-BI228</f>
        <v>0.52</v>
      </c>
      <c r="BJ227" s="774"/>
      <c r="BK227" s="774"/>
      <c r="BL227" s="774"/>
      <c r="BM227" s="774"/>
      <c r="BN227" s="774"/>
      <c r="BO227" s="774"/>
      <c r="BP227" s="774"/>
      <c r="BQ227" s="774"/>
    </row>
    <row r="228" spans="2:69" hidden="1" outlineLevel="1" x14ac:dyDescent="0.25">
      <c r="D228" s="458" t="s">
        <v>1141</v>
      </c>
      <c r="E228" s="1666" t="s">
        <v>1142</v>
      </c>
      <c r="F228" s="318">
        <v>1</v>
      </c>
      <c r="G228" s="318">
        <v>0</v>
      </c>
      <c r="H228" s="318">
        <v>0.36</v>
      </c>
      <c r="I228" s="318">
        <v>0.48</v>
      </c>
      <c r="J228" s="150"/>
      <c r="K228" s="763"/>
      <c r="M228" s="177"/>
      <c r="V228" s="773" t="s">
        <v>1142</v>
      </c>
      <c r="W228" s="776">
        <v>1</v>
      </c>
      <c r="X228" s="776">
        <v>1</v>
      </c>
      <c r="Y228" s="776">
        <v>1</v>
      </c>
      <c r="Z228" s="776"/>
      <c r="AA228" s="776"/>
      <c r="AB228" s="776"/>
      <c r="AC228" s="776"/>
      <c r="AD228" s="776"/>
      <c r="AE228" s="776"/>
      <c r="AF228" s="776"/>
      <c r="AG228" s="776"/>
      <c r="AI228" s="772">
        <v>0</v>
      </c>
      <c r="AJ228" s="772">
        <v>0</v>
      </c>
      <c r="AK228" s="772">
        <v>0</v>
      </c>
      <c r="AL228" s="776"/>
      <c r="AM228" s="776"/>
      <c r="AN228" s="776"/>
      <c r="AO228" s="776"/>
      <c r="AP228" s="776"/>
      <c r="AQ228" s="776"/>
      <c r="AR228" s="776"/>
      <c r="AS228" s="776"/>
      <c r="AU228" s="772">
        <v>0.36</v>
      </c>
      <c r="AV228" s="772">
        <v>0.36</v>
      </c>
      <c r="AW228" s="772">
        <v>0.36</v>
      </c>
      <c r="AX228" s="776"/>
      <c r="AY228" s="776"/>
      <c r="AZ228" s="776"/>
      <c r="BA228" s="776"/>
      <c r="BB228" s="776"/>
      <c r="BC228" s="776"/>
      <c r="BD228" s="776"/>
      <c r="BE228" s="776"/>
      <c r="BG228" s="772">
        <v>0.48</v>
      </c>
      <c r="BH228" s="772">
        <v>0.48</v>
      </c>
      <c r="BI228" s="772">
        <v>0.48</v>
      </c>
      <c r="BJ228" s="776"/>
      <c r="BK228" s="776"/>
      <c r="BL228" s="776"/>
      <c r="BM228" s="776"/>
      <c r="BN228" s="776"/>
      <c r="BO228" s="776"/>
      <c r="BP228" s="776"/>
      <c r="BQ228" s="776"/>
    </row>
    <row r="229" spans="2:69" hidden="1" outlineLevel="1" x14ac:dyDescent="0.25">
      <c r="D229" s="458" t="s">
        <v>82</v>
      </c>
      <c r="E229" s="1642" t="s">
        <v>1143</v>
      </c>
      <c r="F229" s="1976"/>
      <c r="G229" s="1977"/>
      <c r="H229" s="318">
        <v>1</v>
      </c>
      <c r="I229" s="318">
        <v>0.78</v>
      </c>
      <c r="J229" s="1699"/>
      <c r="K229" s="763"/>
      <c r="M229" s="177"/>
      <c r="V229" s="630" t="s">
        <v>1143</v>
      </c>
      <c r="W229" s="777"/>
      <c r="X229" s="777"/>
      <c r="Y229" s="777"/>
      <c r="Z229" s="777"/>
      <c r="AA229" s="777"/>
      <c r="AB229" s="777"/>
      <c r="AC229" s="777"/>
      <c r="AD229" s="777"/>
      <c r="AE229" s="777"/>
      <c r="AF229" s="777"/>
      <c r="AG229" s="777"/>
      <c r="AI229" s="777"/>
      <c r="AJ229" s="777"/>
      <c r="AK229" s="777"/>
      <c r="AL229" s="777"/>
      <c r="AM229" s="777"/>
      <c r="AN229" s="777"/>
      <c r="AO229" s="777"/>
      <c r="AP229" s="777"/>
      <c r="AQ229" s="777"/>
      <c r="AR229" s="777"/>
      <c r="AS229" s="777"/>
      <c r="AU229" s="667">
        <v>1</v>
      </c>
      <c r="AV229" s="667">
        <v>1</v>
      </c>
      <c r="AW229" s="667">
        <v>1</v>
      </c>
      <c r="AX229" s="777"/>
      <c r="AY229" s="777"/>
      <c r="AZ229" s="777"/>
      <c r="BA229" s="777"/>
      <c r="BB229" s="777"/>
      <c r="BC229" s="777"/>
      <c r="BD229" s="778"/>
      <c r="BE229" s="778"/>
      <c r="BG229" s="667">
        <v>0.78</v>
      </c>
      <c r="BH229" s="667">
        <v>0.78</v>
      </c>
      <c r="BI229" s="667">
        <v>0.78</v>
      </c>
      <c r="BJ229" s="777"/>
      <c r="BK229" s="777"/>
      <c r="BL229" s="777"/>
      <c r="BM229" s="777"/>
      <c r="BN229" s="777"/>
      <c r="BO229" s="777"/>
      <c r="BP229" s="777"/>
      <c r="BQ229" s="777"/>
    </row>
    <row r="230" spans="2:69" hidden="1" outlineLevel="1" x14ac:dyDescent="0.25">
      <c r="D230" s="458" t="s">
        <v>731</v>
      </c>
      <c r="E230" s="1642" t="s">
        <v>731</v>
      </c>
      <c r="F230" s="318">
        <v>0.47315310825962376</v>
      </c>
      <c r="G230" s="1977"/>
      <c r="H230" s="1341"/>
      <c r="I230" s="1341"/>
      <c r="J230" s="1699"/>
      <c r="K230" s="763"/>
      <c r="M230" s="177"/>
      <c r="V230" s="630" t="s">
        <v>731</v>
      </c>
      <c r="W230" s="667">
        <v>0.47315310825962376</v>
      </c>
      <c r="X230" s="667">
        <v>0.47315310825962376</v>
      </c>
      <c r="Y230" s="667">
        <v>0.47315310825962376</v>
      </c>
      <c r="Z230" s="692"/>
      <c r="AA230" s="692"/>
      <c r="AB230" s="692"/>
      <c r="AC230" s="692"/>
      <c r="AD230" s="692"/>
      <c r="AE230" s="692"/>
      <c r="AF230" s="692"/>
      <c r="AG230" s="692"/>
      <c r="AI230" s="692"/>
      <c r="AJ230" s="692"/>
      <c r="AK230" s="692"/>
      <c r="AL230" s="692"/>
      <c r="AM230" s="692"/>
      <c r="AN230" s="692"/>
      <c r="AO230" s="692"/>
      <c r="AP230" s="692"/>
      <c r="AQ230" s="692"/>
      <c r="AR230" s="692"/>
      <c r="AS230" s="692"/>
      <c r="AU230" s="667"/>
      <c r="AV230" s="667"/>
      <c r="AW230" s="667"/>
      <c r="AX230" s="692"/>
      <c r="AY230" s="692"/>
      <c r="AZ230" s="692"/>
      <c r="BA230" s="692"/>
      <c r="BB230" s="692"/>
      <c r="BC230" s="692"/>
      <c r="BD230" s="692"/>
      <c r="BE230" s="692"/>
      <c r="BG230" s="692"/>
      <c r="BH230" s="692"/>
      <c r="BI230" s="692"/>
      <c r="BJ230" s="692"/>
      <c r="BK230" s="692"/>
      <c r="BL230" s="692"/>
      <c r="BM230" s="692"/>
      <c r="BN230" s="692"/>
      <c r="BO230" s="692"/>
      <c r="BP230" s="692"/>
      <c r="BQ230" s="692"/>
    </row>
    <row r="231" spans="2:69" hidden="1" outlineLevel="1" x14ac:dyDescent="0.25">
      <c r="B231" s="1580"/>
      <c r="C231" s="329"/>
      <c r="D231" s="377" t="s">
        <v>961</v>
      </c>
      <c r="E231" s="377" t="s">
        <v>657</v>
      </c>
      <c r="F231" s="2730">
        <v>10</v>
      </c>
      <c r="G231" s="2731"/>
      <c r="H231" s="2731"/>
      <c r="I231" s="2731"/>
      <c r="J231" s="1644"/>
      <c r="K231" s="763"/>
      <c r="L231" s="355"/>
      <c r="M231" s="1494"/>
      <c r="N231" s="355"/>
      <c r="O231" s="355"/>
      <c r="P231" s="355"/>
      <c r="Q231" s="355"/>
      <c r="V231" s="217" t="s">
        <v>961</v>
      </c>
      <c r="W231" s="608">
        <v>10</v>
      </c>
      <c r="X231" s="608">
        <v>10</v>
      </c>
      <c r="Y231" s="608">
        <v>10</v>
      </c>
      <c r="Z231" s="608"/>
      <c r="AA231" s="608"/>
      <c r="AB231" s="608"/>
      <c r="AC231" s="608"/>
      <c r="AD231" s="608"/>
      <c r="AE231" s="608"/>
      <c r="AF231" s="608"/>
      <c r="AG231" s="608"/>
    </row>
    <row r="232" spans="2:69" hidden="1" outlineLevel="1" x14ac:dyDescent="0.25">
      <c r="B232" s="1580"/>
      <c r="C232" s="329"/>
      <c r="D232" s="1653" t="s">
        <v>25</v>
      </c>
      <c r="E232" s="377" t="s">
        <v>659</v>
      </c>
      <c r="F232" s="2732">
        <v>20</v>
      </c>
      <c r="G232" s="2731"/>
      <c r="H232" s="2731"/>
      <c r="I232" s="2731"/>
      <c r="J232" s="1644"/>
      <c r="K232" s="763"/>
      <c r="L232" s="355"/>
      <c r="M232" s="1494"/>
      <c r="N232" s="355"/>
      <c r="O232" s="355"/>
      <c r="P232" s="355"/>
      <c r="Q232" s="355"/>
      <c r="V232" s="220" t="s">
        <v>25</v>
      </c>
      <c r="W232" s="610">
        <v>20</v>
      </c>
      <c r="X232" s="610">
        <v>20</v>
      </c>
      <c r="Y232" s="610">
        <v>20</v>
      </c>
      <c r="Z232" s="610"/>
      <c r="AA232" s="610"/>
      <c r="AB232" s="610"/>
      <c r="AC232" s="610"/>
      <c r="AD232" s="610"/>
      <c r="AE232" s="610"/>
      <c r="AF232" s="610"/>
      <c r="AG232" s="610"/>
    </row>
    <row r="233" spans="2:69" collapsed="1" x14ac:dyDescent="0.25"/>
  </sheetData>
  <mergeCells count="96">
    <mergeCell ref="V209:AH209"/>
    <mergeCell ref="H224:I224"/>
    <mergeCell ref="F231:I231"/>
    <mergeCell ref="F232:I232"/>
    <mergeCell ref="J202:L202"/>
    <mergeCell ref="J203:L203"/>
    <mergeCell ref="J204:L204"/>
    <mergeCell ref="J205:L205"/>
    <mergeCell ref="J206:L206"/>
    <mergeCell ref="B209:N209"/>
    <mergeCell ref="J201:L201"/>
    <mergeCell ref="J190:L190"/>
    <mergeCell ref="J191:L191"/>
    <mergeCell ref="J192:L192"/>
    <mergeCell ref="J193:L193"/>
    <mergeCell ref="J194:L194"/>
    <mergeCell ref="J195:L195"/>
    <mergeCell ref="J196:L196"/>
    <mergeCell ref="J197:L197"/>
    <mergeCell ref="J198:L198"/>
    <mergeCell ref="J199:L199"/>
    <mergeCell ref="J200:L200"/>
    <mergeCell ref="J141:K141"/>
    <mergeCell ref="J142:K142"/>
    <mergeCell ref="B145:N145"/>
    <mergeCell ref="V145:AH145"/>
    <mergeCell ref="B180:N180"/>
    <mergeCell ref="V180:AH180"/>
    <mergeCell ref="J140:K140"/>
    <mergeCell ref="J129:K129"/>
    <mergeCell ref="J130:K130"/>
    <mergeCell ref="J131:K131"/>
    <mergeCell ref="J132:K132"/>
    <mergeCell ref="J133:K133"/>
    <mergeCell ref="J134:K134"/>
    <mergeCell ref="J135:K135"/>
    <mergeCell ref="J136:K136"/>
    <mergeCell ref="J137:K137"/>
    <mergeCell ref="J138:K138"/>
    <mergeCell ref="J139:K139"/>
    <mergeCell ref="J128:K128"/>
    <mergeCell ref="J104:K104"/>
    <mergeCell ref="J105:K105"/>
    <mergeCell ref="J106:K106"/>
    <mergeCell ref="J107:K107"/>
    <mergeCell ref="B110:N110"/>
    <mergeCell ref="J123:K123"/>
    <mergeCell ref="J124:K124"/>
    <mergeCell ref="J125:K125"/>
    <mergeCell ref="J126:K126"/>
    <mergeCell ref="J127:K127"/>
    <mergeCell ref="V110:AH110"/>
    <mergeCell ref="J98:K98"/>
    <mergeCell ref="J99:K99"/>
    <mergeCell ref="J100:K100"/>
    <mergeCell ref="J101:K101"/>
    <mergeCell ref="J102:K102"/>
    <mergeCell ref="J103:K103"/>
    <mergeCell ref="J97:K97"/>
    <mergeCell ref="B75:N75"/>
    <mergeCell ref="V75:AH75"/>
    <mergeCell ref="J88:K88"/>
    <mergeCell ref="J89:K89"/>
    <mergeCell ref="J90:K90"/>
    <mergeCell ref="J91:K91"/>
    <mergeCell ref="J92:K92"/>
    <mergeCell ref="J93:K93"/>
    <mergeCell ref="J94:K94"/>
    <mergeCell ref="J95:K95"/>
    <mergeCell ref="J96:K96"/>
    <mergeCell ref="D61:D63"/>
    <mergeCell ref="E61:E63"/>
    <mergeCell ref="V61:V63"/>
    <mergeCell ref="D28:D29"/>
    <mergeCell ref="V28:V29"/>
    <mergeCell ref="D30:D31"/>
    <mergeCell ref="V30:V31"/>
    <mergeCell ref="D33:D34"/>
    <mergeCell ref="V33:V34"/>
    <mergeCell ref="B37:N37"/>
    <mergeCell ref="V37:AH37"/>
    <mergeCell ref="D58:D60"/>
    <mergeCell ref="E58:E60"/>
    <mergeCell ref="V58:V60"/>
    <mergeCell ref="D21:D22"/>
    <mergeCell ref="V21:V22"/>
    <mergeCell ref="D24:D25"/>
    <mergeCell ref="V24:V25"/>
    <mergeCell ref="D26:D27"/>
    <mergeCell ref="V26:V27"/>
    <mergeCell ref="A1:O1"/>
    <mergeCell ref="D2:J2"/>
    <mergeCell ref="B4:N4"/>
    <mergeCell ref="V4:AH4"/>
    <mergeCell ref="D18:D19"/>
    <mergeCell ref="V18:V19"/>
  </mergeCells>
  <conditionalFormatting sqref="AH7:AH8">
    <cfRule type="cellIs" dxfId="130" priority="17" operator="lessThan">
      <formula>-0.1</formula>
    </cfRule>
    <cfRule type="cellIs" dxfId="129" priority="18" operator="greaterThan">
      <formula>0.1</formula>
    </cfRule>
  </conditionalFormatting>
  <conditionalFormatting sqref="AH40:AH45">
    <cfRule type="cellIs" dxfId="128" priority="15" operator="lessThan">
      <formula>-0.1</formula>
    </cfRule>
    <cfRule type="cellIs" dxfId="127" priority="16" operator="greaterThan">
      <formula>0.1</formula>
    </cfRule>
  </conditionalFormatting>
  <conditionalFormatting sqref="AH78:AH79">
    <cfRule type="cellIs" dxfId="126" priority="13" operator="lessThan">
      <formula>-0.1</formula>
    </cfRule>
    <cfRule type="cellIs" dxfId="125" priority="14" operator="greaterThan">
      <formula>0.1</formula>
    </cfRule>
  </conditionalFormatting>
  <conditionalFormatting sqref="AH113:AH114">
    <cfRule type="cellIs" dxfId="124" priority="11" operator="lessThan">
      <formula>-0.1</formula>
    </cfRule>
    <cfRule type="cellIs" dxfId="123" priority="12" operator="greaterThan">
      <formula>0.1</formula>
    </cfRule>
  </conditionalFormatting>
  <conditionalFormatting sqref="AH148:AH149">
    <cfRule type="cellIs" dxfId="122" priority="9" operator="lessThan">
      <formula>-0.1</formula>
    </cfRule>
    <cfRule type="cellIs" dxfId="121" priority="10" operator="greaterThan">
      <formula>0.1</formula>
    </cfRule>
  </conditionalFormatting>
  <conditionalFormatting sqref="AH183:AH184">
    <cfRule type="cellIs" dxfId="120" priority="7" operator="lessThan">
      <formula>-0.1</formula>
    </cfRule>
    <cfRule type="cellIs" dxfId="119" priority="8" operator="greaterThan">
      <formula>0.1</formula>
    </cfRule>
  </conditionalFormatting>
  <conditionalFormatting sqref="AH212:AH217">
    <cfRule type="cellIs" dxfId="118" priority="5" operator="lessThan">
      <formula>-0.1</formula>
    </cfRule>
    <cfRule type="cellIs" dxfId="117" priority="6" operator="greaterThan">
      <formula>0.1</formula>
    </cfRule>
  </conditionalFormatting>
  <conditionalFormatting sqref="AH9">
    <cfRule type="cellIs" dxfId="116" priority="3" operator="lessThan">
      <formula>-0.1</formula>
    </cfRule>
    <cfRule type="cellIs" dxfId="115" priority="4" operator="greaterThan">
      <formula>0.1</formula>
    </cfRule>
  </conditionalFormatting>
  <conditionalFormatting sqref="B1:B1048576">
    <cfRule type="cellIs" dxfId="114" priority="2" operator="equal">
      <formula>"x"</formula>
    </cfRule>
  </conditionalFormatting>
  <conditionalFormatting sqref="E9">
    <cfRule type="cellIs" dxfId="113" priority="1" operator="equal">
      <formula>"x"</formula>
    </cfRule>
  </conditionalFormatting>
  <hyperlinks>
    <hyperlink ref="G100" r:id="rId1" display="http://ilsagfiles.org/SAG_files/Technical_Reference_Manual/Version_5/Final/IL-TRM_Version_5.0_dated_February-11-2016_Final_Compiled_Volumes_1-4.pdf"/>
    <hyperlink ref="G102" r:id="rId2" display="http://www.nrel.gov/docs/fy10osti/47246.pdf"/>
    <hyperlink ref="G95" r:id="rId3" display="http://ilsagfiles.org/SAG_files/Technical_Reference_Manual/Version_5/Final/IL-TRM_Version_5.0_dated_February-11-2016_Final_Compiled_Volumes_1-4.pdf"/>
    <hyperlink ref="I95" r:id="rId4" display="http://ilsagfiles.org/SAG_files/Technical_Reference_Manual/Version_5/Final/IL-TRM_Version_5.0_dated_February-11-2016_Final_Compiled_Volumes_1-4.pdf"/>
    <hyperlink ref="G135" r:id="rId5" display="http://ilsagfiles.org/SAG_files/Technical_Reference_Manual/Version_5/Final/IL-TRM_Version_5.0_dated_February-11-2016_Final_Compiled_Volumes_1-4.pdf"/>
    <hyperlink ref="G137" r:id="rId6" display="http://www.nrel.gov/docs/fy10osti/47246.pdf"/>
    <hyperlink ref="G136" r:id="rId7" display="https://www.efis.psc.mo.gov/mpsc/commoncomponents/viewdocument.asp?DocId=935658483"/>
    <hyperlink ref="G130" r:id="rId8" display="http://ilsagfiles.org/SAG_files/Technical_Reference_Manual/Version_5/Final/IL-TRM_Version_5.0_dated_February-11-2016_Final_Compiled_Volumes_1-4.pdf"/>
    <hyperlink ref="I136" r:id="rId9" display="https://www.efis.psc.mo.gov/mpsc/commoncomponents/viewdocument.asp?DocId=935658483"/>
    <hyperlink ref="I130" r:id="rId10" display="http://ilsagfiles.org/SAG_files/Technical_Reference_Manual/Version_5/Final/IL-TRM_Version_5.0_dated_February-11-2016_Final_Compiled_Volumes_1-4.pdf"/>
    <hyperlink ref="G171" r:id="rId11" display="https://www.efis.psc.mo.gov/mpsc/commoncomponents/viewdocument.asp?DocId=935658483"/>
    <hyperlink ref="G172" r:id="rId12" display="http://www.nrel.gov/docs/fy10osti/47246.pdf"/>
  </hyperlinks>
  <pageMargins left="0.7" right="0.7" top="0.75" bottom="0.75" header="0.3" footer="0.3"/>
  <pageSetup scale="10" fitToHeight="0" orientation="landscape" r:id="rId13"/>
  <rowBreaks count="1" manualBreakCount="1">
    <brk id="208" max="69" man="1"/>
  </rowBreaks>
  <drawing r:id="rId14"/>
  <legacyDrawing r:id="rId1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I3156"/>
  <sheetViews>
    <sheetView showGridLines="0" zoomScale="70" zoomScaleNormal="70" zoomScaleSheetLayoutView="85" workbookViewId="0">
      <selection sqref="A1:O1"/>
    </sheetView>
  </sheetViews>
  <sheetFormatPr defaultRowHeight="15" outlineLevelRow="1" x14ac:dyDescent="0.25"/>
  <cols>
    <col min="1" max="1" width="3.28515625" style="785" customWidth="1"/>
    <col min="2" max="2" width="9.140625" style="177" customWidth="1"/>
    <col min="3" max="3" width="19.140625" style="455" customWidth="1"/>
    <col min="4" max="4" width="18.140625" style="456" customWidth="1"/>
    <col min="5" max="5" width="90.28515625" style="456" customWidth="1"/>
    <col min="6" max="6" width="61.85546875" style="177" customWidth="1"/>
    <col min="7" max="7" width="20.42578125" style="456" customWidth="1"/>
    <col min="8" max="8" width="17" style="177" customWidth="1"/>
    <col min="9" max="9" width="21.5703125" style="177" customWidth="1"/>
    <col min="10" max="10" width="20.5703125" style="177" customWidth="1"/>
    <col min="11" max="11" width="29.85546875" style="177" customWidth="1"/>
    <col min="12" max="12" width="55.7109375" style="177" customWidth="1"/>
    <col min="13" max="13" width="48.5703125" style="177" customWidth="1"/>
    <col min="14" max="14" width="15.85546875" style="177" customWidth="1"/>
    <col min="15" max="15" width="14.140625" style="177" customWidth="1"/>
    <col min="16" max="16" width="15.85546875" style="177" customWidth="1"/>
    <col min="17" max="17" width="16.85546875" style="177" customWidth="1"/>
    <col min="18" max="18" width="21.85546875" style="177" customWidth="1"/>
    <col min="19" max="19" width="14.42578125" style="177" customWidth="1"/>
    <col min="20" max="20" width="83.42578125" style="177" customWidth="1"/>
    <col min="21" max="21" width="11.85546875" style="177" customWidth="1"/>
    <col min="22" max="22" width="20.5703125" customWidth="1"/>
    <col min="23" max="23" width="15.42578125" customWidth="1"/>
    <col min="24" max="24" width="18" customWidth="1"/>
    <col min="25" max="25" width="16.7109375" customWidth="1"/>
    <col min="26" max="33" width="15.42578125" customWidth="1"/>
    <col min="34" max="51" width="9.140625" customWidth="1"/>
    <col min="52" max="52" width="12.140625" customWidth="1"/>
    <col min="53" max="53" width="9.140625" customWidth="1"/>
    <col min="54" max="54" width="13.140625" style="784" bestFit="1" customWidth="1"/>
    <col min="55" max="55" width="26.42578125" style="785" customWidth="1"/>
    <col min="56" max="56" width="13.140625" style="786" customWidth="1"/>
    <col min="57" max="57" width="19" customWidth="1"/>
    <col min="60" max="60" width="10" customWidth="1"/>
  </cols>
  <sheetData>
    <row r="1" spans="1:57" s="26" customFormat="1" ht="18.75" x14ac:dyDescent="0.3">
      <c r="A1" s="2633" t="s">
        <v>1144</v>
      </c>
      <c r="B1" s="2710"/>
      <c r="C1" s="2710"/>
      <c r="D1" s="2710"/>
      <c r="E1" s="2710"/>
      <c r="F1" s="2710"/>
      <c r="G1" s="2710"/>
      <c r="H1" s="2710"/>
      <c r="I1" s="2710"/>
      <c r="J1" s="2710"/>
      <c r="K1" s="2710"/>
      <c r="L1" s="2710"/>
      <c r="M1" s="2710"/>
      <c r="N1" s="2710"/>
      <c r="O1" s="2710"/>
      <c r="P1" s="2635"/>
      <c r="Q1" s="2733"/>
      <c r="R1" s="2733"/>
      <c r="S1" s="1716"/>
      <c r="T1" s="1716"/>
      <c r="U1" s="1716"/>
      <c r="V1" s="33"/>
      <c r="W1" s="34"/>
      <c r="X1" s="34"/>
      <c r="Y1" s="35"/>
      <c r="Z1" s="35"/>
      <c r="AA1" s="35"/>
      <c r="AB1" s="35"/>
      <c r="AC1" s="35"/>
      <c r="AD1" s="35"/>
      <c r="AE1" s="35"/>
      <c r="AF1" s="35"/>
      <c r="AG1" s="35"/>
      <c r="AH1" s="35"/>
      <c r="BB1" s="779"/>
      <c r="BC1" s="780"/>
      <c r="BD1" s="781"/>
    </row>
    <row r="2" spans="1:57" s="26" customFormat="1" ht="30" hidden="1" customHeight="1" outlineLevel="1" x14ac:dyDescent="0.35">
      <c r="A2" s="1716"/>
      <c r="B2" s="1718"/>
      <c r="C2" s="225"/>
      <c r="D2" s="2622" t="s">
        <v>3345</v>
      </c>
      <c r="E2" s="2637"/>
      <c r="F2" s="2638"/>
      <c r="G2" s="2638"/>
      <c r="H2" s="2638"/>
      <c r="I2" s="2638"/>
      <c r="J2" s="2638"/>
      <c r="K2" s="1156"/>
      <c r="L2" s="1156"/>
      <c r="M2" s="1716"/>
      <c r="N2" s="1716"/>
      <c r="O2" s="1716"/>
      <c r="P2" s="1716"/>
      <c r="Q2" s="1716"/>
      <c r="R2" s="1716"/>
      <c r="S2" s="1716"/>
      <c r="T2" s="1716"/>
      <c r="U2" s="1716"/>
      <c r="BB2" s="779"/>
      <c r="BC2" s="780"/>
      <c r="BD2" s="781"/>
    </row>
    <row r="3" spans="1:57" s="29" customFormat="1" ht="33.75" customHeight="1" collapsed="1" x14ac:dyDescent="0.25">
      <c r="A3" s="1157"/>
      <c r="B3" s="1157"/>
      <c r="C3" s="226"/>
      <c r="D3" s="227"/>
      <c r="E3" s="227"/>
      <c r="F3" s="226"/>
      <c r="G3" s="227"/>
      <c r="H3" s="226"/>
      <c r="I3" s="226"/>
      <c r="J3" s="226"/>
      <c r="K3" s="1157"/>
      <c r="L3" s="1157"/>
      <c r="M3" s="1925"/>
      <c r="N3" s="1157"/>
      <c r="O3" s="1157"/>
      <c r="P3" s="1157"/>
      <c r="Q3" s="1157"/>
      <c r="R3" s="1157"/>
      <c r="S3" s="1157"/>
      <c r="T3" s="1157"/>
      <c r="U3" s="1157"/>
      <c r="BB3" s="782"/>
      <c r="BC3" s="780"/>
      <c r="BD3" s="783"/>
    </row>
    <row r="4" spans="1:57" x14ac:dyDescent="0.25">
      <c r="B4" s="2639" t="s">
        <v>1145</v>
      </c>
      <c r="C4" s="2640"/>
      <c r="D4" s="2640"/>
      <c r="E4" s="2640"/>
      <c r="F4" s="2640"/>
      <c r="G4" s="2640"/>
      <c r="H4" s="2640"/>
      <c r="I4" s="2640"/>
      <c r="J4" s="2640"/>
      <c r="K4" s="2640"/>
      <c r="L4" s="2640"/>
      <c r="M4" s="2640"/>
      <c r="N4" s="2640"/>
      <c r="O4" s="2640"/>
      <c r="P4" s="2640"/>
      <c r="Q4" s="2734"/>
      <c r="R4" s="355"/>
      <c r="V4" s="2639" t="str">
        <f>B4</f>
        <v>ECM/ Blower Motor</v>
      </c>
      <c r="W4" s="2640"/>
      <c r="X4" s="2640"/>
      <c r="Y4" s="2640"/>
      <c r="Z4" s="2640"/>
      <c r="AA4" s="2640"/>
      <c r="AB4" s="2640"/>
      <c r="AC4" s="2615"/>
      <c r="AD4" s="2615"/>
      <c r="AE4" s="2615"/>
      <c r="AF4" s="2615"/>
      <c r="AG4" s="2615"/>
      <c r="AH4" s="2616"/>
    </row>
    <row r="5" spans="1:57" x14ac:dyDescent="0.25">
      <c r="B5" s="1580"/>
      <c r="C5" s="329"/>
      <c r="D5" s="573"/>
      <c r="E5" s="573"/>
      <c r="F5" s="330"/>
      <c r="G5" s="573"/>
      <c r="H5" s="330"/>
      <c r="I5" s="330"/>
      <c r="J5" s="330"/>
      <c r="K5" s="330"/>
      <c r="L5" s="1902"/>
      <c r="M5" s="355"/>
      <c r="N5" s="355"/>
      <c r="O5" s="355"/>
      <c r="P5" s="355"/>
      <c r="Q5" s="355"/>
      <c r="R5" s="355"/>
    </row>
    <row r="6" spans="1:57" ht="30" x14ac:dyDescent="0.25">
      <c r="B6" s="1580"/>
      <c r="C6" s="1641" t="s">
        <v>17</v>
      </c>
      <c r="D6" s="1641" t="s">
        <v>662</v>
      </c>
      <c r="E6" s="1641" t="s">
        <v>19</v>
      </c>
      <c r="F6" s="1641" t="s">
        <v>20</v>
      </c>
      <c r="G6" s="1641" t="s">
        <v>21</v>
      </c>
      <c r="H6" s="1641" t="s">
        <v>22</v>
      </c>
      <c r="I6" s="1641" t="s">
        <v>936</v>
      </c>
      <c r="J6" s="1641" t="s">
        <v>937</v>
      </c>
      <c r="K6" s="1641" t="s">
        <v>1146</v>
      </c>
      <c r="L6" s="1641" t="s">
        <v>1147</v>
      </c>
      <c r="M6" s="1641" t="s">
        <v>23</v>
      </c>
      <c r="N6" s="1646" t="s">
        <v>24</v>
      </c>
      <c r="O6" s="1641" t="s">
        <v>25</v>
      </c>
      <c r="P6" s="1641" t="s">
        <v>26</v>
      </c>
      <c r="Q6" s="355"/>
      <c r="V6" s="55" t="s">
        <v>27</v>
      </c>
      <c r="W6" s="56">
        <v>43252</v>
      </c>
      <c r="X6" s="56">
        <v>43465</v>
      </c>
      <c r="Y6" s="56">
        <v>43800</v>
      </c>
      <c r="Z6" s="56">
        <v>43862</v>
      </c>
      <c r="AA6" s="56" t="s">
        <v>28</v>
      </c>
      <c r="AB6" s="56" t="s">
        <v>28</v>
      </c>
      <c r="AC6" s="56" t="s">
        <v>28</v>
      </c>
      <c r="AD6" s="56" t="s">
        <v>28</v>
      </c>
      <c r="AE6" s="56" t="s">
        <v>28</v>
      </c>
      <c r="AF6" s="56" t="s">
        <v>28</v>
      </c>
      <c r="AG6" s="56" t="s">
        <v>28</v>
      </c>
      <c r="BB6" s="103" t="s">
        <v>29</v>
      </c>
      <c r="BC6" s="58" t="s">
        <v>30</v>
      </c>
      <c r="BD6" s="787" t="s">
        <v>31</v>
      </c>
      <c r="BE6" s="59" t="s">
        <v>32</v>
      </c>
    </row>
    <row r="7" spans="1:57" x14ac:dyDescent="0.25">
      <c r="B7" s="1580"/>
      <c r="C7" s="1927" t="s">
        <v>1148</v>
      </c>
      <c r="D7" s="1927" t="s">
        <v>795</v>
      </c>
      <c r="E7" s="1670" t="s">
        <v>1149</v>
      </c>
      <c r="F7" s="788">
        <f>ROUND(I7+J7+K7+L7,2)</f>
        <v>582</v>
      </c>
      <c r="G7" s="574" t="s">
        <v>941</v>
      </c>
      <c r="H7" s="239">
        <f>VLOOKUP(G7,'CP FACTORS'!$A$3:$B$38, 2, FALSE)</f>
        <v>4.6608050000000002E-4</v>
      </c>
      <c r="I7" s="1276">
        <f t="shared" ref="I7:I18" si="0">(1-I33)*I$45*I$46/I$47*I68</f>
        <v>264.14545423487061</v>
      </c>
      <c r="J7" s="1928">
        <f t="shared" ref="J7:J18" si="1">(1-I48)*I$60*I$61/I$62*I68</f>
        <v>31.133309957924254</v>
      </c>
      <c r="K7" s="1978">
        <f>($I$63*I$61/I$62+$I$64*$I$65-$I$67)*I68</f>
        <v>286.72123580720518</v>
      </c>
      <c r="L7" s="1979">
        <v>0</v>
      </c>
      <c r="M7" s="789">
        <f>ROUND(H7*F7,6)</f>
        <v>0.27125899999999997</v>
      </c>
      <c r="N7" s="1647">
        <f>I80</f>
        <v>20</v>
      </c>
      <c r="O7" s="1648">
        <f>I92</f>
        <v>0</v>
      </c>
      <c r="P7" s="1927" t="s">
        <v>37</v>
      </c>
      <c r="Q7" s="355"/>
      <c r="V7" s="245" t="s">
        <v>20</v>
      </c>
      <c r="W7" s="245">
        <v>591.90332067911811</v>
      </c>
      <c r="X7" s="790">
        <v>619.79873095030314</v>
      </c>
      <c r="Y7" s="163">
        <v>582</v>
      </c>
      <c r="Z7" s="791"/>
      <c r="AA7" s="245"/>
      <c r="AB7" s="245"/>
      <c r="AC7" s="245"/>
      <c r="AD7" s="245"/>
      <c r="AE7" s="245"/>
      <c r="AF7" s="245"/>
      <c r="AG7" s="245"/>
      <c r="AH7" s="248"/>
      <c r="BB7" s="345" t="str">
        <f>IFERROR((BD7)/(BE7),"")</f>
        <v/>
      </c>
      <c r="BC7" s="69" t="str">
        <f>CONCATENATE(G7," ",N7," Year EUL")</f>
        <v>HVAC RES 20 Year EUL</v>
      </c>
      <c r="BD7" s="792">
        <f>(INDEX('Avoided Cost Benefits'!$C$4:$C$857,MATCH(BC7,'Avoided Cost Benefits'!$A$4:$A$857,0)))*F7</f>
        <v>692.80298510345756</v>
      </c>
      <c r="BE7" s="70">
        <f t="shared" ref="BE7:BE18" si="2">O7/(1.0595^(2020-2019))</f>
        <v>0</v>
      </c>
    </row>
    <row r="8" spans="1:57" x14ac:dyDescent="0.25">
      <c r="B8" s="1980"/>
      <c r="C8" s="1927" t="s">
        <v>1150</v>
      </c>
      <c r="D8" s="1927" t="s">
        <v>797</v>
      </c>
      <c r="E8" s="1670" t="s">
        <v>1151</v>
      </c>
      <c r="F8" s="788">
        <f t="shared" ref="F8:F18" si="3">ROUND(I8+J8+K8+L8,2)</f>
        <v>582</v>
      </c>
      <c r="G8" s="574" t="s">
        <v>941</v>
      </c>
      <c r="H8" s="239">
        <f>VLOOKUP(G8,'CP FACTORS'!$A$3:$B$38, 2, FALSE)</f>
        <v>4.6608050000000002E-4</v>
      </c>
      <c r="I8" s="1276">
        <f t="shared" si="0"/>
        <v>264.14545423487061</v>
      </c>
      <c r="J8" s="1928">
        <f t="shared" si="1"/>
        <v>31.133309957924254</v>
      </c>
      <c r="K8" s="1978">
        <f t="shared" ref="K8:K12" si="4">($I$63*I$61/I$62+$I$64*$I$65-$I$67)*I69</f>
        <v>286.72123580720518</v>
      </c>
      <c r="L8" s="1979">
        <v>0</v>
      </c>
      <c r="M8" s="789">
        <f>ROUND(H8*F8,6)</f>
        <v>0.27125899999999997</v>
      </c>
      <c r="N8" s="1647">
        <f t="shared" ref="N8:N18" si="5">I81</f>
        <v>20</v>
      </c>
      <c r="O8" s="1648">
        <f t="shared" ref="O8:O18" si="6">I93</f>
        <v>0</v>
      </c>
      <c r="P8" s="1927" t="s">
        <v>37</v>
      </c>
      <c r="Q8" s="355"/>
      <c r="V8" s="245" t="s">
        <v>20</v>
      </c>
      <c r="W8" s="245">
        <v>591.90332067911811</v>
      </c>
      <c r="X8" s="790">
        <v>619.79873095030314</v>
      </c>
      <c r="Y8" s="163">
        <v>582</v>
      </c>
      <c r="Z8" s="791"/>
      <c r="AA8" s="245"/>
      <c r="AB8" s="245"/>
      <c r="AC8" s="245"/>
      <c r="AD8" s="245"/>
      <c r="AE8" s="245"/>
      <c r="AF8" s="245"/>
      <c r="AG8" s="245"/>
      <c r="AH8" s="248"/>
      <c r="BB8" s="350" t="str">
        <f>IFERROR((BD8)/(BE8),"")</f>
        <v/>
      </c>
      <c r="BC8" s="69" t="str">
        <f t="shared" ref="BC8:BC17" si="7">CONCATENATE(G8," ",N8," Year EUL")</f>
        <v>HVAC RES 20 Year EUL</v>
      </c>
      <c r="BD8" s="793">
        <f>(INDEX('Avoided Cost Benefits'!$C$4:$C$857,MATCH(BC8,'Avoided Cost Benefits'!$A$4:$A$857,0)))*F8</f>
        <v>692.80298510345756</v>
      </c>
      <c r="BE8" s="74">
        <f t="shared" si="2"/>
        <v>0</v>
      </c>
    </row>
    <row r="9" spans="1:57" x14ac:dyDescent="0.25">
      <c r="B9" s="1980"/>
      <c r="C9" s="1927" t="s">
        <v>1152</v>
      </c>
      <c r="D9" s="1927" t="s">
        <v>795</v>
      </c>
      <c r="E9" s="794" t="s">
        <v>1153</v>
      </c>
      <c r="F9" s="788">
        <f t="shared" si="3"/>
        <v>582</v>
      </c>
      <c r="G9" s="574" t="s">
        <v>941</v>
      </c>
      <c r="H9" s="239">
        <f>VLOOKUP(G9,'CP FACTORS'!$A$3:$B$38, 2, FALSE)</f>
        <v>4.6608050000000002E-4</v>
      </c>
      <c r="I9" s="1276">
        <f t="shared" si="0"/>
        <v>264.14545423487061</v>
      </c>
      <c r="J9" s="1928">
        <f t="shared" si="1"/>
        <v>31.133309957924254</v>
      </c>
      <c r="K9" s="1978">
        <f t="shared" si="4"/>
        <v>286.72123580720518</v>
      </c>
      <c r="L9" s="1979">
        <v>0</v>
      </c>
      <c r="M9" s="789">
        <f t="shared" ref="M9:M18" si="8">ROUND(H9*F9,6)</f>
        <v>0.27125899999999997</v>
      </c>
      <c r="N9" s="1647">
        <f t="shared" si="5"/>
        <v>6</v>
      </c>
      <c r="O9" s="1648">
        <f t="shared" si="6"/>
        <v>74.327224020150311</v>
      </c>
      <c r="P9" s="1927" t="s">
        <v>37</v>
      </c>
      <c r="Q9" s="355"/>
      <c r="V9" s="245" t="s">
        <v>20</v>
      </c>
      <c r="W9" s="245">
        <v>591.90332067911811</v>
      </c>
      <c r="X9" s="790">
        <v>619.79873095030314</v>
      </c>
      <c r="Y9" s="163">
        <v>582</v>
      </c>
      <c r="Z9" s="791"/>
      <c r="AA9" s="245"/>
      <c r="AB9" s="245"/>
      <c r="AC9" s="245"/>
      <c r="AD9" s="245"/>
      <c r="AE9" s="245"/>
      <c r="AF9" s="245"/>
      <c r="AG9" s="245"/>
      <c r="AH9" s="248"/>
      <c r="BB9" s="350">
        <f>(BD9+BD10)/(BE9+BE10)</f>
        <v>9.106187302806509</v>
      </c>
      <c r="BC9" s="794" t="str">
        <f t="shared" si="7"/>
        <v>HVAC RES 6 Year EUL</v>
      </c>
      <c r="BD9" s="793">
        <f>(INDEX('Avoided Cost Benefits'!$C$4:$C$857,MATCH(BC9,'Avoided Cost Benefits'!$A$4:$A$857,0)))*F9</f>
        <v>214.66614365077814</v>
      </c>
      <c r="BE9" s="74">
        <f t="shared" si="2"/>
        <v>70.153113751911562</v>
      </c>
    </row>
    <row r="10" spans="1:57" x14ac:dyDescent="0.25">
      <c r="B10" s="1980"/>
      <c r="C10" s="1927" t="s">
        <v>1152</v>
      </c>
      <c r="D10" s="1927" t="s">
        <v>795</v>
      </c>
      <c r="E10" s="73" t="s">
        <v>1154</v>
      </c>
      <c r="F10" s="788">
        <f t="shared" si="3"/>
        <v>582</v>
      </c>
      <c r="G10" s="1670" t="str">
        <f>'CP FACTORS'!$A$17</f>
        <v>HVAC RES ER2</v>
      </c>
      <c r="H10" s="239">
        <f>VLOOKUP(G10,'CP FACTORS'!$A$3:$B$38, 2, FALSE)</f>
        <v>4.6608050000000002E-4</v>
      </c>
      <c r="I10" s="1276">
        <f t="shared" si="0"/>
        <v>264.14545423487061</v>
      </c>
      <c r="J10" s="1928">
        <f t="shared" si="1"/>
        <v>31.133309957924254</v>
      </c>
      <c r="K10" s="1978">
        <f t="shared" si="4"/>
        <v>286.72123580720518</v>
      </c>
      <c r="L10" s="1979">
        <v>0</v>
      </c>
      <c r="M10" s="789">
        <f t="shared" si="8"/>
        <v>0.27125899999999997</v>
      </c>
      <c r="N10" s="1647">
        <f t="shared" si="5"/>
        <v>12</v>
      </c>
      <c r="O10" s="1648">
        <f t="shared" si="6"/>
        <v>0</v>
      </c>
      <c r="P10" s="1927" t="s">
        <v>37</v>
      </c>
      <c r="Q10" s="355"/>
      <c r="V10" s="245" t="s">
        <v>20</v>
      </c>
      <c r="W10" s="245">
        <v>591.90332067911811</v>
      </c>
      <c r="X10" s="790">
        <v>619.79873095030314</v>
      </c>
      <c r="Y10" s="163">
        <v>582</v>
      </c>
      <c r="Z10" s="791"/>
      <c r="AA10" s="245"/>
      <c r="AB10" s="245"/>
      <c r="AC10" s="245"/>
      <c r="AD10" s="245"/>
      <c r="AE10" s="245"/>
      <c r="AF10" s="245"/>
      <c r="AG10" s="245"/>
      <c r="AH10" s="248"/>
      <c r="BB10" s="348"/>
      <c r="BC10" s="73" t="str">
        <f t="shared" si="7"/>
        <v>HVAC RES ER2 12 Year EUL</v>
      </c>
      <c r="BD10" s="793">
        <f>(INDEX('Avoided Cost Benefits'!$C$4:$C$857,MATCH(BC10,'Avoided Cost Benefits'!$A$4:$A$857,0)))*F10</f>
        <v>424.16125004921963</v>
      </c>
      <c r="BE10" s="74">
        <f t="shared" si="2"/>
        <v>0</v>
      </c>
    </row>
    <row r="11" spans="1:57" x14ac:dyDescent="0.25">
      <c r="B11" s="1980"/>
      <c r="C11" s="1672" t="s">
        <v>1155</v>
      </c>
      <c r="D11" s="1927" t="s">
        <v>797</v>
      </c>
      <c r="E11" s="794" t="s">
        <v>1156</v>
      </c>
      <c r="F11" s="788">
        <f t="shared" si="3"/>
        <v>582</v>
      </c>
      <c r="G11" s="1670" t="s">
        <v>941</v>
      </c>
      <c r="H11" s="239">
        <f>VLOOKUP(G11,'CP FACTORS'!$A$3:$B$38, 2, FALSE)</f>
        <v>4.6608050000000002E-4</v>
      </c>
      <c r="I11" s="1276">
        <f t="shared" si="0"/>
        <v>264.14545423487061</v>
      </c>
      <c r="J11" s="1928">
        <f t="shared" si="1"/>
        <v>31.133309957924254</v>
      </c>
      <c r="K11" s="1978">
        <f t="shared" si="4"/>
        <v>286.72123580720518</v>
      </c>
      <c r="L11" s="1979">
        <v>0</v>
      </c>
      <c r="M11" s="789">
        <f t="shared" si="8"/>
        <v>0.27125899999999997</v>
      </c>
      <c r="N11" s="1647">
        <f t="shared" si="5"/>
        <v>6</v>
      </c>
      <c r="O11" s="1648">
        <f t="shared" si="6"/>
        <v>74.327224020150311</v>
      </c>
      <c r="P11" s="1927" t="s">
        <v>37</v>
      </c>
      <c r="Q11" s="355"/>
      <c r="V11" s="245" t="s">
        <v>20</v>
      </c>
      <c r="W11" s="245">
        <v>591.90332067911811</v>
      </c>
      <c r="X11" s="790">
        <v>619.79873095030314</v>
      </c>
      <c r="Y11" s="163">
        <v>582</v>
      </c>
      <c r="Z11" s="791"/>
      <c r="AA11" s="245"/>
      <c r="AB11" s="245"/>
      <c r="AC11" s="245"/>
      <c r="AD11" s="245"/>
      <c r="AE11" s="245"/>
      <c r="AF11" s="245"/>
      <c r="AG11" s="245"/>
      <c r="AH11" s="248"/>
      <c r="BB11" s="350">
        <f>(BD11+BD12)/(BE11+BE12)</f>
        <v>9.106187302806509</v>
      </c>
      <c r="BC11" s="794" t="str">
        <f t="shared" si="7"/>
        <v>HVAC RES 6 Year EUL</v>
      </c>
      <c r="BD11" s="793">
        <f>(INDEX('Avoided Cost Benefits'!$C$4:$C$857,MATCH(BC11,'Avoided Cost Benefits'!$A$4:$A$857,0)))*F11</f>
        <v>214.66614365077814</v>
      </c>
      <c r="BE11" s="74">
        <f t="shared" si="2"/>
        <v>70.153113751911562</v>
      </c>
    </row>
    <row r="12" spans="1:57" x14ac:dyDescent="0.25">
      <c r="B12" s="1980"/>
      <c r="C12" s="1672" t="s">
        <v>1155</v>
      </c>
      <c r="D12" s="1927" t="s">
        <v>797</v>
      </c>
      <c r="E12" s="73" t="s">
        <v>1157</v>
      </c>
      <c r="F12" s="788">
        <f t="shared" si="3"/>
        <v>582</v>
      </c>
      <c r="G12" s="1670" t="str">
        <f>'CP FACTORS'!$A$17</f>
        <v>HVAC RES ER2</v>
      </c>
      <c r="H12" s="239">
        <f>VLOOKUP(G12,'CP FACTORS'!$A$3:$B$38, 2, FALSE)</f>
        <v>4.6608050000000002E-4</v>
      </c>
      <c r="I12" s="1276">
        <f t="shared" si="0"/>
        <v>264.14545423487061</v>
      </c>
      <c r="J12" s="1928">
        <f t="shared" si="1"/>
        <v>31.133309957924254</v>
      </c>
      <c r="K12" s="1978">
        <f t="shared" si="4"/>
        <v>286.72123580720518</v>
      </c>
      <c r="L12" s="1979">
        <v>0</v>
      </c>
      <c r="M12" s="789">
        <f t="shared" si="8"/>
        <v>0.27125899999999997</v>
      </c>
      <c r="N12" s="1647">
        <f t="shared" si="5"/>
        <v>12</v>
      </c>
      <c r="O12" s="1648">
        <f t="shared" si="6"/>
        <v>0</v>
      </c>
      <c r="P12" s="1927" t="s">
        <v>37</v>
      </c>
      <c r="Q12" s="355"/>
      <c r="R12" s="1981"/>
      <c r="V12" s="245" t="s">
        <v>20</v>
      </c>
      <c r="W12" s="245">
        <v>591.90332067911811</v>
      </c>
      <c r="X12" s="790">
        <v>619.79873095030314</v>
      </c>
      <c r="Y12" s="163">
        <v>582</v>
      </c>
      <c r="Z12" s="791"/>
      <c r="AA12" s="245"/>
      <c r="AB12" s="245"/>
      <c r="AC12" s="245"/>
      <c r="AD12" s="245"/>
      <c r="AE12" s="245"/>
      <c r="AF12" s="245"/>
      <c r="AG12" s="245"/>
      <c r="AH12" s="248"/>
      <c r="BB12" s="348"/>
      <c r="BC12" s="73" t="str">
        <f t="shared" si="7"/>
        <v>HVAC RES ER2 12 Year EUL</v>
      </c>
      <c r="BD12" s="793">
        <f>(INDEX('Avoided Cost Benefits'!$C$4:$C$857,MATCH(BC12,'Avoided Cost Benefits'!$A$4:$A$857,0)))*F12</f>
        <v>424.16125004921963</v>
      </c>
      <c r="BE12" s="74">
        <f t="shared" si="2"/>
        <v>0</v>
      </c>
    </row>
    <row r="13" spans="1:57" x14ac:dyDescent="0.25">
      <c r="B13" s="1980"/>
      <c r="C13" s="1927" t="s">
        <v>1158</v>
      </c>
      <c r="D13" s="1927" t="s">
        <v>795</v>
      </c>
      <c r="E13" s="1670" t="s">
        <v>1159</v>
      </c>
      <c r="F13" s="788">
        <f t="shared" si="3"/>
        <v>582</v>
      </c>
      <c r="G13" s="1670" t="s">
        <v>941</v>
      </c>
      <c r="H13" s="239">
        <f>VLOOKUP(G13,'CP FACTORS'!$A$3:$B$38, 2, FALSE)</f>
        <v>4.6608050000000002E-4</v>
      </c>
      <c r="I13" s="1276">
        <f t="shared" si="0"/>
        <v>264.14545423487061</v>
      </c>
      <c r="J13" s="1928">
        <f t="shared" si="1"/>
        <v>31.133309957924254</v>
      </c>
      <c r="K13" s="1978">
        <v>0</v>
      </c>
      <c r="L13" s="1978">
        <f>($I$63*I$61/I$62+$I$64*$I$66-$I$67)*I68</f>
        <v>286.72123580720518</v>
      </c>
      <c r="M13" s="789">
        <f t="shared" si="8"/>
        <v>0.27125899999999997</v>
      </c>
      <c r="N13" s="1647">
        <f t="shared" si="5"/>
        <v>20</v>
      </c>
      <c r="O13" s="1648">
        <f t="shared" si="6"/>
        <v>0</v>
      </c>
      <c r="P13" s="1927" t="s">
        <v>37</v>
      </c>
      <c r="Q13" s="355"/>
      <c r="V13" s="245" t="s">
        <v>20</v>
      </c>
      <c r="W13" s="245">
        <v>3255.9033206791182</v>
      </c>
      <c r="X13" s="790">
        <v>3283.7987309503033</v>
      </c>
      <c r="Y13" s="163">
        <v>582</v>
      </c>
      <c r="Z13" s="791"/>
      <c r="AA13" s="245"/>
      <c r="AB13" s="245"/>
      <c r="AC13" s="245"/>
      <c r="AD13" s="245"/>
      <c r="AE13" s="245"/>
      <c r="AF13" s="245"/>
      <c r="AG13" s="245"/>
      <c r="AH13" s="248"/>
      <c r="BB13" s="350" t="str">
        <f>IFERROR((BD13)/(BE13),"")</f>
        <v/>
      </c>
      <c r="BC13" s="69" t="str">
        <f t="shared" si="7"/>
        <v>HVAC RES 20 Year EUL</v>
      </c>
      <c r="BD13" s="793">
        <f>(INDEX('Avoided Cost Benefits'!$C$4:$C$857,MATCH(BC13,'Avoided Cost Benefits'!$A$4:$A$857,0)))*F13</f>
        <v>692.80298510345756</v>
      </c>
      <c r="BE13" s="74">
        <f t="shared" si="2"/>
        <v>0</v>
      </c>
    </row>
    <row r="14" spans="1:57" x14ac:dyDescent="0.25">
      <c r="B14" s="1980"/>
      <c r="C14" s="1927" t="s">
        <v>1160</v>
      </c>
      <c r="D14" s="1927" t="s">
        <v>797</v>
      </c>
      <c r="E14" s="1670" t="s">
        <v>1161</v>
      </c>
      <c r="F14" s="788">
        <f t="shared" si="3"/>
        <v>582</v>
      </c>
      <c r="G14" s="1670" t="s">
        <v>941</v>
      </c>
      <c r="H14" s="239">
        <f>VLOOKUP(G14,'CP FACTORS'!$A$3:$B$38, 2, FALSE)</f>
        <v>4.6608050000000002E-4</v>
      </c>
      <c r="I14" s="1276">
        <f t="shared" si="0"/>
        <v>264.14545423487061</v>
      </c>
      <c r="J14" s="1928">
        <f t="shared" si="1"/>
        <v>31.133309957924254</v>
      </c>
      <c r="K14" s="1978">
        <v>0</v>
      </c>
      <c r="L14" s="1978">
        <f t="shared" ref="L14:L18" si="9">($I$63*I$61/I$62+$I$64*$I$66-$I$67)*I69</f>
        <v>286.72123580720518</v>
      </c>
      <c r="M14" s="789">
        <f t="shared" si="8"/>
        <v>0.27125899999999997</v>
      </c>
      <c r="N14" s="1647">
        <f t="shared" si="5"/>
        <v>20</v>
      </c>
      <c r="O14" s="1648">
        <f t="shared" si="6"/>
        <v>0</v>
      </c>
      <c r="P14" s="1927" t="s">
        <v>37</v>
      </c>
      <c r="Q14" s="355"/>
      <c r="V14" s="245" t="s">
        <v>20</v>
      </c>
      <c r="W14" s="245">
        <v>3255.9033206791182</v>
      </c>
      <c r="X14" s="790">
        <v>3283.7987309503033</v>
      </c>
      <c r="Y14" s="163">
        <v>582</v>
      </c>
      <c r="Z14" s="791"/>
      <c r="AA14" s="245"/>
      <c r="AB14" s="245"/>
      <c r="AC14" s="245"/>
      <c r="AD14" s="245"/>
      <c r="AE14" s="245"/>
      <c r="AF14" s="245"/>
      <c r="AG14" s="245"/>
      <c r="AH14" s="248"/>
      <c r="BB14" s="350" t="str">
        <f>IFERROR((BD14)/(BE14),"")</f>
        <v/>
      </c>
      <c r="BC14" s="69" t="str">
        <f t="shared" si="7"/>
        <v>HVAC RES 20 Year EUL</v>
      </c>
      <c r="BD14" s="793">
        <f>(INDEX('Avoided Cost Benefits'!$C$4:$C$857,MATCH(BC14,'Avoided Cost Benefits'!$A$4:$A$857,0)))*F14</f>
        <v>692.80298510345756</v>
      </c>
      <c r="BE14" s="74">
        <f t="shared" si="2"/>
        <v>0</v>
      </c>
    </row>
    <row r="15" spans="1:57" x14ac:dyDescent="0.25">
      <c r="B15" s="1980"/>
      <c r="C15" s="1927" t="s">
        <v>1162</v>
      </c>
      <c r="D15" s="1927" t="s">
        <v>795</v>
      </c>
      <c r="E15" s="794" t="s">
        <v>1163</v>
      </c>
      <c r="F15" s="788">
        <f t="shared" si="3"/>
        <v>582</v>
      </c>
      <c r="G15" s="1670" t="s">
        <v>941</v>
      </c>
      <c r="H15" s="239">
        <f>VLOOKUP(G15,'CP FACTORS'!$A$3:$B$38, 2, FALSE)</f>
        <v>4.6608050000000002E-4</v>
      </c>
      <c r="I15" s="1276">
        <f t="shared" si="0"/>
        <v>264.14545423487061</v>
      </c>
      <c r="J15" s="1928">
        <f t="shared" si="1"/>
        <v>31.133309957924254</v>
      </c>
      <c r="K15" s="1978">
        <v>0</v>
      </c>
      <c r="L15" s="1978">
        <f t="shared" si="9"/>
        <v>286.72123580720518</v>
      </c>
      <c r="M15" s="789">
        <f t="shared" si="8"/>
        <v>0.27125899999999997</v>
      </c>
      <c r="N15" s="1647">
        <f t="shared" si="5"/>
        <v>6</v>
      </c>
      <c r="O15" s="1648">
        <f t="shared" si="6"/>
        <v>74.327224020150311</v>
      </c>
      <c r="P15" s="1927" t="s">
        <v>37</v>
      </c>
      <c r="Q15" s="355"/>
      <c r="V15" s="245" t="s">
        <v>20</v>
      </c>
      <c r="W15" s="245">
        <v>3255.9033206791182</v>
      </c>
      <c r="X15" s="790">
        <v>3283.7987309503033</v>
      </c>
      <c r="Y15" s="163">
        <v>582</v>
      </c>
      <c r="Z15" s="791"/>
      <c r="AA15" s="245"/>
      <c r="AB15" s="245"/>
      <c r="AC15" s="245"/>
      <c r="AD15" s="245"/>
      <c r="AE15" s="245"/>
      <c r="AF15" s="245"/>
      <c r="AG15" s="245"/>
      <c r="AH15" s="248"/>
      <c r="BB15" s="350">
        <f>(BD15+BD16)/(BE15+BE16)</f>
        <v>9.106187302806509</v>
      </c>
      <c r="BC15" s="794" t="str">
        <f t="shared" si="7"/>
        <v>HVAC RES 6 Year EUL</v>
      </c>
      <c r="BD15" s="793">
        <f>(INDEX('Avoided Cost Benefits'!$C$4:$C$857,MATCH(BC15,'Avoided Cost Benefits'!$A$4:$A$857,0)))*F15</f>
        <v>214.66614365077814</v>
      </c>
      <c r="BE15" s="74">
        <f t="shared" si="2"/>
        <v>70.153113751911562</v>
      </c>
    </row>
    <row r="16" spans="1:57" x14ac:dyDescent="0.25">
      <c r="B16" s="1980"/>
      <c r="C16" s="1927" t="s">
        <v>1162</v>
      </c>
      <c r="D16" s="1927" t="s">
        <v>795</v>
      </c>
      <c r="E16" s="73" t="s">
        <v>1164</v>
      </c>
      <c r="F16" s="788">
        <f t="shared" si="3"/>
        <v>582</v>
      </c>
      <c r="G16" s="1670" t="str">
        <f>'CP FACTORS'!$A$17</f>
        <v>HVAC RES ER2</v>
      </c>
      <c r="H16" s="239">
        <f>VLOOKUP(G16,'CP FACTORS'!$A$3:$B$38, 2, FALSE)</f>
        <v>4.6608050000000002E-4</v>
      </c>
      <c r="I16" s="1276">
        <f t="shared" si="0"/>
        <v>264.14545423487061</v>
      </c>
      <c r="J16" s="1928">
        <f t="shared" si="1"/>
        <v>31.133309957924254</v>
      </c>
      <c r="K16" s="1978">
        <v>0</v>
      </c>
      <c r="L16" s="1978">
        <f t="shared" si="9"/>
        <v>286.72123580720518</v>
      </c>
      <c r="M16" s="789">
        <f t="shared" si="8"/>
        <v>0.27125899999999997</v>
      </c>
      <c r="N16" s="1647">
        <f t="shared" si="5"/>
        <v>12</v>
      </c>
      <c r="O16" s="1648">
        <f t="shared" si="6"/>
        <v>0</v>
      </c>
      <c r="P16" s="1927" t="s">
        <v>37</v>
      </c>
      <c r="Q16" s="355"/>
      <c r="V16" s="245" t="s">
        <v>20</v>
      </c>
      <c r="W16" s="245">
        <v>3255.9033206791182</v>
      </c>
      <c r="X16" s="790">
        <v>3283.7987309503033</v>
      </c>
      <c r="Y16" s="163">
        <v>582</v>
      </c>
      <c r="Z16" s="791"/>
      <c r="AA16" s="245"/>
      <c r="AB16" s="245"/>
      <c r="AC16" s="245"/>
      <c r="AD16" s="245"/>
      <c r="AE16" s="245"/>
      <c r="AF16" s="245"/>
      <c r="AG16" s="245"/>
      <c r="AH16" s="248"/>
      <c r="BB16" s="348"/>
      <c r="BC16" s="73" t="str">
        <f t="shared" si="7"/>
        <v>HVAC RES ER2 12 Year EUL</v>
      </c>
      <c r="BD16" s="793">
        <f>(INDEX('Avoided Cost Benefits'!$C$4:$C$857,MATCH(BC16,'Avoided Cost Benefits'!$A$4:$A$857,0)))*F16</f>
        <v>424.16125004921963</v>
      </c>
      <c r="BE16" s="74">
        <f t="shared" si="2"/>
        <v>0</v>
      </c>
    </row>
    <row r="17" spans="2:57" x14ac:dyDescent="0.25">
      <c r="B17" s="1980"/>
      <c r="C17" s="1927" t="s">
        <v>1165</v>
      </c>
      <c r="D17" s="1927" t="s">
        <v>797</v>
      </c>
      <c r="E17" s="794" t="s">
        <v>1166</v>
      </c>
      <c r="F17" s="788">
        <f t="shared" si="3"/>
        <v>582</v>
      </c>
      <c r="G17" s="1670" t="s">
        <v>941</v>
      </c>
      <c r="H17" s="239">
        <f>VLOOKUP(G17,'CP FACTORS'!$A$3:$B$38, 2, FALSE)</f>
        <v>4.6608050000000002E-4</v>
      </c>
      <c r="I17" s="1276">
        <f t="shared" si="0"/>
        <v>264.14545423487061</v>
      </c>
      <c r="J17" s="1928">
        <f t="shared" si="1"/>
        <v>31.133309957924254</v>
      </c>
      <c r="K17" s="1978">
        <v>0</v>
      </c>
      <c r="L17" s="1978">
        <f t="shared" si="9"/>
        <v>286.72123580720518</v>
      </c>
      <c r="M17" s="789">
        <f t="shared" si="8"/>
        <v>0.27125899999999997</v>
      </c>
      <c r="N17" s="1647">
        <f t="shared" si="5"/>
        <v>6</v>
      </c>
      <c r="O17" s="1648">
        <f t="shared" si="6"/>
        <v>74.327224020150311</v>
      </c>
      <c r="P17" s="1927" t="s">
        <v>37</v>
      </c>
      <c r="Q17" s="355"/>
      <c r="V17" s="245" t="s">
        <v>20</v>
      </c>
      <c r="W17" s="245">
        <v>3255.9033206791182</v>
      </c>
      <c r="X17" s="790">
        <v>3283.7987309503033</v>
      </c>
      <c r="Y17" s="163">
        <v>582</v>
      </c>
      <c r="Z17" s="791"/>
      <c r="AA17" s="245"/>
      <c r="AB17" s="245"/>
      <c r="AC17" s="245"/>
      <c r="AD17" s="245"/>
      <c r="AE17" s="245"/>
      <c r="AF17" s="245"/>
      <c r="AG17" s="245"/>
      <c r="AH17" s="248"/>
      <c r="BB17" s="350">
        <f>(BD17+BD18)/(BE17+BE18)</f>
        <v>9.106187302806509</v>
      </c>
      <c r="BC17" s="794" t="str">
        <f t="shared" si="7"/>
        <v>HVAC RES 6 Year EUL</v>
      </c>
      <c r="BD17" s="793">
        <f>(INDEX('Avoided Cost Benefits'!$C$4:$C$857,MATCH(BC17,'Avoided Cost Benefits'!$A$4:$A$857,0)))*F17</f>
        <v>214.66614365077814</v>
      </c>
      <c r="BE17" s="74">
        <f t="shared" si="2"/>
        <v>70.153113751911562</v>
      </c>
    </row>
    <row r="18" spans="2:57" x14ac:dyDescent="0.25">
      <c r="B18" s="1580"/>
      <c r="C18" s="1927" t="s">
        <v>1165</v>
      </c>
      <c r="D18" s="1927" t="s">
        <v>797</v>
      </c>
      <c r="E18" s="73" t="s">
        <v>1167</v>
      </c>
      <c r="F18" s="788">
        <f t="shared" si="3"/>
        <v>582</v>
      </c>
      <c r="G18" s="1670" t="str">
        <f>'CP FACTORS'!$A$17</f>
        <v>HVAC RES ER2</v>
      </c>
      <c r="H18" s="239">
        <f>VLOOKUP(G18,'CP FACTORS'!$A$3:$B$38, 2, FALSE)</f>
        <v>4.6608050000000002E-4</v>
      </c>
      <c r="I18" s="1276">
        <f t="shared" si="0"/>
        <v>264.14545423487061</v>
      </c>
      <c r="J18" s="1928">
        <f t="shared" si="1"/>
        <v>31.133309957924254</v>
      </c>
      <c r="K18" s="1978">
        <v>0</v>
      </c>
      <c r="L18" s="1978">
        <f t="shared" si="9"/>
        <v>286.72123580720518</v>
      </c>
      <c r="M18" s="789">
        <f t="shared" si="8"/>
        <v>0.27125899999999997</v>
      </c>
      <c r="N18" s="1647">
        <f t="shared" si="5"/>
        <v>12</v>
      </c>
      <c r="O18" s="1648">
        <f t="shared" si="6"/>
        <v>0</v>
      </c>
      <c r="P18" s="1927" t="s">
        <v>37</v>
      </c>
      <c r="Q18" s="355"/>
      <c r="V18" s="245" t="s">
        <v>20</v>
      </c>
      <c r="W18" s="245">
        <v>3255.9033206791182</v>
      </c>
      <c r="X18" s="790">
        <v>3283.7987309503033</v>
      </c>
      <c r="Y18" s="163">
        <v>582</v>
      </c>
      <c r="Z18" s="791"/>
      <c r="AA18" s="245"/>
      <c r="AB18" s="245"/>
      <c r="AC18" s="245"/>
      <c r="AD18" s="245"/>
      <c r="AE18" s="245"/>
      <c r="AF18" s="245"/>
      <c r="AG18" s="245"/>
      <c r="AH18" s="248"/>
      <c r="BB18" s="352"/>
      <c r="BC18" s="73" t="str">
        <f>CONCATENATE(G18," ",N18," Year EUL")</f>
        <v>HVAC RES ER2 12 Year EUL</v>
      </c>
      <c r="BD18" s="795">
        <f>(INDEX('Avoided Cost Benefits'!$C$4:$C$857,MATCH(BC18,'Avoided Cost Benefits'!$A$4:$A$857,0)))*F18</f>
        <v>424.16125004921963</v>
      </c>
      <c r="BE18" s="76">
        <f t="shared" si="2"/>
        <v>0</v>
      </c>
    </row>
    <row r="19" spans="2:57" hidden="1" outlineLevel="1" x14ac:dyDescent="0.25">
      <c r="B19" s="1580"/>
      <c r="C19" s="329"/>
      <c r="D19" s="353"/>
      <c r="E19" s="1552"/>
      <c r="F19" s="1982"/>
      <c r="G19" s="1552"/>
      <c r="H19" s="1325"/>
      <c r="I19" s="1325"/>
      <c r="J19" s="1325"/>
      <c r="K19" s="1325"/>
      <c r="L19" s="1325"/>
      <c r="M19" s="1325"/>
      <c r="N19" s="1983"/>
      <c r="O19" s="1325"/>
      <c r="P19" s="1325"/>
      <c r="Q19" s="355"/>
      <c r="R19" s="355"/>
      <c r="S19" s="785"/>
      <c r="T19" s="785"/>
      <c r="U19" s="785"/>
      <c r="V19" s="577"/>
      <c r="W19" s="577"/>
      <c r="X19" s="785"/>
      <c r="Y19" s="577"/>
      <c r="Z19" s="577"/>
      <c r="AA19" s="577"/>
      <c r="AB19" s="577"/>
      <c r="BC19" s="796"/>
      <c r="BE19" s="797"/>
    </row>
    <row r="20" spans="2:57" ht="19.5" hidden="1" customHeight="1" outlineLevel="1" x14ac:dyDescent="0.25">
      <c r="B20" s="1580"/>
      <c r="C20" s="329"/>
      <c r="D20" s="259" t="s">
        <v>617</v>
      </c>
      <c r="E20" s="1552"/>
      <c r="F20" s="1982"/>
      <c r="G20" s="1552"/>
      <c r="H20" s="1325"/>
      <c r="I20" s="1325"/>
      <c r="J20" s="1325"/>
      <c r="K20" s="1325"/>
      <c r="L20" s="1325"/>
      <c r="M20" s="1325"/>
      <c r="N20" s="1983"/>
      <c r="O20" s="1325"/>
      <c r="P20" s="1325"/>
      <c r="Q20" s="355"/>
      <c r="R20" s="355"/>
      <c r="S20" s="785"/>
      <c r="T20" s="785"/>
      <c r="U20" s="785"/>
      <c r="V20" s="577"/>
      <c r="W20" s="577"/>
      <c r="X20" s="577"/>
      <c r="Y20" s="577"/>
      <c r="Z20" s="577"/>
      <c r="AA20" s="577"/>
      <c r="AB20" s="577"/>
      <c r="BC20" s="796"/>
      <c r="BE20" s="797"/>
    </row>
    <row r="21" spans="2:57" ht="19.5" hidden="1" customHeight="1" outlineLevel="1" x14ac:dyDescent="0.4">
      <c r="B21" s="1580"/>
      <c r="C21" s="359"/>
      <c r="D21" s="590"/>
      <c r="E21" s="1552"/>
      <c r="F21" s="1982"/>
      <c r="G21" s="1552"/>
      <c r="H21" s="1325"/>
      <c r="I21" s="1325"/>
      <c r="J21" s="1325"/>
      <c r="K21" s="1325"/>
      <c r="L21" s="1325"/>
      <c r="M21" s="1325"/>
      <c r="N21" s="1983"/>
      <c r="O21" s="1325"/>
      <c r="P21" s="1325"/>
      <c r="Q21" s="355"/>
      <c r="R21" s="355"/>
      <c r="S21" s="1984"/>
      <c r="T21" s="1985"/>
      <c r="U21" s="1985"/>
      <c r="V21" s="798"/>
      <c r="W21" s="798"/>
      <c r="X21" s="798"/>
      <c r="Y21" s="798"/>
      <c r="Z21" s="798"/>
      <c r="AA21" s="799"/>
      <c r="AB21" s="799"/>
      <c r="AC21" s="800"/>
      <c r="BC21" s="796"/>
      <c r="BE21" s="797"/>
    </row>
    <row r="22" spans="2:57" ht="19.5" hidden="1" customHeight="1" outlineLevel="1" x14ac:dyDescent="0.45">
      <c r="B22" s="1580"/>
      <c r="C22" s="359"/>
      <c r="D22" s="590"/>
      <c r="E22" s="1552"/>
      <c r="F22" s="1982"/>
      <c r="G22" s="1552"/>
      <c r="H22" s="1325"/>
      <c r="I22" s="1325"/>
      <c r="J22" s="1325"/>
      <c r="K22" s="1325"/>
      <c r="L22" s="1325"/>
      <c r="M22" s="1325"/>
      <c r="N22" s="1983"/>
      <c r="O22" s="1325"/>
      <c r="P22" s="1325"/>
      <c r="Q22" s="355"/>
      <c r="R22" s="355"/>
      <c r="S22" s="1984"/>
      <c r="T22" s="1986"/>
      <c r="U22" s="1986"/>
      <c r="V22" s="801"/>
      <c r="W22" s="801"/>
      <c r="X22" s="801"/>
      <c r="Y22" s="801"/>
      <c r="Z22" s="801"/>
      <c r="AA22" s="577"/>
      <c r="AB22" s="577"/>
      <c r="BC22" s="796"/>
      <c r="BE22" s="797"/>
    </row>
    <row r="23" spans="2:57" ht="19.5" hidden="1" customHeight="1" outlineLevel="1" x14ac:dyDescent="0.45">
      <c r="B23" s="1580"/>
      <c r="C23" s="359"/>
      <c r="D23" s="590"/>
      <c r="E23" s="1552"/>
      <c r="F23" s="1982"/>
      <c r="G23" s="1552"/>
      <c r="H23" s="1325"/>
      <c r="I23" s="1325"/>
      <c r="J23" s="1325"/>
      <c r="K23" s="1325"/>
      <c r="L23" s="1325"/>
      <c r="M23" s="1325"/>
      <c r="N23" s="1983"/>
      <c r="O23" s="1325"/>
      <c r="P23" s="1325"/>
      <c r="Q23" s="355"/>
      <c r="R23" s="355"/>
      <c r="S23" s="1984"/>
      <c r="T23" s="1986"/>
      <c r="U23" s="1986"/>
      <c r="V23" s="801"/>
      <c r="W23" s="801"/>
      <c r="X23" s="801"/>
      <c r="Y23" s="801"/>
      <c r="Z23" s="801"/>
      <c r="AA23" s="577"/>
      <c r="AB23" s="577"/>
      <c r="BC23" s="796"/>
      <c r="BE23" s="797"/>
    </row>
    <row r="24" spans="2:57" ht="19.5" hidden="1" customHeight="1" outlineLevel="1" x14ac:dyDescent="0.35">
      <c r="B24" s="1580"/>
      <c r="C24" s="359"/>
      <c r="D24" s="590"/>
      <c r="E24" s="1552"/>
      <c r="F24" s="1982"/>
      <c r="G24" s="1552"/>
      <c r="H24" s="1325"/>
      <c r="I24" s="1325"/>
      <c r="J24" s="1325"/>
      <c r="K24" s="1325"/>
      <c r="L24" s="1325"/>
      <c r="M24" s="1325"/>
      <c r="N24" s="1983"/>
      <c r="O24" s="1325"/>
      <c r="P24" s="1325"/>
      <c r="Q24" s="355"/>
      <c r="R24" s="355"/>
      <c r="S24" s="1984"/>
      <c r="T24" s="785"/>
      <c r="U24" s="785"/>
      <c r="V24" s="577"/>
      <c r="W24" s="577"/>
      <c r="X24" s="577"/>
      <c r="Y24" s="577"/>
      <c r="Z24" s="577"/>
      <c r="AA24" s="577"/>
      <c r="AB24" s="577"/>
      <c r="BC24" s="796"/>
      <c r="BE24" s="797"/>
    </row>
    <row r="25" spans="2:57" ht="19.5" hidden="1" customHeight="1" outlineLevel="1" x14ac:dyDescent="0.25">
      <c r="B25" s="1580"/>
      <c r="C25" s="359"/>
      <c r="D25" s="590"/>
      <c r="E25" s="1552"/>
      <c r="F25" s="1982"/>
      <c r="G25" s="1552"/>
      <c r="H25" s="1325"/>
      <c r="I25" s="1325"/>
      <c r="J25" s="1325"/>
      <c r="K25" s="1325"/>
      <c r="L25" s="1325"/>
      <c r="M25" s="1325"/>
      <c r="N25" s="1983"/>
      <c r="O25" s="1325"/>
      <c r="P25" s="1325"/>
      <c r="Q25" s="355"/>
      <c r="R25" s="355"/>
      <c r="BC25" s="796"/>
      <c r="BE25" s="797"/>
    </row>
    <row r="26" spans="2:57" ht="19.5" hidden="1" customHeight="1" outlineLevel="1" x14ac:dyDescent="0.25">
      <c r="B26" s="1580"/>
      <c r="C26" s="375"/>
      <c r="D26" s="590"/>
      <c r="E26" s="1552"/>
      <c r="F26" s="1982"/>
      <c r="G26" s="1552"/>
      <c r="H26" s="1325"/>
      <c r="I26" s="1325"/>
      <c r="J26" s="1325"/>
      <c r="K26" s="1325"/>
      <c r="L26" s="1325"/>
      <c r="M26" s="1325"/>
      <c r="N26" s="1983"/>
      <c r="O26" s="1325"/>
      <c r="P26" s="1325"/>
      <c r="Q26" s="355"/>
      <c r="R26" s="355"/>
      <c r="BC26" s="796"/>
      <c r="BE26" s="797"/>
    </row>
    <row r="27" spans="2:57" ht="19.5" hidden="1" customHeight="1" outlineLevel="1" x14ac:dyDescent="0.25">
      <c r="B27" s="1580"/>
      <c r="C27" s="375"/>
      <c r="D27" s="590"/>
      <c r="E27" s="1552"/>
      <c r="F27" s="1982"/>
      <c r="G27" s="1552"/>
      <c r="H27" s="1325"/>
      <c r="I27" s="1325"/>
      <c r="J27" s="1325"/>
      <c r="K27" s="1325"/>
      <c r="L27" s="1325"/>
      <c r="M27" s="1325"/>
      <c r="N27" s="1983"/>
      <c r="O27" s="1325"/>
      <c r="P27" s="1325"/>
      <c r="Q27" s="355"/>
      <c r="R27" s="355"/>
      <c r="BC27" s="796"/>
      <c r="BE27" s="797"/>
    </row>
    <row r="28" spans="2:57" ht="19.5" hidden="1" customHeight="1" outlineLevel="1" x14ac:dyDescent="0.25">
      <c r="B28" s="1580"/>
      <c r="C28" s="376"/>
      <c r="D28" s="590"/>
      <c r="E28" s="1552"/>
      <c r="F28" s="1982"/>
      <c r="G28" s="1552"/>
      <c r="H28" s="1325"/>
      <c r="I28" s="1325"/>
      <c r="J28" s="1325"/>
      <c r="K28" s="1325"/>
      <c r="L28" s="1325"/>
      <c r="M28" s="1325"/>
      <c r="N28" s="1983"/>
      <c r="O28" s="1325"/>
      <c r="P28" s="1325"/>
      <c r="Q28" s="355"/>
      <c r="R28" s="355"/>
      <c r="BC28" s="796"/>
      <c r="BE28" s="797"/>
    </row>
    <row r="29" spans="2:57" ht="19.5" hidden="1" customHeight="1" outlineLevel="1" x14ac:dyDescent="0.25">
      <c r="B29" s="1580"/>
      <c r="C29" s="376"/>
      <c r="D29" s="590"/>
      <c r="E29" s="1552"/>
      <c r="F29" s="1982"/>
      <c r="G29" s="1552"/>
      <c r="H29" s="1325"/>
      <c r="I29" s="1325"/>
      <c r="J29" s="1325"/>
      <c r="K29" s="1325"/>
      <c r="L29" s="1325"/>
      <c r="M29" s="1325"/>
      <c r="N29" s="1983"/>
      <c r="O29" s="1325"/>
      <c r="P29" s="1325"/>
      <c r="Q29" s="355"/>
      <c r="R29" s="355"/>
      <c r="BC29" s="796"/>
      <c r="BE29" s="797"/>
    </row>
    <row r="30" spans="2:57" ht="21" hidden="1" customHeight="1" outlineLevel="1" x14ac:dyDescent="0.25">
      <c r="B30" s="1580"/>
      <c r="C30" s="376"/>
      <c r="D30" s="590"/>
      <c r="E30" s="1552"/>
      <c r="F30" s="1982"/>
      <c r="G30" s="1552"/>
      <c r="H30" s="1325"/>
      <c r="I30" s="1325"/>
      <c r="J30" s="1325"/>
      <c r="K30" s="1325"/>
      <c r="L30" s="1325"/>
      <c r="M30" s="1325"/>
      <c r="N30" s="1983"/>
      <c r="O30" s="1325"/>
      <c r="P30" s="1325"/>
      <c r="Q30" s="355"/>
      <c r="R30" s="355"/>
      <c r="BC30" s="796"/>
      <c r="BE30" s="797"/>
    </row>
    <row r="31" spans="2:57" ht="21" hidden="1" customHeight="1" outlineLevel="1" x14ac:dyDescent="0.25">
      <c r="B31" s="1580"/>
      <c r="C31" s="329"/>
      <c r="D31" s="353"/>
      <c r="E31" s="1552"/>
      <c r="F31" s="1325"/>
      <c r="G31" s="1552"/>
      <c r="H31" s="1325"/>
      <c r="I31" s="1325"/>
      <c r="J31" s="1325"/>
      <c r="K31" s="1325"/>
      <c r="L31" s="1325"/>
      <c r="M31" s="1325"/>
      <c r="N31" s="1983"/>
      <c r="O31" s="1325"/>
      <c r="P31" s="1325"/>
      <c r="Q31" s="355"/>
      <c r="R31" s="355"/>
      <c r="BC31" s="796"/>
      <c r="BE31" s="797"/>
    </row>
    <row r="32" spans="2:57" ht="15.75" hidden="1" outlineLevel="1" thickBot="1" x14ac:dyDescent="0.3">
      <c r="B32" s="1580"/>
      <c r="C32" s="329"/>
      <c r="D32" s="520" t="s">
        <v>618</v>
      </c>
      <c r="E32" s="520" t="s">
        <v>619</v>
      </c>
      <c r="F32" s="2735" t="s">
        <v>669</v>
      </c>
      <c r="G32" s="2735"/>
      <c r="H32" s="2735"/>
      <c r="I32" s="1659" t="s">
        <v>620</v>
      </c>
      <c r="J32" s="1659" t="s">
        <v>670</v>
      </c>
      <c r="K32" s="1659" t="s">
        <v>766</v>
      </c>
      <c r="L32" s="355"/>
      <c r="M32" s="355"/>
      <c r="N32" s="1192"/>
      <c r="O32" s="355"/>
      <c r="P32" s="355"/>
      <c r="Q32" s="355"/>
      <c r="R32" s="355"/>
      <c r="V32" s="55" t="s">
        <v>27</v>
      </c>
      <c r="W32" s="56">
        <v>43252</v>
      </c>
      <c r="X32" s="56">
        <f>$X$6</f>
        <v>43465</v>
      </c>
      <c r="Y32" s="56">
        <f>$Y$6</f>
        <v>43800</v>
      </c>
      <c r="Z32" s="56">
        <f>$Z$6</f>
        <v>43862</v>
      </c>
      <c r="AA32" s="56" t="str">
        <f>$AA$6</f>
        <v>-</v>
      </c>
      <c r="AB32" s="56" t="str">
        <f>$AB$6</f>
        <v>-</v>
      </c>
      <c r="AC32" s="56" t="str">
        <f>$AC$6</f>
        <v>-</v>
      </c>
      <c r="AD32" s="56" t="str">
        <f>$AD$6</f>
        <v>-</v>
      </c>
      <c r="AE32" s="56" t="str">
        <f>$AE$6</f>
        <v>-</v>
      </c>
      <c r="AF32" s="56" t="str">
        <f>$AF$6</f>
        <v>-</v>
      </c>
      <c r="AG32" s="56" t="str">
        <f>$AG$6</f>
        <v>-</v>
      </c>
      <c r="BC32" s="796"/>
      <c r="BE32" s="797"/>
    </row>
    <row r="33" spans="2:57" hidden="1" outlineLevel="1" x14ac:dyDescent="0.25">
      <c r="B33" s="1580"/>
      <c r="C33" s="329"/>
      <c r="D33" s="2738" t="s">
        <v>1168</v>
      </c>
      <c r="E33" s="2741" t="s">
        <v>1169</v>
      </c>
      <c r="F33" s="2746" t="str">
        <f t="shared" ref="F33:F44" si="10">E7</f>
        <v>ECM Auto Fan ROF-SF</v>
      </c>
      <c r="G33" s="2746"/>
      <c r="H33" s="2746"/>
      <c r="I33" s="802">
        <v>0.16336956521739129</v>
      </c>
      <c r="J33" s="803" t="s">
        <v>767</v>
      </c>
      <c r="K33" s="804" t="s">
        <v>1170</v>
      </c>
      <c r="L33" s="355"/>
      <c r="M33" s="355"/>
      <c r="N33" s="1192"/>
      <c r="O33" s="355"/>
      <c r="P33" s="355"/>
      <c r="Q33" s="355"/>
      <c r="R33" s="355"/>
      <c r="V33" s="2738" t="s">
        <v>1168</v>
      </c>
      <c r="W33" s="805">
        <v>0.16</v>
      </c>
      <c r="X33" s="805">
        <f>1759/10801</f>
        <v>0.16285529117674288</v>
      </c>
      <c r="Y33" s="806">
        <v>0.16336956521739129</v>
      </c>
      <c r="Z33" s="805"/>
      <c r="AA33" s="805"/>
      <c r="AB33" s="805"/>
      <c r="AC33" s="805"/>
      <c r="AD33" s="805"/>
      <c r="AE33" s="805"/>
      <c r="AF33" s="805"/>
      <c r="AG33" s="805"/>
      <c r="BC33" s="796"/>
      <c r="BE33" s="797"/>
    </row>
    <row r="34" spans="2:57" hidden="1" outlineLevel="1" x14ac:dyDescent="0.25">
      <c r="B34" s="1580"/>
      <c r="C34" s="329"/>
      <c r="D34" s="2739"/>
      <c r="E34" s="2742"/>
      <c r="F34" s="2747" t="str">
        <f t="shared" si="10"/>
        <v>ECM Auto Fan ROF-MF</v>
      </c>
      <c r="G34" s="2747"/>
      <c r="H34" s="2747"/>
      <c r="I34" s="807">
        <f>I33</f>
        <v>0.16336956521739129</v>
      </c>
      <c r="J34" s="808" t="s">
        <v>767</v>
      </c>
      <c r="K34" s="809"/>
      <c r="L34" s="355"/>
      <c r="M34" s="355"/>
      <c r="N34" s="1192"/>
      <c r="O34" s="355"/>
      <c r="P34" s="355"/>
      <c r="Q34" s="355"/>
      <c r="R34" s="355"/>
      <c r="V34" s="2739"/>
      <c r="W34" s="138">
        <v>0.16</v>
      </c>
      <c r="X34" s="138">
        <f t="shared" ref="X34:X44" si="11">1759/10801</f>
        <v>0.16285529117674288</v>
      </c>
      <c r="Y34" s="810">
        <v>0.16336956521739129</v>
      </c>
      <c r="Z34" s="138"/>
      <c r="AA34" s="138"/>
      <c r="AB34" s="138"/>
      <c r="AC34" s="138"/>
      <c r="AD34" s="138"/>
      <c r="AE34" s="138"/>
      <c r="AF34" s="138"/>
      <c r="AG34" s="138"/>
      <c r="BC34" s="796"/>
      <c r="BE34" s="797"/>
    </row>
    <row r="35" spans="2:57" hidden="1" outlineLevel="1" x14ac:dyDescent="0.25">
      <c r="B35" s="1580"/>
      <c r="C35" s="329"/>
      <c r="D35" s="2739"/>
      <c r="E35" s="2743"/>
      <c r="F35" s="2747" t="str">
        <f t="shared" si="10"/>
        <v>ECM Auto Fan ER1 - SF</v>
      </c>
      <c r="G35" s="2747"/>
      <c r="H35" s="2747"/>
      <c r="I35" s="811">
        <f t="shared" ref="I35:I44" si="12">I34</f>
        <v>0.16336956521739129</v>
      </c>
      <c r="J35" s="808" t="s">
        <v>767</v>
      </c>
      <c r="K35" s="812"/>
      <c r="L35" s="355"/>
      <c r="M35" s="355"/>
      <c r="N35" s="1192"/>
      <c r="O35" s="355"/>
      <c r="P35" s="355"/>
      <c r="Q35" s="355"/>
      <c r="R35" s="355"/>
      <c r="V35" s="2739"/>
      <c r="W35" s="138">
        <v>0.16</v>
      </c>
      <c r="X35" s="138">
        <f t="shared" si="11"/>
        <v>0.16285529117674288</v>
      </c>
      <c r="Y35" s="810">
        <v>0.16336956521739129</v>
      </c>
      <c r="Z35" s="138"/>
      <c r="AA35" s="138"/>
      <c r="AB35" s="138"/>
      <c r="AC35" s="138"/>
      <c r="AD35" s="138"/>
      <c r="AE35" s="138"/>
      <c r="AF35" s="138"/>
      <c r="AG35" s="138"/>
      <c r="BC35" s="796"/>
      <c r="BE35" s="797"/>
    </row>
    <row r="36" spans="2:57" hidden="1" outlineLevel="1" x14ac:dyDescent="0.25">
      <c r="B36" s="1580"/>
      <c r="C36" s="329"/>
      <c r="D36" s="2739"/>
      <c r="E36" s="2743"/>
      <c r="F36" s="2747" t="str">
        <f t="shared" si="10"/>
        <v>ECM Auto Fan ER2 - SF</v>
      </c>
      <c r="G36" s="2747"/>
      <c r="H36" s="2747"/>
      <c r="I36" s="811">
        <f t="shared" si="12"/>
        <v>0.16336956521739129</v>
      </c>
      <c r="J36" s="808" t="s">
        <v>767</v>
      </c>
      <c r="K36" s="812"/>
      <c r="L36" s="355"/>
      <c r="M36" s="355"/>
      <c r="N36" s="1192"/>
      <c r="O36" s="355"/>
      <c r="P36" s="355"/>
      <c r="Q36" s="355"/>
      <c r="R36" s="355"/>
      <c r="V36" s="2739"/>
      <c r="W36" s="138">
        <v>0.16</v>
      </c>
      <c r="X36" s="139">
        <f t="shared" si="11"/>
        <v>0.16285529117674288</v>
      </c>
      <c r="Y36" s="810">
        <v>0.16336956521739129</v>
      </c>
      <c r="Z36" s="138"/>
      <c r="AA36" s="138"/>
      <c r="AB36" s="138"/>
      <c r="AC36" s="138"/>
      <c r="AD36" s="138"/>
      <c r="AE36" s="138"/>
      <c r="AF36" s="138"/>
      <c r="AG36" s="138"/>
      <c r="BC36" s="796"/>
      <c r="BE36" s="797"/>
    </row>
    <row r="37" spans="2:57" hidden="1" outlineLevel="1" x14ac:dyDescent="0.25">
      <c r="B37" s="1580"/>
      <c r="C37" s="329"/>
      <c r="D37" s="2739"/>
      <c r="E37" s="2743"/>
      <c r="F37" s="2747" t="str">
        <f t="shared" si="10"/>
        <v>ECM Auto Fan ER1 - MF</v>
      </c>
      <c r="G37" s="2747"/>
      <c r="H37" s="2747"/>
      <c r="I37" s="811">
        <f t="shared" si="12"/>
        <v>0.16336956521739129</v>
      </c>
      <c r="J37" s="808" t="s">
        <v>767</v>
      </c>
      <c r="K37" s="812"/>
      <c r="L37" s="355"/>
      <c r="M37" s="355"/>
      <c r="N37" s="1192"/>
      <c r="O37" s="355"/>
      <c r="P37" s="355"/>
      <c r="Q37" s="355"/>
      <c r="R37" s="355"/>
      <c r="V37" s="2739"/>
      <c r="W37" s="138">
        <v>0.16</v>
      </c>
      <c r="X37" s="138">
        <f t="shared" si="11"/>
        <v>0.16285529117674288</v>
      </c>
      <c r="Y37" s="810">
        <v>0.16336956521739129</v>
      </c>
      <c r="Z37" s="138"/>
      <c r="AA37" s="138"/>
      <c r="AB37" s="138"/>
      <c r="AC37" s="138"/>
      <c r="AD37" s="138"/>
      <c r="AE37" s="138"/>
      <c r="AF37" s="138"/>
      <c r="AG37" s="138"/>
      <c r="BC37" s="796"/>
      <c r="BE37" s="797"/>
    </row>
    <row r="38" spans="2:57" hidden="1" outlineLevel="1" x14ac:dyDescent="0.25">
      <c r="B38" s="1580"/>
      <c r="C38" s="329"/>
      <c r="D38" s="2739"/>
      <c r="E38" s="2743"/>
      <c r="F38" s="2747" t="str">
        <f t="shared" si="10"/>
        <v>ECM Auto Fan ER2 - MF</v>
      </c>
      <c r="G38" s="2747"/>
      <c r="H38" s="2747"/>
      <c r="I38" s="811">
        <f t="shared" si="12"/>
        <v>0.16336956521739129</v>
      </c>
      <c r="J38" s="808" t="s">
        <v>767</v>
      </c>
      <c r="K38" s="812"/>
      <c r="L38" s="355"/>
      <c r="M38" s="355"/>
      <c r="N38" s="1192"/>
      <c r="O38" s="355"/>
      <c r="P38" s="355"/>
      <c r="Q38" s="355"/>
      <c r="R38" s="355"/>
      <c r="V38" s="2739"/>
      <c r="W38" s="138">
        <v>0.16</v>
      </c>
      <c r="X38" s="138">
        <f t="shared" si="11"/>
        <v>0.16285529117674288</v>
      </c>
      <c r="Y38" s="810">
        <v>0.16336956521739129</v>
      </c>
      <c r="Z38" s="138"/>
      <c r="AA38" s="138"/>
      <c r="AB38" s="138"/>
      <c r="AC38" s="138"/>
      <c r="AD38" s="138"/>
      <c r="AE38" s="138"/>
      <c r="AF38" s="138"/>
      <c r="AG38" s="138"/>
      <c r="BC38" s="796"/>
      <c r="BE38" s="797"/>
    </row>
    <row r="39" spans="2:57" hidden="1" outlineLevel="1" x14ac:dyDescent="0.25">
      <c r="B39" s="1580"/>
      <c r="C39" s="329"/>
      <c r="D39" s="2739"/>
      <c r="E39" s="2743"/>
      <c r="F39" s="2747" t="str">
        <f t="shared" si="10"/>
        <v>ECM Continuous Fan ROF- SF</v>
      </c>
      <c r="G39" s="2747"/>
      <c r="H39" s="2747"/>
      <c r="I39" s="811">
        <f t="shared" si="12"/>
        <v>0.16336956521739129</v>
      </c>
      <c r="J39" s="808" t="s">
        <v>767</v>
      </c>
      <c r="K39" s="812"/>
      <c r="L39" s="355"/>
      <c r="M39" s="355"/>
      <c r="N39" s="1192"/>
      <c r="O39" s="355"/>
      <c r="P39" s="355"/>
      <c r="Q39" s="355"/>
      <c r="R39" s="355"/>
      <c r="V39" s="2739"/>
      <c r="W39" s="138">
        <v>0.16</v>
      </c>
      <c r="X39" s="138">
        <f t="shared" si="11"/>
        <v>0.16285529117674288</v>
      </c>
      <c r="Y39" s="810">
        <v>0.16336956521739129</v>
      </c>
      <c r="Z39" s="138"/>
      <c r="AA39" s="138"/>
      <c r="AB39" s="138"/>
      <c r="AC39" s="138"/>
      <c r="AD39" s="138"/>
      <c r="AE39" s="138"/>
      <c r="AF39" s="138"/>
      <c r="AG39" s="138"/>
      <c r="BC39" s="796"/>
      <c r="BE39" s="797"/>
    </row>
    <row r="40" spans="2:57" hidden="1" outlineLevel="1" x14ac:dyDescent="0.25">
      <c r="B40" s="1580"/>
      <c r="C40" s="329"/>
      <c r="D40" s="2739"/>
      <c r="E40" s="2743"/>
      <c r="F40" s="2747" t="str">
        <f t="shared" si="10"/>
        <v>ECM Continuous Fan ROF- MF</v>
      </c>
      <c r="G40" s="2747"/>
      <c r="H40" s="2747"/>
      <c r="I40" s="811">
        <f t="shared" si="12"/>
        <v>0.16336956521739129</v>
      </c>
      <c r="J40" s="808" t="s">
        <v>767</v>
      </c>
      <c r="K40" s="812"/>
      <c r="L40" s="355"/>
      <c r="M40" s="355"/>
      <c r="N40" s="1192"/>
      <c r="O40" s="355"/>
      <c r="P40" s="355"/>
      <c r="Q40" s="355"/>
      <c r="R40" s="355"/>
      <c r="V40" s="2739"/>
      <c r="W40" s="138">
        <v>0.16</v>
      </c>
      <c r="X40" s="138">
        <f t="shared" si="11"/>
        <v>0.16285529117674288</v>
      </c>
      <c r="Y40" s="810">
        <v>0.16336956521739129</v>
      </c>
      <c r="Z40" s="138"/>
      <c r="AA40" s="138"/>
      <c r="AB40" s="138"/>
      <c r="AC40" s="138"/>
      <c r="AD40" s="138"/>
      <c r="AE40" s="138"/>
      <c r="AF40" s="138"/>
      <c r="AG40" s="138"/>
      <c r="BC40" s="796"/>
      <c r="BE40" s="797"/>
    </row>
    <row r="41" spans="2:57" hidden="1" outlineLevel="1" x14ac:dyDescent="0.25">
      <c r="B41" s="1580"/>
      <c r="C41" s="329"/>
      <c r="D41" s="2739"/>
      <c r="E41" s="2743"/>
      <c r="F41" s="2747" t="str">
        <f t="shared" si="10"/>
        <v>ECM Continuous Fan ER1 - SF</v>
      </c>
      <c r="G41" s="2747"/>
      <c r="H41" s="2747"/>
      <c r="I41" s="811">
        <f t="shared" si="12"/>
        <v>0.16336956521739129</v>
      </c>
      <c r="J41" s="808" t="s">
        <v>767</v>
      </c>
      <c r="K41" s="812"/>
      <c r="L41" s="355"/>
      <c r="M41" s="355"/>
      <c r="N41" s="1192"/>
      <c r="O41" s="355"/>
      <c r="P41" s="355"/>
      <c r="Q41" s="355"/>
      <c r="R41" s="355"/>
      <c r="V41" s="2739"/>
      <c r="W41" s="138">
        <v>0.16</v>
      </c>
      <c r="X41" s="138">
        <f t="shared" si="11"/>
        <v>0.16285529117674288</v>
      </c>
      <c r="Y41" s="810">
        <v>0.16336956521739129</v>
      </c>
      <c r="Z41" s="138"/>
      <c r="AA41" s="138"/>
      <c r="AB41" s="138"/>
      <c r="AC41" s="138"/>
      <c r="AD41" s="138"/>
      <c r="AE41" s="138"/>
      <c r="AF41" s="138"/>
      <c r="AG41" s="138"/>
      <c r="BC41" s="796"/>
      <c r="BE41" s="797"/>
    </row>
    <row r="42" spans="2:57" hidden="1" outlineLevel="1" x14ac:dyDescent="0.25">
      <c r="B42" s="1580"/>
      <c r="C42" s="329"/>
      <c r="D42" s="2739"/>
      <c r="E42" s="2744"/>
      <c r="F42" s="2747" t="str">
        <f t="shared" si="10"/>
        <v>ECM Continuous Fan ER2 - SF</v>
      </c>
      <c r="G42" s="2747"/>
      <c r="H42" s="2747"/>
      <c r="I42" s="811">
        <f t="shared" si="12"/>
        <v>0.16336956521739129</v>
      </c>
      <c r="J42" s="808" t="s">
        <v>767</v>
      </c>
      <c r="K42" s="813"/>
      <c r="L42" s="355"/>
      <c r="M42" s="355"/>
      <c r="N42" s="1192"/>
      <c r="O42" s="355"/>
      <c r="P42" s="355"/>
      <c r="Q42" s="355"/>
      <c r="R42" s="355"/>
      <c r="V42" s="2739"/>
      <c r="W42" s="138">
        <v>0.16</v>
      </c>
      <c r="X42" s="138">
        <f t="shared" si="11"/>
        <v>0.16285529117674288</v>
      </c>
      <c r="Y42" s="810">
        <v>0.16336956521739129</v>
      </c>
      <c r="Z42" s="138"/>
      <c r="AA42" s="138"/>
      <c r="AB42" s="138"/>
      <c r="AC42" s="138"/>
      <c r="AD42" s="138"/>
      <c r="AE42" s="138"/>
      <c r="AF42" s="138"/>
      <c r="AG42" s="138"/>
      <c r="BC42" s="796"/>
      <c r="BE42" s="797"/>
    </row>
    <row r="43" spans="2:57" hidden="1" outlineLevel="1" x14ac:dyDescent="0.25">
      <c r="B43" s="1580"/>
      <c r="C43" s="329"/>
      <c r="D43" s="2739"/>
      <c r="E43" s="2744"/>
      <c r="F43" s="2747" t="str">
        <f t="shared" si="10"/>
        <v>ECM Continuous Fan ER1 - MF</v>
      </c>
      <c r="G43" s="2747"/>
      <c r="H43" s="2747"/>
      <c r="I43" s="811">
        <f t="shared" si="12"/>
        <v>0.16336956521739129</v>
      </c>
      <c r="J43" s="808" t="s">
        <v>767</v>
      </c>
      <c r="K43" s="813"/>
      <c r="L43" s="355"/>
      <c r="M43" s="355"/>
      <c r="N43" s="1192"/>
      <c r="O43" s="355"/>
      <c r="P43" s="355"/>
      <c r="Q43" s="355"/>
      <c r="R43" s="355"/>
      <c r="V43" s="2739"/>
      <c r="W43" s="138">
        <v>0.16</v>
      </c>
      <c r="X43" s="138">
        <f t="shared" si="11"/>
        <v>0.16285529117674288</v>
      </c>
      <c r="Y43" s="810">
        <v>0.16336956521739129</v>
      </c>
      <c r="Z43" s="138"/>
      <c r="AA43" s="138"/>
      <c r="AB43" s="138"/>
      <c r="AC43" s="138"/>
      <c r="AD43" s="138"/>
      <c r="AE43" s="138"/>
      <c r="AF43" s="138"/>
      <c r="AG43" s="138"/>
      <c r="BC43" s="796"/>
      <c r="BE43" s="797"/>
    </row>
    <row r="44" spans="2:57" ht="15.75" hidden="1" outlineLevel="1" thickBot="1" x14ac:dyDescent="0.3">
      <c r="B44" s="1580"/>
      <c r="C44" s="329"/>
      <c r="D44" s="2740"/>
      <c r="E44" s="2745"/>
      <c r="F44" s="2748" t="str">
        <f t="shared" si="10"/>
        <v>ECM Continuous Fan ER2 - MF</v>
      </c>
      <c r="G44" s="2748"/>
      <c r="H44" s="2748"/>
      <c r="I44" s="811">
        <f t="shared" si="12"/>
        <v>0.16336956521739129</v>
      </c>
      <c r="J44" s="814" t="s">
        <v>767</v>
      </c>
      <c r="K44" s="815"/>
      <c r="L44" s="355"/>
      <c r="M44" s="355"/>
      <c r="N44" s="1192"/>
      <c r="O44" s="355"/>
      <c r="P44" s="355"/>
      <c r="Q44" s="355"/>
      <c r="R44" s="355"/>
      <c r="V44" s="2740"/>
      <c r="W44" s="816">
        <v>0.16</v>
      </c>
      <c r="X44" s="816">
        <f t="shared" si="11"/>
        <v>0.16285529117674288</v>
      </c>
      <c r="Y44" s="817">
        <v>0.16336956521739129</v>
      </c>
      <c r="Z44" s="816"/>
      <c r="AA44" s="816"/>
      <c r="AB44" s="816"/>
      <c r="AC44" s="816"/>
      <c r="AD44" s="816"/>
      <c r="AE44" s="816"/>
      <c r="AF44" s="816"/>
      <c r="AG44" s="816"/>
      <c r="BC44" s="796"/>
      <c r="BE44" s="797"/>
    </row>
    <row r="45" spans="2:57" ht="15.75" hidden="1" outlineLevel="1" thickBot="1" x14ac:dyDescent="0.3">
      <c r="B45" s="1580"/>
      <c r="C45" s="329"/>
      <c r="D45" s="1987" t="s">
        <v>1171</v>
      </c>
      <c r="E45" s="1673" t="s">
        <v>1172</v>
      </c>
      <c r="F45" s="2736" t="s">
        <v>637</v>
      </c>
      <c r="G45" s="2736"/>
      <c r="H45" s="2736"/>
      <c r="I45" s="1988">
        <v>400</v>
      </c>
      <c r="J45" s="1989" t="s">
        <v>1173</v>
      </c>
      <c r="K45" s="818"/>
      <c r="L45" s="355"/>
      <c r="M45" s="355"/>
      <c r="N45" s="1192"/>
      <c r="O45" s="355"/>
      <c r="P45" s="355"/>
      <c r="Q45" s="355"/>
      <c r="R45" s="355"/>
      <c r="V45" s="1987" t="s">
        <v>1171</v>
      </c>
      <c r="W45" s="819"/>
      <c r="X45" s="819"/>
      <c r="Y45" s="820">
        <v>400</v>
      </c>
      <c r="Z45" s="821"/>
      <c r="AA45" s="821"/>
      <c r="AB45" s="821"/>
      <c r="AC45" s="821"/>
      <c r="AD45" s="821"/>
      <c r="AE45" s="821"/>
      <c r="AF45" s="821"/>
      <c r="AG45" s="821"/>
      <c r="BC45" s="796"/>
      <c r="BE45" s="797"/>
    </row>
    <row r="46" spans="2:57" ht="18" hidden="1" outlineLevel="1" x14ac:dyDescent="0.25">
      <c r="B46" s="1980"/>
      <c r="C46" s="329"/>
      <c r="D46" s="822" t="s">
        <v>1174</v>
      </c>
      <c r="E46" s="1673" t="s">
        <v>1175</v>
      </c>
      <c r="F46" s="2736" t="s">
        <v>637</v>
      </c>
      <c r="G46" s="2736"/>
      <c r="H46" s="2736"/>
      <c r="I46" s="1990">
        <v>2009</v>
      </c>
      <c r="J46" s="803" t="s">
        <v>767</v>
      </c>
      <c r="K46" s="804"/>
      <c r="L46" s="355"/>
      <c r="M46" s="355"/>
      <c r="N46" s="1192"/>
      <c r="O46" s="355"/>
      <c r="P46" s="355"/>
      <c r="Q46" s="355"/>
      <c r="R46" s="355"/>
      <c r="V46" s="822" t="s">
        <v>1174</v>
      </c>
      <c r="W46" s="824">
        <v>2009</v>
      </c>
      <c r="X46" s="824">
        <v>2009</v>
      </c>
      <c r="Y46" s="825">
        <v>2009</v>
      </c>
      <c r="Z46" s="823"/>
      <c r="AA46" s="824"/>
      <c r="AB46" s="824"/>
      <c r="AC46" s="824"/>
      <c r="AD46" s="824"/>
      <c r="AE46" s="824"/>
      <c r="AF46" s="824"/>
      <c r="AG46" s="824"/>
      <c r="BC46" s="796"/>
      <c r="BE46" s="797"/>
    </row>
    <row r="47" spans="2:57" ht="18.75" hidden="1" outlineLevel="1" thickBot="1" x14ac:dyDescent="0.3">
      <c r="B47" s="1980"/>
      <c r="C47" s="329"/>
      <c r="D47" s="826" t="s">
        <v>1176</v>
      </c>
      <c r="E47" s="1675" t="s">
        <v>1177</v>
      </c>
      <c r="F47" s="2737" t="s">
        <v>637</v>
      </c>
      <c r="G47" s="2737"/>
      <c r="H47" s="2737"/>
      <c r="I47" s="1991">
        <v>2545.25</v>
      </c>
      <c r="J47" s="1989" t="s">
        <v>1178</v>
      </c>
      <c r="K47" s="815"/>
      <c r="L47" s="355"/>
      <c r="M47" s="355"/>
      <c r="N47" s="1192"/>
      <c r="O47" s="355"/>
      <c r="P47" s="355"/>
      <c r="Q47" s="355"/>
      <c r="R47" s="355"/>
      <c r="V47" s="826" t="s">
        <v>1176</v>
      </c>
      <c r="W47" s="828">
        <v>2545.25</v>
      </c>
      <c r="X47" s="828">
        <v>2545.25</v>
      </c>
      <c r="Y47" s="829">
        <v>2545.25</v>
      </c>
      <c r="Z47" s="827"/>
      <c r="AA47" s="828"/>
      <c r="AB47" s="828"/>
      <c r="AC47" s="828"/>
      <c r="AD47" s="828"/>
      <c r="AE47" s="828"/>
      <c r="AF47" s="828"/>
      <c r="AG47" s="828"/>
      <c r="BC47" s="796"/>
      <c r="BE47" s="797"/>
    </row>
    <row r="48" spans="2:57" ht="15" hidden="1" customHeight="1" outlineLevel="1" x14ac:dyDescent="0.25">
      <c r="B48" s="1580"/>
      <c r="C48" s="329"/>
      <c r="D48" s="2738" t="s">
        <v>1179</v>
      </c>
      <c r="E48" s="2741" t="s">
        <v>1180</v>
      </c>
      <c r="F48" s="2746" t="str">
        <f t="shared" ref="F48:F59" si="13">E7</f>
        <v>ECM Auto Fan ROF-SF</v>
      </c>
      <c r="G48" s="2746"/>
      <c r="H48" s="2746"/>
      <c r="I48" s="830">
        <v>0.80141304347826092</v>
      </c>
      <c r="J48" s="803" t="s">
        <v>767</v>
      </c>
      <c r="K48" s="804"/>
      <c r="L48" s="355"/>
      <c r="M48" s="355"/>
      <c r="N48" s="1192"/>
      <c r="O48" s="355"/>
      <c r="P48" s="355"/>
      <c r="Q48" s="355"/>
      <c r="R48" s="355"/>
      <c r="V48" s="2738" t="s">
        <v>1179</v>
      </c>
      <c r="W48" s="805">
        <v>0.97</v>
      </c>
      <c r="X48" s="805">
        <f>8493/10801</f>
        <v>0.78631608184427371</v>
      </c>
      <c r="Y48" s="806">
        <v>0.80141304347826092</v>
      </c>
      <c r="Z48" s="831"/>
      <c r="AA48" s="805"/>
      <c r="AB48" s="805"/>
      <c r="AC48" s="805"/>
      <c r="AD48" s="805"/>
      <c r="AE48" s="805"/>
      <c r="AF48" s="805"/>
      <c r="AG48" s="805"/>
      <c r="BC48" s="796"/>
      <c r="BE48" s="797"/>
    </row>
    <row r="49" spans="1:57" hidden="1" outlineLevel="1" x14ac:dyDescent="0.25">
      <c r="B49" s="1580"/>
      <c r="C49" s="329"/>
      <c r="D49" s="2739"/>
      <c r="E49" s="2742"/>
      <c r="F49" s="2747" t="str">
        <f t="shared" si="13"/>
        <v>ECM Auto Fan ROF-MF</v>
      </c>
      <c r="G49" s="2747"/>
      <c r="H49" s="2747"/>
      <c r="I49" s="807">
        <f>I48</f>
        <v>0.80141304347826092</v>
      </c>
      <c r="J49" s="808" t="s">
        <v>767</v>
      </c>
      <c r="K49" s="809"/>
      <c r="L49" s="355"/>
      <c r="M49" s="355"/>
      <c r="N49" s="1192"/>
      <c r="O49" s="355"/>
      <c r="P49" s="355"/>
      <c r="Q49" s="355"/>
      <c r="R49" s="355"/>
      <c r="V49" s="2739"/>
      <c r="W49" s="138">
        <v>0.97</v>
      </c>
      <c r="X49" s="138">
        <f t="shared" ref="X49:X59" si="14">8493/10801</f>
        <v>0.78631608184427371</v>
      </c>
      <c r="Y49" s="810">
        <v>0.80141304347826092</v>
      </c>
      <c r="Z49" s="832"/>
      <c r="AA49" s="138"/>
      <c r="AB49" s="138"/>
      <c r="AC49" s="138"/>
      <c r="AD49" s="138"/>
      <c r="AE49" s="138"/>
      <c r="AF49" s="138"/>
      <c r="AG49" s="138"/>
      <c r="BC49" s="796"/>
      <c r="BE49" s="797"/>
    </row>
    <row r="50" spans="1:57" hidden="1" outlineLevel="1" x14ac:dyDescent="0.25">
      <c r="B50" s="1580"/>
      <c r="C50" s="329"/>
      <c r="D50" s="2739"/>
      <c r="E50" s="2743"/>
      <c r="F50" s="2747" t="str">
        <f t="shared" si="13"/>
        <v>ECM Auto Fan ER1 - SF</v>
      </c>
      <c r="G50" s="2747"/>
      <c r="H50" s="2747"/>
      <c r="I50" s="811">
        <f t="shared" ref="I50:I59" si="15">I49</f>
        <v>0.80141304347826092</v>
      </c>
      <c r="J50" s="808" t="s">
        <v>767</v>
      </c>
      <c r="K50" s="812"/>
      <c r="L50" s="355"/>
      <c r="M50" s="355"/>
      <c r="N50" s="1192"/>
      <c r="O50" s="355"/>
      <c r="P50" s="355"/>
      <c r="Q50" s="355"/>
      <c r="R50" s="355"/>
      <c r="V50" s="2739"/>
      <c r="W50" s="138">
        <v>0.97</v>
      </c>
      <c r="X50" s="138">
        <f t="shared" si="14"/>
        <v>0.78631608184427371</v>
      </c>
      <c r="Y50" s="810">
        <v>0.80141304347826092</v>
      </c>
      <c r="Z50" s="832"/>
      <c r="AA50" s="138"/>
      <c r="AB50" s="138"/>
      <c r="AC50" s="138"/>
      <c r="AD50" s="138"/>
      <c r="AE50" s="138"/>
      <c r="AF50" s="138"/>
      <c r="AG50" s="138"/>
      <c r="BC50" s="796"/>
      <c r="BE50" s="797"/>
    </row>
    <row r="51" spans="1:57" ht="15" hidden="1" customHeight="1" outlineLevel="1" x14ac:dyDescent="0.25">
      <c r="B51" s="1580"/>
      <c r="C51" s="329"/>
      <c r="D51" s="2739"/>
      <c r="E51" s="2743"/>
      <c r="F51" s="2747" t="str">
        <f t="shared" si="13"/>
        <v>ECM Auto Fan ER2 - SF</v>
      </c>
      <c r="G51" s="2747"/>
      <c r="H51" s="2747"/>
      <c r="I51" s="811">
        <f t="shared" si="15"/>
        <v>0.80141304347826092</v>
      </c>
      <c r="J51" s="808" t="s">
        <v>767</v>
      </c>
      <c r="K51" s="812"/>
      <c r="L51" s="1325"/>
      <c r="M51" s="355"/>
      <c r="N51" s="1192"/>
      <c r="O51" s="355"/>
      <c r="P51" s="355"/>
      <c r="Q51" s="355"/>
      <c r="R51" s="355"/>
      <c r="V51" s="2739"/>
      <c r="W51" s="138">
        <v>0.97</v>
      </c>
      <c r="X51" s="138">
        <f t="shared" si="14"/>
        <v>0.78631608184427371</v>
      </c>
      <c r="Y51" s="810">
        <v>0.80141304347826092</v>
      </c>
      <c r="Z51" s="832"/>
      <c r="AA51" s="138"/>
      <c r="AB51" s="138"/>
      <c r="AC51" s="138"/>
      <c r="AD51" s="138"/>
      <c r="AE51" s="138"/>
      <c r="AF51" s="138"/>
      <c r="AG51" s="138"/>
      <c r="BC51" s="796"/>
      <c r="BE51" s="797"/>
    </row>
    <row r="52" spans="1:57" hidden="1" outlineLevel="1" x14ac:dyDescent="0.25">
      <c r="B52" s="1580"/>
      <c r="C52" s="329"/>
      <c r="D52" s="2739"/>
      <c r="E52" s="2743"/>
      <c r="F52" s="2747" t="str">
        <f t="shared" si="13"/>
        <v>ECM Auto Fan ER1 - MF</v>
      </c>
      <c r="G52" s="2747"/>
      <c r="H52" s="2747"/>
      <c r="I52" s="811">
        <f t="shared" si="15"/>
        <v>0.80141304347826092</v>
      </c>
      <c r="J52" s="808" t="s">
        <v>767</v>
      </c>
      <c r="K52" s="812"/>
      <c r="L52" s="1325"/>
      <c r="M52" s="355"/>
      <c r="N52" s="1192"/>
      <c r="O52" s="355"/>
      <c r="P52" s="355"/>
      <c r="Q52" s="355"/>
      <c r="R52" s="355"/>
      <c r="V52" s="2739"/>
      <c r="W52" s="138">
        <v>0.97</v>
      </c>
      <c r="X52" s="138">
        <f t="shared" si="14"/>
        <v>0.78631608184427371</v>
      </c>
      <c r="Y52" s="810">
        <v>0.80141304347826092</v>
      </c>
      <c r="Z52" s="832"/>
      <c r="AA52" s="138"/>
      <c r="AB52" s="138"/>
      <c r="AC52" s="138"/>
      <c r="AD52" s="138"/>
      <c r="AE52" s="138"/>
      <c r="AF52" s="138"/>
      <c r="AG52" s="138"/>
      <c r="BC52" s="796"/>
      <c r="BE52" s="797"/>
    </row>
    <row r="53" spans="1:57" hidden="1" outlineLevel="1" x14ac:dyDescent="0.25">
      <c r="B53" s="1580"/>
      <c r="C53" s="329"/>
      <c r="D53" s="2739"/>
      <c r="E53" s="2743"/>
      <c r="F53" s="2747" t="str">
        <f t="shared" si="13"/>
        <v>ECM Auto Fan ER2 - MF</v>
      </c>
      <c r="G53" s="2747"/>
      <c r="H53" s="2747"/>
      <c r="I53" s="811">
        <f t="shared" si="15"/>
        <v>0.80141304347826092</v>
      </c>
      <c r="J53" s="808" t="s">
        <v>767</v>
      </c>
      <c r="K53" s="812"/>
      <c r="L53" s="1325"/>
      <c r="M53" s="355"/>
      <c r="N53" s="1192"/>
      <c r="O53" s="355"/>
      <c r="P53" s="355"/>
      <c r="Q53" s="355"/>
      <c r="R53" s="1192"/>
      <c r="V53" s="2739"/>
      <c r="W53" s="138">
        <v>0.97</v>
      </c>
      <c r="X53" s="138">
        <f t="shared" si="14"/>
        <v>0.78631608184427371</v>
      </c>
      <c r="Y53" s="810">
        <v>0.80141304347826092</v>
      </c>
      <c r="Z53" s="832"/>
      <c r="AA53" s="138"/>
      <c r="AB53" s="138"/>
      <c r="AC53" s="138"/>
      <c r="AD53" s="138"/>
      <c r="AE53" s="138"/>
      <c r="AF53" s="138"/>
      <c r="AG53" s="138"/>
      <c r="BC53" s="796"/>
      <c r="BE53" s="797"/>
    </row>
    <row r="54" spans="1:57" hidden="1" outlineLevel="1" x14ac:dyDescent="0.25">
      <c r="B54" s="1580"/>
      <c r="C54" s="329"/>
      <c r="D54" s="2739"/>
      <c r="E54" s="2743"/>
      <c r="F54" s="2747" t="str">
        <f t="shared" si="13"/>
        <v>ECM Continuous Fan ROF- SF</v>
      </c>
      <c r="G54" s="2747"/>
      <c r="H54" s="2747"/>
      <c r="I54" s="811">
        <f t="shared" si="15"/>
        <v>0.80141304347826092</v>
      </c>
      <c r="J54" s="808" t="s">
        <v>767</v>
      </c>
      <c r="K54" s="812"/>
      <c r="L54" s="1325"/>
      <c r="M54" s="355"/>
      <c r="N54" s="1192"/>
      <c r="O54" s="355"/>
      <c r="P54" s="355"/>
      <c r="Q54" s="355"/>
      <c r="R54" s="1192"/>
      <c r="V54" s="2739"/>
      <c r="W54" s="138">
        <v>0.97</v>
      </c>
      <c r="X54" s="138">
        <f t="shared" si="14"/>
        <v>0.78631608184427371</v>
      </c>
      <c r="Y54" s="810">
        <v>0.80141304347826092</v>
      </c>
      <c r="Z54" s="832"/>
      <c r="AA54" s="138"/>
      <c r="AB54" s="138"/>
      <c r="AC54" s="138"/>
      <c r="AD54" s="138"/>
      <c r="AE54" s="138"/>
      <c r="AF54" s="138"/>
      <c r="AG54" s="138"/>
      <c r="BC54" s="796"/>
      <c r="BE54" s="797"/>
    </row>
    <row r="55" spans="1:57" hidden="1" outlineLevel="1" x14ac:dyDescent="0.25">
      <c r="B55" s="1580"/>
      <c r="C55" s="329"/>
      <c r="D55" s="2739"/>
      <c r="E55" s="2743"/>
      <c r="F55" s="2747" t="str">
        <f t="shared" si="13"/>
        <v>ECM Continuous Fan ROF- MF</v>
      </c>
      <c r="G55" s="2747"/>
      <c r="H55" s="2747"/>
      <c r="I55" s="811">
        <f t="shared" si="15"/>
        <v>0.80141304347826092</v>
      </c>
      <c r="J55" s="808" t="s">
        <v>767</v>
      </c>
      <c r="K55" s="812"/>
      <c r="L55" s="1325"/>
      <c r="M55" s="355"/>
      <c r="N55" s="1192"/>
      <c r="O55" s="355"/>
      <c r="P55" s="355"/>
      <c r="Q55" s="355"/>
      <c r="R55" s="355"/>
      <c r="V55" s="2739"/>
      <c r="W55" s="138">
        <v>0.97</v>
      </c>
      <c r="X55" s="138">
        <f t="shared" si="14"/>
        <v>0.78631608184427371</v>
      </c>
      <c r="Y55" s="810">
        <v>0.80141304347826092</v>
      </c>
      <c r="Z55" s="832"/>
      <c r="AA55" s="138"/>
      <c r="AB55" s="138"/>
      <c r="AC55" s="138"/>
      <c r="AD55" s="138"/>
      <c r="AE55" s="138"/>
      <c r="AF55" s="138"/>
      <c r="AG55" s="138"/>
      <c r="BC55" s="796"/>
      <c r="BE55" s="797"/>
    </row>
    <row r="56" spans="1:57" hidden="1" outlineLevel="1" x14ac:dyDescent="0.25">
      <c r="B56" s="1580"/>
      <c r="C56" s="329"/>
      <c r="D56" s="2739"/>
      <c r="E56" s="2743"/>
      <c r="F56" s="2747" t="str">
        <f t="shared" si="13"/>
        <v>ECM Continuous Fan ER1 - SF</v>
      </c>
      <c r="G56" s="2747"/>
      <c r="H56" s="2747"/>
      <c r="I56" s="811">
        <f t="shared" si="15"/>
        <v>0.80141304347826092</v>
      </c>
      <c r="J56" s="808" t="s">
        <v>767</v>
      </c>
      <c r="K56" s="812"/>
      <c r="L56" s="1325"/>
      <c r="M56" s="355"/>
      <c r="N56" s="1192"/>
      <c r="O56" s="355"/>
      <c r="P56" s="355"/>
      <c r="Q56" s="355"/>
      <c r="R56" s="355"/>
      <c r="V56" s="2739"/>
      <c r="W56" s="138">
        <v>0.97</v>
      </c>
      <c r="X56" s="138">
        <f t="shared" si="14"/>
        <v>0.78631608184427371</v>
      </c>
      <c r="Y56" s="810">
        <v>0.80141304347826092</v>
      </c>
      <c r="Z56" s="832"/>
      <c r="AA56" s="138"/>
      <c r="AB56" s="138"/>
      <c r="AC56" s="138"/>
      <c r="AD56" s="138"/>
      <c r="AE56" s="138"/>
      <c r="AF56" s="138"/>
      <c r="AG56" s="138"/>
      <c r="BC56" s="796"/>
      <c r="BE56" s="797"/>
    </row>
    <row r="57" spans="1:57" ht="18" hidden="1" customHeight="1" outlineLevel="1" x14ac:dyDescent="0.25">
      <c r="B57" s="1580"/>
      <c r="C57" s="359"/>
      <c r="D57" s="2739"/>
      <c r="E57" s="2744"/>
      <c r="F57" s="2747" t="str">
        <f t="shared" si="13"/>
        <v>ECM Continuous Fan ER2 - SF</v>
      </c>
      <c r="G57" s="2747"/>
      <c r="H57" s="2747"/>
      <c r="I57" s="811">
        <f t="shared" si="15"/>
        <v>0.80141304347826092</v>
      </c>
      <c r="J57" s="808" t="s">
        <v>767</v>
      </c>
      <c r="K57" s="813"/>
      <c r="L57" s="1325"/>
      <c r="M57" s="355"/>
      <c r="N57" s="1192"/>
      <c r="O57" s="355"/>
      <c r="P57" s="355"/>
      <c r="Q57" s="355"/>
      <c r="R57" s="355"/>
      <c r="V57" s="2739"/>
      <c r="W57" s="138">
        <v>0.97</v>
      </c>
      <c r="X57" s="138">
        <f t="shared" si="14"/>
        <v>0.78631608184427371</v>
      </c>
      <c r="Y57" s="810">
        <v>0.80141304347826092</v>
      </c>
      <c r="Z57" s="832"/>
      <c r="AA57" s="138"/>
      <c r="AB57" s="138"/>
      <c r="AC57" s="138"/>
      <c r="AD57" s="138"/>
      <c r="AE57" s="138"/>
      <c r="AF57" s="138"/>
      <c r="AG57" s="138"/>
      <c r="BC57" s="796"/>
      <c r="BE57" s="797"/>
    </row>
    <row r="58" spans="1:57" ht="18" hidden="1" customHeight="1" outlineLevel="1" x14ac:dyDescent="0.25">
      <c r="B58" s="1580"/>
      <c r="C58" s="359"/>
      <c r="D58" s="2739"/>
      <c r="E58" s="2744"/>
      <c r="F58" s="2747" t="str">
        <f t="shared" si="13"/>
        <v>ECM Continuous Fan ER1 - MF</v>
      </c>
      <c r="G58" s="2747"/>
      <c r="H58" s="2747"/>
      <c r="I58" s="811">
        <f t="shared" si="15"/>
        <v>0.80141304347826092</v>
      </c>
      <c r="J58" s="808" t="s">
        <v>767</v>
      </c>
      <c r="K58" s="813"/>
      <c r="L58" s="1325"/>
      <c r="M58" s="355"/>
      <c r="N58" s="1192"/>
      <c r="O58" s="355"/>
      <c r="P58" s="355"/>
      <c r="Q58" s="355"/>
      <c r="R58" s="355"/>
      <c r="V58" s="2739"/>
      <c r="W58" s="138">
        <v>0.97</v>
      </c>
      <c r="X58" s="138">
        <f t="shared" si="14"/>
        <v>0.78631608184427371</v>
      </c>
      <c r="Y58" s="810">
        <v>0.80141304347826092</v>
      </c>
      <c r="Z58" s="832"/>
      <c r="AA58" s="138"/>
      <c r="AB58" s="138"/>
      <c r="AC58" s="138"/>
      <c r="AD58" s="138"/>
      <c r="AE58" s="138"/>
      <c r="AF58" s="138"/>
      <c r="AG58" s="138"/>
      <c r="BC58" s="796"/>
      <c r="BE58" s="797"/>
    </row>
    <row r="59" spans="1:57" ht="18" hidden="1" customHeight="1" outlineLevel="1" thickBot="1" x14ac:dyDescent="0.3">
      <c r="B59" s="1580"/>
      <c r="C59" s="359"/>
      <c r="D59" s="2740"/>
      <c r="E59" s="2745"/>
      <c r="F59" s="2748" t="str">
        <f t="shared" si="13"/>
        <v>ECM Continuous Fan ER2 - MF</v>
      </c>
      <c r="G59" s="2748"/>
      <c r="H59" s="2748"/>
      <c r="I59" s="811">
        <f t="shared" si="15"/>
        <v>0.80141304347826092</v>
      </c>
      <c r="J59" s="814" t="s">
        <v>767</v>
      </c>
      <c r="K59" s="815"/>
      <c r="L59" s="1325"/>
      <c r="M59" s="355"/>
      <c r="N59" s="1192"/>
      <c r="O59" s="355"/>
      <c r="P59" s="355"/>
      <c r="Q59" s="355"/>
      <c r="R59" s="355"/>
      <c r="V59" s="2740"/>
      <c r="W59" s="834">
        <v>0.97</v>
      </c>
      <c r="X59" s="834">
        <f t="shared" si="14"/>
        <v>0.78631608184427371</v>
      </c>
      <c r="Y59" s="835">
        <v>0.80141304347826092</v>
      </c>
      <c r="Z59" s="836"/>
      <c r="AA59" s="834"/>
      <c r="AB59" s="834"/>
      <c r="AC59" s="834"/>
      <c r="AD59" s="834"/>
      <c r="AE59" s="834"/>
      <c r="AF59" s="834"/>
      <c r="AG59" s="834"/>
      <c r="BC59" s="796"/>
      <c r="BE59" s="797"/>
    </row>
    <row r="60" spans="1:57" ht="15.75" hidden="1" outlineLevel="1" thickBot="1" x14ac:dyDescent="0.3">
      <c r="B60" s="1580"/>
      <c r="C60" s="359"/>
      <c r="D60" s="1987" t="s">
        <v>1181</v>
      </c>
      <c r="E60" s="1673" t="s">
        <v>1182</v>
      </c>
      <c r="F60" s="2736" t="s">
        <v>637</v>
      </c>
      <c r="G60" s="2736"/>
      <c r="H60" s="2736"/>
      <c r="I60" s="1988">
        <v>70</v>
      </c>
      <c r="J60" s="1989" t="s">
        <v>1183</v>
      </c>
      <c r="K60" s="2520"/>
      <c r="L60" s="1325"/>
      <c r="M60" s="355"/>
      <c r="N60" s="1192"/>
      <c r="O60" s="355"/>
      <c r="P60" s="355"/>
      <c r="Q60" s="355"/>
      <c r="R60" s="355"/>
      <c r="V60" s="1987" t="s">
        <v>1181</v>
      </c>
      <c r="W60" s="821"/>
      <c r="X60" s="821"/>
      <c r="Y60" s="819">
        <v>70</v>
      </c>
      <c r="Z60" s="837"/>
      <c r="AA60" s="821"/>
      <c r="AB60" s="821"/>
      <c r="AC60" s="821"/>
      <c r="AD60" s="821"/>
      <c r="AE60" s="821"/>
      <c r="AF60" s="821"/>
      <c r="AG60" s="821"/>
      <c r="BC60" s="796"/>
      <c r="BE60" s="797"/>
    </row>
    <row r="61" spans="1:57" ht="18" hidden="1" customHeight="1" outlineLevel="1" x14ac:dyDescent="0.25">
      <c r="B61" s="1980"/>
      <c r="C61" s="359"/>
      <c r="D61" s="822" t="s">
        <v>1184</v>
      </c>
      <c r="E61" s="1673" t="s">
        <v>1185</v>
      </c>
      <c r="F61" s="2736" t="s">
        <v>637</v>
      </c>
      <c r="G61" s="2736"/>
      <c r="H61" s="2736"/>
      <c r="I61" s="1992">
        <v>1215</v>
      </c>
      <c r="J61" s="803" t="s">
        <v>1178</v>
      </c>
      <c r="K61" s="804"/>
      <c r="L61" s="1325"/>
      <c r="M61" s="355"/>
      <c r="N61" s="1192"/>
      <c r="O61" s="355"/>
      <c r="P61" s="355"/>
      <c r="Q61" s="355"/>
      <c r="R61" s="355"/>
      <c r="V61" s="822" t="s">
        <v>1184</v>
      </c>
      <c r="W61" s="839">
        <v>1215</v>
      </c>
      <c r="X61" s="838">
        <v>1215</v>
      </c>
      <c r="Y61" s="840">
        <v>1215</v>
      </c>
      <c r="Z61" s="823"/>
      <c r="AA61" s="839"/>
      <c r="AB61" s="839"/>
      <c r="AC61" s="839"/>
      <c r="AD61" s="839"/>
      <c r="AE61" s="839"/>
      <c r="AF61" s="839"/>
      <c r="AG61" s="839"/>
      <c r="BC61" s="796"/>
      <c r="BE61" s="797"/>
    </row>
    <row r="62" spans="1:57" ht="18" hidden="1" customHeight="1" outlineLevel="1" x14ac:dyDescent="0.25">
      <c r="B62" s="1980"/>
      <c r="C62" s="359"/>
      <c r="D62" s="841" t="s">
        <v>1186</v>
      </c>
      <c r="E62" s="1674" t="s">
        <v>1187</v>
      </c>
      <c r="F62" s="2751" t="s">
        <v>637</v>
      </c>
      <c r="G62" s="2751"/>
      <c r="H62" s="2751"/>
      <c r="I62" s="845">
        <v>542.5</v>
      </c>
      <c r="J62" s="1993" t="s">
        <v>1178</v>
      </c>
      <c r="K62" s="812"/>
      <c r="L62" s="1325"/>
      <c r="M62" s="355"/>
      <c r="N62" s="1192"/>
      <c r="O62" s="355"/>
      <c r="P62" s="355"/>
      <c r="Q62" s="355"/>
      <c r="R62" s="355"/>
      <c r="V62" s="841" t="s">
        <v>1186</v>
      </c>
      <c r="W62" s="842">
        <v>542.5</v>
      </c>
      <c r="X62" s="842">
        <v>542.5</v>
      </c>
      <c r="Y62" s="843">
        <v>542.5</v>
      </c>
      <c r="Z62" s="842"/>
      <c r="AA62" s="842"/>
      <c r="AB62" s="842"/>
      <c r="AC62" s="842"/>
      <c r="AD62" s="842"/>
      <c r="AE62" s="842"/>
      <c r="AF62" s="842"/>
      <c r="AG62" s="842"/>
      <c r="BC62" s="796"/>
      <c r="BE62" s="797"/>
    </row>
    <row r="63" spans="1:57" s="331" customFormat="1" ht="27" hidden="1" customHeight="1" outlineLevel="1" x14ac:dyDescent="0.25">
      <c r="A63" s="332"/>
      <c r="B63" s="1901"/>
      <c r="C63" s="1994"/>
      <c r="D63" s="1995" t="s">
        <v>1188</v>
      </c>
      <c r="E63" s="1674" t="s">
        <v>1189</v>
      </c>
      <c r="F63" s="2751" t="s">
        <v>637</v>
      </c>
      <c r="G63" s="2751"/>
      <c r="H63" s="2751"/>
      <c r="I63" s="1242">
        <v>25</v>
      </c>
      <c r="J63" s="2752" t="s">
        <v>1173</v>
      </c>
      <c r="K63" s="812"/>
      <c r="L63" s="333"/>
      <c r="M63" s="333"/>
      <c r="N63" s="1996"/>
      <c r="O63" s="333"/>
      <c r="P63" s="333"/>
      <c r="Q63" s="333"/>
      <c r="R63" s="333"/>
      <c r="S63" s="332"/>
      <c r="T63" s="332"/>
      <c r="U63" s="332"/>
      <c r="V63" s="1995" t="s">
        <v>1188</v>
      </c>
      <c r="W63" s="832"/>
      <c r="X63" s="832"/>
      <c r="Y63" s="845">
        <v>25</v>
      </c>
      <c r="Z63" s="845"/>
      <c r="AA63" s="845"/>
      <c r="AB63" s="845"/>
      <c r="AC63" s="845"/>
      <c r="AD63" s="845"/>
      <c r="AE63" s="845"/>
      <c r="AF63" s="845"/>
      <c r="AG63" s="845"/>
      <c r="BB63" s="846"/>
      <c r="BC63" s="796"/>
      <c r="BD63" s="847"/>
      <c r="BE63" s="797"/>
    </row>
    <row r="64" spans="1:57" s="331" customFormat="1" ht="27" hidden="1" customHeight="1" outlineLevel="1" x14ac:dyDescent="0.25">
      <c r="A64" s="332"/>
      <c r="B64" s="1901"/>
      <c r="C64" s="1994"/>
      <c r="D64" s="1995" t="s">
        <v>1190</v>
      </c>
      <c r="E64" s="1674" t="s">
        <v>1191</v>
      </c>
      <c r="F64" s="2751" t="s">
        <v>637</v>
      </c>
      <c r="G64" s="2751"/>
      <c r="H64" s="2751"/>
      <c r="I64" s="1242">
        <v>2960</v>
      </c>
      <c r="J64" s="2686"/>
      <c r="K64" s="812"/>
      <c r="L64" s="333"/>
      <c r="M64" s="333"/>
      <c r="N64" s="1996"/>
      <c r="O64" s="333"/>
      <c r="P64" s="333"/>
      <c r="Q64" s="333"/>
      <c r="R64" s="333"/>
      <c r="S64" s="332"/>
      <c r="T64" s="332"/>
      <c r="U64" s="332"/>
      <c r="V64" s="1995" t="s">
        <v>1190</v>
      </c>
      <c r="W64" s="832"/>
      <c r="X64" s="832"/>
      <c r="Y64" s="845">
        <v>2960</v>
      </c>
      <c r="Z64" s="845"/>
      <c r="AA64" s="845"/>
      <c r="AB64" s="845"/>
      <c r="AC64" s="845"/>
      <c r="AD64" s="845"/>
      <c r="AE64" s="845"/>
      <c r="AF64" s="845"/>
      <c r="AG64" s="845"/>
      <c r="BB64" s="846"/>
      <c r="BC64" s="796"/>
      <c r="BD64" s="847"/>
      <c r="BE64" s="797"/>
    </row>
    <row r="65" spans="1:57" s="331" customFormat="1" hidden="1" outlineLevel="1" x14ac:dyDescent="0.25">
      <c r="A65" s="332"/>
      <c r="B65" s="1901"/>
      <c r="C65" s="1994"/>
      <c r="D65" s="2749" t="s">
        <v>1192</v>
      </c>
      <c r="E65" s="2750" t="s">
        <v>1193</v>
      </c>
      <c r="F65" s="2751" t="s">
        <v>1194</v>
      </c>
      <c r="G65" s="2751"/>
      <c r="H65" s="2751"/>
      <c r="I65" s="849">
        <v>8.8084612296306403E-2</v>
      </c>
      <c r="J65" s="1993" t="s">
        <v>1195</v>
      </c>
      <c r="K65" s="2521"/>
      <c r="L65" s="333"/>
      <c r="M65" s="333"/>
      <c r="N65" s="1996"/>
      <c r="O65" s="333"/>
      <c r="P65" s="333"/>
      <c r="Q65" s="333"/>
      <c r="R65" s="333"/>
      <c r="S65" s="332"/>
      <c r="T65" s="332"/>
      <c r="U65" s="332"/>
      <c r="V65" s="2749" t="s">
        <v>1192</v>
      </c>
      <c r="W65" s="832"/>
      <c r="X65" s="832"/>
      <c r="Y65" s="848">
        <v>8.8084612296306403E-2</v>
      </c>
      <c r="Z65" s="849"/>
      <c r="AA65" s="849"/>
      <c r="AB65" s="849"/>
      <c r="AC65" s="849"/>
      <c r="AD65" s="849"/>
      <c r="AE65" s="849"/>
      <c r="AF65" s="849"/>
      <c r="AG65" s="849"/>
      <c r="BB65" s="846"/>
      <c r="BC65" s="796"/>
      <c r="BD65" s="847"/>
      <c r="BE65" s="797"/>
    </row>
    <row r="66" spans="1:57" s="331" customFormat="1" hidden="1" outlineLevel="1" x14ac:dyDescent="0.25">
      <c r="A66" s="332"/>
      <c r="B66" s="1901"/>
      <c r="C66" s="1994"/>
      <c r="D66" s="2749"/>
      <c r="E66" s="2750"/>
      <c r="F66" s="2751" t="s">
        <v>1196</v>
      </c>
      <c r="G66" s="2751"/>
      <c r="H66" s="2751"/>
      <c r="I66" s="849">
        <v>8.8084612296306403E-2</v>
      </c>
      <c r="J66" s="1993" t="s">
        <v>1195</v>
      </c>
      <c r="K66" s="2521"/>
      <c r="L66" s="333"/>
      <c r="M66" s="333"/>
      <c r="N66" s="1996"/>
      <c r="O66" s="333"/>
      <c r="P66" s="333"/>
      <c r="Q66" s="333"/>
      <c r="R66" s="333"/>
      <c r="S66" s="332"/>
      <c r="T66" s="332"/>
      <c r="U66" s="332"/>
      <c r="V66" s="2749"/>
      <c r="W66" s="832"/>
      <c r="X66" s="832"/>
      <c r="Y66" s="848">
        <v>8.8084612296306403E-2</v>
      </c>
      <c r="Z66" s="849"/>
      <c r="AA66" s="849"/>
      <c r="AB66" s="849"/>
      <c r="AC66" s="849"/>
      <c r="AD66" s="849"/>
      <c r="AE66" s="849"/>
      <c r="AF66" s="849"/>
      <c r="AG66" s="849"/>
      <c r="BB66" s="846"/>
      <c r="BC66" s="796"/>
      <c r="BD66" s="847"/>
      <c r="BE66" s="797"/>
    </row>
    <row r="67" spans="1:57" s="331" customFormat="1" ht="15.75" hidden="1" outlineLevel="1" thickBot="1" x14ac:dyDescent="0.3">
      <c r="A67" s="332"/>
      <c r="B67" s="1901"/>
      <c r="C67" s="1994"/>
      <c r="D67" s="1997" t="s">
        <v>1197</v>
      </c>
      <c r="E67" s="1675" t="s">
        <v>1198</v>
      </c>
      <c r="F67" s="2737" t="s">
        <v>637</v>
      </c>
      <c r="G67" s="2737"/>
      <c r="H67" s="2737"/>
      <c r="I67" s="1998">
        <v>30</v>
      </c>
      <c r="J67" s="1989" t="s">
        <v>1173</v>
      </c>
      <c r="K67" s="2522"/>
      <c r="L67" s="333"/>
      <c r="M67" s="333"/>
      <c r="N67" s="1996"/>
      <c r="O67" s="333"/>
      <c r="P67" s="333"/>
      <c r="Q67" s="333"/>
      <c r="R67" s="333"/>
      <c r="S67" s="332"/>
      <c r="T67" s="332"/>
      <c r="U67" s="332"/>
      <c r="V67" s="1997" t="s">
        <v>1197</v>
      </c>
      <c r="W67" s="836"/>
      <c r="X67" s="836"/>
      <c r="Y67" s="845">
        <v>30</v>
      </c>
      <c r="Z67" s="850"/>
      <c r="AA67" s="850"/>
      <c r="AB67" s="850"/>
      <c r="AC67" s="850"/>
      <c r="AD67" s="850"/>
      <c r="AE67" s="850"/>
      <c r="AF67" s="850"/>
      <c r="AG67" s="850"/>
      <c r="BB67" s="846"/>
      <c r="BC67" s="796"/>
      <c r="BD67" s="847"/>
      <c r="BE67" s="797"/>
    </row>
    <row r="68" spans="1:57" ht="16.5" hidden="1" customHeight="1" outlineLevel="1" x14ac:dyDescent="0.25">
      <c r="B68" s="1580"/>
      <c r="C68" s="359"/>
      <c r="D68" s="2761" t="s">
        <v>775</v>
      </c>
      <c r="E68" s="2766" t="s">
        <v>1199</v>
      </c>
      <c r="F68" s="2746" t="str">
        <f t="shared" ref="F68:F79" si="16">E7</f>
        <v>ECM Auto Fan ROF-SF</v>
      </c>
      <c r="G68" s="2746"/>
      <c r="H68" s="2746"/>
      <c r="I68" s="1999">
        <v>1</v>
      </c>
      <c r="J68" s="852"/>
      <c r="K68" s="853"/>
      <c r="L68" s="1325"/>
      <c r="M68" s="355"/>
      <c r="N68" s="1192"/>
      <c r="O68" s="355"/>
      <c r="P68" s="355"/>
      <c r="Q68" s="355"/>
      <c r="R68" s="355"/>
      <c r="V68" s="2761" t="s">
        <v>775</v>
      </c>
      <c r="W68" s="851">
        <v>1</v>
      </c>
      <c r="X68" s="851">
        <v>1</v>
      </c>
      <c r="Y68" s="851">
        <v>1</v>
      </c>
      <c r="Z68" s="854"/>
      <c r="AA68" s="854"/>
      <c r="AB68" s="854"/>
      <c r="AC68" s="854"/>
      <c r="AD68" s="854"/>
      <c r="AE68" s="854"/>
      <c r="AF68" s="854"/>
      <c r="AG68" s="854"/>
      <c r="BC68" s="796"/>
      <c r="BE68" s="797"/>
    </row>
    <row r="69" spans="1:57" ht="18" hidden="1" customHeight="1" outlineLevel="1" x14ac:dyDescent="0.25">
      <c r="B69" s="1580"/>
      <c r="C69" s="359"/>
      <c r="D69" s="2761"/>
      <c r="E69" s="2766"/>
      <c r="F69" s="2747" t="str">
        <f t="shared" si="16"/>
        <v>ECM Auto Fan ROF-MF</v>
      </c>
      <c r="G69" s="2747"/>
      <c r="H69" s="2747"/>
      <c r="I69" s="2000">
        <v>1</v>
      </c>
      <c r="J69" s="856"/>
      <c r="K69" s="853"/>
      <c r="L69" s="1325"/>
      <c r="M69" s="355"/>
      <c r="N69" s="1192"/>
      <c r="O69" s="355"/>
      <c r="P69" s="355"/>
      <c r="Q69" s="355"/>
      <c r="R69" s="355"/>
      <c r="V69" s="2761"/>
      <c r="W69" s="855">
        <v>1</v>
      </c>
      <c r="X69" s="855">
        <v>1</v>
      </c>
      <c r="Y69" s="855">
        <v>1</v>
      </c>
      <c r="Z69" s="855"/>
      <c r="AA69" s="855"/>
      <c r="AB69" s="855"/>
      <c r="AC69" s="855"/>
      <c r="AD69" s="855"/>
      <c r="AE69" s="855"/>
      <c r="AF69" s="855"/>
      <c r="AG69" s="855"/>
      <c r="BC69" s="796"/>
      <c r="BE69" s="797"/>
    </row>
    <row r="70" spans="1:57" ht="18" hidden="1" customHeight="1" outlineLevel="1" x14ac:dyDescent="0.25">
      <c r="B70" s="1580"/>
      <c r="C70" s="359"/>
      <c r="D70" s="2761"/>
      <c r="E70" s="2766"/>
      <c r="F70" s="2747" t="str">
        <f t="shared" si="16"/>
        <v>ECM Auto Fan ER1 - SF</v>
      </c>
      <c r="G70" s="2747"/>
      <c r="H70" s="2747"/>
      <c r="I70" s="1233">
        <v>1</v>
      </c>
      <c r="J70" s="856"/>
      <c r="K70" s="857"/>
      <c r="L70" s="1325"/>
      <c r="M70" s="355"/>
      <c r="N70" s="1192"/>
      <c r="O70" s="355"/>
      <c r="P70" s="355"/>
      <c r="Q70" s="355"/>
      <c r="R70" s="355"/>
      <c r="V70" s="2761"/>
      <c r="W70" s="652">
        <v>1</v>
      </c>
      <c r="X70" s="652">
        <v>1</v>
      </c>
      <c r="Y70" s="652">
        <v>1</v>
      </c>
      <c r="Z70" s="652"/>
      <c r="AA70" s="652"/>
      <c r="AB70" s="652"/>
      <c r="AC70" s="652"/>
      <c r="AD70" s="652"/>
      <c r="AE70" s="652"/>
      <c r="AF70" s="652"/>
      <c r="AG70" s="652"/>
      <c r="BC70" s="796"/>
      <c r="BE70" s="797"/>
    </row>
    <row r="71" spans="1:57" ht="18" hidden="1" customHeight="1" outlineLevel="1" x14ac:dyDescent="0.25">
      <c r="B71" s="1580"/>
      <c r="C71" s="359"/>
      <c r="D71" s="2761"/>
      <c r="E71" s="2766"/>
      <c r="F71" s="2747" t="str">
        <f t="shared" si="16"/>
        <v>ECM Auto Fan ER2 - SF</v>
      </c>
      <c r="G71" s="2747"/>
      <c r="H71" s="2747"/>
      <c r="I71" s="1233">
        <v>1</v>
      </c>
      <c r="J71" s="856"/>
      <c r="K71" s="812"/>
      <c r="L71" s="1325"/>
      <c r="M71" s="355"/>
      <c r="N71" s="1192"/>
      <c r="O71" s="355"/>
      <c r="P71" s="355"/>
      <c r="Q71" s="355"/>
      <c r="R71" s="355"/>
      <c r="V71" s="2761"/>
      <c r="W71" s="652">
        <v>1</v>
      </c>
      <c r="X71" s="652">
        <v>1</v>
      </c>
      <c r="Y71" s="652">
        <v>1</v>
      </c>
      <c r="Z71" s="652"/>
      <c r="AA71" s="652"/>
      <c r="AB71" s="652"/>
      <c r="AC71" s="652"/>
      <c r="AD71" s="652"/>
      <c r="AE71" s="652"/>
      <c r="AF71" s="652"/>
      <c r="AG71" s="652"/>
      <c r="BC71" s="796"/>
      <c r="BE71" s="797"/>
    </row>
    <row r="72" spans="1:57" ht="18" hidden="1" customHeight="1" outlineLevel="1" x14ac:dyDescent="0.25">
      <c r="B72" s="1580"/>
      <c r="C72" s="359"/>
      <c r="D72" s="2761"/>
      <c r="E72" s="2766"/>
      <c r="F72" s="2747" t="str">
        <f t="shared" si="16"/>
        <v>ECM Auto Fan ER1 - MF</v>
      </c>
      <c r="G72" s="2747"/>
      <c r="H72" s="2747"/>
      <c r="I72" s="1233">
        <v>1</v>
      </c>
      <c r="J72" s="856"/>
      <c r="K72" s="812"/>
      <c r="L72" s="1325"/>
      <c r="M72" s="355"/>
      <c r="N72" s="1192"/>
      <c r="O72" s="355"/>
      <c r="P72" s="355"/>
      <c r="Q72" s="355"/>
      <c r="R72" s="355"/>
      <c r="V72" s="2761"/>
      <c r="W72" s="652">
        <v>1</v>
      </c>
      <c r="X72" s="652">
        <v>1</v>
      </c>
      <c r="Y72" s="652">
        <v>1</v>
      </c>
      <c r="Z72" s="652"/>
      <c r="AA72" s="652"/>
      <c r="AB72" s="652"/>
      <c r="AC72" s="652"/>
      <c r="AD72" s="652"/>
      <c r="AE72" s="652"/>
      <c r="AF72" s="652"/>
      <c r="AG72" s="652"/>
      <c r="BC72" s="796"/>
      <c r="BE72" s="797"/>
    </row>
    <row r="73" spans="1:57" ht="18" hidden="1" customHeight="1" outlineLevel="1" x14ac:dyDescent="0.25">
      <c r="B73" s="1580"/>
      <c r="C73" s="359"/>
      <c r="D73" s="2761"/>
      <c r="E73" s="2766"/>
      <c r="F73" s="2747" t="str">
        <f t="shared" si="16"/>
        <v>ECM Auto Fan ER2 - MF</v>
      </c>
      <c r="G73" s="2747"/>
      <c r="H73" s="2747"/>
      <c r="I73" s="1233">
        <v>1</v>
      </c>
      <c r="J73" s="856"/>
      <c r="K73" s="812"/>
      <c r="L73" s="1325"/>
      <c r="M73" s="355"/>
      <c r="N73" s="1192"/>
      <c r="O73" s="355"/>
      <c r="P73" s="355"/>
      <c r="Q73" s="355"/>
      <c r="R73" s="355"/>
      <c r="V73" s="2761"/>
      <c r="W73" s="652">
        <v>1</v>
      </c>
      <c r="X73" s="652">
        <v>1</v>
      </c>
      <c r="Y73" s="652">
        <v>1</v>
      </c>
      <c r="Z73" s="652"/>
      <c r="AA73" s="652"/>
      <c r="AB73" s="652"/>
      <c r="AC73" s="652"/>
      <c r="AD73" s="652"/>
      <c r="AE73" s="652"/>
      <c r="AF73" s="652"/>
      <c r="AG73" s="652"/>
      <c r="BC73" s="796"/>
      <c r="BE73" s="797"/>
    </row>
    <row r="74" spans="1:57" hidden="1" outlineLevel="1" x14ac:dyDescent="0.25">
      <c r="B74" s="1580"/>
      <c r="C74" s="375"/>
      <c r="D74" s="2761"/>
      <c r="E74" s="2766"/>
      <c r="F74" s="2747" t="str">
        <f t="shared" si="16"/>
        <v>ECM Continuous Fan ROF- SF</v>
      </c>
      <c r="G74" s="2747"/>
      <c r="H74" s="2747"/>
      <c r="I74" s="1233">
        <v>1</v>
      </c>
      <c r="J74" s="856"/>
      <c r="K74" s="812"/>
      <c r="L74" s="1325"/>
      <c r="M74" s="355"/>
      <c r="N74" s="1192"/>
      <c r="O74" s="355"/>
      <c r="P74" s="355"/>
      <c r="Q74" s="355"/>
      <c r="R74" s="355"/>
      <c r="V74" s="2761"/>
      <c r="W74" s="652">
        <v>1</v>
      </c>
      <c r="X74" s="652">
        <v>1</v>
      </c>
      <c r="Y74" s="652">
        <v>1</v>
      </c>
      <c r="Z74" s="652"/>
      <c r="AA74" s="652"/>
      <c r="AB74" s="652"/>
      <c r="AC74" s="652"/>
      <c r="AD74" s="652"/>
      <c r="AE74" s="652"/>
      <c r="AF74" s="652"/>
      <c r="AG74" s="652"/>
      <c r="BC74" s="796"/>
      <c r="BE74" s="797"/>
    </row>
    <row r="75" spans="1:57" hidden="1" outlineLevel="1" x14ac:dyDescent="0.25">
      <c r="B75" s="1580"/>
      <c r="C75" s="375"/>
      <c r="D75" s="2761"/>
      <c r="E75" s="2766"/>
      <c r="F75" s="2747" t="str">
        <f t="shared" si="16"/>
        <v>ECM Continuous Fan ROF- MF</v>
      </c>
      <c r="G75" s="2747"/>
      <c r="H75" s="2747"/>
      <c r="I75" s="1233">
        <v>1</v>
      </c>
      <c r="J75" s="856"/>
      <c r="K75" s="812"/>
      <c r="L75" s="1325"/>
      <c r="M75" s="355"/>
      <c r="N75" s="1192"/>
      <c r="O75" s="355"/>
      <c r="P75" s="355"/>
      <c r="Q75" s="355"/>
      <c r="R75" s="355"/>
      <c r="V75" s="2761"/>
      <c r="W75" s="652">
        <v>1</v>
      </c>
      <c r="X75" s="652">
        <v>1</v>
      </c>
      <c r="Y75" s="652">
        <v>1</v>
      </c>
      <c r="Z75" s="652"/>
      <c r="AA75" s="652"/>
      <c r="AB75" s="652"/>
      <c r="AC75" s="652"/>
      <c r="AD75" s="652"/>
      <c r="AE75" s="652"/>
      <c r="AF75" s="652"/>
      <c r="AG75" s="652"/>
      <c r="BC75" s="796"/>
      <c r="BE75" s="797"/>
    </row>
    <row r="76" spans="1:57" hidden="1" outlineLevel="1" x14ac:dyDescent="0.25">
      <c r="B76" s="1580"/>
      <c r="C76" s="376"/>
      <c r="D76" s="2761"/>
      <c r="E76" s="2766"/>
      <c r="F76" s="2747" t="str">
        <f t="shared" si="16"/>
        <v>ECM Continuous Fan ER1 - SF</v>
      </c>
      <c r="G76" s="2747"/>
      <c r="H76" s="2747"/>
      <c r="I76" s="1233">
        <v>1</v>
      </c>
      <c r="J76" s="856"/>
      <c r="K76" s="812"/>
      <c r="L76" s="1325"/>
      <c r="M76" s="355"/>
      <c r="N76" s="1192"/>
      <c r="O76" s="355"/>
      <c r="P76" s="355"/>
      <c r="Q76" s="355"/>
      <c r="R76" s="355"/>
      <c r="V76" s="2761"/>
      <c r="W76" s="652">
        <v>1</v>
      </c>
      <c r="X76" s="652">
        <v>1</v>
      </c>
      <c r="Y76" s="652">
        <v>1</v>
      </c>
      <c r="Z76" s="652"/>
      <c r="AA76" s="652"/>
      <c r="AB76" s="652"/>
      <c r="AC76" s="652"/>
      <c r="AD76" s="652"/>
      <c r="AE76" s="652"/>
      <c r="AF76" s="652"/>
      <c r="AG76" s="652"/>
      <c r="BC76" s="796"/>
      <c r="BE76" s="797"/>
    </row>
    <row r="77" spans="1:57" hidden="1" outlineLevel="1" x14ac:dyDescent="0.25">
      <c r="B77" s="1580"/>
      <c r="C77" s="376"/>
      <c r="D77" s="2761"/>
      <c r="E77" s="2766"/>
      <c r="F77" s="2747" t="str">
        <f t="shared" si="16"/>
        <v>ECM Continuous Fan ER2 - SF</v>
      </c>
      <c r="G77" s="2747"/>
      <c r="H77" s="2747"/>
      <c r="I77" s="2001">
        <v>1</v>
      </c>
      <c r="J77" s="859"/>
      <c r="K77" s="812"/>
      <c r="L77" s="1325"/>
      <c r="M77" s="355"/>
      <c r="N77" s="1192"/>
      <c r="O77" s="355"/>
      <c r="P77" s="355"/>
      <c r="Q77" s="355"/>
      <c r="R77" s="355"/>
      <c r="V77" s="2761"/>
      <c r="W77" s="858">
        <v>1</v>
      </c>
      <c r="X77" s="858">
        <v>1</v>
      </c>
      <c r="Y77" s="858">
        <v>1</v>
      </c>
      <c r="Z77" s="858"/>
      <c r="AA77" s="858"/>
      <c r="AB77" s="858"/>
      <c r="AC77" s="858"/>
      <c r="AD77" s="858"/>
      <c r="AE77" s="858"/>
      <c r="AF77" s="858"/>
      <c r="AG77" s="858"/>
      <c r="BC77" s="796"/>
      <c r="BE77" s="797"/>
    </row>
    <row r="78" spans="1:57" ht="16.5" hidden="1" customHeight="1" outlineLevel="1" x14ac:dyDescent="0.25">
      <c r="B78" s="1580"/>
      <c r="C78" s="376"/>
      <c r="D78" s="2761"/>
      <c r="E78" s="2766"/>
      <c r="F78" s="2747" t="str">
        <f t="shared" si="16"/>
        <v>ECM Continuous Fan ER1 - MF</v>
      </c>
      <c r="G78" s="2747"/>
      <c r="H78" s="2747"/>
      <c r="I78" s="1233">
        <v>1</v>
      </c>
      <c r="J78" s="856"/>
      <c r="K78" s="812"/>
      <c r="L78" s="1325"/>
      <c r="M78" s="355"/>
      <c r="N78" s="1192"/>
      <c r="O78" s="355"/>
      <c r="P78" s="355"/>
      <c r="Q78" s="355"/>
      <c r="R78" s="355"/>
      <c r="V78" s="2761"/>
      <c r="W78" s="652">
        <v>1</v>
      </c>
      <c r="X78" s="652">
        <v>1</v>
      </c>
      <c r="Y78" s="652">
        <v>1</v>
      </c>
      <c r="Z78" s="652"/>
      <c r="AA78" s="652"/>
      <c r="AB78" s="652"/>
      <c r="AC78" s="652"/>
      <c r="AD78" s="652"/>
      <c r="AE78" s="652"/>
      <c r="AF78" s="652"/>
      <c r="AG78" s="652"/>
      <c r="BC78" s="796"/>
      <c r="BE78" s="797"/>
    </row>
    <row r="79" spans="1:57" ht="15.75" hidden="1" outlineLevel="1" thickBot="1" x14ac:dyDescent="0.3">
      <c r="B79" s="1339"/>
      <c r="C79" s="329"/>
      <c r="D79" s="2762"/>
      <c r="E79" s="2767"/>
      <c r="F79" s="2748" t="str">
        <f t="shared" si="16"/>
        <v>ECM Continuous Fan ER2 - MF</v>
      </c>
      <c r="G79" s="2748"/>
      <c r="H79" s="2748"/>
      <c r="I79" s="2002">
        <v>1</v>
      </c>
      <c r="J79" s="861"/>
      <c r="K79" s="815"/>
      <c r="L79" s="1325"/>
      <c r="M79" s="355"/>
      <c r="N79" s="1192"/>
      <c r="O79" s="355"/>
      <c r="P79" s="355"/>
      <c r="Q79" s="355"/>
      <c r="R79" s="355"/>
      <c r="V79" s="2762"/>
      <c r="W79" s="860">
        <v>1</v>
      </c>
      <c r="X79" s="860">
        <v>1</v>
      </c>
      <c r="Y79" s="860">
        <v>1</v>
      </c>
      <c r="Z79" s="860"/>
      <c r="AA79" s="860"/>
      <c r="AB79" s="860"/>
      <c r="AC79" s="860"/>
      <c r="AD79" s="860"/>
      <c r="AE79" s="860"/>
      <c r="AF79" s="860"/>
      <c r="AG79" s="860"/>
      <c r="BC79" s="796"/>
      <c r="BE79" s="797"/>
    </row>
    <row r="80" spans="1:57" ht="18" hidden="1" customHeight="1" outlineLevel="1" x14ac:dyDescent="0.25">
      <c r="B80" s="1580"/>
      <c r="C80" s="359"/>
      <c r="D80" s="2760" t="str">
        <f>N6</f>
        <v>EUL</v>
      </c>
      <c r="E80" s="2765" t="s">
        <v>1200</v>
      </c>
      <c r="F80" s="2746" t="str">
        <f t="shared" ref="F80:F91" si="17">E7</f>
        <v>ECM Auto Fan ROF-SF</v>
      </c>
      <c r="G80" s="2746"/>
      <c r="H80" s="2746"/>
      <c r="I80" s="2003">
        <v>20</v>
      </c>
      <c r="J80" s="856"/>
      <c r="K80" s="863" t="s">
        <v>37</v>
      </c>
      <c r="L80" s="1325"/>
      <c r="M80" s="355"/>
      <c r="N80" s="1192"/>
      <c r="O80" s="355"/>
      <c r="P80" s="355"/>
      <c r="Q80" s="355"/>
      <c r="R80" s="355"/>
      <c r="V80" s="2760" t="str">
        <f>AF6</f>
        <v>-</v>
      </c>
      <c r="W80" s="862">
        <v>20</v>
      </c>
      <c r="X80" s="862">
        <v>20</v>
      </c>
      <c r="Y80" s="862">
        <v>20</v>
      </c>
      <c r="Z80" s="862"/>
      <c r="AA80" s="862"/>
      <c r="AB80" s="862"/>
      <c r="AC80" s="862"/>
      <c r="AD80" s="862"/>
      <c r="AE80" s="862"/>
      <c r="AF80" s="862"/>
      <c r="AG80" s="862"/>
      <c r="BC80" s="796"/>
      <c r="BE80" s="797"/>
    </row>
    <row r="81" spans="2:57" ht="18" hidden="1" customHeight="1" outlineLevel="1" x14ac:dyDescent="0.25">
      <c r="B81" s="1580"/>
      <c r="C81" s="359"/>
      <c r="D81" s="2761"/>
      <c r="E81" s="2766"/>
      <c r="F81" s="2747" t="str">
        <f t="shared" si="17"/>
        <v>ECM Auto Fan ROF-MF</v>
      </c>
      <c r="G81" s="2747"/>
      <c r="H81" s="2747"/>
      <c r="I81" s="2004">
        <v>20</v>
      </c>
      <c r="J81" s="856"/>
      <c r="K81" s="853" t="s">
        <v>37</v>
      </c>
      <c r="L81" s="1325"/>
      <c r="M81" s="355"/>
      <c r="N81" s="1192"/>
      <c r="O81" s="355"/>
      <c r="P81" s="355"/>
      <c r="Q81" s="355"/>
      <c r="R81" s="355"/>
      <c r="V81" s="2761"/>
      <c r="W81" s="864">
        <v>20</v>
      </c>
      <c r="X81" s="864">
        <v>20</v>
      </c>
      <c r="Y81" s="864">
        <v>20</v>
      </c>
      <c r="Z81" s="864"/>
      <c r="AA81" s="864"/>
      <c r="AB81" s="864"/>
      <c r="AC81" s="864"/>
      <c r="AD81" s="864"/>
      <c r="AE81" s="864"/>
      <c r="AF81" s="864"/>
      <c r="AG81" s="864"/>
      <c r="BC81" s="796"/>
      <c r="BE81" s="797"/>
    </row>
    <row r="82" spans="2:57" ht="18" hidden="1" customHeight="1" outlineLevel="1" x14ac:dyDescent="0.25">
      <c r="B82" s="1580"/>
      <c r="C82" s="359"/>
      <c r="D82" s="2761"/>
      <c r="E82" s="2766"/>
      <c r="F82" s="2747" t="str">
        <f t="shared" si="17"/>
        <v>ECM Auto Fan ER1 - SF</v>
      </c>
      <c r="G82" s="2747"/>
      <c r="H82" s="2747"/>
      <c r="I82" s="1565">
        <v>6</v>
      </c>
      <c r="J82" s="856"/>
      <c r="K82" s="857" t="s">
        <v>37</v>
      </c>
      <c r="L82" s="1325"/>
      <c r="M82" s="355"/>
      <c r="N82" s="1192"/>
      <c r="O82" s="355"/>
      <c r="P82" s="355"/>
      <c r="Q82" s="355"/>
      <c r="R82" s="355"/>
      <c r="V82" s="2761"/>
      <c r="W82" s="865">
        <v>6</v>
      </c>
      <c r="X82" s="865">
        <v>6</v>
      </c>
      <c r="Y82" s="865">
        <v>6</v>
      </c>
      <c r="Z82" s="865"/>
      <c r="AA82" s="865"/>
      <c r="AB82" s="865"/>
      <c r="AC82" s="865"/>
      <c r="AD82" s="865"/>
      <c r="AE82" s="865"/>
      <c r="AF82" s="865"/>
      <c r="AG82" s="865"/>
      <c r="BC82" s="796"/>
      <c r="BE82" s="797"/>
    </row>
    <row r="83" spans="2:57" ht="18" hidden="1" customHeight="1" outlineLevel="1" x14ac:dyDescent="0.25">
      <c r="B83" s="1580"/>
      <c r="C83" s="359"/>
      <c r="D83" s="2761"/>
      <c r="E83" s="2766"/>
      <c r="F83" s="2747" t="str">
        <f t="shared" si="17"/>
        <v>ECM Auto Fan ER2 - SF</v>
      </c>
      <c r="G83" s="2747"/>
      <c r="H83" s="2747"/>
      <c r="I83" s="1565">
        <v>12</v>
      </c>
      <c r="J83" s="856"/>
      <c r="K83" s="812" t="s">
        <v>37</v>
      </c>
      <c r="L83" s="1325"/>
      <c r="M83" s="355"/>
      <c r="N83" s="1192"/>
      <c r="O83" s="355"/>
      <c r="P83" s="355"/>
      <c r="Q83" s="355"/>
      <c r="R83" s="355"/>
      <c r="V83" s="2761"/>
      <c r="W83" s="865">
        <v>12</v>
      </c>
      <c r="X83" s="865">
        <v>12</v>
      </c>
      <c r="Y83" s="865">
        <v>12</v>
      </c>
      <c r="Z83" s="865"/>
      <c r="AA83" s="865"/>
      <c r="AB83" s="865"/>
      <c r="AC83" s="865"/>
      <c r="AD83" s="865"/>
      <c r="AE83" s="865"/>
      <c r="AF83" s="865"/>
      <c r="AG83" s="865"/>
      <c r="BC83" s="796"/>
      <c r="BE83" s="797"/>
    </row>
    <row r="84" spans="2:57" ht="18" hidden="1" customHeight="1" outlineLevel="1" x14ac:dyDescent="0.25">
      <c r="B84" s="1580"/>
      <c r="C84" s="359"/>
      <c r="D84" s="2761"/>
      <c r="E84" s="2766"/>
      <c r="F84" s="2747" t="str">
        <f t="shared" si="17"/>
        <v>ECM Auto Fan ER1 - MF</v>
      </c>
      <c r="G84" s="2747"/>
      <c r="H84" s="2747"/>
      <c r="I84" s="1565">
        <v>6</v>
      </c>
      <c r="J84" s="856"/>
      <c r="K84" s="812" t="s">
        <v>37</v>
      </c>
      <c r="L84" s="1325"/>
      <c r="M84" s="355"/>
      <c r="N84" s="1192"/>
      <c r="O84" s="355"/>
      <c r="P84" s="355"/>
      <c r="Q84" s="355"/>
      <c r="R84" s="355"/>
      <c r="V84" s="2761"/>
      <c r="W84" s="865">
        <v>6</v>
      </c>
      <c r="X84" s="865">
        <v>6</v>
      </c>
      <c r="Y84" s="865">
        <v>6</v>
      </c>
      <c r="Z84" s="865"/>
      <c r="AA84" s="865"/>
      <c r="AB84" s="865"/>
      <c r="AC84" s="865"/>
      <c r="AD84" s="865"/>
      <c r="AE84" s="865"/>
      <c r="AF84" s="865"/>
      <c r="AG84" s="865"/>
      <c r="BC84" s="796"/>
      <c r="BE84" s="797"/>
    </row>
    <row r="85" spans="2:57" ht="18" hidden="1" customHeight="1" outlineLevel="1" x14ac:dyDescent="0.25">
      <c r="B85" s="1580"/>
      <c r="C85" s="359"/>
      <c r="D85" s="2761"/>
      <c r="E85" s="2766"/>
      <c r="F85" s="2747" t="str">
        <f t="shared" si="17"/>
        <v>ECM Auto Fan ER2 - MF</v>
      </c>
      <c r="G85" s="2747"/>
      <c r="H85" s="2747"/>
      <c r="I85" s="1565">
        <v>12</v>
      </c>
      <c r="J85" s="856"/>
      <c r="K85" s="812" t="s">
        <v>37</v>
      </c>
      <c r="L85" s="1325"/>
      <c r="M85" s="355"/>
      <c r="N85" s="1192"/>
      <c r="O85" s="355"/>
      <c r="P85" s="355"/>
      <c r="Q85" s="355"/>
      <c r="R85" s="355"/>
      <c r="V85" s="2761"/>
      <c r="W85" s="865">
        <v>12</v>
      </c>
      <c r="X85" s="865">
        <v>12</v>
      </c>
      <c r="Y85" s="865">
        <v>12</v>
      </c>
      <c r="Z85" s="865"/>
      <c r="AA85" s="865"/>
      <c r="AB85" s="865"/>
      <c r="AC85" s="865"/>
      <c r="AD85" s="865"/>
      <c r="AE85" s="865"/>
      <c r="AF85" s="865"/>
      <c r="AG85" s="865"/>
      <c r="BC85" s="796"/>
      <c r="BE85" s="797"/>
    </row>
    <row r="86" spans="2:57" hidden="1" outlineLevel="1" x14ac:dyDescent="0.25">
      <c r="B86" s="1580"/>
      <c r="C86" s="375"/>
      <c r="D86" s="2761"/>
      <c r="E86" s="2766"/>
      <c r="F86" s="2747" t="str">
        <f t="shared" si="17"/>
        <v>ECM Continuous Fan ROF- SF</v>
      </c>
      <c r="G86" s="2747"/>
      <c r="H86" s="2747"/>
      <c r="I86" s="1565">
        <v>20</v>
      </c>
      <c r="J86" s="856"/>
      <c r="K86" s="812" t="s">
        <v>37</v>
      </c>
      <c r="L86" s="1325"/>
      <c r="M86" s="355"/>
      <c r="N86" s="1192"/>
      <c r="O86" s="2669" t="s">
        <v>659</v>
      </c>
      <c r="P86" s="2694"/>
      <c r="Q86" s="2694"/>
      <c r="R86" s="2709"/>
      <c r="V86" s="2761"/>
      <c r="W86" s="865">
        <v>20</v>
      </c>
      <c r="X86" s="865">
        <v>20</v>
      </c>
      <c r="Y86" s="865">
        <v>20</v>
      </c>
      <c r="Z86" s="865"/>
      <c r="AA86" s="865"/>
      <c r="AB86" s="865"/>
      <c r="AC86" s="865"/>
      <c r="AD86" s="865"/>
      <c r="AE86" s="865"/>
      <c r="AF86" s="865"/>
      <c r="AG86" s="865"/>
      <c r="BC86" s="796"/>
      <c r="BE86" s="797"/>
    </row>
    <row r="87" spans="2:57" hidden="1" outlineLevel="1" x14ac:dyDescent="0.25">
      <c r="B87" s="1580"/>
      <c r="C87" s="375"/>
      <c r="D87" s="2761"/>
      <c r="E87" s="2766"/>
      <c r="F87" s="2747" t="str">
        <f t="shared" si="17"/>
        <v>ECM Continuous Fan ROF- MF</v>
      </c>
      <c r="G87" s="2747"/>
      <c r="H87" s="2747"/>
      <c r="I87" s="1565">
        <v>20</v>
      </c>
      <c r="J87" s="856"/>
      <c r="K87" s="812" t="s">
        <v>37</v>
      </c>
      <c r="L87" s="1325"/>
      <c r="M87" s="355"/>
      <c r="N87" s="1192"/>
      <c r="O87" s="2005"/>
      <c r="P87" s="866"/>
      <c r="Q87" s="1659" t="s">
        <v>3397</v>
      </c>
      <c r="R87" s="1645" t="s">
        <v>3361</v>
      </c>
      <c r="V87" s="2761"/>
      <c r="W87" s="865">
        <v>20</v>
      </c>
      <c r="X87" s="865">
        <v>20</v>
      </c>
      <c r="Y87" s="865">
        <v>20</v>
      </c>
      <c r="Z87" s="865"/>
      <c r="AA87" s="865"/>
      <c r="AB87" s="865"/>
      <c r="AC87" s="865"/>
      <c r="AD87" s="865"/>
      <c r="AE87" s="865"/>
      <c r="AF87" s="865"/>
      <c r="AG87" s="865"/>
      <c r="BC87" s="796"/>
      <c r="BE87" s="797"/>
    </row>
    <row r="88" spans="2:57" hidden="1" outlineLevel="1" x14ac:dyDescent="0.25">
      <c r="B88" s="1580"/>
      <c r="C88" s="376"/>
      <c r="D88" s="2761"/>
      <c r="E88" s="2766"/>
      <c r="F88" s="2747" t="str">
        <f t="shared" si="17"/>
        <v>ECM Continuous Fan ER1 - SF</v>
      </c>
      <c r="G88" s="2747"/>
      <c r="H88" s="2747"/>
      <c r="I88" s="1565">
        <v>6</v>
      </c>
      <c r="J88" s="856"/>
      <c r="K88" s="812" t="s">
        <v>37</v>
      </c>
      <c r="L88" s="1325"/>
      <c r="M88" s="355"/>
      <c r="N88" s="1192"/>
      <c r="O88" s="2768" t="s">
        <v>1882</v>
      </c>
      <c r="P88" s="2769"/>
      <c r="Q88" s="1561">
        <f>($Q$94/1+R88)-$Q$93/((1+$Q$96)^($Q$97-1))</f>
        <v>74.327224020150311</v>
      </c>
      <c r="R88" s="867">
        <v>0</v>
      </c>
      <c r="V88" s="2761"/>
      <c r="W88" s="865">
        <v>6</v>
      </c>
      <c r="X88" s="865">
        <v>6</v>
      </c>
      <c r="Y88" s="865">
        <v>6</v>
      </c>
      <c r="Z88" s="865"/>
      <c r="AA88" s="865"/>
      <c r="AB88" s="865"/>
      <c r="AC88" s="865"/>
      <c r="AD88" s="865"/>
      <c r="AE88" s="865"/>
      <c r="AF88" s="865"/>
      <c r="AG88" s="865"/>
      <c r="BC88" s="796"/>
      <c r="BE88" s="797"/>
    </row>
    <row r="89" spans="2:57" hidden="1" outlineLevel="1" x14ac:dyDescent="0.25">
      <c r="B89" s="1580"/>
      <c r="C89" s="376"/>
      <c r="D89" s="2761"/>
      <c r="E89" s="2766"/>
      <c r="F89" s="2747" t="str">
        <f t="shared" si="17"/>
        <v>ECM Continuous Fan ER2 - SF</v>
      </c>
      <c r="G89" s="2747"/>
      <c r="H89" s="2747"/>
      <c r="I89" s="2006">
        <v>12</v>
      </c>
      <c r="J89" s="859"/>
      <c r="K89" s="812" t="s">
        <v>37</v>
      </c>
      <c r="L89" s="1325"/>
      <c r="M89" s="355"/>
      <c r="N89" s="1192"/>
      <c r="O89" s="2773"/>
      <c r="P89" s="2773"/>
      <c r="Q89" s="869"/>
      <c r="R89" s="870"/>
      <c r="V89" s="2761"/>
      <c r="W89" s="868">
        <v>12</v>
      </c>
      <c r="X89" s="868">
        <v>12</v>
      </c>
      <c r="Y89" s="868">
        <v>12</v>
      </c>
      <c r="Z89" s="868"/>
      <c r="AA89" s="868"/>
      <c r="AB89" s="868"/>
      <c r="AC89" s="868"/>
      <c r="AD89" s="868"/>
      <c r="AE89" s="868"/>
      <c r="AF89" s="868"/>
      <c r="AG89" s="868"/>
      <c r="BC89" s="796"/>
      <c r="BE89" s="797"/>
    </row>
    <row r="90" spans="2:57" ht="16.5" hidden="1" customHeight="1" outlineLevel="1" x14ac:dyDescent="0.25">
      <c r="B90" s="1580"/>
      <c r="C90" s="376"/>
      <c r="D90" s="2761"/>
      <c r="E90" s="2766"/>
      <c r="F90" s="2747" t="str">
        <f t="shared" si="17"/>
        <v>ECM Continuous Fan ER1 - MF</v>
      </c>
      <c r="G90" s="2747"/>
      <c r="H90" s="2747"/>
      <c r="I90" s="1565">
        <v>6</v>
      </c>
      <c r="J90" s="856"/>
      <c r="K90" s="812" t="s">
        <v>37</v>
      </c>
      <c r="L90" s="1325"/>
      <c r="M90" s="355"/>
      <c r="N90" s="1192"/>
      <c r="O90" s="333"/>
      <c r="P90" s="333"/>
      <c r="Q90" s="333"/>
      <c r="R90" s="333"/>
      <c r="V90" s="2761"/>
      <c r="W90" s="865">
        <v>6</v>
      </c>
      <c r="X90" s="865">
        <v>6</v>
      </c>
      <c r="Y90" s="865">
        <v>6</v>
      </c>
      <c r="Z90" s="865"/>
      <c r="AA90" s="865"/>
      <c r="AB90" s="865"/>
      <c r="AC90" s="865"/>
      <c r="AD90" s="865"/>
      <c r="AE90" s="865"/>
      <c r="AF90" s="865"/>
      <c r="AG90" s="865"/>
      <c r="BC90" s="796"/>
      <c r="BE90" s="797"/>
    </row>
    <row r="91" spans="2:57" ht="15.75" hidden="1" outlineLevel="1" thickBot="1" x14ac:dyDescent="0.3">
      <c r="B91" s="1339"/>
      <c r="C91" s="329"/>
      <c r="D91" s="2762"/>
      <c r="E91" s="2767"/>
      <c r="F91" s="2748" t="str">
        <f t="shared" si="17"/>
        <v>ECM Continuous Fan ER2 - MF</v>
      </c>
      <c r="G91" s="2748"/>
      <c r="H91" s="2748"/>
      <c r="I91" s="2007">
        <v>12</v>
      </c>
      <c r="J91" s="861"/>
      <c r="K91" s="815" t="s">
        <v>37</v>
      </c>
      <c r="L91" s="1325"/>
      <c r="M91" s="355"/>
      <c r="N91" s="1192"/>
      <c r="O91" s="333"/>
      <c r="P91" s="333"/>
      <c r="Q91" s="333"/>
      <c r="R91" s="333"/>
      <c r="V91" s="2762"/>
      <c r="W91" s="871">
        <v>12</v>
      </c>
      <c r="X91" s="871">
        <v>12</v>
      </c>
      <c r="Y91" s="871">
        <v>12</v>
      </c>
      <c r="Z91" s="871"/>
      <c r="AA91" s="871"/>
      <c r="AB91" s="871"/>
      <c r="AC91" s="871"/>
      <c r="AD91" s="871"/>
      <c r="AE91" s="871"/>
      <c r="AF91" s="871"/>
      <c r="AG91" s="871"/>
      <c r="BC91" s="796"/>
      <c r="BE91" s="797"/>
    </row>
    <row r="92" spans="2:57" ht="18" hidden="1" customHeight="1" outlineLevel="1" x14ac:dyDescent="0.25">
      <c r="B92" s="1580"/>
      <c r="C92" s="359"/>
      <c r="D92" s="2760" t="str">
        <f>O6</f>
        <v>Inc. Cost</v>
      </c>
      <c r="E92" s="2765" t="s">
        <v>962</v>
      </c>
      <c r="F92" s="2746" t="str">
        <f t="shared" ref="F92:F103" si="18">E7</f>
        <v>ECM Auto Fan ROF-SF</v>
      </c>
      <c r="G92" s="2746"/>
      <c r="H92" s="2746"/>
      <c r="I92" s="2008">
        <f>$R$88</f>
        <v>0</v>
      </c>
      <c r="J92" s="856"/>
      <c r="K92" s="863" t="s">
        <v>37</v>
      </c>
      <c r="L92" s="1325"/>
      <c r="M92" s="2009"/>
      <c r="N92" s="1192"/>
      <c r="O92" s="2722" t="s">
        <v>1201</v>
      </c>
      <c r="P92" s="2770"/>
      <c r="Q92" s="2726"/>
      <c r="R92" s="333"/>
      <c r="V92" s="2760" t="str">
        <f>AG6</f>
        <v>-</v>
      </c>
      <c r="W92" s="872">
        <f t="shared" ref="W92:Y93" si="19">$R$88</f>
        <v>0</v>
      </c>
      <c r="X92" s="872">
        <f t="shared" si="19"/>
        <v>0</v>
      </c>
      <c r="Y92" s="872">
        <f t="shared" si="19"/>
        <v>0</v>
      </c>
      <c r="Z92" s="872"/>
      <c r="AA92" s="872"/>
      <c r="AB92" s="872"/>
      <c r="AC92" s="872"/>
      <c r="AD92" s="872"/>
      <c r="AE92" s="872"/>
      <c r="AF92" s="872"/>
      <c r="AG92" s="872"/>
      <c r="BC92" s="796"/>
      <c r="BE92" s="797"/>
    </row>
    <row r="93" spans="2:57" ht="18" hidden="1" customHeight="1" outlineLevel="1" x14ac:dyDescent="0.25">
      <c r="B93" s="1580"/>
      <c r="C93" s="359"/>
      <c r="D93" s="2761"/>
      <c r="E93" s="2766"/>
      <c r="F93" s="2747" t="str">
        <f t="shared" si="18"/>
        <v>ECM Auto Fan ROF-MF</v>
      </c>
      <c r="G93" s="2747"/>
      <c r="H93" s="2747"/>
      <c r="I93" s="2010">
        <f>$R$88</f>
        <v>0</v>
      </c>
      <c r="J93" s="856"/>
      <c r="K93" s="853" t="s">
        <v>37</v>
      </c>
      <c r="L93" s="1325"/>
      <c r="M93" s="355"/>
      <c r="N93" s="1192"/>
      <c r="O93" s="2763" t="s">
        <v>1202</v>
      </c>
      <c r="P93" s="2764"/>
      <c r="Q93" s="874">
        <f>Q94*(1+Q95)^Q97</f>
        <v>534.92714915040006</v>
      </c>
      <c r="R93" s="333"/>
      <c r="V93" s="2761"/>
      <c r="W93" s="873">
        <f t="shared" si="19"/>
        <v>0</v>
      </c>
      <c r="X93" s="873">
        <f t="shared" si="19"/>
        <v>0</v>
      </c>
      <c r="Y93" s="873">
        <f t="shared" si="19"/>
        <v>0</v>
      </c>
      <c r="Z93" s="873"/>
      <c r="AA93" s="873"/>
      <c r="AB93" s="873"/>
      <c r="AC93" s="873"/>
      <c r="AD93" s="873"/>
      <c r="AE93" s="873"/>
      <c r="AF93" s="873"/>
      <c r="AG93" s="873"/>
      <c r="BC93" s="796"/>
      <c r="BE93" s="797"/>
    </row>
    <row r="94" spans="2:57" ht="18" hidden="1" customHeight="1" outlineLevel="1" x14ac:dyDescent="0.25">
      <c r="B94" s="1580"/>
      <c r="C94" s="359"/>
      <c r="D94" s="2761"/>
      <c r="E94" s="2766"/>
      <c r="F94" s="2747" t="str">
        <f t="shared" si="18"/>
        <v>ECM Auto Fan ER1 - SF</v>
      </c>
      <c r="G94" s="2747"/>
      <c r="H94" s="2747"/>
      <c r="I94" s="1566">
        <f>$Q$88</f>
        <v>74.327224020150311</v>
      </c>
      <c r="J94" s="856"/>
      <c r="K94" s="857" t="s">
        <v>37</v>
      </c>
      <c r="L94" s="1325"/>
      <c r="M94" s="355"/>
      <c r="N94" s="1192"/>
      <c r="O94" s="2763" t="s">
        <v>1203</v>
      </c>
      <c r="P94" s="2764"/>
      <c r="Q94" s="876">
        <v>475</v>
      </c>
      <c r="R94" s="2011" t="s">
        <v>1204</v>
      </c>
      <c r="V94" s="2761"/>
      <c r="W94" s="875">
        <f>$Q$88</f>
        <v>74.327224020150311</v>
      </c>
      <c r="X94" s="875">
        <f>$Q$88</f>
        <v>74.327224020150311</v>
      </c>
      <c r="Y94" s="875">
        <f>$Q$88</f>
        <v>74.327224020150311</v>
      </c>
      <c r="Z94" s="875"/>
      <c r="AA94" s="875"/>
      <c r="AB94" s="875"/>
      <c r="AC94" s="875"/>
      <c r="AD94" s="875"/>
      <c r="AE94" s="875"/>
      <c r="AF94" s="875"/>
      <c r="AG94" s="875"/>
      <c r="BC94" s="796"/>
      <c r="BE94" s="797"/>
    </row>
    <row r="95" spans="2:57" ht="18" hidden="1" customHeight="1" outlineLevel="1" x14ac:dyDescent="0.25">
      <c r="B95" s="1580"/>
      <c r="C95" s="359"/>
      <c r="D95" s="2761"/>
      <c r="E95" s="2766"/>
      <c r="F95" s="2747" t="str">
        <f t="shared" si="18"/>
        <v>ECM Auto Fan ER2 - SF</v>
      </c>
      <c r="G95" s="2747"/>
      <c r="H95" s="2747"/>
      <c r="I95" s="1566"/>
      <c r="J95" s="856"/>
      <c r="K95" s="812" t="s">
        <v>37</v>
      </c>
      <c r="L95" s="1325"/>
      <c r="M95" s="355"/>
      <c r="N95" s="1192"/>
      <c r="O95" s="2763" t="s">
        <v>1205</v>
      </c>
      <c r="P95" s="2764"/>
      <c r="Q95" s="877">
        <v>0.02</v>
      </c>
      <c r="R95" s="333"/>
      <c r="V95" s="2761"/>
      <c r="W95" s="875"/>
      <c r="X95" s="875"/>
      <c r="Y95" s="875"/>
      <c r="Z95" s="875"/>
      <c r="AA95" s="875"/>
      <c r="AB95" s="875"/>
      <c r="AC95" s="875"/>
      <c r="AD95" s="875"/>
      <c r="AE95" s="875"/>
      <c r="AF95" s="875"/>
      <c r="AG95" s="875"/>
      <c r="BC95" s="796"/>
      <c r="BE95" s="797"/>
    </row>
    <row r="96" spans="2:57" ht="18" hidden="1" customHeight="1" outlineLevel="1" x14ac:dyDescent="0.25">
      <c r="B96" s="1580"/>
      <c r="C96" s="359"/>
      <c r="D96" s="2761"/>
      <c r="E96" s="2766"/>
      <c r="F96" s="2747" t="str">
        <f t="shared" si="18"/>
        <v>ECM Auto Fan ER1 - MF</v>
      </c>
      <c r="G96" s="2747"/>
      <c r="H96" s="2747"/>
      <c r="I96" s="1566">
        <f>$Q$88</f>
        <v>74.327224020150311</v>
      </c>
      <c r="J96" s="856"/>
      <c r="K96" s="812" t="s">
        <v>37</v>
      </c>
      <c r="L96" s="1325"/>
      <c r="M96" s="2012"/>
      <c r="N96" s="1192"/>
      <c r="O96" s="2774" t="s">
        <v>1206</v>
      </c>
      <c r="P96" s="2775"/>
      <c r="Q96" s="877">
        <v>5.9499999999999997E-2</v>
      </c>
      <c r="R96" s="333"/>
      <c r="V96" s="2761"/>
      <c r="W96" s="875">
        <f>$Q$88</f>
        <v>74.327224020150311</v>
      </c>
      <c r="X96" s="875">
        <f>$Q$88</f>
        <v>74.327224020150311</v>
      </c>
      <c r="Y96" s="875">
        <f>$Q$88</f>
        <v>74.327224020150311</v>
      </c>
      <c r="Z96" s="875"/>
      <c r="AA96" s="875"/>
      <c r="AB96" s="875"/>
      <c r="AC96" s="875"/>
      <c r="AD96" s="875"/>
      <c r="AE96" s="875"/>
      <c r="AF96" s="875"/>
      <c r="AG96" s="875"/>
      <c r="BC96" s="796"/>
      <c r="BE96" s="797"/>
    </row>
    <row r="97" spans="1:57" ht="18" hidden="1" customHeight="1" outlineLevel="1" x14ac:dyDescent="0.25">
      <c r="B97" s="1580"/>
      <c r="C97" s="359"/>
      <c r="D97" s="2761"/>
      <c r="E97" s="2766"/>
      <c r="F97" s="2747" t="str">
        <f t="shared" si="18"/>
        <v>ECM Auto Fan ER2 - MF</v>
      </c>
      <c r="G97" s="2747"/>
      <c r="H97" s="2747"/>
      <c r="I97" s="1566"/>
      <c r="J97" s="856"/>
      <c r="K97" s="812" t="s">
        <v>37</v>
      </c>
      <c r="L97" s="1325"/>
      <c r="M97" s="355"/>
      <c r="N97" s="1192"/>
      <c r="O97" s="878" t="s">
        <v>1207</v>
      </c>
      <c r="P97" s="879"/>
      <c r="Q97" s="876">
        <v>6</v>
      </c>
      <c r="R97" s="333"/>
      <c r="V97" s="2761"/>
      <c r="W97" s="875"/>
      <c r="X97" s="875"/>
      <c r="Y97" s="875"/>
      <c r="Z97" s="875"/>
      <c r="AA97" s="875"/>
      <c r="AB97" s="875"/>
      <c r="AC97" s="875"/>
      <c r="AD97" s="875"/>
      <c r="AE97" s="875"/>
      <c r="AF97" s="875"/>
      <c r="AG97" s="875"/>
      <c r="BC97" s="796"/>
      <c r="BE97" s="797"/>
    </row>
    <row r="98" spans="1:57" ht="15" hidden="1" customHeight="1" outlineLevel="1" x14ac:dyDescent="0.25">
      <c r="B98" s="1580"/>
      <c r="C98" s="375"/>
      <c r="D98" s="2761"/>
      <c r="E98" s="2766"/>
      <c r="F98" s="2747" t="str">
        <f t="shared" si="18"/>
        <v>ECM Continuous Fan ROF- SF</v>
      </c>
      <c r="G98" s="2747"/>
      <c r="H98" s="2747"/>
      <c r="I98" s="1566">
        <f>$R$88</f>
        <v>0</v>
      </c>
      <c r="J98" s="856"/>
      <c r="K98" s="812" t="s">
        <v>37</v>
      </c>
      <c r="L98" s="1325"/>
      <c r="M98" s="355"/>
      <c r="N98" s="1192"/>
      <c r="V98" s="2761"/>
      <c r="W98" s="875">
        <f t="shared" ref="W98:Y99" si="20">$R$88</f>
        <v>0</v>
      </c>
      <c r="X98" s="875">
        <f t="shared" si="20"/>
        <v>0</v>
      </c>
      <c r="Y98" s="875">
        <f t="shared" si="20"/>
        <v>0</v>
      </c>
      <c r="Z98" s="875"/>
      <c r="AA98" s="875"/>
      <c r="AB98" s="875"/>
      <c r="AC98" s="875"/>
      <c r="AD98" s="875"/>
      <c r="AE98" s="875"/>
      <c r="AF98" s="875"/>
      <c r="AG98" s="875"/>
      <c r="BC98" s="796"/>
      <c r="BE98" s="797"/>
    </row>
    <row r="99" spans="1:57" hidden="1" outlineLevel="1" x14ac:dyDescent="0.25">
      <c r="B99" s="1580"/>
      <c r="C99" s="375"/>
      <c r="D99" s="2761"/>
      <c r="E99" s="2766"/>
      <c r="F99" s="2747" t="str">
        <f t="shared" si="18"/>
        <v>ECM Continuous Fan ROF- MF</v>
      </c>
      <c r="G99" s="2747"/>
      <c r="H99" s="2747"/>
      <c r="I99" s="1566">
        <f>$R$88</f>
        <v>0</v>
      </c>
      <c r="J99" s="856"/>
      <c r="K99" s="812" t="s">
        <v>37</v>
      </c>
      <c r="L99" s="1325"/>
      <c r="M99" s="355"/>
      <c r="N99" s="1192"/>
      <c r="V99" s="2761"/>
      <c r="W99" s="875">
        <f t="shared" si="20"/>
        <v>0</v>
      </c>
      <c r="X99" s="875">
        <f t="shared" si="20"/>
        <v>0</v>
      </c>
      <c r="Y99" s="875">
        <f t="shared" si="20"/>
        <v>0</v>
      </c>
      <c r="Z99" s="875"/>
      <c r="AA99" s="875"/>
      <c r="AB99" s="875"/>
      <c r="AC99" s="875"/>
      <c r="AD99" s="875"/>
      <c r="AE99" s="875"/>
      <c r="AF99" s="875"/>
      <c r="AG99" s="875"/>
      <c r="BC99" s="796"/>
      <c r="BE99" s="797"/>
    </row>
    <row r="100" spans="1:57" hidden="1" outlineLevel="1" x14ac:dyDescent="0.25">
      <c r="B100" s="1580"/>
      <c r="C100" s="376"/>
      <c r="D100" s="2761"/>
      <c r="E100" s="2766"/>
      <c r="F100" s="2747" t="str">
        <f t="shared" si="18"/>
        <v>ECM Continuous Fan ER1 - SF</v>
      </c>
      <c r="G100" s="2747"/>
      <c r="H100" s="2747"/>
      <c r="I100" s="1566">
        <f>$Q$88</f>
        <v>74.327224020150311</v>
      </c>
      <c r="J100" s="856"/>
      <c r="K100" s="812" t="s">
        <v>37</v>
      </c>
      <c r="L100" s="1325"/>
      <c r="M100" s="355"/>
      <c r="N100" s="1192"/>
      <c r="V100" s="2761"/>
      <c r="W100" s="875">
        <f>$Q$88</f>
        <v>74.327224020150311</v>
      </c>
      <c r="X100" s="875">
        <f>$Q$88</f>
        <v>74.327224020150311</v>
      </c>
      <c r="Y100" s="875">
        <f>$Q$88</f>
        <v>74.327224020150311</v>
      </c>
      <c r="Z100" s="875"/>
      <c r="AA100" s="875"/>
      <c r="AB100" s="875"/>
      <c r="AC100" s="875"/>
      <c r="AD100" s="875"/>
      <c r="AE100" s="875"/>
      <c r="AF100" s="875"/>
      <c r="AG100" s="875"/>
      <c r="BC100" s="796"/>
      <c r="BE100" s="797"/>
    </row>
    <row r="101" spans="1:57" hidden="1" outlineLevel="1" x14ac:dyDescent="0.25">
      <c r="B101" s="1580"/>
      <c r="C101" s="376"/>
      <c r="D101" s="2761"/>
      <c r="E101" s="2766"/>
      <c r="F101" s="2747" t="str">
        <f t="shared" si="18"/>
        <v>ECM Continuous Fan ER2 - SF</v>
      </c>
      <c r="G101" s="2747"/>
      <c r="H101" s="2747"/>
      <c r="I101" s="2013"/>
      <c r="J101" s="859"/>
      <c r="K101" s="812" t="s">
        <v>37</v>
      </c>
      <c r="L101" s="1325"/>
      <c r="M101" s="355"/>
      <c r="N101" s="1192"/>
      <c r="V101" s="2761"/>
      <c r="W101" s="880"/>
      <c r="X101" s="880"/>
      <c r="Y101" s="880"/>
      <c r="Z101" s="880"/>
      <c r="AA101" s="880"/>
      <c r="AB101" s="880"/>
      <c r="AC101" s="880"/>
      <c r="AD101" s="880"/>
      <c r="AE101" s="880"/>
      <c r="AF101" s="880"/>
      <c r="AG101" s="880"/>
      <c r="BC101" s="796"/>
      <c r="BE101" s="797"/>
    </row>
    <row r="102" spans="1:57" ht="16.5" hidden="1" customHeight="1" outlineLevel="1" x14ac:dyDescent="0.25">
      <c r="B102" s="1580"/>
      <c r="C102" s="376"/>
      <c r="D102" s="2761"/>
      <c r="E102" s="2766"/>
      <c r="F102" s="2747" t="str">
        <f t="shared" si="18"/>
        <v>ECM Continuous Fan ER1 - MF</v>
      </c>
      <c r="G102" s="2747"/>
      <c r="H102" s="2747"/>
      <c r="I102" s="1566">
        <f>$Q$88</f>
        <v>74.327224020150311</v>
      </c>
      <c r="J102" s="856"/>
      <c r="K102" s="812" t="s">
        <v>37</v>
      </c>
      <c r="L102" s="1325"/>
      <c r="M102" s="355"/>
      <c r="N102" s="1192"/>
      <c r="O102" s="355"/>
      <c r="P102" s="355"/>
      <c r="Q102" s="355"/>
      <c r="R102" s="355"/>
      <c r="V102" s="2761"/>
      <c r="W102" s="875">
        <f>$Q$88</f>
        <v>74.327224020150311</v>
      </c>
      <c r="X102" s="875">
        <f>$Q$88</f>
        <v>74.327224020150311</v>
      </c>
      <c r="Y102" s="875">
        <f>$Q$88</f>
        <v>74.327224020150311</v>
      </c>
      <c r="Z102" s="875"/>
      <c r="AA102" s="875"/>
      <c r="AB102" s="875"/>
      <c r="AC102" s="875"/>
      <c r="AD102" s="875"/>
      <c r="AE102" s="875"/>
      <c r="AF102" s="875"/>
      <c r="AG102" s="875"/>
      <c r="BC102" s="796"/>
      <c r="BE102" s="797"/>
    </row>
    <row r="103" spans="1:57" ht="15.75" hidden="1" outlineLevel="1" thickBot="1" x14ac:dyDescent="0.3">
      <c r="B103" s="1339"/>
      <c r="C103" s="329"/>
      <c r="D103" s="2762"/>
      <c r="E103" s="2767"/>
      <c r="F103" s="2748" t="str">
        <f t="shared" si="18"/>
        <v>ECM Continuous Fan ER2 - MF</v>
      </c>
      <c r="G103" s="2748"/>
      <c r="H103" s="2748"/>
      <c r="I103" s="2014"/>
      <c r="J103" s="861"/>
      <c r="K103" s="815" t="s">
        <v>37</v>
      </c>
      <c r="L103" s="1325"/>
      <c r="M103" s="355"/>
      <c r="N103" s="1192"/>
      <c r="O103" s="355"/>
      <c r="P103" s="355"/>
      <c r="Q103" s="355"/>
      <c r="R103" s="355"/>
      <c r="V103" s="2762"/>
      <c r="W103" s="881"/>
      <c r="X103" s="881"/>
      <c r="Y103" s="881"/>
      <c r="Z103" s="881"/>
      <c r="AA103" s="881"/>
      <c r="AB103" s="881"/>
      <c r="AC103" s="881"/>
      <c r="AD103" s="881"/>
      <c r="AE103" s="881"/>
      <c r="AF103" s="881"/>
      <c r="AG103" s="881"/>
      <c r="BC103" s="796"/>
      <c r="BE103" s="797"/>
    </row>
    <row r="104" spans="1:57" collapsed="1" x14ac:dyDescent="0.25">
      <c r="N104" s="455"/>
      <c r="BC104" s="796"/>
    </row>
    <row r="105" spans="1:57" x14ac:dyDescent="0.25">
      <c r="BC105" s="796"/>
    </row>
    <row r="106" spans="1:57" x14ac:dyDescent="0.25">
      <c r="B106" s="2639" t="s">
        <v>1208</v>
      </c>
      <c r="C106" s="2640"/>
      <c r="D106" s="2640"/>
      <c r="E106" s="2640"/>
      <c r="F106" s="2640"/>
      <c r="G106" s="2640"/>
      <c r="H106" s="2640"/>
      <c r="I106" s="2640"/>
      <c r="J106" s="2640"/>
      <c r="K106" s="2640"/>
      <c r="L106" s="2640"/>
      <c r="M106" s="2640"/>
      <c r="N106" s="2640"/>
      <c r="O106" s="2640"/>
      <c r="P106" s="2640"/>
      <c r="Q106" s="2734"/>
      <c r="V106" s="2639" t="str">
        <f>B106</f>
        <v>Central Air Conditioners</v>
      </c>
      <c r="W106" s="2640"/>
      <c r="X106" s="2640"/>
      <c r="Y106" s="2640"/>
      <c r="Z106" s="2640"/>
      <c r="AA106" s="2640"/>
      <c r="AB106" s="2640"/>
      <c r="AC106" s="2615"/>
      <c r="AD106" s="2615"/>
      <c r="AE106" s="2615"/>
      <c r="AF106" s="2615"/>
      <c r="AG106" s="2615"/>
      <c r="AH106" s="2616"/>
      <c r="BC106" s="796"/>
    </row>
    <row r="107" spans="1:57" x14ac:dyDescent="0.25">
      <c r="H107" s="455"/>
      <c r="I107" s="455"/>
      <c r="J107" s="455"/>
      <c r="K107" s="455"/>
      <c r="L107" s="455"/>
      <c r="M107" s="455"/>
      <c r="V107" s="65"/>
      <c r="W107" s="65"/>
      <c r="X107" s="65"/>
      <c r="Y107" s="65"/>
      <c r="Z107" s="65"/>
      <c r="BC107" s="796"/>
    </row>
    <row r="108" spans="1:57" x14ac:dyDescent="0.25">
      <c r="D108" s="456" t="s">
        <v>1209</v>
      </c>
      <c r="H108" s="455"/>
      <c r="I108" s="455"/>
      <c r="J108" s="455"/>
      <c r="K108" s="455"/>
      <c r="L108" s="455"/>
      <c r="M108" s="455"/>
      <c r="V108" s="65"/>
      <c r="W108" s="65"/>
      <c r="X108" s="65"/>
      <c r="Y108" s="65"/>
      <c r="Z108" s="65"/>
      <c r="BC108" s="796"/>
    </row>
    <row r="109" spans="1:57" s="65" customFormat="1" ht="30" x14ac:dyDescent="0.25">
      <c r="A109" s="785"/>
      <c r="B109" s="177"/>
      <c r="C109" s="1641" t="s">
        <v>17</v>
      </c>
      <c r="D109" s="1641" t="s">
        <v>662</v>
      </c>
      <c r="E109" s="1641" t="s">
        <v>19</v>
      </c>
      <c r="F109" s="1641" t="s">
        <v>20</v>
      </c>
      <c r="G109" s="1641" t="s">
        <v>21</v>
      </c>
      <c r="H109" s="1641" t="s">
        <v>22</v>
      </c>
      <c r="I109" s="1641" t="s">
        <v>23</v>
      </c>
      <c r="J109" s="1646" t="s">
        <v>24</v>
      </c>
      <c r="K109" s="1641" t="s">
        <v>25</v>
      </c>
      <c r="L109" s="1641" t="s">
        <v>1210</v>
      </c>
      <c r="M109" s="177"/>
      <c r="N109" s="177"/>
      <c r="O109" s="177"/>
      <c r="P109" s="177"/>
      <c r="Q109" s="177"/>
      <c r="R109" s="177"/>
      <c r="S109" s="177"/>
      <c r="T109" s="177"/>
      <c r="U109" s="177"/>
      <c r="V109" s="55" t="s">
        <v>27</v>
      </c>
      <c r="W109" s="56">
        <v>43252</v>
      </c>
      <c r="X109" s="56">
        <f>$X$6</f>
        <v>43465</v>
      </c>
      <c r="Y109" s="56">
        <f>$Y$6</f>
        <v>43800</v>
      </c>
      <c r="Z109" s="747">
        <f>$Z$6</f>
        <v>43862</v>
      </c>
      <c r="AA109" s="56" t="str">
        <f>$AA$6</f>
        <v>-</v>
      </c>
      <c r="AB109" s="56" t="str">
        <f>$AB$6</f>
        <v>-</v>
      </c>
      <c r="AC109" s="56" t="str">
        <f>$AC$6</f>
        <v>-</v>
      </c>
      <c r="AD109" s="56" t="str">
        <f>$AD$6</f>
        <v>-</v>
      </c>
      <c r="AE109" s="56" t="str">
        <f>$AE$6</f>
        <v>-</v>
      </c>
      <c r="AF109" s="56" t="str">
        <f>$AF$6</f>
        <v>-</v>
      </c>
      <c r="AG109" s="56" t="str">
        <f>$AG$6</f>
        <v>-</v>
      </c>
      <c r="AY109"/>
      <c r="AZ109"/>
      <c r="BB109" s="103" t="str">
        <f>$BB$6</f>
        <v>TRC (2020)</v>
      </c>
      <c r="BC109" s="103" t="str">
        <f>$BC$6</f>
        <v>Benefit Lookup</v>
      </c>
      <c r="BD109" s="883" t="str">
        <f>$BD$6</f>
        <v>Benefits (2019 $)</v>
      </c>
      <c r="BE109" s="334" t="str">
        <f>$BE$6</f>
        <v>Incremental Cost (2019 $)</v>
      </c>
    </row>
    <row r="110" spans="1:57" s="65" customFormat="1" x14ac:dyDescent="0.25">
      <c r="A110" s="785"/>
      <c r="B110" s="177"/>
      <c r="C110" s="92" t="s">
        <v>1211</v>
      </c>
      <c r="D110" s="1927" t="s">
        <v>795</v>
      </c>
      <c r="E110" s="884" t="s">
        <v>1212</v>
      </c>
      <c r="F110" s="788">
        <f>ROUND(((J194*J266*(1/J482-1/J410))/1000)*J554,2)</f>
        <v>1532.85</v>
      </c>
      <c r="G110" s="1161" t="s">
        <v>737</v>
      </c>
      <c r="H110" s="239">
        <f>VLOOKUP(G110,'CP FACTORS'!$A$3:$B$38, 2, FALSE)</f>
        <v>9.4741810000000004E-4</v>
      </c>
      <c r="I110" s="2015">
        <f>ROUND(F110*H110,6)</f>
        <v>1.45225</v>
      </c>
      <c r="J110" s="885">
        <f t="shared" ref="J110:J116" si="21">J626</f>
        <v>6</v>
      </c>
      <c r="K110" s="886">
        <f>J698</f>
        <v>444.07830140084025</v>
      </c>
      <c r="L110" s="95">
        <f>K266</f>
        <v>2.98</v>
      </c>
      <c r="M110" s="177"/>
      <c r="N110" s="177"/>
      <c r="O110" s="177"/>
      <c r="P110" s="177"/>
      <c r="Q110" s="177"/>
      <c r="R110" s="177"/>
      <c r="S110" s="177"/>
      <c r="T110" s="177"/>
      <c r="U110" s="177"/>
      <c r="V110" s="245" t="s">
        <v>20</v>
      </c>
      <c r="W110" s="887">
        <v>1612.0233596702167</v>
      </c>
      <c r="X110" s="888">
        <v>1572.0312023114329</v>
      </c>
      <c r="Y110" s="889">
        <v>1532.85</v>
      </c>
      <c r="Z110" s="890"/>
      <c r="AA110" s="64"/>
      <c r="AB110" s="64"/>
      <c r="AC110" s="64"/>
      <c r="AD110" s="64"/>
      <c r="AE110" s="64"/>
      <c r="AF110" s="64"/>
      <c r="AG110" s="64"/>
      <c r="AH110" s="248"/>
      <c r="AY110"/>
      <c r="AZ110"/>
      <c r="BB110" s="345">
        <f>(BD110+BD111)/(BE110+BE111)</f>
        <v>2.6701978309050833</v>
      </c>
      <c r="BC110" s="884" t="str">
        <f t="shared" ref="BC110:BC145" si="22">CONCATENATE(G110," ",J110," Year EUL")</f>
        <v>Cooling RES 6 Year EUL</v>
      </c>
      <c r="BD110" s="891">
        <f>(INDEX('Avoided Cost Benefits'!$C$4:$C$857,MATCH(BC110,'Avoided Cost Benefits'!$A$4:$A$857,0)))*F110</f>
        <v>891.32799915492603</v>
      </c>
      <c r="BE110" s="70">
        <f>K110/(1.0595^(2020-2019))</f>
        <v>419.13950108621066</v>
      </c>
    </row>
    <row r="111" spans="1:57" s="65" customFormat="1" x14ac:dyDescent="0.25">
      <c r="A111" s="785"/>
      <c r="B111" s="177"/>
      <c r="C111" s="92" t="s">
        <v>1211</v>
      </c>
      <c r="D111" s="2016" t="s">
        <v>795</v>
      </c>
      <c r="E111" s="892" t="s">
        <v>1213</v>
      </c>
      <c r="F111" s="893">
        <f>ROUND(((J195*J267*(1/J339-1/J411))/1000)*J555,2)</f>
        <v>192.72</v>
      </c>
      <c r="G111" s="1161" t="s">
        <v>1214</v>
      </c>
      <c r="H111" s="239">
        <f>VLOOKUP(G111,'CP FACTORS'!$A$3:$B$38, 2, FALSE)</f>
        <v>9.4741810000000004E-4</v>
      </c>
      <c r="I111" s="2015">
        <f t="shared" ref="I111:I145" si="23">ROUND(F111*H111,6)</f>
        <v>0.182586</v>
      </c>
      <c r="J111" s="885">
        <f t="shared" si="21"/>
        <v>12</v>
      </c>
      <c r="K111" s="886">
        <f t="shared" ref="K111:K145" si="24">J699</f>
        <v>0</v>
      </c>
      <c r="L111" s="95">
        <f t="shared" ref="L111:L145" si="25">K267</f>
        <v>2.98</v>
      </c>
      <c r="M111" s="177"/>
      <c r="N111" s="177"/>
      <c r="O111" s="177"/>
      <c r="P111" s="177"/>
      <c r="Q111" s="177"/>
      <c r="R111" s="177"/>
      <c r="S111" s="177"/>
      <c r="T111" s="177"/>
      <c r="U111" s="177"/>
      <c r="V111" s="245" t="s">
        <v>20</v>
      </c>
      <c r="W111" s="887">
        <v>925.30140845070434</v>
      </c>
      <c r="X111" s="888">
        <v>200.42516297262068</v>
      </c>
      <c r="Y111" s="889">
        <v>192.72</v>
      </c>
      <c r="Z111" s="890"/>
      <c r="AA111" s="64"/>
      <c r="AB111" s="64"/>
      <c r="AC111" s="64"/>
      <c r="AD111" s="64"/>
      <c r="AE111" s="64"/>
      <c r="AF111" s="64"/>
      <c r="AG111" s="64"/>
      <c r="AH111" s="248"/>
      <c r="AY111"/>
      <c r="AZ111"/>
      <c r="BB111" s="348"/>
      <c r="BC111" s="892" t="str">
        <f t="shared" si="22"/>
        <v>Cooling RES ER2 12 Year EUL</v>
      </c>
      <c r="BD111" s="894">
        <f>(INDEX('Avoided Cost Benefits'!$C$4:$C$857,MATCH(BC111,'Avoided Cost Benefits'!$A$4:$A$857,0)))*F111</f>
        <v>227.85738749211248</v>
      </c>
      <c r="BE111" s="74">
        <f t="shared" ref="BE111:BE145" si="26">K111/(1.0595^(2020-2019))</f>
        <v>0</v>
      </c>
    </row>
    <row r="112" spans="1:57" s="65" customFormat="1" x14ac:dyDescent="0.25">
      <c r="A112" s="785"/>
      <c r="B112" s="177"/>
      <c r="C112" s="92" t="s">
        <v>1215</v>
      </c>
      <c r="D112" s="2016" t="s">
        <v>795</v>
      </c>
      <c r="E112" s="895" t="s">
        <v>1216</v>
      </c>
      <c r="F112" s="788">
        <f>ROUND(((J196*J268*(1/J340-1/J412))/1000)*J556,2)</f>
        <v>192.07</v>
      </c>
      <c r="G112" s="1161" t="s">
        <v>737</v>
      </c>
      <c r="H112" s="239">
        <f>VLOOKUP(G112,'CP FACTORS'!$A$3:$B$38, 2, FALSE)</f>
        <v>9.4741810000000004E-4</v>
      </c>
      <c r="I112" s="2015">
        <f t="shared" si="23"/>
        <v>0.18197099999999999</v>
      </c>
      <c r="J112" s="885">
        <f t="shared" si="21"/>
        <v>18</v>
      </c>
      <c r="K112" s="886">
        <f t="shared" si="24"/>
        <v>0</v>
      </c>
      <c r="L112" s="95">
        <f t="shared" si="25"/>
        <v>2.97</v>
      </c>
      <c r="M112" s="177"/>
      <c r="N112" s="177"/>
      <c r="O112" s="177"/>
      <c r="P112" s="177"/>
      <c r="Q112" s="177"/>
      <c r="R112" s="177"/>
      <c r="S112" s="177"/>
      <c r="T112" s="177"/>
      <c r="U112" s="177"/>
      <c r="V112" s="245" t="s">
        <v>20</v>
      </c>
      <c r="W112" s="887">
        <v>203.36294691224271</v>
      </c>
      <c r="X112" s="888">
        <v>200.42516297262068</v>
      </c>
      <c r="Y112" s="889">
        <v>192.07</v>
      </c>
      <c r="Z112" s="890"/>
      <c r="AA112" s="64"/>
      <c r="AB112" s="64"/>
      <c r="AC112" s="64"/>
      <c r="AD112" s="64"/>
      <c r="AE112" s="64"/>
      <c r="AF112" s="64"/>
      <c r="AG112" s="64"/>
      <c r="AH112" s="248"/>
      <c r="AY112"/>
      <c r="AZ112"/>
      <c r="BB112" s="350" t="str">
        <f t="shared" ref="BB112" si="27">IFERROR((BD112)/(BE112),"")</f>
        <v/>
      </c>
      <c r="BC112" s="895" t="str">
        <f t="shared" si="22"/>
        <v>Cooling RES 18 Year EUL</v>
      </c>
      <c r="BD112" s="894">
        <f>(INDEX('Avoided Cost Benefits'!$C$4:$C$857,MATCH(BC112,'Avoided Cost Benefits'!$A$4:$A$857,0)))*F112</f>
        <v>338.77454038336418</v>
      </c>
      <c r="BE112" s="74">
        <f t="shared" si="26"/>
        <v>0</v>
      </c>
    </row>
    <row r="113" spans="1:57" s="65" customFormat="1" x14ac:dyDescent="0.25">
      <c r="A113" s="785"/>
      <c r="B113" s="177"/>
      <c r="C113" s="92" t="s">
        <v>1217</v>
      </c>
      <c r="D113" s="2016" t="s">
        <v>797</v>
      </c>
      <c r="E113" s="884" t="s">
        <v>1218</v>
      </c>
      <c r="F113" s="788">
        <f>ROUND(((J197*J269*(1/J485-1/J413))/1000)*J557,2)</f>
        <v>1014.01</v>
      </c>
      <c r="G113" s="1161" t="s">
        <v>737</v>
      </c>
      <c r="H113" s="239">
        <f>VLOOKUP(G113,'CP FACTORS'!$A$3:$B$38, 2, FALSE)</f>
        <v>9.4741810000000004E-4</v>
      </c>
      <c r="I113" s="2015">
        <f t="shared" si="23"/>
        <v>0.96069099999999996</v>
      </c>
      <c r="J113" s="885">
        <f t="shared" si="21"/>
        <v>6</v>
      </c>
      <c r="K113" s="886">
        <f t="shared" si="24"/>
        <v>388.26502607230418</v>
      </c>
      <c r="L113" s="95">
        <f t="shared" si="25"/>
        <v>2</v>
      </c>
      <c r="M113" s="177"/>
      <c r="N113" s="177"/>
      <c r="O113" s="177"/>
      <c r="P113" s="177"/>
      <c r="Q113" s="177"/>
      <c r="R113" s="177"/>
      <c r="S113" s="177"/>
      <c r="T113" s="177"/>
      <c r="U113" s="177"/>
      <c r="V113" s="245" t="s">
        <v>20</v>
      </c>
      <c r="W113" s="887">
        <v>1047.8151837856408</v>
      </c>
      <c r="X113" s="888">
        <v>1489.5657573374176</v>
      </c>
      <c r="Y113" s="889">
        <v>1014.01</v>
      </c>
      <c r="Z113" s="890"/>
      <c r="AA113" s="64"/>
      <c r="AB113" s="64"/>
      <c r="AC113" s="64"/>
      <c r="AD113" s="64"/>
      <c r="AE113" s="64"/>
      <c r="AF113" s="64"/>
      <c r="AG113" s="64"/>
      <c r="AH113" s="248"/>
      <c r="AY113"/>
      <c r="AZ113"/>
      <c r="BB113" s="350">
        <f>(BD113+BD114)/(BE113+BE114)</f>
        <v>1.9786933967944331</v>
      </c>
      <c r="BC113" s="884" t="str">
        <f t="shared" si="22"/>
        <v>Cooling RES 6 Year EUL</v>
      </c>
      <c r="BD113" s="894">
        <f>(INDEX('Avoided Cost Benefits'!$C$4:$C$857,MATCH(BC113,'Avoided Cost Benefits'!$A$4:$A$857,0)))*F113</f>
        <v>589.63075605772679</v>
      </c>
      <c r="BE113" s="74">
        <f t="shared" si="26"/>
        <v>366.46061922822474</v>
      </c>
    </row>
    <row r="114" spans="1:57" s="65" customFormat="1" x14ac:dyDescent="0.25">
      <c r="A114" s="785"/>
      <c r="B114" s="177"/>
      <c r="C114" s="92" t="s">
        <v>1217</v>
      </c>
      <c r="D114" s="2016" t="s">
        <v>797</v>
      </c>
      <c r="E114" s="892" t="s">
        <v>1219</v>
      </c>
      <c r="F114" s="788">
        <f>ROUND(((J198*J270*(1/J342-1/J414))/1000)*J558,2)</f>
        <v>114.59</v>
      </c>
      <c r="G114" s="1161" t="s">
        <v>1214</v>
      </c>
      <c r="H114" s="239">
        <f>VLOOKUP(G114,'CP FACTORS'!$A$3:$B$38, 2, FALSE)</f>
        <v>9.4741810000000004E-4</v>
      </c>
      <c r="I114" s="2015">
        <f t="shared" si="23"/>
        <v>0.10856499999999999</v>
      </c>
      <c r="J114" s="885">
        <f t="shared" si="21"/>
        <v>12</v>
      </c>
      <c r="K114" s="886">
        <f t="shared" si="24"/>
        <v>0</v>
      </c>
      <c r="L114" s="95">
        <f t="shared" si="25"/>
        <v>2</v>
      </c>
      <c r="M114" s="177"/>
      <c r="N114" s="177"/>
      <c r="O114" s="177"/>
      <c r="P114" s="177"/>
      <c r="Q114" s="177"/>
      <c r="R114" s="177"/>
      <c r="S114" s="177"/>
      <c r="T114" s="177"/>
      <c r="U114" s="177"/>
      <c r="V114" s="245" t="s">
        <v>20</v>
      </c>
      <c r="W114" s="887">
        <v>601.44591549295785</v>
      </c>
      <c r="X114" s="888">
        <v>232.04244031830254</v>
      </c>
      <c r="Y114" s="889">
        <v>114.59</v>
      </c>
      <c r="Z114" s="890"/>
      <c r="AA114" s="64"/>
      <c r="AB114" s="64"/>
      <c r="AC114" s="64"/>
      <c r="AD114" s="64"/>
      <c r="AE114" s="64"/>
      <c r="AF114" s="64"/>
      <c r="AG114" s="64"/>
      <c r="AH114" s="248"/>
      <c r="AY114"/>
      <c r="AZ114"/>
      <c r="BB114" s="348"/>
      <c r="BC114" s="892" t="str">
        <f t="shared" si="22"/>
        <v>Cooling RES ER2 12 Year EUL</v>
      </c>
      <c r="BD114" s="894">
        <f>(INDEX('Avoided Cost Benefits'!$C$4:$C$857,MATCH(BC114,'Avoided Cost Benefits'!$A$4:$A$857,0)))*F114</f>
        <v>135.48245139436057</v>
      </c>
      <c r="BE114" s="74">
        <f t="shared" si="26"/>
        <v>0</v>
      </c>
    </row>
    <row r="115" spans="1:57" s="65" customFormat="1" x14ac:dyDescent="0.25">
      <c r="A115" s="785"/>
      <c r="B115" s="785"/>
      <c r="C115" s="1572" t="s">
        <v>1220</v>
      </c>
      <c r="D115" s="2016" t="s">
        <v>792</v>
      </c>
      <c r="E115" s="892" t="str">
        <f>CONCATENATE(E113,"_CompE")</f>
        <v>CAC - SEER 14 ER1: MF_CompE</v>
      </c>
      <c r="F115" s="788">
        <f>ROUND(((J199*J271*(1/J487-1/J415))/1000)*J559,2)</f>
        <v>737.46</v>
      </c>
      <c r="G115" s="1161" t="s">
        <v>737</v>
      </c>
      <c r="H115" s="239">
        <f>VLOOKUP(G115,'CP FACTORS'!$A$3:$B$38, 2, FALSE)</f>
        <v>9.4741810000000004E-4</v>
      </c>
      <c r="I115" s="2015">
        <f t="shared" si="23"/>
        <v>0.69868300000000005</v>
      </c>
      <c r="J115" s="885">
        <f t="shared" si="21"/>
        <v>6</v>
      </c>
      <c r="K115" s="886">
        <f t="shared" si="24"/>
        <v>298.03912845693981</v>
      </c>
      <c r="L115" s="95">
        <f t="shared" si="25"/>
        <v>2</v>
      </c>
      <c r="M115" s="177"/>
      <c r="N115" s="177"/>
      <c r="O115" s="177"/>
      <c r="P115" s="177"/>
      <c r="Q115" s="177"/>
      <c r="R115" s="177"/>
      <c r="S115" s="177"/>
      <c r="T115" s="177"/>
      <c r="U115" s="177"/>
      <c r="V115" s="245" t="s">
        <v>20</v>
      </c>
      <c r="W115" s="887"/>
      <c r="X115" s="888"/>
      <c r="Y115" s="889">
        <v>737.46</v>
      </c>
      <c r="Z115" s="890"/>
      <c r="AA115" s="64"/>
      <c r="AB115" s="64"/>
      <c r="AC115" s="64"/>
      <c r="AD115" s="64"/>
      <c r="AE115" s="64"/>
      <c r="AF115" s="64"/>
      <c r="AG115" s="64"/>
      <c r="AH115" s="248"/>
      <c r="AY115"/>
      <c r="AZ115"/>
      <c r="BB115" s="350">
        <f>(BD115+BD116)/(BE115+BE116)</f>
        <v>1.8746996287397948</v>
      </c>
      <c r="BC115" s="884" t="str">
        <f t="shared" si="22"/>
        <v>Cooling RES 6 Year EUL</v>
      </c>
      <c r="BD115" s="894">
        <f>(INDEX('Avoided Cost Benefits'!$C$4:$C$857,MATCH(BC115,'Avoided Cost Benefits'!$A$4:$A$857,0)))*F115</f>
        <v>428.82131079805055</v>
      </c>
      <c r="BE115" s="74">
        <f t="shared" si="26"/>
        <v>281.30167858134951</v>
      </c>
    </row>
    <row r="116" spans="1:57" s="65" customFormat="1" x14ac:dyDescent="0.25">
      <c r="A116" s="785"/>
      <c r="B116" s="785"/>
      <c r="C116" s="1572" t="s">
        <v>1220</v>
      </c>
      <c r="D116" s="2016" t="s">
        <v>792</v>
      </c>
      <c r="E116" s="892" t="str">
        <f>CONCATENATE(E114,"_CompE")</f>
        <v>CAC - SEER 14 ER2: MF_CompE</v>
      </c>
      <c r="F116" s="788">
        <f>ROUND(((J200*J272*(1/J344-1/J416))/1000)*J560,2)</f>
        <v>83.34</v>
      </c>
      <c r="G116" s="1161" t="s">
        <v>1214</v>
      </c>
      <c r="H116" s="239">
        <f>VLOOKUP(G116,'CP FACTORS'!$A$3:$B$38, 2, FALSE)</f>
        <v>9.4741810000000004E-4</v>
      </c>
      <c r="I116" s="2015">
        <f t="shared" si="23"/>
        <v>7.8958E-2</v>
      </c>
      <c r="J116" s="885">
        <f t="shared" si="21"/>
        <v>12</v>
      </c>
      <c r="K116" s="886">
        <f t="shared" si="24"/>
        <v>0</v>
      </c>
      <c r="L116" s="95">
        <f t="shared" si="25"/>
        <v>2</v>
      </c>
      <c r="M116" s="177"/>
      <c r="N116" s="177"/>
      <c r="O116" s="177"/>
      <c r="P116" s="177"/>
      <c r="Q116" s="177"/>
      <c r="R116" s="177"/>
      <c r="S116" s="177"/>
      <c r="T116" s="177"/>
      <c r="U116" s="177"/>
      <c r="V116" s="245" t="s">
        <v>20</v>
      </c>
      <c r="W116" s="887"/>
      <c r="X116" s="888"/>
      <c r="Y116" s="889">
        <v>83.34</v>
      </c>
      <c r="Z116" s="890"/>
      <c r="AA116" s="64"/>
      <c r="AB116" s="64"/>
      <c r="AC116" s="64"/>
      <c r="AD116" s="64"/>
      <c r="AE116" s="64"/>
      <c r="AF116" s="64"/>
      <c r="AG116" s="64"/>
      <c r="AH116" s="248"/>
      <c r="AY116"/>
      <c r="AZ116"/>
      <c r="BB116" s="348"/>
      <c r="BC116" s="892" t="str">
        <f t="shared" si="22"/>
        <v>Cooling RES ER2 12 Year EUL</v>
      </c>
      <c r="BD116" s="894">
        <f>(INDEX('Avoided Cost Benefits'!$C$4:$C$857,MATCH(BC116,'Avoided Cost Benefits'!$A$4:$A$857,0)))*F116</f>
        <v>98.534841602286505</v>
      </c>
      <c r="BE116" s="74">
        <f t="shared" si="26"/>
        <v>0</v>
      </c>
    </row>
    <row r="117" spans="1:57" s="65" customFormat="1" x14ac:dyDescent="0.25">
      <c r="A117" s="785"/>
      <c r="B117" s="785"/>
      <c r="C117" s="92" t="s">
        <v>1221</v>
      </c>
      <c r="D117" s="2016" t="s">
        <v>797</v>
      </c>
      <c r="E117" s="895" t="s">
        <v>1222</v>
      </c>
      <c r="F117" s="788">
        <f>ROUND(((J201*J273*(1/J345-1/J417))/1000)*J561,2)</f>
        <v>114.59</v>
      </c>
      <c r="G117" s="1161" t="s">
        <v>737</v>
      </c>
      <c r="H117" s="239">
        <f>VLOOKUP(G117,'CP FACTORS'!$A$3:$B$38, 2, FALSE)</f>
        <v>9.4741810000000004E-4</v>
      </c>
      <c r="I117" s="2015">
        <f t="shared" si="23"/>
        <v>0.10856499999999999</v>
      </c>
      <c r="J117" s="897">
        <v>18</v>
      </c>
      <c r="K117" s="886">
        <f t="shared" si="24"/>
        <v>0</v>
      </c>
      <c r="L117" s="95">
        <f t="shared" si="25"/>
        <v>2</v>
      </c>
      <c r="M117" s="177"/>
      <c r="N117" s="177"/>
      <c r="O117" s="177"/>
      <c r="P117" s="177"/>
      <c r="Q117" s="177"/>
      <c r="R117" s="177"/>
      <c r="S117" s="177"/>
      <c r="T117" s="177"/>
      <c r="U117" s="177"/>
      <c r="V117" s="245" t="s">
        <v>20</v>
      </c>
      <c r="W117" s="887">
        <v>132.18591549295778</v>
      </c>
      <c r="X117" s="888">
        <v>232.04244031830254</v>
      </c>
      <c r="Y117" s="889">
        <v>114.59</v>
      </c>
      <c r="Z117" s="890"/>
      <c r="AA117" s="64"/>
      <c r="AB117" s="64"/>
      <c r="AC117" s="64"/>
      <c r="AD117" s="64"/>
      <c r="AE117" s="64"/>
      <c r="AF117" s="64"/>
      <c r="AG117" s="64"/>
      <c r="AH117" s="248"/>
      <c r="AY117"/>
      <c r="AZ117"/>
      <c r="BB117" s="350" t="str">
        <f t="shared" ref="BB117:BB118" si="28">IFERROR((BD117)/(BE117),"")</f>
        <v/>
      </c>
      <c r="BC117" s="895" t="str">
        <f t="shared" si="22"/>
        <v>Cooling RES 18 Year EUL</v>
      </c>
      <c r="BD117" s="894">
        <f>(INDEX('Avoided Cost Benefits'!$C$4:$C$857,MATCH(BC117,'Avoided Cost Benefits'!$A$4:$A$857,0)))*F117</f>
        <v>202.11472162508306</v>
      </c>
      <c r="BE117" s="74">
        <f t="shared" si="26"/>
        <v>0</v>
      </c>
    </row>
    <row r="118" spans="1:57" s="65" customFormat="1" x14ac:dyDescent="0.25">
      <c r="A118" s="785"/>
      <c r="B118" s="785"/>
      <c r="C118" s="92" t="s">
        <v>1223</v>
      </c>
      <c r="D118" s="2016" t="s">
        <v>792</v>
      </c>
      <c r="E118" s="892" t="str">
        <f>CONCATENATE(E117,"_CompE")</f>
        <v>CAC - SEER 14 ROF: MF_CompE</v>
      </c>
      <c r="F118" s="788">
        <f>ROUND(((J202*J274*(1/J346-1/J418))/1000)*J562,2)</f>
        <v>83.34</v>
      </c>
      <c r="G118" s="1161" t="s">
        <v>737</v>
      </c>
      <c r="H118" s="239">
        <f>VLOOKUP(G118,'CP FACTORS'!$A$3:$B$38, 2, FALSE)</f>
        <v>9.4741810000000004E-4</v>
      </c>
      <c r="I118" s="2015">
        <f t="shared" si="23"/>
        <v>7.8958E-2</v>
      </c>
      <c r="J118" s="897">
        <v>18</v>
      </c>
      <c r="K118" s="886">
        <f t="shared" si="24"/>
        <v>0</v>
      </c>
      <c r="L118" s="95">
        <f t="shared" si="25"/>
        <v>2</v>
      </c>
      <c r="M118" s="177"/>
      <c r="N118" s="177"/>
      <c r="O118" s="177"/>
      <c r="P118" s="177"/>
      <c r="Q118" s="177"/>
      <c r="R118" s="177"/>
      <c r="S118" s="177"/>
      <c r="T118" s="177"/>
      <c r="U118" s="177"/>
      <c r="V118" s="245" t="s">
        <v>20</v>
      </c>
      <c r="W118" s="887"/>
      <c r="X118" s="888"/>
      <c r="Y118" s="889">
        <v>83.34</v>
      </c>
      <c r="Z118" s="890"/>
      <c r="AA118" s="64"/>
      <c r="AB118" s="64"/>
      <c r="AC118" s="64"/>
      <c r="AD118" s="64"/>
      <c r="AE118" s="64"/>
      <c r="AF118" s="64"/>
      <c r="AG118" s="64"/>
      <c r="AH118" s="248"/>
      <c r="AY118"/>
      <c r="AZ118"/>
      <c r="BB118" s="350" t="str">
        <f t="shared" si="28"/>
        <v/>
      </c>
      <c r="BC118" s="895" t="str">
        <f t="shared" si="22"/>
        <v>Cooling RES 18 Year EUL</v>
      </c>
      <c r="BD118" s="894">
        <f>(INDEX('Avoided Cost Benefits'!$C$4:$C$857,MATCH(BC118,'Avoided Cost Benefits'!$A$4:$A$857,0)))*F118</f>
        <v>146.99573174129</v>
      </c>
      <c r="BE118" s="74">
        <f t="shared" si="26"/>
        <v>0</v>
      </c>
    </row>
    <row r="119" spans="1:57" s="65" customFormat="1" x14ac:dyDescent="0.25">
      <c r="A119" s="785"/>
      <c r="B119" s="785"/>
      <c r="C119" s="92" t="s">
        <v>1224</v>
      </c>
      <c r="D119" s="2016" t="s">
        <v>795</v>
      </c>
      <c r="E119" s="884" t="s">
        <v>1225</v>
      </c>
      <c r="F119" s="788">
        <f>ROUND(((J203*J275*(1/J491-1/J419))/1000)*J563,2)</f>
        <v>1844.27</v>
      </c>
      <c r="G119" s="1161" t="s">
        <v>737</v>
      </c>
      <c r="H119" s="239">
        <f>VLOOKUP(G119,'CP FACTORS'!$A$3:$B$38, 2, FALSE)</f>
        <v>9.4741810000000004E-4</v>
      </c>
      <c r="I119" s="2015">
        <f t="shared" si="23"/>
        <v>1.747295</v>
      </c>
      <c r="J119" s="885">
        <f t="shared" ref="J119:J126" si="29">J635</f>
        <v>6</v>
      </c>
      <c r="K119" s="886">
        <f t="shared" si="24"/>
        <v>595.29397502709662</v>
      </c>
      <c r="L119" s="95">
        <f t="shared" si="25"/>
        <v>3.27</v>
      </c>
      <c r="M119" s="177"/>
      <c r="N119" s="177"/>
      <c r="O119" s="177"/>
      <c r="P119" s="177"/>
      <c r="Q119" s="177"/>
      <c r="R119" s="177"/>
      <c r="S119" s="177"/>
      <c r="T119" s="177"/>
      <c r="U119" s="177"/>
      <c r="V119" s="245" t="s">
        <v>20</v>
      </c>
      <c r="W119" s="887">
        <v>1932.6604621309377</v>
      </c>
      <c r="X119" s="888">
        <v>1720.1937397650352</v>
      </c>
      <c r="Y119" s="889">
        <v>1844.27</v>
      </c>
      <c r="Z119" s="890"/>
      <c r="AA119" s="64"/>
      <c r="AB119" s="64"/>
      <c r="AC119" s="64"/>
      <c r="AD119" s="64"/>
      <c r="AE119" s="64"/>
      <c r="AF119" s="64"/>
      <c r="AG119" s="64"/>
      <c r="AH119" s="248"/>
      <c r="AY119"/>
      <c r="AZ119"/>
      <c r="BB119" s="350">
        <f>(BD119+BD120)/(BE119+BE120)</f>
        <v>2.6951111604872069</v>
      </c>
      <c r="BC119" s="884" t="str">
        <f t="shared" si="22"/>
        <v>Cooling RES 6 Year EUL</v>
      </c>
      <c r="BD119" s="894">
        <f>(INDEX('Avoided Cost Benefits'!$C$4:$C$857,MATCH(BC119,'Avoided Cost Benefits'!$A$4:$A$857,0)))*F119</f>
        <v>1072.4137971761461</v>
      </c>
      <c r="BE119" s="74">
        <f t="shared" si="26"/>
        <v>561.86311942151633</v>
      </c>
    </row>
    <row r="120" spans="1:57" s="65" customFormat="1" x14ac:dyDescent="0.25">
      <c r="A120" s="785"/>
      <c r="B120" s="785"/>
      <c r="C120" s="92" t="s">
        <v>1224</v>
      </c>
      <c r="D120" s="2016" t="s">
        <v>795</v>
      </c>
      <c r="E120" s="892" t="s">
        <v>1226</v>
      </c>
      <c r="F120" s="788">
        <f>ROUND(((J204*J276*(1/J348-1/J420))/1000)*J564,2)</f>
        <v>373.73</v>
      </c>
      <c r="G120" s="1161" t="s">
        <v>1214</v>
      </c>
      <c r="H120" s="239">
        <f>VLOOKUP(G120,'CP FACTORS'!$A$3:$B$38, 2, FALSE)</f>
        <v>9.4741810000000004E-4</v>
      </c>
      <c r="I120" s="2015">
        <f t="shared" si="23"/>
        <v>0.35407899999999998</v>
      </c>
      <c r="J120" s="885">
        <f t="shared" si="29"/>
        <v>12</v>
      </c>
      <c r="K120" s="886">
        <f t="shared" si="24"/>
        <v>0</v>
      </c>
      <c r="L120" s="95">
        <f t="shared" si="25"/>
        <v>3.27</v>
      </c>
      <c r="M120" s="177"/>
      <c r="N120" s="177"/>
      <c r="O120" s="177"/>
      <c r="P120" s="177"/>
      <c r="Q120" s="177"/>
      <c r="R120" s="177"/>
      <c r="S120" s="177"/>
      <c r="T120" s="177"/>
      <c r="U120" s="177"/>
      <c r="V120" s="245" t="s">
        <v>20</v>
      </c>
      <c r="W120" s="887">
        <v>1177.266315789474</v>
      </c>
      <c r="X120" s="888">
        <v>348.58770042622297</v>
      </c>
      <c r="Y120" s="889">
        <v>373.73</v>
      </c>
      <c r="Z120" s="890"/>
      <c r="AA120" s="64"/>
      <c r="AB120" s="64"/>
      <c r="AC120" s="64"/>
      <c r="AD120" s="64"/>
      <c r="AE120" s="64"/>
      <c r="AF120" s="64"/>
      <c r="AG120" s="64"/>
      <c r="AH120" s="248"/>
      <c r="AY120"/>
      <c r="AZ120"/>
      <c r="BB120" s="348"/>
      <c r="BC120" s="892" t="str">
        <f t="shared" si="22"/>
        <v>Cooling RES ER2 12 Year EUL</v>
      </c>
      <c r="BD120" s="894">
        <f>(INDEX('Avoided Cost Benefits'!$C$4:$C$857,MATCH(BC120,'Avoided Cost Benefits'!$A$4:$A$857,0)))*F120</f>
        <v>441.869766642939</v>
      </c>
      <c r="BE120" s="74">
        <f t="shared" si="26"/>
        <v>0</v>
      </c>
    </row>
    <row r="121" spans="1:57" s="65" customFormat="1" x14ac:dyDescent="0.25">
      <c r="A121" s="785"/>
      <c r="B121" s="785"/>
      <c r="C121" s="92" t="s">
        <v>1227</v>
      </c>
      <c r="D121" s="2016" t="s">
        <v>795</v>
      </c>
      <c r="E121" s="895" t="s">
        <v>1228</v>
      </c>
      <c r="F121" s="788">
        <f>ROUND(((J205*J277*(1/J349-1/J421))/1000)*J565,2)</f>
        <v>369.27</v>
      </c>
      <c r="G121" s="1161" t="s">
        <v>737</v>
      </c>
      <c r="H121" s="239">
        <f>VLOOKUP(G121,'CP FACTORS'!$A$3:$B$38, 2, FALSE)</f>
        <v>9.4741810000000004E-4</v>
      </c>
      <c r="I121" s="2015">
        <f t="shared" si="23"/>
        <v>0.34985300000000003</v>
      </c>
      <c r="J121" s="885">
        <f t="shared" si="29"/>
        <v>18</v>
      </c>
      <c r="K121" s="886">
        <f t="shared" si="24"/>
        <v>108</v>
      </c>
      <c r="L121" s="95">
        <f t="shared" si="25"/>
        <v>3.27</v>
      </c>
      <c r="M121" s="177"/>
      <c r="N121" s="177"/>
      <c r="O121" s="177"/>
      <c r="P121" s="177"/>
      <c r="Q121" s="177"/>
      <c r="R121" s="177"/>
      <c r="S121" s="177"/>
      <c r="T121" s="177"/>
      <c r="U121" s="177"/>
      <c r="V121" s="245" t="s">
        <v>20</v>
      </c>
      <c r="W121" s="887">
        <v>334.67345899133977</v>
      </c>
      <c r="X121" s="888">
        <v>348.58770042622297</v>
      </c>
      <c r="Y121" s="889">
        <v>369.27</v>
      </c>
      <c r="Z121" s="890"/>
      <c r="AA121" s="64"/>
      <c r="AB121" s="64"/>
      <c r="AC121" s="64"/>
      <c r="AD121" s="64"/>
      <c r="AE121" s="64"/>
      <c r="AF121" s="64"/>
      <c r="AG121" s="64"/>
      <c r="AH121" s="248"/>
      <c r="AY121"/>
      <c r="AZ121"/>
      <c r="BB121" s="350">
        <f>(BD121)/(BE121)</f>
        <v>6.3895821817346263</v>
      </c>
      <c r="BC121" s="895" t="str">
        <f t="shared" si="22"/>
        <v>Cooling RES 18 Year EUL</v>
      </c>
      <c r="BD121" s="894">
        <f>(INDEX('Avoided Cost Benefits'!$C$4:$C$857,MATCH(BC121,'Avoided Cost Benefits'!$A$4:$A$857,0)))*F121</f>
        <v>651.32126062042425</v>
      </c>
      <c r="BE121" s="74">
        <f t="shared" si="26"/>
        <v>101.93487494100989</v>
      </c>
    </row>
    <row r="122" spans="1:57" s="65" customFormat="1" x14ac:dyDescent="0.25">
      <c r="A122" s="785"/>
      <c r="B122" s="785"/>
      <c r="C122" s="92" t="s">
        <v>1229</v>
      </c>
      <c r="D122" s="2016" t="s">
        <v>797</v>
      </c>
      <c r="E122" s="884" t="s">
        <v>1230</v>
      </c>
      <c r="F122" s="788">
        <f>ROUND(((J206*J278*(1/J494-1/J422))/1000)*J566,2)</f>
        <v>1113.32</v>
      </c>
      <c r="G122" s="1161" t="s">
        <v>737</v>
      </c>
      <c r="H122" s="239">
        <f>VLOOKUP(G122,'CP FACTORS'!$A$3:$B$38, 2, FALSE)</f>
        <v>9.4741810000000004E-4</v>
      </c>
      <c r="I122" s="2015">
        <f t="shared" si="23"/>
        <v>1.0547800000000001</v>
      </c>
      <c r="J122" s="885">
        <f t="shared" si="29"/>
        <v>6</v>
      </c>
      <c r="K122" s="886">
        <f t="shared" si="24"/>
        <v>406.03912845693981</v>
      </c>
      <c r="L122" s="95">
        <f t="shared" si="25"/>
        <v>2</v>
      </c>
      <c r="M122" s="177"/>
      <c r="N122" s="177"/>
      <c r="O122" s="177"/>
      <c r="P122" s="177"/>
      <c r="Q122" s="177"/>
      <c r="R122" s="177"/>
      <c r="S122" s="177"/>
      <c r="T122" s="177"/>
      <c r="U122" s="177"/>
      <c r="V122" s="245" t="s">
        <v>20</v>
      </c>
      <c r="W122" s="887">
        <v>1256.2293003851096</v>
      </c>
      <c r="X122" s="888">
        <v>1592.2642887629986</v>
      </c>
      <c r="Y122" s="889">
        <v>1113.32</v>
      </c>
      <c r="Z122" s="890"/>
      <c r="AA122" s="64"/>
      <c r="AB122" s="64"/>
      <c r="AC122" s="64"/>
      <c r="AD122" s="64"/>
      <c r="AE122" s="64"/>
      <c r="AF122" s="64"/>
      <c r="AG122" s="64"/>
      <c r="AH122" s="248"/>
      <c r="AY122"/>
      <c r="AZ122"/>
      <c r="BB122" s="350">
        <f>(BD122+BD123)/(BE122+BE123)</f>
        <v>2.3491724960578386</v>
      </c>
      <c r="BC122" s="884" t="str">
        <f t="shared" si="22"/>
        <v>Cooling RES 6 Year EUL</v>
      </c>
      <c r="BD122" s="894">
        <f>(INDEX('Avoided Cost Benefits'!$C$4:$C$857,MATCH(BC122,'Avoided Cost Benefits'!$A$4:$A$857,0)))*F122</f>
        <v>647.37794827880236</v>
      </c>
      <c r="BE122" s="74">
        <f t="shared" si="26"/>
        <v>383.23655352235937</v>
      </c>
    </row>
    <row r="123" spans="1:57" s="65" customFormat="1" x14ac:dyDescent="0.25">
      <c r="A123" s="785"/>
      <c r="B123" s="785"/>
      <c r="C123" s="92" t="s">
        <v>1229</v>
      </c>
      <c r="D123" s="2016" t="s">
        <v>797</v>
      </c>
      <c r="E123" s="892" t="s">
        <v>1231</v>
      </c>
      <c r="F123" s="788">
        <f>ROUND(((J207*J279*(1/J351-1/J423))/1000)*J567,2)</f>
        <v>213.91</v>
      </c>
      <c r="G123" s="1161" t="s">
        <v>1214</v>
      </c>
      <c r="H123" s="239">
        <f>VLOOKUP(G123,'CP FACTORS'!$A$3:$B$38, 2, FALSE)</f>
        <v>9.4741810000000004E-4</v>
      </c>
      <c r="I123" s="2015">
        <f t="shared" si="23"/>
        <v>0.20266200000000001</v>
      </c>
      <c r="J123" s="885">
        <f t="shared" si="29"/>
        <v>12</v>
      </c>
      <c r="K123" s="886">
        <f t="shared" si="24"/>
        <v>0</v>
      </c>
      <c r="L123" s="95">
        <f t="shared" si="25"/>
        <v>2</v>
      </c>
      <c r="M123" s="177"/>
      <c r="N123" s="177"/>
      <c r="O123" s="177"/>
      <c r="P123" s="177"/>
      <c r="Q123" s="177"/>
      <c r="R123" s="177"/>
      <c r="S123" s="177"/>
      <c r="T123" s="177"/>
      <c r="U123" s="177"/>
      <c r="V123" s="245" t="s">
        <v>20</v>
      </c>
      <c r="W123" s="887">
        <v>765.22310526315812</v>
      </c>
      <c r="X123" s="888">
        <v>322.66350822001232</v>
      </c>
      <c r="Y123" s="889">
        <v>213.91</v>
      </c>
      <c r="Z123" s="890"/>
      <c r="AA123" s="64"/>
      <c r="AB123" s="64"/>
      <c r="AC123" s="64"/>
      <c r="AD123" s="64"/>
      <c r="AE123" s="64"/>
      <c r="AF123" s="64"/>
      <c r="AG123" s="64"/>
      <c r="AH123" s="248"/>
      <c r="AY123"/>
      <c r="AZ123"/>
      <c r="BB123" s="348"/>
      <c r="BC123" s="892" t="str">
        <f t="shared" si="22"/>
        <v>Cooling RES ER2 12 Year EUL</v>
      </c>
      <c r="BD123" s="894">
        <f>(INDEX('Avoided Cost Benefits'!$C$4:$C$857,MATCH(BC123,'Avoided Cost Benefits'!$A$4:$A$857,0)))*F123</f>
        <v>252.91082273992208</v>
      </c>
      <c r="BE123" s="74">
        <f t="shared" si="26"/>
        <v>0</v>
      </c>
    </row>
    <row r="124" spans="1:57" s="65" customFormat="1" x14ac:dyDescent="0.25">
      <c r="A124" s="785"/>
      <c r="B124" s="785"/>
      <c r="C124" s="92" t="s">
        <v>1232</v>
      </c>
      <c r="D124" s="2016" t="s">
        <v>792</v>
      </c>
      <c r="E124" s="892" t="str">
        <f>CONCATENATE(E122,"_CompE")</f>
        <v>CAC - SEER 15 ER1: MF_CompE</v>
      </c>
      <c r="F124" s="788">
        <f>ROUND(((J208*J280*(1/J496-1/J424))/1000)*J568,2)</f>
        <v>809.69</v>
      </c>
      <c r="G124" s="1161" t="s">
        <v>737</v>
      </c>
      <c r="H124" s="239">
        <f>VLOOKUP(G124,'CP FACTORS'!$A$3:$B$38, 2, FALSE)</f>
        <v>9.4741810000000004E-4</v>
      </c>
      <c r="I124" s="2015">
        <f t="shared" si="23"/>
        <v>0.76711499999999999</v>
      </c>
      <c r="J124" s="885">
        <f t="shared" si="29"/>
        <v>6</v>
      </c>
      <c r="K124" s="886">
        <f t="shared" si="24"/>
        <v>406.03912845693981</v>
      </c>
      <c r="L124" s="95">
        <f t="shared" si="25"/>
        <v>2</v>
      </c>
      <c r="M124" s="177"/>
      <c r="N124" s="177"/>
      <c r="O124" s="177"/>
      <c r="P124" s="177"/>
      <c r="Q124" s="177"/>
      <c r="R124" s="177"/>
      <c r="S124" s="177"/>
      <c r="T124" s="177"/>
      <c r="U124" s="177"/>
      <c r="V124" s="245" t="s">
        <v>20</v>
      </c>
      <c r="W124" s="887"/>
      <c r="X124" s="888"/>
      <c r="Y124" s="889">
        <v>809.69</v>
      </c>
      <c r="Z124" s="890"/>
      <c r="AA124" s="64"/>
      <c r="AB124" s="64"/>
      <c r="AC124" s="64"/>
      <c r="AD124" s="64"/>
      <c r="AE124" s="64"/>
      <c r="AF124" s="64"/>
      <c r="AG124" s="64"/>
      <c r="AH124" s="248"/>
      <c r="AY124"/>
      <c r="AZ124"/>
      <c r="BB124" s="350">
        <f>(BD124+BD125)/(BE124+BE125)</f>
        <v>1.708490421490914</v>
      </c>
      <c r="BC124" s="884" t="str">
        <f t="shared" si="22"/>
        <v>Cooling RES 6 Year EUL</v>
      </c>
      <c r="BD124" s="894">
        <f>(INDEX('Avoided Cost Benefits'!$C$4:$C$857,MATCH(BC124,'Avoided Cost Benefits'!$A$4:$A$857,0)))*F124</f>
        <v>470.82191188684618</v>
      </c>
      <c r="BE124" s="74">
        <f t="shared" si="26"/>
        <v>383.23655352235937</v>
      </c>
    </row>
    <row r="125" spans="1:57" s="65" customFormat="1" x14ac:dyDescent="0.25">
      <c r="A125" s="785"/>
      <c r="B125" s="785"/>
      <c r="C125" s="92" t="s">
        <v>1232</v>
      </c>
      <c r="D125" s="2016" t="s">
        <v>792</v>
      </c>
      <c r="E125" s="892" t="str">
        <f>CONCATENATE(E123,"_CompE")</f>
        <v>CAC - SEER 15 ER2: MF_CompE</v>
      </c>
      <c r="F125" s="788">
        <f>ROUND(((J209*J281*(1/J353-1/J425))/1000)*J569,2)</f>
        <v>155.57</v>
      </c>
      <c r="G125" s="1161" t="s">
        <v>1214</v>
      </c>
      <c r="H125" s="239">
        <f>VLOOKUP(G125,'CP FACTORS'!$A$3:$B$38, 2, FALSE)</f>
        <v>9.4741810000000004E-4</v>
      </c>
      <c r="I125" s="2015">
        <f t="shared" si="23"/>
        <v>0.14738999999999999</v>
      </c>
      <c r="J125" s="885">
        <f t="shared" si="29"/>
        <v>12</v>
      </c>
      <c r="K125" s="886">
        <f t="shared" si="24"/>
        <v>0</v>
      </c>
      <c r="L125" s="95">
        <f t="shared" si="25"/>
        <v>2</v>
      </c>
      <c r="M125" s="177"/>
      <c r="N125" s="177"/>
      <c r="O125" s="177"/>
      <c r="P125" s="177"/>
      <c r="Q125" s="177"/>
      <c r="R125" s="177"/>
      <c r="S125" s="177"/>
      <c r="T125" s="177"/>
      <c r="U125" s="177"/>
      <c r="V125" s="245" t="s">
        <v>20</v>
      </c>
      <c r="W125" s="887"/>
      <c r="X125" s="888"/>
      <c r="Y125" s="889">
        <v>155.57</v>
      </c>
      <c r="Z125" s="890"/>
      <c r="AA125" s="64"/>
      <c r="AB125" s="64"/>
      <c r="AC125" s="64"/>
      <c r="AD125" s="64"/>
      <c r="AE125" s="64"/>
      <c r="AF125" s="64"/>
      <c r="AG125" s="64"/>
      <c r="AH125" s="248"/>
      <c r="AY125"/>
      <c r="AZ125"/>
      <c r="BB125" s="348"/>
      <c r="BC125" s="892" t="str">
        <f t="shared" si="22"/>
        <v>Cooling RES ER2 12 Year EUL</v>
      </c>
      <c r="BD125" s="894">
        <f>(INDEX('Avoided Cost Benefits'!$C$4:$C$857,MATCH(BC125,'Avoided Cost Benefits'!$A$4:$A$857,0)))*F125</f>
        <v>183.93406897129483</v>
      </c>
      <c r="BE125" s="74">
        <f t="shared" si="26"/>
        <v>0</v>
      </c>
    </row>
    <row r="126" spans="1:57" s="65" customFormat="1" x14ac:dyDescent="0.25">
      <c r="A126" s="785"/>
      <c r="B126" s="785"/>
      <c r="C126" s="92" t="s">
        <v>1233</v>
      </c>
      <c r="D126" s="2016" t="s">
        <v>797</v>
      </c>
      <c r="E126" s="895" t="s">
        <v>1234</v>
      </c>
      <c r="F126" s="788">
        <f>ROUND(((J210*J282*(1/J354-1/J426))/1000)*J570,2)</f>
        <v>213.91</v>
      </c>
      <c r="G126" s="1161" t="s">
        <v>737</v>
      </c>
      <c r="H126" s="239">
        <f>VLOOKUP(G126,'CP FACTORS'!$A$3:$B$38, 2, FALSE)</f>
        <v>9.4741810000000004E-4</v>
      </c>
      <c r="I126" s="2015">
        <f t="shared" si="23"/>
        <v>0.20266200000000001</v>
      </c>
      <c r="J126" s="885">
        <f t="shared" si="29"/>
        <v>18</v>
      </c>
      <c r="K126" s="886">
        <f t="shared" si="24"/>
        <v>108</v>
      </c>
      <c r="L126" s="95">
        <f t="shared" si="25"/>
        <v>2</v>
      </c>
      <c r="M126" s="177"/>
      <c r="N126" s="177"/>
      <c r="O126" s="177"/>
      <c r="P126" s="177"/>
      <c r="Q126" s="177"/>
      <c r="R126" s="177"/>
      <c r="S126" s="177"/>
      <c r="T126" s="177"/>
      <c r="U126" s="177"/>
      <c r="V126" s="245" t="s">
        <v>20</v>
      </c>
      <c r="W126" s="887">
        <v>217.53774834437087</v>
      </c>
      <c r="X126" s="888">
        <v>322.66350822001232</v>
      </c>
      <c r="Y126" s="889">
        <v>213.91</v>
      </c>
      <c r="Z126" s="890"/>
      <c r="AA126" s="64"/>
      <c r="AB126" s="64"/>
      <c r="AC126" s="64"/>
      <c r="AD126" s="64"/>
      <c r="AE126" s="64"/>
      <c r="AF126" s="64"/>
      <c r="AG126" s="64"/>
      <c r="AH126" s="248"/>
      <c r="AY126"/>
      <c r="AZ126"/>
      <c r="BB126" s="350">
        <f>(BD126)/(BE126)</f>
        <v>3.7013446109753128</v>
      </c>
      <c r="BC126" s="895" t="str">
        <f t="shared" si="22"/>
        <v>Cooling RES 18 Year EUL</v>
      </c>
      <c r="BD126" s="894">
        <f>(INDEX('Avoided Cost Benefits'!$C$4:$C$857,MATCH(BC126,'Avoided Cost Benefits'!$A$4:$A$857,0)))*F126</f>
        <v>377.29610003334943</v>
      </c>
      <c r="BE126" s="74">
        <f t="shared" si="26"/>
        <v>101.93487494100989</v>
      </c>
    </row>
    <row r="127" spans="1:57" s="65" customFormat="1" x14ac:dyDescent="0.25">
      <c r="A127" s="785"/>
      <c r="B127" s="785"/>
      <c r="C127" s="92" t="s">
        <v>1235</v>
      </c>
      <c r="D127" s="2016" t="s">
        <v>792</v>
      </c>
      <c r="E127" s="892" t="str">
        <f>CONCATENATE(E126,"_CompE")</f>
        <v>CAC - SEER 15 ROF: MF_CompE</v>
      </c>
      <c r="F127" s="788">
        <f>ROUND(((J211*J283*(1/J355-1/J427))/1000)*J571,2)</f>
        <v>155.57</v>
      </c>
      <c r="G127" s="1161" t="s">
        <v>737</v>
      </c>
      <c r="H127" s="239">
        <f>VLOOKUP(G127,'CP FACTORS'!$A$3:$B$38, 2, FALSE)</f>
        <v>9.4741810000000004E-4</v>
      </c>
      <c r="I127" s="2015">
        <f t="shared" si="23"/>
        <v>0.14738999999999999</v>
      </c>
      <c r="J127" s="897">
        <v>18</v>
      </c>
      <c r="K127" s="886">
        <f t="shared" si="24"/>
        <v>108</v>
      </c>
      <c r="L127" s="95">
        <f t="shared" si="25"/>
        <v>2</v>
      </c>
      <c r="M127" s="177"/>
      <c r="N127" s="177"/>
      <c r="O127" s="177"/>
      <c r="P127" s="177"/>
      <c r="Q127" s="177"/>
      <c r="R127" s="177"/>
      <c r="S127" s="177"/>
      <c r="T127" s="177"/>
      <c r="U127" s="177"/>
      <c r="V127" s="245" t="s">
        <v>20</v>
      </c>
      <c r="W127" s="887"/>
      <c r="X127" s="888"/>
      <c r="Y127" s="889">
        <v>155.57</v>
      </c>
      <c r="Z127" s="890"/>
      <c r="AA127" s="64"/>
      <c r="AB127" s="64"/>
      <c r="AC127" s="64"/>
      <c r="AD127" s="64"/>
      <c r="AE127" s="64"/>
      <c r="AF127" s="64"/>
      <c r="AG127" s="64"/>
      <c r="AH127" s="248"/>
      <c r="AY127"/>
      <c r="AZ127"/>
      <c r="BB127" s="350">
        <f>(BD127)/(BE127)</f>
        <v>2.6918712595457408</v>
      </c>
      <c r="BC127" s="895" t="str">
        <f t="shared" si="22"/>
        <v>Cooling RES 18 Year EUL</v>
      </c>
      <c r="BD127" s="894">
        <f>(INDEX('Avoided Cost Benefits'!$C$4:$C$857,MATCH(BC127,'Avoided Cost Benefits'!$A$4:$A$857,0)))*F127</f>
        <v>274.39556019909389</v>
      </c>
      <c r="BE127" s="74">
        <f t="shared" si="26"/>
        <v>101.93487494100989</v>
      </c>
    </row>
    <row r="128" spans="1:57" s="65" customFormat="1" x14ac:dyDescent="0.25">
      <c r="A128" s="785"/>
      <c r="B128" s="785"/>
      <c r="C128" s="92" t="s">
        <v>1236</v>
      </c>
      <c r="D128" s="2016" t="s">
        <v>795</v>
      </c>
      <c r="E128" s="884" t="s">
        <v>1237</v>
      </c>
      <c r="F128" s="788">
        <f>ROUND(((J212*J284*(1/J500-1/J428))/1000)*J572,2)</f>
        <v>1880.22</v>
      </c>
      <c r="G128" s="1161" t="s">
        <v>737</v>
      </c>
      <c r="H128" s="239">
        <f>VLOOKUP(G128,'CP FACTORS'!$A$3:$B$38, 2, FALSE)</f>
        <v>9.4741810000000004E-4</v>
      </c>
      <c r="I128" s="2015">
        <f t="shared" si="23"/>
        <v>1.7813540000000001</v>
      </c>
      <c r="J128" s="885">
        <f t="shared" ref="J128:J135" si="30">J644</f>
        <v>6</v>
      </c>
      <c r="K128" s="886">
        <f t="shared" si="24"/>
        <v>676.9998665391181</v>
      </c>
      <c r="L128" s="95">
        <f t="shared" si="25"/>
        <v>3.06</v>
      </c>
      <c r="M128" s="177"/>
      <c r="N128" s="2017"/>
      <c r="O128" s="2018"/>
      <c r="P128" s="177"/>
      <c r="Q128" s="177"/>
      <c r="R128" s="1894"/>
      <c r="S128" s="177"/>
      <c r="T128" s="177"/>
      <c r="U128" s="177"/>
      <c r="V128" s="245" t="s">
        <v>20</v>
      </c>
      <c r="W128" s="887">
        <v>1921.8676829268297</v>
      </c>
      <c r="X128" s="888">
        <v>1872.8908664383187</v>
      </c>
      <c r="Y128" s="889">
        <v>1880.22</v>
      </c>
      <c r="Z128" s="890"/>
      <c r="AA128" s="64"/>
      <c r="AB128" s="64"/>
      <c r="AC128" s="64"/>
      <c r="AD128" s="64"/>
      <c r="AE128" s="64"/>
      <c r="AF128" s="64"/>
      <c r="AG128" s="64"/>
      <c r="AH128" s="248"/>
      <c r="AY128"/>
      <c r="AZ128"/>
      <c r="BB128" s="350">
        <f>(BD128+BD129)/(BE128+BE129)</f>
        <v>2.6438224883758221</v>
      </c>
      <c r="BC128" s="884" t="str">
        <f t="shared" si="22"/>
        <v>Cooling RES 6 Year EUL</v>
      </c>
      <c r="BD128" s="894">
        <f>(INDEX('Avoided Cost Benefits'!$C$4:$C$857,MATCH(BC128,'Avoided Cost Benefits'!$A$4:$A$857,0)))*F128</f>
        <v>1093.3181528336595</v>
      </c>
      <c r="BE128" s="74">
        <f t="shared" si="26"/>
        <v>638.98052528467963</v>
      </c>
    </row>
    <row r="129" spans="1:57" s="65" customFormat="1" x14ac:dyDescent="0.25">
      <c r="A129" s="785"/>
      <c r="B129" s="785"/>
      <c r="C129" s="92" t="s">
        <v>1236</v>
      </c>
      <c r="D129" s="2016" t="s">
        <v>795</v>
      </c>
      <c r="E129" s="892" t="s">
        <v>1238</v>
      </c>
      <c r="F129" s="788">
        <f>ROUND(((J213*J285*(1/J357-1/J429))/1000)*J573,2)</f>
        <v>504.12</v>
      </c>
      <c r="G129" s="1161" t="s">
        <v>1214</v>
      </c>
      <c r="H129" s="239">
        <f>VLOOKUP(G129,'CP FACTORS'!$A$3:$B$38, 2, FALSE)</f>
        <v>9.4741810000000004E-4</v>
      </c>
      <c r="I129" s="2015">
        <f t="shared" si="23"/>
        <v>0.47761199999999998</v>
      </c>
      <c r="J129" s="885">
        <f t="shared" si="30"/>
        <v>12</v>
      </c>
      <c r="K129" s="886">
        <f t="shared" si="24"/>
        <v>0</v>
      </c>
      <c r="L129" s="95">
        <f t="shared" si="25"/>
        <v>3.06</v>
      </c>
      <c r="M129" s="177"/>
      <c r="N129" s="2017"/>
      <c r="O129" s="2018"/>
      <c r="P129" s="177"/>
      <c r="Q129" s="177"/>
      <c r="R129" s="1894"/>
      <c r="S129" s="177"/>
      <c r="T129" s="177"/>
      <c r="U129" s="177"/>
      <c r="V129" s="245" t="s">
        <v>20</v>
      </c>
      <c r="W129" s="887">
        <v>1212.2550000000003</v>
      </c>
      <c r="X129" s="888">
        <v>501.2848270995064</v>
      </c>
      <c r="Y129" s="889">
        <v>504.12</v>
      </c>
      <c r="Z129" s="890"/>
      <c r="AA129" s="64"/>
      <c r="AB129" s="64"/>
      <c r="AC129" s="64"/>
      <c r="AD129" s="64"/>
      <c r="AE129" s="64"/>
      <c r="AF129" s="64"/>
      <c r="AG129" s="64"/>
      <c r="AH129" s="248"/>
      <c r="AY129"/>
      <c r="AZ129"/>
      <c r="BB129" s="348"/>
      <c r="BC129" s="892" t="str">
        <f t="shared" si="22"/>
        <v>Cooling RES ER2 12 Year EUL</v>
      </c>
      <c r="BD129" s="894">
        <f>(INDEX('Avoided Cost Benefits'!$C$4:$C$857,MATCH(BC129,'Avoided Cost Benefits'!$A$4:$A$857,0)))*F129</f>
        <v>596.03292954817221</v>
      </c>
      <c r="BE129" s="74">
        <f t="shared" si="26"/>
        <v>0</v>
      </c>
    </row>
    <row r="130" spans="1:57" s="65" customFormat="1" x14ac:dyDescent="0.25">
      <c r="A130" s="785"/>
      <c r="B130" s="785"/>
      <c r="C130" s="92" t="s">
        <v>1239</v>
      </c>
      <c r="D130" s="2016" t="s">
        <v>795</v>
      </c>
      <c r="E130" s="895" t="s">
        <v>1240</v>
      </c>
      <c r="F130" s="788">
        <f>ROUND(((J214*J286*(1/J358-1/J430))/1000)*J574,2)</f>
        <v>493.75</v>
      </c>
      <c r="G130" s="1161" t="s">
        <v>737</v>
      </c>
      <c r="H130" s="239">
        <f>VLOOKUP(G130,'CP FACTORS'!$A$3:$B$38, 2, FALSE)</f>
        <v>9.4741810000000004E-4</v>
      </c>
      <c r="I130" s="2015">
        <f t="shared" si="23"/>
        <v>0.46778799999999998</v>
      </c>
      <c r="J130" s="885">
        <f t="shared" si="30"/>
        <v>18</v>
      </c>
      <c r="K130" s="886">
        <f t="shared" si="24"/>
        <v>221</v>
      </c>
      <c r="L130" s="95">
        <f t="shared" si="25"/>
        <v>2.99</v>
      </c>
      <c r="M130" s="177"/>
      <c r="N130" s="2017"/>
      <c r="O130" s="2018"/>
      <c r="P130" s="177"/>
      <c r="Q130" s="177"/>
      <c r="R130" s="1894"/>
      <c r="S130" s="177"/>
      <c r="T130" s="177"/>
      <c r="U130" s="177"/>
      <c r="V130" s="245" t="s">
        <v>20</v>
      </c>
      <c r="W130" s="887">
        <v>436.17115384615397</v>
      </c>
      <c r="X130" s="888">
        <v>501.2848270995064</v>
      </c>
      <c r="Y130" s="889">
        <v>493.75</v>
      </c>
      <c r="Z130" s="890"/>
      <c r="AA130" s="64"/>
      <c r="AB130" s="64"/>
      <c r="AC130" s="64"/>
      <c r="AD130" s="64"/>
      <c r="AE130" s="64"/>
      <c r="AF130" s="64"/>
      <c r="AG130" s="64"/>
      <c r="AH130" s="248"/>
      <c r="AY130"/>
      <c r="AZ130"/>
      <c r="BB130" s="350">
        <f>(BD130)/(BE130)</f>
        <v>4.1751013690211947</v>
      </c>
      <c r="BC130" s="895" t="str">
        <f t="shared" si="22"/>
        <v>Cooling RES 18 Year EUL</v>
      </c>
      <c r="BD130" s="894">
        <f>(INDEX('Avoided Cost Benefits'!$C$4:$C$857,MATCH(BC130,'Avoided Cost Benefits'!$A$4:$A$857,0)))*F130</f>
        <v>870.88004016393018</v>
      </c>
      <c r="BE130" s="74">
        <f t="shared" si="26"/>
        <v>208.58895705521471</v>
      </c>
    </row>
    <row r="131" spans="1:57" s="65" customFormat="1" x14ac:dyDescent="0.25">
      <c r="A131" s="785"/>
      <c r="B131" s="785"/>
      <c r="C131" s="92" t="s">
        <v>1241</v>
      </c>
      <c r="D131" s="2016" t="s">
        <v>797</v>
      </c>
      <c r="E131" s="884" t="s">
        <v>1242</v>
      </c>
      <c r="F131" s="788">
        <f>ROUND(((J215*J287*(1/J503-1/J431))/1000)*J575,2)</f>
        <v>1200.22</v>
      </c>
      <c r="G131" s="1161" t="s">
        <v>737</v>
      </c>
      <c r="H131" s="239">
        <f>VLOOKUP(G131,'CP FACTORS'!$A$3:$B$38, 2, FALSE)</f>
        <v>9.4741810000000004E-4</v>
      </c>
      <c r="I131" s="2015">
        <f t="shared" si="23"/>
        <v>1.1371100000000001</v>
      </c>
      <c r="J131" s="885">
        <f t="shared" si="30"/>
        <v>6</v>
      </c>
      <c r="K131" s="886">
        <f t="shared" si="24"/>
        <v>519.03912845694003</v>
      </c>
      <c r="L131" s="95">
        <f t="shared" si="25"/>
        <v>2</v>
      </c>
      <c r="M131" s="177"/>
      <c r="N131" s="2017"/>
      <c r="O131" s="177"/>
      <c r="P131" s="177"/>
      <c r="Q131" s="177"/>
      <c r="R131" s="177"/>
      <c r="S131" s="177"/>
      <c r="T131" s="177"/>
      <c r="U131" s="177"/>
      <c r="V131" s="245" t="s">
        <v>20</v>
      </c>
      <c r="W131" s="887">
        <v>1249.2139939024394</v>
      </c>
      <c r="X131" s="888">
        <v>1710.3337488745497</v>
      </c>
      <c r="Y131" s="889">
        <v>1200.22</v>
      </c>
      <c r="Z131" s="890"/>
      <c r="AA131" s="64"/>
      <c r="AB131" s="64"/>
      <c r="AC131" s="64"/>
      <c r="AD131" s="64"/>
      <c r="AE131" s="64"/>
      <c r="AF131" s="64"/>
      <c r="AG131" s="64"/>
      <c r="AH131" s="248"/>
      <c r="AY131"/>
      <c r="AZ131"/>
      <c r="BB131" s="350">
        <f>(BD131+BD132)/(BE131+BE132)</f>
        <v>2.1506099146365076</v>
      </c>
      <c r="BC131" s="884" t="str">
        <f t="shared" si="22"/>
        <v>Cooling RES 6 Year EUL</v>
      </c>
      <c r="BD131" s="894">
        <f>(INDEX('Avoided Cost Benefits'!$C$4:$C$857,MATCH(BC131,'Avoided Cost Benefits'!$A$4:$A$857,0)))*F131</f>
        <v>697.90892203785461</v>
      </c>
      <c r="BE131" s="74">
        <f t="shared" si="26"/>
        <v>489.89063563656441</v>
      </c>
    </row>
    <row r="132" spans="1:57" s="65" customFormat="1" x14ac:dyDescent="0.25">
      <c r="A132" s="785"/>
      <c r="B132" s="785"/>
      <c r="C132" s="92" t="s">
        <v>1241</v>
      </c>
      <c r="D132" s="2016" t="s">
        <v>797</v>
      </c>
      <c r="E132" s="892" t="s">
        <v>1243</v>
      </c>
      <c r="F132" s="788">
        <f>ROUND(((J216*J288*(1/J360-1/J432))/1000)*J576,2)</f>
        <v>300.81</v>
      </c>
      <c r="G132" s="1161" t="s">
        <v>1214</v>
      </c>
      <c r="H132" s="239">
        <f>VLOOKUP(G132,'CP FACTORS'!$A$3:$B$38, 2, FALSE)</f>
        <v>9.4741810000000004E-4</v>
      </c>
      <c r="I132" s="2015">
        <f t="shared" si="23"/>
        <v>0.284993</v>
      </c>
      <c r="J132" s="885">
        <f t="shared" si="30"/>
        <v>12</v>
      </c>
      <c r="K132" s="886">
        <f t="shared" si="24"/>
        <v>0</v>
      </c>
      <c r="L132" s="95">
        <f t="shared" si="25"/>
        <v>2</v>
      </c>
      <c r="M132" s="177"/>
      <c r="N132" s="2017"/>
      <c r="O132" s="177"/>
      <c r="P132" s="177"/>
      <c r="Q132" s="177"/>
      <c r="R132" s="177"/>
      <c r="S132" s="177"/>
      <c r="T132" s="177"/>
      <c r="U132" s="177"/>
      <c r="V132" s="245" t="s">
        <v>20</v>
      </c>
      <c r="W132" s="887">
        <v>787.9657500000003</v>
      </c>
      <c r="X132" s="888">
        <v>428.65550480769241</v>
      </c>
      <c r="Y132" s="889">
        <v>300.81</v>
      </c>
      <c r="Z132" s="890"/>
      <c r="AA132" s="64"/>
      <c r="AB132" s="64"/>
      <c r="AC132" s="64"/>
      <c r="AD132" s="64"/>
      <c r="AE132" s="64"/>
      <c r="AF132" s="64"/>
      <c r="AG132" s="64"/>
      <c r="AH132" s="248"/>
      <c r="AY132"/>
      <c r="AZ132"/>
      <c r="BB132" s="348"/>
      <c r="BC132" s="892" t="str">
        <f t="shared" si="22"/>
        <v>Cooling RES ER2 12 Year EUL</v>
      </c>
      <c r="BD132" s="894">
        <f>(INDEX('Avoided Cost Benefits'!$C$4:$C$857,MATCH(BC132,'Avoided Cost Benefits'!$A$4:$A$857,0)))*F132</f>
        <v>355.65473604972163</v>
      </c>
      <c r="BE132" s="74">
        <f t="shared" si="26"/>
        <v>0</v>
      </c>
    </row>
    <row r="133" spans="1:57" s="65" customFormat="1" x14ac:dyDescent="0.25">
      <c r="A133" s="785"/>
      <c r="B133" s="785"/>
      <c r="C133" s="92" t="s">
        <v>1244</v>
      </c>
      <c r="D133" s="2016" t="s">
        <v>792</v>
      </c>
      <c r="E133" s="892" t="str">
        <f>CONCATENATE(E131,"_CompE")</f>
        <v>CAC - SEER 16 ER1: MF_CompE</v>
      </c>
      <c r="F133" s="788">
        <f>ROUND(((J217*J289*(1/J505-1/J433))/1000)*J577,2)</f>
        <v>872.89</v>
      </c>
      <c r="G133" s="1161" t="s">
        <v>737</v>
      </c>
      <c r="H133" s="239">
        <f>VLOOKUP(G133,'CP FACTORS'!$A$3:$B$38, 2, FALSE)</f>
        <v>9.4741810000000004E-4</v>
      </c>
      <c r="I133" s="2015">
        <f t="shared" si="23"/>
        <v>0.82699199999999995</v>
      </c>
      <c r="J133" s="885">
        <f t="shared" si="30"/>
        <v>6</v>
      </c>
      <c r="K133" s="886">
        <f t="shared" si="24"/>
        <v>519.03912845694003</v>
      </c>
      <c r="L133" s="95">
        <f t="shared" si="25"/>
        <v>2</v>
      </c>
      <c r="M133" s="177"/>
      <c r="N133" s="2017"/>
      <c r="O133" s="177"/>
      <c r="P133" s="177"/>
      <c r="Q133" s="177"/>
      <c r="R133" s="177"/>
      <c r="S133" s="177"/>
      <c r="T133" s="177"/>
      <c r="U133" s="177"/>
      <c r="V133" s="245" t="s">
        <v>20</v>
      </c>
      <c r="W133" s="887"/>
      <c r="X133" s="888"/>
      <c r="Y133" s="889">
        <v>872.89</v>
      </c>
      <c r="Z133" s="890"/>
      <c r="AA133" s="64"/>
      <c r="AB133" s="64"/>
      <c r="AC133" s="64"/>
      <c r="AD133" s="64"/>
      <c r="AE133" s="64"/>
      <c r="AF133" s="64"/>
      <c r="AG133" s="64"/>
      <c r="AH133" s="248"/>
      <c r="AY133"/>
      <c r="AZ133"/>
      <c r="BB133" s="350">
        <f>(BD133+BD134)/(BE133+BE134)</f>
        <v>1.5640809810611827</v>
      </c>
      <c r="BC133" s="884" t="str">
        <f t="shared" si="22"/>
        <v>Cooling RES 6 Year EUL</v>
      </c>
      <c r="BD133" s="894">
        <f>(INDEX('Avoided Cost Benefits'!$C$4:$C$857,MATCH(BC133,'Avoided Cost Benefits'!$A$4:$A$857,0)))*F133</f>
        <v>507.57171098433861</v>
      </c>
      <c r="BE133" s="74">
        <f t="shared" si="26"/>
        <v>489.89063563656441</v>
      </c>
    </row>
    <row r="134" spans="1:57" s="65" customFormat="1" x14ac:dyDescent="0.25">
      <c r="A134" s="785"/>
      <c r="B134" s="785"/>
      <c r="C134" s="92" t="s">
        <v>1244</v>
      </c>
      <c r="D134" s="2016" t="s">
        <v>792</v>
      </c>
      <c r="E134" s="892" t="str">
        <f>CONCATENATE(E132,"_CompE")</f>
        <v>CAC - SEER 16 ER2: MF_CompE</v>
      </c>
      <c r="F134" s="788">
        <f>ROUND(((J218*J290*(1/J362-1/J434))/1000)*J578,2)</f>
        <v>218.77</v>
      </c>
      <c r="G134" s="1161" t="s">
        <v>1214</v>
      </c>
      <c r="H134" s="239">
        <f>VLOOKUP(G134,'CP FACTORS'!$A$3:$B$38, 2, FALSE)</f>
        <v>9.4741810000000004E-4</v>
      </c>
      <c r="I134" s="2015">
        <f t="shared" si="23"/>
        <v>0.20726700000000001</v>
      </c>
      <c r="J134" s="885">
        <f t="shared" si="30"/>
        <v>12</v>
      </c>
      <c r="K134" s="886">
        <f t="shared" si="24"/>
        <v>0</v>
      </c>
      <c r="L134" s="95">
        <f t="shared" si="25"/>
        <v>2</v>
      </c>
      <c r="M134" s="177"/>
      <c r="N134" s="2017"/>
      <c r="O134" s="177"/>
      <c r="P134" s="177"/>
      <c r="Q134" s="177"/>
      <c r="R134" s="177"/>
      <c r="S134" s="177"/>
      <c r="T134" s="177"/>
      <c r="U134" s="177"/>
      <c r="V134" s="245" t="s">
        <v>20</v>
      </c>
      <c r="W134" s="887"/>
      <c r="X134" s="888"/>
      <c r="Y134" s="889">
        <v>218.77</v>
      </c>
      <c r="Z134" s="890"/>
      <c r="AA134" s="64"/>
      <c r="AB134" s="64"/>
      <c r="AC134" s="64"/>
      <c r="AD134" s="64"/>
      <c r="AE134" s="64"/>
      <c r="AF134" s="64"/>
      <c r="AG134" s="64"/>
      <c r="AH134" s="248"/>
      <c r="AY134"/>
      <c r="AZ134"/>
      <c r="BB134" s="348"/>
      <c r="BC134" s="892" t="str">
        <f t="shared" si="22"/>
        <v>Cooling RES ER2 12 Year EUL</v>
      </c>
      <c r="BD134" s="894">
        <f>(INDEX('Avoided Cost Benefits'!$C$4:$C$857,MATCH(BC134,'Avoided Cost Benefits'!$A$4:$A$857,0)))*F134</f>
        <v>258.65691501478545</v>
      </c>
      <c r="BE134" s="74">
        <f t="shared" si="26"/>
        <v>0</v>
      </c>
    </row>
    <row r="135" spans="1:57" s="65" customFormat="1" x14ac:dyDescent="0.25">
      <c r="A135" s="785"/>
      <c r="B135" s="785"/>
      <c r="C135" s="92" t="s">
        <v>1245</v>
      </c>
      <c r="D135" s="2016" t="s">
        <v>797</v>
      </c>
      <c r="E135" s="895" t="s">
        <v>1246</v>
      </c>
      <c r="F135" s="788">
        <f>ROUND(((J219*J291*(1/J363-1/J435))/1000)*J579,2)</f>
        <v>300.81</v>
      </c>
      <c r="G135" s="1161" t="s">
        <v>737</v>
      </c>
      <c r="H135" s="239">
        <f>VLOOKUP(G135,'CP FACTORS'!$A$3:$B$38, 2, FALSE)</f>
        <v>9.4741810000000004E-4</v>
      </c>
      <c r="I135" s="2015">
        <f t="shared" si="23"/>
        <v>0.284993</v>
      </c>
      <c r="J135" s="885">
        <f t="shared" si="30"/>
        <v>18</v>
      </c>
      <c r="K135" s="886">
        <f t="shared" si="24"/>
        <v>221</v>
      </c>
      <c r="L135" s="95">
        <f t="shared" si="25"/>
        <v>2</v>
      </c>
      <c r="M135" s="177"/>
      <c r="N135" s="2017"/>
      <c r="O135" s="177"/>
      <c r="P135" s="177"/>
      <c r="Q135" s="177"/>
      <c r="R135" s="177"/>
      <c r="S135" s="177"/>
      <c r="T135" s="177"/>
      <c r="U135" s="177"/>
      <c r="V135" s="245" t="s">
        <v>20</v>
      </c>
      <c r="W135" s="887">
        <v>283.51125000000008</v>
      </c>
      <c r="X135" s="888">
        <v>428.65550480769241</v>
      </c>
      <c r="Y135" s="889">
        <v>300.81</v>
      </c>
      <c r="Z135" s="890"/>
      <c r="AA135" s="64"/>
      <c r="AB135" s="64"/>
      <c r="AC135" s="64"/>
      <c r="AD135" s="64"/>
      <c r="AE135" s="64"/>
      <c r="AF135" s="64"/>
      <c r="AG135" s="64"/>
      <c r="AH135" s="248"/>
      <c r="AY135"/>
      <c r="AZ135"/>
      <c r="BB135" s="350">
        <f>(BD135)/(BE135)</f>
        <v>2.5436197322840819</v>
      </c>
      <c r="BC135" s="895" t="str">
        <f t="shared" si="22"/>
        <v>Cooling RES 18 Year EUL</v>
      </c>
      <c r="BD135" s="894">
        <f>(INDEX('Avoided Cost Benefits'!$C$4:$C$857,MATCH(BC135,'Avoided Cost Benefits'!$A$4:$A$857,0)))*F135</f>
        <v>530.57098710220112</v>
      </c>
      <c r="BE135" s="74">
        <f t="shared" si="26"/>
        <v>208.58895705521471</v>
      </c>
    </row>
    <row r="136" spans="1:57" s="65" customFormat="1" x14ac:dyDescent="0.25">
      <c r="A136" s="785"/>
      <c r="B136" s="785"/>
      <c r="C136" s="92" t="s">
        <v>1247</v>
      </c>
      <c r="D136" s="2016" t="s">
        <v>792</v>
      </c>
      <c r="E136" s="892" t="str">
        <f>CONCATENATE(E135,"_CompE")</f>
        <v>CAC - SEER 16 ROF: MF_CompE</v>
      </c>
      <c r="F136" s="788">
        <f>ROUND(((J220*J292*(1/J364-1/J436))/1000)*J580,2)</f>
        <v>218.77</v>
      </c>
      <c r="G136" s="1161" t="s">
        <v>737</v>
      </c>
      <c r="H136" s="239">
        <f>VLOOKUP(G136,'CP FACTORS'!$A$3:$B$38, 2, FALSE)</f>
        <v>9.4741810000000004E-4</v>
      </c>
      <c r="I136" s="2015">
        <f t="shared" si="23"/>
        <v>0.20726700000000001</v>
      </c>
      <c r="J136" s="897">
        <v>18</v>
      </c>
      <c r="K136" s="886">
        <f t="shared" si="24"/>
        <v>221</v>
      </c>
      <c r="L136" s="95">
        <f t="shared" si="25"/>
        <v>2</v>
      </c>
      <c r="M136" s="177"/>
      <c r="N136" s="2017"/>
      <c r="O136" s="177"/>
      <c r="P136" s="177"/>
      <c r="Q136" s="177"/>
      <c r="R136" s="177"/>
      <c r="S136" s="177"/>
      <c r="T136" s="177"/>
      <c r="U136" s="177"/>
      <c r="V136" s="245" t="s">
        <v>20</v>
      </c>
      <c r="W136" s="887"/>
      <c r="X136" s="888"/>
      <c r="Y136" s="889">
        <v>218.77</v>
      </c>
      <c r="Z136" s="890"/>
      <c r="AA136" s="64"/>
      <c r="AB136" s="64"/>
      <c r="AC136" s="64"/>
      <c r="AD136" s="64"/>
      <c r="AE136" s="64"/>
      <c r="AF136" s="64"/>
      <c r="AG136" s="64"/>
      <c r="AH136" s="248"/>
      <c r="AY136"/>
      <c r="AZ136"/>
      <c r="BB136" s="350">
        <f>(BD136)/(BE136)</f>
        <v>1.8498975726597808</v>
      </c>
      <c r="BC136" s="895" t="str">
        <f t="shared" si="22"/>
        <v>Cooling RES 18 Year EUL</v>
      </c>
      <c r="BD136" s="894">
        <f>(INDEX('Avoided Cost Benefits'!$C$4:$C$857,MATCH(BC136,'Avoided Cost Benefits'!$A$4:$A$857,0)))*F136</f>
        <v>385.86820534007694</v>
      </c>
      <c r="BE136" s="74">
        <f t="shared" si="26"/>
        <v>208.58895705521471</v>
      </c>
    </row>
    <row r="137" spans="1:57" s="65" customFormat="1" x14ac:dyDescent="0.25">
      <c r="A137" s="785"/>
      <c r="B137" s="785"/>
      <c r="C137" s="1942" t="s">
        <v>1248</v>
      </c>
      <c r="D137" s="2016" t="s">
        <v>795</v>
      </c>
      <c r="E137" s="884" t="s">
        <v>3496</v>
      </c>
      <c r="F137" s="788">
        <f>ROUND(((J221*J293*(1/J509-1/J437))/1000)*J581,2)</f>
        <v>1953.65</v>
      </c>
      <c r="G137" s="1161" t="s">
        <v>737</v>
      </c>
      <c r="H137" s="239">
        <f>VLOOKUP(G137,'CP FACTORS'!$A$3:$B$38, 2, FALSE)</f>
        <v>9.4741810000000004E-4</v>
      </c>
      <c r="I137" s="2015">
        <f t="shared" si="23"/>
        <v>1.8509230000000001</v>
      </c>
      <c r="J137" s="885">
        <f t="shared" ref="J137:J152" si="31">J653</f>
        <v>6</v>
      </c>
      <c r="K137" s="886">
        <f t="shared" si="24"/>
        <v>1075.9998665391181</v>
      </c>
      <c r="L137" s="95">
        <f t="shared" si="25"/>
        <v>3.06</v>
      </c>
      <c r="M137" s="177"/>
      <c r="N137" s="2017"/>
      <c r="O137" s="177"/>
      <c r="P137" s="177"/>
      <c r="Q137" s="177"/>
      <c r="R137" s="177"/>
      <c r="S137" s="177"/>
      <c r="T137" s="177"/>
      <c r="U137" s="177"/>
      <c r="V137" s="245" t="s">
        <v>20</v>
      </c>
      <c r="W137" s="887">
        <v>2040.7162123385942</v>
      </c>
      <c r="X137" s="888">
        <v>1979.1918367346937</v>
      </c>
      <c r="Y137" s="889">
        <v>1953.65</v>
      </c>
      <c r="Z137" s="890"/>
      <c r="AA137" s="64"/>
      <c r="AB137" s="64"/>
      <c r="AC137" s="64"/>
      <c r="AD137" s="64"/>
      <c r="AE137" s="64"/>
      <c r="AF137" s="64"/>
      <c r="AG137" s="64"/>
      <c r="AH137" s="248"/>
      <c r="AY137"/>
      <c r="AZ137"/>
      <c r="BB137" s="350">
        <f>(BD137+BD138)/(BE137+BE138)</f>
        <v>1.7909761469697716</v>
      </c>
      <c r="BC137" s="884" t="str">
        <f t="shared" si="22"/>
        <v>Cooling RES 6 Year EUL</v>
      </c>
      <c r="BD137" s="894">
        <f>(INDEX('Avoided Cost Benefits'!$C$4:$C$857,MATCH(BC137,'Avoided Cost Benefits'!$A$4:$A$857,0)))*F137</f>
        <v>1136.0165349179772</v>
      </c>
      <c r="BE137" s="74">
        <f t="shared" si="26"/>
        <v>1015.5732577056328</v>
      </c>
    </row>
    <row r="138" spans="1:57" s="65" customFormat="1" x14ac:dyDescent="0.25">
      <c r="A138" s="785"/>
      <c r="B138" s="785"/>
      <c r="C138" s="1942" t="s">
        <v>1248</v>
      </c>
      <c r="D138" s="2016" t="s">
        <v>795</v>
      </c>
      <c r="E138" s="892" t="s">
        <v>3497</v>
      </c>
      <c r="F138" s="788">
        <f>ROUND(((J222*J294*(1/J366-1/J438))/1000)*J582,2)</f>
        <v>577.54999999999995</v>
      </c>
      <c r="G138" s="1161" t="s">
        <v>1214</v>
      </c>
      <c r="H138" s="239">
        <f>VLOOKUP(G138,'CP FACTORS'!$A$3:$B$38, 2, FALSE)</f>
        <v>9.4741810000000004E-4</v>
      </c>
      <c r="I138" s="2015">
        <f t="shared" si="23"/>
        <v>0.54718100000000003</v>
      </c>
      <c r="J138" s="885">
        <f t="shared" si="31"/>
        <v>12</v>
      </c>
      <c r="K138" s="886">
        <f t="shared" si="24"/>
        <v>0</v>
      </c>
      <c r="L138" s="95">
        <f t="shared" si="25"/>
        <v>3.06</v>
      </c>
      <c r="M138" s="177"/>
      <c r="N138" s="2017"/>
      <c r="O138" s="177"/>
      <c r="P138" s="177"/>
      <c r="Q138" s="177"/>
      <c r="R138" s="177"/>
      <c r="S138" s="177"/>
      <c r="T138" s="177"/>
      <c r="U138" s="177"/>
      <c r="V138" s="245" t="s">
        <v>20</v>
      </c>
      <c r="W138" s="887">
        <v>1331.1035294117648</v>
      </c>
      <c r="X138" s="888">
        <v>585.10045248868789</v>
      </c>
      <c r="Y138" s="889">
        <v>577.54999999999995</v>
      </c>
      <c r="Z138" s="890"/>
      <c r="AA138" s="64"/>
      <c r="AB138" s="64"/>
      <c r="AC138" s="64"/>
      <c r="AD138" s="64"/>
      <c r="AE138" s="64"/>
      <c r="AF138" s="64"/>
      <c r="AG138" s="64"/>
      <c r="AH138" s="248"/>
      <c r="AY138"/>
      <c r="AZ138"/>
      <c r="BB138" s="348"/>
      <c r="BC138" s="892" t="str">
        <f t="shared" si="22"/>
        <v>Cooling RES ER2 12 Year EUL</v>
      </c>
      <c r="BD138" s="894">
        <f>(INDEX('Avoided Cost Benefits'!$C$4:$C$857,MATCH(BC138,'Avoided Cost Benefits'!$A$4:$A$857,0)))*F138</f>
        <v>682.85094513319609</v>
      </c>
      <c r="BE138" s="74">
        <f t="shared" si="26"/>
        <v>0</v>
      </c>
    </row>
    <row r="139" spans="1:57" s="65" customFormat="1" x14ac:dyDescent="0.25">
      <c r="A139" s="785"/>
      <c r="B139" s="785"/>
      <c r="C139" s="1942" t="s">
        <v>1249</v>
      </c>
      <c r="D139" s="2016" t="s">
        <v>795</v>
      </c>
      <c r="E139" s="895" t="s">
        <v>3498</v>
      </c>
      <c r="F139" s="788">
        <f>ROUND(((J223*J295*(1/J367-1/J439))/1000)*J583,2)</f>
        <v>564.34</v>
      </c>
      <c r="G139" s="1161" t="s">
        <v>737</v>
      </c>
      <c r="H139" s="239">
        <f>VLOOKUP(G139,'CP FACTORS'!$A$3:$B$38, 2, FALSE)</f>
        <v>9.4741810000000004E-4</v>
      </c>
      <c r="I139" s="2015">
        <f t="shared" si="23"/>
        <v>0.53466599999999997</v>
      </c>
      <c r="J139" s="885">
        <f t="shared" si="31"/>
        <v>18</v>
      </c>
      <c r="K139" s="886">
        <f t="shared" si="24"/>
        <v>620</v>
      </c>
      <c r="L139" s="95">
        <f t="shared" si="25"/>
        <v>2.99</v>
      </c>
      <c r="M139" s="177"/>
      <c r="N139" s="2017"/>
      <c r="O139" s="177"/>
      <c r="P139" s="177"/>
      <c r="Q139" s="177"/>
      <c r="R139" s="177"/>
      <c r="S139" s="177"/>
      <c r="T139" s="177"/>
      <c r="U139" s="177"/>
      <c r="V139" s="245" t="s">
        <v>20</v>
      </c>
      <c r="W139" s="887">
        <v>547.35203619909521</v>
      </c>
      <c r="X139" s="888">
        <v>547.35203619909521</v>
      </c>
      <c r="Y139" s="889">
        <v>564.34</v>
      </c>
      <c r="Z139" s="890"/>
      <c r="AA139" s="64"/>
      <c r="AB139" s="64"/>
      <c r="AC139" s="64"/>
      <c r="AD139" s="64"/>
      <c r="AE139" s="64"/>
      <c r="AF139" s="64"/>
      <c r="AG139" s="64"/>
      <c r="AH139" s="248"/>
      <c r="AY139"/>
      <c r="AZ139"/>
      <c r="BB139" s="350">
        <f>(BD139)/(BE139)</f>
        <v>1.700988328810604</v>
      </c>
      <c r="BC139" s="895" t="str">
        <f t="shared" si="22"/>
        <v>Cooling RES 18 Year EUL</v>
      </c>
      <c r="BD139" s="894">
        <f>(INDEX('Avoided Cost Benefits'!$C$4:$C$857,MATCH(BC139,'Avoided Cost Benefits'!$A$4:$A$857,0)))*F139</f>
        <v>995.38722403263262</v>
      </c>
      <c r="BE139" s="74">
        <f t="shared" si="26"/>
        <v>585.18168947616789</v>
      </c>
    </row>
    <row r="140" spans="1:57" s="65" customFormat="1" x14ac:dyDescent="0.25">
      <c r="A140" s="785"/>
      <c r="B140" s="785"/>
      <c r="C140" s="1942" t="s">
        <v>1250</v>
      </c>
      <c r="D140" s="2016" t="s">
        <v>797</v>
      </c>
      <c r="E140" s="884" t="s">
        <v>3499</v>
      </c>
      <c r="F140" s="788">
        <f>ROUND(((J224*J296*(1/J512-1/J440))/1000)*J584,2)</f>
        <v>1276.9000000000001</v>
      </c>
      <c r="G140" s="1161" t="s">
        <v>737</v>
      </c>
      <c r="H140" s="239">
        <f>VLOOKUP(G140,'CP FACTORS'!$A$3:$B$38, 2, FALSE)</f>
        <v>9.4741810000000004E-4</v>
      </c>
      <c r="I140" s="2015">
        <f t="shared" si="23"/>
        <v>1.2097579999999999</v>
      </c>
      <c r="J140" s="885">
        <f t="shared" si="31"/>
        <v>6</v>
      </c>
      <c r="K140" s="886">
        <f t="shared" si="24"/>
        <v>918.03912845694003</v>
      </c>
      <c r="L140" s="95">
        <f t="shared" si="25"/>
        <v>2</v>
      </c>
      <c r="M140" s="177"/>
      <c r="N140" s="2017"/>
      <c r="O140" s="177"/>
      <c r="P140" s="177"/>
      <c r="Q140" s="177"/>
      <c r="R140" s="177"/>
      <c r="S140" s="177"/>
      <c r="T140" s="177"/>
      <c r="U140" s="177"/>
      <c r="V140" s="245" t="s">
        <v>20</v>
      </c>
      <c r="W140" s="887">
        <v>1326.4655380200863</v>
      </c>
      <c r="X140" s="888">
        <v>1979.1918367346937</v>
      </c>
      <c r="Y140" s="889">
        <v>1276.9000000000001</v>
      </c>
      <c r="Z140" s="890"/>
      <c r="AA140" s="64"/>
      <c r="AB140" s="64"/>
      <c r="AC140" s="64"/>
      <c r="AD140" s="64"/>
      <c r="AE140" s="64"/>
      <c r="AF140" s="64"/>
      <c r="AG140" s="64"/>
      <c r="AH140" s="248"/>
      <c r="AY140"/>
      <c r="AZ140"/>
      <c r="BB140" s="350">
        <f>(BD140+BD141)/(BE140+BE141)</f>
        <v>1.3719831808598382</v>
      </c>
      <c r="BC140" s="884" t="str">
        <f t="shared" si="22"/>
        <v>Cooling RES 6 Year EUL</v>
      </c>
      <c r="BD140" s="894">
        <f>(INDEX('Avoided Cost Benefits'!$C$4:$C$857,MATCH(BC140,'Avoided Cost Benefits'!$A$4:$A$857,0)))*F140</f>
        <v>742.49712765171103</v>
      </c>
      <c r="BE140" s="74">
        <f t="shared" si="26"/>
        <v>866.48336805751762</v>
      </c>
    </row>
    <row r="141" spans="1:57" s="65" customFormat="1" x14ac:dyDescent="0.25">
      <c r="A141" s="785"/>
      <c r="B141" s="785"/>
      <c r="C141" s="1942" t="s">
        <v>1250</v>
      </c>
      <c r="D141" s="2016" t="s">
        <v>797</v>
      </c>
      <c r="E141" s="892" t="s">
        <v>3500</v>
      </c>
      <c r="F141" s="788">
        <f>ROUND(((J225*J297*(1/J369-1/J441))/1000)*J585,2)</f>
        <v>377.48</v>
      </c>
      <c r="G141" s="1161" t="s">
        <v>1214</v>
      </c>
      <c r="H141" s="239">
        <f>VLOOKUP(G141,'CP FACTORS'!$A$3:$B$38, 2, FALSE)</f>
        <v>9.4741810000000004E-4</v>
      </c>
      <c r="I141" s="2015">
        <f t="shared" si="23"/>
        <v>0.35763099999999998</v>
      </c>
      <c r="J141" s="885">
        <f t="shared" si="31"/>
        <v>12</v>
      </c>
      <c r="K141" s="886">
        <f t="shared" si="24"/>
        <v>0</v>
      </c>
      <c r="L141" s="95">
        <f t="shared" si="25"/>
        <v>2</v>
      </c>
      <c r="M141" s="177"/>
      <c r="N141" s="2017"/>
      <c r="O141" s="177"/>
      <c r="P141" s="177"/>
      <c r="Q141" s="177"/>
      <c r="R141" s="177"/>
      <c r="S141" s="177"/>
      <c r="T141" s="177"/>
      <c r="U141" s="177"/>
      <c r="V141" s="245" t="s">
        <v>20</v>
      </c>
      <c r="W141" s="887">
        <v>865.21729411764716</v>
      </c>
      <c r="X141" s="888">
        <v>585.10045248868789</v>
      </c>
      <c r="Y141" s="889">
        <v>377.48</v>
      </c>
      <c r="Z141" s="890"/>
      <c r="AA141" s="64"/>
      <c r="AB141" s="64"/>
      <c r="AC141" s="64"/>
      <c r="AD141" s="64"/>
      <c r="AE141" s="64"/>
      <c r="AF141" s="64"/>
      <c r="AG141" s="64"/>
      <c r="AH141" s="248"/>
      <c r="AY141"/>
      <c r="AZ141"/>
      <c r="BB141" s="348"/>
      <c r="BC141" s="892" t="str">
        <f t="shared" si="22"/>
        <v>Cooling RES ER2 12 Year EUL</v>
      </c>
      <c r="BD141" s="894">
        <f>(INDEX('Avoided Cost Benefits'!$C$4:$C$857,MATCH(BC141,'Avoided Cost Benefits'!$A$4:$A$857,0)))*F141</f>
        <v>446.30347981798786</v>
      </c>
      <c r="BE141" s="74">
        <f t="shared" si="26"/>
        <v>0</v>
      </c>
    </row>
    <row r="142" spans="1:57" s="65" customFormat="1" x14ac:dyDescent="0.25">
      <c r="A142" s="785"/>
      <c r="B142" s="785"/>
      <c r="C142" s="1942" t="s">
        <v>1251</v>
      </c>
      <c r="D142" s="2016" t="s">
        <v>792</v>
      </c>
      <c r="E142" s="892" t="str">
        <f>CONCATENATE(E140,"_CompE")</f>
        <v>CAC - SEER 17 ER1: MF_CompE</v>
      </c>
      <c r="F142" s="788">
        <f>ROUND(((J226*J298*(1/J514-1/J442))/1000)*J586,2)</f>
        <v>928.65</v>
      </c>
      <c r="G142" s="1161" t="s">
        <v>737</v>
      </c>
      <c r="H142" s="239">
        <f>VLOOKUP(G142,'CP FACTORS'!$A$3:$B$38, 2, FALSE)</f>
        <v>9.4741810000000004E-4</v>
      </c>
      <c r="I142" s="2015">
        <f t="shared" si="23"/>
        <v>0.87982000000000005</v>
      </c>
      <c r="J142" s="885">
        <f t="shared" si="31"/>
        <v>6</v>
      </c>
      <c r="K142" s="886">
        <f t="shared" si="24"/>
        <v>918.03912845694003</v>
      </c>
      <c r="L142" s="95">
        <f t="shared" si="25"/>
        <v>2</v>
      </c>
      <c r="M142" s="177"/>
      <c r="N142" s="2017"/>
      <c r="O142" s="177"/>
      <c r="P142" s="177"/>
      <c r="Q142" s="177"/>
      <c r="R142" s="177"/>
      <c r="S142" s="177"/>
      <c r="T142" s="177"/>
      <c r="U142" s="177"/>
      <c r="V142" s="245" t="s">
        <v>20</v>
      </c>
      <c r="W142" s="887"/>
      <c r="X142" s="888"/>
      <c r="Y142" s="889">
        <v>928.65</v>
      </c>
      <c r="Z142" s="890"/>
      <c r="AA142" s="64"/>
      <c r="AB142" s="64"/>
      <c r="AC142" s="64"/>
      <c r="AD142" s="64"/>
      <c r="AE142" s="64"/>
      <c r="AF142" s="64"/>
      <c r="AG142" s="64"/>
      <c r="AH142" s="248"/>
      <c r="AY142"/>
      <c r="AZ142"/>
      <c r="BB142" s="350">
        <f>(BD142+BD143)/(BE142+BE143)</f>
        <v>0.99780165886713523</v>
      </c>
      <c r="BC142" s="884" t="str">
        <f t="shared" si="22"/>
        <v>Cooling RES 6 Year EUL</v>
      </c>
      <c r="BD142" s="894">
        <f>(INDEX('Avoided Cost Benefits'!$C$4:$C$857,MATCH(BC142,'Avoided Cost Benefits'!$A$4:$A$857,0)))*F142</f>
        <v>539.99526790959453</v>
      </c>
      <c r="BE142" s="74">
        <f t="shared" si="26"/>
        <v>866.48336805751762</v>
      </c>
    </row>
    <row r="143" spans="1:57" s="65" customFormat="1" x14ac:dyDescent="0.25">
      <c r="A143" s="785"/>
      <c r="B143" s="785"/>
      <c r="C143" s="1942" t="s">
        <v>1251</v>
      </c>
      <c r="D143" s="2016" t="s">
        <v>792</v>
      </c>
      <c r="E143" s="892" t="str">
        <f>CONCATENATE(E141,"_CompE")</f>
        <v>CAC - SEER 17 ER2: MF_CompE</v>
      </c>
      <c r="F143" s="788">
        <f>ROUND(((J227*J299*(1/J371-1/J443))/1000)*J587,2)</f>
        <v>274.52999999999997</v>
      </c>
      <c r="G143" s="1161" t="s">
        <v>1214</v>
      </c>
      <c r="H143" s="239">
        <f>VLOOKUP(G143,'CP FACTORS'!$A$3:$B$38, 2, FALSE)</f>
        <v>9.4741810000000004E-4</v>
      </c>
      <c r="I143" s="2015">
        <f t="shared" si="23"/>
        <v>0.26009500000000002</v>
      </c>
      <c r="J143" s="885">
        <f t="shared" si="31"/>
        <v>12</v>
      </c>
      <c r="K143" s="886">
        <f t="shared" si="24"/>
        <v>0</v>
      </c>
      <c r="L143" s="95">
        <f t="shared" si="25"/>
        <v>2</v>
      </c>
      <c r="M143" s="177"/>
      <c r="N143" s="2017"/>
      <c r="O143" s="177"/>
      <c r="P143" s="177"/>
      <c r="Q143" s="177"/>
      <c r="R143" s="177"/>
      <c r="S143" s="177"/>
      <c r="T143" s="177"/>
      <c r="U143" s="177"/>
      <c r="V143" s="245" t="s">
        <v>20</v>
      </c>
      <c r="W143" s="887"/>
      <c r="X143" s="888"/>
      <c r="Y143" s="889">
        <v>274.52999999999997</v>
      </c>
      <c r="Z143" s="890"/>
      <c r="AA143" s="64"/>
      <c r="AB143" s="64"/>
      <c r="AC143" s="64"/>
      <c r="AD143" s="64"/>
      <c r="AE143" s="64"/>
      <c r="AF143" s="64"/>
      <c r="AG143" s="64"/>
      <c r="AH143" s="248"/>
      <c r="AY143"/>
      <c r="AZ143"/>
      <c r="BB143" s="348"/>
      <c r="BC143" s="892" t="str">
        <f t="shared" si="22"/>
        <v>Cooling RES ER2 12 Year EUL</v>
      </c>
      <c r="BD143" s="894">
        <f>(INDEX('Avoided Cost Benefits'!$C$4:$C$857,MATCH(BC143,'Avoided Cost Benefits'!$A$4:$A$857,0)))*F143</f>
        <v>324.58327411897903</v>
      </c>
      <c r="BE143" s="74">
        <f t="shared" si="26"/>
        <v>0</v>
      </c>
    </row>
    <row r="144" spans="1:57" s="65" customFormat="1" x14ac:dyDescent="0.25">
      <c r="A144" s="785"/>
      <c r="B144" s="785"/>
      <c r="C144" s="1942" t="s">
        <v>1252</v>
      </c>
      <c r="D144" s="2016" t="s">
        <v>797</v>
      </c>
      <c r="E144" s="895" t="s">
        <v>3501</v>
      </c>
      <c r="F144" s="788">
        <f>ROUND(((J228*J300*(1/J372-1/J444))/1000)*J588,2)</f>
        <v>377.48</v>
      </c>
      <c r="G144" s="1161" t="s">
        <v>737</v>
      </c>
      <c r="H144" s="239">
        <f>VLOOKUP(G144,'CP FACTORS'!$A$3:$B$38, 2, FALSE)</f>
        <v>9.4741810000000004E-4</v>
      </c>
      <c r="I144" s="2015">
        <f t="shared" si="23"/>
        <v>0.35763099999999998</v>
      </c>
      <c r="J144" s="885">
        <f t="shared" si="31"/>
        <v>18</v>
      </c>
      <c r="K144" s="886">
        <f t="shared" si="24"/>
        <v>620</v>
      </c>
      <c r="L144" s="95">
        <f t="shared" si="25"/>
        <v>2</v>
      </c>
      <c r="M144" s="177"/>
      <c r="N144" s="2017"/>
      <c r="O144" s="177"/>
      <c r="P144" s="177"/>
      <c r="Q144" s="177"/>
      <c r="R144" s="177"/>
      <c r="S144" s="177"/>
      <c r="T144" s="177"/>
      <c r="U144" s="177"/>
      <c r="V144" s="245" t="s">
        <v>20</v>
      </c>
      <c r="W144" s="887">
        <v>355.77882352941191</v>
      </c>
      <c r="X144" s="888">
        <v>547.35203619909521</v>
      </c>
      <c r="Y144" s="889">
        <v>377.48</v>
      </c>
      <c r="Z144" s="890"/>
      <c r="AA144" s="64"/>
      <c r="AB144" s="64"/>
      <c r="AC144" s="64"/>
      <c r="AD144" s="64"/>
      <c r="AE144" s="64"/>
      <c r="AF144" s="64"/>
      <c r="AG144" s="64"/>
      <c r="AH144" s="248"/>
      <c r="AY144"/>
      <c r="AZ144"/>
      <c r="BB144" s="350">
        <f>(BD144)/(BE144)</f>
        <v>1.1377699159361851</v>
      </c>
      <c r="BC144" s="895" t="str">
        <f t="shared" si="22"/>
        <v>Cooling RES 18 Year EUL</v>
      </c>
      <c r="BD144" s="894">
        <f>(INDEX('Avoided Cost Benefits'!$C$4:$C$857,MATCH(BC144,'Avoided Cost Benefits'!$A$4:$A$857,0)))*F144</f>
        <v>665.80212164269437</v>
      </c>
      <c r="BE144" s="74">
        <f t="shared" si="26"/>
        <v>585.18168947616789</v>
      </c>
    </row>
    <row r="145" spans="1:57" s="65" customFormat="1" x14ac:dyDescent="0.25">
      <c r="A145" s="785"/>
      <c r="B145" s="785"/>
      <c r="C145" s="1942" t="s">
        <v>1253</v>
      </c>
      <c r="D145" s="2016" t="s">
        <v>792</v>
      </c>
      <c r="E145" s="892" t="str">
        <f>CONCATENATE(E144,"_CompE")</f>
        <v>CAC - SEER 17 ROF: MF_CompE</v>
      </c>
      <c r="F145" s="788">
        <f>ROUND(((J229*J301*(1/J373-1/J445))/1000)*J589,2)</f>
        <v>274.52999999999997</v>
      </c>
      <c r="G145" s="1161" t="s">
        <v>737</v>
      </c>
      <c r="H145" s="239">
        <f>VLOOKUP(G145,'CP FACTORS'!$A$3:$B$38, 2, FALSE)</f>
        <v>9.4741810000000004E-4</v>
      </c>
      <c r="I145" s="2015">
        <f t="shared" si="23"/>
        <v>0.26009500000000002</v>
      </c>
      <c r="J145" s="885">
        <f t="shared" si="31"/>
        <v>18</v>
      </c>
      <c r="K145" s="886">
        <f t="shared" si="24"/>
        <v>620</v>
      </c>
      <c r="L145" s="95">
        <f t="shared" si="25"/>
        <v>2</v>
      </c>
      <c r="M145" s="177"/>
      <c r="N145" s="2017"/>
      <c r="O145" s="177"/>
      <c r="P145" s="177"/>
      <c r="Q145" s="177"/>
      <c r="R145" s="177"/>
      <c r="S145" s="177"/>
      <c r="T145" s="177"/>
      <c r="U145" s="177"/>
      <c r="V145" s="245" t="s">
        <v>20</v>
      </c>
      <c r="W145" s="887"/>
      <c r="X145" s="888"/>
      <c r="Y145" s="889">
        <v>274.52999999999997</v>
      </c>
      <c r="Z145" s="890"/>
      <c r="AA145" s="64"/>
      <c r="AB145" s="64"/>
      <c r="AC145" s="64"/>
      <c r="AD145" s="64"/>
      <c r="AE145" s="64"/>
      <c r="AF145" s="64"/>
      <c r="AG145" s="64"/>
      <c r="AH145" s="248"/>
      <c r="AY145"/>
      <c r="AZ145"/>
      <c r="BB145" s="434">
        <f>(BD145)/(BE145)</f>
        <v>0.8274662896629249</v>
      </c>
      <c r="BC145" s="895" t="str">
        <f t="shared" si="22"/>
        <v>Cooling RES 18 Year EUL</v>
      </c>
      <c r="BD145" s="899">
        <f>(INDEX('Avoided Cost Benefits'!$C$4:$C$857,MATCH(BC145,'Avoided Cost Benefits'!$A$4:$A$857,0)))*F145</f>
        <v>484.2181213695265</v>
      </c>
      <c r="BE145" s="76">
        <f t="shared" si="26"/>
        <v>585.18168947616789</v>
      </c>
    </row>
    <row r="146" spans="1:57" s="65" customFormat="1" x14ac:dyDescent="0.25">
      <c r="A146" s="785"/>
      <c r="B146" s="177"/>
      <c r="C146" s="2494" t="s">
        <v>3506</v>
      </c>
      <c r="D146" s="2485" t="s">
        <v>795</v>
      </c>
      <c r="E146" s="2496" t="s">
        <v>3472</v>
      </c>
      <c r="F146" s="896">
        <f>ROUND(((J230*J302*(1/J518-1/J446))/1000)*J590,2)</f>
        <v>2017.58</v>
      </c>
      <c r="G146" s="2564" t="s">
        <v>737</v>
      </c>
      <c r="H146" s="2486">
        <f>VLOOKUP(G146,'CP FACTORS'!$A$3:$B$38, 2, FALSE)</f>
        <v>9.4741810000000004E-4</v>
      </c>
      <c r="I146" s="2565">
        <f>ROUND(F146*H146,6)</f>
        <v>1.911492</v>
      </c>
      <c r="J146" s="2566">
        <f t="shared" si="31"/>
        <v>6</v>
      </c>
      <c r="K146" s="2517">
        <f>J734</f>
        <v>1273.7253593520768</v>
      </c>
      <c r="L146" s="744">
        <f>K302</f>
        <v>3</v>
      </c>
      <c r="M146" s="177"/>
      <c r="N146" s="177"/>
      <c r="O146" s="177"/>
      <c r="P146" s="177"/>
      <c r="Q146" s="177"/>
      <c r="R146" s="177"/>
      <c r="S146" s="177"/>
      <c r="T146" s="177"/>
      <c r="U146" s="177"/>
      <c r="V146" s="245" t="s">
        <v>20</v>
      </c>
      <c r="W146" s="887"/>
      <c r="X146" s="888"/>
      <c r="Y146" s="889"/>
      <c r="Z146" s="889">
        <v>2017.58</v>
      </c>
      <c r="AA146" s="64"/>
      <c r="AB146" s="64"/>
      <c r="AC146" s="64"/>
      <c r="AD146" s="64"/>
      <c r="AE146" s="64"/>
      <c r="AF146" s="64"/>
      <c r="AG146" s="64"/>
      <c r="AH146" s="248"/>
      <c r="AY146"/>
      <c r="AZ146"/>
      <c r="BB146" s="345">
        <f>(BD146+BD147)/(BE146+BE147)</f>
        <v>1.6332850893686637</v>
      </c>
      <c r="BC146" s="884" t="str">
        <f t="shared" ref="BC146:BC181" si="32">CONCATENATE(G146," ",J146," Year EUL")</f>
        <v>Cooling RES 6 Year EUL</v>
      </c>
      <c r="BD146" s="891">
        <f>(INDEX('Avoided Cost Benefits'!$C$4:$C$857,MATCH(BC146,'Avoided Cost Benefits'!$A$4:$A$857,0)))*F146</f>
        <v>1173.1908174544121</v>
      </c>
      <c r="BE146" s="70">
        <f>K146/(1.0595^(2020-2019))</f>
        <v>1202.1947705069151</v>
      </c>
    </row>
    <row r="147" spans="1:57" s="65" customFormat="1" x14ac:dyDescent="0.25">
      <c r="A147" s="785"/>
      <c r="B147" s="177"/>
      <c r="C147" s="2494" t="s">
        <v>3506</v>
      </c>
      <c r="D147" s="2498" t="s">
        <v>795</v>
      </c>
      <c r="E147" s="2497" t="s">
        <v>3473</v>
      </c>
      <c r="F147" s="342">
        <f>ROUND(((J231*J303*(1/J375-1/J447))/1000)*J591,2)</f>
        <v>668.46</v>
      </c>
      <c r="G147" s="2564" t="s">
        <v>1214</v>
      </c>
      <c r="H147" s="2486">
        <f>VLOOKUP(G147,'CP FACTORS'!$A$3:$B$38, 2, FALSE)</f>
        <v>9.4741810000000004E-4</v>
      </c>
      <c r="I147" s="2565">
        <f t="shared" ref="I147:I181" si="33">ROUND(F147*H147,6)</f>
        <v>0.63331099999999996</v>
      </c>
      <c r="J147" s="2566">
        <f t="shared" si="31"/>
        <v>12</v>
      </c>
      <c r="K147" s="2517">
        <f t="shared" ref="K147:K181" si="34">J735</f>
        <v>0</v>
      </c>
      <c r="L147" s="744">
        <f t="shared" ref="L147:L181" si="35">K303</f>
        <v>3</v>
      </c>
      <c r="M147" s="177"/>
      <c r="N147" s="177"/>
      <c r="O147" s="177"/>
      <c r="P147" s="177"/>
      <c r="Q147" s="177"/>
      <c r="R147" s="177"/>
      <c r="S147" s="177"/>
      <c r="T147" s="177"/>
      <c r="U147" s="177"/>
      <c r="V147" s="245" t="s">
        <v>20</v>
      </c>
      <c r="W147" s="887"/>
      <c r="X147" s="888"/>
      <c r="Y147" s="889"/>
      <c r="Z147" s="889">
        <v>668.46</v>
      </c>
      <c r="AA147" s="64"/>
      <c r="AB147" s="64"/>
      <c r="AC147" s="64"/>
      <c r="AD147" s="64"/>
      <c r="AE147" s="64"/>
      <c r="AF147" s="64"/>
      <c r="AG147" s="64"/>
      <c r="AH147" s="248"/>
      <c r="AY147"/>
      <c r="AZ147"/>
      <c r="BB147" s="348"/>
      <c r="BC147" s="892" t="str">
        <f t="shared" si="32"/>
        <v>Cooling RES ER2 12 Year EUL</v>
      </c>
      <c r="BD147" s="894">
        <f>(INDEX('Avoided Cost Benefits'!$C$4:$C$857,MATCH(BC147,'Avoided Cost Benefits'!$A$4:$A$857,0)))*F147</f>
        <v>790.33597573151474</v>
      </c>
      <c r="BE147" s="74">
        <f t="shared" ref="BE147:BE181" si="36">K147/(1.0595^(2020-2019))</f>
        <v>0</v>
      </c>
    </row>
    <row r="148" spans="1:57" s="65" customFormat="1" x14ac:dyDescent="0.25">
      <c r="A148" s="785"/>
      <c r="B148" s="177"/>
      <c r="C148" s="2494" t="s">
        <v>3507</v>
      </c>
      <c r="D148" s="2498" t="s">
        <v>795</v>
      </c>
      <c r="E148" s="2507" t="s">
        <v>3474</v>
      </c>
      <c r="F148" s="896">
        <f>ROUND(((J232*J304*(1/J376-1/J448))/1000)*J592,2)</f>
        <v>668.46</v>
      </c>
      <c r="G148" s="2564" t="s">
        <v>737</v>
      </c>
      <c r="H148" s="2486">
        <f>VLOOKUP(G148,'CP FACTORS'!$A$3:$B$38, 2, FALSE)</f>
        <v>9.4741810000000004E-4</v>
      </c>
      <c r="I148" s="2565">
        <f t="shared" si="33"/>
        <v>0.63331099999999996</v>
      </c>
      <c r="J148" s="2566">
        <f t="shared" si="31"/>
        <v>18</v>
      </c>
      <c r="K148" s="2517">
        <f t="shared" si="34"/>
        <v>826.66666666666708</v>
      </c>
      <c r="L148" s="744">
        <f t="shared" si="35"/>
        <v>3</v>
      </c>
      <c r="M148" s="177"/>
      <c r="N148" s="177"/>
      <c r="O148" s="177"/>
      <c r="P148" s="177"/>
      <c r="Q148" s="177"/>
      <c r="R148" s="177"/>
      <c r="S148" s="177"/>
      <c r="T148" s="177"/>
      <c r="U148" s="177"/>
      <c r="V148" s="245" t="s">
        <v>20</v>
      </c>
      <c r="W148" s="887"/>
      <c r="X148" s="888"/>
      <c r="Y148" s="889"/>
      <c r="Z148" s="889">
        <v>668.46</v>
      </c>
      <c r="AA148" s="64"/>
      <c r="AB148" s="64"/>
      <c r="AC148" s="64"/>
      <c r="AD148" s="64"/>
      <c r="AE148" s="64"/>
      <c r="AF148" s="64"/>
      <c r="AG148" s="64"/>
      <c r="AH148" s="248"/>
      <c r="AY148"/>
      <c r="AZ148"/>
      <c r="BB148" s="350">
        <f t="shared" ref="BB148" si="37">IFERROR((BD148)/(BE148),"")</f>
        <v>1.5111138563765667</v>
      </c>
      <c r="BC148" s="895" t="str">
        <f t="shared" si="32"/>
        <v>Cooling RES 18 Year EUL</v>
      </c>
      <c r="BD148" s="894">
        <f>(INDEX('Avoided Cost Benefits'!$C$4:$C$857,MATCH(BC148,'Avoided Cost Benefits'!$A$4:$A$857,0)))*F148</f>
        <v>1179.0348792870495</v>
      </c>
      <c r="BE148" s="74">
        <f t="shared" si="36"/>
        <v>780.24225263489097</v>
      </c>
    </row>
    <row r="149" spans="1:57" s="65" customFormat="1" x14ac:dyDescent="0.25">
      <c r="A149" s="785"/>
      <c r="B149" s="177"/>
      <c r="C149" s="2494" t="s">
        <v>3508</v>
      </c>
      <c r="D149" s="2498" t="s">
        <v>797</v>
      </c>
      <c r="E149" s="2496" t="s">
        <v>3475</v>
      </c>
      <c r="F149" s="896">
        <f>ROUND(((J233*J305*(1/J521-1/J449))/1000)*J593,2)</f>
        <v>1345.05</v>
      </c>
      <c r="G149" s="2564" t="s">
        <v>737</v>
      </c>
      <c r="H149" s="2486">
        <f>VLOOKUP(G149,'CP FACTORS'!$A$3:$B$38, 2, FALSE)</f>
        <v>9.4741810000000004E-4</v>
      </c>
      <c r="I149" s="2565">
        <f t="shared" si="33"/>
        <v>1.2743249999999999</v>
      </c>
      <c r="J149" s="2566">
        <f t="shared" si="31"/>
        <v>6</v>
      </c>
      <c r="K149" s="2517">
        <f t="shared" si="34"/>
        <v>1214.9316927389714</v>
      </c>
      <c r="L149" s="744">
        <f t="shared" si="35"/>
        <v>2</v>
      </c>
      <c r="M149" s="177"/>
      <c r="N149" s="177"/>
      <c r="O149" s="177"/>
      <c r="P149" s="177"/>
      <c r="Q149" s="177"/>
      <c r="R149" s="177"/>
      <c r="S149" s="177"/>
      <c r="T149" s="177"/>
      <c r="U149" s="177"/>
      <c r="V149" s="245" t="s">
        <v>20</v>
      </c>
      <c r="W149" s="887"/>
      <c r="X149" s="888"/>
      <c r="Y149" s="889"/>
      <c r="Z149" s="889">
        <v>1345.05</v>
      </c>
      <c r="AA149" s="64"/>
      <c r="AB149" s="64"/>
      <c r="AC149" s="64"/>
      <c r="AD149" s="64"/>
      <c r="AE149" s="64"/>
      <c r="AF149" s="64"/>
      <c r="AG149" s="64"/>
      <c r="AH149" s="248"/>
      <c r="AY149"/>
      <c r="AZ149"/>
      <c r="BB149" s="350">
        <f>(BD149+BD150)/(BE149+BE150)</f>
        <v>1.1415476109487479</v>
      </c>
      <c r="BC149" s="884" t="str">
        <f t="shared" si="32"/>
        <v>Cooling RES 6 Year EUL</v>
      </c>
      <c r="BD149" s="894">
        <f>(INDEX('Avoided Cost Benefits'!$C$4:$C$857,MATCH(BC149,'Avoided Cost Benefits'!$A$4:$A$857,0)))*F149</f>
        <v>782.12527335573168</v>
      </c>
      <c r="BE149" s="74">
        <f t="shared" si="36"/>
        <v>1146.7028718631159</v>
      </c>
    </row>
    <row r="150" spans="1:57" s="65" customFormat="1" x14ac:dyDescent="0.25">
      <c r="A150" s="785"/>
      <c r="B150" s="177"/>
      <c r="C150" s="2494" t="s">
        <v>3508</v>
      </c>
      <c r="D150" s="2498" t="s">
        <v>797</v>
      </c>
      <c r="E150" s="2497" t="s">
        <v>3476</v>
      </c>
      <c r="F150" s="896">
        <f>ROUND(((J234*J306*(1/J378-1/J450))/1000)*J594,2)</f>
        <v>445.64</v>
      </c>
      <c r="G150" s="2564" t="s">
        <v>1214</v>
      </c>
      <c r="H150" s="2486">
        <f>VLOOKUP(G150,'CP FACTORS'!$A$3:$B$38, 2, FALSE)</f>
        <v>9.4741810000000004E-4</v>
      </c>
      <c r="I150" s="2565">
        <f t="shared" si="33"/>
        <v>0.422207</v>
      </c>
      <c r="J150" s="2566">
        <f t="shared" si="31"/>
        <v>12</v>
      </c>
      <c r="K150" s="2517">
        <f t="shared" si="34"/>
        <v>0</v>
      </c>
      <c r="L150" s="744">
        <f t="shared" si="35"/>
        <v>2</v>
      </c>
      <c r="M150" s="177"/>
      <c r="N150" s="177"/>
      <c r="O150" s="177"/>
      <c r="P150" s="177"/>
      <c r="Q150" s="177"/>
      <c r="R150" s="177"/>
      <c r="S150" s="177"/>
      <c r="T150" s="177"/>
      <c r="U150" s="177"/>
      <c r="V150" s="245" t="s">
        <v>20</v>
      </c>
      <c r="W150" s="887"/>
      <c r="X150" s="888"/>
      <c r="Y150" s="889"/>
      <c r="Z150" s="889">
        <v>445.64</v>
      </c>
      <c r="AA150" s="64"/>
      <c r="AB150" s="64"/>
      <c r="AC150" s="64"/>
      <c r="AD150" s="64"/>
      <c r="AE150" s="64"/>
      <c r="AF150" s="64"/>
      <c r="AG150" s="64"/>
      <c r="AH150" s="248"/>
      <c r="AY150"/>
      <c r="AZ150"/>
      <c r="BB150" s="348"/>
      <c r="BC150" s="892" t="str">
        <f t="shared" si="32"/>
        <v>Cooling RES ER2 12 Year EUL</v>
      </c>
      <c r="BD150" s="894">
        <f>(INDEX('Avoided Cost Benefits'!$C$4:$C$857,MATCH(BC150,'Avoided Cost Benefits'!$A$4:$A$857,0)))*F150</f>
        <v>526.89065048767645</v>
      </c>
      <c r="BE150" s="74">
        <f t="shared" si="36"/>
        <v>0</v>
      </c>
    </row>
    <row r="151" spans="1:57" s="65" customFormat="1" x14ac:dyDescent="0.25">
      <c r="A151" s="785"/>
      <c r="B151" s="785"/>
      <c r="C151" s="2494" t="s">
        <v>3509</v>
      </c>
      <c r="D151" s="2498" t="s">
        <v>792</v>
      </c>
      <c r="E151" s="2497" t="str">
        <f>CONCATENATE(E149,"_CompE")</f>
        <v>CAC - SEER 18 ER1: MF_CompE</v>
      </c>
      <c r="F151" s="896">
        <f>ROUND(((J235*J307*(1/J523-1/J451))/1000)*J595,2)</f>
        <v>978.22</v>
      </c>
      <c r="G151" s="2564" t="s">
        <v>737</v>
      </c>
      <c r="H151" s="2486">
        <f>VLOOKUP(G151,'CP FACTORS'!$A$3:$B$38, 2, FALSE)</f>
        <v>9.4741810000000004E-4</v>
      </c>
      <c r="I151" s="2565">
        <f t="shared" si="33"/>
        <v>0.92678300000000002</v>
      </c>
      <c r="J151" s="2566">
        <f t="shared" si="31"/>
        <v>6</v>
      </c>
      <c r="K151" s="2517">
        <f t="shared" si="34"/>
        <v>1124.705795123607</v>
      </c>
      <c r="L151" s="744">
        <f t="shared" si="35"/>
        <v>2</v>
      </c>
      <c r="M151" s="177"/>
      <c r="N151" s="177"/>
      <c r="O151" s="177"/>
      <c r="P151" s="177"/>
      <c r="Q151" s="177"/>
      <c r="R151" s="177"/>
      <c r="S151" s="177"/>
      <c r="T151" s="177"/>
      <c r="U151" s="177"/>
      <c r="V151" s="245" t="s">
        <v>20</v>
      </c>
      <c r="W151" s="887"/>
      <c r="X151" s="888"/>
      <c r="Y151" s="889"/>
      <c r="Z151" s="889">
        <v>978.22</v>
      </c>
      <c r="AA151" s="64"/>
      <c r="AB151" s="64"/>
      <c r="AC151" s="64"/>
      <c r="AD151" s="64"/>
      <c r="AE151" s="64"/>
      <c r="AF151" s="64"/>
      <c r="AG151" s="64"/>
      <c r="AH151" s="248"/>
      <c r="AY151"/>
      <c r="AZ151"/>
      <c r="BB151" s="350">
        <f>(BD151+BD152)/(BE151+BE152)</f>
        <v>0.89681685377928411</v>
      </c>
      <c r="BC151" s="884" t="str">
        <f t="shared" si="32"/>
        <v>Cooling RES 6 Year EUL</v>
      </c>
      <c r="BD151" s="894">
        <f>(INDEX('Avoided Cost Benefits'!$C$4:$C$857,MATCH(BC151,'Avoided Cost Benefits'!$A$4:$A$857,0)))*F151</f>
        <v>568.8194378662829</v>
      </c>
      <c r="BE151" s="74">
        <f t="shared" si="36"/>
        <v>1061.5439312162405</v>
      </c>
    </row>
    <row r="152" spans="1:57" s="65" customFormat="1" x14ac:dyDescent="0.25">
      <c r="A152" s="785"/>
      <c r="B152" s="785"/>
      <c r="C152" s="2494" t="s">
        <v>3509</v>
      </c>
      <c r="D152" s="2498" t="s">
        <v>792</v>
      </c>
      <c r="E152" s="2497" t="str">
        <f>CONCATENATE(E150,"_CompE")</f>
        <v>CAC - SEER 18 ER2: MF_CompE</v>
      </c>
      <c r="F152" s="896">
        <f>ROUND(((J236*J308*(1/J380-1/J452))/1000)*J596,2)</f>
        <v>324.10000000000002</v>
      </c>
      <c r="G152" s="2564" t="s">
        <v>1214</v>
      </c>
      <c r="H152" s="2486">
        <f>VLOOKUP(G152,'CP FACTORS'!$A$3:$B$38, 2, FALSE)</f>
        <v>9.4741810000000004E-4</v>
      </c>
      <c r="I152" s="2565">
        <f t="shared" si="33"/>
        <v>0.307058</v>
      </c>
      <c r="J152" s="2566">
        <f t="shared" si="31"/>
        <v>12</v>
      </c>
      <c r="K152" s="2517">
        <f t="shared" si="34"/>
        <v>0</v>
      </c>
      <c r="L152" s="744">
        <f t="shared" si="35"/>
        <v>2</v>
      </c>
      <c r="M152" s="177"/>
      <c r="N152" s="177"/>
      <c r="O152" s="177"/>
      <c r="P152" s="177"/>
      <c r="Q152" s="177"/>
      <c r="R152" s="177"/>
      <c r="S152" s="177"/>
      <c r="T152" s="177"/>
      <c r="U152" s="177"/>
      <c r="V152" s="245" t="s">
        <v>20</v>
      </c>
      <c r="W152" s="887"/>
      <c r="X152" s="888"/>
      <c r="Y152" s="889"/>
      <c r="Z152" s="889">
        <v>324.10000000000002</v>
      </c>
      <c r="AA152" s="64"/>
      <c r="AB152" s="64"/>
      <c r="AC152" s="64"/>
      <c r="AD152" s="64"/>
      <c r="AE152" s="64"/>
      <c r="AF152" s="64"/>
      <c r="AG152" s="64"/>
      <c r="AH152" s="248"/>
      <c r="AY152"/>
      <c r="AZ152"/>
      <c r="BB152" s="348"/>
      <c r="BC152" s="892" t="str">
        <f t="shared" si="32"/>
        <v>Cooling RES ER2 12 Year EUL</v>
      </c>
      <c r="BD152" s="894">
        <f>(INDEX('Avoided Cost Benefits'!$C$4:$C$857,MATCH(BC152,'Avoided Cost Benefits'!$A$4:$A$857,0)))*F152</f>
        <v>383.19105067555864</v>
      </c>
      <c r="BE152" s="74">
        <f t="shared" si="36"/>
        <v>0</v>
      </c>
    </row>
    <row r="153" spans="1:57" s="65" customFormat="1" x14ac:dyDescent="0.25">
      <c r="A153" s="785"/>
      <c r="B153" s="785"/>
      <c r="C153" s="2494" t="s">
        <v>3510</v>
      </c>
      <c r="D153" s="2498" t="s">
        <v>797</v>
      </c>
      <c r="E153" s="2507" t="s">
        <v>3477</v>
      </c>
      <c r="F153" s="896">
        <f>ROUND(((J237*J309*(1/J381-1/J453))/1000)*J597,2)</f>
        <v>445.64</v>
      </c>
      <c r="G153" s="2564" t="s">
        <v>737</v>
      </c>
      <c r="H153" s="2486">
        <f>VLOOKUP(G153,'CP FACTORS'!$A$3:$B$38, 2, FALSE)</f>
        <v>9.4741810000000004E-4</v>
      </c>
      <c r="I153" s="2565">
        <f t="shared" si="33"/>
        <v>0.422207</v>
      </c>
      <c r="J153" s="2567">
        <v>18</v>
      </c>
      <c r="K153" s="2517">
        <f t="shared" si="34"/>
        <v>826.66666666666708</v>
      </c>
      <c r="L153" s="744">
        <f t="shared" si="35"/>
        <v>2</v>
      </c>
      <c r="M153" s="177"/>
      <c r="N153" s="177"/>
      <c r="O153" s="177"/>
      <c r="P153" s="177"/>
      <c r="Q153" s="177"/>
      <c r="R153" s="177"/>
      <c r="S153" s="177"/>
      <c r="T153" s="177"/>
      <c r="U153" s="177"/>
      <c r="V153" s="245" t="s">
        <v>20</v>
      </c>
      <c r="W153" s="887"/>
      <c r="X153" s="888"/>
      <c r="Y153" s="889"/>
      <c r="Z153" s="889">
        <v>445.64</v>
      </c>
      <c r="AA153" s="64"/>
      <c r="AB153" s="64"/>
      <c r="AC153" s="64"/>
      <c r="AD153" s="64"/>
      <c r="AE153" s="64"/>
      <c r="AF153" s="64"/>
      <c r="AG153" s="64"/>
      <c r="AH153" s="248"/>
      <c r="AY153"/>
      <c r="AZ153"/>
      <c r="BB153" s="350">
        <f t="shared" ref="BB153:BB154" si="38">IFERROR((BD153)/(BE153),"")</f>
        <v>1.0074092375843779</v>
      </c>
      <c r="BC153" s="895" t="str">
        <f t="shared" si="32"/>
        <v>Cooling RES 18 Year EUL</v>
      </c>
      <c r="BD153" s="894">
        <f>(INDEX('Avoided Cost Benefits'!$C$4:$C$857,MATCH(BC153,'Avoided Cost Benefits'!$A$4:$A$857,0)))*F153</f>
        <v>786.02325285803306</v>
      </c>
      <c r="BE153" s="74">
        <f t="shared" si="36"/>
        <v>780.24225263489097</v>
      </c>
    </row>
    <row r="154" spans="1:57" s="65" customFormat="1" x14ac:dyDescent="0.25">
      <c r="A154" s="785"/>
      <c r="B154" s="785"/>
      <c r="C154" s="2494" t="s">
        <v>3511</v>
      </c>
      <c r="D154" s="2498" t="s">
        <v>792</v>
      </c>
      <c r="E154" s="2497" t="str">
        <f>CONCATENATE(E153,"_CompE")</f>
        <v>CAC - SEER 18 ROF: MF_CompE</v>
      </c>
      <c r="F154" s="896">
        <f>ROUND(((J238*J310*(1/J382-1/J454))/1000)*J598,2)</f>
        <v>324.10000000000002</v>
      </c>
      <c r="G154" s="2564" t="s">
        <v>737</v>
      </c>
      <c r="H154" s="2486">
        <f>VLOOKUP(G154,'CP FACTORS'!$A$3:$B$38, 2, FALSE)</f>
        <v>9.4741810000000004E-4</v>
      </c>
      <c r="I154" s="2565">
        <f t="shared" si="33"/>
        <v>0.307058</v>
      </c>
      <c r="J154" s="2567">
        <v>18</v>
      </c>
      <c r="K154" s="2517">
        <f t="shared" si="34"/>
        <v>826.66666666666708</v>
      </c>
      <c r="L154" s="744">
        <f t="shared" si="35"/>
        <v>2</v>
      </c>
      <c r="M154" s="177"/>
      <c r="N154" s="177"/>
      <c r="O154" s="177"/>
      <c r="P154" s="177"/>
      <c r="Q154" s="177"/>
      <c r="R154" s="177"/>
      <c r="S154" s="177"/>
      <c r="T154" s="177"/>
      <c r="U154" s="177"/>
      <c r="V154" s="245" t="s">
        <v>20</v>
      </c>
      <c r="W154" s="887"/>
      <c r="X154" s="888"/>
      <c r="Y154" s="889"/>
      <c r="Z154" s="889">
        <v>324.10000000000002</v>
      </c>
      <c r="AA154" s="64"/>
      <c r="AB154" s="64"/>
      <c r="AC154" s="64"/>
      <c r="AD154" s="64"/>
      <c r="AE154" s="64"/>
      <c r="AF154" s="64"/>
      <c r="AG154" s="64"/>
      <c r="AH154" s="248"/>
      <c r="AY154"/>
      <c r="AZ154"/>
      <c r="BB154" s="350">
        <f t="shared" si="38"/>
        <v>0.73265715353446026</v>
      </c>
      <c r="BC154" s="895" t="str">
        <f t="shared" si="32"/>
        <v>Cooling RES 18 Year EUL</v>
      </c>
      <c r="BD154" s="894">
        <f>(INDEX('Avoided Cost Benefits'!$C$4:$C$857,MATCH(BC154,'Avoided Cost Benefits'!$A$4:$A$857,0)))*F154</f>
        <v>571.65006788279447</v>
      </c>
      <c r="BE154" s="74">
        <f t="shared" si="36"/>
        <v>780.24225263489097</v>
      </c>
    </row>
    <row r="155" spans="1:57" s="65" customFormat="1" x14ac:dyDescent="0.25">
      <c r="A155" s="785"/>
      <c r="B155" s="785"/>
      <c r="C155" s="2494" t="s">
        <v>3512</v>
      </c>
      <c r="D155" s="2498" t="s">
        <v>795</v>
      </c>
      <c r="E155" s="2496" t="s">
        <v>3478</v>
      </c>
      <c r="F155" s="896">
        <f>ROUND(((J239*J311*(1/J527-1/J455))/1000)*J599,2)</f>
        <v>2109.06</v>
      </c>
      <c r="G155" s="2564" t="s">
        <v>737</v>
      </c>
      <c r="H155" s="2486">
        <f>VLOOKUP(G155,'CP FACTORS'!$A$3:$B$38, 2, FALSE)</f>
        <v>9.4741810000000004E-4</v>
      </c>
      <c r="I155" s="2565">
        <f t="shared" si="33"/>
        <v>1.998162</v>
      </c>
      <c r="J155" s="2566">
        <f t="shared" ref="J155:J162" si="39">J671</f>
        <v>6</v>
      </c>
      <c r="K155" s="2517">
        <f t="shared" si="34"/>
        <v>1480.3920260187429</v>
      </c>
      <c r="L155" s="744">
        <f t="shared" si="35"/>
        <v>3</v>
      </c>
      <c r="M155" s="177"/>
      <c r="N155" s="177"/>
      <c r="O155" s="177"/>
      <c r="P155" s="177"/>
      <c r="Q155" s="177"/>
      <c r="R155" s="177"/>
      <c r="S155" s="177"/>
      <c r="T155" s="177"/>
      <c r="U155" s="177"/>
      <c r="V155" s="245" t="s">
        <v>20</v>
      </c>
      <c r="W155" s="887"/>
      <c r="X155" s="888"/>
      <c r="Y155" s="889"/>
      <c r="Z155" s="889">
        <v>2109.06</v>
      </c>
      <c r="AA155" s="64"/>
      <c r="AB155" s="64"/>
      <c r="AC155" s="64"/>
      <c r="AD155" s="64"/>
      <c r="AE155" s="64"/>
      <c r="AF155" s="64"/>
      <c r="AG155" s="64"/>
      <c r="AH155" s="248"/>
      <c r="AY155"/>
      <c r="AZ155"/>
      <c r="BB155" s="350">
        <f>(BD155+BD156)/(BE155+BE156)</f>
        <v>1.5207527702453778</v>
      </c>
      <c r="BC155" s="884" t="str">
        <f t="shared" si="32"/>
        <v>Cooling RES 6 Year EUL</v>
      </c>
      <c r="BD155" s="894">
        <f>(INDEX('Avoided Cost Benefits'!$C$4:$C$857,MATCH(BC155,'Avoided Cost Benefits'!$A$4:$A$857,0)))*F155</f>
        <v>1226.3849886797066</v>
      </c>
      <c r="BE155" s="74">
        <f t="shared" si="36"/>
        <v>1397.2553336656372</v>
      </c>
    </row>
    <row r="156" spans="1:57" s="65" customFormat="1" x14ac:dyDescent="0.25">
      <c r="A156" s="785"/>
      <c r="B156" s="785"/>
      <c r="C156" s="2494" t="s">
        <v>3512</v>
      </c>
      <c r="D156" s="2498" t="s">
        <v>795</v>
      </c>
      <c r="E156" s="2497" t="s">
        <v>3479</v>
      </c>
      <c r="F156" s="896">
        <f>ROUND(((J240*J312*(1/J384-1/J456))/1000)*J600,2)</f>
        <v>759.94</v>
      </c>
      <c r="G156" s="2564" t="s">
        <v>1214</v>
      </c>
      <c r="H156" s="2486">
        <f>VLOOKUP(G156,'CP FACTORS'!$A$3:$B$38, 2, FALSE)</f>
        <v>9.4741810000000004E-4</v>
      </c>
      <c r="I156" s="2565">
        <f t="shared" si="33"/>
        <v>0.71998099999999998</v>
      </c>
      <c r="J156" s="2566">
        <f t="shared" si="39"/>
        <v>12</v>
      </c>
      <c r="K156" s="2517">
        <f t="shared" si="34"/>
        <v>0</v>
      </c>
      <c r="L156" s="744">
        <f t="shared" si="35"/>
        <v>3</v>
      </c>
      <c r="M156" s="177"/>
      <c r="N156" s="177"/>
      <c r="O156" s="177"/>
      <c r="P156" s="177"/>
      <c r="Q156" s="177"/>
      <c r="R156" s="177"/>
      <c r="S156" s="177"/>
      <c r="T156" s="177"/>
      <c r="U156" s="177"/>
      <c r="V156" s="245" t="s">
        <v>20</v>
      </c>
      <c r="W156" s="887"/>
      <c r="X156" s="888"/>
      <c r="Y156" s="889"/>
      <c r="Z156" s="889">
        <v>759.94</v>
      </c>
      <c r="AA156" s="64"/>
      <c r="AB156" s="64"/>
      <c r="AC156" s="64"/>
      <c r="AD156" s="64"/>
      <c r="AE156" s="64"/>
      <c r="AF156" s="64"/>
      <c r="AG156" s="64"/>
      <c r="AH156" s="248"/>
      <c r="AY156"/>
      <c r="AZ156"/>
      <c r="BB156" s="348"/>
      <c r="BC156" s="892" t="str">
        <f t="shared" si="32"/>
        <v>Cooling RES ER2 12 Year EUL</v>
      </c>
      <c r="BD156" s="894">
        <f>(INDEX('Avoided Cost Benefits'!$C$4:$C$857,MATCH(BC156,'Avoided Cost Benefits'!$A$4:$A$857,0)))*F156</f>
        <v>898.49493073244071</v>
      </c>
      <c r="BE156" s="74">
        <f t="shared" si="36"/>
        <v>0</v>
      </c>
    </row>
    <row r="157" spans="1:57" s="65" customFormat="1" x14ac:dyDescent="0.25">
      <c r="A157" s="785"/>
      <c r="B157" s="785"/>
      <c r="C157" s="2494" t="s">
        <v>3513</v>
      </c>
      <c r="D157" s="2498" t="s">
        <v>795</v>
      </c>
      <c r="E157" s="2507" t="s">
        <v>3480</v>
      </c>
      <c r="F157" s="896">
        <f>ROUND(((J241*J313*(1/J385-1/J457))/1000)*J601,2)</f>
        <v>759.94</v>
      </c>
      <c r="G157" s="2564" t="s">
        <v>737</v>
      </c>
      <c r="H157" s="2486">
        <f>VLOOKUP(G157,'CP FACTORS'!$A$3:$B$38, 2, FALSE)</f>
        <v>9.4741810000000004E-4</v>
      </c>
      <c r="I157" s="2565">
        <f t="shared" si="33"/>
        <v>0.71998099999999998</v>
      </c>
      <c r="J157" s="2566">
        <f t="shared" si="39"/>
        <v>18</v>
      </c>
      <c r="K157" s="2517">
        <f t="shared" si="34"/>
        <v>1033.3333333333328</v>
      </c>
      <c r="L157" s="744">
        <f t="shared" si="35"/>
        <v>3</v>
      </c>
      <c r="M157" s="177"/>
      <c r="N157" s="177"/>
      <c r="O157" s="177"/>
      <c r="P157" s="177"/>
      <c r="Q157" s="177"/>
      <c r="R157" s="177"/>
      <c r="S157" s="177"/>
      <c r="T157" s="177"/>
      <c r="U157" s="177"/>
      <c r="V157" s="245" t="s">
        <v>20</v>
      </c>
      <c r="W157" s="887"/>
      <c r="X157" s="888"/>
      <c r="Y157" s="889"/>
      <c r="Z157" s="889">
        <v>759.94</v>
      </c>
      <c r="AA157" s="64"/>
      <c r="AB157" s="64"/>
      <c r="AC157" s="64"/>
      <c r="AD157" s="64"/>
      <c r="AE157" s="64"/>
      <c r="AF157" s="64"/>
      <c r="AG157" s="64"/>
      <c r="AH157" s="248"/>
      <c r="AY157"/>
      <c r="AZ157"/>
      <c r="BB157" s="350">
        <f>(BD157)/(BE157)</f>
        <v>1.3743300888786878</v>
      </c>
      <c r="BC157" s="895" t="str">
        <f t="shared" si="32"/>
        <v>Cooling RES 18 Year EUL</v>
      </c>
      <c r="BD157" s="894">
        <f>(INDEX('Avoided Cost Benefits'!$C$4:$C$857,MATCH(BC157,'Avoided Cost Benefits'!$A$4:$A$857,0)))*F157</f>
        <v>1340.3880055132702</v>
      </c>
      <c r="BE157" s="74">
        <f t="shared" si="36"/>
        <v>975.30281579361269</v>
      </c>
    </row>
    <row r="158" spans="1:57" s="65" customFormat="1" x14ac:dyDescent="0.25">
      <c r="A158" s="785"/>
      <c r="B158" s="785"/>
      <c r="C158" s="2494" t="s">
        <v>3514</v>
      </c>
      <c r="D158" s="2498" t="s">
        <v>797</v>
      </c>
      <c r="E158" s="2496" t="s">
        <v>3481</v>
      </c>
      <c r="F158" s="896">
        <f>ROUND(((J242*J314*(1/J530-1/J458))/1000)*J602,2)</f>
        <v>1406.04</v>
      </c>
      <c r="G158" s="2564" t="s">
        <v>737</v>
      </c>
      <c r="H158" s="2486">
        <f>VLOOKUP(G158,'CP FACTORS'!$A$3:$B$38, 2, FALSE)</f>
        <v>9.4741810000000004E-4</v>
      </c>
      <c r="I158" s="2565">
        <f t="shared" si="33"/>
        <v>1.3321080000000001</v>
      </c>
      <c r="J158" s="2566">
        <f t="shared" si="39"/>
        <v>6</v>
      </c>
      <c r="K158" s="2517">
        <f t="shared" si="34"/>
        <v>1331.3724617902726</v>
      </c>
      <c r="L158" s="744">
        <f t="shared" si="35"/>
        <v>2</v>
      </c>
      <c r="M158" s="177"/>
      <c r="N158" s="177"/>
      <c r="O158" s="177"/>
      <c r="P158" s="177"/>
      <c r="Q158" s="177"/>
      <c r="R158" s="177"/>
      <c r="S158" s="177"/>
      <c r="T158" s="177"/>
      <c r="U158" s="177"/>
      <c r="V158" s="245" t="s">
        <v>20</v>
      </c>
      <c r="W158" s="887"/>
      <c r="X158" s="888"/>
      <c r="Y158" s="889"/>
      <c r="Z158" s="889">
        <v>1406.04</v>
      </c>
      <c r="AA158" s="64"/>
      <c r="AB158" s="64"/>
      <c r="AC158" s="64"/>
      <c r="AD158" s="64"/>
      <c r="AE158" s="64"/>
      <c r="AF158" s="64"/>
      <c r="AG158" s="64"/>
      <c r="AH158" s="248"/>
      <c r="AY158"/>
      <c r="AZ158"/>
      <c r="BB158" s="350">
        <f>(BD158+BD159)/(BE158+BE159)</f>
        <v>1.127306751747124</v>
      </c>
      <c r="BC158" s="884" t="str">
        <f t="shared" si="32"/>
        <v>Cooling RES 6 Year EUL</v>
      </c>
      <c r="BD158" s="894">
        <f>(INDEX('Avoided Cost Benefits'!$C$4:$C$857,MATCH(BC158,'Avoided Cost Benefits'!$A$4:$A$857,0)))*F158</f>
        <v>817.58999245313771</v>
      </c>
      <c r="BE158" s="74">
        <f t="shared" si="36"/>
        <v>1256.6044943749623</v>
      </c>
    </row>
    <row r="159" spans="1:57" s="65" customFormat="1" x14ac:dyDescent="0.25">
      <c r="A159" s="785"/>
      <c r="B159" s="785"/>
      <c r="C159" s="2494" t="s">
        <v>3514</v>
      </c>
      <c r="D159" s="2498" t="s">
        <v>797</v>
      </c>
      <c r="E159" s="2497" t="s">
        <v>3482</v>
      </c>
      <c r="F159" s="896">
        <f>ROUND(((J243*J315*(1/J387-1/J459))/1000)*J603,2)</f>
        <v>506.62</v>
      </c>
      <c r="G159" s="2564" t="s">
        <v>1214</v>
      </c>
      <c r="H159" s="2486">
        <f>VLOOKUP(G159,'CP FACTORS'!$A$3:$B$38, 2, FALSE)</f>
        <v>9.4741810000000004E-4</v>
      </c>
      <c r="I159" s="2565">
        <f t="shared" si="33"/>
        <v>0.47998099999999999</v>
      </c>
      <c r="J159" s="2566">
        <f t="shared" si="39"/>
        <v>12</v>
      </c>
      <c r="K159" s="2517">
        <f t="shared" si="34"/>
        <v>0</v>
      </c>
      <c r="L159" s="744">
        <f t="shared" si="35"/>
        <v>2</v>
      </c>
      <c r="M159" s="177"/>
      <c r="N159" s="177"/>
      <c r="O159" s="177"/>
      <c r="P159" s="177"/>
      <c r="Q159" s="177"/>
      <c r="R159" s="177"/>
      <c r="S159" s="177"/>
      <c r="T159" s="177"/>
      <c r="U159" s="177"/>
      <c r="V159" s="245" t="s">
        <v>20</v>
      </c>
      <c r="W159" s="887"/>
      <c r="X159" s="888"/>
      <c r="Y159" s="889"/>
      <c r="Z159" s="889">
        <v>506.62</v>
      </c>
      <c r="AA159" s="64"/>
      <c r="AB159" s="64"/>
      <c r="AC159" s="64"/>
      <c r="AD159" s="64"/>
      <c r="AE159" s="64"/>
      <c r="AF159" s="64"/>
      <c r="AG159" s="64"/>
      <c r="AH159" s="248"/>
      <c r="AY159"/>
      <c r="AZ159"/>
      <c r="BB159" s="348"/>
      <c r="BC159" s="892" t="str">
        <f t="shared" si="32"/>
        <v>Cooling RES ER2 12 Year EUL</v>
      </c>
      <c r="BD159" s="894">
        <f>(INDEX('Avoided Cost Benefits'!$C$4:$C$857,MATCH(BC159,'Avoided Cost Benefits'!$A$4:$A$857,0)))*F159</f>
        <v>598.98873833153812</v>
      </c>
      <c r="BE159" s="74">
        <f t="shared" si="36"/>
        <v>0</v>
      </c>
    </row>
    <row r="160" spans="1:57" s="65" customFormat="1" x14ac:dyDescent="0.25">
      <c r="A160" s="785"/>
      <c r="B160" s="785"/>
      <c r="C160" s="2494" t="s">
        <v>3515</v>
      </c>
      <c r="D160" s="2498" t="s">
        <v>792</v>
      </c>
      <c r="E160" s="2497" t="str">
        <f>CONCATENATE(E158,"_CompE")</f>
        <v>CAC - SEER 19 ER1: MF_CompE</v>
      </c>
      <c r="F160" s="896">
        <f>ROUND(((J244*J316*(1/J532-1/J460))/1000)*J604,2)</f>
        <v>1022.57</v>
      </c>
      <c r="G160" s="2564" t="s">
        <v>737</v>
      </c>
      <c r="H160" s="2486">
        <f>VLOOKUP(G160,'CP FACTORS'!$A$3:$B$38, 2, FALSE)</f>
        <v>9.4741810000000004E-4</v>
      </c>
      <c r="I160" s="2565">
        <f t="shared" si="33"/>
        <v>0.96880100000000002</v>
      </c>
      <c r="J160" s="2566">
        <f t="shared" si="39"/>
        <v>6</v>
      </c>
      <c r="K160" s="2517">
        <f t="shared" si="34"/>
        <v>1331.3724617902726</v>
      </c>
      <c r="L160" s="744">
        <f t="shared" si="35"/>
        <v>2</v>
      </c>
      <c r="M160" s="177"/>
      <c r="N160" s="177"/>
      <c r="O160" s="177"/>
      <c r="P160" s="177"/>
      <c r="Q160" s="177"/>
      <c r="R160" s="177"/>
      <c r="S160" s="177"/>
      <c r="T160" s="177"/>
      <c r="U160" s="177"/>
      <c r="V160" s="245" t="s">
        <v>20</v>
      </c>
      <c r="W160" s="887"/>
      <c r="X160" s="888"/>
      <c r="Y160" s="889"/>
      <c r="Z160" s="889">
        <v>1022.57</v>
      </c>
      <c r="AA160" s="64"/>
      <c r="AB160" s="64"/>
      <c r="AC160" s="64"/>
      <c r="AD160" s="64"/>
      <c r="AE160" s="64"/>
      <c r="AF160" s="64"/>
      <c r="AG160" s="64"/>
      <c r="AH160" s="248"/>
      <c r="AY160"/>
      <c r="AZ160"/>
      <c r="BB160" s="350">
        <f>(BD160+BD161)/(BE160+BE161)</f>
        <v>0.81985649708929442</v>
      </c>
      <c r="BC160" s="884" t="str">
        <f t="shared" si="32"/>
        <v>Cooling RES 6 Year EUL</v>
      </c>
      <c r="BD160" s="894">
        <f>(INDEX('Avoided Cost Benefits'!$C$4:$C$857,MATCH(BC160,'Avoided Cost Benefits'!$A$4:$A$857,0)))*F160</f>
        <v>594.60826049245054</v>
      </c>
      <c r="BE160" s="74">
        <f t="shared" si="36"/>
        <v>1256.6044943749623</v>
      </c>
    </row>
    <row r="161" spans="1:57" s="65" customFormat="1" x14ac:dyDescent="0.25">
      <c r="A161" s="785"/>
      <c r="B161" s="785"/>
      <c r="C161" s="2494" t="s">
        <v>3515</v>
      </c>
      <c r="D161" s="2498" t="s">
        <v>792</v>
      </c>
      <c r="E161" s="2497" t="str">
        <f>CONCATENATE(E159,"_CompE")</f>
        <v>CAC - SEER 19 ER2: MF_CompE</v>
      </c>
      <c r="F161" s="896">
        <f>ROUND(((J245*J317*(1/J389-1/J461))/1000)*J605,2)</f>
        <v>368.45</v>
      </c>
      <c r="G161" s="2564" t="s">
        <v>1214</v>
      </c>
      <c r="H161" s="2486">
        <f>VLOOKUP(G161,'CP FACTORS'!$A$3:$B$38, 2, FALSE)</f>
        <v>9.4741810000000004E-4</v>
      </c>
      <c r="I161" s="2565">
        <f t="shared" si="33"/>
        <v>0.349076</v>
      </c>
      <c r="J161" s="2566">
        <f t="shared" si="39"/>
        <v>12</v>
      </c>
      <c r="K161" s="2517">
        <f t="shared" si="34"/>
        <v>0</v>
      </c>
      <c r="L161" s="744">
        <f t="shared" si="35"/>
        <v>2</v>
      </c>
      <c r="M161" s="177"/>
      <c r="N161" s="177"/>
      <c r="O161" s="177"/>
      <c r="P161" s="177"/>
      <c r="Q161" s="177"/>
      <c r="R161" s="177"/>
      <c r="S161" s="177"/>
      <c r="T161" s="177"/>
      <c r="U161" s="177"/>
      <c r="V161" s="245" t="s">
        <v>20</v>
      </c>
      <c r="W161" s="887"/>
      <c r="X161" s="888"/>
      <c r="Y161" s="889"/>
      <c r="Z161" s="889">
        <v>368.45</v>
      </c>
      <c r="AA161" s="64"/>
      <c r="AB161" s="64"/>
      <c r="AC161" s="64"/>
      <c r="AD161" s="64"/>
      <c r="AE161" s="64"/>
      <c r="AF161" s="64"/>
      <c r="AG161" s="64"/>
      <c r="AH161" s="248"/>
      <c r="AY161"/>
      <c r="AZ161"/>
      <c r="BB161" s="348"/>
      <c r="BC161" s="892" t="str">
        <f t="shared" si="32"/>
        <v>Cooling RES ER2 12 Year EUL</v>
      </c>
      <c r="BD161" s="894">
        <f>(INDEX('Avoided Cost Benefits'!$C$4:$C$857,MATCH(BC161,'Avoided Cost Benefits'!$A$4:$A$857,0)))*F161</f>
        <v>435.62709849247011</v>
      </c>
      <c r="BE161" s="74">
        <f t="shared" si="36"/>
        <v>0</v>
      </c>
    </row>
    <row r="162" spans="1:57" s="65" customFormat="1" x14ac:dyDescent="0.25">
      <c r="A162" s="785"/>
      <c r="B162" s="785"/>
      <c r="C162" s="2494" t="s">
        <v>3516</v>
      </c>
      <c r="D162" s="2498" t="s">
        <v>797</v>
      </c>
      <c r="E162" s="2507" t="s">
        <v>3483</v>
      </c>
      <c r="F162" s="896">
        <f>ROUND(((J246*J318*(1/J390-1/J462))/1000)*J606,2)</f>
        <v>506.62</v>
      </c>
      <c r="G162" s="2564" t="s">
        <v>737</v>
      </c>
      <c r="H162" s="2486">
        <f>VLOOKUP(G162,'CP FACTORS'!$A$3:$B$38, 2, FALSE)</f>
        <v>9.4741810000000004E-4</v>
      </c>
      <c r="I162" s="2565">
        <f t="shared" si="33"/>
        <v>0.47998099999999999</v>
      </c>
      <c r="J162" s="2566">
        <f t="shared" si="39"/>
        <v>18</v>
      </c>
      <c r="K162" s="2517">
        <f t="shared" si="34"/>
        <v>1033.3333333333328</v>
      </c>
      <c r="L162" s="744">
        <f t="shared" si="35"/>
        <v>2</v>
      </c>
      <c r="M162" s="177"/>
      <c r="N162" s="177"/>
      <c r="O162" s="177"/>
      <c r="P162" s="177"/>
      <c r="Q162" s="177"/>
      <c r="R162" s="177"/>
      <c r="S162" s="177"/>
      <c r="T162" s="177"/>
      <c r="U162" s="177"/>
      <c r="V162" s="245" t="s">
        <v>20</v>
      </c>
      <c r="W162" s="887"/>
      <c r="X162" s="888"/>
      <c r="Y162" s="889"/>
      <c r="Z162" s="889">
        <v>506.62</v>
      </c>
      <c r="AA162" s="64"/>
      <c r="AB162" s="64"/>
      <c r="AC162" s="64"/>
      <c r="AD162" s="64"/>
      <c r="AE162" s="64"/>
      <c r="AF162" s="64"/>
      <c r="AG162" s="64"/>
      <c r="AH162" s="248"/>
      <c r="AY162"/>
      <c r="AZ162"/>
      <c r="BB162" s="350">
        <f>(BD162)/(BE162)</f>
        <v>0.91620800277353565</v>
      </c>
      <c r="BC162" s="895" t="str">
        <f t="shared" si="32"/>
        <v>Cooling RES 18 Year EUL</v>
      </c>
      <c r="BD162" s="894">
        <f>(INDEX('Avoided Cost Benefits'!$C$4:$C$857,MATCH(BC162,'Avoided Cost Benefits'!$A$4:$A$857,0)))*F162</f>
        <v>893.58024495767143</v>
      </c>
      <c r="BE162" s="74">
        <f t="shared" si="36"/>
        <v>975.30281579361269</v>
      </c>
    </row>
    <row r="163" spans="1:57" s="65" customFormat="1" x14ac:dyDescent="0.25">
      <c r="A163" s="785"/>
      <c r="B163" s="785"/>
      <c r="C163" s="2494" t="s">
        <v>3517</v>
      </c>
      <c r="D163" s="2498" t="s">
        <v>792</v>
      </c>
      <c r="E163" s="2497" t="str">
        <f>CONCATENATE(E162,"_CompE")</f>
        <v>CAC - SEER 19 ROF: MF_CompE</v>
      </c>
      <c r="F163" s="896">
        <f>ROUND(((J247*J319*(1/J391-1/J463))/1000)*J607,2)</f>
        <v>368.45</v>
      </c>
      <c r="G163" s="2564" t="s">
        <v>737</v>
      </c>
      <c r="H163" s="2486">
        <f>VLOOKUP(G163,'CP FACTORS'!$A$3:$B$38, 2, FALSE)</f>
        <v>9.4741810000000004E-4</v>
      </c>
      <c r="I163" s="2565">
        <f t="shared" si="33"/>
        <v>0.349076</v>
      </c>
      <c r="J163" s="2567">
        <v>18</v>
      </c>
      <c r="K163" s="2517">
        <f t="shared" si="34"/>
        <v>1033.3333333333328</v>
      </c>
      <c r="L163" s="744">
        <f t="shared" si="35"/>
        <v>2</v>
      </c>
      <c r="M163" s="177"/>
      <c r="N163" s="177"/>
      <c r="O163" s="177"/>
      <c r="P163" s="177"/>
      <c r="Q163" s="177"/>
      <c r="R163" s="177"/>
      <c r="S163" s="177"/>
      <c r="T163" s="177"/>
      <c r="U163" s="177"/>
      <c r="V163" s="245" t="s">
        <v>20</v>
      </c>
      <c r="W163" s="887"/>
      <c r="X163" s="888"/>
      <c r="Y163" s="889"/>
      <c r="Z163" s="889">
        <v>368.45</v>
      </c>
      <c r="AA163" s="64"/>
      <c r="AB163" s="64"/>
      <c r="AC163" s="64"/>
      <c r="AD163" s="64"/>
      <c r="AE163" s="64"/>
      <c r="AF163" s="64"/>
      <c r="AG163" s="64"/>
      <c r="AH163" s="248"/>
      <c r="AY163"/>
      <c r="AZ163"/>
      <c r="BB163" s="350">
        <f>(BD163)/(BE163)</f>
        <v>0.66633144886090001</v>
      </c>
      <c r="BC163" s="895" t="str">
        <f t="shared" si="32"/>
        <v>Cooling RES 18 Year EUL</v>
      </c>
      <c r="BD163" s="894">
        <f>(INDEX('Avoided Cost Benefits'!$C$4:$C$857,MATCH(BC163,'Avoided Cost Benefits'!$A$4:$A$857,0)))*F163</f>
        <v>649.87493832587347</v>
      </c>
      <c r="BE163" s="74">
        <f t="shared" si="36"/>
        <v>975.30281579361269</v>
      </c>
    </row>
    <row r="164" spans="1:57" s="65" customFormat="1" x14ac:dyDescent="0.25">
      <c r="A164" s="785"/>
      <c r="B164" s="785"/>
      <c r="C164" s="2494" t="s">
        <v>3518</v>
      </c>
      <c r="D164" s="2498" t="s">
        <v>795</v>
      </c>
      <c r="E164" s="2496" t="s">
        <v>3484</v>
      </c>
      <c r="F164" s="896">
        <f>ROUND(((J248*J320*(1/J536-1/J464))/1000)*J608,2)</f>
        <v>2191.38</v>
      </c>
      <c r="G164" s="2564" t="s">
        <v>737</v>
      </c>
      <c r="H164" s="2486">
        <f>VLOOKUP(G164,'CP FACTORS'!$A$3:$B$38, 2, FALSE)</f>
        <v>9.4741810000000004E-4</v>
      </c>
      <c r="I164" s="2565">
        <f t="shared" si="33"/>
        <v>2.0761530000000001</v>
      </c>
      <c r="J164" s="2566">
        <f t="shared" ref="J164:J171" si="40">J680</f>
        <v>6</v>
      </c>
      <c r="K164" s="2517">
        <f t="shared" si="34"/>
        <v>1687.0586926854098</v>
      </c>
      <c r="L164" s="744">
        <f t="shared" si="35"/>
        <v>3</v>
      </c>
      <c r="M164" s="177"/>
      <c r="N164" s="2017"/>
      <c r="O164" s="2018"/>
      <c r="P164" s="177"/>
      <c r="Q164" s="177"/>
      <c r="R164" s="1894"/>
      <c r="S164" s="177"/>
      <c r="T164" s="177"/>
      <c r="U164" s="177"/>
      <c r="V164" s="245" t="s">
        <v>20</v>
      </c>
      <c r="W164" s="887"/>
      <c r="X164" s="888"/>
      <c r="Y164" s="889"/>
      <c r="Z164" s="889">
        <v>2191.38</v>
      </c>
      <c r="AA164" s="64"/>
      <c r="AB164" s="64"/>
      <c r="AC164" s="64"/>
      <c r="AD164" s="64"/>
      <c r="AE164" s="64"/>
      <c r="AF164" s="64"/>
      <c r="AG164" s="64"/>
      <c r="AH164" s="248"/>
      <c r="AY164"/>
      <c r="AZ164"/>
      <c r="BB164" s="350">
        <f>(BD164+BD165)/(BE164+BE165)</f>
        <v>1.4256446047238267</v>
      </c>
      <c r="BC164" s="884" t="str">
        <f t="shared" si="32"/>
        <v>Cooling RES 6 Year EUL</v>
      </c>
      <c r="BD164" s="894">
        <f>(INDEX('Avoided Cost Benefits'!$C$4:$C$857,MATCH(BC164,'Avoided Cost Benefits'!$A$4:$A$857,0)))*F164</f>
        <v>1274.2527649725166</v>
      </c>
      <c r="BE164" s="74">
        <f t="shared" si="36"/>
        <v>1592.3158968243602</v>
      </c>
    </row>
    <row r="165" spans="1:57" s="65" customFormat="1" x14ac:dyDescent="0.25">
      <c r="A165" s="785"/>
      <c r="B165" s="785"/>
      <c r="C165" s="2494" t="s">
        <v>3518</v>
      </c>
      <c r="D165" s="2498" t="s">
        <v>795</v>
      </c>
      <c r="E165" s="2497" t="s">
        <v>3485</v>
      </c>
      <c r="F165" s="896">
        <f>ROUND(((J249*J321*(1/J393-1/J465))/1000)*J609,2)</f>
        <v>842.26</v>
      </c>
      <c r="G165" s="2564" t="s">
        <v>1214</v>
      </c>
      <c r="H165" s="2486">
        <f>VLOOKUP(G165,'CP FACTORS'!$A$3:$B$38, 2, FALSE)</f>
        <v>9.4741810000000004E-4</v>
      </c>
      <c r="I165" s="2565">
        <f t="shared" si="33"/>
        <v>0.79797200000000001</v>
      </c>
      <c r="J165" s="2566">
        <f t="shared" si="40"/>
        <v>12</v>
      </c>
      <c r="K165" s="2517">
        <f t="shared" si="34"/>
        <v>0</v>
      </c>
      <c r="L165" s="744">
        <f t="shared" si="35"/>
        <v>3</v>
      </c>
      <c r="M165" s="177"/>
      <c r="N165" s="2017"/>
      <c r="O165" s="2018"/>
      <c r="P165" s="177"/>
      <c r="Q165" s="177"/>
      <c r="R165" s="1894"/>
      <c r="S165" s="177"/>
      <c r="T165" s="177"/>
      <c r="U165" s="177"/>
      <c r="V165" s="245" t="s">
        <v>20</v>
      </c>
      <c r="W165" s="887"/>
      <c r="X165" s="888"/>
      <c r="Y165" s="889"/>
      <c r="Z165" s="889">
        <v>842.26</v>
      </c>
      <c r="AA165" s="64"/>
      <c r="AB165" s="64"/>
      <c r="AC165" s="64"/>
      <c r="AD165" s="64"/>
      <c r="AE165" s="64"/>
      <c r="AF165" s="64"/>
      <c r="AG165" s="64"/>
      <c r="AH165" s="248"/>
      <c r="AY165"/>
      <c r="AZ165"/>
      <c r="BB165" s="348"/>
      <c r="BC165" s="892" t="str">
        <f t="shared" si="32"/>
        <v>Cooling RES ER2 12 Year EUL</v>
      </c>
      <c r="BD165" s="894">
        <f>(INDEX('Avoided Cost Benefits'!$C$4:$C$857,MATCH(BC165,'Avoided Cost Benefits'!$A$4:$A$857,0)))*F165</f>
        <v>995.82380235111384</v>
      </c>
      <c r="BE165" s="74">
        <f t="shared" si="36"/>
        <v>0</v>
      </c>
    </row>
    <row r="166" spans="1:57" s="65" customFormat="1" x14ac:dyDescent="0.25">
      <c r="A166" s="785"/>
      <c r="B166" s="785"/>
      <c r="C166" s="2494" t="s">
        <v>3519</v>
      </c>
      <c r="D166" s="2498" t="s">
        <v>795</v>
      </c>
      <c r="E166" s="2507" t="s">
        <v>3486</v>
      </c>
      <c r="F166" s="896">
        <f>ROUND(((J250*J322*(1/J394-1/J466))/1000)*J610,2)</f>
        <v>842.26</v>
      </c>
      <c r="G166" s="2564" t="s">
        <v>737</v>
      </c>
      <c r="H166" s="2486">
        <f>VLOOKUP(G166,'CP FACTORS'!$A$3:$B$38, 2, FALSE)</f>
        <v>9.4741810000000004E-4</v>
      </c>
      <c r="I166" s="2565">
        <f t="shared" si="33"/>
        <v>0.79797200000000001</v>
      </c>
      <c r="J166" s="2566">
        <f t="shared" si="40"/>
        <v>18</v>
      </c>
      <c r="K166" s="2517">
        <f t="shared" si="34"/>
        <v>1239.9999999999995</v>
      </c>
      <c r="L166" s="744">
        <f t="shared" si="35"/>
        <v>3</v>
      </c>
      <c r="M166" s="177"/>
      <c r="N166" s="2017"/>
      <c r="O166" s="2018"/>
      <c r="P166" s="177"/>
      <c r="Q166" s="177"/>
      <c r="R166" s="1894"/>
      <c r="S166" s="177"/>
      <c r="T166" s="177"/>
      <c r="U166" s="177"/>
      <c r="V166" s="245" t="s">
        <v>20</v>
      </c>
      <c r="W166" s="887"/>
      <c r="X166" s="888"/>
      <c r="Y166" s="889"/>
      <c r="Z166" s="889">
        <v>842.26</v>
      </c>
      <c r="AA166" s="64"/>
      <c r="AB166" s="64"/>
      <c r="AC166" s="64"/>
      <c r="AD166" s="64"/>
      <c r="AE166" s="64"/>
      <c r="AF166" s="64"/>
      <c r="AG166" s="64"/>
      <c r="AH166" s="248"/>
      <c r="AY166"/>
      <c r="AZ166"/>
      <c r="BB166" s="350">
        <f>(BD166)/(BE166)</f>
        <v>1.2693362421802632</v>
      </c>
      <c r="BC166" s="895" t="str">
        <f t="shared" si="32"/>
        <v>Cooling RES 18 Year EUL</v>
      </c>
      <c r="BD166" s="894">
        <f>(INDEX('Avoided Cost Benefits'!$C$4:$C$857,MATCH(BC166,'Avoided Cost Benefits'!$A$4:$A$857,0)))*F166</f>
        <v>1485.584653424753</v>
      </c>
      <c r="BE166" s="74">
        <f t="shared" si="36"/>
        <v>1170.3633789523356</v>
      </c>
    </row>
    <row r="167" spans="1:57" s="65" customFormat="1" x14ac:dyDescent="0.25">
      <c r="A167" s="785"/>
      <c r="B167" s="785"/>
      <c r="C167" s="2494" t="s">
        <v>3520</v>
      </c>
      <c r="D167" s="2498" t="s">
        <v>797</v>
      </c>
      <c r="E167" s="2496" t="s">
        <v>3487</v>
      </c>
      <c r="F167" s="896">
        <f>ROUND(((J251*J323*(1/J539-1/J467))/1000)*J611,2)</f>
        <v>1460.92</v>
      </c>
      <c r="G167" s="2564" t="s">
        <v>737</v>
      </c>
      <c r="H167" s="2486">
        <f>VLOOKUP(G167,'CP FACTORS'!$A$3:$B$38, 2, FALSE)</f>
        <v>9.4741810000000004E-4</v>
      </c>
      <c r="I167" s="2565">
        <f t="shared" si="33"/>
        <v>1.3841019999999999</v>
      </c>
      <c r="J167" s="2566">
        <f t="shared" si="40"/>
        <v>6</v>
      </c>
      <c r="K167" s="2517">
        <f t="shared" si="34"/>
        <v>1538.0391284569391</v>
      </c>
      <c r="L167" s="744">
        <f t="shared" si="35"/>
        <v>2</v>
      </c>
      <c r="M167" s="177"/>
      <c r="N167" s="2017"/>
      <c r="O167" s="177"/>
      <c r="P167" s="177"/>
      <c r="Q167" s="177"/>
      <c r="R167" s="177"/>
      <c r="S167" s="177"/>
      <c r="T167" s="177"/>
      <c r="U167" s="177"/>
      <c r="V167" s="245" t="s">
        <v>20</v>
      </c>
      <c r="W167" s="887"/>
      <c r="X167" s="888"/>
      <c r="Y167" s="889"/>
      <c r="Z167" s="889">
        <v>1460.92</v>
      </c>
      <c r="AA167" s="64"/>
      <c r="AB167" s="64"/>
      <c r="AC167" s="64"/>
      <c r="AD167" s="64"/>
      <c r="AE167" s="64"/>
      <c r="AF167" s="64"/>
      <c r="AG167" s="64"/>
      <c r="AH167" s="248"/>
      <c r="AY167"/>
      <c r="AZ167"/>
      <c r="BB167" s="350">
        <f>(BD167+BD168)/(BE167+BE168)</f>
        <v>1.0425189415699732</v>
      </c>
      <c r="BC167" s="884" t="str">
        <f t="shared" si="32"/>
        <v>Cooling RES 6 Year EUL</v>
      </c>
      <c r="BD167" s="894">
        <f>(INDEX('Avoided Cost Benefits'!$C$4:$C$857,MATCH(BC167,'Avoided Cost Benefits'!$A$4:$A$857,0)))*F167</f>
        <v>849.501843315011</v>
      </c>
      <c r="BE167" s="74">
        <f t="shared" si="36"/>
        <v>1451.6650575336848</v>
      </c>
    </row>
    <row r="168" spans="1:57" s="65" customFormat="1" x14ac:dyDescent="0.25">
      <c r="A168" s="785"/>
      <c r="B168" s="785"/>
      <c r="C168" s="2494" t="s">
        <v>3520</v>
      </c>
      <c r="D168" s="2498" t="s">
        <v>797</v>
      </c>
      <c r="E168" s="2497" t="s">
        <v>3488</v>
      </c>
      <c r="F168" s="896">
        <f>ROUND(((J252*J324*(1/J396-1/J468))/1000)*J612,2)</f>
        <v>561.51</v>
      </c>
      <c r="G168" s="2564" t="s">
        <v>1214</v>
      </c>
      <c r="H168" s="2486">
        <f>VLOOKUP(G168,'CP FACTORS'!$A$3:$B$38, 2, FALSE)</f>
        <v>9.4741810000000004E-4</v>
      </c>
      <c r="I168" s="2565">
        <f t="shared" si="33"/>
        <v>0.53198500000000004</v>
      </c>
      <c r="J168" s="2566">
        <f t="shared" si="40"/>
        <v>12</v>
      </c>
      <c r="K168" s="2517">
        <f t="shared" si="34"/>
        <v>0</v>
      </c>
      <c r="L168" s="744">
        <f t="shared" si="35"/>
        <v>2</v>
      </c>
      <c r="M168" s="177"/>
      <c r="N168" s="2017"/>
      <c r="O168" s="177"/>
      <c r="P168" s="177"/>
      <c r="Q168" s="177"/>
      <c r="R168" s="177"/>
      <c r="S168" s="177"/>
      <c r="T168" s="177"/>
      <c r="U168" s="177"/>
      <c r="V168" s="245" t="s">
        <v>20</v>
      </c>
      <c r="W168" s="887"/>
      <c r="X168" s="888"/>
      <c r="Y168" s="889"/>
      <c r="Z168" s="889">
        <v>561.51</v>
      </c>
      <c r="AA168" s="64"/>
      <c r="AB168" s="64"/>
      <c r="AC168" s="64"/>
      <c r="AD168" s="64"/>
      <c r="AE168" s="64"/>
      <c r="AF168" s="64"/>
      <c r="AG168" s="64"/>
      <c r="AH168" s="248"/>
      <c r="AY168"/>
      <c r="AZ168"/>
      <c r="BB168" s="348"/>
      <c r="BC168" s="892" t="str">
        <f t="shared" si="32"/>
        <v>Cooling RES ER2 12 Year EUL</v>
      </c>
      <c r="BD168" s="894">
        <f>(INDEX('Avoided Cost Benefits'!$C$4:$C$857,MATCH(BC168,'Avoided Cost Benefits'!$A$4:$A$857,0)))*F168</f>
        <v>663.88647597912041</v>
      </c>
      <c r="BE168" s="74">
        <f t="shared" si="36"/>
        <v>0</v>
      </c>
    </row>
    <row r="169" spans="1:57" s="65" customFormat="1" x14ac:dyDescent="0.25">
      <c r="A169" s="785"/>
      <c r="B169" s="785"/>
      <c r="C169" s="2494" t="s">
        <v>3521</v>
      </c>
      <c r="D169" s="2498" t="s">
        <v>792</v>
      </c>
      <c r="E169" s="2497" t="str">
        <f>CONCATENATE(E167,"_CompE")</f>
        <v>CAC - SEER 20 ER1: MF_CompE</v>
      </c>
      <c r="F169" s="896">
        <f>ROUND(((J253*J325*(1/J541-1/J469))/1000)*J613,2)</f>
        <v>1062.49</v>
      </c>
      <c r="G169" s="2564" t="s">
        <v>737</v>
      </c>
      <c r="H169" s="2486">
        <f>VLOOKUP(G169,'CP FACTORS'!$A$3:$B$38, 2, FALSE)</f>
        <v>9.4741810000000004E-4</v>
      </c>
      <c r="I169" s="2565">
        <f t="shared" si="33"/>
        <v>1.0066219999999999</v>
      </c>
      <c r="J169" s="2566">
        <f t="shared" si="40"/>
        <v>6</v>
      </c>
      <c r="K169" s="2517">
        <f t="shared" si="34"/>
        <v>1538.0391284569391</v>
      </c>
      <c r="L169" s="744">
        <f t="shared" si="35"/>
        <v>2</v>
      </c>
      <c r="M169" s="177"/>
      <c r="N169" s="2017"/>
      <c r="O169" s="177"/>
      <c r="P169" s="177"/>
      <c r="Q169" s="177"/>
      <c r="R169" s="177"/>
      <c r="S169" s="177"/>
      <c r="T169" s="177"/>
      <c r="U169" s="177"/>
      <c r="V169" s="245" t="s">
        <v>20</v>
      </c>
      <c r="W169" s="887"/>
      <c r="X169" s="888"/>
      <c r="Y169" s="889"/>
      <c r="Z169" s="889">
        <v>1062.49</v>
      </c>
      <c r="AA169" s="64"/>
      <c r="AB169" s="64"/>
      <c r="AC169" s="64"/>
      <c r="AD169" s="64"/>
      <c r="AE169" s="64"/>
      <c r="AF169" s="64"/>
      <c r="AG169" s="64"/>
      <c r="AH169" s="248"/>
      <c r="AY169"/>
      <c r="AZ169"/>
      <c r="BB169" s="350">
        <f>(BD169+BD170)/(BE169+BE170)</f>
        <v>0.75819594589679207</v>
      </c>
      <c r="BC169" s="884" t="str">
        <f t="shared" si="32"/>
        <v>Cooling RES 6 Year EUL</v>
      </c>
      <c r="BD169" s="894">
        <f>(INDEX('Avoided Cost Benefits'!$C$4:$C$857,MATCH(BC169,'Avoided Cost Benefits'!$A$4:$A$857,0)))*F169</f>
        <v>617.82110827681595</v>
      </c>
      <c r="BE169" s="74">
        <f t="shared" si="36"/>
        <v>1451.6650575336848</v>
      </c>
    </row>
    <row r="170" spans="1:57" s="65" customFormat="1" x14ac:dyDescent="0.25">
      <c r="A170" s="785"/>
      <c r="B170" s="785"/>
      <c r="C170" s="2494" t="s">
        <v>3521</v>
      </c>
      <c r="D170" s="2498" t="s">
        <v>792</v>
      </c>
      <c r="E170" s="2497" t="str">
        <f>CONCATENATE(E168,"_CompE")</f>
        <v>CAC - SEER 20 ER2: MF_CompE</v>
      </c>
      <c r="F170" s="896">
        <f>ROUND(((J254*J326*(1/J398-1/J470))/1000)*J614,2)</f>
        <v>408.37</v>
      </c>
      <c r="G170" s="2564" t="s">
        <v>1214</v>
      </c>
      <c r="H170" s="2486">
        <f>VLOOKUP(G170,'CP FACTORS'!$A$3:$B$38, 2, FALSE)</f>
        <v>9.4741810000000004E-4</v>
      </c>
      <c r="I170" s="2565">
        <f t="shared" si="33"/>
        <v>0.38689699999999999</v>
      </c>
      <c r="J170" s="2566">
        <f t="shared" si="40"/>
        <v>12</v>
      </c>
      <c r="K170" s="2517">
        <f t="shared" si="34"/>
        <v>0</v>
      </c>
      <c r="L170" s="744">
        <f t="shared" si="35"/>
        <v>2</v>
      </c>
      <c r="M170" s="177"/>
      <c r="N170" s="2017"/>
      <c r="O170" s="177"/>
      <c r="P170" s="177"/>
      <c r="Q170" s="177"/>
      <c r="R170" s="177"/>
      <c r="S170" s="177"/>
      <c r="T170" s="177"/>
      <c r="U170" s="177"/>
      <c r="V170" s="245" t="s">
        <v>20</v>
      </c>
      <c r="W170" s="887"/>
      <c r="X170" s="888"/>
      <c r="Y170" s="889"/>
      <c r="Z170" s="889">
        <v>408.37</v>
      </c>
      <c r="AA170" s="64"/>
      <c r="AB170" s="64"/>
      <c r="AC170" s="64"/>
      <c r="AD170" s="64"/>
      <c r="AE170" s="64"/>
      <c r="AF170" s="64"/>
      <c r="AG170" s="64"/>
      <c r="AH170" s="248"/>
      <c r="AY170"/>
      <c r="AZ170"/>
      <c r="BB170" s="348"/>
      <c r="BC170" s="892" t="str">
        <f t="shared" si="32"/>
        <v>Cooling RES ER2 12 Year EUL</v>
      </c>
      <c r="BD170" s="894">
        <f>(INDEX('Avoided Cost Benefits'!$C$4:$C$857,MATCH(BC170,'Avoided Cost Benefits'!$A$4:$A$857,0)))*F170</f>
        <v>482.82545314525726</v>
      </c>
      <c r="BE170" s="74">
        <f t="shared" si="36"/>
        <v>0</v>
      </c>
    </row>
    <row r="171" spans="1:57" s="65" customFormat="1" x14ac:dyDescent="0.25">
      <c r="A171" s="785"/>
      <c r="B171" s="785"/>
      <c r="C171" s="2494" t="s">
        <v>3522</v>
      </c>
      <c r="D171" s="2498" t="s">
        <v>797</v>
      </c>
      <c r="E171" s="2507" t="s">
        <v>3489</v>
      </c>
      <c r="F171" s="896">
        <f>ROUND(((J255*J327*(1/J399-1/J471))/1000)*J615,2)</f>
        <v>561.51</v>
      </c>
      <c r="G171" s="2564" t="s">
        <v>737</v>
      </c>
      <c r="H171" s="2486">
        <f>VLOOKUP(G171,'CP FACTORS'!$A$3:$B$38, 2, FALSE)</f>
        <v>9.4741810000000004E-4</v>
      </c>
      <c r="I171" s="2565">
        <f t="shared" si="33"/>
        <v>0.53198500000000004</v>
      </c>
      <c r="J171" s="2566">
        <f t="shared" si="40"/>
        <v>18</v>
      </c>
      <c r="K171" s="2517">
        <f t="shared" si="34"/>
        <v>1239.9999999999995</v>
      </c>
      <c r="L171" s="744">
        <f t="shared" si="35"/>
        <v>2</v>
      </c>
      <c r="M171" s="177"/>
      <c r="N171" s="2017"/>
      <c r="O171" s="177"/>
      <c r="P171" s="177"/>
      <c r="Q171" s="177"/>
      <c r="R171" s="177"/>
      <c r="S171" s="177"/>
      <c r="T171" s="177"/>
      <c r="U171" s="177"/>
      <c r="V171" s="245" t="s">
        <v>20</v>
      </c>
      <c r="W171" s="887"/>
      <c r="X171" s="888"/>
      <c r="Y171" s="889"/>
      <c r="Z171" s="889">
        <v>561.51</v>
      </c>
      <c r="AA171" s="64"/>
      <c r="AB171" s="64"/>
      <c r="AC171" s="64"/>
      <c r="AD171" s="64"/>
      <c r="AE171" s="64"/>
      <c r="AF171" s="64"/>
      <c r="AG171" s="64"/>
      <c r="AH171" s="248"/>
      <c r="AY171"/>
      <c r="AZ171"/>
      <c r="BB171" s="350">
        <f>(BD171)/(BE171)</f>
        <v>0.84622918498639321</v>
      </c>
      <c r="BC171" s="895" t="str">
        <f t="shared" si="32"/>
        <v>Cooling RES 18 Year EUL</v>
      </c>
      <c r="BD171" s="894">
        <f>(INDEX('Avoided Cost Benefits'!$C$4:$C$857,MATCH(BC171,'Avoided Cost Benefits'!$A$4:$A$857,0)))*F171</f>
        <v>990.39564830875622</v>
      </c>
      <c r="BE171" s="74">
        <f t="shared" si="36"/>
        <v>1170.3633789523356</v>
      </c>
    </row>
    <row r="172" spans="1:57" s="65" customFormat="1" x14ac:dyDescent="0.25">
      <c r="A172" s="785"/>
      <c r="B172" s="785"/>
      <c r="C172" s="2494" t="s">
        <v>3523</v>
      </c>
      <c r="D172" s="2498" t="s">
        <v>792</v>
      </c>
      <c r="E172" s="2497" t="str">
        <f>CONCATENATE(E171,"_CompE")</f>
        <v>CAC - SEER 20 ROF: MF_CompE</v>
      </c>
      <c r="F172" s="896">
        <f>ROUND(((J256*J328*(1/J400-1/J472))/1000)*J616,2)</f>
        <v>408.37</v>
      </c>
      <c r="G172" s="2564" t="s">
        <v>737</v>
      </c>
      <c r="H172" s="2486">
        <f>VLOOKUP(G172,'CP FACTORS'!$A$3:$B$38, 2, FALSE)</f>
        <v>9.4741810000000004E-4</v>
      </c>
      <c r="I172" s="2565">
        <f t="shared" si="33"/>
        <v>0.38689699999999999</v>
      </c>
      <c r="J172" s="2567">
        <v>18</v>
      </c>
      <c r="K172" s="2517">
        <f t="shared" si="34"/>
        <v>1239.9999999999995</v>
      </c>
      <c r="L172" s="744">
        <f t="shared" si="35"/>
        <v>2</v>
      </c>
      <c r="M172" s="177"/>
      <c r="N172" s="2017"/>
      <c r="O172" s="177"/>
      <c r="P172" s="177"/>
      <c r="Q172" s="177"/>
      <c r="R172" s="177"/>
      <c r="S172" s="177"/>
      <c r="T172" s="177"/>
      <c r="U172" s="177"/>
      <c r="V172" s="245" t="s">
        <v>20</v>
      </c>
      <c r="W172" s="887"/>
      <c r="X172" s="888"/>
      <c r="Y172" s="889"/>
      <c r="Z172" s="889">
        <v>408.37</v>
      </c>
      <c r="AA172" s="64"/>
      <c r="AB172" s="64"/>
      <c r="AC172" s="64"/>
      <c r="AD172" s="64"/>
      <c r="AE172" s="64"/>
      <c r="AF172" s="64"/>
      <c r="AG172" s="64"/>
      <c r="AH172" s="248"/>
      <c r="AY172"/>
      <c r="AZ172"/>
      <c r="BB172" s="350">
        <f>(BD172)/(BE172)</f>
        <v>0.61543803720840839</v>
      </c>
      <c r="BC172" s="895" t="str">
        <f t="shared" si="32"/>
        <v>Cooling RES 18 Year EUL</v>
      </c>
      <c r="BD172" s="894">
        <f>(INDEX('Avoided Cost Benefits'!$C$4:$C$857,MATCH(BC172,'Avoided Cost Benefits'!$A$4:$A$857,0)))*F172</f>
        <v>720.28614076302608</v>
      </c>
      <c r="BE172" s="74">
        <f t="shared" si="36"/>
        <v>1170.3633789523356</v>
      </c>
    </row>
    <row r="173" spans="1:57" s="65" customFormat="1" x14ac:dyDescent="0.25">
      <c r="A173" s="785"/>
      <c r="B173" s="785"/>
      <c r="C173" s="2494" t="s">
        <v>3524</v>
      </c>
      <c r="D173" s="2498" t="s">
        <v>795</v>
      </c>
      <c r="E173" s="2496" t="s">
        <v>3490</v>
      </c>
      <c r="F173" s="896">
        <f>ROUND(((J257*J329*(1/J545-1/J473))/1000)*J617,2)</f>
        <v>2265.87</v>
      </c>
      <c r="G173" s="2564" t="s">
        <v>737</v>
      </c>
      <c r="H173" s="2486">
        <f>VLOOKUP(G173,'CP FACTORS'!$A$3:$B$38, 2, FALSE)</f>
        <v>9.4741810000000004E-4</v>
      </c>
      <c r="I173" s="2565">
        <f t="shared" si="33"/>
        <v>2.1467260000000001</v>
      </c>
      <c r="J173" s="2566">
        <f t="shared" ref="J173:J181" si="41">J689</f>
        <v>6</v>
      </c>
      <c r="K173" s="2517">
        <f t="shared" si="34"/>
        <v>1893.7253593520759</v>
      </c>
      <c r="L173" s="744">
        <f t="shared" si="35"/>
        <v>3</v>
      </c>
      <c r="M173" s="177"/>
      <c r="N173" s="2017"/>
      <c r="O173" s="177"/>
      <c r="P173" s="177"/>
      <c r="Q173" s="177"/>
      <c r="R173" s="177"/>
      <c r="S173" s="177"/>
      <c r="T173" s="177"/>
      <c r="U173" s="177"/>
      <c r="V173" s="245" t="s">
        <v>20</v>
      </c>
      <c r="W173" s="887"/>
      <c r="X173" s="888"/>
      <c r="Y173" s="889"/>
      <c r="Z173" s="889">
        <v>2265.87</v>
      </c>
      <c r="AA173" s="64"/>
      <c r="AB173" s="64"/>
      <c r="AC173" s="64"/>
      <c r="AD173" s="64"/>
      <c r="AE173" s="64"/>
      <c r="AF173" s="64"/>
      <c r="AG173" s="64"/>
      <c r="AH173" s="248"/>
      <c r="AY173"/>
      <c r="AZ173"/>
      <c r="BB173" s="350">
        <f>(BD173+BD174)/(BE173+BE174)</f>
        <v>1.343568439495147</v>
      </c>
      <c r="BC173" s="884" t="str">
        <f t="shared" si="32"/>
        <v>Cooling RES 6 Year EUL</v>
      </c>
      <c r="BD173" s="894">
        <f>(INDEX('Avoided Cost Benefits'!$C$4:$C$857,MATCH(BC173,'Avoided Cost Benefits'!$A$4:$A$857,0)))*F173</f>
        <v>1317.5675202695452</v>
      </c>
      <c r="BE173" s="74">
        <f t="shared" si="36"/>
        <v>1787.3764599830822</v>
      </c>
    </row>
    <row r="174" spans="1:57" s="65" customFormat="1" x14ac:dyDescent="0.25">
      <c r="A174" s="785"/>
      <c r="B174" s="785"/>
      <c r="C174" s="2494" t="s">
        <v>3524</v>
      </c>
      <c r="D174" s="2498" t="s">
        <v>795</v>
      </c>
      <c r="E174" s="2497" t="s">
        <v>3491</v>
      </c>
      <c r="F174" s="896">
        <f>ROUND(((J258*J330*(1/J402-1/J474))/1000)*J618,2)</f>
        <v>916.75</v>
      </c>
      <c r="G174" s="2564" t="s">
        <v>1214</v>
      </c>
      <c r="H174" s="2486">
        <f>VLOOKUP(G174,'CP FACTORS'!$A$3:$B$38, 2, FALSE)</f>
        <v>9.4741810000000004E-4</v>
      </c>
      <c r="I174" s="2565">
        <f t="shared" si="33"/>
        <v>0.86854600000000004</v>
      </c>
      <c r="J174" s="2566">
        <f t="shared" si="41"/>
        <v>12</v>
      </c>
      <c r="K174" s="2517">
        <f t="shared" si="34"/>
        <v>0</v>
      </c>
      <c r="L174" s="744">
        <f t="shared" si="35"/>
        <v>3</v>
      </c>
      <c r="M174" s="177"/>
      <c r="N174" s="2017"/>
      <c r="O174" s="177"/>
      <c r="P174" s="177"/>
      <c r="Q174" s="177"/>
      <c r="R174" s="177"/>
      <c r="S174" s="177"/>
      <c r="T174" s="177"/>
      <c r="U174" s="177"/>
      <c r="V174" s="245" t="s">
        <v>20</v>
      </c>
      <c r="W174" s="887"/>
      <c r="X174" s="888"/>
      <c r="Y174" s="889"/>
      <c r="Z174" s="889">
        <v>916.75</v>
      </c>
      <c r="AA174" s="64"/>
      <c r="AB174" s="64"/>
      <c r="AC174" s="64"/>
      <c r="AD174" s="64"/>
      <c r="AE174" s="64"/>
      <c r="AF174" s="64"/>
      <c r="AG174" s="64"/>
      <c r="AH174" s="248"/>
      <c r="AY174"/>
      <c r="AZ174"/>
      <c r="BB174" s="348"/>
      <c r="BC174" s="892" t="str">
        <f t="shared" si="32"/>
        <v>Cooling RES ER2 12 Year EUL</v>
      </c>
      <c r="BD174" s="894">
        <f>(INDEX('Avoided Cost Benefits'!$C$4:$C$857,MATCH(BC174,'Avoided Cost Benefits'!$A$4:$A$857,0)))*F174</f>
        <v>1083.8950808602849</v>
      </c>
      <c r="BE174" s="74">
        <f t="shared" si="36"/>
        <v>0</v>
      </c>
    </row>
    <row r="175" spans="1:57" s="65" customFormat="1" x14ac:dyDescent="0.25">
      <c r="A175" s="785"/>
      <c r="B175" s="785"/>
      <c r="C175" s="2494" t="s">
        <v>3525</v>
      </c>
      <c r="D175" s="2498" t="s">
        <v>795</v>
      </c>
      <c r="E175" s="2507" t="s">
        <v>3492</v>
      </c>
      <c r="F175" s="896">
        <f>ROUND(((J259*J331*(1/J403-1/J475))/1000)*J619,2)</f>
        <v>916.75</v>
      </c>
      <c r="G175" s="2564" t="s">
        <v>737</v>
      </c>
      <c r="H175" s="2486">
        <f>VLOOKUP(G175,'CP FACTORS'!$A$3:$B$38, 2, FALSE)</f>
        <v>9.4741810000000004E-4</v>
      </c>
      <c r="I175" s="2565">
        <f t="shared" si="33"/>
        <v>0.86854600000000004</v>
      </c>
      <c r="J175" s="2566">
        <f t="shared" si="41"/>
        <v>18</v>
      </c>
      <c r="K175" s="2517">
        <f t="shared" si="34"/>
        <v>1446.6666666666663</v>
      </c>
      <c r="L175" s="744">
        <f t="shared" si="35"/>
        <v>3</v>
      </c>
      <c r="M175" s="177"/>
      <c r="N175" s="2017"/>
      <c r="O175" s="177"/>
      <c r="P175" s="177"/>
      <c r="Q175" s="177"/>
      <c r="R175" s="177"/>
      <c r="S175" s="177"/>
      <c r="T175" s="177"/>
      <c r="U175" s="177"/>
      <c r="V175" s="245" t="s">
        <v>20</v>
      </c>
      <c r="W175" s="887"/>
      <c r="X175" s="888"/>
      <c r="Y175" s="889"/>
      <c r="Z175" s="889">
        <v>916.75</v>
      </c>
      <c r="AA175" s="64"/>
      <c r="AB175" s="64"/>
      <c r="AC175" s="64"/>
      <c r="AD175" s="64"/>
      <c r="AE175" s="64"/>
      <c r="AF175" s="64"/>
      <c r="AG175" s="64"/>
      <c r="AH175" s="248"/>
      <c r="AY175"/>
      <c r="AZ175"/>
      <c r="BB175" s="350">
        <f>(BD175)/(BE175)</f>
        <v>1.1842261127565865</v>
      </c>
      <c r="BC175" s="895" t="str">
        <f t="shared" si="32"/>
        <v>Cooling RES 18 Year EUL</v>
      </c>
      <c r="BD175" s="894">
        <f>(INDEX('Avoided Cost Benefits'!$C$4:$C$857,MATCH(BC175,'Avoided Cost Benefits'!$A$4:$A$857,0)))*F175</f>
        <v>1616.9706872309528</v>
      </c>
      <c r="BE175" s="74">
        <f t="shared" si="36"/>
        <v>1365.4239421110581</v>
      </c>
    </row>
    <row r="176" spans="1:57" s="65" customFormat="1" x14ac:dyDescent="0.25">
      <c r="A176" s="785"/>
      <c r="B176" s="785"/>
      <c r="C176" s="2494" t="s">
        <v>3526</v>
      </c>
      <c r="D176" s="2498" t="s">
        <v>797</v>
      </c>
      <c r="E176" s="2496" t="s">
        <v>3493</v>
      </c>
      <c r="F176" s="896">
        <f>ROUND(((J260*J332*(1/J548-1/J476))/1000)*J620,2)</f>
        <v>1510.58</v>
      </c>
      <c r="G176" s="2564" t="s">
        <v>737</v>
      </c>
      <c r="H176" s="2486">
        <f>VLOOKUP(G176,'CP FACTORS'!$A$3:$B$38, 2, FALSE)</f>
        <v>9.4741810000000004E-4</v>
      </c>
      <c r="I176" s="2565">
        <f t="shared" si="33"/>
        <v>1.4311510000000001</v>
      </c>
      <c r="J176" s="2566">
        <f t="shared" si="41"/>
        <v>6</v>
      </c>
      <c r="K176" s="2517">
        <f t="shared" si="34"/>
        <v>1744.7057951236061</v>
      </c>
      <c r="L176" s="744">
        <f t="shared" si="35"/>
        <v>2</v>
      </c>
      <c r="M176" s="177"/>
      <c r="N176" s="2017"/>
      <c r="O176" s="177"/>
      <c r="P176" s="177"/>
      <c r="Q176" s="177"/>
      <c r="R176" s="177"/>
      <c r="S176" s="177"/>
      <c r="T176" s="177"/>
      <c r="U176" s="177"/>
      <c r="V176" s="245" t="s">
        <v>20</v>
      </c>
      <c r="W176" s="887"/>
      <c r="X176" s="888"/>
      <c r="Y176" s="889"/>
      <c r="Z176" s="889">
        <v>1510.58</v>
      </c>
      <c r="AA176" s="64"/>
      <c r="AB176" s="64"/>
      <c r="AC176" s="64"/>
      <c r="AD176" s="64"/>
      <c r="AE176" s="64"/>
      <c r="AF176" s="64"/>
      <c r="AG176" s="64"/>
      <c r="AH176" s="248"/>
      <c r="AY176"/>
      <c r="AZ176"/>
      <c r="BB176" s="350">
        <f>(BD176+BD177)/(BE176+BE177)</f>
        <v>0.97221247131016508</v>
      </c>
      <c r="BC176" s="884" t="str">
        <f t="shared" si="32"/>
        <v>Cooling RES 6 Year EUL</v>
      </c>
      <c r="BD176" s="894">
        <f>(INDEX('Avoided Cost Benefits'!$C$4:$C$857,MATCH(BC176,'Avoided Cost Benefits'!$A$4:$A$857,0)))*F176</f>
        <v>878.37834684636346</v>
      </c>
      <c r="BE176" s="74">
        <f t="shared" si="36"/>
        <v>1646.7256206924076</v>
      </c>
    </row>
    <row r="177" spans="1:57" s="65" customFormat="1" x14ac:dyDescent="0.25">
      <c r="A177" s="785"/>
      <c r="B177" s="785"/>
      <c r="C177" s="2494" t="s">
        <v>3526</v>
      </c>
      <c r="D177" s="2498" t="s">
        <v>797</v>
      </c>
      <c r="E177" s="2497" t="s">
        <v>3494</v>
      </c>
      <c r="F177" s="896">
        <f>ROUND(((J261*J333*(1/J405-1/J477))/1000)*J621,2)</f>
        <v>611.16</v>
      </c>
      <c r="G177" s="2564" t="s">
        <v>1214</v>
      </c>
      <c r="H177" s="2486">
        <f>VLOOKUP(G177,'CP FACTORS'!$A$3:$B$38, 2, FALSE)</f>
        <v>9.4741810000000004E-4</v>
      </c>
      <c r="I177" s="2565">
        <f t="shared" si="33"/>
        <v>0.57902399999999998</v>
      </c>
      <c r="J177" s="2566">
        <f t="shared" si="41"/>
        <v>12</v>
      </c>
      <c r="K177" s="2517">
        <f t="shared" si="34"/>
        <v>0</v>
      </c>
      <c r="L177" s="744">
        <f t="shared" si="35"/>
        <v>2</v>
      </c>
      <c r="M177" s="177"/>
      <c r="N177" s="2017"/>
      <c r="O177" s="177"/>
      <c r="P177" s="177"/>
      <c r="Q177" s="177"/>
      <c r="R177" s="177"/>
      <c r="S177" s="177"/>
      <c r="T177" s="177"/>
      <c r="U177" s="177"/>
      <c r="V177" s="245" t="s">
        <v>20</v>
      </c>
      <c r="W177" s="887"/>
      <c r="X177" s="888"/>
      <c r="Y177" s="889"/>
      <c r="Z177" s="889">
        <v>611.16</v>
      </c>
      <c r="AA177" s="64"/>
      <c r="AB177" s="64"/>
      <c r="AC177" s="64"/>
      <c r="AD177" s="64"/>
      <c r="AE177" s="64"/>
      <c r="AF177" s="64"/>
      <c r="AG177" s="64"/>
      <c r="AH177" s="248"/>
      <c r="AY177"/>
      <c r="AZ177"/>
      <c r="BB177" s="348"/>
      <c r="BC177" s="892" t="str">
        <f t="shared" si="32"/>
        <v>Cooling RES ER2 12 Year EUL</v>
      </c>
      <c r="BD177" s="894">
        <f>(INDEX('Avoided Cost Benefits'!$C$4:$C$857,MATCH(BC177,'Avoided Cost Benefits'!$A$4:$A$857,0)))*F177</f>
        <v>722.58883841676766</v>
      </c>
      <c r="BE177" s="74">
        <f t="shared" si="36"/>
        <v>0</v>
      </c>
    </row>
    <row r="178" spans="1:57" s="65" customFormat="1" x14ac:dyDescent="0.25">
      <c r="A178" s="785"/>
      <c r="B178" s="785"/>
      <c r="C178" s="2494" t="s">
        <v>3527</v>
      </c>
      <c r="D178" s="2498" t="s">
        <v>792</v>
      </c>
      <c r="E178" s="2497" t="str">
        <f>CONCATENATE(E176,"_CompE")</f>
        <v>CAC - SEER 21+ ER1: MF_CompE</v>
      </c>
      <c r="F178" s="896">
        <f>ROUND(((J262*J334*(1/J550-1/J478))/1000)*J622,2)</f>
        <v>1098.5999999999999</v>
      </c>
      <c r="G178" s="2564" t="s">
        <v>737</v>
      </c>
      <c r="H178" s="2486">
        <f>VLOOKUP(G178,'CP FACTORS'!$A$3:$B$38, 2, FALSE)</f>
        <v>9.4741810000000004E-4</v>
      </c>
      <c r="I178" s="2565">
        <f t="shared" si="33"/>
        <v>1.040834</v>
      </c>
      <c r="J178" s="2566">
        <f t="shared" si="41"/>
        <v>6</v>
      </c>
      <c r="K178" s="2517">
        <f t="shared" si="34"/>
        <v>1744.7057951236061</v>
      </c>
      <c r="L178" s="744">
        <f t="shared" si="35"/>
        <v>2</v>
      </c>
      <c r="M178" s="177"/>
      <c r="N178" s="2017"/>
      <c r="O178" s="177"/>
      <c r="P178" s="177"/>
      <c r="Q178" s="177"/>
      <c r="R178" s="177"/>
      <c r="S178" s="177"/>
      <c r="T178" s="177"/>
      <c r="U178" s="177"/>
      <c r="V178" s="245" t="s">
        <v>20</v>
      </c>
      <c r="W178" s="887"/>
      <c r="X178" s="888"/>
      <c r="Y178" s="889"/>
      <c r="Z178" s="889">
        <v>1098.5999999999999</v>
      </c>
      <c r="AA178" s="64"/>
      <c r="AB178" s="64"/>
      <c r="AC178" s="64"/>
      <c r="AD178" s="64"/>
      <c r="AE178" s="64"/>
      <c r="AF178" s="64"/>
      <c r="AG178" s="64"/>
      <c r="AH178" s="248"/>
      <c r="AY178"/>
      <c r="AZ178"/>
      <c r="BB178" s="350">
        <f>(BD178+BD179)/(BE178+BE179)</f>
        <v>0.70706233144233133</v>
      </c>
      <c r="BC178" s="884" t="str">
        <f t="shared" si="32"/>
        <v>Cooling RES 6 Year EUL</v>
      </c>
      <c r="BD178" s="894">
        <f>(INDEX('Avoided Cost Benefits'!$C$4:$C$857,MATCH(BC178,'Avoided Cost Benefits'!$A$4:$A$857,0)))*F178</f>
        <v>638.8185014003991</v>
      </c>
      <c r="BE178" s="74">
        <f t="shared" si="36"/>
        <v>1646.7256206924076</v>
      </c>
    </row>
    <row r="179" spans="1:57" s="65" customFormat="1" x14ac:dyDescent="0.25">
      <c r="A179" s="785"/>
      <c r="B179" s="785"/>
      <c r="C179" s="2494" t="s">
        <v>3527</v>
      </c>
      <c r="D179" s="2498" t="s">
        <v>792</v>
      </c>
      <c r="E179" s="2497" t="str">
        <f>CONCATENATE(E177,"_CompE")</f>
        <v>CAC - SEER 21+ ER2: MF_CompE</v>
      </c>
      <c r="F179" s="896">
        <f>ROUND(((J263*J335*(1/J407-1/J479))/1000)*J623,2)</f>
        <v>444.48</v>
      </c>
      <c r="G179" s="2564" t="s">
        <v>1214</v>
      </c>
      <c r="H179" s="2486">
        <f>VLOOKUP(G179,'CP FACTORS'!$A$3:$B$38, 2, FALSE)</f>
        <v>9.4741810000000004E-4</v>
      </c>
      <c r="I179" s="2565">
        <f t="shared" si="33"/>
        <v>0.42110799999999998</v>
      </c>
      <c r="J179" s="2566">
        <f t="shared" si="41"/>
        <v>12</v>
      </c>
      <c r="K179" s="2517">
        <f t="shared" si="34"/>
        <v>0</v>
      </c>
      <c r="L179" s="744">
        <f t="shared" si="35"/>
        <v>2</v>
      </c>
      <c r="M179" s="177"/>
      <c r="N179" s="2017"/>
      <c r="O179" s="177"/>
      <c r="P179" s="177"/>
      <c r="Q179" s="177"/>
      <c r="R179" s="177"/>
      <c r="S179" s="177"/>
      <c r="T179" s="177"/>
      <c r="U179" s="177"/>
      <c r="V179" s="245" t="s">
        <v>20</v>
      </c>
      <c r="W179" s="887"/>
      <c r="X179" s="888"/>
      <c r="Y179" s="889"/>
      <c r="Z179" s="889">
        <v>444.48</v>
      </c>
      <c r="AA179" s="64"/>
      <c r="AB179" s="64"/>
      <c r="AC179" s="64"/>
      <c r="AD179" s="64"/>
      <c r="AE179" s="64"/>
      <c r="AF179" s="64"/>
      <c r="AG179" s="64"/>
      <c r="AH179" s="248"/>
      <c r="AY179"/>
      <c r="AZ179"/>
      <c r="BB179" s="348"/>
      <c r="BC179" s="892" t="str">
        <f t="shared" si="32"/>
        <v>Cooling RES ER2 12 Year EUL</v>
      </c>
      <c r="BD179" s="894">
        <f>(INDEX('Avoided Cost Benefits'!$C$4:$C$857,MATCH(BC179,'Avoided Cost Benefits'!$A$4:$A$857,0)))*F179</f>
        <v>525.51915521219473</v>
      </c>
      <c r="BE179" s="74">
        <f t="shared" si="36"/>
        <v>0</v>
      </c>
    </row>
    <row r="180" spans="1:57" s="65" customFormat="1" x14ac:dyDescent="0.25">
      <c r="A180" s="785"/>
      <c r="B180" s="785"/>
      <c r="C180" s="2494" t="s">
        <v>3528</v>
      </c>
      <c r="D180" s="2498" t="s">
        <v>797</v>
      </c>
      <c r="E180" s="2507" t="s">
        <v>3495</v>
      </c>
      <c r="F180" s="896">
        <f>ROUND(((J264*J336*(1/J408-1/J480))/1000)*J624,2)</f>
        <v>611.16</v>
      </c>
      <c r="G180" s="2564" t="s">
        <v>737</v>
      </c>
      <c r="H180" s="2486">
        <f>VLOOKUP(G180,'CP FACTORS'!$A$3:$B$38, 2, FALSE)</f>
        <v>9.4741810000000004E-4</v>
      </c>
      <c r="I180" s="2565">
        <f t="shared" si="33"/>
        <v>0.57902399999999998</v>
      </c>
      <c r="J180" s="2566">
        <f t="shared" si="41"/>
        <v>18</v>
      </c>
      <c r="K180" s="2517">
        <f t="shared" si="34"/>
        <v>1446.6666666666663</v>
      </c>
      <c r="L180" s="744">
        <f t="shared" si="35"/>
        <v>2</v>
      </c>
      <c r="M180" s="177"/>
      <c r="N180" s="2017"/>
      <c r="O180" s="177"/>
      <c r="P180" s="177"/>
      <c r="Q180" s="177"/>
      <c r="R180" s="177"/>
      <c r="S180" s="177"/>
      <c r="T180" s="177"/>
      <c r="U180" s="177"/>
      <c r="V180" s="245" t="s">
        <v>20</v>
      </c>
      <c r="W180" s="887"/>
      <c r="X180" s="888"/>
      <c r="Y180" s="889"/>
      <c r="Z180" s="889">
        <v>611.16</v>
      </c>
      <c r="AA180" s="64"/>
      <c r="AB180" s="64"/>
      <c r="AC180" s="64"/>
      <c r="AD180" s="64"/>
      <c r="AE180" s="64"/>
      <c r="AF180" s="64"/>
      <c r="AG180" s="64"/>
      <c r="AH180" s="248"/>
      <c r="AY180"/>
      <c r="AZ180"/>
      <c r="BB180" s="350">
        <f>(BD180)/(BE180)</f>
        <v>0.78947546340039865</v>
      </c>
      <c r="BC180" s="895" t="str">
        <f t="shared" si="32"/>
        <v>Cooling RES 18 Year EUL</v>
      </c>
      <c r="BD180" s="894">
        <f>(INDEX('Avoided Cost Benefits'!$C$4:$C$857,MATCH(BC180,'Avoided Cost Benefits'!$A$4:$A$857,0)))*F180</f>
        <v>1077.9686994361266</v>
      </c>
      <c r="BE180" s="74">
        <f t="shared" si="36"/>
        <v>1365.4239421110581</v>
      </c>
    </row>
    <row r="181" spans="1:57" s="65" customFormat="1" x14ac:dyDescent="0.25">
      <c r="A181" s="785"/>
      <c r="B181" s="785"/>
      <c r="C181" s="2494" t="s">
        <v>3529</v>
      </c>
      <c r="D181" s="2498" t="s">
        <v>792</v>
      </c>
      <c r="E181" s="2497" t="str">
        <f>CONCATENATE(E180,"_CompE")</f>
        <v>CAC - SEER 21+ ROF: MF_CompE</v>
      </c>
      <c r="F181" s="896">
        <f>ROUND(((J265*J337*(1/J409-1/J481))/1000)*J625,2)</f>
        <v>444.48</v>
      </c>
      <c r="G181" s="2564" t="s">
        <v>737</v>
      </c>
      <c r="H181" s="2486">
        <f>VLOOKUP(G181,'CP FACTORS'!$A$3:$B$38, 2, FALSE)</f>
        <v>9.4741810000000004E-4</v>
      </c>
      <c r="I181" s="2565">
        <f t="shared" si="33"/>
        <v>0.42110799999999998</v>
      </c>
      <c r="J181" s="2566">
        <f t="shared" si="41"/>
        <v>18</v>
      </c>
      <c r="K181" s="2517">
        <f t="shared" si="34"/>
        <v>1446.6666666666663</v>
      </c>
      <c r="L181" s="744">
        <f t="shared" si="35"/>
        <v>2</v>
      </c>
      <c r="M181" s="177"/>
      <c r="N181" s="2017"/>
      <c r="O181" s="177"/>
      <c r="P181" s="177"/>
      <c r="Q181" s="177"/>
      <c r="R181" s="177"/>
      <c r="S181" s="177"/>
      <c r="T181" s="177"/>
      <c r="U181" s="177"/>
      <c r="V181" s="245" t="s">
        <v>20</v>
      </c>
      <c r="W181" s="887"/>
      <c r="X181" s="888"/>
      <c r="Y181" s="889"/>
      <c r="Z181" s="889">
        <v>444.48</v>
      </c>
      <c r="AA181" s="64"/>
      <c r="AB181" s="64"/>
      <c r="AC181" s="64"/>
      <c r="AD181" s="64"/>
      <c r="AE181" s="64"/>
      <c r="AF181" s="64"/>
      <c r="AG181" s="64"/>
      <c r="AH181" s="248"/>
      <c r="AY181"/>
      <c r="AZ181"/>
      <c r="BB181" s="434">
        <f>(BD181)/(BE181)</f>
        <v>0.57416397338210812</v>
      </c>
      <c r="BC181" s="895" t="str">
        <f t="shared" si="32"/>
        <v>Cooling RES 18 Year EUL</v>
      </c>
      <c r="BD181" s="899">
        <f>(INDEX('Avoided Cost Benefits'!$C$4:$C$857,MATCH(BC181,'Avoided Cost Benefits'!$A$4:$A$857,0)))*F181</f>
        <v>783.97723595354671</v>
      </c>
      <c r="BE181" s="76">
        <f t="shared" si="36"/>
        <v>1365.4239421110581</v>
      </c>
    </row>
    <row r="182" spans="1:57" ht="38.25" hidden="1" customHeight="1" outlineLevel="1" x14ac:dyDescent="0.25">
      <c r="C182" s="2019"/>
      <c r="D182" s="2020"/>
      <c r="E182" s="2021"/>
      <c r="F182" s="2022"/>
      <c r="G182" s="2023"/>
      <c r="H182" s="1932"/>
      <c r="I182" s="2024"/>
      <c r="J182" s="2025"/>
      <c r="K182" s="2026"/>
      <c r="L182" s="2026"/>
      <c r="M182" s="2027"/>
      <c r="N182" s="2028"/>
      <c r="V182" s="65"/>
      <c r="W182" s="65"/>
      <c r="X182" s="65"/>
      <c r="Y182" s="65"/>
      <c r="Z182" s="65"/>
      <c r="BC182" s="796"/>
      <c r="BD182" s="900"/>
      <c r="BE182" s="797"/>
    </row>
    <row r="183" spans="1:57" hidden="1" outlineLevel="1" x14ac:dyDescent="0.25">
      <c r="C183" s="2019"/>
      <c r="D183" s="2023"/>
      <c r="E183" s="2023"/>
      <c r="F183" s="2022"/>
      <c r="G183" s="2023"/>
      <c r="H183" s="1932"/>
      <c r="I183" s="2024"/>
      <c r="J183" s="2025"/>
      <c r="K183" s="2026"/>
      <c r="L183" s="2026"/>
      <c r="M183" s="2027"/>
      <c r="N183" s="2028"/>
      <c r="V183" s="65"/>
      <c r="W183" s="65"/>
      <c r="X183" s="65"/>
      <c r="Y183" s="65"/>
      <c r="Z183" s="65"/>
      <c r="BC183" s="796"/>
      <c r="BD183" s="900"/>
      <c r="BE183" s="797"/>
    </row>
    <row r="184" spans="1:57" hidden="1" outlineLevel="1" x14ac:dyDescent="0.25">
      <c r="C184" s="2019"/>
      <c r="D184" s="259" t="s">
        <v>617</v>
      </c>
      <c r="E184" s="2023"/>
      <c r="F184" s="2022"/>
      <c r="G184" s="2023"/>
      <c r="H184" s="1932"/>
      <c r="I184" s="2024"/>
      <c r="J184" s="2025"/>
      <c r="K184" s="2026"/>
      <c r="L184" s="2026"/>
      <c r="M184" s="2027"/>
      <c r="N184" s="2028"/>
      <c r="V184" s="65"/>
      <c r="W184" s="65"/>
      <c r="X184" s="65"/>
      <c r="Y184" s="65"/>
      <c r="Z184" s="65"/>
      <c r="BC184" s="796"/>
      <c r="BD184" s="900"/>
      <c r="BE184" s="797"/>
    </row>
    <row r="185" spans="1:57" hidden="1" outlineLevel="1" x14ac:dyDescent="0.25">
      <c r="C185" s="2019"/>
      <c r="D185" s="2023"/>
      <c r="E185" s="2023"/>
      <c r="F185" s="2022"/>
      <c r="G185" s="2023"/>
      <c r="H185" s="1932"/>
      <c r="I185" s="2024"/>
      <c r="J185" s="2025"/>
      <c r="K185" s="2026"/>
      <c r="L185" s="2026"/>
      <c r="M185" s="2027"/>
      <c r="N185" s="2028"/>
      <c r="V185" s="65"/>
      <c r="W185" s="65"/>
      <c r="X185" s="65"/>
      <c r="Y185" s="65"/>
      <c r="Z185" s="65"/>
      <c r="BC185" s="796"/>
      <c r="BD185" s="900"/>
      <c r="BE185" s="797"/>
    </row>
    <row r="186" spans="1:57" hidden="1" outlineLevel="1" x14ac:dyDescent="0.25">
      <c r="C186" s="2019"/>
      <c r="D186" s="2023"/>
      <c r="E186" s="2023"/>
      <c r="F186" s="2022"/>
      <c r="G186" s="2023"/>
      <c r="H186" s="1932"/>
      <c r="I186" s="2024"/>
      <c r="J186" s="2025"/>
      <c r="K186" s="2026"/>
      <c r="L186" s="2026"/>
      <c r="M186" s="2027"/>
      <c r="N186" s="2028"/>
      <c r="V186" s="65"/>
      <c r="W186" s="65"/>
      <c r="X186" s="65"/>
      <c r="Y186" s="65"/>
      <c r="Z186" s="65"/>
      <c r="BC186" s="796"/>
      <c r="BD186" s="900"/>
      <c r="BE186" s="797"/>
    </row>
    <row r="187" spans="1:57" hidden="1" outlineLevel="1" x14ac:dyDescent="0.25">
      <c r="F187" s="332"/>
      <c r="G187" s="697"/>
      <c r="H187" s="332"/>
      <c r="I187" s="332"/>
      <c r="J187" s="332"/>
      <c r="K187" s="332"/>
      <c r="L187" s="332"/>
      <c r="M187" s="332"/>
      <c r="N187" s="2028"/>
      <c r="O187" s="2026"/>
      <c r="P187" s="332"/>
      <c r="V187" s="65"/>
      <c r="W187" s="65"/>
      <c r="X187" s="65"/>
      <c r="Y187" s="65"/>
      <c r="Z187" s="65"/>
      <c r="BC187" s="796"/>
      <c r="BD187" s="900"/>
      <c r="BE187" s="797"/>
    </row>
    <row r="188" spans="1:57" hidden="1" outlineLevel="1" x14ac:dyDescent="0.25">
      <c r="E188" s="456" t="s">
        <v>1254</v>
      </c>
      <c r="G188" s="1099" t="s">
        <v>1255</v>
      </c>
      <c r="H188" s="785"/>
      <c r="I188" s="2029"/>
      <c r="J188" s="2029"/>
      <c r="K188" s="2029"/>
      <c r="L188" s="455"/>
      <c r="M188" s="455"/>
      <c r="N188" s="2028"/>
      <c r="O188" s="332"/>
      <c r="P188" s="332"/>
      <c r="V188" s="65"/>
      <c r="W188" s="65"/>
      <c r="X188" s="65"/>
      <c r="Y188" s="65"/>
      <c r="Z188" s="65"/>
      <c r="BC188" s="796"/>
      <c r="BD188" s="900"/>
      <c r="BE188" s="797"/>
    </row>
    <row r="189" spans="1:57" hidden="1" outlineLevel="1" x14ac:dyDescent="0.25">
      <c r="D189" s="901"/>
      <c r="H189" s="455"/>
      <c r="I189" s="455"/>
      <c r="J189" s="455"/>
      <c r="K189" s="455"/>
      <c r="L189" s="455"/>
      <c r="M189" s="455"/>
      <c r="N189" s="2028"/>
      <c r="V189" s="65"/>
      <c r="W189" s="65"/>
      <c r="X189" s="65"/>
      <c r="Y189" s="65"/>
      <c r="Z189" s="65"/>
      <c r="BC189" s="796"/>
      <c r="BD189" s="900"/>
      <c r="BE189" s="797"/>
    </row>
    <row r="190" spans="1:57" hidden="1" outlineLevel="1" x14ac:dyDescent="0.25">
      <c r="H190" s="455"/>
      <c r="I190" s="455"/>
      <c r="J190" s="455"/>
      <c r="K190" s="455"/>
      <c r="L190" s="455"/>
      <c r="M190" s="455"/>
      <c r="N190" s="2028"/>
      <c r="V190" s="65"/>
      <c r="W190" s="65"/>
      <c r="X190" s="65"/>
      <c r="Y190" s="65"/>
      <c r="Z190" s="65"/>
      <c r="BC190" s="796"/>
      <c r="BD190" s="900"/>
      <c r="BE190" s="797"/>
    </row>
    <row r="191" spans="1:57" hidden="1" outlineLevel="1" x14ac:dyDescent="0.25">
      <c r="H191" s="455"/>
      <c r="I191" s="455"/>
      <c r="J191" s="455"/>
      <c r="K191" s="455"/>
      <c r="L191" s="455"/>
      <c r="M191" s="455"/>
      <c r="N191" s="2028"/>
      <c r="P191" s="177" t="s">
        <v>1256</v>
      </c>
      <c r="V191" s="65"/>
      <c r="W191" s="65"/>
      <c r="X191" s="65"/>
      <c r="Y191" s="65"/>
      <c r="Z191" s="65"/>
      <c r="BC191" s="796"/>
      <c r="BD191" s="900"/>
      <c r="BE191" s="797"/>
    </row>
    <row r="192" spans="1:57" hidden="1" outlineLevel="1" x14ac:dyDescent="0.25">
      <c r="H192" s="455"/>
      <c r="I192" s="455"/>
      <c r="J192" s="455"/>
      <c r="K192" s="455"/>
      <c r="L192" s="455"/>
      <c r="M192" s="455"/>
      <c r="N192" s="2028"/>
      <c r="P192" s="2722" t="s">
        <v>3363</v>
      </c>
      <c r="Q192" s="2771"/>
      <c r="R192" s="2772"/>
      <c r="T192" s="911"/>
      <c r="V192" s="65"/>
      <c r="W192" s="65"/>
      <c r="X192" s="65"/>
      <c r="Y192" s="65"/>
      <c r="Z192" s="65"/>
      <c r="BC192" s="796"/>
      <c r="BD192" s="900"/>
      <c r="BE192" s="797"/>
    </row>
    <row r="193" spans="1:57" s="65" customFormat="1" ht="45" hidden="1" customHeight="1" outlineLevel="1" thickBot="1" x14ac:dyDescent="0.3">
      <c r="A193" s="785"/>
      <c r="B193" s="177"/>
      <c r="C193" s="455"/>
      <c r="D193" s="520" t="s">
        <v>618</v>
      </c>
      <c r="E193" s="520" t="s">
        <v>619</v>
      </c>
      <c r="F193" s="2735" t="s">
        <v>669</v>
      </c>
      <c r="G193" s="2735"/>
      <c r="H193" s="2735"/>
      <c r="I193" s="1659" t="s">
        <v>17</v>
      </c>
      <c r="J193" s="1659" t="s">
        <v>620</v>
      </c>
      <c r="K193" s="1659" t="s">
        <v>1257</v>
      </c>
      <c r="L193" s="1659" t="s">
        <v>863</v>
      </c>
      <c r="M193" s="177"/>
      <c r="N193" s="2028"/>
      <c r="O193" s="177"/>
      <c r="P193" s="1645"/>
      <c r="Q193" s="1659" t="s">
        <v>3362</v>
      </c>
      <c r="R193" s="1641" t="s">
        <v>3357</v>
      </c>
      <c r="S193" s="177"/>
      <c r="T193" s="2753"/>
      <c r="U193" s="177"/>
      <c r="V193" s="55" t="s">
        <v>27</v>
      </c>
      <c r="W193" s="56">
        <v>43252</v>
      </c>
      <c r="X193" s="56">
        <f>$X$6</f>
        <v>43465</v>
      </c>
      <c r="Y193" s="56">
        <f>$Y$6</f>
        <v>43800</v>
      </c>
      <c r="Z193" s="56">
        <f>$Z$6</f>
        <v>43862</v>
      </c>
      <c r="AA193" s="56" t="str">
        <f>$AA$6</f>
        <v>-</v>
      </c>
      <c r="AB193" s="56" t="str">
        <f>$AB$6</f>
        <v>-</v>
      </c>
      <c r="AC193" s="56" t="str">
        <f>$AC$6</f>
        <v>-</v>
      </c>
      <c r="AD193" s="56" t="str">
        <f>$AD$6</f>
        <v>-</v>
      </c>
      <c r="AE193" s="56" t="str">
        <f>$AE$6</f>
        <v>-</v>
      </c>
      <c r="AF193" s="56" t="str">
        <f>$AF$6</f>
        <v>-</v>
      </c>
      <c r="AG193" s="56" t="str">
        <f>$AG$6</f>
        <v>-</v>
      </c>
      <c r="BB193" s="784"/>
      <c r="BC193" s="796"/>
      <c r="BD193" s="900"/>
      <c r="BE193" s="797"/>
    </row>
    <row r="194" spans="1:57" s="65" customFormat="1" ht="14.45" hidden="1" customHeight="1" outlineLevel="1" x14ac:dyDescent="0.25">
      <c r="A194" s="785"/>
      <c r="B194" s="177"/>
      <c r="C194" s="455"/>
      <c r="D194" s="2801" t="s">
        <v>1258</v>
      </c>
      <c r="E194" s="2925" t="s">
        <v>1259</v>
      </c>
      <c r="F194" s="2754" t="str">
        <f t="shared" ref="F194:F229" si="42">E110</f>
        <v>CAC - SEER 14 ER1: SF</v>
      </c>
      <c r="G194" s="2755"/>
      <c r="H194" s="2756"/>
      <c r="I194" s="1667" t="str">
        <f t="shared" ref="I194:I230" si="43">C110</f>
        <v>350400_2019_12_</v>
      </c>
      <c r="J194" s="1667">
        <v>869</v>
      </c>
      <c r="K194" s="904"/>
      <c r="L194" s="2924" t="s">
        <v>953</v>
      </c>
      <c r="M194" s="177"/>
      <c r="N194" s="177"/>
      <c r="O194" s="177"/>
      <c r="P194" s="905" t="s">
        <v>1260</v>
      </c>
      <c r="Q194" s="610">
        <f t="shared" ref="Q194:Q201" si="44">(($R$207)+R194)-(($Q$207)/((1+$R$209)^($R$210-1)))</f>
        <v>447.05869268540937</v>
      </c>
      <c r="R194" s="907">
        <v>0</v>
      </c>
      <c r="S194" s="2017" t="s">
        <v>1261</v>
      </c>
      <c r="T194" s="2632"/>
      <c r="U194" s="177"/>
      <c r="V194" s="2867" t="str">
        <f>D194</f>
        <v>FLHcool</v>
      </c>
      <c r="W194" s="2577">
        <v>869</v>
      </c>
      <c r="X194" s="2577">
        <f t="shared" ref="X194:X228" si="45">W194</f>
        <v>869</v>
      </c>
      <c r="Y194" s="2577">
        <v>869</v>
      </c>
      <c r="Z194" s="2577"/>
      <c r="AA194" s="2577"/>
      <c r="AB194" s="2577"/>
      <c r="AC194" s="2577"/>
      <c r="AD194" s="2577"/>
      <c r="AE194" s="2577"/>
      <c r="AF194" s="2577"/>
      <c r="AG194" s="2577"/>
      <c r="BB194" s="784"/>
      <c r="BC194" s="796"/>
      <c r="BD194" s="900"/>
      <c r="BE194" s="797"/>
    </row>
    <row r="195" spans="1:57" s="65" customFormat="1" ht="14.45" hidden="1" customHeight="1" outlineLevel="1" x14ac:dyDescent="0.25">
      <c r="A195" s="785"/>
      <c r="B195" s="177"/>
      <c r="C195" s="455"/>
      <c r="D195" s="2813"/>
      <c r="E195" s="2926"/>
      <c r="F195" s="2757" t="str">
        <f t="shared" si="42"/>
        <v>CAC - SEER 14 ER2: SF</v>
      </c>
      <c r="G195" s="2758"/>
      <c r="H195" s="2759"/>
      <c r="I195" s="1663" t="str">
        <f t="shared" si="43"/>
        <v>350400_2019_12_</v>
      </c>
      <c r="J195" s="1663">
        <v>869</v>
      </c>
      <c r="K195" s="910"/>
      <c r="L195" s="2794"/>
      <c r="M195" s="177"/>
      <c r="N195" s="177"/>
      <c r="O195" s="177"/>
      <c r="P195" s="905" t="s">
        <v>1262</v>
      </c>
      <c r="Q195" s="610">
        <f t="shared" si="44"/>
        <v>555.05869268540937</v>
      </c>
      <c r="R195" s="907">
        <v>108</v>
      </c>
      <c r="S195" s="2017" t="s">
        <v>1261</v>
      </c>
      <c r="T195" s="2632"/>
      <c r="U195" s="177"/>
      <c r="V195" s="2866"/>
      <c r="W195" s="2576">
        <v>869</v>
      </c>
      <c r="X195" s="2576">
        <f t="shared" si="45"/>
        <v>869</v>
      </c>
      <c r="Y195" s="2576">
        <v>869</v>
      </c>
      <c r="Z195" s="2576"/>
      <c r="AA195" s="2576"/>
      <c r="AB195" s="2576"/>
      <c r="AC195" s="2576"/>
      <c r="AD195" s="2576"/>
      <c r="AE195" s="2576"/>
      <c r="AF195" s="2576"/>
      <c r="AG195" s="2576"/>
      <c r="BB195" s="784"/>
      <c r="BC195" s="796"/>
      <c r="BD195" s="900"/>
      <c r="BE195" s="797"/>
    </row>
    <row r="196" spans="1:57" s="65" customFormat="1" ht="14.45" hidden="1" customHeight="1" outlineLevel="1" x14ac:dyDescent="0.25">
      <c r="A196" s="785"/>
      <c r="B196" s="177"/>
      <c r="C196" s="455"/>
      <c r="D196" s="2813"/>
      <c r="E196" s="2926"/>
      <c r="F196" s="2757" t="str">
        <f t="shared" si="42"/>
        <v>CAC - SEER 14 ROF: SF</v>
      </c>
      <c r="G196" s="2758"/>
      <c r="H196" s="2759"/>
      <c r="I196" s="1663" t="str">
        <f t="shared" si="43"/>
        <v>350450_2019_12_</v>
      </c>
      <c r="J196" s="1663">
        <v>869</v>
      </c>
      <c r="K196" s="910"/>
      <c r="L196" s="2794"/>
      <c r="M196" s="177"/>
      <c r="N196" s="177"/>
      <c r="O196" s="177"/>
      <c r="P196" s="905" t="s">
        <v>1263</v>
      </c>
      <c r="Q196" s="610">
        <f t="shared" si="44"/>
        <v>668.05869268540937</v>
      </c>
      <c r="R196" s="907">
        <v>221</v>
      </c>
      <c r="S196" s="2017" t="s">
        <v>1261</v>
      </c>
      <c r="T196" s="2632"/>
      <c r="U196" s="177"/>
      <c r="V196" s="2866"/>
      <c r="W196" s="2576">
        <v>869</v>
      </c>
      <c r="X196" s="2576">
        <f t="shared" si="45"/>
        <v>869</v>
      </c>
      <c r="Y196" s="2576">
        <v>869</v>
      </c>
      <c r="Z196" s="2576"/>
      <c r="AA196" s="2576"/>
      <c r="AB196" s="2576"/>
      <c r="AC196" s="2576"/>
      <c r="AD196" s="2576"/>
      <c r="AE196" s="2576"/>
      <c r="AF196" s="2576"/>
      <c r="AG196" s="2576"/>
      <c r="BB196" s="784"/>
      <c r="BC196" s="796"/>
      <c r="BD196" s="900"/>
      <c r="BE196" s="797"/>
    </row>
    <row r="197" spans="1:57" s="65" customFormat="1" ht="14.45" hidden="1" customHeight="1" outlineLevel="1" x14ac:dyDescent="0.25">
      <c r="A197" s="785"/>
      <c r="B197" s="177"/>
      <c r="C197" s="455"/>
      <c r="D197" s="2813"/>
      <c r="E197" s="2926"/>
      <c r="F197" s="2757" t="str">
        <f t="shared" si="42"/>
        <v>CAC - SEER 14 ER1: MF</v>
      </c>
      <c r="G197" s="2758"/>
      <c r="H197" s="2759"/>
      <c r="I197" s="1663" t="str">
        <f t="shared" si="43"/>
        <v>350500_2019_12_</v>
      </c>
      <c r="J197" s="1663">
        <v>869</v>
      </c>
      <c r="K197" s="910"/>
      <c r="L197" s="2794"/>
      <c r="M197" s="177"/>
      <c r="N197" s="177"/>
      <c r="O197" s="177"/>
      <c r="P197" s="905" t="s">
        <v>1264</v>
      </c>
      <c r="Q197" s="610">
        <f t="shared" si="44"/>
        <v>1067.0586926854094</v>
      </c>
      <c r="R197" s="610">
        <v>620</v>
      </c>
      <c r="S197" s="2017" t="s">
        <v>1261</v>
      </c>
      <c r="T197" s="698"/>
      <c r="U197" s="785"/>
      <c r="V197" s="2866"/>
      <c r="W197" s="2576">
        <v>869</v>
      </c>
      <c r="X197" s="908">
        <v>1215</v>
      </c>
      <c r="Y197" s="908">
        <v>869</v>
      </c>
      <c r="Z197" s="2576"/>
      <c r="AA197" s="2576"/>
      <c r="AB197" s="2576"/>
      <c r="AC197" s="2576"/>
      <c r="AD197" s="2576"/>
      <c r="AE197" s="2576"/>
      <c r="AF197" s="2576"/>
      <c r="AG197" s="2576"/>
      <c r="BB197" s="784"/>
      <c r="BC197" s="796"/>
      <c r="BD197" s="900"/>
      <c r="BE197" s="797"/>
    </row>
    <row r="198" spans="1:57" s="65" customFormat="1" ht="14.45" hidden="1" customHeight="1" outlineLevel="1" x14ac:dyDescent="0.25">
      <c r="A198" s="785"/>
      <c r="B198" s="177"/>
      <c r="C198" s="455"/>
      <c r="D198" s="2813"/>
      <c r="E198" s="2926"/>
      <c r="F198" s="2757" t="str">
        <f t="shared" si="42"/>
        <v>CAC - SEER 14 ER2: MF</v>
      </c>
      <c r="G198" s="2758"/>
      <c r="H198" s="2759"/>
      <c r="I198" s="1663" t="str">
        <f t="shared" si="43"/>
        <v>350500_2019_12_</v>
      </c>
      <c r="J198" s="1663">
        <v>869</v>
      </c>
      <c r="K198" s="910"/>
      <c r="L198" s="2794"/>
      <c r="M198" s="177"/>
      <c r="N198" s="177"/>
      <c r="O198" s="177"/>
      <c r="P198" s="905" t="s">
        <v>1265</v>
      </c>
      <c r="Q198" s="610">
        <f t="shared" si="44"/>
        <v>1273.7253593520763</v>
      </c>
      <c r="R198" s="907">
        <f>R197*S198</f>
        <v>826.66666666666708</v>
      </c>
      <c r="S198" s="2030">
        <v>1.3333333333333339</v>
      </c>
      <c r="T198" s="2031"/>
      <c r="U198" s="785"/>
      <c r="V198" s="2866"/>
      <c r="W198" s="2576">
        <v>869</v>
      </c>
      <c r="X198" s="908">
        <v>1215</v>
      </c>
      <c r="Y198" s="908">
        <v>869</v>
      </c>
      <c r="Z198" s="2576"/>
      <c r="AA198" s="2576"/>
      <c r="AB198" s="2576"/>
      <c r="AC198" s="2576"/>
      <c r="AD198" s="2576"/>
      <c r="AE198" s="2576"/>
      <c r="AF198" s="2576"/>
      <c r="AG198" s="2576"/>
      <c r="BB198" s="784"/>
      <c r="BC198" s="796"/>
      <c r="BD198" s="900"/>
      <c r="BE198" s="797"/>
    </row>
    <row r="199" spans="1:57" s="65" customFormat="1" ht="14.45" hidden="1" customHeight="1" outlineLevel="1" x14ac:dyDescent="0.25">
      <c r="A199" s="785"/>
      <c r="B199" s="177"/>
      <c r="C199" s="455"/>
      <c r="D199" s="2813"/>
      <c r="E199" s="2926"/>
      <c r="F199" s="2757" t="str">
        <f t="shared" si="42"/>
        <v>CAC - SEER 14 ER1: MF_CompE</v>
      </c>
      <c r="G199" s="2758"/>
      <c r="H199" s="2759"/>
      <c r="I199" s="1663" t="str">
        <f t="shared" si="43"/>
        <v>350501_2019_12_</v>
      </c>
      <c r="J199" s="1663">
        <v>632</v>
      </c>
      <c r="K199" s="910"/>
      <c r="L199" s="2794"/>
      <c r="M199" s="177"/>
      <c r="N199" s="177"/>
      <c r="O199" s="177"/>
      <c r="P199" s="905" t="s">
        <v>1266</v>
      </c>
      <c r="Q199" s="610">
        <f t="shared" si="44"/>
        <v>1480.3920260187424</v>
      </c>
      <c r="R199" s="907">
        <f>R198*S199</f>
        <v>1033.3333333333328</v>
      </c>
      <c r="S199" s="2030">
        <v>1.2499999999999987</v>
      </c>
      <c r="T199" s="2031"/>
      <c r="U199" s="785"/>
      <c r="V199" s="2866"/>
      <c r="W199" s="2576"/>
      <c r="X199" s="908"/>
      <c r="Y199" s="908">
        <v>632</v>
      </c>
      <c r="Z199" s="2576"/>
      <c r="AA199" s="2576"/>
      <c r="AB199" s="2576"/>
      <c r="AC199" s="2576"/>
      <c r="AD199" s="2576"/>
      <c r="AE199" s="2576"/>
      <c r="AF199" s="2576"/>
      <c r="AG199" s="2576"/>
      <c r="BB199" s="784"/>
      <c r="BC199" s="796"/>
      <c r="BD199" s="900"/>
      <c r="BE199" s="797"/>
    </row>
    <row r="200" spans="1:57" s="65" customFormat="1" ht="14.45" hidden="1" customHeight="1" outlineLevel="1" x14ac:dyDescent="0.25">
      <c r="A200" s="785"/>
      <c r="B200" s="177"/>
      <c r="C200" s="455"/>
      <c r="D200" s="2813"/>
      <c r="E200" s="2926"/>
      <c r="F200" s="2757" t="str">
        <f t="shared" si="42"/>
        <v>CAC - SEER 14 ER2: MF_CompE</v>
      </c>
      <c r="G200" s="2758"/>
      <c r="H200" s="2759"/>
      <c r="I200" s="1663" t="str">
        <f t="shared" si="43"/>
        <v>350501_2019_12_</v>
      </c>
      <c r="J200" s="1663">
        <f>$J$199</f>
        <v>632</v>
      </c>
      <c r="K200" s="910"/>
      <c r="L200" s="2794"/>
      <c r="M200" s="177"/>
      <c r="N200" s="177"/>
      <c r="O200" s="177"/>
      <c r="P200" s="905" t="s">
        <v>1267</v>
      </c>
      <c r="Q200" s="610">
        <f t="shared" si="44"/>
        <v>1687.0586926854094</v>
      </c>
      <c r="R200" s="907">
        <f>R199*S200</f>
        <v>1239.9999999999995</v>
      </c>
      <c r="S200" s="2030">
        <v>1.2000000000000002</v>
      </c>
      <c r="T200" s="2031" t="s">
        <v>3366</v>
      </c>
      <c r="U200" s="177"/>
      <c r="V200" s="2866"/>
      <c r="W200" s="2576"/>
      <c r="X200" s="908"/>
      <c r="Y200" s="908">
        <v>632</v>
      </c>
      <c r="Z200" s="2576"/>
      <c r="AA200" s="2576"/>
      <c r="AB200" s="2576"/>
      <c r="AC200" s="2576"/>
      <c r="AD200" s="2576"/>
      <c r="AE200" s="2576"/>
      <c r="AF200" s="2576"/>
      <c r="AG200" s="2576"/>
      <c r="BB200" s="784"/>
      <c r="BC200" s="796"/>
      <c r="BD200" s="900"/>
      <c r="BE200" s="797"/>
    </row>
    <row r="201" spans="1:57" s="65" customFormat="1" ht="14.45" hidden="1" customHeight="1" outlineLevel="1" x14ac:dyDescent="0.25">
      <c r="A201" s="785"/>
      <c r="B201" s="177"/>
      <c r="C201" s="455"/>
      <c r="D201" s="2813"/>
      <c r="E201" s="2926"/>
      <c r="F201" s="2757" t="str">
        <f t="shared" si="42"/>
        <v>CAC - SEER 14 ROF: MF</v>
      </c>
      <c r="G201" s="2758"/>
      <c r="H201" s="2759"/>
      <c r="I201" s="1663" t="str">
        <f t="shared" si="43"/>
        <v>350550_2019_12_</v>
      </c>
      <c r="J201" s="1663">
        <v>869</v>
      </c>
      <c r="K201" s="910"/>
      <c r="L201" s="2794"/>
      <c r="M201" s="177"/>
      <c r="N201" s="177"/>
      <c r="O201" s="177"/>
      <c r="P201" s="905" t="s">
        <v>1268</v>
      </c>
      <c r="Q201" s="610">
        <f t="shared" si="44"/>
        <v>1893.7253593520754</v>
      </c>
      <c r="R201" s="907">
        <f>R200*S201</f>
        <v>1446.6666666666663</v>
      </c>
      <c r="S201" s="2030">
        <v>1.1666666666666667</v>
      </c>
      <c r="T201" s="2031"/>
      <c r="U201" s="177"/>
      <c r="V201" s="2866"/>
      <c r="W201" s="2576">
        <v>869</v>
      </c>
      <c r="X201" s="908">
        <v>1215</v>
      </c>
      <c r="Y201" s="2576">
        <v>869</v>
      </c>
      <c r="Z201" s="2576"/>
      <c r="AA201" s="2576"/>
      <c r="AB201" s="2576"/>
      <c r="AC201" s="2576"/>
      <c r="AD201" s="2576"/>
      <c r="AE201" s="2576"/>
      <c r="AF201" s="2576"/>
      <c r="AG201" s="2576"/>
      <c r="BB201" s="784"/>
      <c r="BC201" s="796"/>
      <c r="BD201" s="900"/>
      <c r="BE201" s="797"/>
    </row>
    <row r="202" spans="1:57" s="65" customFormat="1" ht="14.45" hidden="1" customHeight="1" outlineLevel="1" x14ac:dyDescent="0.25">
      <c r="A202" s="785"/>
      <c r="B202" s="177"/>
      <c r="C202" s="455"/>
      <c r="D202" s="2813"/>
      <c r="E202" s="2926"/>
      <c r="F202" s="2757" t="str">
        <f t="shared" si="42"/>
        <v>CAC - SEER 14 ROF: MF_CompE</v>
      </c>
      <c r="G202" s="2758"/>
      <c r="H202" s="2759"/>
      <c r="I202" s="1663" t="str">
        <f t="shared" si="43"/>
        <v>350551_2019_12_</v>
      </c>
      <c r="J202" s="1663">
        <f>$J$199</f>
        <v>632</v>
      </c>
      <c r="K202" s="910"/>
      <c r="L202" s="2794"/>
      <c r="M202" s="177"/>
      <c r="N202" s="177"/>
      <c r="O202" s="177"/>
      <c r="P202" s="905" t="s">
        <v>1269</v>
      </c>
      <c r="Q202" s="610">
        <f>AVERAGE(Q194:Q201)</f>
        <v>1134.0170260187426</v>
      </c>
      <c r="R202" s="907">
        <f>AVERAGE(R194:R201)</f>
        <v>686.95833333333326</v>
      </c>
      <c r="S202" s="177"/>
      <c r="T202" s="911"/>
      <c r="U202" s="177"/>
      <c r="V202" s="2866"/>
      <c r="W202" s="2576"/>
      <c r="X202" s="908"/>
      <c r="Y202" s="908">
        <v>632</v>
      </c>
      <c r="Z202" s="2576"/>
      <c r="AA202" s="2576"/>
      <c r="AB202" s="2576"/>
      <c r="AC202" s="2576"/>
      <c r="AD202" s="2576"/>
      <c r="AE202" s="2576"/>
      <c r="AF202" s="2576"/>
      <c r="AG202" s="2576"/>
      <c r="BB202" s="784"/>
      <c r="BC202" s="796"/>
      <c r="BD202" s="900"/>
      <c r="BE202" s="797"/>
    </row>
    <row r="203" spans="1:57" s="65" customFormat="1" hidden="1" outlineLevel="1" x14ac:dyDescent="0.25">
      <c r="A203" s="785"/>
      <c r="B203" s="177"/>
      <c r="C203" s="455"/>
      <c r="D203" s="2813"/>
      <c r="E203" s="2926"/>
      <c r="F203" s="2757" t="str">
        <f t="shared" si="42"/>
        <v>CAC - SEER 15 ER1: SF</v>
      </c>
      <c r="G203" s="2758"/>
      <c r="H203" s="2759"/>
      <c r="I203" s="1663" t="str">
        <f t="shared" si="43"/>
        <v>350600_2019_12_</v>
      </c>
      <c r="J203" s="1663">
        <v>869</v>
      </c>
      <c r="K203" s="910"/>
      <c r="L203" s="2794"/>
      <c r="M203" s="177"/>
      <c r="N203" s="2028"/>
      <c r="O203" s="177"/>
      <c r="P203" s="2112" t="s">
        <v>1270</v>
      </c>
      <c r="Q203" s="455"/>
      <c r="R203" s="177"/>
      <c r="S203" s="177"/>
      <c r="T203" s="911"/>
      <c r="U203" s="177"/>
      <c r="V203" s="2866"/>
      <c r="W203" s="2576">
        <v>869</v>
      </c>
      <c r="X203" s="2576">
        <f t="shared" si="45"/>
        <v>869</v>
      </c>
      <c r="Y203" s="2576">
        <v>869</v>
      </c>
      <c r="Z203" s="2576"/>
      <c r="AA203" s="2576"/>
      <c r="AB203" s="2576"/>
      <c r="AC203" s="2576"/>
      <c r="AD203" s="2576"/>
      <c r="AE203" s="2576"/>
      <c r="AF203" s="2576"/>
      <c r="AG203" s="2576"/>
      <c r="BB203" s="784"/>
      <c r="BC203" s="796"/>
      <c r="BD203" s="900"/>
      <c r="BE203" s="797"/>
    </row>
    <row r="204" spans="1:57" s="65" customFormat="1" ht="15" hidden="1" customHeight="1" outlineLevel="1" x14ac:dyDescent="0.25">
      <c r="A204" s="785"/>
      <c r="B204" s="177"/>
      <c r="C204" s="455"/>
      <c r="D204" s="2813"/>
      <c r="E204" s="2926"/>
      <c r="F204" s="2757" t="str">
        <f t="shared" si="42"/>
        <v>CAC - SEER 15 ER2: SF</v>
      </c>
      <c r="G204" s="2758"/>
      <c r="H204" s="2759"/>
      <c r="I204" s="1663" t="str">
        <f t="shared" si="43"/>
        <v>350600_2019_12_</v>
      </c>
      <c r="J204" s="1663">
        <v>869</v>
      </c>
      <c r="K204" s="910"/>
      <c r="L204" s="2794"/>
      <c r="M204" s="177"/>
      <c r="N204" s="2028"/>
      <c r="O204" s="177"/>
      <c r="T204" s="177"/>
      <c r="U204" s="177"/>
      <c r="V204" s="2866"/>
      <c r="W204" s="2576">
        <v>869</v>
      </c>
      <c r="X204" s="2576">
        <f t="shared" si="45"/>
        <v>869</v>
      </c>
      <c r="Y204" s="2576">
        <v>869</v>
      </c>
      <c r="Z204" s="2576"/>
      <c r="AA204" s="2576"/>
      <c r="AB204" s="2576"/>
      <c r="AC204" s="2576"/>
      <c r="AD204" s="2576"/>
      <c r="AE204" s="2576"/>
      <c r="AF204" s="2576"/>
      <c r="AG204" s="2576"/>
      <c r="BB204" s="784"/>
      <c r="BC204" s="796"/>
      <c r="BD204" s="900"/>
      <c r="BE204" s="797"/>
    </row>
    <row r="205" spans="1:57" s="65" customFormat="1" hidden="1" outlineLevel="1" x14ac:dyDescent="0.25">
      <c r="A205" s="785"/>
      <c r="B205" s="177"/>
      <c r="C205" s="455"/>
      <c r="D205" s="2813"/>
      <c r="E205" s="2926"/>
      <c r="F205" s="2757" t="str">
        <f t="shared" si="42"/>
        <v>CAC - SEER 15 ROF: SF</v>
      </c>
      <c r="G205" s="2758"/>
      <c r="H205" s="2759"/>
      <c r="I205" s="1663" t="str">
        <f t="shared" si="43"/>
        <v>350650_2019_12_</v>
      </c>
      <c r="J205" s="1663">
        <v>869</v>
      </c>
      <c r="K205" s="910"/>
      <c r="L205" s="2794"/>
      <c r="M205" s="177"/>
      <c r="N205" s="2028"/>
      <c r="O205" s="177"/>
      <c r="P205" s="2722" t="s">
        <v>1271</v>
      </c>
      <c r="Q205" s="2641"/>
      <c r="R205" s="2642"/>
      <c r="S205" s="177"/>
      <c r="T205" s="177"/>
      <c r="U205" s="177"/>
      <c r="V205" s="2866"/>
      <c r="W205" s="2576">
        <v>869</v>
      </c>
      <c r="X205" s="2576">
        <f t="shared" si="45"/>
        <v>869</v>
      </c>
      <c r="Y205" s="2576">
        <v>869</v>
      </c>
      <c r="Z205" s="2576"/>
      <c r="AA205" s="2576"/>
      <c r="AB205" s="2576"/>
      <c r="AC205" s="2576"/>
      <c r="AD205" s="2576"/>
      <c r="AE205" s="2576"/>
      <c r="AF205" s="2576"/>
      <c r="AG205" s="2576"/>
      <c r="BB205" s="784"/>
      <c r="BC205" s="796"/>
      <c r="BD205" s="900"/>
      <c r="BE205" s="797"/>
    </row>
    <row r="206" spans="1:57" s="65" customFormat="1" hidden="1" outlineLevel="1" x14ac:dyDescent="0.25">
      <c r="A206" s="785"/>
      <c r="B206" s="177"/>
      <c r="C206" s="455"/>
      <c r="D206" s="2813"/>
      <c r="E206" s="2926"/>
      <c r="F206" s="2757" t="str">
        <f t="shared" si="42"/>
        <v>CAC - SEER 15 ER1: MF</v>
      </c>
      <c r="G206" s="2758"/>
      <c r="H206" s="2759"/>
      <c r="I206" s="1663" t="str">
        <f t="shared" si="43"/>
        <v>350700_2019_12_</v>
      </c>
      <c r="J206" s="1663">
        <v>869</v>
      </c>
      <c r="K206" s="910"/>
      <c r="L206" s="2794"/>
      <c r="M206" s="177"/>
      <c r="N206" s="2028"/>
      <c r="O206" s="177"/>
      <c r="P206" s="912" t="s">
        <v>1202</v>
      </c>
      <c r="Q206" s="92" t="s">
        <v>1272</v>
      </c>
      <c r="R206" s="2032" t="s">
        <v>1273</v>
      </c>
      <c r="S206" s="177"/>
      <c r="T206" s="177"/>
      <c r="U206" s="177"/>
      <c r="V206" s="2866"/>
      <c r="W206" s="2576">
        <v>869</v>
      </c>
      <c r="X206" s="908">
        <v>1215</v>
      </c>
      <c r="Y206" s="908">
        <v>869</v>
      </c>
      <c r="Z206" s="2576"/>
      <c r="AA206" s="2576"/>
      <c r="AB206" s="2576"/>
      <c r="AC206" s="2576"/>
      <c r="AD206" s="2576"/>
      <c r="AE206" s="2576"/>
      <c r="AF206" s="2576"/>
      <c r="AG206" s="2576"/>
      <c r="BB206" s="784"/>
      <c r="BC206" s="796"/>
      <c r="BD206" s="900"/>
      <c r="BE206" s="797"/>
    </row>
    <row r="207" spans="1:57" s="65" customFormat="1" hidden="1" outlineLevel="1" x14ac:dyDescent="0.25">
      <c r="A207" s="785"/>
      <c r="B207" s="177"/>
      <c r="C207" s="455"/>
      <c r="D207" s="2813"/>
      <c r="E207" s="2926"/>
      <c r="F207" s="2757" t="str">
        <f t="shared" si="42"/>
        <v>CAC - SEER 15 ER2: MF</v>
      </c>
      <c r="G207" s="2758"/>
      <c r="H207" s="2759"/>
      <c r="I207" s="1663" t="str">
        <f t="shared" si="43"/>
        <v>350700_2019_12_</v>
      </c>
      <c r="J207" s="1663">
        <v>869</v>
      </c>
      <c r="K207" s="910"/>
      <c r="L207" s="2794"/>
      <c r="M207" s="177"/>
      <c r="N207" s="2028"/>
      <c r="O207" s="177"/>
      <c r="P207" s="912" t="s">
        <v>1274</v>
      </c>
      <c r="Q207" s="913">
        <f>R207*(1+R208)^R210</f>
        <v>3217.446031837248</v>
      </c>
      <c r="R207" s="913">
        <v>2857</v>
      </c>
      <c r="S207" s="177" t="s">
        <v>1261</v>
      </c>
      <c r="T207" s="2492"/>
      <c r="U207" s="177"/>
      <c r="V207" s="2866"/>
      <c r="W207" s="2576">
        <v>869</v>
      </c>
      <c r="X207" s="908">
        <v>1215</v>
      </c>
      <c r="Y207" s="908">
        <v>869</v>
      </c>
      <c r="Z207" s="2576"/>
      <c r="AA207" s="2576"/>
      <c r="AB207" s="2576"/>
      <c r="AC207" s="2576"/>
      <c r="AD207" s="2576"/>
      <c r="AE207" s="2576"/>
      <c r="AF207" s="2576"/>
      <c r="AG207" s="2576"/>
      <c r="BB207" s="784"/>
      <c r="BC207" s="796"/>
      <c r="BD207" s="900"/>
      <c r="BE207" s="797"/>
    </row>
    <row r="208" spans="1:57" s="65" customFormat="1" hidden="1" outlineLevel="1" x14ac:dyDescent="0.25">
      <c r="A208" s="785"/>
      <c r="B208" s="177"/>
      <c r="C208" s="455"/>
      <c r="D208" s="2813"/>
      <c r="E208" s="2926"/>
      <c r="F208" s="2757" t="str">
        <f t="shared" si="42"/>
        <v>CAC - SEER 15 ER1: MF_CompE</v>
      </c>
      <c r="G208" s="2758"/>
      <c r="H208" s="2759"/>
      <c r="I208" s="1663" t="str">
        <f t="shared" si="43"/>
        <v>350701_2019_12_</v>
      </c>
      <c r="J208" s="1663">
        <f>$J$199</f>
        <v>632</v>
      </c>
      <c r="K208" s="910"/>
      <c r="L208" s="2794"/>
      <c r="M208" s="177"/>
      <c r="N208" s="2028"/>
      <c r="O208" s="177"/>
      <c r="P208" s="912" t="s">
        <v>1205</v>
      </c>
      <c r="Q208" s="2033"/>
      <c r="R208" s="914">
        <f>$Q$95</f>
        <v>0.02</v>
      </c>
      <c r="S208" s="177" t="s">
        <v>1275</v>
      </c>
      <c r="T208" s="177"/>
      <c r="U208" s="177"/>
      <c r="V208" s="2866"/>
      <c r="W208" s="2576"/>
      <c r="X208" s="908"/>
      <c r="Y208" s="908">
        <v>632</v>
      </c>
      <c r="Z208" s="2576"/>
      <c r="AA208" s="2576"/>
      <c r="AB208" s="2576"/>
      <c r="AC208" s="2576"/>
      <c r="AD208" s="2576"/>
      <c r="AE208" s="2576"/>
      <c r="AF208" s="2576"/>
      <c r="AG208" s="2576"/>
      <c r="BB208" s="784"/>
      <c r="BC208" s="796"/>
      <c r="BD208" s="900"/>
      <c r="BE208" s="797"/>
    </row>
    <row r="209" spans="1:57" s="65" customFormat="1" hidden="1" outlineLevel="1" x14ac:dyDescent="0.25">
      <c r="A209" s="785"/>
      <c r="B209" s="177"/>
      <c r="C209" s="455"/>
      <c r="D209" s="2813"/>
      <c r="E209" s="2926"/>
      <c r="F209" s="2757" t="str">
        <f t="shared" si="42"/>
        <v>CAC - SEER 15 ER2: MF_CompE</v>
      </c>
      <c r="G209" s="2758"/>
      <c r="H209" s="2759"/>
      <c r="I209" s="1663" t="str">
        <f t="shared" si="43"/>
        <v>350701_2019_12_</v>
      </c>
      <c r="J209" s="1663">
        <f>$J$199</f>
        <v>632</v>
      </c>
      <c r="K209" s="910"/>
      <c r="L209" s="2794"/>
      <c r="M209" s="177"/>
      <c r="N209" s="2028"/>
      <c r="O209" s="177"/>
      <c r="P209" s="915" t="s">
        <v>1206</v>
      </c>
      <c r="Q209" s="2033"/>
      <c r="R209" s="914">
        <f>$Q$96</f>
        <v>5.9499999999999997E-2</v>
      </c>
      <c r="S209" s="177" t="s">
        <v>1275</v>
      </c>
      <c r="T209" s="177"/>
      <c r="U209" s="177"/>
      <c r="V209" s="2866"/>
      <c r="W209" s="2576"/>
      <c r="X209" s="908"/>
      <c r="Y209" s="908">
        <v>632</v>
      </c>
      <c r="Z209" s="2576"/>
      <c r="AA209" s="2576"/>
      <c r="AB209" s="2576"/>
      <c r="AC209" s="2576"/>
      <c r="AD209" s="2576"/>
      <c r="AE209" s="2576"/>
      <c r="AF209" s="2576"/>
      <c r="AG209" s="2576"/>
      <c r="BB209" s="784"/>
      <c r="BC209" s="796"/>
      <c r="BD209" s="900"/>
      <c r="BE209" s="797"/>
    </row>
    <row r="210" spans="1:57" s="65" customFormat="1" hidden="1" outlineLevel="1" x14ac:dyDescent="0.25">
      <c r="A210" s="785"/>
      <c r="B210" s="177"/>
      <c r="C210" s="455"/>
      <c r="D210" s="2813"/>
      <c r="E210" s="2926"/>
      <c r="F210" s="2757" t="str">
        <f t="shared" si="42"/>
        <v>CAC - SEER 15 ROF: MF</v>
      </c>
      <c r="G210" s="2758"/>
      <c r="H210" s="2759"/>
      <c r="I210" s="1663" t="str">
        <f t="shared" si="43"/>
        <v>350750_2019_12_</v>
      </c>
      <c r="J210" s="1663">
        <v>869</v>
      </c>
      <c r="K210" s="910"/>
      <c r="L210" s="2794"/>
      <c r="M210" s="177"/>
      <c r="N210" s="2028"/>
      <c r="O210" s="177"/>
      <c r="P210" s="916" t="s">
        <v>1207</v>
      </c>
      <c r="Q210" s="2033"/>
      <c r="R210" s="917">
        <v>6</v>
      </c>
      <c r="S210" s="177" t="s">
        <v>1276</v>
      </c>
      <c r="T210" s="177"/>
      <c r="U210" s="177"/>
      <c r="V210" s="2866"/>
      <c r="W210" s="2576">
        <v>869</v>
      </c>
      <c r="X210" s="908">
        <v>1215</v>
      </c>
      <c r="Y210" s="908">
        <v>869</v>
      </c>
      <c r="Z210" s="2576"/>
      <c r="AA210" s="2576"/>
      <c r="AB210" s="2576"/>
      <c r="AC210" s="2576"/>
      <c r="AD210" s="2576"/>
      <c r="AE210" s="2576"/>
      <c r="AF210" s="2576"/>
      <c r="AG210" s="2576"/>
      <c r="BB210" s="784"/>
      <c r="BC210" s="796"/>
      <c r="BD210" s="900"/>
      <c r="BE210" s="797"/>
    </row>
    <row r="211" spans="1:57" s="65" customFormat="1" hidden="1" outlineLevel="1" x14ac:dyDescent="0.25">
      <c r="A211" s="785"/>
      <c r="B211" s="177"/>
      <c r="C211" s="455"/>
      <c r="D211" s="2813"/>
      <c r="E211" s="2926"/>
      <c r="F211" s="2757" t="str">
        <f t="shared" si="42"/>
        <v>CAC - SEER 15 ROF: MF_CompE</v>
      </c>
      <c r="G211" s="2758"/>
      <c r="H211" s="2759"/>
      <c r="I211" s="1663" t="str">
        <f t="shared" si="43"/>
        <v>350751_2019_12_</v>
      </c>
      <c r="J211" s="1663">
        <f>$J$199</f>
        <v>632</v>
      </c>
      <c r="K211" s="910"/>
      <c r="L211" s="2794"/>
      <c r="M211" s="177"/>
      <c r="N211" s="2028"/>
      <c r="O211" s="2026"/>
      <c r="P211" s="918" t="s">
        <v>1277</v>
      </c>
      <c r="Q211" s="177"/>
      <c r="R211" s="177"/>
      <c r="S211" s="177"/>
      <c r="T211" s="177"/>
      <c r="U211" s="177"/>
      <c r="V211" s="2866"/>
      <c r="W211" s="2576"/>
      <c r="X211" s="908"/>
      <c r="Y211" s="2576">
        <v>632</v>
      </c>
      <c r="Z211" s="2576"/>
      <c r="AA211" s="2576"/>
      <c r="AB211" s="2576"/>
      <c r="AC211" s="2576"/>
      <c r="AD211" s="2576"/>
      <c r="AE211" s="2576"/>
      <c r="AF211" s="2576"/>
      <c r="AG211" s="2576"/>
      <c r="BB211" s="784"/>
      <c r="BC211" s="796"/>
      <c r="BD211" s="900"/>
      <c r="BE211" s="797"/>
    </row>
    <row r="212" spans="1:57" s="65" customFormat="1" hidden="1" outlineLevel="1" x14ac:dyDescent="0.25">
      <c r="A212" s="785"/>
      <c r="B212" s="177"/>
      <c r="C212" s="455"/>
      <c r="D212" s="2813"/>
      <c r="E212" s="2926"/>
      <c r="F212" s="2757" t="str">
        <f t="shared" si="42"/>
        <v>CAC - SEER 16 ER1: SF</v>
      </c>
      <c r="G212" s="2758"/>
      <c r="H212" s="2759"/>
      <c r="I212" s="1663" t="str">
        <f t="shared" si="43"/>
        <v>350800_2019_12_</v>
      </c>
      <c r="J212" s="1663">
        <v>869</v>
      </c>
      <c r="K212" s="910"/>
      <c r="L212" s="2794"/>
      <c r="M212" s="177"/>
      <c r="N212" s="2028"/>
      <c r="O212" s="177"/>
      <c r="P212" s="177"/>
      <c r="Q212" s="177"/>
      <c r="R212" s="177"/>
      <c r="S212" s="177"/>
      <c r="T212" s="177"/>
      <c r="U212" s="177"/>
      <c r="V212" s="2866"/>
      <c r="W212" s="2576">
        <v>869</v>
      </c>
      <c r="X212" s="2576">
        <f t="shared" si="45"/>
        <v>869</v>
      </c>
      <c r="Y212" s="2576">
        <v>869</v>
      </c>
      <c r="Z212" s="2576"/>
      <c r="AA212" s="2576"/>
      <c r="AB212" s="2576"/>
      <c r="AC212" s="2576"/>
      <c r="AD212" s="2576"/>
      <c r="AE212" s="2576"/>
      <c r="AF212" s="2576"/>
      <c r="AG212" s="2576"/>
      <c r="BB212" s="784"/>
      <c r="BC212" s="796"/>
      <c r="BD212" s="900"/>
      <c r="BE212" s="797"/>
    </row>
    <row r="213" spans="1:57" s="65" customFormat="1" hidden="1" outlineLevel="1" x14ac:dyDescent="0.25">
      <c r="A213" s="785"/>
      <c r="B213" s="177"/>
      <c r="C213" s="455"/>
      <c r="D213" s="2813"/>
      <c r="E213" s="2926"/>
      <c r="F213" s="2757" t="str">
        <f t="shared" si="42"/>
        <v>CAC - SEER 16 ER2: SF</v>
      </c>
      <c r="G213" s="2758"/>
      <c r="H213" s="2759"/>
      <c r="I213" s="1663" t="str">
        <f t="shared" si="43"/>
        <v>350800_2019_12_</v>
      </c>
      <c r="J213" s="1663">
        <v>869</v>
      </c>
      <c r="K213" s="910"/>
      <c r="L213" s="2794"/>
      <c r="M213" s="177"/>
      <c r="N213" s="2028"/>
      <c r="O213" s="177"/>
      <c r="P213" s="177"/>
      <c r="Q213" s="177"/>
      <c r="R213" s="177"/>
      <c r="S213" s="177"/>
      <c r="T213" s="177"/>
      <c r="U213" s="177"/>
      <c r="V213" s="2866"/>
      <c r="W213" s="2576">
        <v>869</v>
      </c>
      <c r="X213" s="2576">
        <f t="shared" si="45"/>
        <v>869</v>
      </c>
      <c r="Y213" s="2576">
        <v>869</v>
      </c>
      <c r="Z213" s="2576"/>
      <c r="AA213" s="2576"/>
      <c r="AB213" s="2576"/>
      <c r="AC213" s="2576"/>
      <c r="AD213" s="2576"/>
      <c r="AE213" s="2576"/>
      <c r="AF213" s="2576"/>
      <c r="AG213" s="2576"/>
      <c r="BB213" s="784"/>
      <c r="BC213" s="796"/>
      <c r="BD213" s="900"/>
      <c r="BE213" s="797"/>
    </row>
    <row r="214" spans="1:57" s="65" customFormat="1" hidden="1" outlineLevel="1" x14ac:dyDescent="0.25">
      <c r="A214" s="785"/>
      <c r="B214" s="177"/>
      <c r="C214" s="455"/>
      <c r="D214" s="2813"/>
      <c r="E214" s="2926"/>
      <c r="F214" s="2757" t="str">
        <f t="shared" si="42"/>
        <v>CAC - SEER 16 ROF: SF</v>
      </c>
      <c r="G214" s="2758"/>
      <c r="H214" s="2759"/>
      <c r="I214" s="1663" t="str">
        <f t="shared" si="43"/>
        <v>350850_2019_12_</v>
      </c>
      <c r="J214" s="1663">
        <v>869</v>
      </c>
      <c r="K214" s="910"/>
      <c r="L214" s="2794"/>
      <c r="M214" s="177"/>
      <c r="N214" s="2028"/>
      <c r="O214" s="177"/>
      <c r="P214" s="177"/>
      <c r="Q214" s="177"/>
      <c r="R214" s="177"/>
      <c r="S214" s="177"/>
      <c r="T214" s="177"/>
      <c r="U214" s="177"/>
      <c r="V214" s="2866"/>
      <c r="W214" s="2576">
        <v>869</v>
      </c>
      <c r="X214" s="2576">
        <f t="shared" si="45"/>
        <v>869</v>
      </c>
      <c r="Y214" s="2576">
        <v>869</v>
      </c>
      <c r="Z214" s="2576"/>
      <c r="AA214" s="2576"/>
      <c r="AB214" s="2576"/>
      <c r="AC214" s="2576"/>
      <c r="AD214" s="2576"/>
      <c r="AE214" s="2576"/>
      <c r="AF214" s="2576"/>
      <c r="AG214" s="2576"/>
      <c r="BB214" s="784"/>
      <c r="BC214" s="796"/>
      <c r="BD214" s="900"/>
      <c r="BE214" s="797"/>
    </row>
    <row r="215" spans="1:57" s="65" customFormat="1" ht="15" hidden="1" customHeight="1" outlineLevel="1" x14ac:dyDescent="0.25">
      <c r="A215" s="785"/>
      <c r="B215" s="177"/>
      <c r="C215" s="455"/>
      <c r="D215" s="2813"/>
      <c r="E215" s="2926"/>
      <c r="F215" s="2757" t="str">
        <f t="shared" si="42"/>
        <v>CAC - SEER 16 ER1: MF</v>
      </c>
      <c r="G215" s="2758"/>
      <c r="H215" s="2759"/>
      <c r="I215" s="1663" t="str">
        <f t="shared" si="43"/>
        <v>350900_2019_12_</v>
      </c>
      <c r="J215" s="1663">
        <v>869</v>
      </c>
      <c r="K215" s="910"/>
      <c r="L215" s="2794"/>
      <c r="M215" s="177"/>
      <c r="N215" s="2028"/>
      <c r="O215" s="177"/>
      <c r="P215" s="177"/>
      <c r="Q215" s="177"/>
      <c r="R215" s="177"/>
      <c r="S215" s="177"/>
      <c r="T215" s="177"/>
      <c r="U215" s="177"/>
      <c r="V215" s="2866"/>
      <c r="W215" s="2576">
        <v>869</v>
      </c>
      <c r="X215" s="908">
        <v>1215</v>
      </c>
      <c r="Y215" s="908">
        <v>869</v>
      </c>
      <c r="Z215" s="2576"/>
      <c r="AA215" s="2576"/>
      <c r="AB215" s="2576"/>
      <c r="AC215" s="2576"/>
      <c r="AD215" s="2576"/>
      <c r="AE215" s="2576"/>
      <c r="AF215" s="2576"/>
      <c r="AG215" s="2576"/>
      <c r="BB215" s="784"/>
      <c r="BC215" s="796"/>
      <c r="BD215" s="900"/>
      <c r="BE215" s="797"/>
    </row>
    <row r="216" spans="1:57" s="65" customFormat="1" hidden="1" outlineLevel="1" x14ac:dyDescent="0.25">
      <c r="A216" s="785"/>
      <c r="B216" s="177"/>
      <c r="C216" s="455"/>
      <c r="D216" s="2813"/>
      <c r="E216" s="2926"/>
      <c r="F216" s="2757" t="str">
        <f t="shared" si="42"/>
        <v>CAC - SEER 16 ER2: MF</v>
      </c>
      <c r="G216" s="2758"/>
      <c r="H216" s="2759"/>
      <c r="I216" s="1663" t="str">
        <f t="shared" si="43"/>
        <v>350900_2019_12_</v>
      </c>
      <c r="J216" s="1663">
        <v>869</v>
      </c>
      <c r="K216" s="910"/>
      <c r="L216" s="2794"/>
      <c r="M216" s="177"/>
      <c r="N216" s="2028"/>
      <c r="O216" s="177"/>
      <c r="P216" s="177"/>
      <c r="Q216" s="177"/>
      <c r="R216" s="177"/>
      <c r="S216" s="177"/>
      <c r="T216" s="177"/>
      <c r="U216" s="177"/>
      <c r="V216" s="2866"/>
      <c r="W216" s="2576">
        <v>869</v>
      </c>
      <c r="X216" s="908">
        <v>1215</v>
      </c>
      <c r="Y216" s="908">
        <v>869</v>
      </c>
      <c r="Z216" s="2576"/>
      <c r="AA216" s="2576"/>
      <c r="AB216" s="2576"/>
      <c r="AC216" s="2576"/>
      <c r="AD216" s="2576"/>
      <c r="AE216" s="2576"/>
      <c r="AF216" s="2576"/>
      <c r="AG216" s="2576"/>
      <c r="BB216" s="784"/>
      <c r="BC216" s="796"/>
      <c r="BD216" s="900"/>
      <c r="BE216" s="797"/>
    </row>
    <row r="217" spans="1:57" s="65" customFormat="1" hidden="1" outlineLevel="1" x14ac:dyDescent="0.25">
      <c r="A217" s="785"/>
      <c r="B217" s="177"/>
      <c r="C217" s="455"/>
      <c r="D217" s="2813"/>
      <c r="E217" s="2926"/>
      <c r="F217" s="2757" t="str">
        <f t="shared" si="42"/>
        <v>CAC - SEER 16 ER1: MF_CompE</v>
      </c>
      <c r="G217" s="2758"/>
      <c r="H217" s="2759"/>
      <c r="I217" s="1663" t="str">
        <f t="shared" si="43"/>
        <v>350901_2019_12_</v>
      </c>
      <c r="J217" s="1663">
        <f>$J$199</f>
        <v>632</v>
      </c>
      <c r="K217" s="910"/>
      <c r="L217" s="2794"/>
      <c r="M217" s="177"/>
      <c r="N217" s="2028"/>
      <c r="O217" s="177"/>
      <c r="P217" s="177"/>
      <c r="Q217" s="177"/>
      <c r="R217" s="177"/>
      <c r="S217" s="177"/>
      <c r="T217" s="177"/>
      <c r="U217" s="177"/>
      <c r="V217" s="2866"/>
      <c r="W217" s="2576"/>
      <c r="X217" s="908"/>
      <c r="Y217" s="908">
        <v>632</v>
      </c>
      <c r="Z217" s="2576"/>
      <c r="AA217" s="2576"/>
      <c r="AB217" s="2576"/>
      <c r="AC217" s="2576"/>
      <c r="AD217" s="2576"/>
      <c r="AE217" s="2576"/>
      <c r="AF217" s="2576"/>
      <c r="AG217" s="2576"/>
      <c r="BB217" s="784"/>
      <c r="BC217" s="796"/>
      <c r="BD217" s="900"/>
      <c r="BE217" s="797"/>
    </row>
    <row r="218" spans="1:57" s="65" customFormat="1" hidden="1" outlineLevel="1" x14ac:dyDescent="0.25">
      <c r="A218" s="785"/>
      <c r="B218" s="177"/>
      <c r="C218" s="455"/>
      <c r="D218" s="2813"/>
      <c r="E218" s="2926"/>
      <c r="F218" s="2757" t="str">
        <f t="shared" si="42"/>
        <v>CAC - SEER 16 ER2: MF_CompE</v>
      </c>
      <c r="G218" s="2758"/>
      <c r="H218" s="2759"/>
      <c r="I218" s="1663" t="str">
        <f t="shared" si="43"/>
        <v>350901_2019_12_</v>
      </c>
      <c r="J218" s="1663">
        <f>$J$199</f>
        <v>632</v>
      </c>
      <c r="K218" s="910"/>
      <c r="L218" s="2794"/>
      <c r="M218" s="177"/>
      <c r="N218" s="2028"/>
      <c r="O218" s="177"/>
      <c r="P218" s="177"/>
      <c r="Q218" s="177"/>
      <c r="R218" s="177"/>
      <c r="S218" s="177"/>
      <c r="T218" s="177"/>
      <c r="U218" s="177"/>
      <c r="V218" s="2866"/>
      <c r="W218" s="2576"/>
      <c r="X218" s="908"/>
      <c r="Y218" s="908">
        <v>632</v>
      </c>
      <c r="Z218" s="2576"/>
      <c r="AA218" s="2576"/>
      <c r="AB218" s="2576"/>
      <c r="AC218" s="2576"/>
      <c r="AD218" s="2576"/>
      <c r="AE218" s="2576"/>
      <c r="AF218" s="2576"/>
      <c r="AG218" s="2576"/>
      <c r="BB218" s="784"/>
      <c r="BC218" s="796"/>
      <c r="BD218" s="900"/>
      <c r="BE218" s="797"/>
    </row>
    <row r="219" spans="1:57" s="65" customFormat="1" hidden="1" outlineLevel="1" x14ac:dyDescent="0.25">
      <c r="A219" s="785"/>
      <c r="B219" s="177"/>
      <c r="C219" s="455"/>
      <c r="D219" s="2813"/>
      <c r="E219" s="2926"/>
      <c r="F219" s="2757" t="str">
        <f t="shared" si="42"/>
        <v>CAC - SEER 16 ROF: MF</v>
      </c>
      <c r="G219" s="2758"/>
      <c r="H219" s="2759"/>
      <c r="I219" s="1663" t="str">
        <f t="shared" si="43"/>
        <v>350950_2019_12_</v>
      </c>
      <c r="J219" s="1663">
        <v>869</v>
      </c>
      <c r="K219" s="910"/>
      <c r="L219" s="2794"/>
      <c r="M219" s="177"/>
      <c r="N219" s="2028"/>
      <c r="O219" s="177"/>
      <c r="P219" s="177"/>
      <c r="Q219" s="177"/>
      <c r="R219" s="177"/>
      <c r="S219" s="177"/>
      <c r="T219" s="177"/>
      <c r="U219" s="177"/>
      <c r="V219" s="2866"/>
      <c r="W219" s="2576">
        <v>869</v>
      </c>
      <c r="X219" s="908">
        <v>1215</v>
      </c>
      <c r="Y219" s="2576">
        <v>869</v>
      </c>
      <c r="Z219" s="2576"/>
      <c r="AA219" s="2576"/>
      <c r="AB219" s="2576"/>
      <c r="AC219" s="2576"/>
      <c r="AD219" s="2576"/>
      <c r="AE219" s="2576"/>
      <c r="AF219" s="2576"/>
      <c r="AG219" s="2576"/>
      <c r="BB219" s="784"/>
      <c r="BC219" s="796"/>
      <c r="BD219" s="900"/>
      <c r="BE219" s="797"/>
    </row>
    <row r="220" spans="1:57" s="65" customFormat="1" hidden="1" outlineLevel="1" x14ac:dyDescent="0.25">
      <c r="A220" s="785"/>
      <c r="B220" s="177"/>
      <c r="C220" s="455"/>
      <c r="D220" s="2813"/>
      <c r="E220" s="2926"/>
      <c r="F220" s="2757" t="str">
        <f t="shared" si="42"/>
        <v>CAC - SEER 16 ROF: MF_CompE</v>
      </c>
      <c r="G220" s="2758"/>
      <c r="H220" s="2759"/>
      <c r="I220" s="1663" t="str">
        <f t="shared" si="43"/>
        <v>350951_2019_12_</v>
      </c>
      <c r="J220" s="1663">
        <f>$J$199</f>
        <v>632</v>
      </c>
      <c r="K220" s="910"/>
      <c r="L220" s="2794"/>
      <c r="M220" s="177"/>
      <c r="N220" s="2028"/>
      <c r="O220" s="177"/>
      <c r="P220" s="177"/>
      <c r="Q220" s="177"/>
      <c r="R220" s="177"/>
      <c r="S220" s="177"/>
      <c r="T220" s="177"/>
      <c r="U220" s="177"/>
      <c r="V220" s="2866"/>
      <c r="W220" s="2576"/>
      <c r="X220" s="908"/>
      <c r="Y220" s="908">
        <v>632</v>
      </c>
      <c r="Z220" s="2576"/>
      <c r="AA220" s="2576"/>
      <c r="AB220" s="2576"/>
      <c r="AC220" s="2576"/>
      <c r="AD220" s="2576"/>
      <c r="AE220" s="2576"/>
      <c r="AF220" s="2576"/>
      <c r="AG220" s="2576"/>
      <c r="BB220" s="784"/>
      <c r="BC220" s="796"/>
      <c r="BD220" s="900"/>
      <c r="BE220" s="797"/>
    </row>
    <row r="221" spans="1:57" s="65" customFormat="1" hidden="1" outlineLevel="1" x14ac:dyDescent="0.25">
      <c r="A221" s="785"/>
      <c r="B221" s="177"/>
      <c r="C221" s="455"/>
      <c r="D221" s="2813"/>
      <c r="E221" s="2926"/>
      <c r="F221" s="2757" t="str">
        <f t="shared" si="42"/>
        <v>CAC - SEER 17 ER1: SF</v>
      </c>
      <c r="G221" s="2758"/>
      <c r="H221" s="2759"/>
      <c r="I221" s="1663" t="str">
        <f t="shared" si="43"/>
        <v>351000_2019_12_</v>
      </c>
      <c r="J221" s="1663">
        <v>869</v>
      </c>
      <c r="K221" s="910"/>
      <c r="L221" s="2794"/>
      <c r="M221" s="177"/>
      <c r="N221" s="2028"/>
      <c r="O221" s="177"/>
      <c r="P221" s="177"/>
      <c r="Q221" s="177"/>
      <c r="R221" s="177"/>
      <c r="S221" s="177"/>
      <c r="T221" s="177"/>
      <c r="U221" s="177"/>
      <c r="V221" s="2866"/>
      <c r="W221" s="2576">
        <v>869</v>
      </c>
      <c r="X221" s="2576">
        <f t="shared" si="45"/>
        <v>869</v>
      </c>
      <c r="Y221" s="2576">
        <v>869</v>
      </c>
      <c r="Z221" s="2576"/>
      <c r="AA221" s="2576"/>
      <c r="AB221" s="2576"/>
      <c r="AC221" s="2576"/>
      <c r="AD221" s="2576"/>
      <c r="AE221" s="2576"/>
      <c r="AF221" s="2576"/>
      <c r="AG221" s="2576"/>
      <c r="BB221" s="784"/>
      <c r="BC221" s="796"/>
      <c r="BD221" s="900"/>
      <c r="BE221" s="797"/>
    </row>
    <row r="222" spans="1:57" s="65" customFormat="1" hidden="1" outlineLevel="1" x14ac:dyDescent="0.25">
      <c r="A222" s="785"/>
      <c r="B222" s="177"/>
      <c r="C222" s="455"/>
      <c r="D222" s="2813"/>
      <c r="E222" s="2926"/>
      <c r="F222" s="2757" t="str">
        <f t="shared" si="42"/>
        <v>CAC - SEER 17 ER2: SF</v>
      </c>
      <c r="G222" s="2758"/>
      <c r="H222" s="2759"/>
      <c r="I222" s="1663" t="str">
        <f t="shared" si="43"/>
        <v>351000_2019_12_</v>
      </c>
      <c r="J222" s="1663">
        <v>869</v>
      </c>
      <c r="K222" s="910"/>
      <c r="L222" s="2794"/>
      <c r="M222" s="177"/>
      <c r="N222" s="2028"/>
      <c r="O222" s="177"/>
      <c r="P222" s="177"/>
      <c r="Q222" s="177"/>
      <c r="R222" s="177"/>
      <c r="S222" s="177"/>
      <c r="T222" s="177"/>
      <c r="U222" s="177"/>
      <c r="V222" s="2866"/>
      <c r="W222" s="2576">
        <v>869</v>
      </c>
      <c r="X222" s="2576">
        <f t="shared" si="45"/>
        <v>869</v>
      </c>
      <c r="Y222" s="2576">
        <v>869</v>
      </c>
      <c r="Z222" s="2576"/>
      <c r="AA222" s="2576"/>
      <c r="AB222" s="2576"/>
      <c r="AC222" s="2576"/>
      <c r="AD222" s="2576"/>
      <c r="AE222" s="2576"/>
      <c r="AF222" s="2576"/>
      <c r="AG222" s="2576"/>
      <c r="BB222" s="784"/>
      <c r="BC222" s="796"/>
      <c r="BD222" s="900"/>
      <c r="BE222" s="797"/>
    </row>
    <row r="223" spans="1:57" s="65" customFormat="1" hidden="1" outlineLevel="1" x14ac:dyDescent="0.25">
      <c r="A223" s="785"/>
      <c r="B223" s="177"/>
      <c r="C223" s="455"/>
      <c r="D223" s="2813"/>
      <c r="E223" s="2926"/>
      <c r="F223" s="2757" t="str">
        <f t="shared" si="42"/>
        <v>CAC - SEER 17 ROF: SF</v>
      </c>
      <c r="G223" s="2758"/>
      <c r="H223" s="2759"/>
      <c r="I223" s="1663" t="str">
        <f t="shared" si="43"/>
        <v>351050_2019_12_</v>
      </c>
      <c r="J223" s="1663">
        <v>869</v>
      </c>
      <c r="K223" s="910"/>
      <c r="L223" s="2794"/>
      <c r="M223" s="177"/>
      <c r="N223" s="2028"/>
      <c r="O223" s="177"/>
      <c r="P223" s="177"/>
      <c r="Q223" s="177"/>
      <c r="R223" s="177"/>
      <c r="S223" s="177"/>
      <c r="T223" s="177"/>
      <c r="U223" s="177"/>
      <c r="V223" s="2866"/>
      <c r="W223" s="2576">
        <v>869</v>
      </c>
      <c r="X223" s="2576">
        <f t="shared" si="45"/>
        <v>869</v>
      </c>
      <c r="Y223" s="2576">
        <v>869</v>
      </c>
      <c r="Z223" s="2576"/>
      <c r="AA223" s="2576"/>
      <c r="AB223" s="2576"/>
      <c r="AC223" s="2576"/>
      <c r="AD223" s="2576"/>
      <c r="AE223" s="2576"/>
      <c r="AF223" s="2576"/>
      <c r="AG223" s="2576"/>
      <c r="BB223" s="784"/>
      <c r="BC223" s="796"/>
      <c r="BD223" s="900"/>
      <c r="BE223" s="797"/>
    </row>
    <row r="224" spans="1:57" s="65" customFormat="1" hidden="1" outlineLevel="1" x14ac:dyDescent="0.25">
      <c r="A224" s="785"/>
      <c r="B224" s="177"/>
      <c r="C224" s="455"/>
      <c r="D224" s="2813"/>
      <c r="E224" s="2926"/>
      <c r="F224" s="2757" t="str">
        <f t="shared" si="42"/>
        <v>CAC - SEER 17 ER1: MF</v>
      </c>
      <c r="G224" s="2758"/>
      <c r="H224" s="2759"/>
      <c r="I224" s="1663" t="str">
        <f t="shared" si="43"/>
        <v>351100_2019_12_</v>
      </c>
      <c r="J224" s="1663">
        <v>869</v>
      </c>
      <c r="K224" s="910"/>
      <c r="L224" s="2794"/>
      <c r="M224" s="177"/>
      <c r="N224" s="2028"/>
      <c r="O224" s="177"/>
      <c r="P224" s="177"/>
      <c r="Q224" s="177"/>
      <c r="R224" s="177"/>
      <c r="S224" s="177"/>
      <c r="T224" s="177"/>
      <c r="U224" s="177"/>
      <c r="V224" s="2866"/>
      <c r="W224" s="2576">
        <v>869</v>
      </c>
      <c r="X224" s="2576">
        <f t="shared" si="45"/>
        <v>869</v>
      </c>
      <c r="Y224" s="2576">
        <v>869</v>
      </c>
      <c r="Z224" s="2576"/>
      <c r="AA224" s="2576"/>
      <c r="AB224" s="2576"/>
      <c r="AC224" s="2576"/>
      <c r="AD224" s="2576"/>
      <c r="AE224" s="2576"/>
      <c r="AF224" s="2576"/>
      <c r="AG224" s="2576"/>
      <c r="BB224" s="784"/>
      <c r="BC224" s="796"/>
      <c r="BD224" s="900"/>
      <c r="BE224" s="797"/>
    </row>
    <row r="225" spans="1:57" s="65" customFormat="1" ht="14.45" hidden="1" customHeight="1" outlineLevel="1" x14ac:dyDescent="0.25">
      <c r="A225" s="785"/>
      <c r="B225" s="177"/>
      <c r="C225" s="455"/>
      <c r="D225" s="2813"/>
      <c r="E225" s="2926"/>
      <c r="F225" s="2757" t="str">
        <f t="shared" si="42"/>
        <v>CAC - SEER 17 ER2: MF</v>
      </c>
      <c r="G225" s="2758"/>
      <c r="H225" s="2759"/>
      <c r="I225" s="1663" t="str">
        <f t="shared" si="43"/>
        <v>351100_2019_12_</v>
      </c>
      <c r="J225" s="1663">
        <v>869</v>
      </c>
      <c r="K225" s="910"/>
      <c r="L225" s="2794"/>
      <c r="M225" s="177"/>
      <c r="N225" s="2028"/>
      <c r="O225" s="229"/>
      <c r="P225" s="229"/>
      <c r="Q225" s="229"/>
      <c r="R225" s="229"/>
      <c r="S225" s="229"/>
      <c r="T225" s="229"/>
      <c r="U225" s="177"/>
      <c r="V225" s="2866"/>
      <c r="W225" s="2576">
        <v>869</v>
      </c>
      <c r="X225" s="2576">
        <f t="shared" si="45"/>
        <v>869</v>
      </c>
      <c r="Y225" s="2576">
        <v>869</v>
      </c>
      <c r="Z225" s="2576"/>
      <c r="AA225" s="2576"/>
      <c r="AB225" s="2576"/>
      <c r="AC225" s="2576"/>
      <c r="AD225" s="2576"/>
      <c r="AE225" s="2576"/>
      <c r="AF225" s="2576"/>
      <c r="AG225" s="2576"/>
      <c r="BB225" s="784"/>
      <c r="BC225" s="796"/>
      <c r="BD225" s="900"/>
      <c r="BE225" s="797"/>
    </row>
    <row r="226" spans="1:57" s="65" customFormat="1" ht="14.45" hidden="1" customHeight="1" outlineLevel="1" x14ac:dyDescent="0.25">
      <c r="A226" s="785"/>
      <c r="B226" s="177"/>
      <c r="C226" s="455"/>
      <c r="D226" s="2813"/>
      <c r="E226" s="2926"/>
      <c r="F226" s="2779" t="str">
        <f t="shared" si="42"/>
        <v>CAC - SEER 17 ER1: MF_CompE</v>
      </c>
      <c r="G226" s="2779"/>
      <c r="H226" s="2779"/>
      <c r="I226" s="2470" t="str">
        <f t="shared" si="43"/>
        <v>351101_2019_12_</v>
      </c>
      <c r="J226" s="2470">
        <f>$J$199</f>
        <v>632</v>
      </c>
      <c r="K226" s="910"/>
      <c r="L226" s="2794"/>
      <c r="M226" s="177"/>
      <c r="N226" s="2028"/>
      <c r="O226" s="229"/>
      <c r="P226" s="229"/>
      <c r="Q226" s="229"/>
      <c r="R226" s="229"/>
      <c r="S226" s="229"/>
      <c r="T226" s="229"/>
      <c r="U226" s="177"/>
      <c r="V226" s="2866"/>
      <c r="W226" s="921"/>
      <c r="X226" s="921"/>
      <c r="Y226" s="920">
        <v>632</v>
      </c>
      <c r="Z226" s="921"/>
      <c r="AA226" s="921"/>
      <c r="AB226" s="921"/>
      <c r="AC226" s="921"/>
      <c r="AD226" s="921"/>
      <c r="AE226" s="921"/>
      <c r="AF226" s="921"/>
      <c r="AG226" s="921"/>
      <c r="BB226" s="784"/>
      <c r="BC226" s="796"/>
      <c r="BD226" s="900"/>
      <c r="BE226" s="797"/>
    </row>
    <row r="227" spans="1:57" s="65" customFormat="1" ht="14.45" hidden="1" customHeight="1" outlineLevel="1" x14ac:dyDescent="0.25">
      <c r="A227" s="785"/>
      <c r="B227" s="177"/>
      <c r="C227" s="455"/>
      <c r="D227" s="2813"/>
      <c r="E227" s="2926"/>
      <c r="F227" s="2779" t="str">
        <f t="shared" si="42"/>
        <v>CAC - SEER 17 ER2: MF_CompE</v>
      </c>
      <c r="G227" s="2779"/>
      <c r="H227" s="2779"/>
      <c r="I227" s="2470" t="str">
        <f t="shared" si="43"/>
        <v>351101_2019_12_</v>
      </c>
      <c r="J227" s="2470">
        <f>$J$199</f>
        <v>632</v>
      </c>
      <c r="K227" s="910"/>
      <c r="L227" s="2794"/>
      <c r="M227" s="177"/>
      <c r="N227" s="2028"/>
      <c r="O227" s="229"/>
      <c r="P227" s="229"/>
      <c r="Q227" s="229"/>
      <c r="R227" s="229"/>
      <c r="S227" s="229"/>
      <c r="T227" s="229"/>
      <c r="U227" s="177"/>
      <c r="V227" s="2866"/>
      <c r="W227" s="921"/>
      <c r="X227" s="921"/>
      <c r="Y227" s="920">
        <v>632</v>
      </c>
      <c r="Z227" s="921"/>
      <c r="AA227" s="921"/>
      <c r="AB227" s="921"/>
      <c r="AC227" s="921"/>
      <c r="AD227" s="921"/>
      <c r="AE227" s="921"/>
      <c r="AF227" s="921"/>
      <c r="AG227" s="921"/>
      <c r="BB227" s="784"/>
      <c r="BC227" s="796"/>
      <c r="BD227" s="900"/>
      <c r="BE227" s="797"/>
    </row>
    <row r="228" spans="1:57" s="65" customFormat="1" ht="15" hidden="1" customHeight="1" outlineLevel="1" x14ac:dyDescent="0.25">
      <c r="A228" s="785"/>
      <c r="B228" s="177"/>
      <c r="C228" s="455"/>
      <c r="D228" s="2813"/>
      <c r="E228" s="2926"/>
      <c r="F228" s="2779" t="str">
        <f t="shared" si="42"/>
        <v>CAC - SEER 17 ROF: MF</v>
      </c>
      <c r="G228" s="2779"/>
      <c r="H228" s="2779"/>
      <c r="I228" s="2470" t="str">
        <f t="shared" si="43"/>
        <v>351150_2019_12_</v>
      </c>
      <c r="J228" s="2470">
        <v>869</v>
      </c>
      <c r="K228" s="910"/>
      <c r="L228" s="2794"/>
      <c r="M228" s="177"/>
      <c r="N228" s="2028"/>
      <c r="O228" s="229"/>
      <c r="P228" s="229"/>
      <c r="Q228" s="229"/>
      <c r="R228" s="229"/>
      <c r="S228" s="229"/>
      <c r="T228" s="229"/>
      <c r="U228" s="177"/>
      <c r="V228" s="2866"/>
      <c r="W228" s="2576">
        <v>869</v>
      </c>
      <c r="X228" s="2576">
        <f t="shared" si="45"/>
        <v>869</v>
      </c>
      <c r="Y228" s="2576">
        <v>869</v>
      </c>
      <c r="Z228" s="2576"/>
      <c r="AA228" s="2576"/>
      <c r="AB228" s="2576"/>
      <c r="AC228" s="2576"/>
      <c r="AD228" s="2576"/>
      <c r="AE228" s="2576"/>
      <c r="AF228" s="2576"/>
      <c r="AG228" s="2576"/>
      <c r="BB228" s="784"/>
      <c r="BC228" s="796"/>
      <c r="BD228" s="900"/>
      <c r="BE228" s="797"/>
    </row>
    <row r="229" spans="1:57" s="65" customFormat="1" ht="15" hidden="1" customHeight="1" outlineLevel="1" x14ac:dyDescent="0.25">
      <c r="A229" s="785"/>
      <c r="B229" s="177"/>
      <c r="C229" s="455"/>
      <c r="D229" s="2813"/>
      <c r="E229" s="2927"/>
      <c r="F229" s="2779" t="str">
        <f t="shared" si="42"/>
        <v>CAC - SEER 17 ROF: MF_CompE</v>
      </c>
      <c r="G229" s="2779"/>
      <c r="H229" s="2779"/>
      <c r="I229" s="2470" t="str">
        <f t="shared" si="43"/>
        <v>351151_2019_12_</v>
      </c>
      <c r="J229" s="2470">
        <f>$J$199</f>
        <v>632</v>
      </c>
      <c r="K229" s="910"/>
      <c r="L229" s="2794"/>
      <c r="M229" s="177"/>
      <c r="N229" s="2028"/>
      <c r="O229" s="229"/>
      <c r="P229" s="229"/>
      <c r="Q229" s="229"/>
      <c r="R229" s="229"/>
      <c r="S229" s="229"/>
      <c r="T229" s="229"/>
      <c r="U229" s="177"/>
      <c r="V229" s="2847"/>
      <c r="W229" s="926"/>
      <c r="X229" s="926"/>
      <c r="Y229" s="933">
        <v>632</v>
      </c>
      <c r="Z229" s="926"/>
      <c r="AA229" s="926"/>
      <c r="AB229" s="926"/>
      <c r="AC229" s="926"/>
      <c r="AD229" s="926"/>
      <c r="AE229" s="926"/>
      <c r="AF229" s="926"/>
      <c r="AG229" s="926"/>
      <c r="BB229" s="784"/>
      <c r="BC229" s="796"/>
      <c r="BD229" s="900"/>
      <c r="BE229" s="797"/>
    </row>
    <row r="230" spans="1:57" s="65" customFormat="1" ht="14.45" hidden="1" customHeight="1" outlineLevel="1" x14ac:dyDescent="0.25">
      <c r="A230" s="785"/>
      <c r="B230" s="177"/>
      <c r="C230" s="455"/>
      <c r="D230" s="2813"/>
      <c r="E230" s="2928"/>
      <c r="F230" s="2919" t="str">
        <f t="shared" ref="F230:F265" si="46">E146</f>
        <v>CAC - SEER 18 ER1: SF</v>
      </c>
      <c r="G230" s="2920"/>
      <c r="H230" s="2921"/>
      <c r="I230" s="933" t="str">
        <f t="shared" si="43"/>
        <v>351160_2020_02</v>
      </c>
      <c r="J230" s="926">
        <v>869</v>
      </c>
      <c r="K230" s="2523"/>
      <c r="L230" s="2795"/>
      <c r="M230" s="177"/>
      <c r="N230" s="177"/>
      <c r="O230" s="229"/>
      <c r="P230" s="2036"/>
      <c r="Q230" s="2482"/>
      <c r="R230" s="2482"/>
      <c r="S230" s="2508"/>
      <c r="T230" s="229"/>
      <c r="U230" s="177"/>
      <c r="V230" s="2847"/>
      <c r="W230" s="926"/>
      <c r="X230" s="926"/>
      <c r="Y230" s="926"/>
      <c r="Z230" s="933">
        <v>869</v>
      </c>
      <c r="AA230" s="926"/>
      <c r="AB230" s="926"/>
      <c r="AC230" s="926"/>
      <c r="AD230" s="926"/>
      <c r="AE230" s="926"/>
      <c r="AF230" s="926"/>
      <c r="AG230" s="926"/>
      <c r="BB230" s="784"/>
      <c r="BC230" s="796"/>
      <c r="BD230" s="900"/>
      <c r="BE230" s="797"/>
    </row>
    <row r="231" spans="1:57" s="65" customFormat="1" ht="14.45" hidden="1" customHeight="1" outlineLevel="1" x14ac:dyDescent="0.25">
      <c r="A231" s="785"/>
      <c r="B231" s="177"/>
      <c r="C231" s="455"/>
      <c r="D231" s="2813"/>
      <c r="E231" s="2928"/>
      <c r="F231" s="2780" t="str">
        <f t="shared" si="46"/>
        <v>CAC - SEER 18 ER2: SF</v>
      </c>
      <c r="G231" s="2781"/>
      <c r="H231" s="2782"/>
      <c r="I231" s="908" t="str">
        <f t="shared" ref="I231:I265" si="47">C147</f>
        <v>351160_2020_02</v>
      </c>
      <c r="J231" s="2470">
        <v>869</v>
      </c>
      <c r="K231" s="910"/>
      <c r="L231" s="2795"/>
      <c r="M231" s="177"/>
      <c r="N231" s="177"/>
      <c r="O231" s="229"/>
      <c r="P231" s="2036"/>
      <c r="Q231" s="2482"/>
      <c r="R231" s="2482"/>
      <c r="S231" s="2508"/>
      <c r="T231" s="229"/>
      <c r="U231" s="177"/>
      <c r="V231" s="2847"/>
      <c r="W231" s="2576"/>
      <c r="X231" s="2576"/>
      <c r="Y231" s="2576"/>
      <c r="Z231" s="908">
        <v>869</v>
      </c>
      <c r="AA231" s="2576"/>
      <c r="AB231" s="2576"/>
      <c r="AC231" s="2576"/>
      <c r="AD231" s="2576"/>
      <c r="AE231" s="2576"/>
      <c r="AF231" s="2576"/>
      <c r="AG231" s="2576"/>
      <c r="BB231" s="784"/>
      <c r="BC231" s="796"/>
      <c r="BD231" s="900"/>
      <c r="BE231" s="797"/>
    </row>
    <row r="232" spans="1:57" s="65" customFormat="1" ht="14.45" hidden="1" customHeight="1" outlineLevel="1" x14ac:dyDescent="0.25">
      <c r="A232" s="785"/>
      <c r="B232" s="177"/>
      <c r="C232" s="455"/>
      <c r="D232" s="2813"/>
      <c r="E232" s="2928"/>
      <c r="F232" s="2780" t="str">
        <f t="shared" si="46"/>
        <v>CAC - SEER 18 ROF: SF</v>
      </c>
      <c r="G232" s="2781"/>
      <c r="H232" s="2782"/>
      <c r="I232" s="908" t="str">
        <f t="shared" si="47"/>
        <v>351161_2020_02</v>
      </c>
      <c r="J232" s="2470">
        <v>869</v>
      </c>
      <c r="K232" s="910"/>
      <c r="L232" s="2795"/>
      <c r="M232" s="177"/>
      <c r="N232" s="177"/>
      <c r="O232" s="229"/>
      <c r="P232" s="2036"/>
      <c r="Q232" s="2482"/>
      <c r="R232" s="2482"/>
      <c r="S232" s="2508"/>
      <c r="T232" s="229"/>
      <c r="U232" s="177"/>
      <c r="V232" s="2847"/>
      <c r="W232" s="2576"/>
      <c r="X232" s="2576"/>
      <c r="Y232" s="2576"/>
      <c r="Z232" s="908">
        <v>869</v>
      </c>
      <c r="AA232" s="2576"/>
      <c r="AB232" s="2576"/>
      <c r="AC232" s="2576"/>
      <c r="AD232" s="2576"/>
      <c r="AE232" s="2576"/>
      <c r="AF232" s="2576"/>
      <c r="AG232" s="2576"/>
      <c r="BB232" s="784"/>
      <c r="BC232" s="796"/>
      <c r="BD232" s="900"/>
      <c r="BE232" s="797"/>
    </row>
    <row r="233" spans="1:57" s="65" customFormat="1" ht="14.45" hidden="1" customHeight="1" outlineLevel="1" x14ac:dyDescent="0.25">
      <c r="A233" s="785"/>
      <c r="B233" s="177"/>
      <c r="C233" s="455"/>
      <c r="D233" s="2813"/>
      <c r="E233" s="2928"/>
      <c r="F233" s="2780" t="str">
        <f t="shared" si="46"/>
        <v>CAC - SEER 18 ER1: MF</v>
      </c>
      <c r="G233" s="2781"/>
      <c r="H233" s="2782"/>
      <c r="I233" s="908" t="str">
        <f t="shared" si="47"/>
        <v>351162_2020_02</v>
      </c>
      <c r="J233" s="2470">
        <v>869</v>
      </c>
      <c r="K233" s="910"/>
      <c r="L233" s="2795"/>
      <c r="M233" s="177"/>
      <c r="N233" s="177"/>
      <c r="O233" s="229"/>
      <c r="P233" s="2036"/>
      <c r="Q233" s="2482"/>
      <c r="R233" s="2482"/>
      <c r="S233" s="2508"/>
      <c r="T233" s="229"/>
      <c r="U233" s="785"/>
      <c r="V233" s="2847"/>
      <c r="W233" s="2576"/>
      <c r="X233" s="908"/>
      <c r="Y233" s="908"/>
      <c r="Z233" s="908">
        <v>869</v>
      </c>
      <c r="AA233" s="2576"/>
      <c r="AB233" s="2576"/>
      <c r="AC233" s="2576"/>
      <c r="AD233" s="2576"/>
      <c r="AE233" s="2576"/>
      <c r="AF233" s="2576"/>
      <c r="AG233" s="2576"/>
      <c r="BB233" s="784"/>
      <c r="BC233" s="796"/>
      <c r="BD233" s="900"/>
      <c r="BE233" s="797"/>
    </row>
    <row r="234" spans="1:57" s="65" customFormat="1" ht="14.45" hidden="1" customHeight="1" outlineLevel="1" x14ac:dyDescent="0.25">
      <c r="A234" s="785"/>
      <c r="B234" s="177"/>
      <c r="C234" s="455"/>
      <c r="D234" s="2813"/>
      <c r="E234" s="2928"/>
      <c r="F234" s="2780" t="str">
        <f t="shared" si="46"/>
        <v>CAC - SEER 18 ER2: MF</v>
      </c>
      <c r="G234" s="2781"/>
      <c r="H234" s="2782"/>
      <c r="I234" s="908" t="str">
        <f t="shared" si="47"/>
        <v>351162_2020_02</v>
      </c>
      <c r="J234" s="2470">
        <v>869</v>
      </c>
      <c r="K234" s="910"/>
      <c r="L234" s="2795"/>
      <c r="M234" s="177"/>
      <c r="N234" s="177"/>
      <c r="O234" s="229"/>
      <c r="P234" s="2036"/>
      <c r="Q234" s="2482"/>
      <c r="R234" s="2482"/>
      <c r="S234" s="1915"/>
      <c r="T234" s="2065"/>
      <c r="U234" s="785"/>
      <c r="V234" s="2847"/>
      <c r="W234" s="2576"/>
      <c r="X234" s="908"/>
      <c r="Y234" s="908"/>
      <c r="Z234" s="908">
        <v>869</v>
      </c>
      <c r="AA234" s="2576"/>
      <c r="AB234" s="2576"/>
      <c r="AC234" s="2576"/>
      <c r="AD234" s="2576"/>
      <c r="AE234" s="2576"/>
      <c r="AF234" s="2576"/>
      <c r="AG234" s="2576"/>
      <c r="BB234" s="784"/>
      <c r="BC234" s="796"/>
      <c r="BD234" s="900"/>
      <c r="BE234" s="797"/>
    </row>
    <row r="235" spans="1:57" s="65" customFormat="1" ht="14.45" hidden="1" customHeight="1" outlineLevel="1" x14ac:dyDescent="0.25">
      <c r="A235" s="785"/>
      <c r="B235" s="177"/>
      <c r="C235" s="455"/>
      <c r="D235" s="2813"/>
      <c r="E235" s="2928"/>
      <c r="F235" s="2780" t="str">
        <f t="shared" si="46"/>
        <v>CAC - SEER 18 ER1: MF_CompE</v>
      </c>
      <c r="G235" s="2781"/>
      <c r="H235" s="2782"/>
      <c r="I235" s="908" t="str">
        <f t="shared" si="47"/>
        <v>351163_2020_02</v>
      </c>
      <c r="J235" s="2470">
        <v>632</v>
      </c>
      <c r="K235" s="910"/>
      <c r="L235" s="2795"/>
      <c r="M235" s="177"/>
      <c r="N235" s="177"/>
      <c r="O235" s="229"/>
      <c r="P235" s="2036"/>
      <c r="Q235" s="2482"/>
      <c r="R235" s="2482"/>
      <c r="S235" s="1915"/>
      <c r="T235" s="2065"/>
      <c r="U235" s="785"/>
      <c r="V235" s="2847"/>
      <c r="W235" s="2576"/>
      <c r="X235" s="908"/>
      <c r="Y235" s="908"/>
      <c r="Z235" s="908">
        <v>632</v>
      </c>
      <c r="AA235" s="2576"/>
      <c r="AB235" s="2576"/>
      <c r="AC235" s="2576"/>
      <c r="AD235" s="2576"/>
      <c r="AE235" s="2576"/>
      <c r="AF235" s="2576"/>
      <c r="AG235" s="2576"/>
      <c r="BB235" s="784"/>
      <c r="BC235" s="796"/>
      <c r="BD235" s="900"/>
      <c r="BE235" s="797"/>
    </row>
    <row r="236" spans="1:57" s="65" customFormat="1" ht="14.45" hidden="1" customHeight="1" outlineLevel="1" x14ac:dyDescent="0.25">
      <c r="A236" s="785"/>
      <c r="B236" s="177"/>
      <c r="C236" s="455"/>
      <c r="D236" s="2813"/>
      <c r="E236" s="2928"/>
      <c r="F236" s="2780" t="str">
        <f t="shared" si="46"/>
        <v>CAC - SEER 18 ER2: MF_CompE</v>
      </c>
      <c r="G236" s="2781"/>
      <c r="H236" s="2782"/>
      <c r="I236" s="908" t="str">
        <f t="shared" si="47"/>
        <v>351163_2020_02</v>
      </c>
      <c r="J236" s="2470">
        <f>$J$199</f>
        <v>632</v>
      </c>
      <c r="K236" s="910"/>
      <c r="L236" s="2795"/>
      <c r="M236" s="177"/>
      <c r="N236" s="177"/>
      <c r="O236" s="229"/>
      <c r="P236" s="2036"/>
      <c r="Q236" s="2482"/>
      <c r="R236" s="2482"/>
      <c r="S236" s="1915"/>
      <c r="T236" s="2065"/>
      <c r="U236" s="177"/>
      <c r="V236" s="2847"/>
      <c r="W236" s="2576"/>
      <c r="X236" s="908"/>
      <c r="Y236" s="908"/>
      <c r="Z236" s="908">
        <v>632</v>
      </c>
      <c r="AA236" s="2576"/>
      <c r="AB236" s="2576"/>
      <c r="AC236" s="2576"/>
      <c r="AD236" s="2576"/>
      <c r="AE236" s="2576"/>
      <c r="AF236" s="2576"/>
      <c r="AG236" s="2576"/>
      <c r="BB236" s="784"/>
      <c r="BC236" s="796"/>
      <c r="BD236" s="900"/>
      <c r="BE236" s="797"/>
    </row>
    <row r="237" spans="1:57" s="65" customFormat="1" ht="14.45" hidden="1" customHeight="1" outlineLevel="1" x14ac:dyDescent="0.25">
      <c r="A237" s="785"/>
      <c r="B237" s="177"/>
      <c r="C237" s="455"/>
      <c r="D237" s="2813"/>
      <c r="E237" s="2928"/>
      <c r="F237" s="2780" t="str">
        <f t="shared" si="46"/>
        <v>CAC - SEER 18 ROF: MF</v>
      </c>
      <c r="G237" s="2781"/>
      <c r="H237" s="2782"/>
      <c r="I237" s="908" t="str">
        <f t="shared" si="47"/>
        <v>351164_2020_02</v>
      </c>
      <c r="J237" s="2470">
        <v>869</v>
      </c>
      <c r="K237" s="910"/>
      <c r="L237" s="2795"/>
      <c r="M237" s="177"/>
      <c r="N237" s="177"/>
      <c r="O237" s="229"/>
      <c r="P237" s="2036"/>
      <c r="Q237" s="2482"/>
      <c r="R237" s="2482"/>
      <c r="S237" s="1915"/>
      <c r="T237" s="2065"/>
      <c r="U237" s="177"/>
      <c r="V237" s="2847"/>
      <c r="W237" s="2576"/>
      <c r="X237" s="908"/>
      <c r="Y237" s="2576"/>
      <c r="Z237" s="908">
        <v>869</v>
      </c>
      <c r="AA237" s="2576"/>
      <c r="AB237" s="2576"/>
      <c r="AC237" s="2576"/>
      <c r="AD237" s="2576"/>
      <c r="AE237" s="2576"/>
      <c r="AF237" s="2576"/>
      <c r="AG237" s="2576"/>
      <c r="BB237" s="784"/>
      <c r="BC237" s="796"/>
      <c r="BD237" s="900"/>
      <c r="BE237" s="797"/>
    </row>
    <row r="238" spans="1:57" s="65" customFormat="1" ht="14.45" hidden="1" customHeight="1" outlineLevel="1" x14ac:dyDescent="0.25">
      <c r="A238" s="785"/>
      <c r="B238" s="177"/>
      <c r="C238" s="455"/>
      <c r="D238" s="2813"/>
      <c r="E238" s="2928"/>
      <c r="F238" s="2780" t="str">
        <f t="shared" si="46"/>
        <v>CAC - SEER 18 ROF: MF_CompE</v>
      </c>
      <c r="G238" s="2781"/>
      <c r="H238" s="2782"/>
      <c r="I238" s="908" t="str">
        <f t="shared" si="47"/>
        <v>351165_2020_02</v>
      </c>
      <c r="J238" s="2470">
        <f>$J$199</f>
        <v>632</v>
      </c>
      <c r="K238" s="910"/>
      <c r="L238" s="2795"/>
      <c r="M238" s="177"/>
      <c r="N238" s="177"/>
      <c r="O238" s="229"/>
      <c r="P238" s="2036"/>
      <c r="Q238" s="2482"/>
      <c r="R238" s="2482"/>
      <c r="S238" s="229"/>
      <c r="T238" s="229"/>
      <c r="U238" s="177"/>
      <c r="V238" s="2847"/>
      <c r="W238" s="2576"/>
      <c r="X238" s="908"/>
      <c r="Y238" s="908"/>
      <c r="Z238" s="908">
        <v>632</v>
      </c>
      <c r="AA238" s="2576"/>
      <c r="AB238" s="2576"/>
      <c r="AC238" s="2576"/>
      <c r="AD238" s="2576"/>
      <c r="AE238" s="2576"/>
      <c r="AF238" s="2576"/>
      <c r="AG238" s="2576"/>
      <c r="BB238" s="784"/>
      <c r="BC238" s="796"/>
      <c r="BD238" s="900"/>
      <c r="BE238" s="797"/>
    </row>
    <row r="239" spans="1:57" s="65" customFormat="1" hidden="1" outlineLevel="1" x14ac:dyDescent="0.25">
      <c r="A239" s="785"/>
      <c r="B239" s="177"/>
      <c r="C239" s="455"/>
      <c r="D239" s="2813"/>
      <c r="E239" s="2928"/>
      <c r="F239" s="2780" t="str">
        <f t="shared" si="46"/>
        <v>CAC - SEER 19 ER1: SF</v>
      </c>
      <c r="G239" s="2781"/>
      <c r="H239" s="2782"/>
      <c r="I239" s="908" t="str">
        <f t="shared" si="47"/>
        <v>351170_2020_02</v>
      </c>
      <c r="J239" s="2470">
        <v>869</v>
      </c>
      <c r="K239" s="910"/>
      <c r="L239" s="2795"/>
      <c r="M239" s="177"/>
      <c r="N239" s="2028"/>
      <c r="O239" s="229"/>
      <c r="P239" s="2509"/>
      <c r="Q239" s="2019"/>
      <c r="R239" s="229"/>
      <c r="S239" s="229"/>
      <c r="T239" s="229"/>
      <c r="U239" s="177"/>
      <c r="V239" s="2847"/>
      <c r="W239" s="2576"/>
      <c r="X239" s="2576"/>
      <c r="Y239" s="2576"/>
      <c r="Z239" s="908">
        <v>869</v>
      </c>
      <c r="AA239" s="2576"/>
      <c r="AB239" s="2576"/>
      <c r="AC239" s="2576"/>
      <c r="AD239" s="2576"/>
      <c r="AE239" s="2576"/>
      <c r="AF239" s="2576"/>
      <c r="AG239" s="2576"/>
      <c r="BB239" s="784"/>
      <c r="BC239" s="796"/>
      <c r="BD239" s="900"/>
      <c r="BE239" s="797"/>
    </row>
    <row r="240" spans="1:57" s="65" customFormat="1" ht="15" hidden="1" customHeight="1" outlineLevel="1" x14ac:dyDescent="0.25">
      <c r="A240" s="785"/>
      <c r="B240" s="177"/>
      <c r="C240" s="455"/>
      <c r="D240" s="2813"/>
      <c r="E240" s="2928"/>
      <c r="F240" s="2780" t="str">
        <f t="shared" si="46"/>
        <v>CAC - SEER 19 ER2: SF</v>
      </c>
      <c r="G240" s="2781"/>
      <c r="H240" s="2782"/>
      <c r="I240" s="908" t="str">
        <f t="shared" si="47"/>
        <v>351170_2020_02</v>
      </c>
      <c r="J240" s="2470">
        <v>869</v>
      </c>
      <c r="K240" s="910"/>
      <c r="L240" s="2795"/>
      <c r="M240" s="177"/>
      <c r="N240" s="2028"/>
      <c r="O240" s="229"/>
      <c r="P240" s="919"/>
      <c r="Q240" s="919"/>
      <c r="R240" s="919"/>
      <c r="S240" s="919"/>
      <c r="T240" s="229"/>
      <c r="U240" s="177"/>
      <c r="V240" s="2847"/>
      <c r="W240" s="2576"/>
      <c r="X240" s="2576"/>
      <c r="Y240" s="2576"/>
      <c r="Z240" s="908">
        <v>869</v>
      </c>
      <c r="AA240" s="2576"/>
      <c r="AB240" s="2576"/>
      <c r="AC240" s="2576"/>
      <c r="AD240" s="2576"/>
      <c r="AE240" s="2576"/>
      <c r="AF240" s="2576"/>
      <c r="AG240" s="2576"/>
      <c r="BB240" s="784"/>
      <c r="BC240" s="796"/>
      <c r="BD240" s="900"/>
      <c r="BE240" s="797"/>
    </row>
    <row r="241" spans="1:57" s="65" customFormat="1" hidden="1" outlineLevel="1" x14ac:dyDescent="0.25">
      <c r="A241" s="785"/>
      <c r="B241" s="177"/>
      <c r="C241" s="455"/>
      <c r="D241" s="2813"/>
      <c r="E241" s="2928"/>
      <c r="F241" s="2780" t="str">
        <f t="shared" si="46"/>
        <v>CAC - SEER 19 ROF: SF</v>
      </c>
      <c r="G241" s="2781"/>
      <c r="H241" s="2782"/>
      <c r="I241" s="908" t="str">
        <f t="shared" si="47"/>
        <v>351171_2020_02</v>
      </c>
      <c r="J241" s="2470">
        <v>869</v>
      </c>
      <c r="K241" s="910"/>
      <c r="L241" s="2795"/>
      <c r="M241" s="177"/>
      <c r="N241" s="2028"/>
      <c r="O241" s="229"/>
      <c r="P241" s="2892"/>
      <c r="Q241" s="2899"/>
      <c r="R241" s="2899"/>
      <c r="S241" s="229"/>
      <c r="T241" s="229"/>
      <c r="U241" s="177"/>
      <c r="V241" s="2847"/>
      <c r="W241" s="2576"/>
      <c r="X241" s="2576"/>
      <c r="Y241" s="2576"/>
      <c r="Z241" s="908">
        <v>869</v>
      </c>
      <c r="AA241" s="2576"/>
      <c r="AB241" s="2576"/>
      <c r="AC241" s="2576"/>
      <c r="AD241" s="2576"/>
      <c r="AE241" s="2576"/>
      <c r="AF241" s="2576"/>
      <c r="AG241" s="2576"/>
      <c r="BB241" s="784"/>
      <c r="BC241" s="796"/>
      <c r="BD241" s="900"/>
      <c r="BE241" s="797"/>
    </row>
    <row r="242" spans="1:57" s="65" customFormat="1" hidden="1" outlineLevel="1" x14ac:dyDescent="0.25">
      <c r="A242" s="785"/>
      <c r="B242" s="177"/>
      <c r="C242" s="455"/>
      <c r="D242" s="2813"/>
      <c r="E242" s="2928"/>
      <c r="F242" s="2780" t="str">
        <f t="shared" si="46"/>
        <v>CAC - SEER 19 ER1: MF</v>
      </c>
      <c r="G242" s="2781"/>
      <c r="H242" s="2782"/>
      <c r="I242" s="908" t="str">
        <f t="shared" si="47"/>
        <v>351172_2020_02</v>
      </c>
      <c r="J242" s="2470">
        <v>869</v>
      </c>
      <c r="K242" s="910"/>
      <c r="L242" s="2795"/>
      <c r="M242" s="177"/>
      <c r="N242" s="2028"/>
      <c r="O242" s="229"/>
      <c r="P242" s="2510"/>
      <c r="Q242" s="2019"/>
      <c r="R242" s="2019"/>
      <c r="S242" s="229"/>
      <c r="T242" s="229"/>
      <c r="U242" s="177"/>
      <c r="V242" s="2847"/>
      <c r="W242" s="2576"/>
      <c r="X242" s="908"/>
      <c r="Y242" s="908"/>
      <c r="Z242" s="908">
        <v>869</v>
      </c>
      <c r="AA242" s="2576"/>
      <c r="AB242" s="2576"/>
      <c r="AC242" s="2576"/>
      <c r="AD242" s="2576"/>
      <c r="AE242" s="2576"/>
      <c r="AF242" s="2576"/>
      <c r="AG242" s="2576"/>
      <c r="BB242" s="784"/>
      <c r="BC242" s="796"/>
      <c r="BD242" s="900"/>
      <c r="BE242" s="797"/>
    </row>
    <row r="243" spans="1:57" s="65" customFormat="1" hidden="1" outlineLevel="1" x14ac:dyDescent="0.25">
      <c r="A243" s="785"/>
      <c r="B243" s="177"/>
      <c r="C243" s="455"/>
      <c r="D243" s="2813"/>
      <c r="E243" s="2928"/>
      <c r="F243" s="2780" t="str">
        <f t="shared" si="46"/>
        <v>CAC - SEER 19 ER2: MF</v>
      </c>
      <c r="G243" s="2781"/>
      <c r="H243" s="2782"/>
      <c r="I243" s="908" t="str">
        <f t="shared" si="47"/>
        <v>351172_2020_02</v>
      </c>
      <c r="J243" s="2470">
        <v>869</v>
      </c>
      <c r="K243" s="910"/>
      <c r="L243" s="2795"/>
      <c r="M243" s="177"/>
      <c r="N243" s="2028"/>
      <c r="O243" s="229"/>
      <c r="P243" s="2510"/>
      <c r="Q243" s="2511"/>
      <c r="R243" s="2511"/>
      <c r="S243" s="229"/>
      <c r="T243" s="2512"/>
      <c r="U243" s="177"/>
      <c r="V243" s="2847"/>
      <c r="W243" s="2576"/>
      <c r="X243" s="908"/>
      <c r="Y243" s="908"/>
      <c r="Z243" s="908">
        <v>869</v>
      </c>
      <c r="AA243" s="2576"/>
      <c r="AB243" s="2576"/>
      <c r="AC243" s="2576"/>
      <c r="AD243" s="2576"/>
      <c r="AE243" s="2576"/>
      <c r="AF243" s="2576"/>
      <c r="AG243" s="2576"/>
      <c r="BB243" s="784"/>
      <c r="BC243" s="796"/>
      <c r="BD243" s="900"/>
      <c r="BE243" s="797"/>
    </row>
    <row r="244" spans="1:57" s="65" customFormat="1" hidden="1" outlineLevel="1" x14ac:dyDescent="0.25">
      <c r="A244" s="785"/>
      <c r="B244" s="177"/>
      <c r="C244" s="455"/>
      <c r="D244" s="2813"/>
      <c r="E244" s="2928"/>
      <c r="F244" s="2780" t="str">
        <f t="shared" si="46"/>
        <v>CAC - SEER 19 ER1: MF_CompE</v>
      </c>
      <c r="G244" s="2781"/>
      <c r="H244" s="2782"/>
      <c r="I244" s="908" t="str">
        <f t="shared" si="47"/>
        <v>351173_2020_02</v>
      </c>
      <c r="J244" s="2470">
        <f>$J$199</f>
        <v>632</v>
      </c>
      <c r="K244" s="910"/>
      <c r="L244" s="2795"/>
      <c r="M244" s="177"/>
      <c r="N244" s="2028"/>
      <c r="O244" s="229"/>
      <c r="P244" s="2510"/>
      <c r="Q244" s="229"/>
      <c r="R244" s="2513"/>
      <c r="S244" s="229"/>
      <c r="T244" s="229"/>
      <c r="U244" s="177"/>
      <c r="V244" s="2847"/>
      <c r="W244" s="2576"/>
      <c r="X244" s="908"/>
      <c r="Y244" s="908"/>
      <c r="Z244" s="908">
        <v>632</v>
      </c>
      <c r="AA244" s="2576"/>
      <c r="AB244" s="2576"/>
      <c r="AC244" s="2576"/>
      <c r="AD244" s="2576"/>
      <c r="AE244" s="2576"/>
      <c r="AF244" s="2576"/>
      <c r="AG244" s="2576"/>
      <c r="BB244" s="784"/>
      <c r="BC244" s="796"/>
      <c r="BD244" s="900"/>
      <c r="BE244" s="797"/>
    </row>
    <row r="245" spans="1:57" s="65" customFormat="1" hidden="1" outlineLevel="1" x14ac:dyDescent="0.25">
      <c r="A245" s="785"/>
      <c r="B245" s="177"/>
      <c r="C245" s="455"/>
      <c r="D245" s="2813"/>
      <c r="E245" s="2928"/>
      <c r="F245" s="2780" t="str">
        <f t="shared" si="46"/>
        <v>CAC - SEER 19 ER2: MF_CompE</v>
      </c>
      <c r="G245" s="2781"/>
      <c r="H245" s="2782"/>
      <c r="I245" s="908" t="str">
        <f t="shared" si="47"/>
        <v>351173_2020_02</v>
      </c>
      <c r="J245" s="2470">
        <f>$J$199</f>
        <v>632</v>
      </c>
      <c r="K245" s="910"/>
      <c r="L245" s="2795"/>
      <c r="M245" s="177"/>
      <c r="N245" s="2028"/>
      <c r="O245" s="229"/>
      <c r="P245" s="2514"/>
      <c r="Q245" s="229"/>
      <c r="R245" s="2513"/>
      <c r="S245" s="229"/>
      <c r="T245" s="229"/>
      <c r="U245" s="177"/>
      <c r="V245" s="2847"/>
      <c r="W245" s="2576"/>
      <c r="X245" s="908"/>
      <c r="Y245" s="908"/>
      <c r="Z245" s="908">
        <v>632</v>
      </c>
      <c r="AA245" s="2576"/>
      <c r="AB245" s="2576"/>
      <c r="AC245" s="2576"/>
      <c r="AD245" s="2576"/>
      <c r="AE245" s="2576"/>
      <c r="AF245" s="2576"/>
      <c r="AG245" s="2576"/>
      <c r="BB245" s="784"/>
      <c r="BC245" s="796"/>
      <c r="BD245" s="900"/>
      <c r="BE245" s="797"/>
    </row>
    <row r="246" spans="1:57" s="65" customFormat="1" hidden="1" outlineLevel="1" x14ac:dyDescent="0.25">
      <c r="A246" s="785"/>
      <c r="B246" s="177"/>
      <c r="C246" s="455"/>
      <c r="D246" s="2813"/>
      <c r="E246" s="2928"/>
      <c r="F246" s="2780" t="str">
        <f t="shared" si="46"/>
        <v>CAC - SEER 19 ROF: MF</v>
      </c>
      <c r="G246" s="2781"/>
      <c r="H246" s="2782"/>
      <c r="I246" s="908" t="str">
        <f t="shared" si="47"/>
        <v>351174_2020_02</v>
      </c>
      <c r="J246" s="2470">
        <v>869</v>
      </c>
      <c r="K246" s="910"/>
      <c r="L246" s="2795"/>
      <c r="M246" s="177"/>
      <c r="N246" s="2028"/>
      <c r="O246" s="229"/>
      <c r="P246" s="901"/>
      <c r="Q246" s="229"/>
      <c r="R246" s="229"/>
      <c r="S246" s="229"/>
      <c r="T246" s="229"/>
      <c r="U246" s="177"/>
      <c r="V246" s="2847"/>
      <c r="W246" s="2576"/>
      <c r="X246" s="908"/>
      <c r="Y246" s="908"/>
      <c r="Z246" s="908">
        <v>869</v>
      </c>
      <c r="AA246" s="2576"/>
      <c r="AB246" s="2576"/>
      <c r="AC246" s="2576"/>
      <c r="AD246" s="2576"/>
      <c r="AE246" s="2576"/>
      <c r="AF246" s="2576"/>
      <c r="AG246" s="2576"/>
      <c r="BB246" s="784"/>
      <c r="BC246" s="796"/>
      <c r="BD246" s="900"/>
      <c r="BE246" s="797"/>
    </row>
    <row r="247" spans="1:57" s="65" customFormat="1" hidden="1" outlineLevel="1" x14ac:dyDescent="0.25">
      <c r="A247" s="785"/>
      <c r="B247" s="177"/>
      <c r="C247" s="455"/>
      <c r="D247" s="2813"/>
      <c r="E247" s="2928"/>
      <c r="F247" s="2780" t="str">
        <f t="shared" si="46"/>
        <v>CAC - SEER 19 ROF: MF_CompE</v>
      </c>
      <c r="G247" s="2781"/>
      <c r="H247" s="2782"/>
      <c r="I247" s="908" t="str">
        <f t="shared" si="47"/>
        <v>351175_2020_02</v>
      </c>
      <c r="J247" s="2470">
        <f>$J$199</f>
        <v>632</v>
      </c>
      <c r="K247" s="910"/>
      <c r="L247" s="2795"/>
      <c r="M247" s="177"/>
      <c r="N247" s="2028"/>
      <c r="O247" s="2515"/>
      <c r="P247" s="1117"/>
      <c r="Q247" s="229"/>
      <c r="R247" s="229"/>
      <c r="S247" s="229"/>
      <c r="T247" s="229"/>
      <c r="U247" s="177"/>
      <c r="V247" s="2847"/>
      <c r="W247" s="2576"/>
      <c r="X247" s="908"/>
      <c r="Y247" s="2576"/>
      <c r="Z247" s="908">
        <v>632</v>
      </c>
      <c r="AA247" s="2576"/>
      <c r="AB247" s="2576"/>
      <c r="AC247" s="2576"/>
      <c r="AD247" s="2576"/>
      <c r="AE247" s="2576"/>
      <c r="AF247" s="2576"/>
      <c r="AG247" s="2576"/>
      <c r="BB247" s="784"/>
      <c r="BC247" s="796"/>
      <c r="BD247" s="900"/>
      <c r="BE247" s="797"/>
    </row>
    <row r="248" spans="1:57" s="65" customFormat="1" hidden="1" outlineLevel="1" x14ac:dyDescent="0.25">
      <c r="A248" s="785"/>
      <c r="B248" s="177"/>
      <c r="C248" s="455"/>
      <c r="D248" s="2813"/>
      <c r="E248" s="2928"/>
      <c r="F248" s="2780" t="str">
        <f t="shared" si="46"/>
        <v>CAC - SEER 20 ER1: SF</v>
      </c>
      <c r="G248" s="2781"/>
      <c r="H248" s="2782"/>
      <c r="I248" s="908" t="str">
        <f t="shared" si="47"/>
        <v>351180_2020_02</v>
      </c>
      <c r="J248" s="2470">
        <v>869</v>
      </c>
      <c r="K248" s="910"/>
      <c r="L248" s="2795"/>
      <c r="M248" s="177"/>
      <c r="N248" s="2028"/>
      <c r="O248" s="229"/>
      <c r="P248" s="229"/>
      <c r="Q248" s="229"/>
      <c r="R248" s="229"/>
      <c r="S248" s="229"/>
      <c r="T248" s="229"/>
      <c r="U248" s="177"/>
      <c r="V248" s="2847"/>
      <c r="W248" s="2576"/>
      <c r="X248" s="2576"/>
      <c r="Y248" s="2576"/>
      <c r="Z248" s="908">
        <v>869</v>
      </c>
      <c r="AA248" s="2576"/>
      <c r="AB248" s="2576"/>
      <c r="AC248" s="2576"/>
      <c r="AD248" s="2576"/>
      <c r="AE248" s="2576"/>
      <c r="AF248" s="2576"/>
      <c r="AG248" s="2576"/>
      <c r="BB248" s="784"/>
      <c r="BC248" s="796"/>
      <c r="BD248" s="900"/>
      <c r="BE248" s="797"/>
    </row>
    <row r="249" spans="1:57" s="65" customFormat="1" hidden="1" outlineLevel="1" x14ac:dyDescent="0.25">
      <c r="A249" s="785"/>
      <c r="B249" s="177"/>
      <c r="C249" s="455"/>
      <c r="D249" s="2813"/>
      <c r="E249" s="2928"/>
      <c r="F249" s="2780" t="str">
        <f t="shared" si="46"/>
        <v>CAC - SEER 20 ER2: SF</v>
      </c>
      <c r="G249" s="2781"/>
      <c r="H249" s="2782"/>
      <c r="I249" s="908" t="str">
        <f t="shared" si="47"/>
        <v>351180_2020_02</v>
      </c>
      <c r="J249" s="2470">
        <v>869</v>
      </c>
      <c r="K249" s="910"/>
      <c r="L249" s="2795"/>
      <c r="M249" s="177"/>
      <c r="N249" s="2028"/>
      <c r="O249" s="229"/>
      <c r="P249" s="229"/>
      <c r="Q249" s="229"/>
      <c r="R249" s="229"/>
      <c r="S249" s="229"/>
      <c r="T249" s="229"/>
      <c r="U249" s="177"/>
      <c r="V249" s="2847"/>
      <c r="W249" s="2576"/>
      <c r="X249" s="2576"/>
      <c r="Y249" s="2576"/>
      <c r="Z249" s="908">
        <v>869</v>
      </c>
      <c r="AA249" s="2576"/>
      <c r="AB249" s="2576"/>
      <c r="AC249" s="2576"/>
      <c r="AD249" s="2576"/>
      <c r="AE249" s="2576"/>
      <c r="AF249" s="2576"/>
      <c r="AG249" s="2576"/>
      <c r="BB249" s="784"/>
      <c r="BC249" s="796"/>
      <c r="BD249" s="900"/>
      <c r="BE249" s="797"/>
    </row>
    <row r="250" spans="1:57" s="65" customFormat="1" hidden="1" outlineLevel="1" x14ac:dyDescent="0.25">
      <c r="A250" s="785"/>
      <c r="B250" s="177"/>
      <c r="C250" s="455"/>
      <c r="D250" s="2813"/>
      <c r="E250" s="2928"/>
      <c r="F250" s="2780" t="str">
        <f t="shared" si="46"/>
        <v>CAC - SEER 20 ROF: SF</v>
      </c>
      <c r="G250" s="2781"/>
      <c r="H250" s="2782"/>
      <c r="I250" s="908" t="str">
        <f t="shared" si="47"/>
        <v>351181_2020_02</v>
      </c>
      <c r="J250" s="2470">
        <v>869</v>
      </c>
      <c r="K250" s="910"/>
      <c r="L250" s="2795"/>
      <c r="M250" s="177"/>
      <c r="N250" s="2028"/>
      <c r="O250" s="229"/>
      <c r="P250" s="229"/>
      <c r="Q250" s="229"/>
      <c r="R250" s="229"/>
      <c r="S250" s="229"/>
      <c r="T250" s="229"/>
      <c r="U250" s="177"/>
      <c r="V250" s="2847"/>
      <c r="W250" s="2576"/>
      <c r="X250" s="2576"/>
      <c r="Y250" s="2576"/>
      <c r="Z250" s="908">
        <v>869</v>
      </c>
      <c r="AA250" s="2576"/>
      <c r="AB250" s="2576"/>
      <c r="AC250" s="2576"/>
      <c r="AD250" s="2576"/>
      <c r="AE250" s="2576"/>
      <c r="AF250" s="2576"/>
      <c r="AG250" s="2576"/>
      <c r="BB250" s="784"/>
      <c r="BC250" s="796"/>
      <c r="BD250" s="900"/>
      <c r="BE250" s="797"/>
    </row>
    <row r="251" spans="1:57" s="65" customFormat="1" ht="15" hidden="1" customHeight="1" outlineLevel="1" x14ac:dyDescent="0.25">
      <c r="A251" s="785"/>
      <c r="B251" s="177"/>
      <c r="C251" s="455"/>
      <c r="D251" s="2813"/>
      <c r="E251" s="2928"/>
      <c r="F251" s="2780" t="str">
        <f t="shared" si="46"/>
        <v>CAC - SEER 20 ER1: MF</v>
      </c>
      <c r="G251" s="2781"/>
      <c r="H251" s="2782"/>
      <c r="I251" s="908" t="str">
        <f t="shared" si="47"/>
        <v>351182_2020_02</v>
      </c>
      <c r="J251" s="2470">
        <v>869</v>
      </c>
      <c r="K251" s="910"/>
      <c r="L251" s="2795"/>
      <c r="M251" s="177"/>
      <c r="N251" s="2028"/>
      <c r="O251" s="177"/>
      <c r="P251" s="177"/>
      <c r="Q251" s="177"/>
      <c r="R251" s="177"/>
      <c r="S251" s="177"/>
      <c r="T251" s="177"/>
      <c r="U251" s="177"/>
      <c r="V251" s="2847"/>
      <c r="W251" s="2576"/>
      <c r="X251" s="908"/>
      <c r="Y251" s="908"/>
      <c r="Z251" s="908">
        <v>869</v>
      </c>
      <c r="AA251" s="2576"/>
      <c r="AB251" s="2576"/>
      <c r="AC251" s="2576"/>
      <c r="AD251" s="2576"/>
      <c r="AE251" s="2576"/>
      <c r="AF251" s="2576"/>
      <c r="AG251" s="2576"/>
      <c r="BB251" s="784"/>
      <c r="BC251" s="796"/>
      <c r="BD251" s="900"/>
      <c r="BE251" s="797"/>
    </row>
    <row r="252" spans="1:57" s="65" customFormat="1" hidden="1" outlineLevel="1" x14ac:dyDescent="0.25">
      <c r="A252" s="785"/>
      <c r="B252" s="177"/>
      <c r="C252" s="455"/>
      <c r="D252" s="2813"/>
      <c r="E252" s="2928"/>
      <c r="F252" s="2780" t="str">
        <f t="shared" si="46"/>
        <v>CAC - SEER 20 ER2: MF</v>
      </c>
      <c r="G252" s="2781"/>
      <c r="H252" s="2782"/>
      <c r="I252" s="908" t="str">
        <f t="shared" si="47"/>
        <v>351182_2020_02</v>
      </c>
      <c r="J252" s="2470">
        <v>869</v>
      </c>
      <c r="K252" s="910"/>
      <c r="L252" s="2795"/>
      <c r="M252" s="177"/>
      <c r="N252" s="2028"/>
      <c r="O252" s="177"/>
      <c r="P252" s="177"/>
      <c r="Q252" s="177"/>
      <c r="R252" s="177"/>
      <c r="S252" s="177"/>
      <c r="T252" s="177"/>
      <c r="U252" s="177"/>
      <c r="V252" s="2847"/>
      <c r="W252" s="2576"/>
      <c r="X252" s="908"/>
      <c r="Y252" s="908"/>
      <c r="Z252" s="908">
        <v>869</v>
      </c>
      <c r="AA252" s="2576"/>
      <c r="AB252" s="2576"/>
      <c r="AC252" s="2576"/>
      <c r="AD252" s="2576"/>
      <c r="AE252" s="2576"/>
      <c r="AF252" s="2576"/>
      <c r="AG252" s="2576"/>
      <c r="BB252" s="784"/>
      <c r="BC252" s="796"/>
      <c r="BD252" s="900"/>
      <c r="BE252" s="797"/>
    </row>
    <row r="253" spans="1:57" s="65" customFormat="1" hidden="1" outlineLevel="1" x14ac:dyDescent="0.25">
      <c r="A253" s="785"/>
      <c r="B253" s="177"/>
      <c r="C253" s="455"/>
      <c r="D253" s="2813"/>
      <c r="E253" s="2928"/>
      <c r="F253" s="2780" t="str">
        <f t="shared" si="46"/>
        <v>CAC - SEER 20 ER1: MF_CompE</v>
      </c>
      <c r="G253" s="2781"/>
      <c r="H253" s="2782"/>
      <c r="I253" s="908" t="str">
        <f t="shared" si="47"/>
        <v>351183_2020_02</v>
      </c>
      <c r="J253" s="2470">
        <f>$J$199</f>
        <v>632</v>
      </c>
      <c r="K253" s="910"/>
      <c r="L253" s="2795"/>
      <c r="M253" s="177"/>
      <c r="N253" s="2028"/>
      <c r="O253" s="177"/>
      <c r="P253" s="177"/>
      <c r="Q253" s="177"/>
      <c r="R253" s="177"/>
      <c r="S253" s="177"/>
      <c r="T253" s="177"/>
      <c r="U253" s="177"/>
      <c r="V253" s="2847"/>
      <c r="W253" s="2576"/>
      <c r="X253" s="908"/>
      <c r="Y253" s="908"/>
      <c r="Z253" s="908">
        <v>632</v>
      </c>
      <c r="AA253" s="2576"/>
      <c r="AB253" s="2576"/>
      <c r="AC253" s="2576"/>
      <c r="AD253" s="2576"/>
      <c r="AE253" s="2576"/>
      <c r="AF253" s="2576"/>
      <c r="AG253" s="2576"/>
      <c r="BB253" s="784"/>
      <c r="BC253" s="796"/>
      <c r="BD253" s="900"/>
      <c r="BE253" s="797"/>
    </row>
    <row r="254" spans="1:57" s="65" customFormat="1" hidden="1" outlineLevel="1" x14ac:dyDescent="0.25">
      <c r="A254" s="785"/>
      <c r="B254" s="177"/>
      <c r="C254" s="455"/>
      <c r="D254" s="2813"/>
      <c r="E254" s="2928"/>
      <c r="F254" s="2780" t="str">
        <f t="shared" si="46"/>
        <v>CAC - SEER 20 ER2: MF_CompE</v>
      </c>
      <c r="G254" s="2781"/>
      <c r="H254" s="2782"/>
      <c r="I254" s="908" t="str">
        <f t="shared" si="47"/>
        <v>351183_2020_02</v>
      </c>
      <c r="J254" s="2470">
        <f>$J$199</f>
        <v>632</v>
      </c>
      <c r="K254" s="910"/>
      <c r="L254" s="2795"/>
      <c r="M254" s="177"/>
      <c r="N254" s="2028"/>
      <c r="O254" s="177"/>
      <c r="P254" s="177"/>
      <c r="Q254" s="177"/>
      <c r="R254" s="177"/>
      <c r="S254" s="177"/>
      <c r="T254" s="177"/>
      <c r="U254" s="177"/>
      <c r="V254" s="2847"/>
      <c r="W254" s="2576"/>
      <c r="X254" s="908"/>
      <c r="Y254" s="908"/>
      <c r="Z254" s="908">
        <v>632</v>
      </c>
      <c r="AA254" s="2576"/>
      <c r="AB254" s="2576"/>
      <c r="AC254" s="2576"/>
      <c r="AD254" s="2576"/>
      <c r="AE254" s="2576"/>
      <c r="AF254" s="2576"/>
      <c r="AG254" s="2576"/>
      <c r="BB254" s="784"/>
      <c r="BC254" s="796"/>
      <c r="BD254" s="900"/>
      <c r="BE254" s="797"/>
    </row>
    <row r="255" spans="1:57" s="65" customFormat="1" hidden="1" outlineLevel="1" x14ac:dyDescent="0.25">
      <c r="A255" s="785"/>
      <c r="B255" s="177"/>
      <c r="C255" s="455"/>
      <c r="D255" s="2813"/>
      <c r="E255" s="2928"/>
      <c r="F255" s="2780" t="str">
        <f t="shared" si="46"/>
        <v>CAC - SEER 20 ROF: MF</v>
      </c>
      <c r="G255" s="2781"/>
      <c r="H255" s="2782"/>
      <c r="I255" s="908" t="str">
        <f t="shared" si="47"/>
        <v>351184_2020_02</v>
      </c>
      <c r="J255" s="2470">
        <v>869</v>
      </c>
      <c r="K255" s="910"/>
      <c r="L255" s="2795"/>
      <c r="M255" s="177"/>
      <c r="N255" s="2028"/>
      <c r="O255" s="177"/>
      <c r="P255" s="177"/>
      <c r="Q255" s="177"/>
      <c r="R255" s="177"/>
      <c r="S255" s="177"/>
      <c r="T255" s="177"/>
      <c r="U255" s="177"/>
      <c r="V255" s="2847"/>
      <c r="W255" s="2576"/>
      <c r="X255" s="908"/>
      <c r="Y255" s="2576"/>
      <c r="Z255" s="908">
        <v>869</v>
      </c>
      <c r="AA255" s="2576"/>
      <c r="AB255" s="2576"/>
      <c r="AC255" s="2576"/>
      <c r="AD255" s="2576"/>
      <c r="AE255" s="2576"/>
      <c r="AF255" s="2576"/>
      <c r="AG255" s="2576"/>
      <c r="BB255" s="784"/>
      <c r="BC255" s="796"/>
      <c r="BD255" s="900"/>
      <c r="BE255" s="797"/>
    </row>
    <row r="256" spans="1:57" s="65" customFormat="1" hidden="1" outlineLevel="1" x14ac:dyDescent="0.25">
      <c r="A256" s="785"/>
      <c r="B256" s="177"/>
      <c r="C256" s="455"/>
      <c r="D256" s="2813"/>
      <c r="E256" s="2928"/>
      <c r="F256" s="2780" t="str">
        <f t="shared" si="46"/>
        <v>CAC - SEER 20 ROF: MF_CompE</v>
      </c>
      <c r="G256" s="2781"/>
      <c r="H256" s="2782"/>
      <c r="I256" s="908" t="str">
        <f t="shared" si="47"/>
        <v>351185_2020_02</v>
      </c>
      <c r="J256" s="2470">
        <f>$J$199</f>
        <v>632</v>
      </c>
      <c r="K256" s="910"/>
      <c r="L256" s="2795"/>
      <c r="M256" s="177"/>
      <c r="N256" s="2028"/>
      <c r="O256" s="177"/>
      <c r="P256" s="177"/>
      <c r="Q256" s="177"/>
      <c r="R256" s="177"/>
      <c r="S256" s="177"/>
      <c r="T256" s="177"/>
      <c r="U256" s="177"/>
      <c r="V256" s="2847"/>
      <c r="W256" s="2576"/>
      <c r="X256" s="908"/>
      <c r="Y256" s="908"/>
      <c r="Z256" s="908">
        <v>632</v>
      </c>
      <c r="AA256" s="2576"/>
      <c r="AB256" s="2576"/>
      <c r="AC256" s="2576"/>
      <c r="AD256" s="2576"/>
      <c r="AE256" s="2576"/>
      <c r="AF256" s="2576"/>
      <c r="AG256" s="2576"/>
      <c r="BB256" s="784"/>
      <c r="BC256" s="796"/>
      <c r="BD256" s="900"/>
      <c r="BE256" s="797"/>
    </row>
    <row r="257" spans="1:57" s="65" customFormat="1" hidden="1" outlineLevel="1" x14ac:dyDescent="0.25">
      <c r="A257" s="785"/>
      <c r="B257" s="177"/>
      <c r="C257" s="455"/>
      <c r="D257" s="2813"/>
      <c r="E257" s="2928"/>
      <c r="F257" s="2780" t="str">
        <f t="shared" si="46"/>
        <v>CAC - SEER 21+ ER1: SF</v>
      </c>
      <c r="G257" s="2781"/>
      <c r="H257" s="2782"/>
      <c r="I257" s="908" t="str">
        <f t="shared" si="47"/>
        <v>351190_2020_02</v>
      </c>
      <c r="J257" s="2470">
        <v>869</v>
      </c>
      <c r="K257" s="910"/>
      <c r="L257" s="2795"/>
      <c r="M257" s="177"/>
      <c r="N257" s="2028"/>
      <c r="O257" s="177"/>
      <c r="P257" s="177"/>
      <c r="Q257" s="177"/>
      <c r="R257" s="177"/>
      <c r="S257" s="177"/>
      <c r="T257" s="177"/>
      <c r="U257" s="177"/>
      <c r="V257" s="2847"/>
      <c r="W257" s="2576"/>
      <c r="X257" s="2576"/>
      <c r="Y257" s="2576"/>
      <c r="Z257" s="908">
        <v>869</v>
      </c>
      <c r="AA257" s="2576"/>
      <c r="AB257" s="2576"/>
      <c r="AC257" s="2576"/>
      <c r="AD257" s="2576"/>
      <c r="AE257" s="2576"/>
      <c r="AF257" s="2576"/>
      <c r="AG257" s="2576"/>
      <c r="BB257" s="784"/>
      <c r="BC257" s="796"/>
      <c r="BD257" s="900"/>
      <c r="BE257" s="797"/>
    </row>
    <row r="258" spans="1:57" s="65" customFormat="1" hidden="1" outlineLevel="1" x14ac:dyDescent="0.25">
      <c r="A258" s="785"/>
      <c r="B258" s="177"/>
      <c r="C258" s="455"/>
      <c r="D258" s="2813"/>
      <c r="E258" s="2928"/>
      <c r="F258" s="2780" t="str">
        <f t="shared" si="46"/>
        <v>CAC - SEER 21+ ER2: SF</v>
      </c>
      <c r="G258" s="2781"/>
      <c r="H258" s="2782"/>
      <c r="I258" s="908" t="str">
        <f t="shared" si="47"/>
        <v>351190_2020_02</v>
      </c>
      <c r="J258" s="2470">
        <v>869</v>
      </c>
      <c r="K258" s="910"/>
      <c r="L258" s="2795"/>
      <c r="M258" s="177"/>
      <c r="N258" s="2028"/>
      <c r="O258" s="177"/>
      <c r="P258" s="177"/>
      <c r="Q258" s="177"/>
      <c r="R258" s="177"/>
      <c r="S258" s="177"/>
      <c r="T258" s="177"/>
      <c r="U258" s="177"/>
      <c r="V258" s="2847"/>
      <c r="W258" s="2576"/>
      <c r="X258" s="2576"/>
      <c r="Y258" s="2576"/>
      <c r="Z258" s="908">
        <v>869</v>
      </c>
      <c r="AA258" s="2576"/>
      <c r="AB258" s="2576"/>
      <c r="AC258" s="2576"/>
      <c r="AD258" s="2576"/>
      <c r="AE258" s="2576"/>
      <c r="AF258" s="2576"/>
      <c r="AG258" s="2576"/>
      <c r="BB258" s="784"/>
      <c r="BC258" s="796"/>
      <c r="BD258" s="900"/>
      <c r="BE258" s="797"/>
    </row>
    <row r="259" spans="1:57" s="65" customFormat="1" hidden="1" outlineLevel="1" x14ac:dyDescent="0.25">
      <c r="A259" s="785"/>
      <c r="B259" s="177"/>
      <c r="C259" s="455"/>
      <c r="D259" s="2813"/>
      <c r="E259" s="2928"/>
      <c r="F259" s="2780" t="str">
        <f t="shared" si="46"/>
        <v>CAC - SEER 21+ ROF: SF</v>
      </c>
      <c r="G259" s="2781"/>
      <c r="H259" s="2782"/>
      <c r="I259" s="908" t="str">
        <f t="shared" si="47"/>
        <v>351191_2020_02</v>
      </c>
      <c r="J259" s="2470">
        <v>869</v>
      </c>
      <c r="K259" s="910"/>
      <c r="L259" s="2795"/>
      <c r="M259" s="177"/>
      <c r="N259" s="2028"/>
      <c r="O259" s="177"/>
      <c r="P259" s="177"/>
      <c r="Q259" s="177"/>
      <c r="R259" s="177"/>
      <c r="S259" s="177"/>
      <c r="T259" s="177"/>
      <c r="U259" s="177"/>
      <c r="V259" s="2847"/>
      <c r="W259" s="2576"/>
      <c r="X259" s="2576"/>
      <c r="Y259" s="2576"/>
      <c r="Z259" s="908">
        <v>869</v>
      </c>
      <c r="AA259" s="2576"/>
      <c r="AB259" s="2576"/>
      <c r="AC259" s="2576"/>
      <c r="AD259" s="2576"/>
      <c r="AE259" s="2576"/>
      <c r="AF259" s="2576"/>
      <c r="AG259" s="2576"/>
      <c r="BB259" s="784"/>
      <c r="BC259" s="796"/>
      <c r="BD259" s="900"/>
      <c r="BE259" s="797"/>
    </row>
    <row r="260" spans="1:57" s="65" customFormat="1" hidden="1" outlineLevel="1" x14ac:dyDescent="0.25">
      <c r="A260" s="785"/>
      <c r="B260" s="177"/>
      <c r="C260" s="455"/>
      <c r="D260" s="2813"/>
      <c r="E260" s="2928"/>
      <c r="F260" s="2780" t="str">
        <f t="shared" si="46"/>
        <v>CAC - SEER 21+ ER1: MF</v>
      </c>
      <c r="G260" s="2781"/>
      <c r="H260" s="2782"/>
      <c r="I260" s="908" t="str">
        <f t="shared" si="47"/>
        <v>351192_2020_02</v>
      </c>
      <c r="J260" s="2470">
        <v>869</v>
      </c>
      <c r="K260" s="910"/>
      <c r="L260" s="2795"/>
      <c r="M260" s="177"/>
      <c r="N260" s="2028"/>
      <c r="O260" s="177"/>
      <c r="P260" s="177"/>
      <c r="Q260" s="177"/>
      <c r="R260" s="177"/>
      <c r="S260" s="177"/>
      <c r="T260" s="177"/>
      <c r="U260" s="177"/>
      <c r="V260" s="2847"/>
      <c r="W260" s="2576"/>
      <c r="X260" s="2576"/>
      <c r="Y260" s="2576"/>
      <c r="Z260" s="908">
        <v>869</v>
      </c>
      <c r="AA260" s="2576"/>
      <c r="AB260" s="2576"/>
      <c r="AC260" s="2576"/>
      <c r="AD260" s="2576"/>
      <c r="AE260" s="2576"/>
      <c r="AF260" s="2576"/>
      <c r="AG260" s="2576"/>
      <c r="BB260" s="784"/>
      <c r="BC260" s="796"/>
      <c r="BD260" s="900"/>
      <c r="BE260" s="797"/>
    </row>
    <row r="261" spans="1:57" s="65" customFormat="1" ht="14.45" hidden="1" customHeight="1" outlineLevel="1" x14ac:dyDescent="0.25">
      <c r="A261" s="785"/>
      <c r="B261" s="177"/>
      <c r="C261" s="455"/>
      <c r="D261" s="2813"/>
      <c r="E261" s="2928"/>
      <c r="F261" s="2780" t="str">
        <f t="shared" si="46"/>
        <v>CAC - SEER 21+ ER2: MF</v>
      </c>
      <c r="G261" s="2781"/>
      <c r="H261" s="2782"/>
      <c r="I261" s="908" t="str">
        <f t="shared" si="47"/>
        <v>351192_2020_02</v>
      </c>
      <c r="J261" s="2470">
        <v>869</v>
      </c>
      <c r="K261" s="910"/>
      <c r="L261" s="2795"/>
      <c r="M261" s="177"/>
      <c r="N261" s="2028"/>
      <c r="O261" s="177"/>
      <c r="P261" s="177"/>
      <c r="Q261" s="177"/>
      <c r="R261" s="177"/>
      <c r="S261" s="177"/>
      <c r="T261" s="177"/>
      <c r="U261" s="177"/>
      <c r="V261" s="2847"/>
      <c r="W261" s="2576"/>
      <c r="X261" s="2576"/>
      <c r="Y261" s="2576"/>
      <c r="Z261" s="908">
        <v>869</v>
      </c>
      <c r="AA261" s="2576"/>
      <c r="AB261" s="2576"/>
      <c r="AC261" s="2576"/>
      <c r="AD261" s="2576"/>
      <c r="AE261" s="2576"/>
      <c r="AF261" s="2576"/>
      <c r="AG261" s="2576"/>
      <c r="BB261" s="784"/>
      <c r="BC261" s="796"/>
      <c r="BD261" s="900"/>
      <c r="BE261" s="797"/>
    </row>
    <row r="262" spans="1:57" s="65" customFormat="1" ht="14.45" hidden="1" customHeight="1" outlineLevel="1" x14ac:dyDescent="0.25">
      <c r="A262" s="785"/>
      <c r="B262" s="177"/>
      <c r="C262" s="455"/>
      <c r="D262" s="2813"/>
      <c r="E262" s="2928"/>
      <c r="F262" s="2780" t="str">
        <f t="shared" si="46"/>
        <v>CAC - SEER 21+ ER1: MF_CompE</v>
      </c>
      <c r="G262" s="2781"/>
      <c r="H262" s="2782"/>
      <c r="I262" s="908" t="str">
        <f t="shared" si="47"/>
        <v>351193_2020_02</v>
      </c>
      <c r="J262" s="2470">
        <f>$J$199</f>
        <v>632</v>
      </c>
      <c r="K262" s="922"/>
      <c r="L262" s="2795"/>
      <c r="M262" s="177"/>
      <c r="N262" s="2028"/>
      <c r="O262" s="177"/>
      <c r="P262" s="177"/>
      <c r="Q262" s="177"/>
      <c r="R262" s="177"/>
      <c r="S262" s="177"/>
      <c r="T262" s="177"/>
      <c r="U262" s="177"/>
      <c r="V262" s="2847"/>
      <c r="W262" s="921"/>
      <c r="X262" s="921"/>
      <c r="Y262" s="920"/>
      <c r="Z262" s="920">
        <v>632</v>
      </c>
      <c r="AA262" s="921"/>
      <c r="AB262" s="921"/>
      <c r="AC262" s="921"/>
      <c r="AD262" s="921"/>
      <c r="AE262" s="921"/>
      <c r="AF262" s="921"/>
      <c r="AG262" s="921"/>
      <c r="BB262" s="784"/>
      <c r="BC262" s="796"/>
      <c r="BD262" s="900"/>
      <c r="BE262" s="797"/>
    </row>
    <row r="263" spans="1:57" s="65" customFormat="1" ht="14.45" hidden="1" customHeight="1" outlineLevel="1" x14ac:dyDescent="0.25">
      <c r="A263" s="785"/>
      <c r="B263" s="177"/>
      <c r="C263" s="455"/>
      <c r="D263" s="2813"/>
      <c r="E263" s="2928"/>
      <c r="F263" s="2780" t="str">
        <f t="shared" si="46"/>
        <v>CAC - SEER 21+ ER2: MF_CompE</v>
      </c>
      <c r="G263" s="2781"/>
      <c r="H263" s="2782"/>
      <c r="I263" s="908" t="str">
        <f t="shared" si="47"/>
        <v>351193_2020_02</v>
      </c>
      <c r="J263" s="2470">
        <f>$J$199</f>
        <v>632</v>
      </c>
      <c r="K263" s="922"/>
      <c r="L263" s="2795"/>
      <c r="M263" s="177"/>
      <c r="N263" s="2028"/>
      <c r="O263" s="177"/>
      <c r="P263" s="177"/>
      <c r="Q263" s="177"/>
      <c r="R263" s="177"/>
      <c r="S263" s="177"/>
      <c r="T263" s="177"/>
      <c r="U263" s="177"/>
      <c r="V263" s="2847"/>
      <c r="W263" s="921"/>
      <c r="X263" s="921"/>
      <c r="Y263" s="920"/>
      <c r="Z263" s="920">
        <v>632</v>
      </c>
      <c r="AA263" s="921"/>
      <c r="AB263" s="921"/>
      <c r="AC263" s="921"/>
      <c r="AD263" s="921"/>
      <c r="AE263" s="921"/>
      <c r="AF263" s="921"/>
      <c r="AG263" s="921"/>
      <c r="BB263" s="784"/>
      <c r="BC263" s="796"/>
      <c r="BD263" s="900"/>
      <c r="BE263" s="797"/>
    </row>
    <row r="264" spans="1:57" s="65" customFormat="1" ht="15" hidden="1" customHeight="1" outlineLevel="1" x14ac:dyDescent="0.25">
      <c r="A264" s="785"/>
      <c r="B264" s="177"/>
      <c r="C264" s="455"/>
      <c r="D264" s="2813"/>
      <c r="E264" s="2928"/>
      <c r="F264" s="2780" t="str">
        <f t="shared" si="46"/>
        <v>CAC - SEER 21+ ROF: MF</v>
      </c>
      <c r="G264" s="2781"/>
      <c r="H264" s="2782"/>
      <c r="I264" s="908" t="str">
        <f t="shared" si="47"/>
        <v>351194_2020_02</v>
      </c>
      <c r="J264" s="921">
        <v>869</v>
      </c>
      <c r="K264" s="922"/>
      <c r="L264" s="2795"/>
      <c r="M264" s="177"/>
      <c r="N264" s="2028"/>
      <c r="O264" s="177"/>
      <c r="P264" s="177"/>
      <c r="Q264" s="177"/>
      <c r="R264" s="177"/>
      <c r="S264" s="177"/>
      <c r="T264" s="177"/>
      <c r="U264" s="177"/>
      <c r="V264" s="2847"/>
      <c r="W264" s="2576"/>
      <c r="X264" s="2576"/>
      <c r="Y264" s="2576"/>
      <c r="Z264" s="908">
        <v>869</v>
      </c>
      <c r="AA264" s="2576"/>
      <c r="AB264" s="2576"/>
      <c r="AC264" s="2576"/>
      <c r="AD264" s="2576"/>
      <c r="AE264" s="2576"/>
      <c r="AF264" s="2576"/>
      <c r="AG264" s="2576"/>
      <c r="BB264" s="784"/>
      <c r="BC264" s="796"/>
      <c r="BD264" s="900"/>
      <c r="BE264" s="797"/>
    </row>
    <row r="265" spans="1:57" s="65" customFormat="1" ht="15" hidden="1" customHeight="1" outlineLevel="1" thickBot="1" x14ac:dyDescent="0.3">
      <c r="A265" s="785"/>
      <c r="B265" s="177"/>
      <c r="C265" s="455"/>
      <c r="D265" s="2814"/>
      <c r="E265" s="2929"/>
      <c r="F265" s="2780" t="str">
        <f t="shared" si="46"/>
        <v>CAC - SEER 21+ ROF: MF_CompE</v>
      </c>
      <c r="G265" s="2781"/>
      <c r="H265" s="2782"/>
      <c r="I265" s="1021" t="str">
        <f t="shared" si="47"/>
        <v>351195_2020_02</v>
      </c>
      <c r="J265" s="2470">
        <f>$J$199</f>
        <v>632</v>
      </c>
      <c r="K265" s="814"/>
      <c r="L265" s="2796"/>
      <c r="M265" s="177"/>
      <c r="N265" s="2028"/>
      <c r="O265" s="177"/>
      <c r="P265" s="177"/>
      <c r="Q265" s="177"/>
      <c r="R265" s="177"/>
      <c r="S265" s="177"/>
      <c r="T265" s="177"/>
      <c r="U265" s="177"/>
      <c r="V265" s="2848"/>
      <c r="W265" s="924"/>
      <c r="X265" s="924"/>
      <c r="Y265" s="923"/>
      <c r="Z265" s="923">
        <v>632</v>
      </c>
      <c r="AA265" s="924"/>
      <c r="AB265" s="924"/>
      <c r="AC265" s="924"/>
      <c r="AD265" s="924"/>
      <c r="AE265" s="924"/>
      <c r="AF265" s="924"/>
      <c r="AG265" s="924"/>
      <c r="BB265" s="784"/>
      <c r="BC265" s="796"/>
      <c r="BD265" s="900"/>
      <c r="BE265" s="797"/>
    </row>
    <row r="266" spans="1:57" s="65" customFormat="1" ht="14.45" hidden="1" customHeight="1" outlineLevel="1" x14ac:dyDescent="0.25">
      <c r="A266" s="785"/>
      <c r="B266" s="177"/>
      <c r="C266" s="455"/>
      <c r="D266" s="2805" t="s">
        <v>1278</v>
      </c>
      <c r="E266" s="2855" t="s">
        <v>1279</v>
      </c>
      <c r="F266" s="2776" t="str">
        <f t="shared" ref="F266:F329" si="48">F194</f>
        <v>CAC - SEER 14 ER1: SF</v>
      </c>
      <c r="G266" s="2777"/>
      <c r="H266" s="2778"/>
      <c r="I266" s="1667"/>
      <c r="J266" s="1667">
        <f>2.98*12000</f>
        <v>35760</v>
      </c>
      <c r="K266" s="925">
        <f t="shared" ref="K266:K301" si="49">J266/12000</f>
        <v>2.98</v>
      </c>
      <c r="L266" s="1010" t="s">
        <v>1280</v>
      </c>
      <c r="M266" s="177"/>
      <c r="N266" s="2028"/>
      <c r="O266" s="177"/>
      <c r="P266" s="177"/>
      <c r="Q266" s="177"/>
      <c r="R266" s="177"/>
      <c r="S266" s="177"/>
      <c r="T266" s="177"/>
      <c r="U266" s="177"/>
      <c r="V266" s="2867" t="str">
        <f>D266</f>
        <v>Btu/hr / Capacity</v>
      </c>
      <c r="W266" s="2577">
        <v>36000</v>
      </c>
      <c r="X266" s="902">
        <f>3.05*12000</f>
        <v>36600</v>
      </c>
      <c r="Y266" s="902">
        <v>35760</v>
      </c>
      <c r="Z266" s="2577"/>
      <c r="AA266" s="2577"/>
      <c r="AB266" s="2577"/>
      <c r="AC266" s="2577"/>
      <c r="AD266" s="2577"/>
      <c r="AE266" s="2577"/>
      <c r="AF266" s="2577"/>
      <c r="AG266" s="2577"/>
      <c r="BB266" s="784"/>
      <c r="BC266" s="796"/>
      <c r="BD266" s="900"/>
      <c r="BE266" s="797"/>
    </row>
    <row r="267" spans="1:57" s="65" customFormat="1" ht="14.45" hidden="1" customHeight="1" outlineLevel="1" x14ac:dyDescent="0.25">
      <c r="A267" s="785"/>
      <c r="B267" s="177"/>
      <c r="C267" s="455"/>
      <c r="D267" s="2847"/>
      <c r="E267" s="2856"/>
      <c r="F267" s="2783" t="str">
        <f t="shared" si="48"/>
        <v>CAC - SEER 14 ER2: SF</v>
      </c>
      <c r="G267" s="2784"/>
      <c r="H267" s="2785"/>
      <c r="I267" s="1663"/>
      <c r="J267" s="1663">
        <f t="shared" ref="J267" si="50">2.98*12000</f>
        <v>35760</v>
      </c>
      <c r="K267" s="95">
        <f t="shared" si="49"/>
        <v>2.98</v>
      </c>
      <c r="L267" s="2034" t="s">
        <v>1280</v>
      </c>
      <c r="M267" s="177"/>
      <c r="N267" s="2028"/>
      <c r="O267" s="177"/>
      <c r="P267" s="177"/>
      <c r="Q267" s="177"/>
      <c r="R267" s="177"/>
      <c r="S267" s="177"/>
      <c r="T267" s="177"/>
      <c r="U267" s="177"/>
      <c r="V267" s="2866"/>
      <c r="W267" s="2576">
        <v>36000</v>
      </c>
      <c r="X267" s="908">
        <f t="shared" ref="X267:X286" si="51">3.05*12000</f>
        <v>36600</v>
      </c>
      <c r="Y267" s="908">
        <v>35760</v>
      </c>
      <c r="Z267" s="2576"/>
      <c r="AA267" s="2576"/>
      <c r="AB267" s="2576"/>
      <c r="AC267" s="2576"/>
      <c r="AD267" s="2576"/>
      <c r="AE267" s="2576"/>
      <c r="AF267" s="2576"/>
      <c r="AG267" s="2576"/>
      <c r="BB267" s="784"/>
      <c r="BC267" s="796"/>
      <c r="BD267" s="900"/>
      <c r="BE267" s="797"/>
    </row>
    <row r="268" spans="1:57" s="65" customFormat="1" ht="14.45" hidden="1" customHeight="1" outlineLevel="1" x14ac:dyDescent="0.25">
      <c r="A268" s="785"/>
      <c r="B268" s="177"/>
      <c r="C268" s="455"/>
      <c r="D268" s="2847"/>
      <c r="E268" s="2856"/>
      <c r="F268" s="2783" t="str">
        <f t="shared" si="48"/>
        <v>CAC - SEER 14 ROF: SF</v>
      </c>
      <c r="G268" s="2784"/>
      <c r="H268" s="2785"/>
      <c r="I268" s="1663"/>
      <c r="J268" s="926">
        <f>2.97*12000</f>
        <v>35640</v>
      </c>
      <c r="K268" s="95">
        <f t="shared" si="49"/>
        <v>2.97</v>
      </c>
      <c r="L268" s="2034" t="s">
        <v>1280</v>
      </c>
      <c r="M268" s="177"/>
      <c r="N268" s="2028"/>
      <c r="O268" s="177"/>
      <c r="P268" s="177"/>
      <c r="Q268" s="177"/>
      <c r="R268" s="177"/>
      <c r="S268" s="177"/>
      <c r="T268" s="177"/>
      <c r="U268" s="177"/>
      <c r="V268" s="2866"/>
      <c r="W268" s="2576">
        <v>36000</v>
      </c>
      <c r="X268" s="908">
        <f t="shared" si="51"/>
        <v>36600</v>
      </c>
      <c r="Y268" s="908">
        <v>35640</v>
      </c>
      <c r="Z268" s="2576"/>
      <c r="AA268" s="2576"/>
      <c r="AB268" s="2576"/>
      <c r="AC268" s="2576"/>
      <c r="AD268" s="2576"/>
      <c r="AE268" s="2576"/>
      <c r="AF268" s="2576"/>
      <c r="AG268" s="2576"/>
      <c r="BB268" s="784"/>
      <c r="BC268" s="796"/>
      <c r="BD268" s="900"/>
      <c r="BE268" s="797"/>
    </row>
    <row r="269" spans="1:57" s="65" customFormat="1" ht="14.45" hidden="1" customHeight="1" outlineLevel="1" x14ac:dyDescent="0.25">
      <c r="A269" s="785"/>
      <c r="B269" s="177"/>
      <c r="C269" s="455"/>
      <c r="D269" s="2847"/>
      <c r="E269" s="2856"/>
      <c r="F269" s="2757" t="str">
        <f t="shared" si="48"/>
        <v>CAC - SEER 14 ER1: MF</v>
      </c>
      <c r="G269" s="2758"/>
      <c r="H269" s="2759"/>
      <c r="I269" s="1663"/>
      <c r="J269" s="1663">
        <v>24000</v>
      </c>
      <c r="K269" s="95">
        <f t="shared" si="49"/>
        <v>2</v>
      </c>
      <c r="L269" s="927" t="s">
        <v>1281</v>
      </c>
      <c r="M269" s="2035"/>
      <c r="N269" s="2028"/>
      <c r="O269" s="177"/>
      <c r="P269" s="177"/>
      <c r="Q269" s="177"/>
      <c r="R269" s="177"/>
      <c r="S269" s="177"/>
      <c r="T269" s="177"/>
      <c r="U269" s="177"/>
      <c r="V269" s="2866"/>
      <c r="W269" s="2576">
        <v>36000</v>
      </c>
      <c r="X269" s="908">
        <v>24000</v>
      </c>
      <c r="Y269" s="2576">
        <v>24000</v>
      </c>
      <c r="Z269" s="2576"/>
      <c r="AA269" s="2576"/>
      <c r="AB269" s="2576"/>
      <c r="AC269" s="2576"/>
      <c r="AD269" s="2576"/>
      <c r="AE269" s="2576"/>
      <c r="AF269" s="2576"/>
      <c r="AG269" s="2576"/>
      <c r="BB269" s="784"/>
      <c r="BC269" s="796"/>
      <c r="BD269" s="900"/>
      <c r="BE269" s="797"/>
    </row>
    <row r="270" spans="1:57" s="65" customFormat="1" ht="14.45" hidden="1" customHeight="1" outlineLevel="1" x14ac:dyDescent="0.25">
      <c r="A270" s="785"/>
      <c r="B270" s="177"/>
      <c r="C270" s="455"/>
      <c r="D270" s="2847"/>
      <c r="E270" s="2856"/>
      <c r="F270" s="2757" t="str">
        <f t="shared" si="48"/>
        <v>CAC - SEER 14 ER2: MF</v>
      </c>
      <c r="G270" s="2758"/>
      <c r="H270" s="2759"/>
      <c r="I270" s="1663"/>
      <c r="J270" s="1663">
        <v>24000</v>
      </c>
      <c r="K270" s="95">
        <f t="shared" si="49"/>
        <v>2</v>
      </c>
      <c r="L270" s="927" t="s">
        <v>1281</v>
      </c>
      <c r="M270" s="2035"/>
      <c r="N270" s="2028"/>
      <c r="O270" s="177"/>
      <c r="P270" s="177"/>
      <c r="Q270" s="177"/>
      <c r="R270" s="177"/>
      <c r="S270" s="177"/>
      <c r="T270" s="177"/>
      <c r="U270" s="177"/>
      <c r="V270" s="2866"/>
      <c r="W270" s="2576">
        <v>36000</v>
      </c>
      <c r="X270" s="908">
        <v>24000</v>
      </c>
      <c r="Y270" s="2576">
        <v>24000</v>
      </c>
      <c r="Z270" s="2576"/>
      <c r="AA270" s="2576"/>
      <c r="AB270" s="2576"/>
      <c r="AC270" s="2576"/>
      <c r="AD270" s="2576"/>
      <c r="AE270" s="2576"/>
      <c r="AF270" s="2576"/>
      <c r="AG270" s="2576"/>
      <c r="BB270" s="784"/>
      <c r="BC270" s="796"/>
      <c r="BD270" s="900"/>
      <c r="BE270" s="797"/>
    </row>
    <row r="271" spans="1:57" s="65" customFormat="1" ht="14.45" hidden="1" customHeight="1" outlineLevel="1" x14ac:dyDescent="0.25">
      <c r="A271" s="785"/>
      <c r="B271" s="177"/>
      <c r="C271" s="455"/>
      <c r="D271" s="2847"/>
      <c r="E271" s="2856"/>
      <c r="F271" s="2757" t="str">
        <f t="shared" si="48"/>
        <v>CAC - SEER 14 ER1: MF_CompE</v>
      </c>
      <c r="G271" s="2758"/>
      <c r="H271" s="2759"/>
      <c r="I271" s="1663"/>
      <c r="J271" s="1663">
        <v>24000</v>
      </c>
      <c r="K271" s="95">
        <f t="shared" si="49"/>
        <v>2</v>
      </c>
      <c r="L271" s="927"/>
      <c r="M271" s="2035"/>
      <c r="N271" s="2028"/>
      <c r="O271" s="177"/>
      <c r="P271" s="177"/>
      <c r="Q271" s="177"/>
      <c r="R271" s="177"/>
      <c r="S271" s="177"/>
      <c r="T271" s="177"/>
      <c r="U271" s="177"/>
      <c r="V271" s="2866"/>
      <c r="W271" s="2576"/>
      <c r="X271" s="908"/>
      <c r="Y271" s="908">
        <v>24000</v>
      </c>
      <c r="Z271" s="2576"/>
      <c r="AA271" s="2576"/>
      <c r="AB271" s="2576"/>
      <c r="AC271" s="2576"/>
      <c r="AD271" s="2576"/>
      <c r="AE271" s="2576"/>
      <c r="AF271" s="2576"/>
      <c r="AG271" s="2576"/>
      <c r="BB271" s="784"/>
      <c r="BC271" s="796"/>
      <c r="BD271" s="900"/>
      <c r="BE271" s="797"/>
    </row>
    <row r="272" spans="1:57" s="65" customFormat="1" ht="14.45" hidden="1" customHeight="1" outlineLevel="1" x14ac:dyDescent="0.25">
      <c r="A272" s="785"/>
      <c r="B272" s="177"/>
      <c r="C272" s="455"/>
      <c r="D272" s="2847"/>
      <c r="E272" s="2856"/>
      <c r="F272" s="2757" t="str">
        <f t="shared" si="48"/>
        <v>CAC - SEER 14 ER2: MF_CompE</v>
      </c>
      <c r="G272" s="2758"/>
      <c r="H272" s="2759"/>
      <c r="I272" s="1663"/>
      <c r="J272" s="1663">
        <v>24000</v>
      </c>
      <c r="K272" s="95">
        <f t="shared" si="49"/>
        <v>2</v>
      </c>
      <c r="L272" s="927"/>
      <c r="M272" s="2035"/>
      <c r="N272" s="2028"/>
      <c r="O272" s="177"/>
      <c r="P272" s="177"/>
      <c r="Q272" s="177"/>
      <c r="R272" s="177"/>
      <c r="S272" s="177"/>
      <c r="T272" s="177"/>
      <c r="U272" s="177"/>
      <c r="V272" s="2866"/>
      <c r="W272" s="2576"/>
      <c r="X272" s="908"/>
      <c r="Y272" s="908">
        <v>24000</v>
      </c>
      <c r="Z272" s="2576"/>
      <c r="AA272" s="2576"/>
      <c r="AB272" s="2576"/>
      <c r="AC272" s="2576"/>
      <c r="AD272" s="2576"/>
      <c r="AE272" s="2576"/>
      <c r="AF272" s="2576"/>
      <c r="AG272" s="2576"/>
      <c r="BB272" s="784"/>
      <c r="BC272" s="796"/>
      <c r="BD272" s="900"/>
      <c r="BE272" s="797"/>
    </row>
    <row r="273" spans="1:57" s="65" customFormat="1" ht="14.45" hidden="1" customHeight="1" outlineLevel="1" x14ac:dyDescent="0.25">
      <c r="A273" s="785"/>
      <c r="B273" s="177"/>
      <c r="C273" s="455"/>
      <c r="D273" s="2847"/>
      <c r="E273" s="2856"/>
      <c r="F273" s="2757" t="str">
        <f t="shared" si="48"/>
        <v>CAC - SEER 14 ROF: MF</v>
      </c>
      <c r="G273" s="2758"/>
      <c r="H273" s="2759"/>
      <c r="I273" s="1663"/>
      <c r="J273" s="1663">
        <v>24000</v>
      </c>
      <c r="K273" s="95">
        <f t="shared" si="49"/>
        <v>2</v>
      </c>
      <c r="L273" s="927" t="s">
        <v>1282</v>
      </c>
      <c r="M273" s="2035"/>
      <c r="N273" s="2028"/>
      <c r="O273" s="177"/>
      <c r="P273" s="177"/>
      <c r="Q273" s="177"/>
      <c r="R273" s="177"/>
      <c r="S273" s="177"/>
      <c r="T273" s="177"/>
      <c r="U273" s="177"/>
      <c r="V273" s="2866"/>
      <c r="W273" s="2576">
        <v>36000</v>
      </c>
      <c r="X273" s="908">
        <v>24000</v>
      </c>
      <c r="Y273" s="908">
        <v>24000</v>
      </c>
      <c r="Z273" s="2576"/>
      <c r="AA273" s="2576"/>
      <c r="AB273" s="2576"/>
      <c r="AC273" s="2576"/>
      <c r="AD273" s="2576"/>
      <c r="AE273" s="2576"/>
      <c r="AF273" s="2576"/>
      <c r="AG273" s="2576"/>
      <c r="BB273" s="784"/>
      <c r="BC273" s="796"/>
      <c r="BD273" s="900"/>
      <c r="BE273" s="797"/>
    </row>
    <row r="274" spans="1:57" s="65" customFormat="1" ht="14.45" hidden="1" customHeight="1" outlineLevel="1" x14ac:dyDescent="0.25">
      <c r="A274" s="785"/>
      <c r="B274" s="177"/>
      <c r="C274" s="455"/>
      <c r="D274" s="2847"/>
      <c r="E274" s="2856"/>
      <c r="F274" s="2757" t="str">
        <f t="shared" si="48"/>
        <v>CAC - SEER 14 ROF: MF_CompE</v>
      </c>
      <c r="G274" s="2758"/>
      <c r="H274" s="2759"/>
      <c r="I274" s="1663"/>
      <c r="J274" s="1663">
        <v>24000</v>
      </c>
      <c r="K274" s="95">
        <f t="shared" si="49"/>
        <v>2</v>
      </c>
      <c r="L274" s="927"/>
      <c r="M274" s="2035"/>
      <c r="N274" s="2028"/>
      <c r="O274" s="177"/>
      <c r="P274" s="177"/>
      <c r="Q274" s="177"/>
      <c r="R274" s="177"/>
      <c r="S274" s="177"/>
      <c r="T274" s="177"/>
      <c r="U274" s="177"/>
      <c r="V274" s="2866"/>
      <c r="W274" s="2576"/>
      <c r="X274" s="908"/>
      <c r="Y274" s="2576">
        <v>24000</v>
      </c>
      <c r="Z274" s="2576"/>
      <c r="AA274" s="2576"/>
      <c r="AB274" s="2576"/>
      <c r="AC274" s="2576"/>
      <c r="AD274" s="2576"/>
      <c r="AE274" s="2576"/>
      <c r="AF274" s="2576"/>
      <c r="AG274" s="2576"/>
      <c r="BB274" s="784"/>
      <c r="BC274" s="796"/>
      <c r="BD274" s="900"/>
      <c r="BE274" s="797"/>
    </row>
    <row r="275" spans="1:57" s="65" customFormat="1" ht="14.45" hidden="1" customHeight="1" outlineLevel="1" x14ac:dyDescent="0.25">
      <c r="A275" s="785"/>
      <c r="B275" s="177"/>
      <c r="C275" s="455"/>
      <c r="D275" s="2847"/>
      <c r="E275" s="2856"/>
      <c r="F275" s="2757" t="str">
        <f t="shared" si="48"/>
        <v>CAC - SEER 15 ER1: SF</v>
      </c>
      <c r="G275" s="2758"/>
      <c r="H275" s="2759"/>
      <c r="I275" s="1663"/>
      <c r="J275" s="1663">
        <f>3.27*12000</f>
        <v>39240</v>
      </c>
      <c r="K275" s="95">
        <f t="shared" si="49"/>
        <v>3.27</v>
      </c>
      <c r="L275" s="927" t="s">
        <v>1280</v>
      </c>
      <c r="M275" s="2035"/>
      <c r="N275" s="2028"/>
      <c r="O275" s="177"/>
      <c r="P275" s="177"/>
      <c r="Q275" s="177"/>
      <c r="R275" s="177"/>
      <c r="S275" s="177"/>
      <c r="T275" s="177"/>
      <c r="U275" s="177"/>
      <c r="V275" s="2866"/>
      <c r="W275" s="2576">
        <v>39600</v>
      </c>
      <c r="X275" s="908">
        <f t="shared" si="51"/>
        <v>36600</v>
      </c>
      <c r="Y275" s="908">
        <v>39240</v>
      </c>
      <c r="Z275" s="2576"/>
      <c r="AA275" s="2576"/>
      <c r="AB275" s="2576"/>
      <c r="AC275" s="2576"/>
      <c r="AD275" s="2576"/>
      <c r="AE275" s="2576"/>
      <c r="AF275" s="2576"/>
      <c r="AG275" s="2576"/>
      <c r="BB275" s="784"/>
      <c r="BC275" s="796"/>
      <c r="BD275" s="900"/>
      <c r="BE275" s="797"/>
    </row>
    <row r="276" spans="1:57" s="65" customFormat="1" ht="14.45" hidden="1" customHeight="1" outlineLevel="1" x14ac:dyDescent="0.25">
      <c r="A276" s="785"/>
      <c r="B276" s="177"/>
      <c r="C276" s="455"/>
      <c r="D276" s="2847"/>
      <c r="E276" s="2856"/>
      <c r="F276" s="2757" t="str">
        <f t="shared" si="48"/>
        <v>CAC - SEER 15 ER2: SF</v>
      </c>
      <c r="G276" s="2758"/>
      <c r="H276" s="2759"/>
      <c r="I276" s="1663"/>
      <c r="J276" s="1663">
        <f t="shared" ref="J276:J277" si="52">3.27*12000</f>
        <v>39240</v>
      </c>
      <c r="K276" s="95">
        <f t="shared" si="49"/>
        <v>3.27</v>
      </c>
      <c r="L276" s="927" t="s">
        <v>1280</v>
      </c>
      <c r="M276" s="2035"/>
      <c r="N276" s="2028"/>
      <c r="O276" s="177"/>
      <c r="P276" s="177"/>
      <c r="Q276" s="177"/>
      <c r="R276" s="177"/>
      <c r="S276" s="177"/>
      <c r="T276" s="177"/>
      <c r="U276" s="177"/>
      <c r="V276" s="2866"/>
      <c r="W276" s="2576">
        <v>39600</v>
      </c>
      <c r="X276" s="908">
        <f t="shared" si="51"/>
        <v>36600</v>
      </c>
      <c r="Y276" s="908">
        <v>39240</v>
      </c>
      <c r="Z276" s="2576"/>
      <c r="AA276" s="2576"/>
      <c r="AB276" s="2576"/>
      <c r="AC276" s="2576"/>
      <c r="AD276" s="2576"/>
      <c r="AE276" s="2576"/>
      <c r="AF276" s="2576"/>
      <c r="AG276" s="2576"/>
      <c r="BB276" s="784"/>
      <c r="BC276" s="796"/>
      <c r="BD276" s="900"/>
      <c r="BE276" s="797"/>
    </row>
    <row r="277" spans="1:57" s="65" customFormat="1" ht="14.45" hidden="1" customHeight="1" outlineLevel="1" x14ac:dyDescent="0.25">
      <c r="A277" s="785"/>
      <c r="B277" s="177"/>
      <c r="C277" s="455"/>
      <c r="D277" s="2847"/>
      <c r="E277" s="2856"/>
      <c r="F277" s="2757" t="str">
        <f t="shared" si="48"/>
        <v>CAC - SEER 15 ROF: SF</v>
      </c>
      <c r="G277" s="2758"/>
      <c r="H277" s="2759"/>
      <c r="I277" s="1663"/>
      <c r="J277" s="1663">
        <f t="shared" si="52"/>
        <v>39240</v>
      </c>
      <c r="K277" s="95">
        <f t="shared" si="49"/>
        <v>3.27</v>
      </c>
      <c r="L277" s="927" t="s">
        <v>1280</v>
      </c>
      <c r="M277" s="2035"/>
      <c r="N277" s="2028"/>
      <c r="O277" s="177"/>
      <c r="P277" s="177"/>
      <c r="Q277" s="177"/>
      <c r="R277" s="177"/>
      <c r="S277" s="177"/>
      <c r="T277" s="177"/>
      <c r="U277" s="177"/>
      <c r="V277" s="2866"/>
      <c r="W277" s="2576">
        <v>36000</v>
      </c>
      <c r="X277" s="908">
        <f t="shared" si="51"/>
        <v>36600</v>
      </c>
      <c r="Y277" s="908">
        <v>39240</v>
      </c>
      <c r="Z277" s="2576"/>
      <c r="AA277" s="2576"/>
      <c r="AB277" s="2576"/>
      <c r="AC277" s="2576"/>
      <c r="AD277" s="2576"/>
      <c r="AE277" s="2576"/>
      <c r="AF277" s="2576"/>
      <c r="AG277" s="2576"/>
      <c r="BB277" s="784"/>
      <c r="BC277" s="796"/>
      <c r="BD277" s="900"/>
      <c r="BE277" s="797"/>
    </row>
    <row r="278" spans="1:57" s="65" customFormat="1" ht="14.45" hidden="1" customHeight="1" outlineLevel="1" x14ac:dyDescent="0.25">
      <c r="A278" s="785"/>
      <c r="B278" s="177"/>
      <c r="C278" s="455"/>
      <c r="D278" s="2847"/>
      <c r="E278" s="2856"/>
      <c r="F278" s="2757" t="str">
        <f t="shared" si="48"/>
        <v>CAC - SEER 15 ER1: MF</v>
      </c>
      <c r="G278" s="2758"/>
      <c r="H278" s="2759"/>
      <c r="I278" s="1663"/>
      <c r="J278" s="1663">
        <v>24000</v>
      </c>
      <c r="K278" s="95">
        <f t="shared" si="49"/>
        <v>2</v>
      </c>
      <c r="L278" s="927" t="s">
        <v>1283</v>
      </c>
      <c r="M278" s="2035"/>
      <c r="N278" s="2028"/>
      <c r="O278" s="177"/>
      <c r="P278" s="177"/>
      <c r="Q278" s="177"/>
      <c r="R278" s="177"/>
      <c r="S278" s="177"/>
      <c r="T278" s="177"/>
      <c r="U278" s="177"/>
      <c r="V278" s="2866"/>
      <c r="W278" s="2576">
        <v>39600</v>
      </c>
      <c r="X278" s="908">
        <f>AVERAGE($X$269,$X$287)</f>
        <v>24230.5</v>
      </c>
      <c r="Y278" s="2576">
        <v>24000</v>
      </c>
      <c r="Z278" s="2576"/>
      <c r="AA278" s="2576"/>
      <c r="AB278" s="2576"/>
      <c r="AC278" s="2576"/>
      <c r="AD278" s="2576"/>
      <c r="AE278" s="2576"/>
      <c r="AF278" s="2576"/>
      <c r="AG278" s="2576"/>
      <c r="BB278" s="784"/>
      <c r="BC278" s="796"/>
      <c r="BD278" s="900"/>
      <c r="BE278" s="797"/>
    </row>
    <row r="279" spans="1:57" s="65" customFormat="1" ht="14.45" hidden="1" customHeight="1" outlineLevel="1" x14ac:dyDescent="0.25">
      <c r="A279" s="785"/>
      <c r="B279" s="177"/>
      <c r="C279" s="455"/>
      <c r="D279" s="2847"/>
      <c r="E279" s="2856"/>
      <c r="F279" s="2757" t="str">
        <f t="shared" si="48"/>
        <v>CAC - SEER 15 ER2: MF</v>
      </c>
      <c r="G279" s="2758"/>
      <c r="H279" s="2759"/>
      <c r="I279" s="1663"/>
      <c r="J279" s="1663">
        <v>24000</v>
      </c>
      <c r="K279" s="95">
        <f t="shared" si="49"/>
        <v>2</v>
      </c>
      <c r="L279" s="927" t="s">
        <v>1283</v>
      </c>
      <c r="M279" s="2035"/>
      <c r="N279" s="2028"/>
      <c r="O279" s="177"/>
      <c r="P279" s="177"/>
      <c r="Q279" s="177"/>
      <c r="R279" s="177"/>
      <c r="S279" s="177"/>
      <c r="T279" s="177"/>
      <c r="U279" s="177"/>
      <c r="V279" s="2866"/>
      <c r="W279" s="2576">
        <v>39600</v>
      </c>
      <c r="X279" s="908">
        <f>AVERAGE($X$269,$X$287)</f>
        <v>24230.5</v>
      </c>
      <c r="Y279" s="2576">
        <v>24000</v>
      </c>
      <c r="Z279" s="2576"/>
      <c r="AA279" s="2576"/>
      <c r="AB279" s="2576"/>
      <c r="AC279" s="2576"/>
      <c r="AD279" s="2576"/>
      <c r="AE279" s="2576"/>
      <c r="AF279" s="2576"/>
      <c r="AG279" s="2576"/>
      <c r="BB279" s="784"/>
      <c r="BC279" s="796"/>
      <c r="BD279" s="900"/>
      <c r="BE279" s="797"/>
    </row>
    <row r="280" spans="1:57" s="65" customFormat="1" ht="14.45" hidden="1" customHeight="1" outlineLevel="1" x14ac:dyDescent="0.25">
      <c r="A280" s="785"/>
      <c r="B280" s="177"/>
      <c r="C280" s="455"/>
      <c r="D280" s="2847"/>
      <c r="E280" s="2856"/>
      <c r="F280" s="2757" t="str">
        <f t="shared" si="48"/>
        <v>CAC - SEER 15 ER1: MF_CompE</v>
      </c>
      <c r="G280" s="2758"/>
      <c r="H280" s="2759"/>
      <c r="I280" s="1663"/>
      <c r="J280" s="1663">
        <v>24000</v>
      </c>
      <c r="K280" s="95">
        <f t="shared" si="49"/>
        <v>2</v>
      </c>
      <c r="L280" s="927" t="s">
        <v>1284</v>
      </c>
      <c r="M280" s="2035"/>
      <c r="N280" s="2028"/>
      <c r="O280" s="177"/>
      <c r="P280" s="177"/>
      <c r="Q280" s="177"/>
      <c r="R280" s="177"/>
      <c r="S280" s="177"/>
      <c r="T280" s="177"/>
      <c r="U280" s="177"/>
      <c r="V280" s="2866"/>
      <c r="W280" s="2576"/>
      <c r="X280" s="908"/>
      <c r="Y280" s="908">
        <v>24000</v>
      </c>
      <c r="Z280" s="2576"/>
      <c r="AA280" s="2576"/>
      <c r="AB280" s="2576"/>
      <c r="AC280" s="2576"/>
      <c r="AD280" s="2576"/>
      <c r="AE280" s="2576"/>
      <c r="AF280" s="2576"/>
      <c r="AG280" s="2576"/>
      <c r="BB280" s="784"/>
      <c r="BC280" s="796"/>
      <c r="BD280" s="900"/>
      <c r="BE280" s="797"/>
    </row>
    <row r="281" spans="1:57" s="65" customFormat="1" ht="14.45" hidden="1" customHeight="1" outlineLevel="1" x14ac:dyDescent="0.25">
      <c r="A281" s="785"/>
      <c r="B281" s="177"/>
      <c r="C281" s="455"/>
      <c r="D281" s="2847"/>
      <c r="E281" s="2856"/>
      <c r="F281" s="2757" t="str">
        <f t="shared" si="48"/>
        <v>CAC - SEER 15 ER2: MF_CompE</v>
      </c>
      <c r="G281" s="2758"/>
      <c r="H281" s="2759"/>
      <c r="I281" s="1663"/>
      <c r="J281" s="1663">
        <v>24000</v>
      </c>
      <c r="K281" s="95">
        <f t="shared" si="49"/>
        <v>2</v>
      </c>
      <c r="L281" s="927" t="s">
        <v>1285</v>
      </c>
      <c r="M281" s="2035"/>
      <c r="N281" s="2028"/>
      <c r="O281" s="177"/>
      <c r="P281" s="177"/>
      <c r="Q281" s="177"/>
      <c r="R281" s="177"/>
      <c r="S281" s="177"/>
      <c r="T281" s="177"/>
      <c r="U281" s="177"/>
      <c r="V281" s="2866"/>
      <c r="W281" s="2576"/>
      <c r="X281" s="908"/>
      <c r="Y281" s="908">
        <v>24000</v>
      </c>
      <c r="Z281" s="2576"/>
      <c r="AA281" s="2576"/>
      <c r="AB281" s="2576"/>
      <c r="AC281" s="2576"/>
      <c r="AD281" s="2576"/>
      <c r="AE281" s="2576"/>
      <c r="AF281" s="2576"/>
      <c r="AG281" s="2576"/>
      <c r="BB281" s="784"/>
      <c r="BC281" s="796"/>
      <c r="BD281" s="900"/>
      <c r="BE281" s="797"/>
    </row>
    <row r="282" spans="1:57" s="65" customFormat="1" ht="14.45" hidden="1" customHeight="1" outlineLevel="1" x14ac:dyDescent="0.25">
      <c r="A282" s="785"/>
      <c r="B282" s="177"/>
      <c r="C282" s="455"/>
      <c r="D282" s="2847"/>
      <c r="E282" s="2856"/>
      <c r="F282" s="2757" t="str">
        <f t="shared" si="48"/>
        <v>CAC - SEER 15 ROF: MF</v>
      </c>
      <c r="G282" s="2758"/>
      <c r="H282" s="2759"/>
      <c r="I282" s="1663"/>
      <c r="J282" s="1663">
        <v>24000</v>
      </c>
      <c r="K282" s="95">
        <f t="shared" si="49"/>
        <v>2</v>
      </c>
      <c r="L282" s="927" t="s">
        <v>1283</v>
      </c>
      <c r="M282" s="2035"/>
      <c r="N282" s="2028"/>
      <c r="O282" s="177"/>
      <c r="P282" s="177"/>
      <c r="Q282" s="177"/>
      <c r="R282" s="177"/>
      <c r="S282" s="177"/>
      <c r="T282" s="177"/>
      <c r="U282" s="177"/>
      <c r="V282" s="2866"/>
      <c r="W282" s="2576">
        <v>36000</v>
      </c>
      <c r="X282" s="908">
        <f>AVERAGE($X$269,$X$287)</f>
        <v>24230.5</v>
      </c>
      <c r="Y282" s="908">
        <v>24000</v>
      </c>
      <c r="Z282" s="2576"/>
      <c r="AA282" s="2576"/>
      <c r="AB282" s="2576"/>
      <c r="AC282" s="2576"/>
      <c r="AD282" s="2576"/>
      <c r="AE282" s="2576"/>
      <c r="AF282" s="2576"/>
      <c r="AG282" s="2576"/>
      <c r="BB282" s="784"/>
      <c r="BC282" s="796"/>
      <c r="BD282" s="900"/>
      <c r="BE282" s="797"/>
    </row>
    <row r="283" spans="1:57" s="65" customFormat="1" ht="14.45" hidden="1" customHeight="1" outlineLevel="1" x14ac:dyDescent="0.25">
      <c r="A283" s="785"/>
      <c r="B283" s="177"/>
      <c r="C283" s="455"/>
      <c r="D283" s="2847"/>
      <c r="E283" s="2856"/>
      <c r="F283" s="2757" t="str">
        <f t="shared" si="48"/>
        <v>CAC - SEER 15 ROF: MF_CompE</v>
      </c>
      <c r="G283" s="2758"/>
      <c r="H283" s="2759"/>
      <c r="I283" s="1663"/>
      <c r="J283" s="1663">
        <v>24000</v>
      </c>
      <c r="K283" s="95">
        <f t="shared" si="49"/>
        <v>2</v>
      </c>
      <c r="L283" s="927"/>
      <c r="M283" s="2035"/>
      <c r="N283" s="2028"/>
      <c r="O283" s="177"/>
      <c r="P283" s="177"/>
      <c r="Q283" s="177"/>
      <c r="R283" s="177"/>
      <c r="S283" s="177"/>
      <c r="T283" s="177"/>
      <c r="U283" s="177"/>
      <c r="V283" s="2866"/>
      <c r="W283" s="2576"/>
      <c r="X283" s="908"/>
      <c r="Y283" s="908">
        <v>24000</v>
      </c>
      <c r="Z283" s="2576"/>
      <c r="AA283" s="2576"/>
      <c r="AB283" s="2576"/>
      <c r="AC283" s="2576"/>
      <c r="AD283" s="2576"/>
      <c r="AE283" s="2576"/>
      <c r="AF283" s="2576"/>
      <c r="AG283" s="2576"/>
      <c r="BB283" s="784"/>
      <c r="BC283" s="796"/>
      <c r="BD283" s="900"/>
      <c r="BE283" s="797"/>
    </row>
    <row r="284" spans="1:57" s="65" customFormat="1" ht="14.45" hidden="1" customHeight="1" outlineLevel="1" x14ac:dyDescent="0.25">
      <c r="A284" s="785"/>
      <c r="B284" s="177"/>
      <c r="C284" s="455"/>
      <c r="D284" s="2847"/>
      <c r="E284" s="2856"/>
      <c r="F284" s="2757" t="str">
        <f t="shared" si="48"/>
        <v>CAC - SEER 16 ER1: SF</v>
      </c>
      <c r="G284" s="2758"/>
      <c r="H284" s="2759"/>
      <c r="I284" s="1663"/>
      <c r="J284" s="1663">
        <f>3.06*12000</f>
        <v>36720</v>
      </c>
      <c r="K284" s="95">
        <f t="shared" si="49"/>
        <v>3.06</v>
      </c>
      <c r="L284" s="927" t="s">
        <v>1280</v>
      </c>
      <c r="M284" s="2035"/>
      <c r="N284" s="2028"/>
      <c r="O284" s="177"/>
      <c r="P284" s="177"/>
      <c r="Q284" s="177"/>
      <c r="R284" s="177"/>
      <c r="S284" s="177"/>
      <c r="T284" s="177"/>
      <c r="U284" s="177"/>
      <c r="V284" s="2866"/>
      <c r="W284" s="2576">
        <v>37200</v>
      </c>
      <c r="X284" s="908">
        <f t="shared" si="51"/>
        <v>36600</v>
      </c>
      <c r="Y284" s="908">
        <v>36720</v>
      </c>
      <c r="Z284" s="2576"/>
      <c r="AA284" s="2576"/>
      <c r="AB284" s="2576"/>
      <c r="AC284" s="2576"/>
      <c r="AD284" s="2576"/>
      <c r="AE284" s="2576"/>
      <c r="AF284" s="2576"/>
      <c r="AG284" s="2576"/>
      <c r="BB284" s="784"/>
      <c r="BC284" s="796"/>
      <c r="BD284" s="900"/>
      <c r="BE284" s="797"/>
    </row>
    <row r="285" spans="1:57" s="65" customFormat="1" ht="14.45" hidden="1" customHeight="1" outlineLevel="1" x14ac:dyDescent="0.25">
      <c r="A285" s="785"/>
      <c r="B285" s="177"/>
      <c r="C285" s="455"/>
      <c r="D285" s="2847"/>
      <c r="E285" s="2856"/>
      <c r="F285" s="2757" t="str">
        <f t="shared" si="48"/>
        <v>CAC - SEER 16 ER2: SF</v>
      </c>
      <c r="G285" s="2758"/>
      <c r="H285" s="2759"/>
      <c r="I285" s="1663"/>
      <c r="J285" s="1663">
        <f t="shared" ref="J285" si="53">3.06*12000</f>
        <v>36720</v>
      </c>
      <c r="K285" s="95">
        <f t="shared" si="49"/>
        <v>3.06</v>
      </c>
      <c r="L285" s="927" t="s">
        <v>1280</v>
      </c>
      <c r="M285" s="2035"/>
      <c r="N285" s="2028"/>
      <c r="O285" s="177"/>
      <c r="P285" s="177"/>
      <c r="Q285" s="177"/>
      <c r="R285" s="177"/>
      <c r="S285" s="177"/>
      <c r="T285" s="177"/>
      <c r="U285" s="177"/>
      <c r="V285" s="2866"/>
      <c r="W285" s="2576">
        <v>37200</v>
      </c>
      <c r="X285" s="908">
        <f t="shared" si="51"/>
        <v>36600</v>
      </c>
      <c r="Y285" s="908">
        <v>36720</v>
      </c>
      <c r="Z285" s="2576"/>
      <c r="AA285" s="2576"/>
      <c r="AB285" s="2576"/>
      <c r="AC285" s="2576"/>
      <c r="AD285" s="2576"/>
      <c r="AE285" s="2576"/>
      <c r="AF285" s="2576"/>
      <c r="AG285" s="2576"/>
      <c r="BB285" s="784"/>
      <c r="BC285" s="796"/>
      <c r="BD285" s="900"/>
      <c r="BE285" s="797"/>
    </row>
    <row r="286" spans="1:57" s="65" customFormat="1" ht="14.45" hidden="1" customHeight="1" outlineLevel="1" x14ac:dyDescent="0.25">
      <c r="A286" s="785"/>
      <c r="B286" s="177"/>
      <c r="C286" s="455"/>
      <c r="D286" s="2847"/>
      <c r="E286" s="2856"/>
      <c r="F286" s="2757" t="str">
        <f t="shared" si="48"/>
        <v>CAC - SEER 16 ROF: SF</v>
      </c>
      <c r="G286" s="2758"/>
      <c r="H286" s="2759"/>
      <c r="I286" s="1663"/>
      <c r="J286" s="1663">
        <f>2.99*12000</f>
        <v>35880</v>
      </c>
      <c r="K286" s="95">
        <f t="shared" si="49"/>
        <v>2.99</v>
      </c>
      <c r="L286" s="927" t="s">
        <v>1280</v>
      </c>
      <c r="M286" s="2035"/>
      <c r="N286" s="2028"/>
      <c r="O286" s="177"/>
      <c r="P286" s="177"/>
      <c r="Q286" s="177"/>
      <c r="R286" s="177"/>
      <c r="S286" s="177"/>
      <c r="T286" s="177"/>
      <c r="U286" s="177"/>
      <c r="V286" s="2866"/>
      <c r="W286" s="2576">
        <v>34800</v>
      </c>
      <c r="X286" s="908">
        <f t="shared" si="51"/>
        <v>36600</v>
      </c>
      <c r="Y286" s="908">
        <v>35880</v>
      </c>
      <c r="Z286" s="2576"/>
      <c r="AA286" s="2576"/>
      <c r="AB286" s="2576"/>
      <c r="AC286" s="2576"/>
      <c r="AD286" s="2576"/>
      <c r="AE286" s="2576"/>
      <c r="AF286" s="2576"/>
      <c r="AG286" s="2576"/>
      <c r="BB286" s="784"/>
      <c r="BC286" s="796"/>
      <c r="BD286" s="900"/>
      <c r="BE286" s="797"/>
    </row>
    <row r="287" spans="1:57" s="65" customFormat="1" ht="14.45" hidden="1" customHeight="1" outlineLevel="1" x14ac:dyDescent="0.25">
      <c r="A287" s="785"/>
      <c r="B287" s="177"/>
      <c r="C287" s="455"/>
      <c r="D287" s="2847"/>
      <c r="E287" s="2856"/>
      <c r="F287" s="2757" t="str">
        <f t="shared" si="48"/>
        <v>CAC - SEER 16 ER1: MF</v>
      </c>
      <c r="G287" s="2758"/>
      <c r="H287" s="2759"/>
      <c r="I287" s="1663"/>
      <c r="J287" s="1663">
        <v>24000</v>
      </c>
      <c r="K287" s="95">
        <f t="shared" si="49"/>
        <v>2</v>
      </c>
      <c r="L287" s="927" t="s">
        <v>1283</v>
      </c>
      <c r="M287" s="2035"/>
      <c r="N287" s="2028"/>
      <c r="O287" s="177"/>
      <c r="P287" s="177"/>
      <c r="Q287" s="177"/>
      <c r="R287" s="177"/>
      <c r="S287" s="177"/>
      <c r="T287" s="177"/>
      <c r="U287" s="177"/>
      <c r="V287" s="2866"/>
      <c r="W287" s="2576">
        <v>37200</v>
      </c>
      <c r="X287" s="908">
        <v>24461</v>
      </c>
      <c r="Y287" s="908">
        <v>24000</v>
      </c>
      <c r="Z287" s="2576"/>
      <c r="AA287" s="2576"/>
      <c r="AB287" s="2576"/>
      <c r="AC287" s="2576"/>
      <c r="AD287" s="2576"/>
      <c r="AE287" s="2576"/>
      <c r="AF287" s="2576"/>
      <c r="AG287" s="2576"/>
      <c r="BB287" s="784"/>
      <c r="BC287" s="796"/>
      <c r="BD287" s="900"/>
      <c r="BE287" s="797"/>
    </row>
    <row r="288" spans="1:57" s="65" customFormat="1" ht="14.45" hidden="1" customHeight="1" outlineLevel="1" x14ac:dyDescent="0.25">
      <c r="A288" s="785"/>
      <c r="B288" s="177"/>
      <c r="C288" s="455"/>
      <c r="D288" s="2847"/>
      <c r="E288" s="2856"/>
      <c r="F288" s="2757" t="str">
        <f t="shared" si="48"/>
        <v>CAC - SEER 16 ER2: MF</v>
      </c>
      <c r="G288" s="2758"/>
      <c r="H288" s="2759"/>
      <c r="I288" s="1663"/>
      <c r="J288" s="1663">
        <v>24000</v>
      </c>
      <c r="K288" s="95">
        <f t="shared" si="49"/>
        <v>2</v>
      </c>
      <c r="L288" s="927" t="s">
        <v>1283</v>
      </c>
      <c r="M288" s="2035"/>
      <c r="N288" s="2028"/>
      <c r="O288" s="177"/>
      <c r="P288" s="177"/>
      <c r="Q288" s="177"/>
      <c r="R288" s="177"/>
      <c r="S288" s="177"/>
      <c r="T288" s="177"/>
      <c r="U288" s="177"/>
      <c r="V288" s="2866"/>
      <c r="W288" s="2576">
        <v>37200</v>
      </c>
      <c r="X288" s="908">
        <v>24461</v>
      </c>
      <c r="Y288" s="908">
        <v>24000</v>
      </c>
      <c r="Z288" s="2576"/>
      <c r="AA288" s="2576"/>
      <c r="AB288" s="2576"/>
      <c r="AC288" s="2576"/>
      <c r="AD288" s="2576"/>
      <c r="AE288" s="2576"/>
      <c r="AF288" s="2576"/>
      <c r="AG288" s="2576"/>
      <c r="BB288" s="784"/>
      <c r="BC288" s="796"/>
      <c r="BD288" s="900"/>
      <c r="BE288" s="797"/>
    </row>
    <row r="289" spans="1:57" s="65" customFormat="1" ht="14.45" hidden="1" customHeight="1" outlineLevel="1" x14ac:dyDescent="0.25">
      <c r="A289" s="785"/>
      <c r="B289" s="177"/>
      <c r="C289" s="455"/>
      <c r="D289" s="2847"/>
      <c r="E289" s="2856"/>
      <c r="F289" s="2757" t="str">
        <f t="shared" si="48"/>
        <v>CAC - SEER 16 ER1: MF_CompE</v>
      </c>
      <c r="G289" s="2758"/>
      <c r="H289" s="2759"/>
      <c r="I289" s="1663"/>
      <c r="J289" s="1663">
        <v>24000</v>
      </c>
      <c r="K289" s="95">
        <f t="shared" si="49"/>
        <v>2</v>
      </c>
      <c r="L289" s="927"/>
      <c r="M289" s="2035"/>
      <c r="N289" s="2028"/>
      <c r="O289" s="177"/>
      <c r="P289" s="177"/>
      <c r="Q289" s="177"/>
      <c r="R289" s="177"/>
      <c r="S289" s="177"/>
      <c r="T289" s="177"/>
      <c r="U289" s="177"/>
      <c r="V289" s="2866"/>
      <c r="W289" s="2576"/>
      <c r="X289" s="908"/>
      <c r="Y289" s="908">
        <v>24000</v>
      </c>
      <c r="Z289" s="2576"/>
      <c r="AA289" s="2576"/>
      <c r="AB289" s="2576"/>
      <c r="AC289" s="2576"/>
      <c r="AD289" s="2576"/>
      <c r="AE289" s="2576"/>
      <c r="AF289" s="2576"/>
      <c r="AG289" s="2576"/>
      <c r="BB289" s="784"/>
      <c r="BC289" s="796"/>
      <c r="BD289" s="900"/>
      <c r="BE289" s="797"/>
    </row>
    <row r="290" spans="1:57" s="65" customFormat="1" ht="14.45" hidden="1" customHeight="1" outlineLevel="1" x14ac:dyDescent="0.25">
      <c r="A290" s="785"/>
      <c r="B290" s="177"/>
      <c r="C290" s="455"/>
      <c r="D290" s="2847"/>
      <c r="E290" s="2856"/>
      <c r="F290" s="2757" t="str">
        <f t="shared" si="48"/>
        <v>CAC - SEER 16 ER2: MF_CompE</v>
      </c>
      <c r="G290" s="2758"/>
      <c r="H290" s="2759"/>
      <c r="I290" s="1663"/>
      <c r="J290" s="1663">
        <v>24000</v>
      </c>
      <c r="K290" s="95">
        <f t="shared" si="49"/>
        <v>2</v>
      </c>
      <c r="L290" s="927"/>
      <c r="M290" s="2035"/>
      <c r="N290" s="2028"/>
      <c r="O290" s="177"/>
      <c r="P290" s="177"/>
      <c r="Q290" s="177"/>
      <c r="R290" s="177"/>
      <c r="S290" s="177"/>
      <c r="T290" s="177"/>
      <c r="U290" s="177"/>
      <c r="V290" s="2866"/>
      <c r="W290" s="2576"/>
      <c r="X290" s="908"/>
      <c r="Y290" s="908">
        <v>24000</v>
      </c>
      <c r="Z290" s="2576"/>
      <c r="AA290" s="2576"/>
      <c r="AB290" s="2576"/>
      <c r="AC290" s="2576"/>
      <c r="AD290" s="2576"/>
      <c r="AE290" s="2576"/>
      <c r="AF290" s="2576"/>
      <c r="AG290" s="2576"/>
      <c r="BB290" s="784"/>
      <c r="BC290" s="796"/>
      <c r="BD290" s="900"/>
      <c r="BE290" s="797"/>
    </row>
    <row r="291" spans="1:57" s="65" customFormat="1" ht="14.45" hidden="1" customHeight="1" outlineLevel="1" x14ac:dyDescent="0.25">
      <c r="A291" s="785"/>
      <c r="B291" s="177"/>
      <c r="C291" s="455"/>
      <c r="D291" s="2847"/>
      <c r="E291" s="2856"/>
      <c r="F291" s="2757" t="str">
        <f t="shared" si="48"/>
        <v>CAC - SEER 16 ROF: MF</v>
      </c>
      <c r="G291" s="2758"/>
      <c r="H291" s="2759"/>
      <c r="I291" s="1663"/>
      <c r="J291" s="1663">
        <v>24000</v>
      </c>
      <c r="K291" s="95">
        <f t="shared" si="49"/>
        <v>2</v>
      </c>
      <c r="L291" s="927" t="s">
        <v>1283</v>
      </c>
      <c r="M291" s="2035"/>
      <c r="N291" s="2028"/>
      <c r="O291" s="177"/>
      <c r="P291" s="177"/>
      <c r="Q291" s="177"/>
      <c r="R291" s="177"/>
      <c r="S291" s="177"/>
      <c r="T291" s="177"/>
      <c r="U291" s="177"/>
      <c r="V291" s="2866"/>
      <c r="W291" s="2576">
        <v>34800</v>
      </c>
      <c r="X291" s="908">
        <v>24461</v>
      </c>
      <c r="Y291" s="908">
        <v>24000</v>
      </c>
      <c r="Z291" s="2576"/>
      <c r="AA291" s="2576"/>
      <c r="AB291" s="2576"/>
      <c r="AC291" s="2576"/>
      <c r="AD291" s="2576"/>
      <c r="AE291" s="2576"/>
      <c r="AF291" s="2576"/>
      <c r="AG291" s="2576"/>
      <c r="BB291" s="784"/>
      <c r="BC291" s="796"/>
      <c r="BD291" s="900"/>
      <c r="BE291" s="797"/>
    </row>
    <row r="292" spans="1:57" s="65" customFormat="1" ht="14.45" hidden="1" customHeight="1" outlineLevel="1" x14ac:dyDescent="0.25">
      <c r="A292" s="785"/>
      <c r="B292" s="177"/>
      <c r="C292" s="455"/>
      <c r="D292" s="2847"/>
      <c r="E292" s="2856"/>
      <c r="F292" s="2757" t="str">
        <f t="shared" si="48"/>
        <v>CAC - SEER 16 ROF: MF_CompE</v>
      </c>
      <c r="G292" s="2758"/>
      <c r="H292" s="2759"/>
      <c r="I292" s="1663"/>
      <c r="J292" s="1663">
        <v>24000</v>
      </c>
      <c r="K292" s="95">
        <f t="shared" si="49"/>
        <v>2</v>
      </c>
      <c r="L292" s="927"/>
      <c r="M292" s="2035"/>
      <c r="N292" s="2028"/>
      <c r="O292" s="177"/>
      <c r="P292" s="177"/>
      <c r="Q292" s="177"/>
      <c r="R292" s="177"/>
      <c r="S292" s="177"/>
      <c r="T292" s="177"/>
      <c r="U292" s="177"/>
      <c r="V292" s="2866"/>
      <c r="W292" s="2576"/>
      <c r="X292" s="908"/>
      <c r="Y292" s="908">
        <v>24000</v>
      </c>
      <c r="Z292" s="2576"/>
      <c r="AA292" s="2576"/>
      <c r="AB292" s="2576"/>
      <c r="AC292" s="2576"/>
      <c r="AD292" s="2576"/>
      <c r="AE292" s="2576"/>
      <c r="AF292" s="2576"/>
      <c r="AG292" s="2576"/>
      <c r="BB292" s="784"/>
      <c r="BC292" s="796"/>
      <c r="BD292" s="900"/>
      <c r="BE292" s="797"/>
    </row>
    <row r="293" spans="1:57" s="65" customFormat="1" ht="14.45" hidden="1" customHeight="1" outlineLevel="1" x14ac:dyDescent="0.25">
      <c r="A293" s="785"/>
      <c r="B293" s="177"/>
      <c r="C293" s="455"/>
      <c r="D293" s="2847"/>
      <c r="E293" s="2856"/>
      <c r="F293" s="2757" t="str">
        <f t="shared" si="48"/>
        <v>CAC - SEER 17 ER1: SF</v>
      </c>
      <c r="G293" s="2758"/>
      <c r="H293" s="2759"/>
      <c r="I293" s="1663"/>
      <c r="J293" s="1663">
        <f>J284</f>
        <v>36720</v>
      </c>
      <c r="K293" s="95">
        <f t="shared" si="49"/>
        <v>3.06</v>
      </c>
      <c r="L293" s="928" t="s">
        <v>1286</v>
      </c>
      <c r="M293" s="2035"/>
      <c r="N293" s="2028"/>
      <c r="O293" s="177"/>
      <c r="P293" s="177"/>
      <c r="Q293" s="177"/>
      <c r="R293" s="177"/>
      <c r="S293" s="177"/>
      <c r="T293" s="177"/>
      <c r="U293" s="177"/>
      <c r="V293" s="2866"/>
      <c r="W293" s="2576">
        <v>37200</v>
      </c>
      <c r="X293" s="929">
        <f>W293</f>
        <v>37200</v>
      </c>
      <c r="Y293" s="908">
        <v>36720</v>
      </c>
      <c r="Z293" s="2576"/>
      <c r="AA293" s="2576"/>
      <c r="AB293" s="2576"/>
      <c r="AC293" s="2576"/>
      <c r="AD293" s="2576"/>
      <c r="AE293" s="2576"/>
      <c r="AF293" s="2576"/>
      <c r="AG293" s="2576"/>
      <c r="BB293" s="784"/>
      <c r="BC293" s="796"/>
      <c r="BD293" s="900"/>
      <c r="BE293" s="797"/>
    </row>
    <row r="294" spans="1:57" s="65" customFormat="1" ht="14.45" hidden="1" customHeight="1" outlineLevel="1" x14ac:dyDescent="0.25">
      <c r="A294" s="785"/>
      <c r="B294" s="177"/>
      <c r="C294" s="455"/>
      <c r="D294" s="2847"/>
      <c r="E294" s="2856"/>
      <c r="F294" s="2757" t="str">
        <f t="shared" si="48"/>
        <v>CAC - SEER 17 ER2: SF</v>
      </c>
      <c r="G294" s="2758"/>
      <c r="H294" s="2759"/>
      <c r="I294" s="1663"/>
      <c r="J294" s="1663">
        <f>J285</f>
        <v>36720</v>
      </c>
      <c r="K294" s="95">
        <f t="shared" si="49"/>
        <v>3.06</v>
      </c>
      <c r="L294" s="928" t="s">
        <v>1286</v>
      </c>
      <c r="M294" s="2035"/>
      <c r="N294" s="2028"/>
      <c r="O294" s="177"/>
      <c r="P294" s="177"/>
      <c r="Q294" s="177"/>
      <c r="R294" s="177"/>
      <c r="S294" s="177"/>
      <c r="T294" s="177"/>
      <c r="U294" s="177"/>
      <c r="V294" s="2866"/>
      <c r="W294" s="2576">
        <v>37200</v>
      </c>
      <c r="X294" s="929">
        <f t="shared" ref="X294:X300" si="54">W294</f>
        <v>37200</v>
      </c>
      <c r="Y294" s="908">
        <v>36720</v>
      </c>
      <c r="Z294" s="2576"/>
      <c r="AA294" s="2576"/>
      <c r="AB294" s="2576"/>
      <c r="AC294" s="2576"/>
      <c r="AD294" s="2576"/>
      <c r="AE294" s="2576"/>
      <c r="AF294" s="2576"/>
      <c r="AG294" s="2576"/>
      <c r="BB294" s="784"/>
      <c r="BC294" s="796"/>
      <c r="BD294" s="900"/>
      <c r="BE294" s="797"/>
    </row>
    <row r="295" spans="1:57" s="65" customFormat="1" ht="14.45" hidden="1" customHeight="1" outlineLevel="1" x14ac:dyDescent="0.25">
      <c r="A295" s="785"/>
      <c r="B295" s="177"/>
      <c r="C295" s="455"/>
      <c r="D295" s="2847"/>
      <c r="E295" s="2856"/>
      <c r="F295" s="2757" t="str">
        <f t="shared" si="48"/>
        <v>CAC - SEER 17 ROF: SF</v>
      </c>
      <c r="G295" s="2758"/>
      <c r="H295" s="2759"/>
      <c r="I295" s="1663"/>
      <c r="J295" s="1663">
        <f>J286</f>
        <v>35880</v>
      </c>
      <c r="K295" s="95">
        <f t="shared" si="49"/>
        <v>2.99</v>
      </c>
      <c r="L295" s="928" t="s">
        <v>1286</v>
      </c>
      <c r="M295" s="2035"/>
      <c r="N295" s="2028"/>
      <c r="O295" s="177"/>
      <c r="P295" s="177"/>
      <c r="Q295" s="177"/>
      <c r="R295" s="177"/>
      <c r="S295" s="177"/>
      <c r="T295" s="177"/>
      <c r="U295" s="177"/>
      <c r="V295" s="2866"/>
      <c r="W295" s="2576">
        <v>34800</v>
      </c>
      <c r="X295" s="929">
        <f t="shared" si="54"/>
        <v>34800</v>
      </c>
      <c r="Y295" s="908">
        <v>35880</v>
      </c>
      <c r="Z295" s="2576"/>
      <c r="AA295" s="2576"/>
      <c r="AB295" s="2576"/>
      <c r="AC295" s="2576"/>
      <c r="AD295" s="2576"/>
      <c r="AE295" s="2576"/>
      <c r="AF295" s="2576"/>
      <c r="AG295" s="2576"/>
      <c r="BB295" s="784"/>
      <c r="BC295" s="796"/>
      <c r="BD295" s="900"/>
      <c r="BE295" s="797"/>
    </row>
    <row r="296" spans="1:57" s="65" customFormat="1" ht="14.45" hidden="1" customHeight="1" outlineLevel="1" x14ac:dyDescent="0.25">
      <c r="A296" s="785"/>
      <c r="B296" s="177"/>
      <c r="C296" s="455"/>
      <c r="D296" s="2847"/>
      <c r="E296" s="2856"/>
      <c r="F296" s="2757" t="str">
        <f t="shared" si="48"/>
        <v>CAC - SEER 17 ER1: MF</v>
      </c>
      <c r="G296" s="2758"/>
      <c r="H296" s="2759"/>
      <c r="I296" s="1663"/>
      <c r="J296" s="1663">
        <v>24000</v>
      </c>
      <c r="K296" s="95">
        <f t="shared" si="49"/>
        <v>2</v>
      </c>
      <c r="L296" s="928" t="s">
        <v>1286</v>
      </c>
      <c r="M296" s="2035"/>
      <c r="N296" s="2028"/>
      <c r="O296" s="177"/>
      <c r="P296" s="177"/>
      <c r="Q296" s="177"/>
      <c r="R296" s="177"/>
      <c r="S296" s="177"/>
      <c r="T296" s="177"/>
      <c r="U296" s="177"/>
      <c r="V296" s="2866"/>
      <c r="W296" s="2576">
        <v>37200</v>
      </c>
      <c r="X296" s="929">
        <f t="shared" si="54"/>
        <v>37200</v>
      </c>
      <c r="Y296" s="908">
        <v>24000</v>
      </c>
      <c r="Z296" s="2576"/>
      <c r="AA296" s="2576"/>
      <c r="AB296" s="2576"/>
      <c r="AC296" s="2576"/>
      <c r="AD296" s="2576"/>
      <c r="AE296" s="2576"/>
      <c r="AF296" s="2576"/>
      <c r="AG296" s="2576"/>
      <c r="BB296" s="784"/>
      <c r="BC296" s="796"/>
      <c r="BD296" s="900"/>
      <c r="BE296" s="797"/>
    </row>
    <row r="297" spans="1:57" s="65" customFormat="1" ht="14.45" hidden="1" customHeight="1" outlineLevel="1" x14ac:dyDescent="0.25">
      <c r="A297" s="785"/>
      <c r="B297" s="177"/>
      <c r="C297" s="455"/>
      <c r="D297" s="2847"/>
      <c r="E297" s="2856"/>
      <c r="F297" s="2757" t="str">
        <f t="shared" si="48"/>
        <v>CAC - SEER 17 ER2: MF</v>
      </c>
      <c r="G297" s="2758"/>
      <c r="H297" s="2759"/>
      <c r="I297" s="1663"/>
      <c r="J297" s="1663">
        <v>24000</v>
      </c>
      <c r="K297" s="95">
        <f t="shared" si="49"/>
        <v>2</v>
      </c>
      <c r="L297" s="928" t="s">
        <v>1286</v>
      </c>
      <c r="M297" s="2035"/>
      <c r="N297" s="2028"/>
      <c r="O297" s="177"/>
      <c r="P297" s="177"/>
      <c r="Q297" s="177"/>
      <c r="R297" s="177"/>
      <c r="S297" s="177"/>
      <c r="T297" s="177"/>
      <c r="U297" s="177"/>
      <c r="V297" s="2866"/>
      <c r="W297" s="2576">
        <v>37200</v>
      </c>
      <c r="X297" s="929">
        <f t="shared" si="54"/>
        <v>37200</v>
      </c>
      <c r="Y297" s="908">
        <v>24000</v>
      </c>
      <c r="Z297" s="2576"/>
      <c r="AA297" s="2576"/>
      <c r="AB297" s="2576"/>
      <c r="AC297" s="2576"/>
      <c r="AD297" s="2576"/>
      <c r="AE297" s="2576"/>
      <c r="AF297" s="2576"/>
      <c r="AG297" s="2576"/>
      <c r="BB297" s="784"/>
      <c r="BC297" s="796"/>
      <c r="BD297" s="900"/>
      <c r="BE297" s="797"/>
    </row>
    <row r="298" spans="1:57" s="65" customFormat="1" ht="14.45" hidden="1" customHeight="1" outlineLevel="1" x14ac:dyDescent="0.25">
      <c r="A298" s="785"/>
      <c r="B298" s="177"/>
      <c r="C298" s="455"/>
      <c r="D298" s="2847"/>
      <c r="E298" s="2856"/>
      <c r="F298" s="2757" t="str">
        <f t="shared" si="48"/>
        <v>CAC - SEER 17 ER1: MF_CompE</v>
      </c>
      <c r="G298" s="2758"/>
      <c r="H298" s="2759"/>
      <c r="I298" s="921"/>
      <c r="J298" s="1663">
        <v>24000</v>
      </c>
      <c r="K298" s="95">
        <f t="shared" si="49"/>
        <v>2</v>
      </c>
      <c r="L298" s="930"/>
      <c r="M298" s="2035"/>
      <c r="N298" s="2028"/>
      <c r="O298" s="177"/>
      <c r="P298" s="177"/>
      <c r="Q298" s="177"/>
      <c r="R298" s="177"/>
      <c r="S298" s="177"/>
      <c r="T298" s="177"/>
      <c r="U298" s="177"/>
      <c r="V298" s="2866"/>
      <c r="W298" s="2576"/>
      <c r="X298" s="929"/>
      <c r="Y298" s="908">
        <v>24000</v>
      </c>
      <c r="Z298" s="2576"/>
      <c r="AA298" s="2576"/>
      <c r="AB298" s="2576"/>
      <c r="AC298" s="2576"/>
      <c r="AD298" s="2576"/>
      <c r="AE298" s="2576"/>
      <c r="AF298" s="2576"/>
      <c r="AG298" s="2576"/>
      <c r="BB298" s="784"/>
      <c r="BC298" s="796"/>
      <c r="BD298" s="900"/>
      <c r="BE298" s="797"/>
    </row>
    <row r="299" spans="1:57" s="65" customFormat="1" ht="14.45" hidden="1" customHeight="1" outlineLevel="1" x14ac:dyDescent="0.25">
      <c r="A299" s="785"/>
      <c r="B299" s="177"/>
      <c r="C299" s="455"/>
      <c r="D299" s="2847"/>
      <c r="E299" s="2856"/>
      <c r="F299" s="2757" t="str">
        <f t="shared" si="48"/>
        <v>CAC - SEER 17 ER2: MF_CompE</v>
      </c>
      <c r="G299" s="2758"/>
      <c r="H299" s="2759"/>
      <c r="I299" s="921"/>
      <c r="J299" s="1663">
        <v>24000</v>
      </c>
      <c r="K299" s="95">
        <f t="shared" si="49"/>
        <v>2</v>
      </c>
      <c r="L299" s="930"/>
      <c r="M299" s="2035"/>
      <c r="N299" s="2028"/>
      <c r="O299" s="177"/>
      <c r="P299" s="177"/>
      <c r="Q299" s="177"/>
      <c r="R299" s="177"/>
      <c r="S299" s="177"/>
      <c r="T299" s="177"/>
      <c r="U299" s="177"/>
      <c r="V299" s="2866"/>
      <c r="W299" s="2576"/>
      <c r="X299" s="929"/>
      <c r="Y299" s="908">
        <v>24000</v>
      </c>
      <c r="Z299" s="2576"/>
      <c r="AA299" s="2576"/>
      <c r="AB299" s="2576"/>
      <c r="AC299" s="2576"/>
      <c r="AD299" s="2576"/>
      <c r="AE299" s="2576"/>
      <c r="AF299" s="2576"/>
      <c r="AG299" s="2576"/>
      <c r="BB299" s="784"/>
      <c r="BC299" s="796"/>
      <c r="BD299" s="900"/>
      <c r="BE299" s="797"/>
    </row>
    <row r="300" spans="1:57" s="65" customFormat="1" ht="14.45" hidden="1" customHeight="1" outlineLevel="1" x14ac:dyDescent="0.25">
      <c r="A300" s="785"/>
      <c r="B300" s="177"/>
      <c r="C300" s="455"/>
      <c r="D300" s="2847"/>
      <c r="E300" s="2856"/>
      <c r="F300" s="2757" t="str">
        <f t="shared" si="48"/>
        <v>CAC - SEER 17 ROF: MF</v>
      </c>
      <c r="G300" s="2758"/>
      <c r="H300" s="2759"/>
      <c r="I300" s="1663"/>
      <c r="J300" s="1663">
        <v>24000</v>
      </c>
      <c r="K300" s="95">
        <f t="shared" si="49"/>
        <v>2</v>
      </c>
      <c r="L300" s="928" t="s">
        <v>1286</v>
      </c>
      <c r="M300" s="2036"/>
      <c r="N300" s="2028"/>
      <c r="O300" s="177"/>
      <c r="P300" s="177"/>
      <c r="Q300" s="177"/>
      <c r="R300" s="177"/>
      <c r="S300" s="177"/>
      <c r="T300" s="177"/>
      <c r="U300" s="177"/>
      <c r="V300" s="2866"/>
      <c r="W300" s="2576">
        <v>34800</v>
      </c>
      <c r="X300" s="929">
        <f t="shared" si="54"/>
        <v>34800</v>
      </c>
      <c r="Y300" s="2576">
        <v>24000</v>
      </c>
      <c r="Z300" s="2576"/>
      <c r="AA300" s="2576"/>
      <c r="AB300" s="2576"/>
      <c r="AC300" s="2576"/>
      <c r="AD300" s="2576"/>
      <c r="AE300" s="2576"/>
      <c r="AF300" s="2576"/>
      <c r="AG300" s="2576"/>
      <c r="BB300" s="784"/>
      <c r="BC300" s="796"/>
      <c r="BD300" s="900"/>
      <c r="BE300" s="797"/>
    </row>
    <row r="301" spans="1:57" s="65" customFormat="1" ht="14.45" hidden="1" customHeight="1" outlineLevel="1" x14ac:dyDescent="0.25">
      <c r="A301" s="785"/>
      <c r="B301" s="177"/>
      <c r="C301" s="455"/>
      <c r="D301" s="2847"/>
      <c r="E301" s="2857"/>
      <c r="F301" s="2757" t="str">
        <f t="shared" si="48"/>
        <v>CAC - SEER 17 ROF: MF_CompE</v>
      </c>
      <c r="G301" s="2758"/>
      <c r="H301" s="2759"/>
      <c r="I301" s="2470"/>
      <c r="J301" s="2470">
        <v>24000</v>
      </c>
      <c r="K301" s="95">
        <f t="shared" si="49"/>
        <v>2</v>
      </c>
      <c r="L301" s="928"/>
      <c r="M301" s="2036"/>
      <c r="N301" s="2028"/>
      <c r="O301" s="177"/>
      <c r="P301" s="177"/>
      <c r="Q301" s="177"/>
      <c r="R301" s="177"/>
      <c r="S301" s="177"/>
      <c r="T301" s="177"/>
      <c r="U301" s="177"/>
      <c r="V301" s="2847"/>
      <c r="W301" s="2576"/>
      <c r="X301" s="929"/>
      <c r="Y301" s="908">
        <v>24000</v>
      </c>
      <c r="Z301" s="2576"/>
      <c r="AA301" s="2576"/>
      <c r="AB301" s="2576"/>
      <c r="AC301" s="2576"/>
      <c r="AD301" s="2576"/>
      <c r="AE301" s="2576"/>
      <c r="AF301" s="2576"/>
      <c r="AG301" s="2576"/>
      <c r="BB301" s="784"/>
      <c r="BC301" s="796"/>
      <c r="BD301" s="900"/>
      <c r="BE301" s="797"/>
    </row>
    <row r="302" spans="1:57" s="65" customFormat="1" ht="14.45" hidden="1" customHeight="1" outlineLevel="1" x14ac:dyDescent="0.25">
      <c r="A302" s="785"/>
      <c r="B302" s="177"/>
      <c r="C302" s="455"/>
      <c r="D302" s="2847"/>
      <c r="E302" s="2922"/>
      <c r="F302" s="2790" t="str">
        <f t="shared" si="48"/>
        <v>CAC - SEER 18 ER1: SF</v>
      </c>
      <c r="G302" s="2791"/>
      <c r="H302" s="2792"/>
      <c r="I302" s="2470"/>
      <c r="J302" s="908">
        <v>36000</v>
      </c>
      <c r="K302" s="95">
        <f t="shared" ref="K302:K337" si="55">J302/12000</f>
        <v>3</v>
      </c>
      <c r="L302" s="2524" t="s">
        <v>3502</v>
      </c>
      <c r="M302" s="177"/>
      <c r="N302" s="2028"/>
      <c r="O302" s="177"/>
      <c r="P302" s="177"/>
      <c r="Q302" s="177"/>
      <c r="R302" s="177"/>
      <c r="S302" s="177"/>
      <c r="T302" s="177"/>
      <c r="U302" s="177"/>
      <c r="V302" s="2847"/>
      <c r="W302" s="926"/>
      <c r="X302" s="933"/>
      <c r="Y302" s="933"/>
      <c r="Z302" s="933">
        <v>36000</v>
      </c>
      <c r="AA302" s="926"/>
      <c r="AB302" s="926"/>
      <c r="AC302" s="926"/>
      <c r="AD302" s="926"/>
      <c r="AE302" s="926"/>
      <c r="AF302" s="926"/>
      <c r="AG302" s="926"/>
      <c r="BB302" s="784"/>
      <c r="BC302" s="796"/>
      <c r="BD302" s="900"/>
      <c r="BE302" s="797"/>
    </row>
    <row r="303" spans="1:57" s="65" customFormat="1" ht="14.45" hidden="1" customHeight="1" outlineLevel="1" x14ac:dyDescent="0.25">
      <c r="A303" s="785"/>
      <c r="B303" s="177"/>
      <c r="C303" s="455"/>
      <c r="D303" s="2847"/>
      <c r="E303" s="2922"/>
      <c r="F303" s="2790" t="str">
        <f t="shared" si="48"/>
        <v>CAC - SEER 18 ER2: SF</v>
      </c>
      <c r="G303" s="2791"/>
      <c r="H303" s="2792"/>
      <c r="I303" s="2470"/>
      <c r="J303" s="908">
        <v>36000</v>
      </c>
      <c r="K303" s="95">
        <f t="shared" si="55"/>
        <v>3</v>
      </c>
      <c r="L303" s="927"/>
      <c r="M303" s="177"/>
      <c r="N303" s="2028"/>
      <c r="O303" s="177"/>
      <c r="P303" s="177"/>
      <c r="Q303" s="177"/>
      <c r="R303" s="177"/>
      <c r="S303" s="177"/>
      <c r="T303" s="177"/>
      <c r="U303" s="177"/>
      <c r="V303" s="2847"/>
      <c r="W303" s="2576"/>
      <c r="X303" s="908"/>
      <c r="Y303" s="908"/>
      <c r="Z303" s="908">
        <v>36000</v>
      </c>
      <c r="AA303" s="2576"/>
      <c r="AB303" s="2576"/>
      <c r="AC303" s="2576"/>
      <c r="AD303" s="2576"/>
      <c r="AE303" s="2576"/>
      <c r="AF303" s="2576"/>
      <c r="AG303" s="2576"/>
      <c r="BB303" s="784"/>
      <c r="BC303" s="796"/>
      <c r="BD303" s="900"/>
      <c r="BE303" s="797"/>
    </row>
    <row r="304" spans="1:57" s="65" customFormat="1" ht="14.45" hidden="1" customHeight="1" outlineLevel="1" x14ac:dyDescent="0.25">
      <c r="A304" s="785"/>
      <c r="B304" s="177"/>
      <c r="C304" s="455"/>
      <c r="D304" s="2847"/>
      <c r="E304" s="2922"/>
      <c r="F304" s="2790" t="str">
        <f t="shared" si="48"/>
        <v>CAC - SEER 18 ROF: SF</v>
      </c>
      <c r="G304" s="2791"/>
      <c r="H304" s="2792"/>
      <c r="I304" s="2470"/>
      <c r="J304" s="908">
        <v>36000</v>
      </c>
      <c r="K304" s="95">
        <f t="shared" si="55"/>
        <v>3</v>
      </c>
      <c r="L304" s="927"/>
      <c r="M304" s="177"/>
      <c r="N304" s="2028"/>
      <c r="O304" s="177"/>
      <c r="P304" s="177"/>
      <c r="Q304" s="177"/>
      <c r="R304" s="177"/>
      <c r="S304" s="177"/>
      <c r="T304" s="177"/>
      <c r="U304" s="177"/>
      <c r="V304" s="2847"/>
      <c r="W304" s="2576"/>
      <c r="X304" s="908"/>
      <c r="Y304" s="908"/>
      <c r="Z304" s="908">
        <v>36000</v>
      </c>
      <c r="AA304" s="2576"/>
      <c r="AB304" s="2576"/>
      <c r="AC304" s="2576"/>
      <c r="AD304" s="2576"/>
      <c r="AE304" s="2576"/>
      <c r="AF304" s="2576"/>
      <c r="AG304" s="2576"/>
      <c r="BB304" s="784"/>
      <c r="BC304" s="796"/>
      <c r="BD304" s="900"/>
      <c r="BE304" s="797"/>
    </row>
    <row r="305" spans="1:57" s="65" customFormat="1" ht="14.45" hidden="1" customHeight="1" outlineLevel="1" x14ac:dyDescent="0.25">
      <c r="A305" s="785"/>
      <c r="B305" s="177"/>
      <c r="C305" s="455"/>
      <c r="D305" s="2847"/>
      <c r="E305" s="2922"/>
      <c r="F305" s="2780" t="str">
        <f t="shared" si="48"/>
        <v>CAC - SEER 18 ER1: MF</v>
      </c>
      <c r="G305" s="2781"/>
      <c r="H305" s="2782"/>
      <c r="I305" s="2470"/>
      <c r="J305" s="908">
        <v>24000</v>
      </c>
      <c r="K305" s="95">
        <f t="shared" si="55"/>
        <v>2</v>
      </c>
      <c r="L305" s="927"/>
      <c r="M305" s="2035"/>
      <c r="N305" s="2028"/>
      <c r="O305" s="177"/>
      <c r="P305" s="177"/>
      <c r="Q305" s="177"/>
      <c r="R305" s="177"/>
      <c r="S305" s="177"/>
      <c r="T305" s="177"/>
      <c r="U305" s="177"/>
      <c r="V305" s="2847"/>
      <c r="W305" s="2576"/>
      <c r="X305" s="908"/>
      <c r="Y305" s="2576"/>
      <c r="Z305" s="908">
        <v>24000</v>
      </c>
      <c r="AA305" s="2576"/>
      <c r="AB305" s="2576"/>
      <c r="AC305" s="2576"/>
      <c r="AD305" s="2576"/>
      <c r="AE305" s="2576"/>
      <c r="AF305" s="2576"/>
      <c r="AG305" s="2576"/>
      <c r="BB305" s="784"/>
      <c r="BC305" s="796"/>
      <c r="BD305" s="900"/>
      <c r="BE305" s="797"/>
    </row>
    <row r="306" spans="1:57" s="65" customFormat="1" ht="14.45" hidden="1" customHeight="1" outlineLevel="1" x14ac:dyDescent="0.25">
      <c r="A306" s="785"/>
      <c r="B306" s="177"/>
      <c r="C306" s="455"/>
      <c r="D306" s="2847"/>
      <c r="E306" s="2922"/>
      <c r="F306" s="2780" t="str">
        <f t="shared" si="48"/>
        <v>CAC - SEER 18 ER2: MF</v>
      </c>
      <c r="G306" s="2781"/>
      <c r="H306" s="2782"/>
      <c r="I306" s="2470"/>
      <c r="J306" s="908">
        <v>24000</v>
      </c>
      <c r="K306" s="95">
        <f t="shared" si="55"/>
        <v>2</v>
      </c>
      <c r="L306" s="927"/>
      <c r="M306" s="2035"/>
      <c r="N306" s="2028"/>
      <c r="O306" s="177"/>
      <c r="P306" s="177"/>
      <c r="Q306" s="177"/>
      <c r="R306" s="177"/>
      <c r="S306" s="177"/>
      <c r="T306" s="177"/>
      <c r="U306" s="177"/>
      <c r="V306" s="2847"/>
      <c r="W306" s="2576"/>
      <c r="X306" s="908"/>
      <c r="Y306" s="2576"/>
      <c r="Z306" s="908">
        <v>24000</v>
      </c>
      <c r="AA306" s="2576"/>
      <c r="AB306" s="2576"/>
      <c r="AC306" s="2576"/>
      <c r="AD306" s="2576"/>
      <c r="AE306" s="2576"/>
      <c r="AF306" s="2576"/>
      <c r="AG306" s="2576"/>
      <c r="BB306" s="784"/>
      <c r="BC306" s="796"/>
      <c r="BD306" s="900"/>
      <c r="BE306" s="797"/>
    </row>
    <row r="307" spans="1:57" s="65" customFormat="1" ht="14.45" hidden="1" customHeight="1" outlineLevel="1" x14ac:dyDescent="0.25">
      <c r="A307" s="785"/>
      <c r="B307" s="177"/>
      <c r="C307" s="455"/>
      <c r="D307" s="2847"/>
      <c r="E307" s="2922"/>
      <c r="F307" s="2780" t="str">
        <f t="shared" si="48"/>
        <v>CAC - SEER 18 ER1: MF_CompE</v>
      </c>
      <c r="G307" s="2781"/>
      <c r="H307" s="2782"/>
      <c r="I307" s="2470"/>
      <c r="J307" s="908">
        <v>24000</v>
      </c>
      <c r="K307" s="95">
        <f t="shared" si="55"/>
        <v>2</v>
      </c>
      <c r="L307" s="927"/>
      <c r="M307" s="2035"/>
      <c r="N307" s="2028"/>
      <c r="O307" s="177"/>
      <c r="P307" s="177"/>
      <c r="Q307" s="177"/>
      <c r="R307" s="177"/>
      <c r="S307" s="177"/>
      <c r="T307" s="177"/>
      <c r="U307" s="177"/>
      <c r="V307" s="2847"/>
      <c r="W307" s="2576"/>
      <c r="X307" s="908"/>
      <c r="Y307" s="908"/>
      <c r="Z307" s="908">
        <v>24000</v>
      </c>
      <c r="AA307" s="2576"/>
      <c r="AB307" s="2576"/>
      <c r="AC307" s="2576"/>
      <c r="AD307" s="2576"/>
      <c r="AE307" s="2576"/>
      <c r="AF307" s="2576"/>
      <c r="AG307" s="2576"/>
      <c r="BB307" s="784"/>
      <c r="BC307" s="796"/>
      <c r="BD307" s="900"/>
      <c r="BE307" s="797"/>
    </row>
    <row r="308" spans="1:57" s="65" customFormat="1" ht="14.45" hidden="1" customHeight="1" outlineLevel="1" x14ac:dyDescent="0.25">
      <c r="A308" s="785"/>
      <c r="B308" s="177"/>
      <c r="C308" s="455"/>
      <c r="D308" s="2847"/>
      <c r="E308" s="2922"/>
      <c r="F308" s="2780" t="str">
        <f t="shared" si="48"/>
        <v>CAC - SEER 18 ER2: MF_CompE</v>
      </c>
      <c r="G308" s="2781"/>
      <c r="H308" s="2782"/>
      <c r="I308" s="2470"/>
      <c r="J308" s="908">
        <v>24000</v>
      </c>
      <c r="K308" s="95">
        <f t="shared" si="55"/>
        <v>2</v>
      </c>
      <c r="L308" s="927"/>
      <c r="M308" s="2035"/>
      <c r="N308" s="2028"/>
      <c r="O308" s="177"/>
      <c r="P308" s="177"/>
      <c r="Q308" s="177"/>
      <c r="R308" s="177"/>
      <c r="S308" s="177"/>
      <c r="T308" s="177"/>
      <c r="U308" s="177"/>
      <c r="V308" s="2847"/>
      <c r="W308" s="2576"/>
      <c r="X308" s="908"/>
      <c r="Y308" s="908"/>
      <c r="Z308" s="908">
        <v>24000</v>
      </c>
      <c r="AA308" s="2576"/>
      <c r="AB308" s="2576"/>
      <c r="AC308" s="2576"/>
      <c r="AD308" s="2576"/>
      <c r="AE308" s="2576"/>
      <c r="AF308" s="2576"/>
      <c r="AG308" s="2576"/>
      <c r="BB308" s="784"/>
      <c r="BC308" s="796"/>
      <c r="BD308" s="900"/>
      <c r="BE308" s="797"/>
    </row>
    <row r="309" spans="1:57" s="65" customFormat="1" ht="14.45" hidden="1" customHeight="1" outlineLevel="1" x14ac:dyDescent="0.25">
      <c r="A309" s="785"/>
      <c r="B309" s="177"/>
      <c r="C309" s="455"/>
      <c r="D309" s="2847"/>
      <c r="E309" s="2922"/>
      <c r="F309" s="2780" t="str">
        <f t="shared" si="48"/>
        <v>CAC - SEER 18 ROF: MF</v>
      </c>
      <c r="G309" s="2781"/>
      <c r="H309" s="2782"/>
      <c r="I309" s="2470"/>
      <c r="J309" s="908">
        <v>24000</v>
      </c>
      <c r="K309" s="95">
        <f t="shared" si="55"/>
        <v>2</v>
      </c>
      <c r="L309" s="927"/>
      <c r="M309" s="2035"/>
      <c r="N309" s="2028"/>
      <c r="O309" s="177"/>
      <c r="P309" s="177"/>
      <c r="Q309" s="177"/>
      <c r="R309" s="177"/>
      <c r="S309" s="177"/>
      <c r="T309" s="177"/>
      <c r="U309" s="177"/>
      <c r="V309" s="2847"/>
      <c r="W309" s="2576"/>
      <c r="X309" s="908"/>
      <c r="Y309" s="908"/>
      <c r="Z309" s="908">
        <v>24000</v>
      </c>
      <c r="AA309" s="2576"/>
      <c r="AB309" s="2576"/>
      <c r="AC309" s="2576"/>
      <c r="AD309" s="2576"/>
      <c r="AE309" s="2576"/>
      <c r="AF309" s="2576"/>
      <c r="AG309" s="2576"/>
      <c r="BB309" s="784"/>
      <c r="BC309" s="796"/>
      <c r="BD309" s="900"/>
      <c r="BE309" s="797"/>
    </row>
    <row r="310" spans="1:57" s="65" customFormat="1" ht="14.45" hidden="1" customHeight="1" outlineLevel="1" x14ac:dyDescent="0.25">
      <c r="A310" s="785"/>
      <c r="B310" s="177"/>
      <c r="C310" s="455"/>
      <c r="D310" s="2847"/>
      <c r="E310" s="2922"/>
      <c r="F310" s="2780" t="str">
        <f t="shared" si="48"/>
        <v>CAC - SEER 18 ROF: MF_CompE</v>
      </c>
      <c r="G310" s="2781"/>
      <c r="H310" s="2782"/>
      <c r="I310" s="2470"/>
      <c r="J310" s="908">
        <v>24000</v>
      </c>
      <c r="K310" s="95">
        <f t="shared" si="55"/>
        <v>2</v>
      </c>
      <c r="L310" s="927"/>
      <c r="M310" s="2035"/>
      <c r="N310" s="2028"/>
      <c r="O310" s="177"/>
      <c r="P310" s="177"/>
      <c r="Q310" s="177"/>
      <c r="R310" s="177"/>
      <c r="S310" s="177"/>
      <c r="T310" s="177"/>
      <c r="U310" s="177"/>
      <c r="V310" s="2847"/>
      <c r="W310" s="2576"/>
      <c r="X310" s="908"/>
      <c r="Y310" s="2576"/>
      <c r="Z310" s="908">
        <v>24000</v>
      </c>
      <c r="AA310" s="2576"/>
      <c r="AB310" s="2576"/>
      <c r="AC310" s="2576"/>
      <c r="AD310" s="2576"/>
      <c r="AE310" s="2576"/>
      <c r="AF310" s="2576"/>
      <c r="AG310" s="2576"/>
      <c r="BB310" s="784"/>
      <c r="BC310" s="796"/>
      <c r="BD310" s="900"/>
      <c r="BE310" s="797"/>
    </row>
    <row r="311" spans="1:57" s="65" customFormat="1" ht="14.45" hidden="1" customHeight="1" outlineLevel="1" x14ac:dyDescent="0.25">
      <c r="A311" s="785"/>
      <c r="B311" s="177"/>
      <c r="C311" s="455"/>
      <c r="D311" s="2847"/>
      <c r="E311" s="2922"/>
      <c r="F311" s="2780" t="str">
        <f t="shared" si="48"/>
        <v>CAC - SEER 19 ER1: SF</v>
      </c>
      <c r="G311" s="2781"/>
      <c r="H311" s="2782"/>
      <c r="I311" s="2470"/>
      <c r="J311" s="908">
        <v>36000</v>
      </c>
      <c r="K311" s="95">
        <f t="shared" si="55"/>
        <v>3</v>
      </c>
      <c r="L311" s="927"/>
      <c r="M311" s="2035"/>
      <c r="N311" s="2028"/>
      <c r="O311" s="177"/>
      <c r="P311" s="177"/>
      <c r="Q311" s="177"/>
      <c r="R311" s="177"/>
      <c r="S311" s="177"/>
      <c r="T311" s="177"/>
      <c r="U311" s="177"/>
      <c r="V311" s="2847"/>
      <c r="W311" s="2576"/>
      <c r="X311" s="908"/>
      <c r="Y311" s="908"/>
      <c r="Z311" s="908">
        <v>36000</v>
      </c>
      <c r="AA311" s="2576"/>
      <c r="AB311" s="2576"/>
      <c r="AC311" s="2576"/>
      <c r="AD311" s="2576"/>
      <c r="AE311" s="2576"/>
      <c r="AF311" s="2576"/>
      <c r="AG311" s="2576"/>
      <c r="BB311" s="784"/>
      <c r="BC311" s="796"/>
      <c r="BD311" s="900"/>
      <c r="BE311" s="797"/>
    </row>
    <row r="312" spans="1:57" s="65" customFormat="1" ht="14.45" hidden="1" customHeight="1" outlineLevel="1" x14ac:dyDescent="0.25">
      <c r="A312" s="785"/>
      <c r="B312" s="177"/>
      <c r="C312" s="455"/>
      <c r="D312" s="2847"/>
      <c r="E312" s="2922"/>
      <c r="F312" s="2780" t="str">
        <f t="shared" si="48"/>
        <v>CAC - SEER 19 ER2: SF</v>
      </c>
      <c r="G312" s="2781"/>
      <c r="H312" s="2782"/>
      <c r="I312" s="2470"/>
      <c r="J312" s="908">
        <v>36000</v>
      </c>
      <c r="K312" s="95">
        <f t="shared" si="55"/>
        <v>3</v>
      </c>
      <c r="L312" s="927"/>
      <c r="M312" s="2035"/>
      <c r="N312" s="2028"/>
      <c r="O312" s="177"/>
      <c r="P312" s="177"/>
      <c r="Q312" s="177"/>
      <c r="R312" s="177"/>
      <c r="S312" s="177"/>
      <c r="T312" s="177"/>
      <c r="U312" s="177"/>
      <c r="V312" s="2847"/>
      <c r="W312" s="2576"/>
      <c r="X312" s="908"/>
      <c r="Y312" s="908"/>
      <c r="Z312" s="908">
        <v>36000</v>
      </c>
      <c r="AA312" s="2576"/>
      <c r="AB312" s="2576"/>
      <c r="AC312" s="2576"/>
      <c r="AD312" s="2576"/>
      <c r="AE312" s="2576"/>
      <c r="AF312" s="2576"/>
      <c r="AG312" s="2576"/>
      <c r="BB312" s="784"/>
      <c r="BC312" s="796"/>
      <c r="BD312" s="900"/>
      <c r="BE312" s="797"/>
    </row>
    <row r="313" spans="1:57" s="65" customFormat="1" ht="14.45" hidden="1" customHeight="1" outlineLevel="1" x14ac:dyDescent="0.25">
      <c r="A313" s="785"/>
      <c r="B313" s="177"/>
      <c r="C313" s="455"/>
      <c r="D313" s="2847"/>
      <c r="E313" s="2922"/>
      <c r="F313" s="2780" t="str">
        <f t="shared" si="48"/>
        <v>CAC - SEER 19 ROF: SF</v>
      </c>
      <c r="G313" s="2781"/>
      <c r="H313" s="2782"/>
      <c r="I313" s="2470"/>
      <c r="J313" s="908">
        <v>36000</v>
      </c>
      <c r="K313" s="95">
        <f t="shared" si="55"/>
        <v>3</v>
      </c>
      <c r="L313" s="927"/>
      <c r="M313" s="2035"/>
      <c r="N313" s="2028"/>
      <c r="O313" s="177"/>
      <c r="P313" s="177"/>
      <c r="Q313" s="177"/>
      <c r="R313" s="177"/>
      <c r="S313" s="177"/>
      <c r="T313" s="177"/>
      <c r="U313" s="177"/>
      <c r="V313" s="2847"/>
      <c r="W313" s="2576"/>
      <c r="X313" s="908"/>
      <c r="Y313" s="908"/>
      <c r="Z313" s="908">
        <v>36000</v>
      </c>
      <c r="AA313" s="2576"/>
      <c r="AB313" s="2576"/>
      <c r="AC313" s="2576"/>
      <c r="AD313" s="2576"/>
      <c r="AE313" s="2576"/>
      <c r="AF313" s="2576"/>
      <c r="AG313" s="2576"/>
      <c r="BB313" s="784"/>
      <c r="BC313" s="796"/>
      <c r="BD313" s="900"/>
      <c r="BE313" s="797"/>
    </row>
    <row r="314" spans="1:57" s="65" customFormat="1" ht="14.45" hidden="1" customHeight="1" outlineLevel="1" x14ac:dyDescent="0.25">
      <c r="A314" s="785"/>
      <c r="B314" s="177"/>
      <c r="C314" s="455"/>
      <c r="D314" s="2847"/>
      <c r="E314" s="2922"/>
      <c r="F314" s="2780" t="str">
        <f t="shared" si="48"/>
        <v>CAC - SEER 19 ER1: MF</v>
      </c>
      <c r="G314" s="2781"/>
      <c r="H314" s="2782"/>
      <c r="I314" s="2470"/>
      <c r="J314" s="908">
        <v>24000</v>
      </c>
      <c r="K314" s="95">
        <f t="shared" si="55"/>
        <v>2</v>
      </c>
      <c r="L314" s="927"/>
      <c r="M314" s="2035"/>
      <c r="N314" s="2028"/>
      <c r="O314" s="177"/>
      <c r="P314" s="177"/>
      <c r="Q314" s="177"/>
      <c r="R314" s="177"/>
      <c r="S314" s="177"/>
      <c r="T314" s="177"/>
      <c r="U314" s="177"/>
      <c r="V314" s="2847"/>
      <c r="W314" s="2576"/>
      <c r="X314" s="908"/>
      <c r="Y314" s="2576"/>
      <c r="Z314" s="908">
        <v>24000</v>
      </c>
      <c r="AA314" s="2576"/>
      <c r="AB314" s="2576"/>
      <c r="AC314" s="2576"/>
      <c r="AD314" s="2576"/>
      <c r="AE314" s="2576"/>
      <c r="AF314" s="2576"/>
      <c r="AG314" s="2576"/>
      <c r="BB314" s="784"/>
      <c r="BC314" s="796"/>
      <c r="BD314" s="900"/>
      <c r="BE314" s="797"/>
    </row>
    <row r="315" spans="1:57" s="65" customFormat="1" ht="14.45" hidden="1" customHeight="1" outlineLevel="1" x14ac:dyDescent="0.25">
      <c r="A315" s="785"/>
      <c r="B315" s="177"/>
      <c r="C315" s="455"/>
      <c r="D315" s="2847"/>
      <c r="E315" s="2922"/>
      <c r="F315" s="2780" t="str">
        <f t="shared" si="48"/>
        <v>CAC - SEER 19 ER2: MF</v>
      </c>
      <c r="G315" s="2781"/>
      <c r="H315" s="2782"/>
      <c r="I315" s="2470"/>
      <c r="J315" s="908">
        <v>24000</v>
      </c>
      <c r="K315" s="95">
        <f t="shared" si="55"/>
        <v>2</v>
      </c>
      <c r="L315" s="927"/>
      <c r="M315" s="2035"/>
      <c r="N315" s="2028"/>
      <c r="O315" s="177"/>
      <c r="P315" s="177"/>
      <c r="Q315" s="177"/>
      <c r="R315" s="177"/>
      <c r="S315" s="177"/>
      <c r="T315" s="177"/>
      <c r="U315" s="177"/>
      <c r="V315" s="2847"/>
      <c r="W315" s="2576"/>
      <c r="X315" s="908"/>
      <c r="Y315" s="2576"/>
      <c r="Z315" s="908">
        <v>24000</v>
      </c>
      <c r="AA315" s="2576"/>
      <c r="AB315" s="2576"/>
      <c r="AC315" s="2576"/>
      <c r="AD315" s="2576"/>
      <c r="AE315" s="2576"/>
      <c r="AF315" s="2576"/>
      <c r="AG315" s="2576"/>
      <c r="BB315" s="784"/>
      <c r="BC315" s="796"/>
      <c r="BD315" s="900"/>
      <c r="BE315" s="797"/>
    </row>
    <row r="316" spans="1:57" s="65" customFormat="1" ht="14.45" hidden="1" customHeight="1" outlineLevel="1" x14ac:dyDescent="0.25">
      <c r="A316" s="785"/>
      <c r="B316" s="177"/>
      <c r="C316" s="455"/>
      <c r="D316" s="2847"/>
      <c r="E316" s="2922"/>
      <c r="F316" s="2780" t="str">
        <f t="shared" si="48"/>
        <v>CAC - SEER 19 ER1: MF_CompE</v>
      </c>
      <c r="G316" s="2781"/>
      <c r="H316" s="2782"/>
      <c r="I316" s="2470"/>
      <c r="J316" s="908">
        <v>24000</v>
      </c>
      <c r="K316" s="95">
        <f t="shared" si="55"/>
        <v>2</v>
      </c>
      <c r="L316" s="927"/>
      <c r="M316" s="2035"/>
      <c r="N316" s="2028"/>
      <c r="O316" s="177"/>
      <c r="P316" s="177"/>
      <c r="Q316" s="177"/>
      <c r="R316" s="177"/>
      <c r="S316" s="177"/>
      <c r="T316" s="177"/>
      <c r="U316" s="177"/>
      <c r="V316" s="2847"/>
      <c r="W316" s="2576"/>
      <c r="X316" s="908"/>
      <c r="Y316" s="908"/>
      <c r="Z316" s="908">
        <v>24000</v>
      </c>
      <c r="AA316" s="2576"/>
      <c r="AB316" s="2576"/>
      <c r="AC316" s="2576"/>
      <c r="AD316" s="2576"/>
      <c r="AE316" s="2576"/>
      <c r="AF316" s="2576"/>
      <c r="AG316" s="2576"/>
      <c r="BB316" s="784"/>
      <c r="BC316" s="796"/>
      <c r="BD316" s="900"/>
      <c r="BE316" s="797"/>
    </row>
    <row r="317" spans="1:57" s="65" customFormat="1" ht="14.45" hidden="1" customHeight="1" outlineLevel="1" x14ac:dyDescent="0.25">
      <c r="A317" s="785"/>
      <c r="B317" s="177"/>
      <c r="C317" s="455"/>
      <c r="D317" s="2847"/>
      <c r="E317" s="2922"/>
      <c r="F317" s="2780" t="str">
        <f t="shared" si="48"/>
        <v>CAC - SEER 19 ER2: MF_CompE</v>
      </c>
      <c r="G317" s="2781"/>
      <c r="H317" s="2782"/>
      <c r="I317" s="2470"/>
      <c r="J317" s="908">
        <v>24000</v>
      </c>
      <c r="K317" s="95">
        <f t="shared" si="55"/>
        <v>2</v>
      </c>
      <c r="L317" s="927"/>
      <c r="M317" s="2035"/>
      <c r="N317" s="2028"/>
      <c r="O317" s="177"/>
      <c r="P317" s="177"/>
      <c r="Q317" s="177"/>
      <c r="R317" s="177"/>
      <c r="S317" s="177"/>
      <c r="T317" s="177"/>
      <c r="U317" s="177"/>
      <c r="V317" s="2847"/>
      <c r="W317" s="2576"/>
      <c r="X317" s="908"/>
      <c r="Y317" s="908"/>
      <c r="Z317" s="908">
        <v>24000</v>
      </c>
      <c r="AA317" s="2576"/>
      <c r="AB317" s="2576"/>
      <c r="AC317" s="2576"/>
      <c r="AD317" s="2576"/>
      <c r="AE317" s="2576"/>
      <c r="AF317" s="2576"/>
      <c r="AG317" s="2576"/>
      <c r="BB317" s="784"/>
      <c r="BC317" s="796"/>
      <c r="BD317" s="900"/>
      <c r="BE317" s="797"/>
    </row>
    <row r="318" spans="1:57" s="65" customFormat="1" ht="14.45" hidden="1" customHeight="1" outlineLevel="1" x14ac:dyDescent="0.25">
      <c r="A318" s="785"/>
      <c r="B318" s="177"/>
      <c r="C318" s="455"/>
      <c r="D318" s="2847"/>
      <c r="E318" s="2922"/>
      <c r="F318" s="2780" t="str">
        <f t="shared" si="48"/>
        <v>CAC - SEER 19 ROF: MF</v>
      </c>
      <c r="G318" s="2781"/>
      <c r="H318" s="2782"/>
      <c r="I318" s="2470"/>
      <c r="J318" s="908">
        <v>24000</v>
      </c>
      <c r="K318" s="95">
        <f t="shared" si="55"/>
        <v>2</v>
      </c>
      <c r="L318" s="927"/>
      <c r="M318" s="2035"/>
      <c r="N318" s="2028"/>
      <c r="O318" s="177"/>
      <c r="P318" s="177"/>
      <c r="Q318" s="177"/>
      <c r="R318" s="177"/>
      <c r="S318" s="177"/>
      <c r="T318" s="177"/>
      <c r="U318" s="177"/>
      <c r="V318" s="2847"/>
      <c r="W318" s="2576"/>
      <c r="X318" s="908"/>
      <c r="Y318" s="908"/>
      <c r="Z318" s="908">
        <v>24000</v>
      </c>
      <c r="AA318" s="2576"/>
      <c r="AB318" s="2576"/>
      <c r="AC318" s="2576"/>
      <c r="AD318" s="2576"/>
      <c r="AE318" s="2576"/>
      <c r="AF318" s="2576"/>
      <c r="AG318" s="2576"/>
      <c r="BB318" s="784"/>
      <c r="BC318" s="796"/>
      <c r="BD318" s="900"/>
      <c r="BE318" s="797"/>
    </row>
    <row r="319" spans="1:57" s="65" customFormat="1" ht="14.45" hidden="1" customHeight="1" outlineLevel="1" x14ac:dyDescent="0.25">
      <c r="A319" s="785"/>
      <c r="B319" s="177"/>
      <c r="C319" s="455"/>
      <c r="D319" s="2847"/>
      <c r="E319" s="2922"/>
      <c r="F319" s="2780" t="str">
        <f t="shared" si="48"/>
        <v>CAC - SEER 19 ROF: MF_CompE</v>
      </c>
      <c r="G319" s="2781"/>
      <c r="H319" s="2782"/>
      <c r="I319" s="2470"/>
      <c r="J319" s="908">
        <v>24000</v>
      </c>
      <c r="K319" s="95">
        <f t="shared" si="55"/>
        <v>2</v>
      </c>
      <c r="L319" s="927"/>
      <c r="M319" s="2035"/>
      <c r="N319" s="2028"/>
      <c r="O319" s="177"/>
      <c r="P319" s="177"/>
      <c r="Q319" s="177"/>
      <c r="R319" s="177"/>
      <c r="S319" s="177"/>
      <c r="T319" s="177"/>
      <c r="U319" s="177"/>
      <c r="V319" s="2847"/>
      <c r="W319" s="2576"/>
      <c r="X319" s="908"/>
      <c r="Y319" s="908"/>
      <c r="Z319" s="908">
        <v>24000</v>
      </c>
      <c r="AA319" s="2576"/>
      <c r="AB319" s="2576"/>
      <c r="AC319" s="2576"/>
      <c r="AD319" s="2576"/>
      <c r="AE319" s="2576"/>
      <c r="AF319" s="2576"/>
      <c r="AG319" s="2576"/>
      <c r="BB319" s="784"/>
      <c r="BC319" s="796"/>
      <c r="BD319" s="900"/>
      <c r="BE319" s="797"/>
    </row>
    <row r="320" spans="1:57" s="65" customFormat="1" ht="14.45" hidden="1" customHeight="1" outlineLevel="1" x14ac:dyDescent="0.25">
      <c r="A320" s="785"/>
      <c r="B320" s="177"/>
      <c r="C320" s="455"/>
      <c r="D320" s="2847"/>
      <c r="E320" s="2922"/>
      <c r="F320" s="2780" t="str">
        <f t="shared" si="48"/>
        <v>CAC - SEER 20 ER1: SF</v>
      </c>
      <c r="G320" s="2781"/>
      <c r="H320" s="2782"/>
      <c r="I320" s="2470"/>
      <c r="J320" s="908">
        <v>36000</v>
      </c>
      <c r="K320" s="95">
        <f t="shared" si="55"/>
        <v>3</v>
      </c>
      <c r="L320" s="927"/>
      <c r="M320" s="2035"/>
      <c r="N320" s="2028"/>
      <c r="O320" s="177"/>
      <c r="P320" s="177"/>
      <c r="Q320" s="177"/>
      <c r="R320" s="177"/>
      <c r="S320" s="177"/>
      <c r="T320" s="177"/>
      <c r="U320" s="177"/>
      <c r="V320" s="2847"/>
      <c r="W320" s="2576"/>
      <c r="X320" s="908"/>
      <c r="Y320" s="908"/>
      <c r="Z320" s="908">
        <v>36000</v>
      </c>
      <c r="AA320" s="2576"/>
      <c r="AB320" s="2576"/>
      <c r="AC320" s="2576"/>
      <c r="AD320" s="2576"/>
      <c r="AE320" s="2576"/>
      <c r="AF320" s="2576"/>
      <c r="AG320" s="2576"/>
      <c r="BB320" s="784"/>
      <c r="BC320" s="796"/>
      <c r="BD320" s="900"/>
      <c r="BE320" s="797"/>
    </row>
    <row r="321" spans="1:57" s="65" customFormat="1" ht="14.45" hidden="1" customHeight="1" outlineLevel="1" x14ac:dyDescent="0.25">
      <c r="A321" s="785"/>
      <c r="B321" s="177"/>
      <c r="C321" s="455"/>
      <c r="D321" s="2847"/>
      <c r="E321" s="2922"/>
      <c r="F321" s="2780" t="str">
        <f t="shared" si="48"/>
        <v>CAC - SEER 20 ER2: SF</v>
      </c>
      <c r="G321" s="2781"/>
      <c r="H321" s="2782"/>
      <c r="I321" s="2470"/>
      <c r="J321" s="908">
        <v>36000</v>
      </c>
      <c r="K321" s="95">
        <f t="shared" si="55"/>
        <v>3</v>
      </c>
      <c r="L321" s="927"/>
      <c r="M321" s="2035"/>
      <c r="N321" s="2028"/>
      <c r="O321" s="177"/>
      <c r="P321" s="177"/>
      <c r="Q321" s="177"/>
      <c r="R321" s="177"/>
      <c r="S321" s="177"/>
      <c r="T321" s="177"/>
      <c r="U321" s="177"/>
      <c r="V321" s="2847"/>
      <c r="W321" s="2576"/>
      <c r="X321" s="908"/>
      <c r="Y321" s="908"/>
      <c r="Z321" s="908">
        <v>36000</v>
      </c>
      <c r="AA321" s="2576"/>
      <c r="AB321" s="2576"/>
      <c r="AC321" s="2576"/>
      <c r="AD321" s="2576"/>
      <c r="AE321" s="2576"/>
      <c r="AF321" s="2576"/>
      <c r="AG321" s="2576"/>
      <c r="BB321" s="784"/>
      <c r="BC321" s="796"/>
      <c r="BD321" s="900"/>
      <c r="BE321" s="797"/>
    </row>
    <row r="322" spans="1:57" s="65" customFormat="1" ht="14.45" hidden="1" customHeight="1" outlineLevel="1" x14ac:dyDescent="0.25">
      <c r="A322" s="785"/>
      <c r="B322" s="177"/>
      <c r="C322" s="455"/>
      <c r="D322" s="2847"/>
      <c r="E322" s="2922"/>
      <c r="F322" s="2780" t="str">
        <f t="shared" si="48"/>
        <v>CAC - SEER 20 ROF: SF</v>
      </c>
      <c r="G322" s="2781"/>
      <c r="H322" s="2782"/>
      <c r="I322" s="2470"/>
      <c r="J322" s="908">
        <v>36000</v>
      </c>
      <c r="K322" s="95">
        <f t="shared" si="55"/>
        <v>3</v>
      </c>
      <c r="L322" s="927"/>
      <c r="M322" s="2035"/>
      <c r="N322" s="2028"/>
      <c r="O322" s="177"/>
      <c r="P322" s="177"/>
      <c r="Q322" s="177"/>
      <c r="R322" s="177"/>
      <c r="S322" s="177"/>
      <c r="T322" s="177"/>
      <c r="U322" s="177"/>
      <c r="V322" s="2847"/>
      <c r="W322" s="2576"/>
      <c r="X322" s="908"/>
      <c r="Y322" s="908"/>
      <c r="Z322" s="908">
        <v>36000</v>
      </c>
      <c r="AA322" s="2576"/>
      <c r="AB322" s="2576"/>
      <c r="AC322" s="2576"/>
      <c r="AD322" s="2576"/>
      <c r="AE322" s="2576"/>
      <c r="AF322" s="2576"/>
      <c r="AG322" s="2576"/>
      <c r="BB322" s="784"/>
      <c r="BC322" s="796"/>
      <c r="BD322" s="900"/>
      <c r="BE322" s="797"/>
    </row>
    <row r="323" spans="1:57" s="65" customFormat="1" ht="14.45" hidden="1" customHeight="1" outlineLevel="1" x14ac:dyDescent="0.25">
      <c r="A323" s="785"/>
      <c r="B323" s="177"/>
      <c r="C323" s="455"/>
      <c r="D323" s="2847"/>
      <c r="E323" s="2922"/>
      <c r="F323" s="2780" t="str">
        <f t="shared" si="48"/>
        <v>CAC - SEER 20 ER1: MF</v>
      </c>
      <c r="G323" s="2781"/>
      <c r="H323" s="2782"/>
      <c r="I323" s="2470"/>
      <c r="J323" s="908">
        <v>24000</v>
      </c>
      <c r="K323" s="95">
        <f t="shared" si="55"/>
        <v>2</v>
      </c>
      <c r="L323" s="927"/>
      <c r="M323" s="2035"/>
      <c r="N323" s="2028"/>
      <c r="O323" s="177"/>
      <c r="P323" s="177"/>
      <c r="Q323" s="177"/>
      <c r="R323" s="177"/>
      <c r="S323" s="177"/>
      <c r="T323" s="177"/>
      <c r="U323" s="177"/>
      <c r="V323" s="2847"/>
      <c r="W323" s="2576"/>
      <c r="X323" s="908"/>
      <c r="Y323" s="908"/>
      <c r="Z323" s="908">
        <v>24000</v>
      </c>
      <c r="AA323" s="2576"/>
      <c r="AB323" s="2576"/>
      <c r="AC323" s="2576"/>
      <c r="AD323" s="2576"/>
      <c r="AE323" s="2576"/>
      <c r="AF323" s="2576"/>
      <c r="AG323" s="2576"/>
      <c r="BB323" s="784"/>
      <c r="BC323" s="796"/>
      <c r="BD323" s="900"/>
      <c r="BE323" s="797"/>
    </row>
    <row r="324" spans="1:57" s="65" customFormat="1" ht="14.45" hidden="1" customHeight="1" outlineLevel="1" x14ac:dyDescent="0.25">
      <c r="A324" s="785"/>
      <c r="B324" s="177"/>
      <c r="C324" s="455"/>
      <c r="D324" s="2847"/>
      <c r="E324" s="2922"/>
      <c r="F324" s="2780" t="str">
        <f t="shared" si="48"/>
        <v>CAC - SEER 20 ER2: MF</v>
      </c>
      <c r="G324" s="2781"/>
      <c r="H324" s="2782"/>
      <c r="I324" s="2470"/>
      <c r="J324" s="908">
        <v>24000</v>
      </c>
      <c r="K324" s="95">
        <f t="shared" si="55"/>
        <v>2</v>
      </c>
      <c r="L324" s="927"/>
      <c r="M324" s="2035"/>
      <c r="N324" s="2028"/>
      <c r="O324" s="177"/>
      <c r="P324" s="177"/>
      <c r="Q324" s="177"/>
      <c r="R324" s="177"/>
      <c r="S324" s="177"/>
      <c r="T324" s="177"/>
      <c r="U324" s="177"/>
      <c r="V324" s="2847"/>
      <c r="W324" s="2576"/>
      <c r="X324" s="908"/>
      <c r="Y324" s="908"/>
      <c r="Z324" s="908">
        <v>24000</v>
      </c>
      <c r="AA324" s="2576"/>
      <c r="AB324" s="2576"/>
      <c r="AC324" s="2576"/>
      <c r="AD324" s="2576"/>
      <c r="AE324" s="2576"/>
      <c r="AF324" s="2576"/>
      <c r="AG324" s="2576"/>
      <c r="BB324" s="784"/>
      <c r="BC324" s="796"/>
      <c r="BD324" s="900"/>
      <c r="BE324" s="797"/>
    </row>
    <row r="325" spans="1:57" s="65" customFormat="1" ht="14.45" hidden="1" customHeight="1" outlineLevel="1" x14ac:dyDescent="0.25">
      <c r="A325" s="785"/>
      <c r="B325" s="177"/>
      <c r="C325" s="455"/>
      <c r="D325" s="2847"/>
      <c r="E325" s="2922"/>
      <c r="F325" s="2780" t="str">
        <f t="shared" si="48"/>
        <v>CAC - SEER 20 ER1: MF_CompE</v>
      </c>
      <c r="G325" s="2781"/>
      <c r="H325" s="2782"/>
      <c r="I325" s="2470"/>
      <c r="J325" s="908">
        <v>24000</v>
      </c>
      <c r="K325" s="95">
        <f t="shared" si="55"/>
        <v>2</v>
      </c>
      <c r="L325" s="927"/>
      <c r="M325" s="2035"/>
      <c r="N325" s="2028"/>
      <c r="O325" s="177"/>
      <c r="P325" s="177"/>
      <c r="Q325" s="177"/>
      <c r="R325" s="177"/>
      <c r="S325" s="177"/>
      <c r="T325" s="177"/>
      <c r="U325" s="177"/>
      <c r="V325" s="2847"/>
      <c r="W325" s="2576"/>
      <c r="X325" s="908"/>
      <c r="Y325" s="908"/>
      <c r="Z325" s="908">
        <v>24000</v>
      </c>
      <c r="AA325" s="2576"/>
      <c r="AB325" s="2576"/>
      <c r="AC325" s="2576"/>
      <c r="AD325" s="2576"/>
      <c r="AE325" s="2576"/>
      <c r="AF325" s="2576"/>
      <c r="AG325" s="2576"/>
      <c r="BB325" s="784"/>
      <c r="BC325" s="796"/>
      <c r="BD325" s="900"/>
      <c r="BE325" s="797"/>
    </row>
    <row r="326" spans="1:57" s="65" customFormat="1" ht="14.45" hidden="1" customHeight="1" outlineLevel="1" x14ac:dyDescent="0.25">
      <c r="A326" s="785"/>
      <c r="B326" s="177"/>
      <c r="C326" s="455"/>
      <c r="D326" s="2847"/>
      <c r="E326" s="2922"/>
      <c r="F326" s="2780" t="str">
        <f t="shared" si="48"/>
        <v>CAC - SEER 20 ER2: MF_CompE</v>
      </c>
      <c r="G326" s="2781"/>
      <c r="H326" s="2782"/>
      <c r="I326" s="2470"/>
      <c r="J326" s="908">
        <v>24000</v>
      </c>
      <c r="K326" s="95">
        <f t="shared" si="55"/>
        <v>2</v>
      </c>
      <c r="L326" s="927"/>
      <c r="M326" s="2035"/>
      <c r="N326" s="2028"/>
      <c r="O326" s="177"/>
      <c r="P326" s="177"/>
      <c r="Q326" s="177"/>
      <c r="R326" s="177"/>
      <c r="S326" s="177"/>
      <c r="T326" s="177"/>
      <c r="U326" s="177"/>
      <c r="V326" s="2847"/>
      <c r="W326" s="2576"/>
      <c r="X326" s="908"/>
      <c r="Y326" s="908"/>
      <c r="Z326" s="908">
        <v>24000</v>
      </c>
      <c r="AA326" s="2576"/>
      <c r="AB326" s="2576"/>
      <c r="AC326" s="2576"/>
      <c r="AD326" s="2576"/>
      <c r="AE326" s="2576"/>
      <c r="AF326" s="2576"/>
      <c r="AG326" s="2576"/>
      <c r="BB326" s="784"/>
      <c r="BC326" s="796"/>
      <c r="BD326" s="900"/>
      <c r="BE326" s="797"/>
    </row>
    <row r="327" spans="1:57" s="65" customFormat="1" ht="14.45" hidden="1" customHeight="1" outlineLevel="1" x14ac:dyDescent="0.25">
      <c r="A327" s="785"/>
      <c r="B327" s="177"/>
      <c r="C327" s="455"/>
      <c r="D327" s="2847"/>
      <c r="E327" s="2922"/>
      <c r="F327" s="2780" t="str">
        <f t="shared" si="48"/>
        <v>CAC - SEER 20 ROF: MF</v>
      </c>
      <c r="G327" s="2781"/>
      <c r="H327" s="2782"/>
      <c r="I327" s="2470"/>
      <c r="J327" s="908">
        <v>24000</v>
      </c>
      <c r="K327" s="95">
        <f t="shared" si="55"/>
        <v>2</v>
      </c>
      <c r="L327" s="927"/>
      <c r="M327" s="2035"/>
      <c r="N327" s="2028"/>
      <c r="O327" s="177"/>
      <c r="P327" s="177"/>
      <c r="Q327" s="177"/>
      <c r="R327" s="177"/>
      <c r="S327" s="177"/>
      <c r="T327" s="177"/>
      <c r="U327" s="177"/>
      <c r="V327" s="2847"/>
      <c r="W327" s="2576"/>
      <c r="X327" s="908"/>
      <c r="Y327" s="908"/>
      <c r="Z327" s="908">
        <v>24000</v>
      </c>
      <c r="AA327" s="2576"/>
      <c r="AB327" s="2576"/>
      <c r="AC327" s="2576"/>
      <c r="AD327" s="2576"/>
      <c r="AE327" s="2576"/>
      <c r="AF327" s="2576"/>
      <c r="AG327" s="2576"/>
      <c r="BB327" s="784"/>
      <c r="BC327" s="796"/>
      <c r="BD327" s="900"/>
      <c r="BE327" s="797"/>
    </row>
    <row r="328" spans="1:57" s="65" customFormat="1" ht="14.45" hidden="1" customHeight="1" outlineLevel="1" x14ac:dyDescent="0.25">
      <c r="A328" s="785"/>
      <c r="B328" s="177"/>
      <c r="C328" s="455"/>
      <c r="D328" s="2847"/>
      <c r="E328" s="2922"/>
      <c r="F328" s="2780" t="str">
        <f t="shared" si="48"/>
        <v>CAC - SEER 20 ROF: MF_CompE</v>
      </c>
      <c r="G328" s="2781"/>
      <c r="H328" s="2782"/>
      <c r="I328" s="2470"/>
      <c r="J328" s="908">
        <v>24000</v>
      </c>
      <c r="K328" s="95">
        <f t="shared" si="55"/>
        <v>2</v>
      </c>
      <c r="L328" s="927"/>
      <c r="M328" s="2035"/>
      <c r="N328" s="2028"/>
      <c r="O328" s="177"/>
      <c r="P328" s="177"/>
      <c r="Q328" s="177"/>
      <c r="R328" s="177"/>
      <c r="S328" s="177"/>
      <c r="T328" s="177"/>
      <c r="U328" s="177"/>
      <c r="V328" s="2847"/>
      <c r="W328" s="2576"/>
      <c r="X328" s="908"/>
      <c r="Y328" s="908"/>
      <c r="Z328" s="908">
        <v>24000</v>
      </c>
      <c r="AA328" s="2576"/>
      <c r="AB328" s="2576"/>
      <c r="AC328" s="2576"/>
      <c r="AD328" s="2576"/>
      <c r="AE328" s="2576"/>
      <c r="AF328" s="2576"/>
      <c r="AG328" s="2576"/>
      <c r="BB328" s="784"/>
      <c r="BC328" s="796"/>
      <c r="BD328" s="900"/>
      <c r="BE328" s="797"/>
    </row>
    <row r="329" spans="1:57" s="65" customFormat="1" ht="14.45" hidden="1" customHeight="1" outlineLevel="1" x14ac:dyDescent="0.25">
      <c r="A329" s="785"/>
      <c r="B329" s="177"/>
      <c r="C329" s="455"/>
      <c r="D329" s="2847"/>
      <c r="E329" s="2922"/>
      <c r="F329" s="2780" t="str">
        <f t="shared" si="48"/>
        <v>CAC - SEER 21+ ER1: SF</v>
      </c>
      <c r="G329" s="2781"/>
      <c r="H329" s="2782"/>
      <c r="I329" s="2470"/>
      <c r="J329" s="908">
        <v>36000</v>
      </c>
      <c r="K329" s="95">
        <f t="shared" si="55"/>
        <v>3</v>
      </c>
      <c r="L329" s="928"/>
      <c r="M329" s="2035"/>
      <c r="N329" s="2028"/>
      <c r="O329" s="177"/>
      <c r="P329" s="177"/>
      <c r="Q329" s="177"/>
      <c r="R329" s="177"/>
      <c r="S329" s="177"/>
      <c r="T329" s="177"/>
      <c r="U329" s="177"/>
      <c r="V329" s="2847"/>
      <c r="W329" s="2576"/>
      <c r="X329" s="929"/>
      <c r="Y329" s="908"/>
      <c r="Z329" s="908">
        <v>36000</v>
      </c>
      <c r="AA329" s="2576"/>
      <c r="AB329" s="2576"/>
      <c r="AC329" s="2576"/>
      <c r="AD329" s="2576"/>
      <c r="AE329" s="2576"/>
      <c r="AF329" s="2576"/>
      <c r="AG329" s="2576"/>
      <c r="BB329" s="784"/>
      <c r="BC329" s="796"/>
      <c r="BD329" s="900"/>
      <c r="BE329" s="797"/>
    </row>
    <row r="330" spans="1:57" s="65" customFormat="1" ht="14.45" hidden="1" customHeight="1" outlineLevel="1" x14ac:dyDescent="0.25">
      <c r="A330" s="785"/>
      <c r="B330" s="177"/>
      <c r="C330" s="455"/>
      <c r="D330" s="2847"/>
      <c r="E330" s="2922"/>
      <c r="F330" s="2780" t="str">
        <f t="shared" ref="F330:F393" si="56">F258</f>
        <v>CAC - SEER 21+ ER2: SF</v>
      </c>
      <c r="G330" s="2781"/>
      <c r="H330" s="2782"/>
      <c r="I330" s="2470"/>
      <c r="J330" s="908">
        <v>36000</v>
      </c>
      <c r="K330" s="95">
        <f t="shared" si="55"/>
        <v>3</v>
      </c>
      <c r="L330" s="928"/>
      <c r="M330" s="2035"/>
      <c r="N330" s="2028"/>
      <c r="O330" s="177"/>
      <c r="P330" s="177"/>
      <c r="Q330" s="177"/>
      <c r="R330" s="177"/>
      <c r="S330" s="177"/>
      <c r="T330" s="177"/>
      <c r="U330" s="177"/>
      <c r="V330" s="2847"/>
      <c r="W330" s="2576"/>
      <c r="X330" s="929"/>
      <c r="Y330" s="908"/>
      <c r="Z330" s="908">
        <v>36000</v>
      </c>
      <c r="AA330" s="2576"/>
      <c r="AB330" s="2576"/>
      <c r="AC330" s="2576"/>
      <c r="AD330" s="2576"/>
      <c r="AE330" s="2576"/>
      <c r="AF330" s="2576"/>
      <c r="AG330" s="2576"/>
      <c r="BB330" s="784"/>
      <c r="BC330" s="796"/>
      <c r="BD330" s="900"/>
      <c r="BE330" s="797"/>
    </row>
    <row r="331" spans="1:57" s="65" customFormat="1" ht="14.45" hidden="1" customHeight="1" outlineLevel="1" x14ac:dyDescent="0.25">
      <c r="A331" s="785"/>
      <c r="B331" s="177"/>
      <c r="C331" s="455"/>
      <c r="D331" s="2847"/>
      <c r="E331" s="2922"/>
      <c r="F331" s="2780" t="str">
        <f t="shared" si="56"/>
        <v>CAC - SEER 21+ ROF: SF</v>
      </c>
      <c r="G331" s="2781"/>
      <c r="H331" s="2782"/>
      <c r="I331" s="2470"/>
      <c r="J331" s="908">
        <v>36000</v>
      </c>
      <c r="K331" s="95">
        <f t="shared" si="55"/>
        <v>3</v>
      </c>
      <c r="L331" s="928"/>
      <c r="M331" s="2035"/>
      <c r="N331" s="2028"/>
      <c r="O331" s="177"/>
      <c r="P331" s="177"/>
      <c r="Q331" s="177"/>
      <c r="R331" s="177"/>
      <c r="S331" s="177"/>
      <c r="T331" s="177"/>
      <c r="U331" s="177"/>
      <c r="V331" s="2847"/>
      <c r="W331" s="2576"/>
      <c r="X331" s="929"/>
      <c r="Y331" s="908"/>
      <c r="Z331" s="908">
        <v>36000</v>
      </c>
      <c r="AA331" s="2576"/>
      <c r="AB331" s="2576"/>
      <c r="AC331" s="2576"/>
      <c r="AD331" s="2576"/>
      <c r="AE331" s="2576"/>
      <c r="AF331" s="2576"/>
      <c r="AG331" s="2576"/>
      <c r="BB331" s="784"/>
      <c r="BC331" s="796"/>
      <c r="BD331" s="900"/>
      <c r="BE331" s="797"/>
    </row>
    <row r="332" spans="1:57" s="65" customFormat="1" ht="14.45" hidden="1" customHeight="1" outlineLevel="1" x14ac:dyDescent="0.25">
      <c r="A332" s="785"/>
      <c r="B332" s="177"/>
      <c r="C332" s="455"/>
      <c r="D332" s="2847"/>
      <c r="E332" s="2922"/>
      <c r="F332" s="2780" t="str">
        <f t="shared" si="56"/>
        <v>CAC - SEER 21+ ER1: MF</v>
      </c>
      <c r="G332" s="2781"/>
      <c r="H332" s="2782"/>
      <c r="I332" s="2470"/>
      <c r="J332" s="908">
        <v>24000</v>
      </c>
      <c r="K332" s="95">
        <f t="shared" si="55"/>
        <v>2</v>
      </c>
      <c r="L332" s="928"/>
      <c r="M332" s="2035"/>
      <c r="N332" s="2028"/>
      <c r="O332" s="177"/>
      <c r="P332" s="177"/>
      <c r="Q332" s="177"/>
      <c r="R332" s="177"/>
      <c r="S332" s="177"/>
      <c r="T332" s="177"/>
      <c r="U332" s="177"/>
      <c r="V332" s="2847"/>
      <c r="W332" s="2576"/>
      <c r="X332" s="929"/>
      <c r="Y332" s="908"/>
      <c r="Z332" s="908">
        <v>24000</v>
      </c>
      <c r="AA332" s="2576"/>
      <c r="AB332" s="2576"/>
      <c r="AC332" s="2576"/>
      <c r="AD332" s="2576"/>
      <c r="AE332" s="2576"/>
      <c r="AF332" s="2576"/>
      <c r="AG332" s="2576"/>
      <c r="BB332" s="784"/>
      <c r="BC332" s="796"/>
      <c r="BD332" s="900"/>
      <c r="BE332" s="797"/>
    </row>
    <row r="333" spans="1:57" s="65" customFormat="1" ht="14.45" hidden="1" customHeight="1" outlineLevel="1" x14ac:dyDescent="0.25">
      <c r="A333" s="785"/>
      <c r="B333" s="177"/>
      <c r="C333" s="455"/>
      <c r="D333" s="2847"/>
      <c r="E333" s="2922"/>
      <c r="F333" s="2780" t="str">
        <f t="shared" si="56"/>
        <v>CAC - SEER 21+ ER2: MF</v>
      </c>
      <c r="G333" s="2781"/>
      <c r="H333" s="2782"/>
      <c r="I333" s="2470"/>
      <c r="J333" s="908">
        <v>24000</v>
      </c>
      <c r="K333" s="95">
        <f t="shared" si="55"/>
        <v>2</v>
      </c>
      <c r="L333" s="928"/>
      <c r="M333" s="2035"/>
      <c r="N333" s="2028"/>
      <c r="O333" s="177"/>
      <c r="P333" s="177"/>
      <c r="Q333" s="177"/>
      <c r="R333" s="177"/>
      <c r="S333" s="177"/>
      <c r="T333" s="177"/>
      <c r="U333" s="177"/>
      <c r="V333" s="2847"/>
      <c r="W333" s="2576"/>
      <c r="X333" s="929"/>
      <c r="Y333" s="908"/>
      <c r="Z333" s="908">
        <v>24000</v>
      </c>
      <c r="AA333" s="2576"/>
      <c r="AB333" s="2576"/>
      <c r="AC333" s="2576"/>
      <c r="AD333" s="2576"/>
      <c r="AE333" s="2576"/>
      <c r="AF333" s="2576"/>
      <c r="AG333" s="2576"/>
      <c r="BB333" s="784"/>
      <c r="BC333" s="796"/>
      <c r="BD333" s="900"/>
      <c r="BE333" s="797"/>
    </row>
    <row r="334" spans="1:57" s="65" customFormat="1" ht="14.45" hidden="1" customHeight="1" outlineLevel="1" x14ac:dyDescent="0.25">
      <c r="A334" s="785"/>
      <c r="B334" s="177"/>
      <c r="C334" s="455"/>
      <c r="D334" s="2847"/>
      <c r="E334" s="2922"/>
      <c r="F334" s="2780" t="str">
        <f t="shared" si="56"/>
        <v>CAC - SEER 21+ ER1: MF_CompE</v>
      </c>
      <c r="G334" s="2781"/>
      <c r="H334" s="2782"/>
      <c r="I334" s="921"/>
      <c r="J334" s="908">
        <v>24000</v>
      </c>
      <c r="K334" s="95">
        <f t="shared" si="55"/>
        <v>2</v>
      </c>
      <c r="L334" s="930"/>
      <c r="M334" s="2035"/>
      <c r="N334" s="2028"/>
      <c r="O334" s="177"/>
      <c r="P334" s="177"/>
      <c r="Q334" s="177"/>
      <c r="R334" s="177"/>
      <c r="S334" s="177"/>
      <c r="T334" s="177"/>
      <c r="U334" s="177"/>
      <c r="V334" s="2847"/>
      <c r="W334" s="2576"/>
      <c r="X334" s="929"/>
      <c r="Y334" s="908"/>
      <c r="Z334" s="908">
        <v>24000</v>
      </c>
      <c r="AA334" s="2576"/>
      <c r="AB334" s="2576"/>
      <c r="AC334" s="2576"/>
      <c r="AD334" s="2576"/>
      <c r="AE334" s="2576"/>
      <c r="AF334" s="2576"/>
      <c r="AG334" s="2576"/>
      <c r="BB334" s="784"/>
      <c r="BC334" s="796"/>
      <c r="BD334" s="900"/>
      <c r="BE334" s="797"/>
    </row>
    <row r="335" spans="1:57" s="65" customFormat="1" ht="14.45" hidden="1" customHeight="1" outlineLevel="1" x14ac:dyDescent="0.25">
      <c r="A335" s="785"/>
      <c r="B335" s="177"/>
      <c r="C335" s="455"/>
      <c r="D335" s="2847"/>
      <c r="E335" s="2922"/>
      <c r="F335" s="2780" t="str">
        <f t="shared" si="56"/>
        <v>CAC - SEER 21+ ER2: MF_CompE</v>
      </c>
      <c r="G335" s="2781"/>
      <c r="H335" s="2782"/>
      <c r="I335" s="921"/>
      <c r="J335" s="908">
        <v>24000</v>
      </c>
      <c r="K335" s="95">
        <f t="shared" si="55"/>
        <v>2</v>
      </c>
      <c r="L335" s="930"/>
      <c r="M335" s="2035"/>
      <c r="N335" s="2028"/>
      <c r="O335" s="177"/>
      <c r="P335" s="177"/>
      <c r="Q335" s="177"/>
      <c r="R335" s="177"/>
      <c r="S335" s="177"/>
      <c r="T335" s="177"/>
      <c r="U335" s="177"/>
      <c r="V335" s="2847"/>
      <c r="W335" s="2576"/>
      <c r="X335" s="929"/>
      <c r="Y335" s="908"/>
      <c r="Z335" s="908">
        <v>24000</v>
      </c>
      <c r="AA335" s="2576"/>
      <c r="AB335" s="2576"/>
      <c r="AC335" s="2576"/>
      <c r="AD335" s="2576"/>
      <c r="AE335" s="2576"/>
      <c r="AF335" s="2576"/>
      <c r="AG335" s="2576"/>
      <c r="BB335" s="784"/>
      <c r="BC335" s="796"/>
      <c r="BD335" s="900"/>
      <c r="BE335" s="797"/>
    </row>
    <row r="336" spans="1:57" s="65" customFormat="1" ht="14.45" hidden="1" customHeight="1" outlineLevel="1" x14ac:dyDescent="0.25">
      <c r="A336" s="785"/>
      <c r="B336" s="177"/>
      <c r="C336" s="455"/>
      <c r="D336" s="2847"/>
      <c r="E336" s="2922"/>
      <c r="F336" s="2780" t="str">
        <f t="shared" si="56"/>
        <v>CAC - SEER 21+ ROF: MF</v>
      </c>
      <c r="G336" s="2781"/>
      <c r="H336" s="2782"/>
      <c r="I336" s="2470"/>
      <c r="J336" s="908">
        <v>24000</v>
      </c>
      <c r="K336" s="95">
        <f t="shared" si="55"/>
        <v>2</v>
      </c>
      <c r="L336" s="928"/>
      <c r="M336" s="2036"/>
      <c r="N336" s="2028"/>
      <c r="O336" s="177"/>
      <c r="P336" s="177"/>
      <c r="Q336" s="177"/>
      <c r="R336" s="177"/>
      <c r="S336" s="177"/>
      <c r="T336" s="177"/>
      <c r="U336" s="177"/>
      <c r="V336" s="2847"/>
      <c r="W336" s="2576"/>
      <c r="X336" s="929"/>
      <c r="Y336" s="2576"/>
      <c r="Z336" s="908">
        <v>24000</v>
      </c>
      <c r="AA336" s="2576"/>
      <c r="AB336" s="2576"/>
      <c r="AC336" s="2576"/>
      <c r="AD336" s="2576"/>
      <c r="AE336" s="2576"/>
      <c r="AF336" s="2576"/>
      <c r="AG336" s="2576"/>
      <c r="BB336" s="784"/>
      <c r="BC336" s="796"/>
      <c r="BD336" s="900"/>
      <c r="BE336" s="797"/>
    </row>
    <row r="337" spans="1:57" s="65" customFormat="1" ht="14.45" hidden="1" customHeight="1" outlineLevel="1" thickBot="1" x14ac:dyDescent="0.3">
      <c r="A337" s="785"/>
      <c r="B337" s="177"/>
      <c r="C337" s="455"/>
      <c r="D337" s="2848"/>
      <c r="E337" s="2923"/>
      <c r="F337" s="2780" t="str">
        <f t="shared" si="56"/>
        <v>CAC - SEER 21+ ROF: MF_CompE</v>
      </c>
      <c r="G337" s="2781"/>
      <c r="H337" s="2782"/>
      <c r="I337" s="924"/>
      <c r="J337" s="908">
        <v>24000</v>
      </c>
      <c r="K337" s="2037">
        <f t="shared" si="55"/>
        <v>2</v>
      </c>
      <c r="L337" s="931"/>
      <c r="M337" s="2036"/>
      <c r="N337" s="2028"/>
      <c r="O337" s="177"/>
      <c r="P337" s="177"/>
      <c r="Q337" s="177"/>
      <c r="R337" s="177"/>
      <c r="S337" s="177"/>
      <c r="T337" s="177"/>
      <c r="U337" s="177"/>
      <c r="V337" s="2848"/>
      <c r="W337" s="926"/>
      <c r="X337" s="932"/>
      <c r="Y337" s="933"/>
      <c r="Z337" s="933">
        <v>24000</v>
      </c>
      <c r="AA337" s="926"/>
      <c r="AB337" s="926"/>
      <c r="AC337" s="926"/>
      <c r="AD337" s="926"/>
      <c r="AE337" s="926"/>
      <c r="AF337" s="926"/>
      <c r="AG337" s="926"/>
      <c r="BB337" s="784"/>
      <c r="BC337" s="796"/>
      <c r="BD337" s="900"/>
      <c r="BE337" s="797"/>
    </row>
    <row r="338" spans="1:57" s="65" customFormat="1" ht="14.45" hidden="1" customHeight="1" outlineLevel="1" x14ac:dyDescent="0.25">
      <c r="A338" s="785"/>
      <c r="B338" s="177"/>
      <c r="C338" s="455"/>
      <c r="D338" s="2805" t="s">
        <v>1287</v>
      </c>
      <c r="E338" s="2855" t="s">
        <v>1288</v>
      </c>
      <c r="F338" s="2776" t="str">
        <f t="shared" si="56"/>
        <v>CAC - SEER 14 ER1: SF</v>
      </c>
      <c r="G338" s="2777"/>
      <c r="H338" s="2778"/>
      <c r="I338" s="1667"/>
      <c r="J338" s="1667"/>
      <c r="K338" s="904"/>
      <c r="L338" s="934" t="s">
        <v>1289</v>
      </c>
      <c r="M338" s="2036"/>
      <c r="N338" s="2028"/>
      <c r="O338" s="177"/>
      <c r="P338" s="177"/>
      <c r="Q338" s="177"/>
      <c r="R338" s="177"/>
      <c r="S338" s="177"/>
      <c r="T338" s="177"/>
      <c r="U338" s="177"/>
      <c r="V338" s="2867" t="str">
        <f>D338</f>
        <v>SEERbase</v>
      </c>
      <c r="W338" s="2577">
        <v>10</v>
      </c>
      <c r="X338" s="902"/>
      <c r="Y338" s="902"/>
      <c r="Z338" s="2577"/>
      <c r="AA338" s="2577"/>
      <c r="AB338" s="2577"/>
      <c r="AC338" s="2577"/>
      <c r="AD338" s="2577"/>
      <c r="AE338" s="2577"/>
      <c r="AF338" s="2577"/>
      <c r="AG338" s="2577"/>
      <c r="BB338" s="784"/>
      <c r="BC338" s="796"/>
      <c r="BD338" s="900"/>
      <c r="BE338" s="797"/>
    </row>
    <row r="339" spans="1:57" s="65" customFormat="1" ht="14.45" hidden="1" customHeight="1" outlineLevel="1" x14ac:dyDescent="0.25">
      <c r="A339" s="785"/>
      <c r="B339" s="177"/>
      <c r="C339" s="455"/>
      <c r="D339" s="2806"/>
      <c r="E339" s="2856"/>
      <c r="F339" s="2783" t="str">
        <f t="shared" si="56"/>
        <v>CAC - SEER 14 ER2: SF</v>
      </c>
      <c r="G339" s="2784"/>
      <c r="H339" s="2785"/>
      <c r="I339" s="1663"/>
      <c r="J339" s="1663">
        <v>13</v>
      </c>
      <c r="K339" s="910"/>
      <c r="L339" s="935" t="str">
        <f>L338</f>
        <v>MO TRM</v>
      </c>
      <c r="M339" s="2036"/>
      <c r="N339" s="2028"/>
      <c r="O339" s="177"/>
      <c r="P339" s="177"/>
      <c r="Q339" s="177"/>
      <c r="R339" s="177"/>
      <c r="S339" s="177"/>
      <c r="T339" s="177"/>
      <c r="U339" s="177"/>
      <c r="V339" s="2866"/>
      <c r="W339" s="2576">
        <v>13</v>
      </c>
      <c r="X339" s="2576">
        <v>13</v>
      </c>
      <c r="Y339" s="2576">
        <v>13</v>
      </c>
      <c r="Z339" s="2576"/>
      <c r="AA339" s="2576"/>
      <c r="AB339" s="2576"/>
      <c r="AC339" s="2576"/>
      <c r="AD339" s="2576"/>
      <c r="AE339" s="2576"/>
      <c r="AF339" s="2576"/>
      <c r="AG339" s="2576"/>
      <c r="BB339" s="784"/>
      <c r="BC339" s="796"/>
      <c r="BD339" s="900"/>
      <c r="BE339" s="797"/>
    </row>
    <row r="340" spans="1:57" s="65" customFormat="1" ht="14.45" hidden="1" customHeight="1" outlineLevel="1" x14ac:dyDescent="0.25">
      <c r="A340" s="785"/>
      <c r="B340" s="177"/>
      <c r="C340" s="455"/>
      <c r="D340" s="2806"/>
      <c r="E340" s="2856"/>
      <c r="F340" s="2783" t="str">
        <f t="shared" si="56"/>
        <v>CAC - SEER 14 ROF: SF</v>
      </c>
      <c r="G340" s="2784"/>
      <c r="H340" s="2785"/>
      <c r="I340" s="1663"/>
      <c r="J340" s="1663">
        <v>13</v>
      </c>
      <c r="K340" s="910"/>
      <c r="L340" s="935" t="str">
        <f t="shared" ref="L340:L369" si="57">L339</f>
        <v>MO TRM</v>
      </c>
      <c r="M340" s="455"/>
      <c r="N340" s="2028"/>
      <c r="O340" s="455"/>
      <c r="P340" s="177"/>
      <c r="Q340" s="177"/>
      <c r="R340" s="177"/>
      <c r="S340" s="177"/>
      <c r="T340" s="177"/>
      <c r="U340" s="177"/>
      <c r="V340" s="2866"/>
      <c r="W340" s="2576">
        <v>13</v>
      </c>
      <c r="X340" s="2576">
        <v>13</v>
      </c>
      <c r="Y340" s="2576">
        <v>13</v>
      </c>
      <c r="Z340" s="2576"/>
      <c r="AA340" s="2576"/>
      <c r="AB340" s="2576"/>
      <c r="AC340" s="2576"/>
      <c r="AD340" s="2576"/>
      <c r="AE340" s="2576"/>
      <c r="AF340" s="2576"/>
      <c r="AG340" s="2576"/>
      <c r="BB340" s="784"/>
      <c r="BC340" s="796"/>
      <c r="BD340" s="900"/>
      <c r="BE340" s="797"/>
    </row>
    <row r="341" spans="1:57" s="65" customFormat="1" hidden="1" outlineLevel="1" x14ac:dyDescent="0.25">
      <c r="A341" s="785"/>
      <c r="B341" s="177"/>
      <c r="C341" s="455"/>
      <c r="D341" s="2806"/>
      <c r="E341" s="2856"/>
      <c r="F341" s="2757" t="str">
        <f t="shared" si="56"/>
        <v>CAC - SEER 14 ER1: MF</v>
      </c>
      <c r="G341" s="2758"/>
      <c r="H341" s="2759"/>
      <c r="I341" s="1663"/>
      <c r="J341" s="1663"/>
      <c r="K341" s="910"/>
      <c r="L341" s="935" t="str">
        <f t="shared" si="57"/>
        <v>MO TRM</v>
      </c>
      <c r="M341" s="455"/>
      <c r="N341" s="2028"/>
      <c r="O341" s="455"/>
      <c r="P341" s="177"/>
      <c r="Q341" s="177"/>
      <c r="R341" s="177"/>
      <c r="S341" s="177"/>
      <c r="T341" s="177"/>
      <c r="U341" s="177"/>
      <c r="V341" s="2866"/>
      <c r="W341" s="2576">
        <v>10</v>
      </c>
      <c r="X341" s="908"/>
      <c r="Y341" s="908"/>
      <c r="Z341" s="2576"/>
      <c r="AA341" s="2576"/>
      <c r="AB341" s="2576"/>
      <c r="AC341" s="2576"/>
      <c r="AD341" s="2576"/>
      <c r="AE341" s="2576"/>
      <c r="AF341" s="2576"/>
      <c r="AG341" s="2576"/>
      <c r="BB341" s="784"/>
      <c r="BC341" s="796"/>
      <c r="BD341" s="900"/>
      <c r="BE341" s="797"/>
    </row>
    <row r="342" spans="1:57" s="65" customFormat="1" hidden="1" outlineLevel="1" x14ac:dyDescent="0.25">
      <c r="A342" s="785"/>
      <c r="B342" s="177"/>
      <c r="C342" s="455"/>
      <c r="D342" s="2806"/>
      <c r="E342" s="2856"/>
      <c r="F342" s="2757" t="str">
        <f t="shared" si="56"/>
        <v>CAC - SEER 14 ER2: MF</v>
      </c>
      <c r="G342" s="2758"/>
      <c r="H342" s="2759"/>
      <c r="I342" s="1663"/>
      <c r="J342" s="1663">
        <v>13</v>
      </c>
      <c r="K342" s="910"/>
      <c r="L342" s="935" t="str">
        <f t="shared" si="57"/>
        <v>MO TRM</v>
      </c>
      <c r="M342" s="455"/>
      <c r="N342" s="2028"/>
      <c r="O342" s="455"/>
      <c r="P342" s="177"/>
      <c r="Q342" s="177"/>
      <c r="R342" s="177"/>
      <c r="S342" s="177"/>
      <c r="T342" s="177"/>
      <c r="U342" s="177"/>
      <c r="V342" s="2866"/>
      <c r="W342" s="2576">
        <v>13</v>
      </c>
      <c r="X342" s="2576">
        <v>13</v>
      </c>
      <c r="Y342" s="2576">
        <v>13</v>
      </c>
      <c r="Z342" s="2576"/>
      <c r="AA342" s="2576"/>
      <c r="AB342" s="2576"/>
      <c r="AC342" s="2576"/>
      <c r="AD342" s="2576"/>
      <c r="AE342" s="2576"/>
      <c r="AF342" s="2576"/>
      <c r="AG342" s="2576"/>
      <c r="BB342" s="784"/>
      <c r="BC342" s="796"/>
      <c r="BD342" s="900"/>
      <c r="BE342" s="797"/>
    </row>
    <row r="343" spans="1:57" s="65" customFormat="1" hidden="1" outlineLevel="1" x14ac:dyDescent="0.25">
      <c r="A343" s="785"/>
      <c r="B343" s="177"/>
      <c r="C343" s="455"/>
      <c r="D343" s="2806"/>
      <c r="E343" s="2856"/>
      <c r="F343" s="2757" t="str">
        <f t="shared" si="56"/>
        <v>CAC - SEER 14 ER1: MF_CompE</v>
      </c>
      <c r="G343" s="2758"/>
      <c r="H343" s="2759"/>
      <c r="I343" s="1663"/>
      <c r="J343" s="1663"/>
      <c r="K343" s="910"/>
      <c r="L343" s="935"/>
      <c r="M343" s="455"/>
      <c r="N343" s="2028"/>
      <c r="O343" s="455"/>
      <c r="P343" s="177"/>
      <c r="Q343" s="177"/>
      <c r="R343" s="177"/>
      <c r="S343" s="177"/>
      <c r="T343" s="177"/>
      <c r="U343" s="177"/>
      <c r="V343" s="2866"/>
      <c r="W343" s="2576"/>
      <c r="X343" s="2576"/>
      <c r="Y343" s="2576"/>
      <c r="Z343" s="2576"/>
      <c r="AA343" s="2576"/>
      <c r="AB343" s="2576"/>
      <c r="AC343" s="2576"/>
      <c r="AD343" s="2576"/>
      <c r="AE343" s="2576"/>
      <c r="AF343" s="2576"/>
      <c r="AG343" s="2576"/>
      <c r="BB343" s="784"/>
      <c r="BC343" s="796"/>
      <c r="BD343" s="900"/>
      <c r="BE343" s="797"/>
    </row>
    <row r="344" spans="1:57" s="65" customFormat="1" hidden="1" outlineLevel="1" x14ac:dyDescent="0.25">
      <c r="A344" s="785"/>
      <c r="B344" s="177"/>
      <c r="C344" s="455"/>
      <c r="D344" s="2806"/>
      <c r="E344" s="2856"/>
      <c r="F344" s="2757" t="str">
        <f t="shared" si="56"/>
        <v>CAC - SEER 14 ER2: MF_CompE</v>
      </c>
      <c r="G344" s="2758"/>
      <c r="H344" s="2759"/>
      <c r="I344" s="1663"/>
      <c r="J344" s="1663">
        <v>13</v>
      </c>
      <c r="K344" s="910"/>
      <c r="L344" s="935"/>
      <c r="M344" s="455"/>
      <c r="N344" s="2028"/>
      <c r="O344" s="455"/>
      <c r="P344" s="177"/>
      <c r="Q344" s="177"/>
      <c r="R344" s="177"/>
      <c r="S344" s="177"/>
      <c r="T344" s="177"/>
      <c r="U344" s="177"/>
      <c r="V344" s="2866"/>
      <c r="W344" s="2576"/>
      <c r="X344" s="2576"/>
      <c r="Y344" s="2576">
        <v>13</v>
      </c>
      <c r="Z344" s="2576"/>
      <c r="AA344" s="2576"/>
      <c r="AB344" s="2576"/>
      <c r="AC344" s="2576"/>
      <c r="AD344" s="2576"/>
      <c r="AE344" s="2576"/>
      <c r="AF344" s="2576"/>
      <c r="AG344" s="2576"/>
      <c r="BB344" s="784"/>
      <c r="BC344" s="796"/>
      <c r="BD344" s="900"/>
      <c r="BE344" s="797"/>
    </row>
    <row r="345" spans="1:57" s="65" customFormat="1" hidden="1" outlineLevel="1" x14ac:dyDescent="0.25">
      <c r="A345" s="785"/>
      <c r="B345" s="177"/>
      <c r="C345" s="455"/>
      <c r="D345" s="2806"/>
      <c r="E345" s="2856"/>
      <c r="F345" s="2757" t="str">
        <f t="shared" si="56"/>
        <v>CAC - SEER 14 ROF: MF</v>
      </c>
      <c r="G345" s="2758"/>
      <c r="H345" s="2759"/>
      <c r="I345" s="1663"/>
      <c r="J345" s="1663">
        <v>13</v>
      </c>
      <c r="K345" s="910"/>
      <c r="L345" s="935" t="str">
        <f>L342</f>
        <v>MO TRM</v>
      </c>
      <c r="M345" s="455"/>
      <c r="N345" s="2028"/>
      <c r="O345" s="455"/>
      <c r="P345" s="177"/>
      <c r="Q345" s="177"/>
      <c r="R345" s="177"/>
      <c r="S345" s="177"/>
      <c r="T345" s="177"/>
      <c r="U345" s="177"/>
      <c r="V345" s="2866"/>
      <c r="W345" s="2576">
        <v>13</v>
      </c>
      <c r="X345" s="2576">
        <v>13</v>
      </c>
      <c r="Y345" s="2576">
        <v>13</v>
      </c>
      <c r="Z345" s="2576"/>
      <c r="AA345" s="2576"/>
      <c r="AB345" s="2576"/>
      <c r="AC345" s="2576"/>
      <c r="AD345" s="2576"/>
      <c r="AE345" s="2576"/>
      <c r="AF345" s="2576"/>
      <c r="AG345" s="2576"/>
      <c r="BB345" s="784"/>
      <c r="BC345" s="796"/>
      <c r="BD345" s="900"/>
      <c r="BE345" s="797"/>
    </row>
    <row r="346" spans="1:57" s="65" customFormat="1" hidden="1" outlineLevel="1" x14ac:dyDescent="0.25">
      <c r="A346" s="785"/>
      <c r="B346" s="177"/>
      <c r="C346" s="455"/>
      <c r="D346" s="2806"/>
      <c r="E346" s="2856"/>
      <c r="F346" s="2757" t="str">
        <f t="shared" si="56"/>
        <v>CAC - SEER 14 ROF: MF_CompE</v>
      </c>
      <c r="G346" s="2758"/>
      <c r="H346" s="2759"/>
      <c r="I346" s="1663"/>
      <c r="J346" s="1663">
        <v>13</v>
      </c>
      <c r="K346" s="910"/>
      <c r="L346" s="935"/>
      <c r="M346" s="455"/>
      <c r="N346" s="2028"/>
      <c r="O346" s="455"/>
      <c r="P346" s="177"/>
      <c r="Q346" s="177"/>
      <c r="R346" s="177"/>
      <c r="S346" s="177"/>
      <c r="T346" s="177"/>
      <c r="U346" s="177"/>
      <c r="V346" s="2866"/>
      <c r="W346" s="2576"/>
      <c r="X346" s="2576"/>
      <c r="Y346" s="2576">
        <v>13</v>
      </c>
      <c r="Z346" s="2576"/>
      <c r="AA346" s="2576"/>
      <c r="AB346" s="2576"/>
      <c r="AC346" s="2576"/>
      <c r="AD346" s="2576"/>
      <c r="AE346" s="2576"/>
      <c r="AF346" s="2576"/>
      <c r="AG346" s="2576"/>
      <c r="BB346" s="784"/>
      <c r="BC346" s="796"/>
      <c r="BD346" s="900"/>
      <c r="BE346" s="797"/>
    </row>
    <row r="347" spans="1:57" s="65" customFormat="1" hidden="1" outlineLevel="1" x14ac:dyDescent="0.25">
      <c r="A347" s="785"/>
      <c r="B347" s="177"/>
      <c r="C347" s="455"/>
      <c r="D347" s="2806"/>
      <c r="E347" s="2856"/>
      <c r="F347" s="2757" t="str">
        <f t="shared" si="56"/>
        <v>CAC - SEER 15 ER1: SF</v>
      </c>
      <c r="G347" s="2758"/>
      <c r="H347" s="2759"/>
      <c r="I347" s="1663"/>
      <c r="J347" s="1663"/>
      <c r="K347" s="910"/>
      <c r="L347" s="935" t="str">
        <f>L345</f>
        <v>MO TRM</v>
      </c>
      <c r="M347" s="455"/>
      <c r="N347" s="2028"/>
      <c r="O347" s="455"/>
      <c r="P347" s="177"/>
      <c r="Q347" s="177"/>
      <c r="R347" s="177"/>
      <c r="S347" s="177"/>
      <c r="T347" s="177"/>
      <c r="U347" s="177"/>
      <c r="V347" s="2866"/>
      <c r="W347" s="2576">
        <v>10</v>
      </c>
      <c r="X347" s="908"/>
      <c r="Y347" s="908"/>
      <c r="Z347" s="2576"/>
      <c r="AA347" s="2576"/>
      <c r="AB347" s="2576"/>
      <c r="AC347" s="2576"/>
      <c r="AD347" s="2576"/>
      <c r="AE347" s="2576"/>
      <c r="AF347" s="2576"/>
      <c r="AG347" s="2576"/>
      <c r="BB347" s="784"/>
      <c r="BC347" s="796"/>
      <c r="BD347" s="900"/>
      <c r="BE347" s="797"/>
    </row>
    <row r="348" spans="1:57" s="65" customFormat="1" hidden="1" outlineLevel="1" x14ac:dyDescent="0.25">
      <c r="A348" s="785"/>
      <c r="B348" s="177"/>
      <c r="C348" s="455"/>
      <c r="D348" s="2806"/>
      <c r="E348" s="2856"/>
      <c r="F348" s="2757" t="str">
        <f t="shared" si="56"/>
        <v>CAC - SEER 15 ER2: SF</v>
      </c>
      <c r="G348" s="2758"/>
      <c r="H348" s="2759"/>
      <c r="I348" s="1663"/>
      <c r="J348" s="1663">
        <v>13</v>
      </c>
      <c r="K348" s="910"/>
      <c r="L348" s="935" t="str">
        <f t="shared" si="57"/>
        <v>MO TRM</v>
      </c>
      <c r="M348" s="455"/>
      <c r="N348" s="2028"/>
      <c r="O348" s="455"/>
      <c r="P348" s="177"/>
      <c r="Q348" s="177"/>
      <c r="R348" s="177"/>
      <c r="S348" s="177"/>
      <c r="T348" s="177"/>
      <c r="U348" s="177"/>
      <c r="V348" s="2866"/>
      <c r="W348" s="2576">
        <v>13</v>
      </c>
      <c r="X348" s="2576">
        <v>13</v>
      </c>
      <c r="Y348" s="2576">
        <v>13</v>
      </c>
      <c r="Z348" s="2576"/>
      <c r="AA348" s="2576"/>
      <c r="AB348" s="2576"/>
      <c r="AC348" s="2576"/>
      <c r="AD348" s="2576"/>
      <c r="AE348" s="2576"/>
      <c r="AF348" s="2576"/>
      <c r="AG348" s="2576"/>
      <c r="BB348" s="784"/>
      <c r="BC348" s="796"/>
      <c r="BD348" s="900"/>
      <c r="BE348" s="797"/>
    </row>
    <row r="349" spans="1:57" s="65" customFormat="1" hidden="1" outlineLevel="1" x14ac:dyDescent="0.25">
      <c r="A349" s="785"/>
      <c r="B349" s="177"/>
      <c r="C349" s="455"/>
      <c r="D349" s="2806"/>
      <c r="E349" s="2856"/>
      <c r="F349" s="2757" t="str">
        <f t="shared" si="56"/>
        <v>CAC - SEER 15 ROF: SF</v>
      </c>
      <c r="G349" s="2758"/>
      <c r="H349" s="2759"/>
      <c r="I349" s="1663"/>
      <c r="J349" s="1663">
        <v>13</v>
      </c>
      <c r="K349" s="910"/>
      <c r="L349" s="935" t="str">
        <f t="shared" si="57"/>
        <v>MO TRM</v>
      </c>
      <c r="M349" s="455"/>
      <c r="N349" s="2028"/>
      <c r="O349" s="455"/>
      <c r="P349" s="177"/>
      <c r="Q349" s="177"/>
      <c r="R349" s="177"/>
      <c r="S349" s="177"/>
      <c r="T349" s="177"/>
      <c r="U349" s="177"/>
      <c r="V349" s="2866"/>
      <c r="W349" s="2576">
        <v>13</v>
      </c>
      <c r="X349" s="2576">
        <v>13</v>
      </c>
      <c r="Y349" s="2576">
        <v>13</v>
      </c>
      <c r="Z349" s="2576"/>
      <c r="AA349" s="2576"/>
      <c r="AB349" s="2576"/>
      <c r="AC349" s="2576"/>
      <c r="AD349" s="2576"/>
      <c r="AE349" s="2576"/>
      <c r="AF349" s="2576"/>
      <c r="AG349" s="2576"/>
      <c r="BB349" s="784"/>
      <c r="BC349" s="796"/>
      <c r="BD349" s="900"/>
      <c r="BE349" s="797"/>
    </row>
    <row r="350" spans="1:57" s="65" customFormat="1" hidden="1" outlineLevel="1" x14ac:dyDescent="0.25">
      <c r="A350" s="785"/>
      <c r="B350" s="177"/>
      <c r="C350" s="455"/>
      <c r="D350" s="2806"/>
      <c r="E350" s="2856"/>
      <c r="F350" s="2757" t="str">
        <f t="shared" si="56"/>
        <v>CAC - SEER 15 ER1: MF</v>
      </c>
      <c r="G350" s="2758"/>
      <c r="H350" s="2759"/>
      <c r="I350" s="1663"/>
      <c r="J350" s="1663"/>
      <c r="K350" s="910"/>
      <c r="L350" s="935" t="str">
        <f t="shared" si="57"/>
        <v>MO TRM</v>
      </c>
      <c r="M350" s="455"/>
      <c r="N350" s="2028"/>
      <c r="O350" s="455"/>
      <c r="P350" s="177"/>
      <c r="Q350" s="177"/>
      <c r="R350" s="177"/>
      <c r="S350" s="177"/>
      <c r="T350" s="177"/>
      <c r="U350" s="177"/>
      <c r="V350" s="2866"/>
      <c r="W350" s="2576">
        <v>10</v>
      </c>
      <c r="X350" s="908"/>
      <c r="Y350" s="908"/>
      <c r="Z350" s="2576"/>
      <c r="AA350" s="2576"/>
      <c r="AB350" s="2576"/>
      <c r="AC350" s="2576"/>
      <c r="AD350" s="2576"/>
      <c r="AE350" s="2576"/>
      <c r="AF350" s="2576"/>
      <c r="AG350" s="2576"/>
      <c r="BB350" s="784"/>
      <c r="BC350" s="796"/>
      <c r="BD350" s="900"/>
      <c r="BE350" s="797"/>
    </row>
    <row r="351" spans="1:57" s="65" customFormat="1" hidden="1" outlineLevel="1" x14ac:dyDescent="0.25">
      <c r="A351" s="785"/>
      <c r="B351" s="177"/>
      <c r="C351" s="455"/>
      <c r="D351" s="2806"/>
      <c r="E351" s="2856"/>
      <c r="F351" s="2757" t="str">
        <f t="shared" si="56"/>
        <v>CAC - SEER 15 ER2: MF</v>
      </c>
      <c r="G351" s="2758"/>
      <c r="H351" s="2759"/>
      <c r="I351" s="1663"/>
      <c r="J351" s="1663">
        <v>13</v>
      </c>
      <c r="K351" s="910"/>
      <c r="L351" s="935" t="str">
        <f t="shared" si="57"/>
        <v>MO TRM</v>
      </c>
      <c r="M351" s="455"/>
      <c r="N351" s="2028"/>
      <c r="O351" s="455"/>
      <c r="P351" s="177"/>
      <c r="Q351" s="177"/>
      <c r="R351" s="177"/>
      <c r="S351" s="177"/>
      <c r="T351" s="177"/>
      <c r="U351" s="177"/>
      <c r="V351" s="2866"/>
      <c r="W351" s="2576">
        <v>13</v>
      </c>
      <c r="X351" s="2576">
        <v>13</v>
      </c>
      <c r="Y351" s="2576">
        <v>13</v>
      </c>
      <c r="Z351" s="2576"/>
      <c r="AA351" s="2576"/>
      <c r="AB351" s="2576"/>
      <c r="AC351" s="2576"/>
      <c r="AD351" s="2576"/>
      <c r="AE351" s="2576"/>
      <c r="AF351" s="2576"/>
      <c r="AG351" s="2576"/>
      <c r="BB351" s="784"/>
      <c r="BC351" s="796"/>
      <c r="BD351" s="900"/>
      <c r="BE351" s="797"/>
    </row>
    <row r="352" spans="1:57" s="65" customFormat="1" hidden="1" outlineLevel="1" x14ac:dyDescent="0.25">
      <c r="A352" s="785"/>
      <c r="B352" s="177"/>
      <c r="C352" s="455"/>
      <c r="D352" s="2806"/>
      <c r="E352" s="2856"/>
      <c r="F352" s="2757" t="str">
        <f t="shared" si="56"/>
        <v>CAC - SEER 15 ER1: MF_CompE</v>
      </c>
      <c r="G352" s="2758"/>
      <c r="H352" s="2759"/>
      <c r="I352" s="1663"/>
      <c r="J352" s="1663"/>
      <c r="K352" s="910"/>
      <c r="L352" s="935"/>
      <c r="M352" s="455"/>
      <c r="N352" s="2028"/>
      <c r="O352" s="455"/>
      <c r="P352" s="177"/>
      <c r="Q352" s="177"/>
      <c r="R352" s="177"/>
      <c r="S352" s="177"/>
      <c r="T352" s="177"/>
      <c r="U352" s="177"/>
      <c r="V352" s="2866"/>
      <c r="W352" s="2576"/>
      <c r="X352" s="2576"/>
      <c r="Y352" s="2576"/>
      <c r="Z352" s="2576"/>
      <c r="AA352" s="2576"/>
      <c r="AB352" s="2576"/>
      <c r="AC352" s="2576"/>
      <c r="AD352" s="2576"/>
      <c r="AE352" s="2576"/>
      <c r="AF352" s="2576"/>
      <c r="AG352" s="2576"/>
      <c r="BB352" s="784"/>
      <c r="BC352" s="796"/>
      <c r="BD352" s="900"/>
      <c r="BE352" s="797"/>
    </row>
    <row r="353" spans="1:57" s="65" customFormat="1" hidden="1" outlineLevel="1" x14ac:dyDescent="0.25">
      <c r="A353" s="785"/>
      <c r="B353" s="177"/>
      <c r="C353" s="455"/>
      <c r="D353" s="2806"/>
      <c r="E353" s="2856"/>
      <c r="F353" s="2757" t="str">
        <f t="shared" si="56"/>
        <v>CAC - SEER 15 ER2: MF_CompE</v>
      </c>
      <c r="G353" s="2758"/>
      <c r="H353" s="2759"/>
      <c r="I353" s="1663"/>
      <c r="J353" s="1663">
        <v>13</v>
      </c>
      <c r="K353" s="910"/>
      <c r="L353" s="935"/>
      <c r="M353" s="455"/>
      <c r="N353" s="2028"/>
      <c r="O353" s="455"/>
      <c r="P353" s="177"/>
      <c r="Q353" s="177"/>
      <c r="R353" s="177"/>
      <c r="S353" s="177"/>
      <c r="T353" s="177"/>
      <c r="U353" s="177"/>
      <c r="V353" s="2866"/>
      <c r="W353" s="2576"/>
      <c r="X353" s="2576"/>
      <c r="Y353" s="2576">
        <v>13</v>
      </c>
      <c r="Z353" s="2576"/>
      <c r="AA353" s="2576"/>
      <c r="AB353" s="2576"/>
      <c r="AC353" s="2576"/>
      <c r="AD353" s="2576"/>
      <c r="AE353" s="2576"/>
      <c r="AF353" s="2576"/>
      <c r="AG353" s="2576"/>
      <c r="BB353" s="784"/>
      <c r="BC353" s="796"/>
      <c r="BD353" s="900"/>
      <c r="BE353" s="797"/>
    </row>
    <row r="354" spans="1:57" s="65" customFormat="1" hidden="1" outlineLevel="1" x14ac:dyDescent="0.25">
      <c r="A354" s="785"/>
      <c r="B354" s="177"/>
      <c r="C354" s="455"/>
      <c r="D354" s="2806"/>
      <c r="E354" s="2856"/>
      <c r="F354" s="2757" t="str">
        <f t="shared" si="56"/>
        <v>CAC - SEER 15 ROF: MF</v>
      </c>
      <c r="G354" s="2758"/>
      <c r="H354" s="2759"/>
      <c r="I354" s="1663"/>
      <c r="J354" s="1663">
        <v>13</v>
      </c>
      <c r="K354" s="910"/>
      <c r="L354" s="935" t="str">
        <f>L351</f>
        <v>MO TRM</v>
      </c>
      <c r="M354" s="455"/>
      <c r="N354" s="2028"/>
      <c r="O354" s="455"/>
      <c r="P354" s="177"/>
      <c r="Q354" s="177"/>
      <c r="R354" s="177"/>
      <c r="S354" s="177"/>
      <c r="T354" s="177"/>
      <c r="U354" s="177"/>
      <c r="V354" s="2866"/>
      <c r="W354" s="2576">
        <v>13</v>
      </c>
      <c r="X354" s="2576">
        <v>13</v>
      </c>
      <c r="Y354" s="2576">
        <v>13</v>
      </c>
      <c r="Z354" s="2576"/>
      <c r="AA354" s="2576"/>
      <c r="AB354" s="2576"/>
      <c r="AC354" s="2576"/>
      <c r="AD354" s="2576"/>
      <c r="AE354" s="2576"/>
      <c r="AF354" s="2576"/>
      <c r="AG354" s="2576"/>
      <c r="BB354" s="784"/>
      <c r="BC354" s="796"/>
      <c r="BD354" s="900"/>
      <c r="BE354" s="797"/>
    </row>
    <row r="355" spans="1:57" s="65" customFormat="1" hidden="1" outlineLevel="1" x14ac:dyDescent="0.25">
      <c r="A355" s="785"/>
      <c r="B355" s="177"/>
      <c r="C355" s="455"/>
      <c r="D355" s="2806"/>
      <c r="E355" s="2856"/>
      <c r="F355" s="2757" t="str">
        <f t="shared" si="56"/>
        <v>CAC - SEER 15 ROF: MF_CompE</v>
      </c>
      <c r="G355" s="2758"/>
      <c r="H355" s="2759"/>
      <c r="I355" s="1663"/>
      <c r="J355" s="1663">
        <v>13</v>
      </c>
      <c r="K355" s="910"/>
      <c r="L355" s="935"/>
      <c r="M355" s="455"/>
      <c r="N355" s="2028"/>
      <c r="O355" s="455"/>
      <c r="P355" s="177"/>
      <c r="Q355" s="177"/>
      <c r="R355" s="177"/>
      <c r="S355" s="177"/>
      <c r="T355" s="177"/>
      <c r="U355" s="177"/>
      <c r="V355" s="2866"/>
      <c r="W355" s="2576"/>
      <c r="X355" s="2576"/>
      <c r="Y355" s="2576">
        <v>13</v>
      </c>
      <c r="Z355" s="2576"/>
      <c r="AA355" s="2576"/>
      <c r="AB355" s="2576"/>
      <c r="AC355" s="2576"/>
      <c r="AD355" s="2576"/>
      <c r="AE355" s="2576"/>
      <c r="AF355" s="2576"/>
      <c r="AG355" s="2576"/>
      <c r="BB355" s="784"/>
      <c r="BC355" s="796"/>
      <c r="BD355" s="900"/>
      <c r="BE355" s="797"/>
    </row>
    <row r="356" spans="1:57" s="65" customFormat="1" hidden="1" outlineLevel="1" x14ac:dyDescent="0.25">
      <c r="A356" s="785"/>
      <c r="B356" s="177"/>
      <c r="C356" s="455"/>
      <c r="D356" s="2806"/>
      <c r="E356" s="2856"/>
      <c r="F356" s="2757" t="str">
        <f t="shared" si="56"/>
        <v>CAC - SEER 16 ER1: SF</v>
      </c>
      <c r="G356" s="2758"/>
      <c r="H356" s="2759"/>
      <c r="I356" s="1663"/>
      <c r="J356" s="1663"/>
      <c r="K356" s="910"/>
      <c r="L356" s="935" t="str">
        <f>L354</f>
        <v>MO TRM</v>
      </c>
      <c r="M356" s="455"/>
      <c r="N356" s="2028"/>
      <c r="O356" s="455"/>
      <c r="P356" s="177"/>
      <c r="Q356" s="177"/>
      <c r="R356" s="177"/>
      <c r="S356" s="177"/>
      <c r="T356" s="177"/>
      <c r="U356" s="177"/>
      <c r="V356" s="2866"/>
      <c r="W356" s="2576">
        <v>10</v>
      </c>
      <c r="X356" s="908"/>
      <c r="Y356" s="908"/>
      <c r="Z356" s="2576"/>
      <c r="AA356" s="2576"/>
      <c r="AB356" s="2576"/>
      <c r="AC356" s="2576"/>
      <c r="AD356" s="2576"/>
      <c r="AE356" s="2576"/>
      <c r="AF356" s="2576"/>
      <c r="AG356" s="2576"/>
      <c r="BB356" s="784"/>
      <c r="BC356" s="796"/>
      <c r="BD356" s="900"/>
      <c r="BE356" s="797"/>
    </row>
    <row r="357" spans="1:57" s="65" customFormat="1" hidden="1" outlineLevel="1" x14ac:dyDescent="0.25">
      <c r="A357" s="785"/>
      <c r="B357" s="177"/>
      <c r="C357" s="455"/>
      <c r="D357" s="2806"/>
      <c r="E357" s="2856"/>
      <c r="F357" s="2757" t="str">
        <f t="shared" si="56"/>
        <v>CAC - SEER 16 ER2: SF</v>
      </c>
      <c r="G357" s="2758"/>
      <c r="H357" s="2759"/>
      <c r="I357" s="1663"/>
      <c r="J357" s="1663">
        <v>13</v>
      </c>
      <c r="K357" s="910"/>
      <c r="L357" s="935" t="str">
        <f t="shared" si="57"/>
        <v>MO TRM</v>
      </c>
      <c r="M357" s="455"/>
      <c r="N357" s="2028"/>
      <c r="O357" s="455"/>
      <c r="P357" s="177"/>
      <c r="Q357" s="177"/>
      <c r="R357" s="177"/>
      <c r="S357" s="177"/>
      <c r="T357" s="177"/>
      <c r="U357" s="177"/>
      <c r="V357" s="2866"/>
      <c r="W357" s="2576">
        <v>13</v>
      </c>
      <c r="X357" s="2576">
        <v>13</v>
      </c>
      <c r="Y357" s="2576">
        <v>13</v>
      </c>
      <c r="Z357" s="2576"/>
      <c r="AA357" s="2576"/>
      <c r="AB357" s="2576"/>
      <c r="AC357" s="2576"/>
      <c r="AD357" s="2576"/>
      <c r="AE357" s="2576"/>
      <c r="AF357" s="2576"/>
      <c r="AG357" s="2576"/>
      <c r="BB357" s="784"/>
      <c r="BC357" s="796"/>
      <c r="BD357" s="900"/>
      <c r="BE357" s="797"/>
    </row>
    <row r="358" spans="1:57" s="65" customFormat="1" hidden="1" outlineLevel="1" x14ac:dyDescent="0.25">
      <c r="A358" s="785"/>
      <c r="B358" s="177"/>
      <c r="C358" s="455"/>
      <c r="D358" s="2806"/>
      <c r="E358" s="2856"/>
      <c r="F358" s="2757" t="str">
        <f t="shared" si="56"/>
        <v>CAC - SEER 16 ROF: SF</v>
      </c>
      <c r="G358" s="2758"/>
      <c r="H358" s="2759"/>
      <c r="I358" s="1663"/>
      <c r="J358" s="1663">
        <v>13</v>
      </c>
      <c r="K358" s="910"/>
      <c r="L358" s="935" t="str">
        <f t="shared" si="57"/>
        <v>MO TRM</v>
      </c>
      <c r="M358" s="455"/>
      <c r="N358" s="2028"/>
      <c r="O358" s="455"/>
      <c r="P358" s="177"/>
      <c r="Q358" s="177"/>
      <c r="R358" s="177"/>
      <c r="S358" s="177"/>
      <c r="T358" s="177"/>
      <c r="U358" s="177"/>
      <c r="V358" s="2866"/>
      <c r="W358" s="2576">
        <v>13</v>
      </c>
      <c r="X358" s="2576">
        <v>13</v>
      </c>
      <c r="Y358" s="2576">
        <v>13</v>
      </c>
      <c r="Z358" s="2576"/>
      <c r="AA358" s="2576"/>
      <c r="AB358" s="2576"/>
      <c r="AC358" s="2576"/>
      <c r="AD358" s="2576"/>
      <c r="AE358" s="2576"/>
      <c r="AF358" s="2576"/>
      <c r="AG358" s="2576"/>
      <c r="BB358" s="784"/>
      <c r="BC358" s="796"/>
      <c r="BD358" s="900"/>
      <c r="BE358" s="797"/>
    </row>
    <row r="359" spans="1:57" s="65" customFormat="1" hidden="1" outlineLevel="1" x14ac:dyDescent="0.25">
      <c r="A359" s="785"/>
      <c r="B359" s="177"/>
      <c r="C359" s="455"/>
      <c r="D359" s="2806"/>
      <c r="E359" s="2856"/>
      <c r="F359" s="2757" t="str">
        <f t="shared" si="56"/>
        <v>CAC - SEER 16 ER1: MF</v>
      </c>
      <c r="G359" s="2758"/>
      <c r="H359" s="2759"/>
      <c r="I359" s="1663"/>
      <c r="J359" s="1663"/>
      <c r="K359" s="910"/>
      <c r="L359" s="935" t="str">
        <f t="shared" si="57"/>
        <v>MO TRM</v>
      </c>
      <c r="M359" s="455"/>
      <c r="N359" s="2028"/>
      <c r="O359" s="455"/>
      <c r="P359" s="177"/>
      <c r="Q359" s="177"/>
      <c r="R359" s="177"/>
      <c r="S359" s="177"/>
      <c r="T359" s="177"/>
      <c r="U359" s="177"/>
      <c r="V359" s="2866"/>
      <c r="W359" s="2576">
        <v>10</v>
      </c>
      <c r="X359" s="908"/>
      <c r="Y359" s="908"/>
      <c r="Z359" s="2576"/>
      <c r="AA359" s="2576"/>
      <c r="AB359" s="2576"/>
      <c r="AC359" s="2576"/>
      <c r="AD359" s="2576"/>
      <c r="AE359" s="2576"/>
      <c r="AF359" s="2576"/>
      <c r="AG359" s="2576"/>
      <c r="BB359" s="784"/>
      <c r="BC359" s="796"/>
      <c r="BD359" s="900"/>
      <c r="BE359" s="797"/>
    </row>
    <row r="360" spans="1:57" s="65" customFormat="1" hidden="1" outlineLevel="1" x14ac:dyDescent="0.25">
      <c r="A360" s="785"/>
      <c r="B360" s="177"/>
      <c r="C360" s="455"/>
      <c r="D360" s="2806"/>
      <c r="E360" s="2856"/>
      <c r="F360" s="2757" t="str">
        <f t="shared" si="56"/>
        <v>CAC - SEER 16 ER2: MF</v>
      </c>
      <c r="G360" s="2758"/>
      <c r="H360" s="2759"/>
      <c r="I360" s="1663"/>
      <c r="J360" s="1663">
        <v>13</v>
      </c>
      <c r="K360" s="910"/>
      <c r="L360" s="935" t="str">
        <f t="shared" si="57"/>
        <v>MO TRM</v>
      </c>
      <c r="M360" s="455"/>
      <c r="N360" s="2028"/>
      <c r="O360" s="455"/>
      <c r="P360" s="177"/>
      <c r="Q360" s="177"/>
      <c r="R360" s="177"/>
      <c r="S360" s="177"/>
      <c r="T360" s="177"/>
      <c r="U360" s="177"/>
      <c r="V360" s="2866"/>
      <c r="W360" s="2576">
        <v>13</v>
      </c>
      <c r="X360" s="2576">
        <v>13</v>
      </c>
      <c r="Y360" s="2576">
        <v>13</v>
      </c>
      <c r="Z360" s="2576"/>
      <c r="AA360" s="2576"/>
      <c r="AB360" s="2576"/>
      <c r="AC360" s="2576"/>
      <c r="AD360" s="2576"/>
      <c r="AE360" s="2576"/>
      <c r="AF360" s="2576"/>
      <c r="AG360" s="2576"/>
      <c r="BB360" s="784"/>
      <c r="BC360" s="796"/>
      <c r="BD360" s="900"/>
      <c r="BE360" s="797"/>
    </row>
    <row r="361" spans="1:57" s="65" customFormat="1" hidden="1" outlineLevel="1" x14ac:dyDescent="0.25">
      <c r="A361" s="785"/>
      <c r="B361" s="177"/>
      <c r="C361" s="455"/>
      <c r="D361" s="2806"/>
      <c r="E361" s="2856"/>
      <c r="F361" s="2757" t="str">
        <f t="shared" si="56"/>
        <v>CAC - SEER 16 ER1: MF_CompE</v>
      </c>
      <c r="G361" s="2758"/>
      <c r="H361" s="2759"/>
      <c r="I361" s="1663"/>
      <c r="J361" s="1663"/>
      <c r="K361" s="910"/>
      <c r="L361" s="935"/>
      <c r="M361" s="455"/>
      <c r="N361" s="2028"/>
      <c r="O361" s="455"/>
      <c r="P361" s="177"/>
      <c r="Q361" s="177"/>
      <c r="R361" s="177"/>
      <c r="S361" s="177"/>
      <c r="T361" s="177"/>
      <c r="U361" s="177"/>
      <c r="V361" s="2866"/>
      <c r="W361" s="2576"/>
      <c r="X361" s="2576"/>
      <c r="Y361" s="2576"/>
      <c r="Z361" s="2576"/>
      <c r="AA361" s="2576"/>
      <c r="AB361" s="2576"/>
      <c r="AC361" s="2576"/>
      <c r="AD361" s="2576"/>
      <c r="AE361" s="2576"/>
      <c r="AF361" s="2576"/>
      <c r="AG361" s="2576"/>
      <c r="BB361" s="784"/>
      <c r="BC361" s="796"/>
      <c r="BD361" s="900"/>
      <c r="BE361" s="797"/>
    </row>
    <row r="362" spans="1:57" s="65" customFormat="1" hidden="1" outlineLevel="1" x14ac:dyDescent="0.25">
      <c r="A362" s="785"/>
      <c r="B362" s="177"/>
      <c r="C362" s="455"/>
      <c r="D362" s="2806"/>
      <c r="E362" s="2856"/>
      <c r="F362" s="2757" t="str">
        <f t="shared" si="56"/>
        <v>CAC - SEER 16 ER2: MF_CompE</v>
      </c>
      <c r="G362" s="2758"/>
      <c r="H362" s="2759"/>
      <c r="I362" s="1663"/>
      <c r="J362" s="1663">
        <v>13</v>
      </c>
      <c r="K362" s="910"/>
      <c r="L362" s="935"/>
      <c r="M362" s="455"/>
      <c r="N362" s="2028"/>
      <c r="O362" s="455"/>
      <c r="P362" s="177"/>
      <c r="Q362" s="177"/>
      <c r="R362" s="177"/>
      <c r="S362" s="177"/>
      <c r="T362" s="177"/>
      <c r="U362" s="177"/>
      <c r="V362" s="2866"/>
      <c r="W362" s="2576"/>
      <c r="X362" s="2576"/>
      <c r="Y362" s="2576">
        <v>13</v>
      </c>
      <c r="Z362" s="2576"/>
      <c r="AA362" s="2576"/>
      <c r="AB362" s="2576"/>
      <c r="AC362" s="2576"/>
      <c r="AD362" s="2576"/>
      <c r="AE362" s="2576"/>
      <c r="AF362" s="2576"/>
      <c r="AG362" s="2576"/>
      <c r="BB362" s="784"/>
      <c r="BC362" s="796"/>
      <c r="BD362" s="900"/>
      <c r="BE362" s="797"/>
    </row>
    <row r="363" spans="1:57" s="65" customFormat="1" hidden="1" outlineLevel="1" x14ac:dyDescent="0.25">
      <c r="A363" s="785"/>
      <c r="B363" s="177"/>
      <c r="C363" s="455"/>
      <c r="D363" s="2806"/>
      <c r="E363" s="2856"/>
      <c r="F363" s="2757" t="str">
        <f t="shared" si="56"/>
        <v>CAC - SEER 16 ROF: MF</v>
      </c>
      <c r="G363" s="2758"/>
      <c r="H363" s="2759"/>
      <c r="I363" s="1663"/>
      <c r="J363" s="1663">
        <v>13</v>
      </c>
      <c r="K363" s="910"/>
      <c r="L363" s="935" t="str">
        <f>L360</f>
        <v>MO TRM</v>
      </c>
      <c r="M363" s="455"/>
      <c r="N363" s="2028"/>
      <c r="O363" s="455"/>
      <c r="P363" s="177"/>
      <c r="Q363" s="177"/>
      <c r="R363" s="177"/>
      <c r="S363" s="177"/>
      <c r="T363" s="177"/>
      <c r="U363" s="177"/>
      <c r="V363" s="2866"/>
      <c r="W363" s="2576">
        <v>13</v>
      </c>
      <c r="X363" s="2576">
        <v>13</v>
      </c>
      <c r="Y363" s="2576">
        <v>13</v>
      </c>
      <c r="Z363" s="2576"/>
      <c r="AA363" s="2576"/>
      <c r="AB363" s="2576"/>
      <c r="AC363" s="2576"/>
      <c r="AD363" s="2576"/>
      <c r="AE363" s="2576"/>
      <c r="AF363" s="2576"/>
      <c r="AG363" s="2576"/>
      <c r="BB363" s="784"/>
      <c r="BC363" s="796"/>
      <c r="BD363" s="900"/>
      <c r="BE363" s="797"/>
    </row>
    <row r="364" spans="1:57" s="65" customFormat="1" hidden="1" outlineLevel="1" x14ac:dyDescent="0.25">
      <c r="A364" s="785"/>
      <c r="B364" s="177"/>
      <c r="C364" s="455"/>
      <c r="D364" s="2806"/>
      <c r="E364" s="2856"/>
      <c r="F364" s="2757" t="str">
        <f t="shared" si="56"/>
        <v>CAC - SEER 16 ROF: MF_CompE</v>
      </c>
      <c r="G364" s="2758"/>
      <c r="H364" s="2759"/>
      <c r="I364" s="1663"/>
      <c r="J364" s="1663">
        <v>13</v>
      </c>
      <c r="K364" s="910"/>
      <c r="L364" s="935"/>
      <c r="M364" s="455"/>
      <c r="N364" s="2028"/>
      <c r="O364" s="455"/>
      <c r="P364" s="177"/>
      <c r="Q364" s="177"/>
      <c r="R364" s="177"/>
      <c r="S364" s="177"/>
      <c r="T364" s="177"/>
      <c r="U364" s="177"/>
      <c r="V364" s="2866"/>
      <c r="W364" s="2576"/>
      <c r="X364" s="2576"/>
      <c r="Y364" s="2576">
        <v>13</v>
      </c>
      <c r="Z364" s="2576"/>
      <c r="AA364" s="2576"/>
      <c r="AB364" s="2576"/>
      <c r="AC364" s="2576"/>
      <c r="AD364" s="2576"/>
      <c r="AE364" s="2576"/>
      <c r="AF364" s="2576"/>
      <c r="AG364" s="2576"/>
      <c r="BB364" s="784"/>
      <c r="BC364" s="796"/>
      <c r="BD364" s="900"/>
      <c r="BE364" s="797"/>
    </row>
    <row r="365" spans="1:57" s="65" customFormat="1" hidden="1" outlineLevel="1" x14ac:dyDescent="0.25">
      <c r="A365" s="785"/>
      <c r="B365" s="177"/>
      <c r="C365" s="455"/>
      <c r="D365" s="2806"/>
      <c r="E365" s="2856"/>
      <c r="F365" s="2757" t="str">
        <f t="shared" si="56"/>
        <v>CAC - SEER 17 ER1: SF</v>
      </c>
      <c r="G365" s="2758"/>
      <c r="H365" s="2759"/>
      <c r="I365" s="1663"/>
      <c r="J365" s="1663"/>
      <c r="K365" s="910"/>
      <c r="L365" s="935" t="str">
        <f>L363</f>
        <v>MO TRM</v>
      </c>
      <c r="M365" s="455"/>
      <c r="N365" s="2028"/>
      <c r="O365" s="455"/>
      <c r="P365" s="177"/>
      <c r="Q365" s="177"/>
      <c r="R365" s="177"/>
      <c r="S365" s="177"/>
      <c r="T365" s="177"/>
      <c r="U365" s="177"/>
      <c r="V365" s="2866"/>
      <c r="W365" s="2576">
        <v>10</v>
      </c>
      <c r="X365" s="908"/>
      <c r="Y365" s="908"/>
      <c r="Z365" s="2576"/>
      <c r="AA365" s="2576"/>
      <c r="AB365" s="2576"/>
      <c r="AC365" s="2576"/>
      <c r="AD365" s="2576"/>
      <c r="AE365" s="2576"/>
      <c r="AF365" s="2576"/>
      <c r="AG365" s="2576"/>
      <c r="BB365" s="784"/>
      <c r="BC365" s="796"/>
      <c r="BD365" s="900"/>
      <c r="BE365" s="797"/>
    </row>
    <row r="366" spans="1:57" s="65" customFormat="1" ht="14.45" hidden="1" customHeight="1" outlineLevel="1" x14ac:dyDescent="0.25">
      <c r="A366" s="785"/>
      <c r="B366" s="177"/>
      <c r="C366" s="455"/>
      <c r="D366" s="2806"/>
      <c r="E366" s="2856"/>
      <c r="F366" s="2757" t="str">
        <f t="shared" si="56"/>
        <v>CAC - SEER 17 ER2: SF</v>
      </c>
      <c r="G366" s="2758"/>
      <c r="H366" s="2759"/>
      <c r="I366" s="1663"/>
      <c r="J366" s="1663">
        <v>13</v>
      </c>
      <c r="K366" s="910"/>
      <c r="L366" s="935" t="str">
        <f t="shared" si="57"/>
        <v>MO TRM</v>
      </c>
      <c r="M366" s="455"/>
      <c r="N366" s="2028"/>
      <c r="O366" s="455"/>
      <c r="P366" s="177"/>
      <c r="Q366" s="177"/>
      <c r="R366" s="177"/>
      <c r="S366" s="177"/>
      <c r="T366" s="177"/>
      <c r="U366" s="177"/>
      <c r="V366" s="2866"/>
      <c r="W366" s="2576">
        <v>13</v>
      </c>
      <c r="X366" s="2576">
        <v>13</v>
      </c>
      <c r="Y366" s="2576">
        <v>13</v>
      </c>
      <c r="Z366" s="2576"/>
      <c r="AA366" s="2576"/>
      <c r="AB366" s="2576"/>
      <c r="AC366" s="2576"/>
      <c r="AD366" s="2576"/>
      <c r="AE366" s="2576"/>
      <c r="AF366" s="2576"/>
      <c r="AG366" s="2576"/>
      <c r="BB366" s="784"/>
      <c r="BC366" s="796"/>
      <c r="BD366" s="900"/>
      <c r="BE366" s="797"/>
    </row>
    <row r="367" spans="1:57" s="65" customFormat="1" ht="14.45" hidden="1" customHeight="1" outlineLevel="1" x14ac:dyDescent="0.25">
      <c r="A367" s="785"/>
      <c r="B367" s="177"/>
      <c r="C367" s="455"/>
      <c r="D367" s="2806"/>
      <c r="E367" s="2856"/>
      <c r="F367" s="2757" t="str">
        <f t="shared" si="56"/>
        <v>CAC - SEER 17 ROF: SF</v>
      </c>
      <c r="G367" s="2758"/>
      <c r="H367" s="2759"/>
      <c r="I367" s="1663"/>
      <c r="J367" s="1663">
        <v>13</v>
      </c>
      <c r="K367" s="910"/>
      <c r="L367" s="935" t="str">
        <f t="shared" si="57"/>
        <v>MO TRM</v>
      </c>
      <c r="M367" s="455"/>
      <c r="N367" s="2028"/>
      <c r="O367" s="455"/>
      <c r="P367" s="177"/>
      <c r="Q367" s="177"/>
      <c r="R367" s="177"/>
      <c r="S367" s="177"/>
      <c r="T367" s="177"/>
      <c r="U367" s="177"/>
      <c r="V367" s="2866"/>
      <c r="W367" s="2576">
        <v>13</v>
      </c>
      <c r="X367" s="2576">
        <v>13</v>
      </c>
      <c r="Y367" s="2576">
        <v>13</v>
      </c>
      <c r="Z367" s="2576"/>
      <c r="AA367" s="2576"/>
      <c r="AB367" s="2576"/>
      <c r="AC367" s="2576"/>
      <c r="AD367" s="2576"/>
      <c r="AE367" s="2576"/>
      <c r="AF367" s="2576"/>
      <c r="AG367" s="2576"/>
      <c r="BB367" s="784"/>
      <c r="BC367" s="796"/>
      <c r="BD367" s="900"/>
      <c r="BE367" s="797"/>
    </row>
    <row r="368" spans="1:57" s="65" customFormat="1" ht="14.45" hidden="1" customHeight="1" outlineLevel="1" x14ac:dyDescent="0.25">
      <c r="A368" s="785"/>
      <c r="B368" s="177"/>
      <c r="C368" s="455"/>
      <c r="D368" s="2806"/>
      <c r="E368" s="2856"/>
      <c r="F368" s="2757" t="str">
        <f t="shared" si="56"/>
        <v>CAC - SEER 17 ER1: MF</v>
      </c>
      <c r="G368" s="2758"/>
      <c r="H368" s="2759"/>
      <c r="I368" s="1663"/>
      <c r="J368" s="1663"/>
      <c r="K368" s="910"/>
      <c r="L368" s="935" t="str">
        <f t="shared" si="57"/>
        <v>MO TRM</v>
      </c>
      <c r="M368" s="455"/>
      <c r="N368" s="2028"/>
      <c r="O368" s="455"/>
      <c r="P368" s="177"/>
      <c r="Q368" s="177"/>
      <c r="R368" s="177"/>
      <c r="S368" s="177"/>
      <c r="T368" s="177"/>
      <c r="U368" s="177"/>
      <c r="V368" s="2866"/>
      <c r="W368" s="2576">
        <v>10</v>
      </c>
      <c r="X368" s="908"/>
      <c r="Y368" s="908"/>
      <c r="Z368" s="2576"/>
      <c r="AA368" s="2576"/>
      <c r="AB368" s="2576"/>
      <c r="AC368" s="2576"/>
      <c r="AD368" s="2576"/>
      <c r="AE368" s="2576"/>
      <c r="AF368" s="2576"/>
      <c r="AG368" s="2576"/>
      <c r="BB368" s="784"/>
      <c r="BC368" s="796"/>
      <c r="BD368" s="900"/>
      <c r="BE368" s="797"/>
    </row>
    <row r="369" spans="1:57" s="65" customFormat="1" ht="14.45" hidden="1" customHeight="1" outlineLevel="1" x14ac:dyDescent="0.25">
      <c r="A369" s="785"/>
      <c r="B369" s="177"/>
      <c r="C369" s="455"/>
      <c r="D369" s="2806"/>
      <c r="E369" s="2856"/>
      <c r="F369" s="2757" t="str">
        <f t="shared" si="56"/>
        <v>CAC - SEER 17 ER2: MF</v>
      </c>
      <c r="G369" s="2758"/>
      <c r="H369" s="2759"/>
      <c r="I369" s="1663"/>
      <c r="J369" s="1663">
        <v>13</v>
      </c>
      <c r="K369" s="910"/>
      <c r="L369" s="935" t="str">
        <f t="shared" si="57"/>
        <v>MO TRM</v>
      </c>
      <c r="M369" s="455"/>
      <c r="N369" s="2028"/>
      <c r="O369" s="455"/>
      <c r="P369" s="177"/>
      <c r="Q369" s="177"/>
      <c r="R369" s="177"/>
      <c r="S369" s="177"/>
      <c r="T369" s="177"/>
      <c r="U369" s="177"/>
      <c r="V369" s="2866"/>
      <c r="W369" s="2576">
        <v>13</v>
      </c>
      <c r="X369" s="2576">
        <v>13</v>
      </c>
      <c r="Y369" s="2576">
        <v>13</v>
      </c>
      <c r="Z369" s="2576"/>
      <c r="AA369" s="2576"/>
      <c r="AB369" s="2576"/>
      <c r="AC369" s="2576"/>
      <c r="AD369" s="2576"/>
      <c r="AE369" s="2576"/>
      <c r="AF369" s="2576"/>
      <c r="AG369" s="2576"/>
      <c r="BB369" s="784"/>
      <c r="BC369" s="796"/>
      <c r="BD369" s="900"/>
      <c r="BE369" s="797"/>
    </row>
    <row r="370" spans="1:57" s="65" customFormat="1" ht="14.45" hidden="1" customHeight="1" outlineLevel="1" x14ac:dyDescent="0.25">
      <c r="A370" s="785"/>
      <c r="B370" s="177"/>
      <c r="C370" s="455"/>
      <c r="D370" s="2806"/>
      <c r="E370" s="2856"/>
      <c r="F370" s="2757" t="str">
        <f t="shared" si="56"/>
        <v>CAC - SEER 17 ER1: MF_CompE</v>
      </c>
      <c r="G370" s="2758"/>
      <c r="H370" s="2759"/>
      <c r="I370" s="921"/>
      <c r="J370" s="921"/>
      <c r="K370" s="922"/>
      <c r="L370" s="935"/>
      <c r="M370" s="455"/>
      <c r="N370" s="2028"/>
      <c r="O370" s="455"/>
      <c r="P370" s="177"/>
      <c r="Q370" s="177"/>
      <c r="R370" s="177"/>
      <c r="S370" s="177"/>
      <c r="T370" s="177"/>
      <c r="U370" s="177"/>
      <c r="V370" s="2866"/>
      <c r="W370" s="921"/>
      <c r="X370" s="921"/>
      <c r="Y370" s="921"/>
      <c r="Z370" s="921"/>
      <c r="AA370" s="921"/>
      <c r="AB370" s="921"/>
      <c r="AC370" s="921"/>
      <c r="AD370" s="921"/>
      <c r="AE370" s="921"/>
      <c r="AF370" s="921"/>
      <c r="AG370" s="921"/>
      <c r="BB370" s="784"/>
      <c r="BC370" s="796"/>
      <c r="BD370" s="900"/>
      <c r="BE370" s="797"/>
    </row>
    <row r="371" spans="1:57" s="65" customFormat="1" ht="14.45" hidden="1" customHeight="1" outlineLevel="1" x14ac:dyDescent="0.25">
      <c r="A371" s="785"/>
      <c r="B371" s="177"/>
      <c r="C371" s="455"/>
      <c r="D371" s="2806"/>
      <c r="E371" s="2856"/>
      <c r="F371" s="2757" t="str">
        <f t="shared" si="56"/>
        <v>CAC - SEER 17 ER2: MF_CompE</v>
      </c>
      <c r="G371" s="2758"/>
      <c r="H371" s="2759"/>
      <c r="I371" s="921"/>
      <c r="J371" s="1663">
        <v>13</v>
      </c>
      <c r="K371" s="922"/>
      <c r="L371" s="935"/>
      <c r="M371" s="455"/>
      <c r="N371" s="2028"/>
      <c r="O371" s="455"/>
      <c r="P371" s="177"/>
      <c r="Q371" s="177"/>
      <c r="R371" s="177"/>
      <c r="S371" s="177"/>
      <c r="T371" s="177"/>
      <c r="U371" s="177"/>
      <c r="V371" s="2866"/>
      <c r="W371" s="921"/>
      <c r="X371" s="921"/>
      <c r="Y371" s="921">
        <v>13</v>
      </c>
      <c r="Z371" s="921"/>
      <c r="AA371" s="921"/>
      <c r="AB371" s="921"/>
      <c r="AC371" s="921"/>
      <c r="AD371" s="921"/>
      <c r="AE371" s="921"/>
      <c r="AF371" s="921"/>
      <c r="AG371" s="921"/>
      <c r="BB371" s="784"/>
      <c r="BC371" s="796"/>
      <c r="BD371" s="900"/>
      <c r="BE371" s="797"/>
    </row>
    <row r="372" spans="1:57" s="65" customFormat="1" ht="15" hidden="1" customHeight="1" outlineLevel="1" x14ac:dyDescent="0.25">
      <c r="A372" s="785"/>
      <c r="B372" s="177"/>
      <c r="C372" s="455"/>
      <c r="D372" s="2806"/>
      <c r="E372" s="2856"/>
      <c r="F372" s="2757" t="str">
        <f t="shared" si="56"/>
        <v>CAC - SEER 17 ROF: MF</v>
      </c>
      <c r="G372" s="2758"/>
      <c r="H372" s="2759"/>
      <c r="I372" s="1663"/>
      <c r="J372" s="1663">
        <v>13</v>
      </c>
      <c r="K372" s="922"/>
      <c r="L372" s="935" t="str">
        <f>L369</f>
        <v>MO TRM</v>
      </c>
      <c r="M372" s="455"/>
      <c r="N372" s="2028"/>
      <c r="O372" s="455"/>
      <c r="P372" s="177"/>
      <c r="Q372" s="177"/>
      <c r="R372" s="177"/>
      <c r="S372" s="177"/>
      <c r="T372" s="177"/>
      <c r="U372" s="177"/>
      <c r="V372" s="2866"/>
      <c r="W372" s="2576">
        <v>13</v>
      </c>
      <c r="X372" s="2576">
        <v>13</v>
      </c>
      <c r="Y372" s="2576">
        <v>13</v>
      </c>
      <c r="Z372" s="2576"/>
      <c r="AA372" s="2576"/>
      <c r="AB372" s="2576"/>
      <c r="AC372" s="2576"/>
      <c r="AD372" s="2576"/>
      <c r="AE372" s="2576"/>
      <c r="AF372" s="2576"/>
      <c r="AG372" s="2576"/>
      <c r="BB372" s="784"/>
      <c r="BC372" s="796"/>
      <c r="BD372" s="900"/>
      <c r="BE372" s="797"/>
    </row>
    <row r="373" spans="1:57" s="65" customFormat="1" ht="15" hidden="1" customHeight="1" outlineLevel="1" x14ac:dyDescent="0.25">
      <c r="A373" s="785"/>
      <c r="B373" s="177"/>
      <c r="C373" s="455"/>
      <c r="D373" s="2807"/>
      <c r="E373" s="2857"/>
      <c r="F373" s="2757" t="str">
        <f t="shared" si="56"/>
        <v>CAC - SEER 17 ROF: MF_CompE</v>
      </c>
      <c r="G373" s="2758"/>
      <c r="H373" s="2759"/>
      <c r="I373" s="926"/>
      <c r="J373" s="926">
        <v>13</v>
      </c>
      <c r="K373" s="2523"/>
      <c r="L373" s="937"/>
      <c r="M373" s="455"/>
      <c r="N373" s="2028"/>
      <c r="O373" s="455"/>
      <c r="P373" s="177"/>
      <c r="Q373" s="177"/>
      <c r="R373" s="177"/>
      <c r="S373" s="177"/>
      <c r="T373" s="177"/>
      <c r="U373" s="177"/>
      <c r="V373" s="2847"/>
      <c r="W373" s="926"/>
      <c r="X373" s="926"/>
      <c r="Y373" s="926">
        <v>13</v>
      </c>
      <c r="Z373" s="926"/>
      <c r="AA373" s="926"/>
      <c r="AB373" s="926"/>
      <c r="AC373" s="926"/>
      <c r="AD373" s="926"/>
      <c r="AE373" s="926"/>
      <c r="AF373" s="926"/>
      <c r="AG373" s="926"/>
      <c r="BB373" s="784"/>
      <c r="BC373" s="796"/>
      <c r="BD373" s="900"/>
      <c r="BE373" s="797"/>
    </row>
    <row r="374" spans="1:57" s="65" customFormat="1" ht="14.45" hidden="1" customHeight="1" outlineLevel="1" x14ac:dyDescent="0.25">
      <c r="A374" s="785"/>
      <c r="B374" s="177"/>
      <c r="C374" s="455"/>
      <c r="D374" s="2847"/>
      <c r="E374" s="2922"/>
      <c r="F374" s="2790" t="str">
        <f t="shared" si="56"/>
        <v>CAC - SEER 18 ER1: SF</v>
      </c>
      <c r="G374" s="2791"/>
      <c r="H374" s="2792"/>
      <c r="I374" s="2470"/>
      <c r="J374" s="2470"/>
      <c r="K374" s="910"/>
      <c r="L374" s="935" t="s">
        <v>1289</v>
      </c>
      <c r="M374" s="2036"/>
      <c r="N374" s="2028"/>
      <c r="O374" s="177"/>
      <c r="P374" s="177"/>
      <c r="Q374" s="177"/>
      <c r="R374" s="177"/>
      <c r="S374" s="177"/>
      <c r="T374" s="177"/>
      <c r="U374" s="177"/>
      <c r="V374" s="2847"/>
      <c r="W374" s="926"/>
      <c r="X374" s="933"/>
      <c r="Y374" s="933"/>
      <c r="Z374" s="933"/>
      <c r="AA374" s="926"/>
      <c r="AB374" s="926"/>
      <c r="AC374" s="926"/>
      <c r="AD374" s="926"/>
      <c r="AE374" s="926"/>
      <c r="AF374" s="926"/>
      <c r="AG374" s="926"/>
      <c r="BB374" s="784"/>
      <c r="BC374" s="796"/>
      <c r="BD374" s="900"/>
      <c r="BE374" s="797"/>
    </row>
    <row r="375" spans="1:57" s="65" customFormat="1" ht="14.45" hidden="1" customHeight="1" outlineLevel="1" x14ac:dyDescent="0.25">
      <c r="A375" s="785"/>
      <c r="B375" s="177"/>
      <c r="C375" s="455"/>
      <c r="D375" s="2847"/>
      <c r="E375" s="2922"/>
      <c r="F375" s="2790" t="str">
        <f t="shared" si="56"/>
        <v>CAC - SEER 18 ER2: SF</v>
      </c>
      <c r="G375" s="2791"/>
      <c r="H375" s="2792"/>
      <c r="I375" s="2470"/>
      <c r="J375" s="2470">
        <v>13</v>
      </c>
      <c r="K375" s="910"/>
      <c r="L375" s="935" t="str">
        <f>L374</f>
        <v>MO TRM</v>
      </c>
      <c r="M375" s="2036"/>
      <c r="N375" s="2028"/>
      <c r="O375" s="177"/>
      <c r="P375" s="177"/>
      <c r="Q375" s="177"/>
      <c r="R375" s="177"/>
      <c r="S375" s="177"/>
      <c r="T375" s="177"/>
      <c r="U375" s="177"/>
      <c r="V375" s="2847"/>
      <c r="W375" s="2576"/>
      <c r="X375" s="2576"/>
      <c r="Y375" s="2576"/>
      <c r="Z375" s="908">
        <v>13</v>
      </c>
      <c r="AA375" s="2576"/>
      <c r="AB375" s="2576"/>
      <c r="AC375" s="2576"/>
      <c r="AD375" s="2576"/>
      <c r="AE375" s="2576"/>
      <c r="AF375" s="2576"/>
      <c r="AG375" s="2576"/>
      <c r="BB375" s="784"/>
      <c r="BC375" s="796"/>
      <c r="BD375" s="900"/>
      <c r="BE375" s="797"/>
    </row>
    <row r="376" spans="1:57" s="65" customFormat="1" ht="14.45" hidden="1" customHeight="1" outlineLevel="1" x14ac:dyDescent="0.25">
      <c r="A376" s="785"/>
      <c r="B376" s="177"/>
      <c r="C376" s="455"/>
      <c r="D376" s="2847"/>
      <c r="E376" s="2922"/>
      <c r="F376" s="2790" t="str">
        <f t="shared" si="56"/>
        <v>CAC - SEER 18 ROF: SF</v>
      </c>
      <c r="G376" s="2791"/>
      <c r="H376" s="2792"/>
      <c r="I376" s="2470"/>
      <c r="J376" s="2470">
        <v>13</v>
      </c>
      <c r="K376" s="910"/>
      <c r="L376" s="935" t="str">
        <f t="shared" ref="L376:L405" si="58">L375</f>
        <v>MO TRM</v>
      </c>
      <c r="M376" s="455"/>
      <c r="N376" s="2028"/>
      <c r="O376" s="455"/>
      <c r="P376" s="177"/>
      <c r="Q376" s="177"/>
      <c r="R376" s="177"/>
      <c r="S376" s="177"/>
      <c r="T376" s="177"/>
      <c r="U376" s="177"/>
      <c r="V376" s="2847"/>
      <c r="W376" s="2576"/>
      <c r="X376" s="2576"/>
      <c r="Y376" s="2576"/>
      <c r="Z376" s="908">
        <v>13</v>
      </c>
      <c r="AA376" s="2576"/>
      <c r="AB376" s="2576"/>
      <c r="AC376" s="2576"/>
      <c r="AD376" s="2576"/>
      <c r="AE376" s="2576"/>
      <c r="AF376" s="2576"/>
      <c r="AG376" s="2576"/>
      <c r="BB376" s="784"/>
      <c r="BC376" s="796"/>
      <c r="BD376" s="900"/>
      <c r="BE376" s="797"/>
    </row>
    <row r="377" spans="1:57" s="65" customFormat="1" hidden="1" outlineLevel="1" x14ac:dyDescent="0.25">
      <c r="A377" s="785"/>
      <c r="B377" s="177"/>
      <c r="C377" s="455"/>
      <c r="D377" s="2847"/>
      <c r="E377" s="2922"/>
      <c r="F377" s="2780" t="str">
        <f t="shared" si="56"/>
        <v>CAC - SEER 18 ER1: MF</v>
      </c>
      <c r="G377" s="2781"/>
      <c r="H377" s="2782"/>
      <c r="I377" s="2470"/>
      <c r="J377" s="2470"/>
      <c r="K377" s="910"/>
      <c r="L377" s="935" t="str">
        <f t="shared" si="58"/>
        <v>MO TRM</v>
      </c>
      <c r="M377" s="455"/>
      <c r="N377" s="2028"/>
      <c r="O377" s="455"/>
      <c r="P377" s="177"/>
      <c r="Q377" s="177"/>
      <c r="R377" s="177"/>
      <c r="S377" s="177"/>
      <c r="T377" s="177"/>
      <c r="U377" s="177"/>
      <c r="V377" s="2847"/>
      <c r="W377" s="2576"/>
      <c r="X377" s="908"/>
      <c r="Y377" s="908"/>
      <c r="Z377" s="908"/>
      <c r="AA377" s="2576"/>
      <c r="AB377" s="2576"/>
      <c r="AC377" s="2576"/>
      <c r="AD377" s="2576"/>
      <c r="AE377" s="2576"/>
      <c r="AF377" s="2576"/>
      <c r="AG377" s="2576"/>
      <c r="BB377" s="784"/>
      <c r="BC377" s="796"/>
      <c r="BD377" s="900"/>
      <c r="BE377" s="797"/>
    </row>
    <row r="378" spans="1:57" s="65" customFormat="1" hidden="1" outlineLevel="1" x14ac:dyDescent="0.25">
      <c r="A378" s="785"/>
      <c r="B378" s="177"/>
      <c r="C378" s="455"/>
      <c r="D378" s="2847"/>
      <c r="E378" s="2922"/>
      <c r="F378" s="2780" t="str">
        <f t="shared" si="56"/>
        <v>CAC - SEER 18 ER2: MF</v>
      </c>
      <c r="G378" s="2781"/>
      <c r="H378" s="2782"/>
      <c r="I378" s="2470"/>
      <c r="J378" s="2470">
        <v>13</v>
      </c>
      <c r="K378" s="910"/>
      <c r="L378" s="935" t="str">
        <f t="shared" si="58"/>
        <v>MO TRM</v>
      </c>
      <c r="M378" s="455"/>
      <c r="N378" s="2028"/>
      <c r="O378" s="455"/>
      <c r="P378" s="177"/>
      <c r="Q378" s="177"/>
      <c r="R378" s="177"/>
      <c r="S378" s="177"/>
      <c r="T378" s="177"/>
      <c r="U378" s="177"/>
      <c r="V378" s="2847"/>
      <c r="W378" s="2576"/>
      <c r="X378" s="2576"/>
      <c r="Y378" s="2576"/>
      <c r="Z378" s="908">
        <v>13</v>
      </c>
      <c r="AA378" s="2576"/>
      <c r="AB378" s="2576"/>
      <c r="AC378" s="2576"/>
      <c r="AD378" s="2576"/>
      <c r="AE378" s="2576"/>
      <c r="AF378" s="2576"/>
      <c r="AG378" s="2576"/>
      <c r="BB378" s="784"/>
      <c r="BC378" s="796"/>
      <c r="BD378" s="900"/>
      <c r="BE378" s="797"/>
    </row>
    <row r="379" spans="1:57" s="65" customFormat="1" hidden="1" outlineLevel="1" x14ac:dyDescent="0.25">
      <c r="A379" s="785"/>
      <c r="B379" s="177"/>
      <c r="C379" s="455"/>
      <c r="D379" s="2847"/>
      <c r="E379" s="2922"/>
      <c r="F379" s="2780" t="str">
        <f t="shared" si="56"/>
        <v>CAC - SEER 18 ER1: MF_CompE</v>
      </c>
      <c r="G379" s="2781"/>
      <c r="H379" s="2782"/>
      <c r="I379" s="2470"/>
      <c r="J379" s="2470"/>
      <c r="K379" s="910"/>
      <c r="L379" s="935"/>
      <c r="M379" s="455"/>
      <c r="N379" s="2028"/>
      <c r="O379" s="455"/>
      <c r="P379" s="177"/>
      <c r="Q379" s="177"/>
      <c r="R379" s="177"/>
      <c r="S379" s="177"/>
      <c r="T379" s="177"/>
      <c r="U379" s="177"/>
      <c r="V379" s="2847"/>
      <c r="W379" s="2576"/>
      <c r="X379" s="2576"/>
      <c r="Y379" s="2576"/>
      <c r="Z379" s="908"/>
      <c r="AA379" s="2576"/>
      <c r="AB379" s="2576"/>
      <c r="AC379" s="2576"/>
      <c r="AD379" s="2576"/>
      <c r="AE379" s="2576"/>
      <c r="AF379" s="2576"/>
      <c r="AG379" s="2576"/>
      <c r="BB379" s="784"/>
      <c r="BC379" s="796"/>
      <c r="BD379" s="900"/>
      <c r="BE379" s="797"/>
    </row>
    <row r="380" spans="1:57" s="65" customFormat="1" hidden="1" outlineLevel="1" x14ac:dyDescent="0.25">
      <c r="A380" s="785"/>
      <c r="B380" s="177"/>
      <c r="C380" s="455"/>
      <c r="D380" s="2847"/>
      <c r="E380" s="2922"/>
      <c r="F380" s="2780" t="str">
        <f t="shared" si="56"/>
        <v>CAC - SEER 18 ER2: MF_CompE</v>
      </c>
      <c r="G380" s="2781"/>
      <c r="H380" s="2782"/>
      <c r="I380" s="2470"/>
      <c r="J380" s="2470">
        <v>13</v>
      </c>
      <c r="K380" s="910"/>
      <c r="L380" s="935"/>
      <c r="M380" s="455"/>
      <c r="N380" s="2028"/>
      <c r="O380" s="455"/>
      <c r="P380" s="177"/>
      <c r="Q380" s="177"/>
      <c r="R380" s="177"/>
      <c r="S380" s="177"/>
      <c r="T380" s="177"/>
      <c r="U380" s="177"/>
      <c r="V380" s="2847"/>
      <c r="W380" s="2576"/>
      <c r="X380" s="2576"/>
      <c r="Y380" s="2576"/>
      <c r="Z380" s="908">
        <v>13</v>
      </c>
      <c r="AA380" s="2576"/>
      <c r="AB380" s="2576"/>
      <c r="AC380" s="2576"/>
      <c r="AD380" s="2576"/>
      <c r="AE380" s="2576"/>
      <c r="AF380" s="2576"/>
      <c r="AG380" s="2576"/>
      <c r="BB380" s="784"/>
      <c r="BC380" s="796"/>
      <c r="BD380" s="900"/>
      <c r="BE380" s="797"/>
    </row>
    <row r="381" spans="1:57" s="65" customFormat="1" hidden="1" outlineLevel="1" x14ac:dyDescent="0.25">
      <c r="A381" s="785"/>
      <c r="B381" s="177"/>
      <c r="C381" s="455"/>
      <c r="D381" s="2847"/>
      <c r="E381" s="2922"/>
      <c r="F381" s="2780" t="str">
        <f t="shared" si="56"/>
        <v>CAC - SEER 18 ROF: MF</v>
      </c>
      <c r="G381" s="2781"/>
      <c r="H381" s="2782"/>
      <c r="I381" s="2470"/>
      <c r="J381" s="2470">
        <v>13</v>
      </c>
      <c r="K381" s="910"/>
      <c r="L381" s="935" t="str">
        <f>L378</f>
        <v>MO TRM</v>
      </c>
      <c r="M381" s="455"/>
      <c r="N381" s="2028"/>
      <c r="O381" s="455"/>
      <c r="P381" s="177"/>
      <c r="Q381" s="177"/>
      <c r="R381" s="177"/>
      <c r="S381" s="177"/>
      <c r="T381" s="177"/>
      <c r="U381" s="177"/>
      <c r="V381" s="2847"/>
      <c r="W381" s="2576"/>
      <c r="X381" s="2576"/>
      <c r="Y381" s="2576"/>
      <c r="Z381" s="908">
        <v>13</v>
      </c>
      <c r="AA381" s="2576"/>
      <c r="AB381" s="2576"/>
      <c r="AC381" s="2576"/>
      <c r="AD381" s="2576"/>
      <c r="AE381" s="2576"/>
      <c r="AF381" s="2576"/>
      <c r="AG381" s="2576"/>
      <c r="BB381" s="784"/>
      <c r="BC381" s="796"/>
      <c r="BD381" s="900"/>
      <c r="BE381" s="797"/>
    </row>
    <row r="382" spans="1:57" s="65" customFormat="1" hidden="1" outlineLevel="1" x14ac:dyDescent="0.25">
      <c r="A382" s="785"/>
      <c r="B382" s="177"/>
      <c r="C382" s="455"/>
      <c r="D382" s="2847"/>
      <c r="E382" s="2922"/>
      <c r="F382" s="2780" t="str">
        <f t="shared" si="56"/>
        <v>CAC - SEER 18 ROF: MF_CompE</v>
      </c>
      <c r="G382" s="2781"/>
      <c r="H382" s="2782"/>
      <c r="I382" s="2470"/>
      <c r="J382" s="2470">
        <v>13</v>
      </c>
      <c r="K382" s="910"/>
      <c r="L382" s="935"/>
      <c r="M382" s="455"/>
      <c r="N382" s="2028"/>
      <c r="O382" s="455"/>
      <c r="P382" s="177"/>
      <c r="Q382" s="177"/>
      <c r="R382" s="177"/>
      <c r="S382" s="177"/>
      <c r="T382" s="177"/>
      <c r="U382" s="177"/>
      <c r="V382" s="2847"/>
      <c r="W382" s="2576"/>
      <c r="X382" s="2576"/>
      <c r="Y382" s="2576"/>
      <c r="Z382" s="908">
        <v>13</v>
      </c>
      <c r="AA382" s="2576"/>
      <c r="AB382" s="2576"/>
      <c r="AC382" s="2576"/>
      <c r="AD382" s="2576"/>
      <c r="AE382" s="2576"/>
      <c r="AF382" s="2576"/>
      <c r="AG382" s="2576"/>
      <c r="BB382" s="784"/>
      <c r="BC382" s="796"/>
      <c r="BD382" s="900"/>
      <c r="BE382" s="797"/>
    </row>
    <row r="383" spans="1:57" s="65" customFormat="1" hidden="1" outlineLevel="1" x14ac:dyDescent="0.25">
      <c r="A383" s="785"/>
      <c r="B383" s="177"/>
      <c r="C383" s="455"/>
      <c r="D383" s="2847"/>
      <c r="E383" s="2922"/>
      <c r="F383" s="2780" t="str">
        <f t="shared" si="56"/>
        <v>CAC - SEER 19 ER1: SF</v>
      </c>
      <c r="G383" s="2781"/>
      <c r="H383" s="2782"/>
      <c r="I383" s="2470"/>
      <c r="J383" s="2470"/>
      <c r="K383" s="910"/>
      <c r="L383" s="935" t="str">
        <f>L381</f>
        <v>MO TRM</v>
      </c>
      <c r="M383" s="455"/>
      <c r="N383" s="2028"/>
      <c r="O383" s="455"/>
      <c r="P383" s="177"/>
      <c r="Q383" s="177"/>
      <c r="R383" s="177"/>
      <c r="S383" s="177"/>
      <c r="T383" s="177"/>
      <c r="U383" s="177"/>
      <c r="V383" s="2847"/>
      <c r="W383" s="2576"/>
      <c r="X383" s="908"/>
      <c r="Y383" s="908"/>
      <c r="Z383" s="908"/>
      <c r="AA383" s="2576"/>
      <c r="AB383" s="2576"/>
      <c r="AC383" s="2576"/>
      <c r="AD383" s="2576"/>
      <c r="AE383" s="2576"/>
      <c r="AF383" s="2576"/>
      <c r="AG383" s="2576"/>
      <c r="BB383" s="784"/>
      <c r="BC383" s="796"/>
      <c r="BD383" s="900"/>
      <c r="BE383" s="797"/>
    </row>
    <row r="384" spans="1:57" s="65" customFormat="1" hidden="1" outlineLevel="1" x14ac:dyDescent="0.25">
      <c r="A384" s="785"/>
      <c r="B384" s="177"/>
      <c r="C384" s="455"/>
      <c r="D384" s="2847"/>
      <c r="E384" s="2922"/>
      <c r="F384" s="2780" t="str">
        <f t="shared" si="56"/>
        <v>CAC - SEER 19 ER2: SF</v>
      </c>
      <c r="G384" s="2781"/>
      <c r="H384" s="2782"/>
      <c r="I384" s="2470"/>
      <c r="J384" s="2470">
        <v>13</v>
      </c>
      <c r="K384" s="910"/>
      <c r="L384" s="935" t="str">
        <f t="shared" si="58"/>
        <v>MO TRM</v>
      </c>
      <c r="M384" s="455"/>
      <c r="N384" s="2028"/>
      <c r="O384" s="455"/>
      <c r="P384" s="177"/>
      <c r="Q384" s="177"/>
      <c r="R384" s="177"/>
      <c r="S384" s="177"/>
      <c r="T384" s="177"/>
      <c r="U384" s="177"/>
      <c r="V384" s="2847"/>
      <c r="W384" s="2576"/>
      <c r="X384" s="2576"/>
      <c r="Y384" s="2576"/>
      <c r="Z384" s="908">
        <v>13</v>
      </c>
      <c r="AA384" s="2576"/>
      <c r="AB384" s="2576"/>
      <c r="AC384" s="2576"/>
      <c r="AD384" s="2576"/>
      <c r="AE384" s="2576"/>
      <c r="AF384" s="2576"/>
      <c r="AG384" s="2576"/>
      <c r="BB384" s="784"/>
      <c r="BC384" s="796"/>
      <c r="BD384" s="900"/>
      <c r="BE384" s="797"/>
    </row>
    <row r="385" spans="1:57" s="65" customFormat="1" hidden="1" outlineLevel="1" x14ac:dyDescent="0.25">
      <c r="A385" s="785"/>
      <c r="B385" s="177"/>
      <c r="C385" s="455"/>
      <c r="D385" s="2847"/>
      <c r="E385" s="2922"/>
      <c r="F385" s="2780" t="str">
        <f t="shared" si="56"/>
        <v>CAC - SEER 19 ROF: SF</v>
      </c>
      <c r="G385" s="2781"/>
      <c r="H385" s="2782"/>
      <c r="I385" s="2470"/>
      <c r="J385" s="2470">
        <v>13</v>
      </c>
      <c r="K385" s="910"/>
      <c r="L385" s="935" t="str">
        <f t="shared" si="58"/>
        <v>MO TRM</v>
      </c>
      <c r="M385" s="455"/>
      <c r="N385" s="2028"/>
      <c r="O385" s="455"/>
      <c r="P385" s="177"/>
      <c r="Q385" s="177"/>
      <c r="R385" s="177"/>
      <c r="S385" s="177"/>
      <c r="T385" s="177"/>
      <c r="U385" s="177"/>
      <c r="V385" s="2847"/>
      <c r="W385" s="2576"/>
      <c r="X385" s="2576"/>
      <c r="Y385" s="2576"/>
      <c r="Z385" s="908">
        <v>13</v>
      </c>
      <c r="AA385" s="2576"/>
      <c r="AB385" s="2576"/>
      <c r="AC385" s="2576"/>
      <c r="AD385" s="2576"/>
      <c r="AE385" s="2576"/>
      <c r="AF385" s="2576"/>
      <c r="AG385" s="2576"/>
      <c r="BB385" s="784"/>
      <c r="BC385" s="796"/>
      <c r="BD385" s="900"/>
      <c r="BE385" s="797"/>
    </row>
    <row r="386" spans="1:57" s="65" customFormat="1" hidden="1" outlineLevel="1" x14ac:dyDescent="0.25">
      <c r="A386" s="785"/>
      <c r="B386" s="177"/>
      <c r="C386" s="455"/>
      <c r="D386" s="2847"/>
      <c r="E386" s="2922"/>
      <c r="F386" s="2780" t="str">
        <f t="shared" si="56"/>
        <v>CAC - SEER 19 ER1: MF</v>
      </c>
      <c r="G386" s="2781"/>
      <c r="H386" s="2782"/>
      <c r="I386" s="2470"/>
      <c r="J386" s="2470"/>
      <c r="K386" s="910"/>
      <c r="L386" s="935" t="str">
        <f t="shared" si="58"/>
        <v>MO TRM</v>
      </c>
      <c r="M386" s="455"/>
      <c r="N386" s="2028"/>
      <c r="O386" s="455"/>
      <c r="P386" s="177"/>
      <c r="Q386" s="177"/>
      <c r="R386" s="177"/>
      <c r="S386" s="177"/>
      <c r="T386" s="177"/>
      <c r="U386" s="177"/>
      <c r="V386" s="2847"/>
      <c r="W386" s="2576"/>
      <c r="X386" s="908"/>
      <c r="Y386" s="908"/>
      <c r="Z386" s="908"/>
      <c r="AA386" s="2576"/>
      <c r="AB386" s="2576"/>
      <c r="AC386" s="2576"/>
      <c r="AD386" s="2576"/>
      <c r="AE386" s="2576"/>
      <c r="AF386" s="2576"/>
      <c r="AG386" s="2576"/>
      <c r="BB386" s="784"/>
      <c r="BC386" s="796"/>
      <c r="BD386" s="900"/>
      <c r="BE386" s="797"/>
    </row>
    <row r="387" spans="1:57" s="65" customFormat="1" hidden="1" outlineLevel="1" x14ac:dyDescent="0.25">
      <c r="A387" s="785"/>
      <c r="B387" s="177"/>
      <c r="C387" s="455"/>
      <c r="D387" s="2847"/>
      <c r="E387" s="2922"/>
      <c r="F387" s="2780" t="str">
        <f t="shared" si="56"/>
        <v>CAC - SEER 19 ER2: MF</v>
      </c>
      <c r="G387" s="2781"/>
      <c r="H387" s="2782"/>
      <c r="I387" s="2470"/>
      <c r="J387" s="2470">
        <v>13</v>
      </c>
      <c r="K387" s="910"/>
      <c r="L387" s="935" t="str">
        <f t="shared" si="58"/>
        <v>MO TRM</v>
      </c>
      <c r="M387" s="455"/>
      <c r="N387" s="2028"/>
      <c r="O387" s="455"/>
      <c r="P387" s="177"/>
      <c r="Q387" s="177"/>
      <c r="R387" s="177"/>
      <c r="S387" s="177"/>
      <c r="T387" s="177"/>
      <c r="U387" s="177"/>
      <c r="V387" s="2847"/>
      <c r="W387" s="2576"/>
      <c r="X387" s="2576"/>
      <c r="Y387" s="2576"/>
      <c r="Z387" s="908">
        <v>13</v>
      </c>
      <c r="AA387" s="2576"/>
      <c r="AB387" s="2576"/>
      <c r="AC387" s="2576"/>
      <c r="AD387" s="2576"/>
      <c r="AE387" s="2576"/>
      <c r="AF387" s="2576"/>
      <c r="AG387" s="2576"/>
      <c r="BB387" s="784"/>
      <c r="BC387" s="796"/>
      <c r="BD387" s="900"/>
      <c r="BE387" s="797"/>
    </row>
    <row r="388" spans="1:57" s="65" customFormat="1" hidden="1" outlineLevel="1" x14ac:dyDescent="0.25">
      <c r="A388" s="785"/>
      <c r="B388" s="177"/>
      <c r="C388" s="455"/>
      <c r="D388" s="2847"/>
      <c r="E388" s="2922"/>
      <c r="F388" s="2780" t="str">
        <f t="shared" si="56"/>
        <v>CAC - SEER 19 ER1: MF_CompE</v>
      </c>
      <c r="G388" s="2781"/>
      <c r="H388" s="2782"/>
      <c r="I388" s="2470"/>
      <c r="J388" s="2470"/>
      <c r="K388" s="910"/>
      <c r="L388" s="935"/>
      <c r="M388" s="455"/>
      <c r="N388" s="2028"/>
      <c r="O388" s="455"/>
      <c r="P388" s="177"/>
      <c r="Q388" s="177"/>
      <c r="R388" s="177"/>
      <c r="S388" s="177"/>
      <c r="T388" s="177"/>
      <c r="U388" s="177"/>
      <c r="V388" s="2847"/>
      <c r="W388" s="2576"/>
      <c r="X388" s="2576"/>
      <c r="Y388" s="2576"/>
      <c r="Z388" s="908"/>
      <c r="AA388" s="2576"/>
      <c r="AB388" s="2576"/>
      <c r="AC388" s="2576"/>
      <c r="AD388" s="2576"/>
      <c r="AE388" s="2576"/>
      <c r="AF388" s="2576"/>
      <c r="AG388" s="2576"/>
      <c r="BB388" s="784"/>
      <c r="BC388" s="796"/>
      <c r="BD388" s="900"/>
      <c r="BE388" s="797"/>
    </row>
    <row r="389" spans="1:57" s="65" customFormat="1" hidden="1" outlineLevel="1" x14ac:dyDescent="0.25">
      <c r="A389" s="785"/>
      <c r="B389" s="177"/>
      <c r="C389" s="455"/>
      <c r="D389" s="2847"/>
      <c r="E389" s="2922"/>
      <c r="F389" s="2780" t="str">
        <f t="shared" si="56"/>
        <v>CAC - SEER 19 ER2: MF_CompE</v>
      </c>
      <c r="G389" s="2781"/>
      <c r="H389" s="2782"/>
      <c r="I389" s="2470"/>
      <c r="J389" s="2470">
        <v>13</v>
      </c>
      <c r="K389" s="910"/>
      <c r="L389" s="935"/>
      <c r="M389" s="455"/>
      <c r="N389" s="2028"/>
      <c r="O389" s="455"/>
      <c r="P389" s="177"/>
      <c r="Q389" s="177"/>
      <c r="R389" s="177"/>
      <c r="S389" s="177"/>
      <c r="T389" s="177"/>
      <c r="U389" s="177"/>
      <c r="V389" s="2847"/>
      <c r="W389" s="2576"/>
      <c r="X389" s="2576"/>
      <c r="Y389" s="2576"/>
      <c r="Z389" s="908">
        <v>13</v>
      </c>
      <c r="AA389" s="2576"/>
      <c r="AB389" s="2576"/>
      <c r="AC389" s="2576"/>
      <c r="AD389" s="2576"/>
      <c r="AE389" s="2576"/>
      <c r="AF389" s="2576"/>
      <c r="AG389" s="2576"/>
      <c r="BB389" s="784"/>
      <c r="BC389" s="796"/>
      <c r="BD389" s="900"/>
      <c r="BE389" s="797"/>
    </row>
    <row r="390" spans="1:57" s="65" customFormat="1" hidden="1" outlineLevel="1" x14ac:dyDescent="0.25">
      <c r="A390" s="785"/>
      <c r="B390" s="177"/>
      <c r="C390" s="455"/>
      <c r="D390" s="2847"/>
      <c r="E390" s="2922"/>
      <c r="F390" s="2780" t="str">
        <f t="shared" si="56"/>
        <v>CAC - SEER 19 ROF: MF</v>
      </c>
      <c r="G390" s="2781"/>
      <c r="H390" s="2782"/>
      <c r="I390" s="2470"/>
      <c r="J390" s="2470">
        <v>13</v>
      </c>
      <c r="K390" s="910"/>
      <c r="L390" s="935" t="str">
        <f>L387</f>
        <v>MO TRM</v>
      </c>
      <c r="M390" s="455"/>
      <c r="N390" s="2028"/>
      <c r="O390" s="455"/>
      <c r="P390" s="177"/>
      <c r="Q390" s="177"/>
      <c r="R390" s="177"/>
      <c r="S390" s="177"/>
      <c r="T390" s="177"/>
      <c r="U390" s="177"/>
      <c r="V390" s="2847"/>
      <c r="W390" s="2576"/>
      <c r="X390" s="2576"/>
      <c r="Y390" s="2576"/>
      <c r="Z390" s="908">
        <v>13</v>
      </c>
      <c r="AA390" s="2576"/>
      <c r="AB390" s="2576"/>
      <c r="AC390" s="2576"/>
      <c r="AD390" s="2576"/>
      <c r="AE390" s="2576"/>
      <c r="AF390" s="2576"/>
      <c r="AG390" s="2576"/>
      <c r="BB390" s="784"/>
      <c r="BC390" s="796"/>
      <c r="BD390" s="900"/>
      <c r="BE390" s="797"/>
    </row>
    <row r="391" spans="1:57" s="65" customFormat="1" hidden="1" outlineLevel="1" x14ac:dyDescent="0.25">
      <c r="A391" s="785"/>
      <c r="B391" s="177"/>
      <c r="C391" s="455"/>
      <c r="D391" s="2847"/>
      <c r="E391" s="2922"/>
      <c r="F391" s="2780" t="str">
        <f t="shared" si="56"/>
        <v>CAC - SEER 19 ROF: MF_CompE</v>
      </c>
      <c r="G391" s="2781"/>
      <c r="H391" s="2782"/>
      <c r="I391" s="2470"/>
      <c r="J391" s="2470">
        <v>13</v>
      </c>
      <c r="K391" s="910"/>
      <c r="L391" s="935"/>
      <c r="M391" s="455"/>
      <c r="N391" s="2028"/>
      <c r="O391" s="455"/>
      <c r="P391" s="177"/>
      <c r="Q391" s="177"/>
      <c r="R391" s="177"/>
      <c r="S391" s="177"/>
      <c r="T391" s="177"/>
      <c r="U391" s="177"/>
      <c r="V391" s="2847"/>
      <c r="W391" s="2576"/>
      <c r="X391" s="2576"/>
      <c r="Y391" s="2576"/>
      <c r="Z391" s="908">
        <v>13</v>
      </c>
      <c r="AA391" s="2576"/>
      <c r="AB391" s="2576"/>
      <c r="AC391" s="2576"/>
      <c r="AD391" s="2576"/>
      <c r="AE391" s="2576"/>
      <c r="AF391" s="2576"/>
      <c r="AG391" s="2576"/>
      <c r="BB391" s="784"/>
      <c r="BC391" s="796"/>
      <c r="BD391" s="900"/>
      <c r="BE391" s="797"/>
    </row>
    <row r="392" spans="1:57" s="65" customFormat="1" hidden="1" outlineLevel="1" x14ac:dyDescent="0.25">
      <c r="A392" s="785"/>
      <c r="B392" s="177"/>
      <c r="C392" s="455"/>
      <c r="D392" s="2847"/>
      <c r="E392" s="2922"/>
      <c r="F392" s="2780" t="str">
        <f t="shared" si="56"/>
        <v>CAC - SEER 20 ER1: SF</v>
      </c>
      <c r="G392" s="2781"/>
      <c r="H392" s="2782"/>
      <c r="I392" s="2470"/>
      <c r="J392" s="2470"/>
      <c r="K392" s="910"/>
      <c r="L392" s="935" t="str">
        <f>L390</f>
        <v>MO TRM</v>
      </c>
      <c r="M392" s="455"/>
      <c r="N392" s="2028"/>
      <c r="O392" s="455"/>
      <c r="P392" s="177"/>
      <c r="Q392" s="177"/>
      <c r="R392" s="177"/>
      <c r="S392" s="177"/>
      <c r="T392" s="177"/>
      <c r="U392" s="177"/>
      <c r="V392" s="2847"/>
      <c r="W392" s="2576"/>
      <c r="X392" s="908"/>
      <c r="Y392" s="908"/>
      <c r="Z392" s="908"/>
      <c r="AA392" s="2576"/>
      <c r="AB392" s="2576"/>
      <c r="AC392" s="2576"/>
      <c r="AD392" s="2576"/>
      <c r="AE392" s="2576"/>
      <c r="AF392" s="2576"/>
      <c r="AG392" s="2576"/>
      <c r="BB392" s="784"/>
      <c r="BC392" s="796"/>
      <c r="BD392" s="900"/>
      <c r="BE392" s="797"/>
    </row>
    <row r="393" spans="1:57" s="65" customFormat="1" hidden="1" outlineLevel="1" x14ac:dyDescent="0.25">
      <c r="A393" s="785"/>
      <c r="B393" s="177"/>
      <c r="C393" s="455"/>
      <c r="D393" s="2847"/>
      <c r="E393" s="2922"/>
      <c r="F393" s="2780" t="str">
        <f t="shared" si="56"/>
        <v>CAC - SEER 20 ER2: SF</v>
      </c>
      <c r="G393" s="2781"/>
      <c r="H393" s="2782"/>
      <c r="I393" s="2470"/>
      <c r="J393" s="2470">
        <v>13</v>
      </c>
      <c r="K393" s="910"/>
      <c r="L393" s="935" t="str">
        <f t="shared" si="58"/>
        <v>MO TRM</v>
      </c>
      <c r="M393" s="455"/>
      <c r="N393" s="2028"/>
      <c r="O393" s="455"/>
      <c r="P393" s="177"/>
      <c r="Q393" s="177"/>
      <c r="R393" s="177"/>
      <c r="S393" s="177"/>
      <c r="T393" s="177"/>
      <c r="U393" s="177"/>
      <c r="V393" s="2847"/>
      <c r="W393" s="2576"/>
      <c r="X393" s="2576"/>
      <c r="Y393" s="2576"/>
      <c r="Z393" s="908">
        <v>13</v>
      </c>
      <c r="AA393" s="2576"/>
      <c r="AB393" s="2576"/>
      <c r="AC393" s="2576"/>
      <c r="AD393" s="2576"/>
      <c r="AE393" s="2576"/>
      <c r="AF393" s="2576"/>
      <c r="AG393" s="2576"/>
      <c r="BB393" s="784"/>
      <c r="BC393" s="796"/>
      <c r="BD393" s="900"/>
      <c r="BE393" s="797"/>
    </row>
    <row r="394" spans="1:57" s="65" customFormat="1" hidden="1" outlineLevel="1" x14ac:dyDescent="0.25">
      <c r="A394" s="785"/>
      <c r="B394" s="177"/>
      <c r="C394" s="455"/>
      <c r="D394" s="2847"/>
      <c r="E394" s="2922"/>
      <c r="F394" s="2780" t="str">
        <f t="shared" ref="F394:F457" si="59">F322</f>
        <v>CAC - SEER 20 ROF: SF</v>
      </c>
      <c r="G394" s="2781"/>
      <c r="H394" s="2782"/>
      <c r="I394" s="2470"/>
      <c r="J394" s="2470">
        <v>13</v>
      </c>
      <c r="K394" s="910"/>
      <c r="L394" s="935" t="str">
        <f t="shared" si="58"/>
        <v>MO TRM</v>
      </c>
      <c r="M394" s="455"/>
      <c r="N394" s="2028"/>
      <c r="O394" s="455"/>
      <c r="P394" s="177"/>
      <c r="Q394" s="177"/>
      <c r="R394" s="177"/>
      <c r="S394" s="177"/>
      <c r="T394" s="177"/>
      <c r="U394" s="177"/>
      <c r="V394" s="2847"/>
      <c r="W394" s="2576"/>
      <c r="X394" s="2576"/>
      <c r="Y394" s="2576"/>
      <c r="Z394" s="908">
        <v>13</v>
      </c>
      <c r="AA394" s="2576"/>
      <c r="AB394" s="2576"/>
      <c r="AC394" s="2576"/>
      <c r="AD394" s="2576"/>
      <c r="AE394" s="2576"/>
      <c r="AF394" s="2576"/>
      <c r="AG394" s="2576"/>
      <c r="BB394" s="784"/>
      <c r="BC394" s="796"/>
      <c r="BD394" s="900"/>
      <c r="BE394" s="797"/>
    </row>
    <row r="395" spans="1:57" s="65" customFormat="1" hidden="1" outlineLevel="1" x14ac:dyDescent="0.25">
      <c r="A395" s="785"/>
      <c r="B395" s="177"/>
      <c r="C395" s="455"/>
      <c r="D395" s="2847"/>
      <c r="E395" s="2922"/>
      <c r="F395" s="2780" t="str">
        <f t="shared" si="59"/>
        <v>CAC - SEER 20 ER1: MF</v>
      </c>
      <c r="G395" s="2781"/>
      <c r="H395" s="2782"/>
      <c r="I395" s="2470"/>
      <c r="J395" s="2470"/>
      <c r="K395" s="910"/>
      <c r="L395" s="935" t="str">
        <f t="shared" si="58"/>
        <v>MO TRM</v>
      </c>
      <c r="M395" s="455"/>
      <c r="N395" s="2028"/>
      <c r="O395" s="455"/>
      <c r="P395" s="177"/>
      <c r="Q395" s="177"/>
      <c r="R395" s="177"/>
      <c r="S395" s="177"/>
      <c r="T395" s="177"/>
      <c r="U395" s="177"/>
      <c r="V395" s="2847"/>
      <c r="W395" s="2576"/>
      <c r="X395" s="908"/>
      <c r="Y395" s="908"/>
      <c r="Z395" s="908"/>
      <c r="AA395" s="2576"/>
      <c r="AB395" s="2576"/>
      <c r="AC395" s="2576"/>
      <c r="AD395" s="2576"/>
      <c r="AE395" s="2576"/>
      <c r="AF395" s="2576"/>
      <c r="AG395" s="2576"/>
      <c r="BB395" s="784"/>
      <c r="BC395" s="796"/>
      <c r="BD395" s="900"/>
      <c r="BE395" s="797"/>
    </row>
    <row r="396" spans="1:57" s="65" customFormat="1" hidden="1" outlineLevel="1" x14ac:dyDescent="0.25">
      <c r="A396" s="785"/>
      <c r="B396" s="177"/>
      <c r="C396" s="455"/>
      <c r="D396" s="2847"/>
      <c r="E396" s="2922"/>
      <c r="F396" s="2780" t="str">
        <f t="shared" si="59"/>
        <v>CAC - SEER 20 ER2: MF</v>
      </c>
      <c r="G396" s="2781"/>
      <c r="H396" s="2782"/>
      <c r="I396" s="2470"/>
      <c r="J396" s="2470">
        <v>13</v>
      </c>
      <c r="K396" s="910"/>
      <c r="L396" s="935" t="str">
        <f t="shared" si="58"/>
        <v>MO TRM</v>
      </c>
      <c r="M396" s="455"/>
      <c r="N396" s="2028"/>
      <c r="O396" s="455"/>
      <c r="P396" s="177"/>
      <c r="Q396" s="177"/>
      <c r="R396" s="177"/>
      <c r="S396" s="177"/>
      <c r="T396" s="177"/>
      <c r="U396" s="177"/>
      <c r="V396" s="2847"/>
      <c r="W396" s="2576"/>
      <c r="X396" s="2576"/>
      <c r="Y396" s="2576"/>
      <c r="Z396" s="908">
        <v>13</v>
      </c>
      <c r="AA396" s="2576"/>
      <c r="AB396" s="2576"/>
      <c r="AC396" s="2576"/>
      <c r="AD396" s="2576"/>
      <c r="AE396" s="2576"/>
      <c r="AF396" s="2576"/>
      <c r="AG396" s="2576"/>
      <c r="BB396" s="784"/>
      <c r="BC396" s="796"/>
      <c r="BD396" s="900"/>
      <c r="BE396" s="797"/>
    </row>
    <row r="397" spans="1:57" s="65" customFormat="1" hidden="1" outlineLevel="1" x14ac:dyDescent="0.25">
      <c r="A397" s="785"/>
      <c r="B397" s="177"/>
      <c r="C397" s="455"/>
      <c r="D397" s="2847"/>
      <c r="E397" s="2922"/>
      <c r="F397" s="2780" t="str">
        <f t="shared" si="59"/>
        <v>CAC - SEER 20 ER1: MF_CompE</v>
      </c>
      <c r="G397" s="2781"/>
      <c r="H397" s="2782"/>
      <c r="I397" s="2470"/>
      <c r="J397" s="2470"/>
      <c r="K397" s="910"/>
      <c r="L397" s="935"/>
      <c r="M397" s="455"/>
      <c r="N397" s="2028"/>
      <c r="O397" s="455"/>
      <c r="P397" s="177"/>
      <c r="Q397" s="177"/>
      <c r="R397" s="177"/>
      <c r="S397" s="177"/>
      <c r="T397" s="177"/>
      <c r="U397" s="177"/>
      <c r="V397" s="2847"/>
      <c r="W397" s="2576"/>
      <c r="X397" s="2576"/>
      <c r="Y397" s="2576"/>
      <c r="Z397" s="908"/>
      <c r="AA397" s="2576"/>
      <c r="AB397" s="2576"/>
      <c r="AC397" s="2576"/>
      <c r="AD397" s="2576"/>
      <c r="AE397" s="2576"/>
      <c r="AF397" s="2576"/>
      <c r="AG397" s="2576"/>
      <c r="BB397" s="784"/>
      <c r="BC397" s="796"/>
      <c r="BD397" s="900"/>
      <c r="BE397" s="797"/>
    </row>
    <row r="398" spans="1:57" s="65" customFormat="1" hidden="1" outlineLevel="1" x14ac:dyDescent="0.25">
      <c r="A398" s="785"/>
      <c r="B398" s="177"/>
      <c r="C398" s="455"/>
      <c r="D398" s="2847"/>
      <c r="E398" s="2922"/>
      <c r="F398" s="2780" t="str">
        <f t="shared" si="59"/>
        <v>CAC - SEER 20 ER2: MF_CompE</v>
      </c>
      <c r="G398" s="2781"/>
      <c r="H398" s="2782"/>
      <c r="I398" s="2470"/>
      <c r="J398" s="2470">
        <v>13</v>
      </c>
      <c r="K398" s="910"/>
      <c r="L398" s="935"/>
      <c r="M398" s="455"/>
      <c r="N398" s="2028"/>
      <c r="O398" s="455"/>
      <c r="P398" s="177"/>
      <c r="Q398" s="177"/>
      <c r="R398" s="177"/>
      <c r="S398" s="177"/>
      <c r="T398" s="177"/>
      <c r="U398" s="177"/>
      <c r="V398" s="2847"/>
      <c r="W398" s="2576"/>
      <c r="X398" s="2576"/>
      <c r="Y398" s="2576"/>
      <c r="Z398" s="908">
        <v>13</v>
      </c>
      <c r="AA398" s="2576"/>
      <c r="AB398" s="2576"/>
      <c r="AC398" s="2576"/>
      <c r="AD398" s="2576"/>
      <c r="AE398" s="2576"/>
      <c r="AF398" s="2576"/>
      <c r="AG398" s="2576"/>
      <c r="BB398" s="784"/>
      <c r="BC398" s="796"/>
      <c r="BD398" s="900"/>
      <c r="BE398" s="797"/>
    </row>
    <row r="399" spans="1:57" s="65" customFormat="1" hidden="1" outlineLevel="1" x14ac:dyDescent="0.25">
      <c r="A399" s="785"/>
      <c r="B399" s="177"/>
      <c r="C399" s="455"/>
      <c r="D399" s="2847"/>
      <c r="E399" s="2922"/>
      <c r="F399" s="2780" t="str">
        <f t="shared" si="59"/>
        <v>CAC - SEER 20 ROF: MF</v>
      </c>
      <c r="G399" s="2781"/>
      <c r="H399" s="2782"/>
      <c r="I399" s="2470"/>
      <c r="J399" s="2470">
        <v>13</v>
      </c>
      <c r="K399" s="910"/>
      <c r="L399" s="935" t="str">
        <f>L396</f>
        <v>MO TRM</v>
      </c>
      <c r="M399" s="455"/>
      <c r="N399" s="2028"/>
      <c r="O399" s="455"/>
      <c r="P399" s="177"/>
      <c r="Q399" s="177"/>
      <c r="R399" s="177"/>
      <c r="S399" s="177"/>
      <c r="T399" s="177"/>
      <c r="U399" s="177"/>
      <c r="V399" s="2847"/>
      <c r="W399" s="2576"/>
      <c r="X399" s="2576"/>
      <c r="Y399" s="2576"/>
      <c r="Z399" s="908">
        <v>13</v>
      </c>
      <c r="AA399" s="2576"/>
      <c r="AB399" s="2576"/>
      <c r="AC399" s="2576"/>
      <c r="AD399" s="2576"/>
      <c r="AE399" s="2576"/>
      <c r="AF399" s="2576"/>
      <c r="AG399" s="2576"/>
      <c r="BB399" s="784"/>
      <c r="BC399" s="796"/>
      <c r="BD399" s="900"/>
      <c r="BE399" s="797"/>
    </row>
    <row r="400" spans="1:57" s="65" customFormat="1" hidden="1" outlineLevel="1" x14ac:dyDescent="0.25">
      <c r="A400" s="785"/>
      <c r="B400" s="177"/>
      <c r="C400" s="455"/>
      <c r="D400" s="2847"/>
      <c r="E400" s="2922"/>
      <c r="F400" s="2780" t="str">
        <f t="shared" si="59"/>
        <v>CAC - SEER 20 ROF: MF_CompE</v>
      </c>
      <c r="G400" s="2781"/>
      <c r="H400" s="2782"/>
      <c r="I400" s="2470"/>
      <c r="J400" s="2470">
        <v>13</v>
      </c>
      <c r="K400" s="910"/>
      <c r="L400" s="935"/>
      <c r="M400" s="455"/>
      <c r="N400" s="2028"/>
      <c r="O400" s="455"/>
      <c r="P400" s="177"/>
      <c r="Q400" s="177"/>
      <c r="R400" s="177"/>
      <c r="S400" s="177"/>
      <c r="T400" s="177"/>
      <c r="U400" s="177"/>
      <c r="V400" s="2847"/>
      <c r="W400" s="2576"/>
      <c r="X400" s="2576"/>
      <c r="Y400" s="2576"/>
      <c r="Z400" s="908">
        <v>13</v>
      </c>
      <c r="AA400" s="2576"/>
      <c r="AB400" s="2576"/>
      <c r="AC400" s="2576"/>
      <c r="AD400" s="2576"/>
      <c r="AE400" s="2576"/>
      <c r="AF400" s="2576"/>
      <c r="AG400" s="2576"/>
      <c r="BB400" s="784"/>
      <c r="BC400" s="796"/>
      <c r="BD400" s="900"/>
      <c r="BE400" s="797"/>
    </row>
    <row r="401" spans="1:57" s="65" customFormat="1" hidden="1" outlineLevel="1" x14ac:dyDescent="0.25">
      <c r="A401" s="785"/>
      <c r="B401" s="177"/>
      <c r="C401" s="455"/>
      <c r="D401" s="2847"/>
      <c r="E401" s="2922"/>
      <c r="F401" s="2780" t="str">
        <f t="shared" si="59"/>
        <v>CAC - SEER 21+ ER1: SF</v>
      </c>
      <c r="G401" s="2781"/>
      <c r="H401" s="2782"/>
      <c r="I401" s="2470"/>
      <c r="J401" s="2470"/>
      <c r="K401" s="910"/>
      <c r="L401" s="935" t="str">
        <f>L399</f>
        <v>MO TRM</v>
      </c>
      <c r="M401" s="455"/>
      <c r="N401" s="2028"/>
      <c r="O401" s="455"/>
      <c r="P401" s="177"/>
      <c r="Q401" s="177"/>
      <c r="R401" s="177"/>
      <c r="S401" s="177"/>
      <c r="T401" s="177"/>
      <c r="U401" s="177"/>
      <c r="V401" s="2847"/>
      <c r="W401" s="2576"/>
      <c r="X401" s="908"/>
      <c r="Y401" s="908"/>
      <c r="Z401" s="908"/>
      <c r="AA401" s="2576"/>
      <c r="AB401" s="2576"/>
      <c r="AC401" s="2576"/>
      <c r="AD401" s="2576"/>
      <c r="AE401" s="2576"/>
      <c r="AF401" s="2576"/>
      <c r="AG401" s="2576"/>
      <c r="BB401" s="784"/>
      <c r="BC401" s="796"/>
      <c r="BD401" s="900"/>
      <c r="BE401" s="797"/>
    </row>
    <row r="402" spans="1:57" s="65" customFormat="1" ht="14.45" hidden="1" customHeight="1" outlineLevel="1" x14ac:dyDescent="0.25">
      <c r="A402" s="785"/>
      <c r="B402" s="177"/>
      <c r="C402" s="455"/>
      <c r="D402" s="2847"/>
      <c r="E402" s="2922"/>
      <c r="F402" s="2780" t="str">
        <f t="shared" si="59"/>
        <v>CAC - SEER 21+ ER2: SF</v>
      </c>
      <c r="G402" s="2781"/>
      <c r="H402" s="2782"/>
      <c r="I402" s="2470"/>
      <c r="J402" s="2470">
        <v>13</v>
      </c>
      <c r="K402" s="910"/>
      <c r="L402" s="935" t="str">
        <f t="shared" si="58"/>
        <v>MO TRM</v>
      </c>
      <c r="M402" s="455"/>
      <c r="N402" s="2028"/>
      <c r="O402" s="455"/>
      <c r="P402" s="177"/>
      <c r="Q402" s="177"/>
      <c r="R402" s="177"/>
      <c r="S402" s="177"/>
      <c r="T402" s="177"/>
      <c r="U402" s="177"/>
      <c r="V402" s="2847"/>
      <c r="W402" s="2576"/>
      <c r="X402" s="2576"/>
      <c r="Y402" s="2576"/>
      <c r="Z402" s="908">
        <v>13</v>
      </c>
      <c r="AA402" s="2576"/>
      <c r="AB402" s="2576"/>
      <c r="AC402" s="2576"/>
      <c r="AD402" s="2576"/>
      <c r="AE402" s="2576"/>
      <c r="AF402" s="2576"/>
      <c r="AG402" s="2576"/>
      <c r="BB402" s="784"/>
      <c r="BC402" s="796"/>
      <c r="BD402" s="900"/>
      <c r="BE402" s="797"/>
    </row>
    <row r="403" spans="1:57" s="65" customFormat="1" ht="14.45" hidden="1" customHeight="1" outlineLevel="1" x14ac:dyDescent="0.25">
      <c r="A403" s="785"/>
      <c r="B403" s="177"/>
      <c r="C403" s="455"/>
      <c r="D403" s="2847"/>
      <c r="E403" s="2922"/>
      <c r="F403" s="2780" t="str">
        <f t="shared" si="59"/>
        <v>CAC - SEER 21+ ROF: SF</v>
      </c>
      <c r="G403" s="2781"/>
      <c r="H403" s="2782"/>
      <c r="I403" s="2470"/>
      <c r="J403" s="2470">
        <v>13</v>
      </c>
      <c r="K403" s="910"/>
      <c r="L403" s="935" t="str">
        <f t="shared" si="58"/>
        <v>MO TRM</v>
      </c>
      <c r="M403" s="455"/>
      <c r="N403" s="2028"/>
      <c r="O403" s="455"/>
      <c r="P403" s="177"/>
      <c r="Q403" s="177"/>
      <c r="R403" s="177"/>
      <c r="S403" s="177"/>
      <c r="T403" s="177"/>
      <c r="U403" s="177"/>
      <c r="V403" s="2847"/>
      <c r="W403" s="2576"/>
      <c r="X403" s="2576"/>
      <c r="Y403" s="2576"/>
      <c r="Z403" s="908">
        <v>13</v>
      </c>
      <c r="AA403" s="2576"/>
      <c r="AB403" s="2576"/>
      <c r="AC403" s="2576"/>
      <c r="AD403" s="2576"/>
      <c r="AE403" s="2576"/>
      <c r="AF403" s="2576"/>
      <c r="AG403" s="2576"/>
      <c r="BB403" s="784"/>
      <c r="BC403" s="796"/>
      <c r="BD403" s="900"/>
      <c r="BE403" s="797"/>
    </row>
    <row r="404" spans="1:57" s="65" customFormat="1" ht="14.45" hidden="1" customHeight="1" outlineLevel="1" x14ac:dyDescent="0.25">
      <c r="A404" s="785"/>
      <c r="B404" s="177"/>
      <c r="C404" s="455"/>
      <c r="D404" s="2847"/>
      <c r="E404" s="2922"/>
      <c r="F404" s="2780" t="str">
        <f t="shared" si="59"/>
        <v>CAC - SEER 21+ ER1: MF</v>
      </c>
      <c r="G404" s="2781"/>
      <c r="H404" s="2782"/>
      <c r="I404" s="2470"/>
      <c r="J404" s="2470"/>
      <c r="K404" s="910"/>
      <c r="L404" s="935" t="str">
        <f t="shared" si="58"/>
        <v>MO TRM</v>
      </c>
      <c r="M404" s="455"/>
      <c r="N404" s="2028"/>
      <c r="O404" s="455"/>
      <c r="P404" s="177"/>
      <c r="Q404" s="177"/>
      <c r="R404" s="177"/>
      <c r="S404" s="177"/>
      <c r="T404" s="177"/>
      <c r="U404" s="177"/>
      <c r="V404" s="2847"/>
      <c r="W404" s="2576"/>
      <c r="X404" s="908"/>
      <c r="Y404" s="908"/>
      <c r="Z404" s="908"/>
      <c r="AA404" s="2576"/>
      <c r="AB404" s="2576"/>
      <c r="AC404" s="2576"/>
      <c r="AD404" s="2576"/>
      <c r="AE404" s="2576"/>
      <c r="AF404" s="2576"/>
      <c r="AG404" s="2576"/>
      <c r="BB404" s="784"/>
      <c r="BC404" s="796"/>
      <c r="BD404" s="900"/>
      <c r="BE404" s="797"/>
    </row>
    <row r="405" spans="1:57" s="65" customFormat="1" ht="14.45" hidden="1" customHeight="1" outlineLevel="1" x14ac:dyDescent="0.25">
      <c r="A405" s="785"/>
      <c r="B405" s="177"/>
      <c r="C405" s="455"/>
      <c r="D405" s="2847"/>
      <c r="E405" s="2922"/>
      <c r="F405" s="2780" t="str">
        <f t="shared" si="59"/>
        <v>CAC - SEER 21+ ER2: MF</v>
      </c>
      <c r="G405" s="2781"/>
      <c r="H405" s="2782"/>
      <c r="I405" s="2470"/>
      <c r="J405" s="2470">
        <v>13</v>
      </c>
      <c r="K405" s="910"/>
      <c r="L405" s="935" t="str">
        <f t="shared" si="58"/>
        <v>MO TRM</v>
      </c>
      <c r="M405" s="455"/>
      <c r="N405" s="2028"/>
      <c r="O405" s="455"/>
      <c r="P405" s="177"/>
      <c r="Q405" s="177"/>
      <c r="R405" s="177"/>
      <c r="S405" s="177"/>
      <c r="T405" s="177"/>
      <c r="U405" s="177"/>
      <c r="V405" s="2847"/>
      <c r="W405" s="2576"/>
      <c r="X405" s="2576"/>
      <c r="Y405" s="2576"/>
      <c r="Z405" s="908">
        <v>13</v>
      </c>
      <c r="AA405" s="2576"/>
      <c r="AB405" s="2576"/>
      <c r="AC405" s="2576"/>
      <c r="AD405" s="2576"/>
      <c r="AE405" s="2576"/>
      <c r="AF405" s="2576"/>
      <c r="AG405" s="2576"/>
      <c r="BB405" s="784"/>
      <c r="BC405" s="796"/>
      <c r="BD405" s="900"/>
      <c r="BE405" s="797"/>
    </row>
    <row r="406" spans="1:57" s="65" customFormat="1" ht="14.45" hidden="1" customHeight="1" outlineLevel="1" x14ac:dyDescent="0.25">
      <c r="A406" s="785"/>
      <c r="B406" s="177"/>
      <c r="C406" s="455"/>
      <c r="D406" s="2847"/>
      <c r="E406" s="2922"/>
      <c r="F406" s="2780" t="str">
        <f t="shared" si="59"/>
        <v>CAC - SEER 21+ ER1: MF_CompE</v>
      </c>
      <c r="G406" s="2781"/>
      <c r="H406" s="2782"/>
      <c r="I406" s="921"/>
      <c r="J406" s="921"/>
      <c r="K406" s="922"/>
      <c r="L406" s="935"/>
      <c r="M406" s="455"/>
      <c r="N406" s="2028"/>
      <c r="O406" s="455"/>
      <c r="P406" s="177"/>
      <c r="Q406" s="177"/>
      <c r="R406" s="177"/>
      <c r="S406" s="177"/>
      <c r="T406" s="177"/>
      <c r="U406" s="177"/>
      <c r="V406" s="2847"/>
      <c r="W406" s="921"/>
      <c r="X406" s="921"/>
      <c r="Y406" s="921"/>
      <c r="Z406" s="920"/>
      <c r="AA406" s="921"/>
      <c r="AB406" s="921"/>
      <c r="AC406" s="921"/>
      <c r="AD406" s="921"/>
      <c r="AE406" s="921"/>
      <c r="AF406" s="921"/>
      <c r="AG406" s="921"/>
      <c r="BB406" s="784"/>
      <c r="BC406" s="796"/>
      <c r="BD406" s="900"/>
      <c r="BE406" s="797"/>
    </row>
    <row r="407" spans="1:57" s="65" customFormat="1" ht="14.45" hidden="1" customHeight="1" outlineLevel="1" x14ac:dyDescent="0.25">
      <c r="A407" s="785"/>
      <c r="B407" s="177"/>
      <c r="C407" s="455"/>
      <c r="D407" s="2847"/>
      <c r="E407" s="2922"/>
      <c r="F407" s="2786" t="str">
        <f t="shared" si="59"/>
        <v>CAC - SEER 21+ ER2: MF_CompE</v>
      </c>
      <c r="G407" s="2786"/>
      <c r="H407" s="2786"/>
      <c r="I407" s="2470"/>
      <c r="J407" s="2470">
        <v>13</v>
      </c>
      <c r="K407" s="910"/>
      <c r="L407" s="935"/>
      <c r="M407" s="455"/>
      <c r="N407" s="2028"/>
      <c r="O407" s="455"/>
      <c r="P407" s="177"/>
      <c r="Q407" s="177"/>
      <c r="R407" s="177"/>
      <c r="S407" s="177"/>
      <c r="T407" s="177"/>
      <c r="U407" s="177"/>
      <c r="V407" s="2847"/>
      <c r="W407" s="921"/>
      <c r="X407" s="921"/>
      <c r="Y407" s="921"/>
      <c r="Z407" s="920">
        <v>13</v>
      </c>
      <c r="AA407" s="921"/>
      <c r="AB407" s="921"/>
      <c r="AC407" s="921"/>
      <c r="AD407" s="921"/>
      <c r="AE407" s="921"/>
      <c r="AF407" s="921"/>
      <c r="AG407" s="921"/>
      <c r="BB407" s="784"/>
      <c r="BC407" s="796"/>
      <c r="BD407" s="900"/>
      <c r="BE407" s="797"/>
    </row>
    <row r="408" spans="1:57" s="65" customFormat="1" ht="15" hidden="1" customHeight="1" outlineLevel="1" x14ac:dyDescent="0.25">
      <c r="A408" s="785"/>
      <c r="B408" s="177"/>
      <c r="C408" s="455"/>
      <c r="D408" s="2847"/>
      <c r="E408" s="2922"/>
      <c r="F408" s="2786" t="str">
        <f t="shared" si="59"/>
        <v>CAC - SEER 21+ ROF: MF</v>
      </c>
      <c r="G408" s="2786"/>
      <c r="H408" s="2786"/>
      <c r="I408" s="2470"/>
      <c r="J408" s="2470">
        <v>13</v>
      </c>
      <c r="K408" s="910"/>
      <c r="L408" s="935" t="str">
        <f>L405</f>
        <v>MO TRM</v>
      </c>
      <c r="M408" s="455"/>
      <c r="N408" s="2028"/>
      <c r="O408" s="455"/>
      <c r="P408" s="177"/>
      <c r="Q408" s="177"/>
      <c r="R408" s="177"/>
      <c r="S408" s="177"/>
      <c r="T408" s="177"/>
      <c r="U408" s="177"/>
      <c r="V408" s="2847"/>
      <c r="W408" s="2576"/>
      <c r="X408" s="2576"/>
      <c r="Y408" s="2576"/>
      <c r="Z408" s="908">
        <v>13</v>
      </c>
      <c r="AA408" s="2576"/>
      <c r="AB408" s="2576"/>
      <c r="AC408" s="2576"/>
      <c r="AD408" s="2576"/>
      <c r="AE408" s="2576"/>
      <c r="AF408" s="2576"/>
      <c r="AG408" s="2576"/>
      <c r="BB408" s="784"/>
      <c r="BC408" s="796"/>
      <c r="BD408" s="900"/>
      <c r="BE408" s="797"/>
    </row>
    <row r="409" spans="1:57" s="65" customFormat="1" ht="15" hidden="1" customHeight="1" outlineLevel="1" thickBot="1" x14ac:dyDescent="0.3">
      <c r="A409" s="785"/>
      <c r="B409" s="177"/>
      <c r="C409" s="455"/>
      <c r="D409" s="2848"/>
      <c r="E409" s="2923"/>
      <c r="F409" s="2787" t="str">
        <f t="shared" si="59"/>
        <v>CAC - SEER 21+ ROF: MF_CompE</v>
      </c>
      <c r="G409" s="2788"/>
      <c r="H409" s="2789"/>
      <c r="I409" s="2472"/>
      <c r="J409" s="2472">
        <v>13</v>
      </c>
      <c r="K409" s="814"/>
      <c r="L409" s="2525"/>
      <c r="M409" s="455"/>
      <c r="N409" s="2028"/>
      <c r="O409" s="455"/>
      <c r="P409" s="177"/>
      <c r="Q409" s="177"/>
      <c r="R409" s="177"/>
      <c r="S409" s="177"/>
      <c r="T409" s="177"/>
      <c r="U409" s="177"/>
      <c r="V409" s="2848"/>
      <c r="W409" s="924"/>
      <c r="X409" s="924"/>
      <c r="Y409" s="924"/>
      <c r="Z409" s="923">
        <v>13</v>
      </c>
      <c r="AA409" s="924"/>
      <c r="AB409" s="924"/>
      <c r="AC409" s="924"/>
      <c r="AD409" s="924"/>
      <c r="AE409" s="924"/>
      <c r="AF409" s="924"/>
      <c r="AG409" s="924"/>
      <c r="BB409" s="784"/>
      <c r="BC409" s="796"/>
      <c r="BD409" s="900"/>
      <c r="BE409" s="797"/>
    </row>
    <row r="410" spans="1:57" s="65" customFormat="1" ht="14.45" hidden="1" customHeight="1" outlineLevel="1" x14ac:dyDescent="0.25">
      <c r="A410" s="785"/>
      <c r="B410" s="177"/>
      <c r="C410" s="455"/>
      <c r="D410" s="2805" t="s">
        <v>320</v>
      </c>
      <c r="E410" s="2855" t="s">
        <v>1290</v>
      </c>
      <c r="F410" s="2776" t="str">
        <f t="shared" si="59"/>
        <v>CAC - SEER 14 ER1: SF</v>
      </c>
      <c r="G410" s="2777"/>
      <c r="H410" s="2778"/>
      <c r="I410" s="1667"/>
      <c r="J410" s="938">
        <v>14.14</v>
      </c>
      <c r="K410" s="904"/>
      <c r="L410" s="1010" t="s">
        <v>1280</v>
      </c>
      <c r="M410" s="455"/>
      <c r="N410" s="2028"/>
      <c r="O410" s="455"/>
      <c r="P410" s="177"/>
      <c r="Q410" s="177"/>
      <c r="R410" s="177"/>
      <c r="S410" s="177"/>
      <c r="T410" s="177"/>
      <c r="U410" s="177"/>
      <c r="V410" s="2867" t="str">
        <f>D410</f>
        <v>SEERee</v>
      </c>
      <c r="W410" s="2577">
        <v>14.2</v>
      </c>
      <c r="X410" s="939">
        <v>14.16</v>
      </c>
      <c r="Y410" s="939">
        <v>14.14</v>
      </c>
      <c r="Z410" s="2577"/>
      <c r="AA410" s="2577"/>
      <c r="AB410" s="2577"/>
      <c r="AC410" s="2577"/>
      <c r="AD410" s="2577"/>
      <c r="AE410" s="2577"/>
      <c r="AF410" s="2577"/>
      <c r="AG410" s="2577"/>
      <c r="BB410" s="784"/>
      <c r="BC410" s="796"/>
      <c r="BD410" s="900"/>
      <c r="BE410" s="797"/>
    </row>
    <row r="411" spans="1:57" s="65" customFormat="1" ht="14.45" hidden="1" customHeight="1" outlineLevel="1" x14ac:dyDescent="0.25">
      <c r="A411" s="785"/>
      <c r="B411" s="177"/>
      <c r="C411" s="455"/>
      <c r="D411" s="2806"/>
      <c r="E411" s="2856"/>
      <c r="F411" s="2783" t="str">
        <f t="shared" si="59"/>
        <v>CAC - SEER 14 ER2: SF</v>
      </c>
      <c r="G411" s="2784"/>
      <c r="H411" s="2785"/>
      <c r="I411" s="1663"/>
      <c r="J411" s="940">
        <v>14.14</v>
      </c>
      <c r="K411" s="910"/>
      <c r="L411" s="927" t="s">
        <v>1280</v>
      </c>
      <c r="M411" s="455"/>
      <c r="N411" s="2028"/>
      <c r="O411" s="455"/>
      <c r="P411" s="177"/>
      <c r="Q411" s="177"/>
      <c r="R411" s="177"/>
      <c r="S411" s="177"/>
      <c r="T411" s="177"/>
      <c r="U411" s="177"/>
      <c r="V411" s="2866"/>
      <c r="W411" s="2576">
        <v>14.2</v>
      </c>
      <c r="X411" s="941">
        <v>14.16</v>
      </c>
      <c r="Y411" s="941">
        <v>14.14</v>
      </c>
      <c r="Z411" s="2576"/>
      <c r="AA411" s="2576"/>
      <c r="AB411" s="2576"/>
      <c r="AC411" s="2576"/>
      <c r="AD411" s="2576"/>
      <c r="AE411" s="2576"/>
      <c r="AF411" s="2576"/>
      <c r="AG411" s="2576"/>
      <c r="BB411" s="784"/>
      <c r="BC411" s="796"/>
      <c r="BD411" s="900"/>
      <c r="BE411" s="797"/>
    </row>
    <row r="412" spans="1:57" s="65" customFormat="1" ht="14.45" hidden="1" customHeight="1" outlineLevel="1" x14ac:dyDescent="0.25">
      <c r="A412" s="785"/>
      <c r="B412" s="177"/>
      <c r="C412" s="455"/>
      <c r="D412" s="2806"/>
      <c r="E412" s="2856"/>
      <c r="F412" s="2783" t="str">
        <f t="shared" si="59"/>
        <v>CAC - SEER 14 ROF: SF</v>
      </c>
      <c r="G412" s="2784"/>
      <c r="H412" s="2785"/>
      <c r="I412" s="1663"/>
      <c r="J412" s="940">
        <v>14.14</v>
      </c>
      <c r="K412" s="910"/>
      <c r="L412" s="927" t="s">
        <v>1280</v>
      </c>
      <c r="M412" s="455"/>
      <c r="N412" s="2028"/>
      <c r="O412" s="455"/>
      <c r="P412" s="177"/>
      <c r="Q412" s="177"/>
      <c r="R412" s="177"/>
      <c r="S412" s="177"/>
      <c r="T412" s="177"/>
      <c r="U412" s="177"/>
      <c r="V412" s="2866"/>
      <c r="W412" s="2576">
        <v>14.2</v>
      </c>
      <c r="X412" s="941">
        <f>X411</f>
        <v>14.16</v>
      </c>
      <c r="Y412" s="941">
        <v>14.14</v>
      </c>
      <c r="Z412" s="2576"/>
      <c r="AA412" s="2576"/>
      <c r="AB412" s="2576"/>
      <c r="AC412" s="2576"/>
      <c r="AD412" s="2576"/>
      <c r="AE412" s="2576"/>
      <c r="AF412" s="2576"/>
      <c r="AG412" s="2576"/>
      <c r="BB412" s="784"/>
      <c r="BC412" s="796"/>
      <c r="BD412" s="900"/>
      <c r="BE412" s="797"/>
    </row>
    <row r="413" spans="1:57" s="65" customFormat="1" hidden="1" outlineLevel="1" x14ac:dyDescent="0.25">
      <c r="A413" s="785"/>
      <c r="B413" s="177"/>
      <c r="C413" s="455"/>
      <c r="D413" s="2806"/>
      <c r="E413" s="2856"/>
      <c r="F413" s="2757" t="str">
        <f t="shared" si="59"/>
        <v>CAC - SEER 14 ER1: MF</v>
      </c>
      <c r="G413" s="2758"/>
      <c r="H413" s="2759"/>
      <c r="I413" s="1663"/>
      <c r="J413" s="940">
        <v>14</v>
      </c>
      <c r="K413" s="910"/>
      <c r="L413" s="927" t="s">
        <v>1291</v>
      </c>
      <c r="M413" s="455"/>
      <c r="N413" s="2028"/>
      <c r="O413" s="455"/>
      <c r="P413" s="177"/>
      <c r="Q413" s="177"/>
      <c r="R413" s="177"/>
      <c r="S413" s="177"/>
      <c r="T413" s="177"/>
      <c r="U413" s="177"/>
      <c r="V413" s="2866"/>
      <c r="W413" s="2576">
        <v>14.2</v>
      </c>
      <c r="X413" s="941">
        <v>14.5</v>
      </c>
      <c r="Y413" s="941">
        <v>14</v>
      </c>
      <c r="Z413" s="2576"/>
      <c r="AA413" s="2576"/>
      <c r="AB413" s="2576"/>
      <c r="AC413" s="2576"/>
      <c r="AD413" s="2576"/>
      <c r="AE413" s="2576"/>
      <c r="AF413" s="2576"/>
      <c r="AG413" s="2576"/>
      <c r="BB413" s="784"/>
      <c r="BC413" s="796"/>
      <c r="BD413" s="900"/>
      <c r="BE413" s="797"/>
    </row>
    <row r="414" spans="1:57" s="65" customFormat="1" hidden="1" outlineLevel="1" x14ac:dyDescent="0.25">
      <c r="A414" s="785"/>
      <c r="B414" s="177"/>
      <c r="C414" s="455"/>
      <c r="D414" s="2806"/>
      <c r="E414" s="2856"/>
      <c r="F414" s="2757" t="str">
        <f t="shared" si="59"/>
        <v>CAC - SEER 14 ER2: MF</v>
      </c>
      <c r="G414" s="2758"/>
      <c r="H414" s="2759"/>
      <c r="I414" s="1663"/>
      <c r="J414" s="940">
        <v>14</v>
      </c>
      <c r="K414" s="910"/>
      <c r="L414" s="927" t="s">
        <v>1291</v>
      </c>
      <c r="M414" s="455"/>
      <c r="N414" s="2028"/>
      <c r="O414" s="455"/>
      <c r="P414" s="177"/>
      <c r="Q414" s="177"/>
      <c r="R414" s="177"/>
      <c r="S414" s="177"/>
      <c r="T414" s="177"/>
      <c r="U414" s="177"/>
      <c r="V414" s="2866"/>
      <c r="W414" s="2576">
        <v>14.2</v>
      </c>
      <c r="X414" s="941">
        <v>14.5</v>
      </c>
      <c r="Y414" s="941">
        <v>14</v>
      </c>
      <c r="Z414" s="2576"/>
      <c r="AA414" s="2576"/>
      <c r="AB414" s="2576"/>
      <c r="AC414" s="2576"/>
      <c r="AD414" s="2576"/>
      <c r="AE414" s="2576"/>
      <c r="AF414" s="2576"/>
      <c r="AG414" s="2576"/>
      <c r="BB414" s="784"/>
      <c r="BC414" s="796"/>
      <c r="BD414" s="900"/>
      <c r="BE414" s="797"/>
    </row>
    <row r="415" spans="1:57" s="65" customFormat="1" hidden="1" outlineLevel="1" x14ac:dyDescent="0.25">
      <c r="A415" s="785"/>
      <c r="B415" s="177"/>
      <c r="C415" s="455"/>
      <c r="D415" s="2806"/>
      <c r="E415" s="2856"/>
      <c r="F415" s="2757" t="str">
        <f t="shared" si="59"/>
        <v>CAC - SEER 14 ER1: MF_CompE</v>
      </c>
      <c r="G415" s="2758"/>
      <c r="H415" s="2759"/>
      <c r="I415" s="1663"/>
      <c r="J415" s="940">
        <v>14</v>
      </c>
      <c r="K415" s="910"/>
      <c r="L415" s="927"/>
      <c r="M415" s="455"/>
      <c r="N415" s="2028"/>
      <c r="O415" s="455"/>
      <c r="P415" s="177"/>
      <c r="Q415" s="177"/>
      <c r="R415" s="177"/>
      <c r="S415" s="177"/>
      <c r="T415" s="177"/>
      <c r="U415" s="177"/>
      <c r="V415" s="2866"/>
      <c r="W415" s="2576"/>
      <c r="X415" s="941"/>
      <c r="Y415" s="941">
        <v>14</v>
      </c>
      <c r="Z415" s="2576"/>
      <c r="AA415" s="2576"/>
      <c r="AB415" s="2576"/>
      <c r="AC415" s="2576"/>
      <c r="AD415" s="2576"/>
      <c r="AE415" s="2576"/>
      <c r="AF415" s="2576"/>
      <c r="AG415" s="2576"/>
      <c r="BB415" s="784"/>
      <c r="BC415" s="796"/>
      <c r="BD415" s="900"/>
      <c r="BE415" s="797"/>
    </row>
    <row r="416" spans="1:57" s="65" customFormat="1" hidden="1" outlineLevel="1" x14ac:dyDescent="0.25">
      <c r="A416" s="785"/>
      <c r="B416" s="177"/>
      <c r="C416" s="455"/>
      <c r="D416" s="2806"/>
      <c r="E416" s="2856"/>
      <c r="F416" s="2757" t="str">
        <f t="shared" si="59"/>
        <v>CAC - SEER 14 ER2: MF_CompE</v>
      </c>
      <c r="G416" s="2758"/>
      <c r="H416" s="2759"/>
      <c r="I416" s="1663"/>
      <c r="J416" s="940">
        <v>14</v>
      </c>
      <c r="K416" s="910"/>
      <c r="L416" s="927"/>
      <c r="M416" s="455"/>
      <c r="N416" s="2028"/>
      <c r="O416" s="455"/>
      <c r="P416" s="177"/>
      <c r="Q416" s="177"/>
      <c r="R416" s="177"/>
      <c r="S416" s="177"/>
      <c r="T416" s="177"/>
      <c r="U416" s="177"/>
      <c r="V416" s="2866"/>
      <c r="W416" s="2576"/>
      <c r="X416" s="941"/>
      <c r="Y416" s="941">
        <v>14</v>
      </c>
      <c r="Z416" s="2576"/>
      <c r="AA416" s="2576"/>
      <c r="AB416" s="2576"/>
      <c r="AC416" s="2576"/>
      <c r="AD416" s="2576"/>
      <c r="AE416" s="2576"/>
      <c r="AF416" s="2576"/>
      <c r="AG416" s="2576"/>
      <c r="BB416" s="784"/>
      <c r="BC416" s="796"/>
      <c r="BD416" s="900"/>
      <c r="BE416" s="797"/>
    </row>
    <row r="417" spans="1:57" s="65" customFormat="1" hidden="1" outlineLevel="1" x14ac:dyDescent="0.25">
      <c r="A417" s="785"/>
      <c r="B417" s="177"/>
      <c r="C417" s="455"/>
      <c r="D417" s="2806"/>
      <c r="E417" s="2856"/>
      <c r="F417" s="2757" t="str">
        <f t="shared" si="59"/>
        <v>CAC - SEER 14 ROF: MF</v>
      </c>
      <c r="G417" s="2758"/>
      <c r="H417" s="2759"/>
      <c r="I417" s="1663"/>
      <c r="J417" s="940">
        <v>14</v>
      </c>
      <c r="K417" s="910"/>
      <c r="L417" s="927" t="s">
        <v>1291</v>
      </c>
      <c r="M417" s="455"/>
      <c r="N417" s="2028"/>
      <c r="O417" s="455"/>
      <c r="P417" s="177"/>
      <c r="Q417" s="177"/>
      <c r="R417" s="177"/>
      <c r="S417" s="177"/>
      <c r="T417" s="177"/>
      <c r="U417" s="177"/>
      <c r="V417" s="2866"/>
      <c r="W417" s="2576">
        <v>14.2</v>
      </c>
      <c r="X417" s="941">
        <v>14.5</v>
      </c>
      <c r="Y417" s="941">
        <v>14</v>
      </c>
      <c r="Z417" s="2576"/>
      <c r="AA417" s="2576"/>
      <c r="AB417" s="2576"/>
      <c r="AC417" s="2576"/>
      <c r="AD417" s="2576"/>
      <c r="AE417" s="2576"/>
      <c r="AF417" s="2576"/>
      <c r="AG417" s="2576"/>
      <c r="BB417" s="784"/>
      <c r="BC417" s="796"/>
      <c r="BD417" s="900"/>
      <c r="BE417" s="797"/>
    </row>
    <row r="418" spans="1:57" s="65" customFormat="1" hidden="1" outlineLevel="1" x14ac:dyDescent="0.25">
      <c r="A418" s="785"/>
      <c r="B418" s="177"/>
      <c r="C418" s="455"/>
      <c r="D418" s="2806"/>
      <c r="E418" s="2856"/>
      <c r="F418" s="2757" t="str">
        <f t="shared" si="59"/>
        <v>CAC - SEER 14 ROF: MF_CompE</v>
      </c>
      <c r="G418" s="2758"/>
      <c r="H418" s="2759"/>
      <c r="I418" s="1663"/>
      <c r="J418" s="940">
        <v>14</v>
      </c>
      <c r="K418" s="910"/>
      <c r="L418" s="927"/>
      <c r="M418" s="455"/>
      <c r="N418" s="2028"/>
      <c r="O418" s="455"/>
      <c r="P418" s="177"/>
      <c r="Q418" s="177"/>
      <c r="R418" s="177"/>
      <c r="S418" s="177"/>
      <c r="T418" s="177"/>
      <c r="U418" s="177"/>
      <c r="V418" s="2866"/>
      <c r="W418" s="2576"/>
      <c r="X418" s="941"/>
      <c r="Y418" s="941">
        <v>14</v>
      </c>
      <c r="Z418" s="2576"/>
      <c r="AA418" s="2576"/>
      <c r="AB418" s="2576"/>
      <c r="AC418" s="2576"/>
      <c r="AD418" s="2576"/>
      <c r="AE418" s="2576"/>
      <c r="AF418" s="2576"/>
      <c r="AG418" s="2576"/>
      <c r="BB418" s="784"/>
      <c r="BC418" s="796"/>
      <c r="BD418" s="900"/>
      <c r="BE418" s="797"/>
    </row>
    <row r="419" spans="1:57" s="65" customFormat="1" hidden="1" outlineLevel="1" x14ac:dyDescent="0.25">
      <c r="A419" s="785"/>
      <c r="B419" s="177"/>
      <c r="C419" s="455"/>
      <c r="D419" s="2806"/>
      <c r="E419" s="2856"/>
      <c r="F419" s="2757" t="str">
        <f t="shared" si="59"/>
        <v>CAC - SEER 15 ER1: SF</v>
      </c>
      <c r="G419" s="2758"/>
      <c r="H419" s="2759"/>
      <c r="I419" s="1663"/>
      <c r="J419" s="940">
        <v>15.16</v>
      </c>
      <c r="K419" s="910"/>
      <c r="L419" s="927" t="s">
        <v>1292</v>
      </c>
      <c r="M419" s="455"/>
      <c r="N419" s="2028"/>
      <c r="O419" s="455"/>
      <c r="P419" s="177"/>
      <c r="Q419" s="177"/>
      <c r="R419" s="177"/>
      <c r="S419" s="177"/>
      <c r="T419" s="177"/>
      <c r="U419" s="177"/>
      <c r="V419" s="2866"/>
      <c r="W419" s="2576">
        <v>15.2</v>
      </c>
      <c r="X419" s="941">
        <v>15.16</v>
      </c>
      <c r="Y419" s="941">
        <v>15.16</v>
      </c>
      <c r="Z419" s="2576"/>
      <c r="AA419" s="2576"/>
      <c r="AB419" s="2576"/>
      <c r="AC419" s="2576"/>
      <c r="AD419" s="2576"/>
      <c r="AE419" s="2576"/>
      <c r="AF419" s="2576"/>
      <c r="AG419" s="2576"/>
      <c r="BB419" s="784"/>
      <c r="BC419" s="796"/>
      <c r="BD419" s="900"/>
      <c r="BE419" s="797"/>
    </row>
    <row r="420" spans="1:57" s="65" customFormat="1" hidden="1" outlineLevel="1" x14ac:dyDescent="0.25">
      <c r="A420" s="785"/>
      <c r="B420" s="177"/>
      <c r="C420" s="455"/>
      <c r="D420" s="2806"/>
      <c r="E420" s="2856"/>
      <c r="F420" s="2757" t="str">
        <f t="shared" si="59"/>
        <v>CAC - SEER 15 ER2: SF</v>
      </c>
      <c r="G420" s="2758"/>
      <c r="H420" s="2759"/>
      <c r="I420" s="1663"/>
      <c r="J420" s="940">
        <v>15.16</v>
      </c>
      <c r="K420" s="910"/>
      <c r="L420" s="927" t="s">
        <v>1292</v>
      </c>
      <c r="M420" s="455"/>
      <c r="N420" s="2028"/>
      <c r="O420" s="455"/>
      <c r="P420" s="177"/>
      <c r="Q420" s="177"/>
      <c r="R420" s="177"/>
      <c r="S420" s="177"/>
      <c r="T420" s="177"/>
      <c r="U420" s="177"/>
      <c r="V420" s="2866"/>
      <c r="W420" s="2576">
        <v>15.2</v>
      </c>
      <c r="X420" s="941">
        <v>15.16</v>
      </c>
      <c r="Y420" s="941">
        <v>15.16</v>
      </c>
      <c r="Z420" s="2576"/>
      <c r="AA420" s="2576"/>
      <c r="AB420" s="2576"/>
      <c r="AC420" s="2576"/>
      <c r="AD420" s="2576"/>
      <c r="AE420" s="2576"/>
      <c r="AF420" s="2576"/>
      <c r="AG420" s="2576"/>
      <c r="BB420" s="784"/>
      <c r="BC420" s="796"/>
      <c r="BD420" s="900"/>
      <c r="BE420" s="797"/>
    </row>
    <row r="421" spans="1:57" s="65" customFormat="1" hidden="1" outlineLevel="1" x14ac:dyDescent="0.25">
      <c r="A421" s="785"/>
      <c r="B421" s="177"/>
      <c r="C421" s="455"/>
      <c r="D421" s="2806"/>
      <c r="E421" s="2856"/>
      <c r="F421" s="2757" t="str">
        <f t="shared" si="59"/>
        <v>CAC - SEER 15 ROF: SF</v>
      </c>
      <c r="G421" s="2758"/>
      <c r="H421" s="2759"/>
      <c r="I421" s="1663"/>
      <c r="J421" s="940">
        <v>15.13</v>
      </c>
      <c r="K421" s="910"/>
      <c r="L421" s="927" t="s">
        <v>1292</v>
      </c>
      <c r="M421" s="455"/>
      <c r="N421" s="2028"/>
      <c r="O421" s="455"/>
      <c r="P421" s="177"/>
      <c r="Q421" s="177"/>
      <c r="R421" s="177"/>
      <c r="S421" s="177"/>
      <c r="T421" s="177"/>
      <c r="U421" s="177"/>
      <c r="V421" s="2866"/>
      <c r="W421" s="2576">
        <v>15.1</v>
      </c>
      <c r="X421" s="941">
        <v>15.16</v>
      </c>
      <c r="Y421" s="941">
        <v>15.13</v>
      </c>
      <c r="Z421" s="2576"/>
      <c r="AA421" s="2576"/>
      <c r="AB421" s="2576"/>
      <c r="AC421" s="2576"/>
      <c r="AD421" s="2576"/>
      <c r="AE421" s="2576"/>
      <c r="AF421" s="2576"/>
      <c r="AG421" s="2576"/>
      <c r="BB421" s="784"/>
      <c r="BC421" s="796"/>
      <c r="BD421" s="900"/>
      <c r="BE421" s="797"/>
    </row>
    <row r="422" spans="1:57" s="65" customFormat="1" hidden="1" outlineLevel="1" x14ac:dyDescent="0.25">
      <c r="A422" s="785"/>
      <c r="B422" s="177"/>
      <c r="C422" s="455"/>
      <c r="D422" s="2806"/>
      <c r="E422" s="2856"/>
      <c r="F422" s="2757" t="str">
        <f t="shared" si="59"/>
        <v>CAC - SEER 15 ER1: MF</v>
      </c>
      <c r="G422" s="2758"/>
      <c r="H422" s="2759"/>
      <c r="I422" s="1663"/>
      <c r="J422" s="940">
        <v>15</v>
      </c>
      <c r="K422" s="910"/>
      <c r="L422" s="927" t="s">
        <v>1291</v>
      </c>
      <c r="M422" s="455"/>
      <c r="N422" s="2028"/>
      <c r="O422" s="455"/>
      <c r="P422" s="177"/>
      <c r="Q422" s="177"/>
      <c r="R422" s="177"/>
      <c r="S422" s="177"/>
      <c r="T422" s="177"/>
      <c r="U422" s="177"/>
      <c r="V422" s="2866"/>
      <c r="W422" s="2576">
        <v>15.2</v>
      </c>
      <c r="X422" s="941">
        <v>15.16</v>
      </c>
      <c r="Y422" s="941">
        <v>15</v>
      </c>
      <c r="Z422" s="2576"/>
      <c r="AA422" s="2576"/>
      <c r="AB422" s="2576"/>
      <c r="AC422" s="2576"/>
      <c r="AD422" s="2576"/>
      <c r="AE422" s="2576"/>
      <c r="AF422" s="2576"/>
      <c r="AG422" s="2576"/>
      <c r="BB422" s="784"/>
      <c r="BC422" s="796"/>
      <c r="BD422" s="900"/>
      <c r="BE422" s="797"/>
    </row>
    <row r="423" spans="1:57" s="65" customFormat="1" hidden="1" outlineLevel="1" x14ac:dyDescent="0.25">
      <c r="A423" s="785"/>
      <c r="B423" s="177"/>
      <c r="C423" s="455"/>
      <c r="D423" s="2806"/>
      <c r="E423" s="2856"/>
      <c r="F423" s="2757" t="str">
        <f t="shared" si="59"/>
        <v>CAC - SEER 15 ER2: MF</v>
      </c>
      <c r="G423" s="2758"/>
      <c r="H423" s="2759"/>
      <c r="I423" s="1663"/>
      <c r="J423" s="940">
        <v>15</v>
      </c>
      <c r="K423" s="910"/>
      <c r="L423" s="927" t="s">
        <v>1291</v>
      </c>
      <c r="M423" s="455"/>
      <c r="N423" s="2028"/>
      <c r="O423" s="455"/>
      <c r="P423" s="177"/>
      <c r="Q423" s="177"/>
      <c r="R423" s="177"/>
      <c r="S423" s="177"/>
      <c r="T423" s="177"/>
      <c r="U423" s="177"/>
      <c r="V423" s="2866"/>
      <c r="W423" s="2576">
        <v>15.2</v>
      </c>
      <c r="X423" s="941">
        <v>15.16</v>
      </c>
      <c r="Y423" s="941">
        <v>15</v>
      </c>
      <c r="Z423" s="2576"/>
      <c r="AA423" s="2576"/>
      <c r="AB423" s="2576"/>
      <c r="AC423" s="2576"/>
      <c r="AD423" s="2576"/>
      <c r="AE423" s="2576"/>
      <c r="AF423" s="2576"/>
      <c r="AG423" s="2576"/>
      <c r="BB423" s="784"/>
      <c r="BC423" s="796"/>
      <c r="BD423" s="900"/>
      <c r="BE423" s="797"/>
    </row>
    <row r="424" spans="1:57" s="65" customFormat="1" hidden="1" outlineLevel="1" x14ac:dyDescent="0.25">
      <c r="A424" s="785"/>
      <c r="B424" s="177"/>
      <c r="C424" s="455"/>
      <c r="D424" s="2806"/>
      <c r="E424" s="2856"/>
      <c r="F424" s="2757" t="str">
        <f t="shared" si="59"/>
        <v>CAC - SEER 15 ER1: MF_CompE</v>
      </c>
      <c r="G424" s="2758"/>
      <c r="H424" s="2759"/>
      <c r="I424" s="1663"/>
      <c r="J424" s="940">
        <v>15</v>
      </c>
      <c r="K424" s="910"/>
      <c r="L424" s="927"/>
      <c r="M424" s="455"/>
      <c r="N424" s="2028"/>
      <c r="O424" s="455"/>
      <c r="P424" s="177"/>
      <c r="Q424" s="177"/>
      <c r="R424" s="177"/>
      <c r="S424" s="177"/>
      <c r="T424" s="177"/>
      <c r="U424" s="177"/>
      <c r="V424" s="2866"/>
      <c r="W424" s="2576"/>
      <c r="X424" s="941"/>
      <c r="Y424" s="941">
        <v>15</v>
      </c>
      <c r="Z424" s="2576"/>
      <c r="AA424" s="2576"/>
      <c r="AB424" s="2576"/>
      <c r="AC424" s="2576"/>
      <c r="AD424" s="2576"/>
      <c r="AE424" s="2576"/>
      <c r="AF424" s="2576"/>
      <c r="AG424" s="2576"/>
      <c r="BB424" s="784"/>
      <c r="BC424" s="796"/>
      <c r="BD424" s="900"/>
      <c r="BE424" s="797"/>
    </row>
    <row r="425" spans="1:57" s="65" customFormat="1" hidden="1" outlineLevel="1" x14ac:dyDescent="0.25">
      <c r="A425" s="785"/>
      <c r="B425" s="177"/>
      <c r="C425" s="455"/>
      <c r="D425" s="2806"/>
      <c r="E425" s="2856"/>
      <c r="F425" s="2757" t="str">
        <f t="shared" si="59"/>
        <v>CAC - SEER 15 ER2: MF_CompE</v>
      </c>
      <c r="G425" s="2758"/>
      <c r="H425" s="2759"/>
      <c r="I425" s="1663"/>
      <c r="J425" s="940">
        <v>15</v>
      </c>
      <c r="K425" s="910"/>
      <c r="L425" s="927"/>
      <c r="M425" s="455"/>
      <c r="N425" s="2028"/>
      <c r="O425" s="455"/>
      <c r="P425" s="177"/>
      <c r="Q425" s="177"/>
      <c r="R425" s="177"/>
      <c r="S425" s="177"/>
      <c r="T425" s="177"/>
      <c r="U425" s="177"/>
      <c r="V425" s="2866"/>
      <c r="W425" s="2576"/>
      <c r="X425" s="941"/>
      <c r="Y425" s="941">
        <v>15</v>
      </c>
      <c r="Z425" s="2576"/>
      <c r="AA425" s="2576"/>
      <c r="AB425" s="2576"/>
      <c r="AC425" s="2576"/>
      <c r="AD425" s="2576"/>
      <c r="AE425" s="2576"/>
      <c r="AF425" s="2576"/>
      <c r="AG425" s="2576"/>
      <c r="BB425" s="784"/>
      <c r="BC425" s="796"/>
      <c r="BD425" s="900"/>
      <c r="BE425" s="797"/>
    </row>
    <row r="426" spans="1:57" s="65" customFormat="1" hidden="1" outlineLevel="1" x14ac:dyDescent="0.25">
      <c r="A426" s="785"/>
      <c r="B426" s="177"/>
      <c r="C426" s="455"/>
      <c r="D426" s="2806"/>
      <c r="E426" s="2856"/>
      <c r="F426" s="2757" t="str">
        <f t="shared" si="59"/>
        <v>CAC - SEER 15 ROF: MF</v>
      </c>
      <c r="G426" s="2758"/>
      <c r="H426" s="2759"/>
      <c r="I426" s="1663"/>
      <c r="J426" s="940">
        <v>15</v>
      </c>
      <c r="K426" s="910"/>
      <c r="L426" s="927" t="s">
        <v>1291</v>
      </c>
      <c r="M426" s="455"/>
      <c r="N426" s="2028"/>
      <c r="O426" s="455"/>
      <c r="P426" s="177"/>
      <c r="Q426" s="177"/>
      <c r="R426" s="177"/>
      <c r="S426" s="177"/>
      <c r="T426" s="177"/>
      <c r="U426" s="177"/>
      <c r="V426" s="2866"/>
      <c r="W426" s="2576">
        <v>15.1</v>
      </c>
      <c r="X426" s="941">
        <v>15.16</v>
      </c>
      <c r="Y426" s="941">
        <v>15</v>
      </c>
      <c r="Z426" s="2576"/>
      <c r="AA426" s="2576"/>
      <c r="AB426" s="2576"/>
      <c r="AC426" s="2576"/>
      <c r="AD426" s="2576"/>
      <c r="AE426" s="2576"/>
      <c r="AF426" s="2576"/>
      <c r="AG426" s="2576"/>
      <c r="BB426" s="784"/>
      <c r="BC426" s="796"/>
      <c r="BD426" s="900"/>
      <c r="BE426" s="797"/>
    </row>
    <row r="427" spans="1:57" s="65" customFormat="1" hidden="1" outlineLevel="1" x14ac:dyDescent="0.25">
      <c r="A427" s="785"/>
      <c r="B427" s="177"/>
      <c r="C427" s="455"/>
      <c r="D427" s="2806"/>
      <c r="E427" s="2856"/>
      <c r="F427" s="2757" t="str">
        <f t="shared" si="59"/>
        <v>CAC - SEER 15 ROF: MF_CompE</v>
      </c>
      <c r="G427" s="2758"/>
      <c r="H427" s="2759"/>
      <c r="I427" s="1663"/>
      <c r="J427" s="940">
        <v>15</v>
      </c>
      <c r="K427" s="910"/>
      <c r="L427" s="927"/>
      <c r="M427" s="455"/>
      <c r="N427" s="2028"/>
      <c r="O427" s="455"/>
      <c r="P427" s="177"/>
      <c r="Q427" s="177"/>
      <c r="R427" s="177"/>
      <c r="S427" s="177"/>
      <c r="T427" s="177"/>
      <c r="U427" s="177"/>
      <c r="V427" s="2866"/>
      <c r="W427" s="2576"/>
      <c r="X427" s="941"/>
      <c r="Y427" s="941">
        <v>15</v>
      </c>
      <c r="Z427" s="2576"/>
      <c r="AA427" s="2576"/>
      <c r="AB427" s="2576"/>
      <c r="AC427" s="2576"/>
      <c r="AD427" s="2576"/>
      <c r="AE427" s="2576"/>
      <c r="AF427" s="2576"/>
      <c r="AG427" s="2576"/>
      <c r="BB427" s="784"/>
      <c r="BC427" s="796"/>
      <c r="BD427" s="900"/>
      <c r="BE427" s="797"/>
    </row>
    <row r="428" spans="1:57" s="65" customFormat="1" hidden="1" outlineLevel="1" x14ac:dyDescent="0.25">
      <c r="A428" s="785"/>
      <c r="B428" s="177"/>
      <c r="C428" s="455"/>
      <c r="D428" s="2806"/>
      <c r="E428" s="2856"/>
      <c r="F428" s="2757" t="str">
        <f t="shared" si="59"/>
        <v>CAC - SEER 16 ER1: SF</v>
      </c>
      <c r="G428" s="2758"/>
      <c r="H428" s="2759"/>
      <c r="I428" s="1663"/>
      <c r="J428" s="940">
        <v>16.36</v>
      </c>
      <c r="K428" s="910"/>
      <c r="L428" s="927" t="s">
        <v>1292</v>
      </c>
      <c r="M428" s="455"/>
      <c r="N428" s="2028"/>
      <c r="O428" s="455"/>
      <c r="P428" s="177"/>
      <c r="Q428" s="177"/>
      <c r="R428" s="177"/>
      <c r="S428" s="177"/>
      <c r="T428" s="177"/>
      <c r="U428" s="177"/>
      <c r="V428" s="2866"/>
      <c r="W428" s="2576">
        <v>16</v>
      </c>
      <c r="X428" s="941">
        <v>16.350000000000001</v>
      </c>
      <c r="Y428" s="941">
        <v>16.36</v>
      </c>
      <c r="Z428" s="2576"/>
      <c r="AA428" s="2576"/>
      <c r="AB428" s="2576"/>
      <c r="AC428" s="2576"/>
      <c r="AD428" s="2576"/>
      <c r="AE428" s="2576"/>
      <c r="AF428" s="2576"/>
      <c r="AG428" s="2576"/>
      <c r="BB428" s="784"/>
      <c r="BC428" s="796"/>
      <c r="BD428" s="900"/>
      <c r="BE428" s="797"/>
    </row>
    <row r="429" spans="1:57" s="65" customFormat="1" hidden="1" outlineLevel="1" x14ac:dyDescent="0.25">
      <c r="A429" s="785"/>
      <c r="B429" s="177"/>
      <c r="C429" s="455"/>
      <c r="D429" s="2806"/>
      <c r="E429" s="2856"/>
      <c r="F429" s="2757" t="str">
        <f t="shared" si="59"/>
        <v>CAC - SEER 16 ER2: SF</v>
      </c>
      <c r="G429" s="2758"/>
      <c r="H429" s="2759"/>
      <c r="I429" s="1663"/>
      <c r="J429" s="940">
        <v>16.36</v>
      </c>
      <c r="K429" s="910"/>
      <c r="L429" s="927" t="s">
        <v>1292</v>
      </c>
      <c r="M429" s="455"/>
      <c r="N429" s="2028"/>
      <c r="O429" s="455"/>
      <c r="P429" s="177"/>
      <c r="Q429" s="177"/>
      <c r="R429" s="177"/>
      <c r="S429" s="177"/>
      <c r="T429" s="177"/>
      <c r="U429" s="177"/>
      <c r="V429" s="2866"/>
      <c r="W429" s="2576">
        <v>16</v>
      </c>
      <c r="X429" s="941">
        <v>16.350000000000001</v>
      </c>
      <c r="Y429" s="941">
        <v>16.36</v>
      </c>
      <c r="Z429" s="2576"/>
      <c r="AA429" s="2576"/>
      <c r="AB429" s="2576"/>
      <c r="AC429" s="2576"/>
      <c r="AD429" s="2576"/>
      <c r="AE429" s="2576"/>
      <c r="AF429" s="2576"/>
      <c r="AG429" s="2576"/>
      <c r="BB429" s="784"/>
      <c r="BC429" s="796"/>
      <c r="BD429" s="900"/>
      <c r="BE429" s="797"/>
    </row>
    <row r="430" spans="1:57" s="65" customFormat="1" hidden="1" outlineLevel="1" x14ac:dyDescent="0.25">
      <c r="A430" s="785"/>
      <c r="B430" s="177"/>
      <c r="C430" s="455"/>
      <c r="D430" s="2806"/>
      <c r="E430" s="2856"/>
      <c r="F430" s="2757" t="str">
        <f t="shared" si="59"/>
        <v>CAC - SEER 16 ROF: SF</v>
      </c>
      <c r="G430" s="2758"/>
      <c r="H430" s="2759"/>
      <c r="I430" s="1663"/>
      <c r="J430" s="940">
        <v>16.37</v>
      </c>
      <c r="K430" s="910"/>
      <c r="L430" s="927" t="s">
        <v>1292</v>
      </c>
      <c r="M430" s="455"/>
      <c r="N430" s="2028"/>
      <c r="O430" s="455"/>
      <c r="P430" s="177"/>
      <c r="Q430" s="177"/>
      <c r="R430" s="177"/>
      <c r="S430" s="177"/>
      <c r="T430" s="177"/>
      <c r="U430" s="177"/>
      <c r="V430" s="2866"/>
      <c r="W430" s="2576">
        <v>16</v>
      </c>
      <c r="X430" s="941">
        <v>16.350000000000001</v>
      </c>
      <c r="Y430" s="941">
        <v>16.37</v>
      </c>
      <c r="Z430" s="2576"/>
      <c r="AA430" s="2576"/>
      <c r="AB430" s="2576"/>
      <c r="AC430" s="2576"/>
      <c r="AD430" s="2576"/>
      <c r="AE430" s="2576"/>
      <c r="AF430" s="2576"/>
      <c r="AG430" s="2576"/>
      <c r="BB430" s="784"/>
      <c r="BC430" s="796"/>
      <c r="BD430" s="900"/>
      <c r="BE430" s="797"/>
    </row>
    <row r="431" spans="1:57" s="65" customFormat="1" hidden="1" outlineLevel="1" x14ac:dyDescent="0.25">
      <c r="A431" s="785"/>
      <c r="B431" s="177"/>
      <c r="C431" s="455"/>
      <c r="D431" s="2806"/>
      <c r="E431" s="2856"/>
      <c r="F431" s="2757" t="str">
        <f t="shared" si="59"/>
        <v>CAC - SEER 16 ER1: MF</v>
      </c>
      <c r="G431" s="2758"/>
      <c r="H431" s="2759"/>
      <c r="I431" s="1663"/>
      <c r="J431" s="940">
        <v>16</v>
      </c>
      <c r="K431" s="910"/>
      <c r="L431" s="927" t="s">
        <v>1281</v>
      </c>
      <c r="M431" s="455"/>
      <c r="N431" s="2028"/>
      <c r="O431" s="455"/>
      <c r="P431" s="177"/>
      <c r="Q431" s="177"/>
      <c r="R431" s="177"/>
      <c r="S431" s="177"/>
      <c r="T431" s="177"/>
      <c r="U431" s="177"/>
      <c r="V431" s="2866"/>
      <c r="W431" s="2576">
        <v>16</v>
      </c>
      <c r="X431" s="941">
        <v>16</v>
      </c>
      <c r="Y431" s="940">
        <v>16</v>
      </c>
      <c r="Z431" s="2576"/>
      <c r="AA431" s="2576"/>
      <c r="AB431" s="2576"/>
      <c r="AC431" s="2576"/>
      <c r="AD431" s="2576"/>
      <c r="AE431" s="2576"/>
      <c r="AF431" s="2576"/>
      <c r="AG431" s="2576"/>
      <c r="BB431" s="784"/>
      <c r="BC431" s="796"/>
      <c r="BD431" s="900"/>
      <c r="BE431" s="797"/>
    </row>
    <row r="432" spans="1:57" s="65" customFormat="1" hidden="1" outlineLevel="1" x14ac:dyDescent="0.25">
      <c r="A432" s="785"/>
      <c r="B432" s="177"/>
      <c r="C432" s="455"/>
      <c r="D432" s="2806"/>
      <c r="E432" s="2856"/>
      <c r="F432" s="2757" t="str">
        <f t="shared" si="59"/>
        <v>CAC - SEER 16 ER2: MF</v>
      </c>
      <c r="G432" s="2758"/>
      <c r="H432" s="2759"/>
      <c r="I432" s="1663"/>
      <c r="J432" s="940">
        <v>16</v>
      </c>
      <c r="K432" s="910"/>
      <c r="L432" s="927" t="s">
        <v>1281</v>
      </c>
      <c r="M432" s="455"/>
      <c r="N432" s="2028"/>
      <c r="O432" s="455"/>
      <c r="P432" s="177"/>
      <c r="Q432" s="177"/>
      <c r="R432" s="177"/>
      <c r="S432" s="177"/>
      <c r="T432" s="177"/>
      <c r="U432" s="177"/>
      <c r="V432" s="2866"/>
      <c r="W432" s="2576">
        <v>16</v>
      </c>
      <c r="X432" s="941">
        <v>16</v>
      </c>
      <c r="Y432" s="940">
        <v>16</v>
      </c>
      <c r="Z432" s="2576"/>
      <c r="AA432" s="2576"/>
      <c r="AB432" s="2576"/>
      <c r="AC432" s="2576"/>
      <c r="AD432" s="2576"/>
      <c r="AE432" s="2576"/>
      <c r="AF432" s="2576"/>
      <c r="AG432" s="2576"/>
      <c r="BB432" s="784"/>
      <c r="BC432" s="796"/>
      <c r="BD432" s="900"/>
      <c r="BE432" s="797"/>
    </row>
    <row r="433" spans="1:57" s="65" customFormat="1" hidden="1" outlineLevel="1" x14ac:dyDescent="0.25">
      <c r="A433" s="785"/>
      <c r="B433" s="177"/>
      <c r="C433" s="455"/>
      <c r="D433" s="2806"/>
      <c r="E433" s="2856"/>
      <c r="F433" s="2757" t="str">
        <f t="shared" si="59"/>
        <v>CAC - SEER 16 ER1: MF_CompE</v>
      </c>
      <c r="G433" s="2758"/>
      <c r="H433" s="2759"/>
      <c r="I433" s="1663"/>
      <c r="J433" s="940">
        <v>16</v>
      </c>
      <c r="K433" s="910"/>
      <c r="L433" s="927"/>
      <c r="M433" s="455"/>
      <c r="N433" s="2028"/>
      <c r="O433" s="455"/>
      <c r="P433" s="177"/>
      <c r="Q433" s="177"/>
      <c r="R433" s="177"/>
      <c r="S433" s="177"/>
      <c r="T433" s="177"/>
      <c r="U433" s="177"/>
      <c r="V433" s="2866"/>
      <c r="W433" s="2576"/>
      <c r="X433" s="941"/>
      <c r="Y433" s="940">
        <v>16</v>
      </c>
      <c r="Z433" s="2576"/>
      <c r="AA433" s="2576"/>
      <c r="AB433" s="2576"/>
      <c r="AC433" s="2576"/>
      <c r="AD433" s="2576"/>
      <c r="AE433" s="2576"/>
      <c r="AF433" s="2576"/>
      <c r="AG433" s="2576"/>
      <c r="BB433" s="784"/>
      <c r="BC433" s="796"/>
      <c r="BD433" s="900"/>
      <c r="BE433" s="797"/>
    </row>
    <row r="434" spans="1:57" s="65" customFormat="1" hidden="1" outlineLevel="1" x14ac:dyDescent="0.25">
      <c r="A434" s="785"/>
      <c r="B434" s="177"/>
      <c r="C434" s="455"/>
      <c r="D434" s="2806"/>
      <c r="E434" s="2856"/>
      <c r="F434" s="2757" t="str">
        <f t="shared" si="59"/>
        <v>CAC - SEER 16 ER2: MF_CompE</v>
      </c>
      <c r="G434" s="2758"/>
      <c r="H434" s="2759"/>
      <c r="I434" s="1663"/>
      <c r="J434" s="940">
        <v>16</v>
      </c>
      <c r="K434" s="910"/>
      <c r="L434" s="927"/>
      <c r="M434" s="455"/>
      <c r="N434" s="2028"/>
      <c r="O434" s="455"/>
      <c r="P434" s="177"/>
      <c r="Q434" s="177"/>
      <c r="R434" s="177"/>
      <c r="S434" s="177"/>
      <c r="T434" s="177"/>
      <c r="U434" s="177"/>
      <c r="V434" s="2866"/>
      <c r="W434" s="2576"/>
      <c r="X434" s="941"/>
      <c r="Y434" s="940">
        <v>16</v>
      </c>
      <c r="Z434" s="2576"/>
      <c r="AA434" s="2576"/>
      <c r="AB434" s="2576"/>
      <c r="AC434" s="2576"/>
      <c r="AD434" s="2576"/>
      <c r="AE434" s="2576"/>
      <c r="AF434" s="2576"/>
      <c r="AG434" s="2576"/>
      <c r="BB434" s="784"/>
      <c r="BC434" s="796"/>
      <c r="BD434" s="900"/>
      <c r="BE434" s="797"/>
    </row>
    <row r="435" spans="1:57" s="65" customFormat="1" hidden="1" outlineLevel="1" x14ac:dyDescent="0.25">
      <c r="A435" s="785"/>
      <c r="B435" s="177"/>
      <c r="C435" s="455"/>
      <c r="D435" s="2806"/>
      <c r="E435" s="2856"/>
      <c r="F435" s="2757" t="str">
        <f t="shared" si="59"/>
        <v>CAC - SEER 16 ROF: MF</v>
      </c>
      <c r="G435" s="2758"/>
      <c r="H435" s="2759"/>
      <c r="I435" s="1663"/>
      <c r="J435" s="940">
        <v>16</v>
      </c>
      <c r="K435" s="910"/>
      <c r="L435" s="927" t="s">
        <v>1281</v>
      </c>
      <c r="M435" s="455"/>
      <c r="N435" s="2028"/>
      <c r="O435" s="455"/>
      <c r="P435" s="177"/>
      <c r="Q435" s="177"/>
      <c r="R435" s="177"/>
      <c r="S435" s="177"/>
      <c r="T435" s="177"/>
      <c r="U435" s="177"/>
      <c r="V435" s="2866"/>
      <c r="W435" s="2576">
        <v>16</v>
      </c>
      <c r="X435" s="941">
        <v>16</v>
      </c>
      <c r="Y435" s="940">
        <v>16</v>
      </c>
      <c r="Z435" s="2576"/>
      <c r="AA435" s="2576"/>
      <c r="AB435" s="2576"/>
      <c r="AC435" s="2576"/>
      <c r="AD435" s="2576"/>
      <c r="AE435" s="2576"/>
      <c r="AF435" s="2576"/>
      <c r="AG435" s="2576"/>
      <c r="BB435" s="784"/>
      <c r="BC435" s="796"/>
      <c r="BD435" s="900"/>
      <c r="BE435" s="797"/>
    </row>
    <row r="436" spans="1:57" s="65" customFormat="1" hidden="1" outlineLevel="1" x14ac:dyDescent="0.25">
      <c r="A436" s="785"/>
      <c r="B436" s="177"/>
      <c r="C436" s="455"/>
      <c r="D436" s="2806"/>
      <c r="E436" s="2856"/>
      <c r="F436" s="2757" t="str">
        <f t="shared" si="59"/>
        <v>CAC - SEER 16 ROF: MF_CompE</v>
      </c>
      <c r="G436" s="2758"/>
      <c r="H436" s="2759"/>
      <c r="I436" s="1663"/>
      <c r="J436" s="940">
        <v>16</v>
      </c>
      <c r="K436" s="910"/>
      <c r="L436" s="927"/>
      <c r="M436" s="455"/>
      <c r="N436" s="2028"/>
      <c r="O436" s="455"/>
      <c r="P436" s="177"/>
      <c r="Q436" s="177"/>
      <c r="R436" s="177"/>
      <c r="S436" s="177"/>
      <c r="T436" s="177"/>
      <c r="U436" s="177"/>
      <c r="V436" s="2866"/>
      <c r="W436" s="2576"/>
      <c r="X436" s="941"/>
      <c r="Y436" s="940">
        <v>16</v>
      </c>
      <c r="Z436" s="2576"/>
      <c r="AA436" s="2576"/>
      <c r="AB436" s="2576"/>
      <c r="AC436" s="2576"/>
      <c r="AD436" s="2576"/>
      <c r="AE436" s="2576"/>
      <c r="AF436" s="2576"/>
      <c r="AG436" s="2576"/>
      <c r="BB436" s="784"/>
      <c r="BC436" s="796"/>
      <c r="BD436" s="900"/>
      <c r="BE436" s="797"/>
    </row>
    <row r="437" spans="1:57" s="65" customFormat="1" hidden="1" outlineLevel="1" x14ac:dyDescent="0.25">
      <c r="A437" s="785"/>
      <c r="B437" s="177"/>
      <c r="C437" s="455"/>
      <c r="D437" s="2806"/>
      <c r="E437" s="2856"/>
      <c r="F437" s="2757" t="str">
        <f t="shared" si="59"/>
        <v>CAC - SEER 17 ER1: SF</v>
      </c>
      <c r="G437" s="2758"/>
      <c r="H437" s="2759"/>
      <c r="I437" s="1663"/>
      <c r="J437" s="940">
        <v>17</v>
      </c>
      <c r="K437" s="910"/>
      <c r="L437" s="927" t="s">
        <v>1293</v>
      </c>
      <c r="M437" s="455"/>
      <c r="N437" s="2028"/>
      <c r="O437" s="455"/>
      <c r="P437" s="177"/>
      <c r="Q437" s="177"/>
      <c r="R437" s="177"/>
      <c r="S437" s="177"/>
      <c r="T437" s="177"/>
      <c r="U437" s="177"/>
      <c r="V437" s="2866"/>
      <c r="W437" s="2576">
        <v>17</v>
      </c>
      <c r="X437" s="940">
        <f t="shared" ref="X437:X444" si="60">W437</f>
        <v>17</v>
      </c>
      <c r="Y437" s="940">
        <v>17</v>
      </c>
      <c r="Z437" s="2576"/>
      <c r="AA437" s="2576"/>
      <c r="AB437" s="2576"/>
      <c r="AC437" s="2576"/>
      <c r="AD437" s="2576"/>
      <c r="AE437" s="2576"/>
      <c r="AF437" s="2576"/>
      <c r="AG437" s="2576"/>
      <c r="BB437" s="784"/>
      <c r="BC437" s="796"/>
      <c r="BD437" s="900"/>
      <c r="BE437" s="797"/>
    </row>
    <row r="438" spans="1:57" s="65" customFormat="1" ht="14.45" hidden="1" customHeight="1" outlineLevel="1" x14ac:dyDescent="0.25">
      <c r="A438" s="785"/>
      <c r="B438" s="177"/>
      <c r="C438" s="455"/>
      <c r="D438" s="2806"/>
      <c r="E438" s="2856"/>
      <c r="F438" s="2757" t="str">
        <f t="shared" si="59"/>
        <v>CAC - SEER 17 ER2: SF</v>
      </c>
      <c r="G438" s="2758"/>
      <c r="H438" s="2759"/>
      <c r="I438" s="1663"/>
      <c r="J438" s="940">
        <v>17</v>
      </c>
      <c r="K438" s="910"/>
      <c r="L438" s="927" t="s">
        <v>1293</v>
      </c>
      <c r="M438" s="455"/>
      <c r="N438" s="2028"/>
      <c r="O438" s="455"/>
      <c r="P438" s="177"/>
      <c r="Q438" s="177"/>
      <c r="R438" s="177"/>
      <c r="S438" s="177"/>
      <c r="T438" s="177"/>
      <c r="U438" s="177"/>
      <c r="V438" s="2866"/>
      <c r="W438" s="2576">
        <v>17</v>
      </c>
      <c r="X438" s="940">
        <f t="shared" si="60"/>
        <v>17</v>
      </c>
      <c r="Y438" s="940">
        <v>17</v>
      </c>
      <c r="Z438" s="2576"/>
      <c r="AA438" s="2576"/>
      <c r="AB438" s="2576"/>
      <c r="AC438" s="2576"/>
      <c r="AD438" s="2576"/>
      <c r="AE438" s="2576"/>
      <c r="AF438" s="2576"/>
      <c r="AG438" s="2576"/>
      <c r="BB438" s="784"/>
      <c r="BC438" s="796"/>
      <c r="BD438" s="900"/>
      <c r="BE438" s="797"/>
    </row>
    <row r="439" spans="1:57" s="65" customFormat="1" ht="14.45" hidden="1" customHeight="1" outlineLevel="1" x14ac:dyDescent="0.25">
      <c r="A439" s="785"/>
      <c r="B439" s="177"/>
      <c r="C439" s="455"/>
      <c r="D439" s="2806"/>
      <c r="E439" s="2856"/>
      <c r="F439" s="2757" t="str">
        <f t="shared" si="59"/>
        <v>CAC - SEER 17 ROF: SF</v>
      </c>
      <c r="G439" s="2758"/>
      <c r="H439" s="2759"/>
      <c r="I439" s="1663"/>
      <c r="J439" s="940">
        <v>17</v>
      </c>
      <c r="K439" s="910"/>
      <c r="L439" s="927" t="s">
        <v>1293</v>
      </c>
      <c r="M439" s="455"/>
      <c r="N439" s="2028"/>
      <c r="O439" s="455"/>
      <c r="P439" s="177"/>
      <c r="Q439" s="177"/>
      <c r="R439" s="177"/>
      <c r="S439" s="177"/>
      <c r="T439" s="177"/>
      <c r="U439" s="177"/>
      <c r="V439" s="2866"/>
      <c r="W439" s="2576">
        <v>17</v>
      </c>
      <c r="X439" s="940">
        <f t="shared" si="60"/>
        <v>17</v>
      </c>
      <c r="Y439" s="940">
        <v>17</v>
      </c>
      <c r="Z439" s="2576"/>
      <c r="AA439" s="2576"/>
      <c r="AB439" s="2576"/>
      <c r="AC439" s="2576"/>
      <c r="AD439" s="2576"/>
      <c r="AE439" s="2576"/>
      <c r="AF439" s="2576"/>
      <c r="AG439" s="2576"/>
      <c r="BB439" s="784"/>
      <c r="BC439" s="796"/>
      <c r="BD439" s="900"/>
      <c r="BE439" s="797"/>
    </row>
    <row r="440" spans="1:57" s="65" customFormat="1" ht="14.45" hidden="1" customHeight="1" outlineLevel="1" x14ac:dyDescent="0.25">
      <c r="A440" s="785"/>
      <c r="B440" s="177"/>
      <c r="C440" s="455"/>
      <c r="D440" s="2806"/>
      <c r="E440" s="2856"/>
      <c r="F440" s="2757" t="str">
        <f t="shared" si="59"/>
        <v>CAC - SEER 17 ER1: MF</v>
      </c>
      <c r="G440" s="2758"/>
      <c r="H440" s="2759"/>
      <c r="I440" s="1663"/>
      <c r="J440" s="940">
        <v>17</v>
      </c>
      <c r="K440" s="910"/>
      <c r="L440" s="927" t="s">
        <v>1293</v>
      </c>
      <c r="M440" s="455"/>
      <c r="N440" s="2028"/>
      <c r="O440" s="455"/>
      <c r="P440" s="177"/>
      <c r="Q440" s="177"/>
      <c r="R440" s="177"/>
      <c r="S440" s="177"/>
      <c r="T440" s="177"/>
      <c r="U440" s="177"/>
      <c r="V440" s="2866"/>
      <c r="W440" s="2576">
        <v>17</v>
      </c>
      <c r="X440" s="940">
        <f t="shared" si="60"/>
        <v>17</v>
      </c>
      <c r="Y440" s="940">
        <v>17</v>
      </c>
      <c r="Z440" s="2576"/>
      <c r="AA440" s="2576"/>
      <c r="AB440" s="2576"/>
      <c r="AC440" s="2576"/>
      <c r="AD440" s="2576"/>
      <c r="AE440" s="2576"/>
      <c r="AF440" s="2576"/>
      <c r="AG440" s="2576"/>
      <c r="BB440" s="784"/>
      <c r="BC440" s="796"/>
      <c r="BD440" s="900"/>
      <c r="BE440" s="797"/>
    </row>
    <row r="441" spans="1:57" s="65" customFormat="1" ht="14.45" hidden="1" customHeight="1" outlineLevel="1" x14ac:dyDescent="0.25">
      <c r="A441" s="785"/>
      <c r="B441" s="177"/>
      <c r="C441" s="455"/>
      <c r="D441" s="2806"/>
      <c r="E441" s="2856"/>
      <c r="F441" s="2757" t="str">
        <f t="shared" si="59"/>
        <v>CAC - SEER 17 ER2: MF</v>
      </c>
      <c r="G441" s="2758"/>
      <c r="H441" s="2759"/>
      <c r="I441" s="1663"/>
      <c r="J441" s="940">
        <v>17</v>
      </c>
      <c r="K441" s="910"/>
      <c r="L441" s="927" t="s">
        <v>1293</v>
      </c>
      <c r="M441" s="455"/>
      <c r="N441" s="2028"/>
      <c r="O441" s="455"/>
      <c r="P441" s="177"/>
      <c r="Q441" s="177"/>
      <c r="R441" s="177"/>
      <c r="S441" s="177"/>
      <c r="T441" s="177"/>
      <c r="U441" s="177"/>
      <c r="V441" s="2866"/>
      <c r="W441" s="2576">
        <v>17</v>
      </c>
      <c r="X441" s="940">
        <f t="shared" si="60"/>
        <v>17</v>
      </c>
      <c r="Y441" s="940">
        <v>17</v>
      </c>
      <c r="Z441" s="2576"/>
      <c r="AA441" s="2576"/>
      <c r="AB441" s="2576"/>
      <c r="AC441" s="2576"/>
      <c r="AD441" s="2576"/>
      <c r="AE441" s="2576"/>
      <c r="AF441" s="2576"/>
      <c r="AG441" s="2576"/>
      <c r="BB441" s="784"/>
      <c r="BC441" s="796"/>
      <c r="BD441" s="900"/>
      <c r="BE441" s="797"/>
    </row>
    <row r="442" spans="1:57" s="65" customFormat="1" ht="14.45" hidden="1" customHeight="1" outlineLevel="1" x14ac:dyDescent="0.25">
      <c r="A442" s="785"/>
      <c r="B442" s="177"/>
      <c r="C442" s="455"/>
      <c r="D442" s="2806"/>
      <c r="E442" s="2856"/>
      <c r="F442" s="2757" t="str">
        <f t="shared" si="59"/>
        <v>CAC - SEER 17 ER1: MF_CompE</v>
      </c>
      <c r="G442" s="2758"/>
      <c r="H442" s="2759"/>
      <c r="I442" s="921"/>
      <c r="J442" s="942">
        <v>17</v>
      </c>
      <c r="K442" s="922"/>
      <c r="L442" s="2526"/>
      <c r="M442" s="455"/>
      <c r="N442" s="2028"/>
      <c r="O442" s="455"/>
      <c r="P442" s="177"/>
      <c r="Q442" s="177"/>
      <c r="R442" s="177"/>
      <c r="S442" s="177"/>
      <c r="T442" s="177"/>
      <c r="U442" s="177"/>
      <c r="V442" s="2866"/>
      <c r="W442" s="921"/>
      <c r="X442" s="942"/>
      <c r="Y442" s="942">
        <v>17</v>
      </c>
      <c r="Z442" s="921"/>
      <c r="AA442" s="921"/>
      <c r="AB442" s="921"/>
      <c r="AC442" s="921"/>
      <c r="AD442" s="921"/>
      <c r="AE442" s="921"/>
      <c r="AF442" s="921"/>
      <c r="AG442" s="921"/>
      <c r="BB442" s="784"/>
      <c r="BC442" s="796"/>
      <c r="BD442" s="900"/>
      <c r="BE442" s="797"/>
    </row>
    <row r="443" spans="1:57" s="65" customFormat="1" ht="14.45" hidden="1" customHeight="1" outlineLevel="1" x14ac:dyDescent="0.25">
      <c r="A443" s="785"/>
      <c r="B443" s="177"/>
      <c r="C443" s="455"/>
      <c r="D443" s="2806"/>
      <c r="E443" s="2856"/>
      <c r="F443" s="2757" t="str">
        <f t="shared" si="59"/>
        <v>CAC - SEER 17 ER2: MF_CompE</v>
      </c>
      <c r="G443" s="2758"/>
      <c r="H443" s="2759"/>
      <c r="I443" s="2470"/>
      <c r="J443" s="940">
        <v>17</v>
      </c>
      <c r="K443" s="910"/>
      <c r="L443" s="927"/>
      <c r="M443" s="455"/>
      <c r="N443" s="2028"/>
      <c r="O443" s="455"/>
      <c r="P443" s="177"/>
      <c r="Q443" s="177"/>
      <c r="R443" s="177"/>
      <c r="S443" s="177"/>
      <c r="T443" s="177"/>
      <c r="U443" s="177"/>
      <c r="V443" s="2866"/>
      <c r="W443" s="921"/>
      <c r="X443" s="942"/>
      <c r="Y443" s="942">
        <v>17</v>
      </c>
      <c r="Z443" s="921"/>
      <c r="AA443" s="921"/>
      <c r="AB443" s="921"/>
      <c r="AC443" s="921"/>
      <c r="AD443" s="921"/>
      <c r="AE443" s="921"/>
      <c r="AF443" s="921"/>
      <c r="AG443" s="921"/>
      <c r="BB443" s="784"/>
      <c r="BC443" s="796"/>
      <c r="BD443" s="900"/>
      <c r="BE443" s="797"/>
    </row>
    <row r="444" spans="1:57" s="65" customFormat="1" ht="15" hidden="1" customHeight="1" outlineLevel="1" x14ac:dyDescent="0.25">
      <c r="A444" s="785"/>
      <c r="B444" s="177"/>
      <c r="C444" s="455"/>
      <c r="D444" s="2806"/>
      <c r="E444" s="2856"/>
      <c r="F444" s="2757" t="str">
        <f t="shared" si="59"/>
        <v>CAC - SEER 17 ROF: MF</v>
      </c>
      <c r="G444" s="2758"/>
      <c r="H444" s="2759"/>
      <c r="I444" s="2470"/>
      <c r="J444" s="940">
        <v>17</v>
      </c>
      <c r="K444" s="910"/>
      <c r="L444" s="927" t="s">
        <v>1293</v>
      </c>
      <c r="M444" s="455"/>
      <c r="N444" s="2028"/>
      <c r="O444" s="455"/>
      <c r="P444" s="177"/>
      <c r="Q444" s="177"/>
      <c r="R444" s="177"/>
      <c r="S444" s="177"/>
      <c r="T444" s="177"/>
      <c r="U444" s="177"/>
      <c r="V444" s="2866"/>
      <c r="W444" s="2576">
        <v>17</v>
      </c>
      <c r="X444" s="940">
        <f t="shared" si="60"/>
        <v>17</v>
      </c>
      <c r="Y444" s="940">
        <v>17</v>
      </c>
      <c r="Z444" s="2576"/>
      <c r="AA444" s="2576"/>
      <c r="AB444" s="2576"/>
      <c r="AC444" s="2576"/>
      <c r="AD444" s="2576"/>
      <c r="AE444" s="2576"/>
      <c r="AF444" s="2576"/>
      <c r="AG444" s="2576"/>
      <c r="BB444" s="784"/>
      <c r="BC444" s="796"/>
      <c r="BD444" s="900"/>
      <c r="BE444" s="797"/>
    </row>
    <row r="445" spans="1:57" s="65" customFormat="1" ht="15" hidden="1" customHeight="1" outlineLevel="1" x14ac:dyDescent="0.25">
      <c r="A445" s="785"/>
      <c r="B445" s="177"/>
      <c r="C445" s="455"/>
      <c r="D445" s="2807"/>
      <c r="E445" s="2857"/>
      <c r="F445" s="2757" t="str">
        <f t="shared" si="59"/>
        <v>CAC - SEER 17 ROF: MF_CompE</v>
      </c>
      <c r="G445" s="2758"/>
      <c r="H445" s="2759"/>
      <c r="I445" s="2470"/>
      <c r="J445" s="940">
        <v>17</v>
      </c>
      <c r="K445" s="910"/>
      <c r="L445" s="927"/>
      <c r="M445" s="455"/>
      <c r="N445" s="2028"/>
      <c r="O445" s="455"/>
      <c r="P445" s="177"/>
      <c r="Q445" s="177"/>
      <c r="R445" s="177"/>
      <c r="S445" s="177"/>
      <c r="T445" s="177"/>
      <c r="U445" s="177"/>
      <c r="V445" s="2847"/>
      <c r="W445" s="2576"/>
      <c r="X445" s="940"/>
      <c r="Y445" s="940">
        <v>17</v>
      </c>
      <c r="Z445" s="2576"/>
      <c r="AA445" s="2576"/>
      <c r="AB445" s="2576"/>
      <c r="AC445" s="2576"/>
      <c r="AD445" s="2576"/>
      <c r="AE445" s="2576"/>
      <c r="AF445" s="2576"/>
      <c r="AG445" s="2576"/>
      <c r="BB445" s="784"/>
      <c r="BC445" s="796"/>
      <c r="BD445" s="900"/>
      <c r="BE445" s="797"/>
    </row>
    <row r="446" spans="1:57" s="65" customFormat="1" ht="14.45" hidden="1" customHeight="1" outlineLevel="1" x14ac:dyDescent="0.25">
      <c r="A446" s="785"/>
      <c r="B446" s="177"/>
      <c r="C446" s="455"/>
      <c r="D446" s="2847"/>
      <c r="E446" s="2922"/>
      <c r="F446" s="2790" t="str">
        <f t="shared" si="59"/>
        <v>CAC - SEER 18 ER1: SF</v>
      </c>
      <c r="G446" s="2791"/>
      <c r="H446" s="2792"/>
      <c r="I446" s="908"/>
      <c r="J446" s="941">
        <v>18</v>
      </c>
      <c r="K446" s="910"/>
      <c r="L446" s="2470"/>
      <c r="M446" s="455"/>
      <c r="N446" s="2028"/>
      <c r="O446" s="455"/>
      <c r="P446" s="177"/>
      <c r="Q446" s="177"/>
      <c r="R446" s="177"/>
      <c r="S446" s="177"/>
      <c r="T446" s="177"/>
      <c r="U446" s="177"/>
      <c r="V446" s="2847"/>
      <c r="W446" s="926"/>
      <c r="X446" s="1077"/>
      <c r="Y446" s="1077"/>
      <c r="Z446" s="933">
        <v>18</v>
      </c>
      <c r="AA446" s="926"/>
      <c r="AB446" s="926"/>
      <c r="AC446" s="926"/>
      <c r="AD446" s="926"/>
      <c r="AE446" s="926"/>
      <c r="AF446" s="926"/>
      <c r="AG446" s="926"/>
      <c r="BB446" s="784"/>
      <c r="BC446" s="796"/>
      <c r="BD446" s="900"/>
      <c r="BE446" s="797"/>
    </row>
    <row r="447" spans="1:57" s="65" customFormat="1" ht="14.45" hidden="1" customHeight="1" outlineLevel="1" x14ac:dyDescent="0.25">
      <c r="A447" s="785"/>
      <c r="B447" s="177"/>
      <c r="C447" s="455"/>
      <c r="D447" s="2847"/>
      <c r="E447" s="2922"/>
      <c r="F447" s="2790" t="str">
        <f t="shared" si="59"/>
        <v>CAC - SEER 18 ER2: SF</v>
      </c>
      <c r="G447" s="2791"/>
      <c r="H447" s="2792"/>
      <c r="I447" s="908"/>
      <c r="J447" s="941">
        <v>18</v>
      </c>
      <c r="K447" s="910"/>
      <c r="L447" s="2470"/>
      <c r="M447" s="455"/>
      <c r="N447" s="2028"/>
      <c r="O447" s="455"/>
      <c r="P447" s="177"/>
      <c r="Q447" s="177"/>
      <c r="R447" s="177"/>
      <c r="S447" s="177"/>
      <c r="T447" s="177"/>
      <c r="U447" s="177"/>
      <c r="V447" s="2847"/>
      <c r="W447" s="2576"/>
      <c r="X447" s="941"/>
      <c r="Y447" s="941"/>
      <c r="Z447" s="908">
        <v>18</v>
      </c>
      <c r="AA447" s="2576"/>
      <c r="AB447" s="2576"/>
      <c r="AC447" s="2576"/>
      <c r="AD447" s="2576"/>
      <c r="AE447" s="2576"/>
      <c r="AF447" s="2576"/>
      <c r="AG447" s="2576"/>
      <c r="BB447" s="784"/>
      <c r="BC447" s="796"/>
      <c r="BD447" s="900"/>
      <c r="BE447" s="797"/>
    </row>
    <row r="448" spans="1:57" s="65" customFormat="1" ht="14.45" hidden="1" customHeight="1" outlineLevel="1" x14ac:dyDescent="0.25">
      <c r="A448" s="785"/>
      <c r="B448" s="177"/>
      <c r="C448" s="455"/>
      <c r="D448" s="2847"/>
      <c r="E448" s="2922"/>
      <c r="F448" s="2790" t="str">
        <f t="shared" si="59"/>
        <v>CAC - SEER 18 ROF: SF</v>
      </c>
      <c r="G448" s="2791"/>
      <c r="H448" s="2792"/>
      <c r="I448" s="908"/>
      <c r="J448" s="941">
        <v>18</v>
      </c>
      <c r="K448" s="910"/>
      <c r="L448" s="2470"/>
      <c r="M448" s="455"/>
      <c r="N448" s="2028"/>
      <c r="O448" s="455"/>
      <c r="P448" s="177"/>
      <c r="Q448" s="177"/>
      <c r="R448" s="177"/>
      <c r="S448" s="177"/>
      <c r="T448" s="177"/>
      <c r="U448" s="177"/>
      <c r="V448" s="2847"/>
      <c r="W448" s="2576"/>
      <c r="X448" s="941"/>
      <c r="Y448" s="941"/>
      <c r="Z448" s="908">
        <v>18</v>
      </c>
      <c r="AA448" s="2576"/>
      <c r="AB448" s="2576"/>
      <c r="AC448" s="2576"/>
      <c r="AD448" s="2576"/>
      <c r="AE448" s="2576"/>
      <c r="AF448" s="2576"/>
      <c r="AG448" s="2576"/>
      <c r="BB448" s="784"/>
      <c r="BC448" s="796"/>
      <c r="BD448" s="900"/>
      <c r="BE448" s="797"/>
    </row>
    <row r="449" spans="1:57" s="65" customFormat="1" hidden="1" outlineLevel="1" x14ac:dyDescent="0.25">
      <c r="A449" s="785"/>
      <c r="B449" s="177"/>
      <c r="C449" s="455"/>
      <c r="D449" s="2847"/>
      <c r="E449" s="2922"/>
      <c r="F449" s="2780" t="str">
        <f t="shared" si="59"/>
        <v>CAC - SEER 18 ER1: MF</v>
      </c>
      <c r="G449" s="2781"/>
      <c r="H449" s="2782"/>
      <c r="I449" s="908"/>
      <c r="J449" s="941">
        <v>18</v>
      </c>
      <c r="K449" s="910"/>
      <c r="L449" s="2470"/>
      <c r="M449" s="455"/>
      <c r="N449" s="2028"/>
      <c r="O449" s="455"/>
      <c r="P449" s="177"/>
      <c r="Q449" s="177"/>
      <c r="R449" s="177"/>
      <c r="S449" s="177"/>
      <c r="T449" s="177"/>
      <c r="U449" s="177"/>
      <c r="V449" s="2847"/>
      <c r="W449" s="2576"/>
      <c r="X449" s="941"/>
      <c r="Y449" s="941"/>
      <c r="Z449" s="908">
        <v>18</v>
      </c>
      <c r="AA449" s="2576"/>
      <c r="AB449" s="2576"/>
      <c r="AC449" s="2576"/>
      <c r="AD449" s="2576"/>
      <c r="AE449" s="2576"/>
      <c r="AF449" s="2576"/>
      <c r="AG449" s="2576"/>
      <c r="BB449" s="784"/>
      <c r="BC449" s="796"/>
      <c r="BD449" s="900"/>
      <c r="BE449" s="797"/>
    </row>
    <row r="450" spans="1:57" s="65" customFormat="1" hidden="1" outlineLevel="1" x14ac:dyDescent="0.25">
      <c r="A450" s="785"/>
      <c r="B450" s="177"/>
      <c r="C450" s="455"/>
      <c r="D450" s="2847"/>
      <c r="E450" s="2922"/>
      <c r="F450" s="2780" t="str">
        <f t="shared" si="59"/>
        <v>CAC - SEER 18 ER2: MF</v>
      </c>
      <c r="G450" s="2781"/>
      <c r="H450" s="2782"/>
      <c r="I450" s="908"/>
      <c r="J450" s="941">
        <v>18</v>
      </c>
      <c r="K450" s="910"/>
      <c r="L450" s="2470"/>
      <c r="M450" s="455"/>
      <c r="N450" s="2028"/>
      <c r="O450" s="455"/>
      <c r="P450" s="177"/>
      <c r="Q450" s="177"/>
      <c r="R450" s="177"/>
      <c r="S450" s="177"/>
      <c r="T450" s="177"/>
      <c r="U450" s="177"/>
      <c r="V450" s="2847"/>
      <c r="W450" s="2576"/>
      <c r="X450" s="941"/>
      <c r="Y450" s="941"/>
      <c r="Z450" s="908">
        <v>18</v>
      </c>
      <c r="AA450" s="2576"/>
      <c r="AB450" s="2576"/>
      <c r="AC450" s="2576"/>
      <c r="AD450" s="2576"/>
      <c r="AE450" s="2576"/>
      <c r="AF450" s="2576"/>
      <c r="AG450" s="2576"/>
      <c r="BB450" s="784"/>
      <c r="BC450" s="796"/>
      <c r="BD450" s="900"/>
      <c r="BE450" s="797"/>
    </row>
    <row r="451" spans="1:57" s="65" customFormat="1" hidden="1" outlineLevel="1" x14ac:dyDescent="0.25">
      <c r="A451" s="785"/>
      <c r="B451" s="177"/>
      <c r="C451" s="455"/>
      <c r="D451" s="2847"/>
      <c r="E451" s="2922"/>
      <c r="F451" s="2780" t="str">
        <f t="shared" si="59"/>
        <v>CAC - SEER 18 ER1: MF_CompE</v>
      </c>
      <c r="G451" s="2781"/>
      <c r="H451" s="2782"/>
      <c r="I451" s="908"/>
      <c r="J451" s="941">
        <v>18</v>
      </c>
      <c r="K451" s="910"/>
      <c r="L451" s="2470"/>
      <c r="M451" s="455"/>
      <c r="N451" s="2028"/>
      <c r="O451" s="455"/>
      <c r="P451" s="177"/>
      <c r="Q451" s="177"/>
      <c r="R451" s="177"/>
      <c r="S451" s="177"/>
      <c r="T451" s="177"/>
      <c r="U451" s="177"/>
      <c r="V451" s="2847"/>
      <c r="W451" s="2576"/>
      <c r="X451" s="941"/>
      <c r="Y451" s="941"/>
      <c r="Z451" s="908">
        <v>18</v>
      </c>
      <c r="AA451" s="2576"/>
      <c r="AB451" s="2576"/>
      <c r="AC451" s="2576"/>
      <c r="AD451" s="2576"/>
      <c r="AE451" s="2576"/>
      <c r="AF451" s="2576"/>
      <c r="AG451" s="2576"/>
      <c r="BB451" s="784"/>
      <c r="BC451" s="796"/>
      <c r="BD451" s="900"/>
      <c r="BE451" s="797"/>
    </row>
    <row r="452" spans="1:57" s="65" customFormat="1" hidden="1" outlineLevel="1" x14ac:dyDescent="0.25">
      <c r="A452" s="785"/>
      <c r="B452" s="177"/>
      <c r="C452" s="455"/>
      <c r="D452" s="2847"/>
      <c r="E452" s="2922"/>
      <c r="F452" s="2780" t="str">
        <f t="shared" si="59"/>
        <v>CAC - SEER 18 ER2: MF_CompE</v>
      </c>
      <c r="G452" s="2781"/>
      <c r="H452" s="2782"/>
      <c r="I452" s="908"/>
      <c r="J452" s="941">
        <v>18</v>
      </c>
      <c r="K452" s="910"/>
      <c r="L452" s="2470"/>
      <c r="M452" s="455"/>
      <c r="N452" s="2028"/>
      <c r="O452" s="455"/>
      <c r="P452" s="177"/>
      <c r="Q452" s="177"/>
      <c r="R452" s="177"/>
      <c r="S452" s="177"/>
      <c r="T452" s="177"/>
      <c r="U452" s="177"/>
      <c r="V452" s="2847"/>
      <c r="W452" s="2576"/>
      <c r="X452" s="941"/>
      <c r="Y452" s="941"/>
      <c r="Z452" s="908">
        <v>18</v>
      </c>
      <c r="AA452" s="2576"/>
      <c r="AB452" s="2576"/>
      <c r="AC452" s="2576"/>
      <c r="AD452" s="2576"/>
      <c r="AE452" s="2576"/>
      <c r="AF452" s="2576"/>
      <c r="AG452" s="2576"/>
      <c r="BB452" s="784"/>
      <c r="BC452" s="796"/>
      <c r="BD452" s="900"/>
      <c r="BE452" s="797"/>
    </row>
    <row r="453" spans="1:57" s="65" customFormat="1" hidden="1" outlineLevel="1" x14ac:dyDescent="0.25">
      <c r="A453" s="785"/>
      <c r="B453" s="177"/>
      <c r="C453" s="455"/>
      <c r="D453" s="2847"/>
      <c r="E453" s="2922"/>
      <c r="F453" s="2780" t="str">
        <f t="shared" si="59"/>
        <v>CAC - SEER 18 ROF: MF</v>
      </c>
      <c r="G453" s="2781"/>
      <c r="H453" s="2782"/>
      <c r="I453" s="908"/>
      <c r="J453" s="941">
        <v>18</v>
      </c>
      <c r="K453" s="910"/>
      <c r="L453" s="2470"/>
      <c r="M453" s="455"/>
      <c r="N453" s="2028"/>
      <c r="O453" s="455"/>
      <c r="P453" s="177"/>
      <c r="Q453" s="177"/>
      <c r="R453" s="177"/>
      <c r="S453" s="177"/>
      <c r="T453" s="177"/>
      <c r="U453" s="177"/>
      <c r="V453" s="2847"/>
      <c r="W453" s="2576"/>
      <c r="X453" s="941"/>
      <c r="Y453" s="941"/>
      <c r="Z453" s="908">
        <v>18</v>
      </c>
      <c r="AA453" s="2576"/>
      <c r="AB453" s="2576"/>
      <c r="AC453" s="2576"/>
      <c r="AD453" s="2576"/>
      <c r="AE453" s="2576"/>
      <c r="AF453" s="2576"/>
      <c r="AG453" s="2576"/>
      <c r="BB453" s="784"/>
      <c r="BC453" s="796"/>
      <c r="BD453" s="900"/>
      <c r="BE453" s="797"/>
    </row>
    <row r="454" spans="1:57" s="65" customFormat="1" hidden="1" outlineLevel="1" x14ac:dyDescent="0.25">
      <c r="A454" s="785"/>
      <c r="B454" s="177"/>
      <c r="C454" s="455"/>
      <c r="D454" s="2847"/>
      <c r="E454" s="2922"/>
      <c r="F454" s="2780" t="str">
        <f t="shared" si="59"/>
        <v>CAC - SEER 18 ROF: MF_CompE</v>
      </c>
      <c r="G454" s="2781"/>
      <c r="H454" s="2782"/>
      <c r="I454" s="908"/>
      <c r="J454" s="941">
        <v>18</v>
      </c>
      <c r="K454" s="910"/>
      <c r="L454" s="2470"/>
      <c r="M454" s="455"/>
      <c r="N454" s="2028"/>
      <c r="O454" s="455"/>
      <c r="P454" s="177"/>
      <c r="Q454" s="177"/>
      <c r="R454" s="177"/>
      <c r="S454" s="177"/>
      <c r="T454" s="177"/>
      <c r="U454" s="177"/>
      <c r="V454" s="2847"/>
      <c r="W454" s="2576"/>
      <c r="X454" s="941"/>
      <c r="Y454" s="941"/>
      <c r="Z454" s="908">
        <v>18</v>
      </c>
      <c r="AA454" s="2576"/>
      <c r="AB454" s="2576"/>
      <c r="AC454" s="2576"/>
      <c r="AD454" s="2576"/>
      <c r="AE454" s="2576"/>
      <c r="AF454" s="2576"/>
      <c r="AG454" s="2576"/>
      <c r="BB454" s="784"/>
      <c r="BC454" s="796"/>
      <c r="BD454" s="900"/>
      <c r="BE454" s="797"/>
    </row>
    <row r="455" spans="1:57" s="65" customFormat="1" hidden="1" outlineLevel="1" x14ac:dyDescent="0.25">
      <c r="A455" s="785"/>
      <c r="B455" s="177"/>
      <c r="C455" s="455"/>
      <c r="D455" s="2847"/>
      <c r="E455" s="2922"/>
      <c r="F455" s="2780" t="str">
        <f t="shared" si="59"/>
        <v>CAC - SEER 19 ER1: SF</v>
      </c>
      <c r="G455" s="2781"/>
      <c r="H455" s="2782"/>
      <c r="I455" s="908"/>
      <c r="J455" s="941">
        <v>19</v>
      </c>
      <c r="K455" s="910"/>
      <c r="L455" s="2470"/>
      <c r="M455" s="455"/>
      <c r="N455" s="2028"/>
      <c r="O455" s="455"/>
      <c r="P455" s="177"/>
      <c r="Q455" s="177"/>
      <c r="R455" s="177"/>
      <c r="S455" s="177"/>
      <c r="T455" s="177"/>
      <c r="U455" s="177"/>
      <c r="V455" s="2847"/>
      <c r="W455" s="2576"/>
      <c r="X455" s="941"/>
      <c r="Y455" s="941"/>
      <c r="Z455" s="908">
        <v>19</v>
      </c>
      <c r="AA455" s="2576"/>
      <c r="AB455" s="2576"/>
      <c r="AC455" s="2576"/>
      <c r="AD455" s="2576"/>
      <c r="AE455" s="2576"/>
      <c r="AF455" s="2576"/>
      <c r="AG455" s="2576"/>
      <c r="BB455" s="784"/>
      <c r="BC455" s="796"/>
      <c r="BD455" s="900"/>
      <c r="BE455" s="797"/>
    </row>
    <row r="456" spans="1:57" s="65" customFormat="1" hidden="1" outlineLevel="1" x14ac:dyDescent="0.25">
      <c r="A456" s="785"/>
      <c r="B456" s="177"/>
      <c r="C456" s="455"/>
      <c r="D456" s="2847"/>
      <c r="E456" s="2922"/>
      <c r="F456" s="2780" t="str">
        <f t="shared" si="59"/>
        <v>CAC - SEER 19 ER2: SF</v>
      </c>
      <c r="G456" s="2781"/>
      <c r="H456" s="2782"/>
      <c r="I456" s="908"/>
      <c r="J456" s="941">
        <v>19</v>
      </c>
      <c r="K456" s="910"/>
      <c r="L456" s="2470"/>
      <c r="M456" s="455"/>
      <c r="N456" s="2028"/>
      <c r="O456" s="455"/>
      <c r="P456" s="177"/>
      <c r="Q456" s="177"/>
      <c r="R456" s="177"/>
      <c r="S456" s="177"/>
      <c r="T456" s="177"/>
      <c r="U456" s="177"/>
      <c r="V456" s="2847"/>
      <c r="W456" s="2576"/>
      <c r="X456" s="941"/>
      <c r="Y456" s="941"/>
      <c r="Z456" s="908">
        <v>19</v>
      </c>
      <c r="AA456" s="2576"/>
      <c r="AB456" s="2576"/>
      <c r="AC456" s="2576"/>
      <c r="AD456" s="2576"/>
      <c r="AE456" s="2576"/>
      <c r="AF456" s="2576"/>
      <c r="AG456" s="2576"/>
      <c r="BB456" s="784"/>
      <c r="BC456" s="796"/>
      <c r="BD456" s="900"/>
      <c r="BE456" s="797"/>
    </row>
    <row r="457" spans="1:57" s="65" customFormat="1" hidden="1" outlineLevel="1" x14ac:dyDescent="0.25">
      <c r="A457" s="785"/>
      <c r="B457" s="177"/>
      <c r="C457" s="455"/>
      <c r="D457" s="2847"/>
      <c r="E457" s="2922"/>
      <c r="F457" s="2780" t="str">
        <f t="shared" si="59"/>
        <v>CAC - SEER 19 ROF: SF</v>
      </c>
      <c r="G457" s="2781"/>
      <c r="H457" s="2782"/>
      <c r="I457" s="908"/>
      <c r="J457" s="941">
        <v>19</v>
      </c>
      <c r="K457" s="910"/>
      <c r="L457" s="2470"/>
      <c r="M457" s="455"/>
      <c r="N457" s="2028"/>
      <c r="O457" s="455"/>
      <c r="P457" s="177"/>
      <c r="Q457" s="177"/>
      <c r="R457" s="177"/>
      <c r="S457" s="177"/>
      <c r="T457" s="177"/>
      <c r="U457" s="177"/>
      <c r="V457" s="2847"/>
      <c r="W457" s="2576"/>
      <c r="X457" s="941"/>
      <c r="Y457" s="941"/>
      <c r="Z457" s="908">
        <v>19</v>
      </c>
      <c r="AA457" s="2576"/>
      <c r="AB457" s="2576"/>
      <c r="AC457" s="2576"/>
      <c r="AD457" s="2576"/>
      <c r="AE457" s="2576"/>
      <c r="AF457" s="2576"/>
      <c r="AG457" s="2576"/>
      <c r="BB457" s="784"/>
      <c r="BC457" s="796"/>
      <c r="BD457" s="900"/>
      <c r="BE457" s="797"/>
    </row>
    <row r="458" spans="1:57" s="65" customFormat="1" hidden="1" outlineLevel="1" x14ac:dyDescent="0.25">
      <c r="A458" s="785"/>
      <c r="B458" s="177"/>
      <c r="C458" s="455"/>
      <c r="D458" s="2847"/>
      <c r="E458" s="2922"/>
      <c r="F458" s="2780" t="str">
        <f t="shared" ref="F458:F521" si="61">F386</f>
        <v>CAC - SEER 19 ER1: MF</v>
      </c>
      <c r="G458" s="2781"/>
      <c r="H458" s="2782"/>
      <c r="I458" s="908"/>
      <c r="J458" s="941">
        <v>19</v>
      </c>
      <c r="K458" s="910"/>
      <c r="L458" s="2470"/>
      <c r="M458" s="455"/>
      <c r="N458" s="2028"/>
      <c r="O458" s="455"/>
      <c r="P458" s="177"/>
      <c r="Q458" s="177"/>
      <c r="R458" s="177"/>
      <c r="S458" s="177"/>
      <c r="T458" s="177"/>
      <c r="U458" s="177"/>
      <c r="V458" s="2847"/>
      <c r="W458" s="2576"/>
      <c r="X458" s="941"/>
      <c r="Y458" s="941"/>
      <c r="Z458" s="908">
        <v>19</v>
      </c>
      <c r="AA458" s="2576"/>
      <c r="AB458" s="2576"/>
      <c r="AC458" s="2576"/>
      <c r="AD458" s="2576"/>
      <c r="AE458" s="2576"/>
      <c r="AF458" s="2576"/>
      <c r="AG458" s="2576"/>
      <c r="BB458" s="784"/>
      <c r="BC458" s="796"/>
      <c r="BD458" s="900"/>
      <c r="BE458" s="797"/>
    </row>
    <row r="459" spans="1:57" s="65" customFormat="1" hidden="1" outlineLevel="1" x14ac:dyDescent="0.25">
      <c r="A459" s="785"/>
      <c r="B459" s="177"/>
      <c r="C459" s="455"/>
      <c r="D459" s="2847"/>
      <c r="E459" s="2922"/>
      <c r="F459" s="2780" t="str">
        <f t="shared" si="61"/>
        <v>CAC - SEER 19 ER2: MF</v>
      </c>
      <c r="G459" s="2781"/>
      <c r="H459" s="2782"/>
      <c r="I459" s="908"/>
      <c r="J459" s="941">
        <v>19</v>
      </c>
      <c r="K459" s="910"/>
      <c r="L459" s="2470"/>
      <c r="M459" s="455"/>
      <c r="N459" s="2028"/>
      <c r="O459" s="455"/>
      <c r="P459" s="177"/>
      <c r="Q459" s="177"/>
      <c r="R459" s="177"/>
      <c r="S459" s="177"/>
      <c r="T459" s="177"/>
      <c r="U459" s="177"/>
      <c r="V459" s="2847"/>
      <c r="W459" s="2576"/>
      <c r="X459" s="941"/>
      <c r="Y459" s="941"/>
      <c r="Z459" s="908">
        <v>19</v>
      </c>
      <c r="AA459" s="2576"/>
      <c r="AB459" s="2576"/>
      <c r="AC459" s="2576"/>
      <c r="AD459" s="2576"/>
      <c r="AE459" s="2576"/>
      <c r="AF459" s="2576"/>
      <c r="AG459" s="2576"/>
      <c r="BB459" s="784"/>
      <c r="BC459" s="796"/>
      <c r="BD459" s="900"/>
      <c r="BE459" s="797"/>
    </row>
    <row r="460" spans="1:57" s="65" customFormat="1" hidden="1" outlineLevel="1" x14ac:dyDescent="0.25">
      <c r="A460" s="785"/>
      <c r="B460" s="177"/>
      <c r="C460" s="455"/>
      <c r="D460" s="2847"/>
      <c r="E460" s="2922"/>
      <c r="F460" s="2780" t="str">
        <f t="shared" si="61"/>
        <v>CAC - SEER 19 ER1: MF_CompE</v>
      </c>
      <c r="G460" s="2781"/>
      <c r="H460" s="2782"/>
      <c r="I460" s="908"/>
      <c r="J460" s="941">
        <v>19</v>
      </c>
      <c r="K460" s="910"/>
      <c r="L460" s="2470"/>
      <c r="M460" s="455"/>
      <c r="N460" s="2028"/>
      <c r="O460" s="455"/>
      <c r="P460" s="177"/>
      <c r="Q460" s="177"/>
      <c r="R460" s="177"/>
      <c r="S460" s="177"/>
      <c r="T460" s="177"/>
      <c r="U460" s="177"/>
      <c r="V460" s="2847"/>
      <c r="W460" s="2576"/>
      <c r="X460" s="941"/>
      <c r="Y460" s="941"/>
      <c r="Z460" s="908">
        <v>19</v>
      </c>
      <c r="AA460" s="2576"/>
      <c r="AB460" s="2576"/>
      <c r="AC460" s="2576"/>
      <c r="AD460" s="2576"/>
      <c r="AE460" s="2576"/>
      <c r="AF460" s="2576"/>
      <c r="AG460" s="2576"/>
      <c r="BB460" s="784"/>
      <c r="BC460" s="796"/>
      <c r="BD460" s="900"/>
      <c r="BE460" s="797"/>
    </row>
    <row r="461" spans="1:57" s="65" customFormat="1" hidden="1" outlineLevel="1" x14ac:dyDescent="0.25">
      <c r="A461" s="785"/>
      <c r="B461" s="177"/>
      <c r="C461" s="455"/>
      <c r="D461" s="2847"/>
      <c r="E461" s="2922"/>
      <c r="F461" s="2780" t="str">
        <f t="shared" si="61"/>
        <v>CAC - SEER 19 ER2: MF_CompE</v>
      </c>
      <c r="G461" s="2781"/>
      <c r="H461" s="2782"/>
      <c r="I461" s="908"/>
      <c r="J461" s="941">
        <v>19</v>
      </c>
      <c r="K461" s="910"/>
      <c r="L461" s="2470"/>
      <c r="M461" s="455"/>
      <c r="N461" s="2028"/>
      <c r="O461" s="455"/>
      <c r="P461" s="177"/>
      <c r="Q461" s="177"/>
      <c r="R461" s="177"/>
      <c r="S461" s="177"/>
      <c r="T461" s="177"/>
      <c r="U461" s="177"/>
      <c r="V461" s="2847"/>
      <c r="W461" s="2576"/>
      <c r="X461" s="941"/>
      <c r="Y461" s="941"/>
      <c r="Z461" s="908">
        <v>19</v>
      </c>
      <c r="AA461" s="2576"/>
      <c r="AB461" s="2576"/>
      <c r="AC461" s="2576"/>
      <c r="AD461" s="2576"/>
      <c r="AE461" s="2576"/>
      <c r="AF461" s="2576"/>
      <c r="AG461" s="2576"/>
      <c r="BB461" s="784"/>
      <c r="BC461" s="796"/>
      <c r="BD461" s="900"/>
      <c r="BE461" s="797"/>
    </row>
    <row r="462" spans="1:57" s="65" customFormat="1" hidden="1" outlineLevel="1" x14ac:dyDescent="0.25">
      <c r="A462" s="785"/>
      <c r="B462" s="177"/>
      <c r="C462" s="455"/>
      <c r="D462" s="2847"/>
      <c r="E462" s="2922"/>
      <c r="F462" s="2780" t="str">
        <f t="shared" si="61"/>
        <v>CAC - SEER 19 ROF: MF</v>
      </c>
      <c r="G462" s="2781"/>
      <c r="H462" s="2782"/>
      <c r="I462" s="908"/>
      <c r="J462" s="941">
        <v>19</v>
      </c>
      <c r="K462" s="910"/>
      <c r="L462" s="2470"/>
      <c r="M462" s="455"/>
      <c r="N462" s="2028"/>
      <c r="O462" s="455"/>
      <c r="P462" s="177"/>
      <c r="Q462" s="177"/>
      <c r="R462" s="177"/>
      <c r="S462" s="177"/>
      <c r="T462" s="177"/>
      <c r="U462" s="177"/>
      <c r="V462" s="2847"/>
      <c r="W462" s="2576"/>
      <c r="X462" s="941"/>
      <c r="Y462" s="941"/>
      <c r="Z462" s="908">
        <v>19</v>
      </c>
      <c r="AA462" s="2576"/>
      <c r="AB462" s="2576"/>
      <c r="AC462" s="2576"/>
      <c r="AD462" s="2576"/>
      <c r="AE462" s="2576"/>
      <c r="AF462" s="2576"/>
      <c r="AG462" s="2576"/>
      <c r="BB462" s="784"/>
      <c r="BC462" s="796"/>
      <c r="BD462" s="900"/>
      <c r="BE462" s="797"/>
    </row>
    <row r="463" spans="1:57" s="65" customFormat="1" hidden="1" outlineLevel="1" x14ac:dyDescent="0.25">
      <c r="A463" s="785"/>
      <c r="B463" s="177"/>
      <c r="C463" s="455"/>
      <c r="D463" s="2847"/>
      <c r="E463" s="2922"/>
      <c r="F463" s="2780" t="str">
        <f t="shared" si="61"/>
        <v>CAC - SEER 19 ROF: MF_CompE</v>
      </c>
      <c r="G463" s="2781"/>
      <c r="H463" s="2782"/>
      <c r="I463" s="908"/>
      <c r="J463" s="941">
        <v>19</v>
      </c>
      <c r="K463" s="910"/>
      <c r="L463" s="2470"/>
      <c r="M463" s="455"/>
      <c r="N463" s="2028"/>
      <c r="O463" s="455"/>
      <c r="P463" s="177"/>
      <c r="Q463" s="177"/>
      <c r="R463" s="177"/>
      <c r="S463" s="177"/>
      <c r="T463" s="177"/>
      <c r="U463" s="177"/>
      <c r="V463" s="2847"/>
      <c r="W463" s="2576"/>
      <c r="X463" s="941"/>
      <c r="Y463" s="941"/>
      <c r="Z463" s="908">
        <v>19</v>
      </c>
      <c r="AA463" s="2576"/>
      <c r="AB463" s="2576"/>
      <c r="AC463" s="2576"/>
      <c r="AD463" s="2576"/>
      <c r="AE463" s="2576"/>
      <c r="AF463" s="2576"/>
      <c r="AG463" s="2576"/>
      <c r="BB463" s="784"/>
      <c r="BC463" s="796"/>
      <c r="BD463" s="900"/>
      <c r="BE463" s="797"/>
    </row>
    <row r="464" spans="1:57" s="65" customFormat="1" hidden="1" outlineLevel="1" x14ac:dyDescent="0.25">
      <c r="A464" s="785"/>
      <c r="B464" s="177"/>
      <c r="C464" s="455"/>
      <c r="D464" s="2847"/>
      <c r="E464" s="2922"/>
      <c r="F464" s="2780" t="str">
        <f t="shared" si="61"/>
        <v>CAC - SEER 20 ER1: SF</v>
      </c>
      <c r="G464" s="2781"/>
      <c r="H464" s="2782"/>
      <c r="I464" s="908"/>
      <c r="J464" s="941">
        <v>20</v>
      </c>
      <c r="K464" s="910"/>
      <c r="L464" s="2470"/>
      <c r="M464" s="455"/>
      <c r="N464" s="2028"/>
      <c r="O464" s="455"/>
      <c r="P464" s="177"/>
      <c r="Q464" s="177"/>
      <c r="R464" s="177"/>
      <c r="S464" s="177"/>
      <c r="T464" s="177"/>
      <c r="U464" s="177"/>
      <c r="V464" s="2847"/>
      <c r="W464" s="2576"/>
      <c r="X464" s="941"/>
      <c r="Y464" s="941"/>
      <c r="Z464" s="908">
        <v>20</v>
      </c>
      <c r="AA464" s="2576"/>
      <c r="AB464" s="2576"/>
      <c r="AC464" s="2576"/>
      <c r="AD464" s="2576"/>
      <c r="AE464" s="2576"/>
      <c r="AF464" s="2576"/>
      <c r="AG464" s="2576"/>
      <c r="BB464" s="784"/>
      <c r="BC464" s="796"/>
      <c r="BD464" s="900"/>
      <c r="BE464" s="797"/>
    </row>
    <row r="465" spans="1:57" s="65" customFormat="1" hidden="1" outlineLevel="1" x14ac:dyDescent="0.25">
      <c r="A465" s="785"/>
      <c r="B465" s="177"/>
      <c r="C465" s="455"/>
      <c r="D465" s="2847"/>
      <c r="E465" s="2922"/>
      <c r="F465" s="2780" t="str">
        <f t="shared" si="61"/>
        <v>CAC - SEER 20 ER2: SF</v>
      </c>
      <c r="G465" s="2781"/>
      <c r="H465" s="2782"/>
      <c r="I465" s="908"/>
      <c r="J465" s="941">
        <v>20</v>
      </c>
      <c r="K465" s="910"/>
      <c r="L465" s="2470"/>
      <c r="M465" s="455"/>
      <c r="N465" s="2028"/>
      <c r="O465" s="455"/>
      <c r="P465" s="177"/>
      <c r="Q465" s="177"/>
      <c r="R465" s="177"/>
      <c r="S465" s="177"/>
      <c r="T465" s="177"/>
      <c r="U465" s="177"/>
      <c r="V465" s="2847"/>
      <c r="W465" s="2576"/>
      <c r="X465" s="941"/>
      <c r="Y465" s="941"/>
      <c r="Z465" s="908">
        <v>20</v>
      </c>
      <c r="AA465" s="2576"/>
      <c r="AB465" s="2576"/>
      <c r="AC465" s="2576"/>
      <c r="AD465" s="2576"/>
      <c r="AE465" s="2576"/>
      <c r="AF465" s="2576"/>
      <c r="AG465" s="2576"/>
      <c r="BB465" s="784"/>
      <c r="BC465" s="796"/>
      <c r="BD465" s="900"/>
      <c r="BE465" s="797"/>
    </row>
    <row r="466" spans="1:57" s="65" customFormat="1" hidden="1" outlineLevel="1" x14ac:dyDescent="0.25">
      <c r="A466" s="785"/>
      <c r="B466" s="177"/>
      <c r="C466" s="455"/>
      <c r="D466" s="2847"/>
      <c r="E466" s="2922"/>
      <c r="F466" s="2780" t="str">
        <f t="shared" si="61"/>
        <v>CAC - SEER 20 ROF: SF</v>
      </c>
      <c r="G466" s="2781"/>
      <c r="H466" s="2782"/>
      <c r="I466" s="908"/>
      <c r="J466" s="941">
        <v>20</v>
      </c>
      <c r="K466" s="910"/>
      <c r="L466" s="2470"/>
      <c r="M466" s="455"/>
      <c r="N466" s="2028"/>
      <c r="O466" s="455"/>
      <c r="P466" s="177"/>
      <c r="Q466" s="177"/>
      <c r="R466" s="177"/>
      <c r="S466" s="177"/>
      <c r="T466" s="177"/>
      <c r="U466" s="177"/>
      <c r="V466" s="2847"/>
      <c r="W466" s="2576"/>
      <c r="X466" s="941"/>
      <c r="Y466" s="941"/>
      <c r="Z466" s="908">
        <v>20</v>
      </c>
      <c r="AA466" s="2576"/>
      <c r="AB466" s="2576"/>
      <c r="AC466" s="2576"/>
      <c r="AD466" s="2576"/>
      <c r="AE466" s="2576"/>
      <c r="AF466" s="2576"/>
      <c r="AG466" s="2576"/>
      <c r="BB466" s="784"/>
      <c r="BC466" s="796"/>
      <c r="BD466" s="900"/>
      <c r="BE466" s="797"/>
    </row>
    <row r="467" spans="1:57" s="65" customFormat="1" hidden="1" outlineLevel="1" x14ac:dyDescent="0.25">
      <c r="A467" s="785"/>
      <c r="B467" s="177"/>
      <c r="C467" s="455"/>
      <c r="D467" s="2847"/>
      <c r="E467" s="2922"/>
      <c r="F467" s="2780" t="str">
        <f t="shared" si="61"/>
        <v>CAC - SEER 20 ER1: MF</v>
      </c>
      <c r="G467" s="2781"/>
      <c r="H467" s="2782"/>
      <c r="I467" s="908"/>
      <c r="J467" s="941">
        <v>20</v>
      </c>
      <c r="K467" s="910"/>
      <c r="L467" s="2470"/>
      <c r="M467" s="455"/>
      <c r="N467" s="2028"/>
      <c r="O467" s="455"/>
      <c r="P467" s="177"/>
      <c r="Q467" s="177"/>
      <c r="R467" s="177"/>
      <c r="S467" s="177"/>
      <c r="T467" s="177"/>
      <c r="U467" s="177"/>
      <c r="V467" s="2847"/>
      <c r="W467" s="2576"/>
      <c r="X467" s="941"/>
      <c r="Y467" s="940"/>
      <c r="Z467" s="908">
        <v>20</v>
      </c>
      <c r="AA467" s="2576"/>
      <c r="AB467" s="2576"/>
      <c r="AC467" s="2576"/>
      <c r="AD467" s="2576"/>
      <c r="AE467" s="2576"/>
      <c r="AF467" s="2576"/>
      <c r="AG467" s="2576"/>
      <c r="BB467" s="784"/>
      <c r="BC467" s="796"/>
      <c r="BD467" s="900"/>
      <c r="BE467" s="797"/>
    </row>
    <row r="468" spans="1:57" s="65" customFormat="1" hidden="1" outlineLevel="1" x14ac:dyDescent="0.25">
      <c r="A468" s="785"/>
      <c r="B468" s="177"/>
      <c r="C468" s="455"/>
      <c r="D468" s="2847"/>
      <c r="E468" s="2922"/>
      <c r="F468" s="2780" t="str">
        <f t="shared" si="61"/>
        <v>CAC - SEER 20 ER2: MF</v>
      </c>
      <c r="G468" s="2781"/>
      <c r="H468" s="2782"/>
      <c r="I468" s="908"/>
      <c r="J468" s="941">
        <v>20</v>
      </c>
      <c r="K468" s="910"/>
      <c r="L468" s="2470"/>
      <c r="M468" s="455"/>
      <c r="N468" s="2028"/>
      <c r="O468" s="455"/>
      <c r="P468" s="177"/>
      <c r="Q468" s="177"/>
      <c r="R468" s="177"/>
      <c r="S468" s="177"/>
      <c r="T468" s="177"/>
      <c r="U468" s="177"/>
      <c r="V468" s="2847"/>
      <c r="W468" s="2576"/>
      <c r="X468" s="941"/>
      <c r="Y468" s="940"/>
      <c r="Z468" s="908">
        <v>20</v>
      </c>
      <c r="AA468" s="2576"/>
      <c r="AB468" s="2576"/>
      <c r="AC468" s="2576"/>
      <c r="AD468" s="2576"/>
      <c r="AE468" s="2576"/>
      <c r="AF468" s="2576"/>
      <c r="AG468" s="2576"/>
      <c r="BB468" s="784"/>
      <c r="BC468" s="796"/>
      <c r="BD468" s="900"/>
      <c r="BE468" s="797"/>
    </row>
    <row r="469" spans="1:57" s="65" customFormat="1" hidden="1" outlineLevel="1" x14ac:dyDescent="0.25">
      <c r="A469" s="785"/>
      <c r="B469" s="177"/>
      <c r="C469" s="455"/>
      <c r="D469" s="2847"/>
      <c r="E469" s="2922"/>
      <c r="F469" s="2780" t="str">
        <f t="shared" si="61"/>
        <v>CAC - SEER 20 ER1: MF_CompE</v>
      </c>
      <c r="G469" s="2781"/>
      <c r="H469" s="2782"/>
      <c r="I469" s="908"/>
      <c r="J469" s="941">
        <v>20</v>
      </c>
      <c r="K469" s="910"/>
      <c r="L469" s="2470"/>
      <c r="M469" s="455"/>
      <c r="N469" s="2028"/>
      <c r="O469" s="455"/>
      <c r="P469" s="177"/>
      <c r="Q469" s="177"/>
      <c r="R469" s="177"/>
      <c r="S469" s="177"/>
      <c r="T469" s="177"/>
      <c r="U469" s="177"/>
      <c r="V469" s="2847"/>
      <c r="W469" s="2576"/>
      <c r="X469" s="941"/>
      <c r="Y469" s="940"/>
      <c r="Z469" s="908">
        <v>20</v>
      </c>
      <c r="AA469" s="2576"/>
      <c r="AB469" s="2576"/>
      <c r="AC469" s="2576"/>
      <c r="AD469" s="2576"/>
      <c r="AE469" s="2576"/>
      <c r="AF469" s="2576"/>
      <c r="AG469" s="2576"/>
      <c r="BB469" s="784"/>
      <c r="BC469" s="796"/>
      <c r="BD469" s="900"/>
      <c r="BE469" s="797"/>
    </row>
    <row r="470" spans="1:57" s="65" customFormat="1" hidden="1" outlineLevel="1" x14ac:dyDescent="0.25">
      <c r="A470" s="785"/>
      <c r="B470" s="177"/>
      <c r="C470" s="455"/>
      <c r="D470" s="2847"/>
      <c r="E470" s="2922"/>
      <c r="F470" s="2780" t="str">
        <f t="shared" si="61"/>
        <v>CAC - SEER 20 ER2: MF_CompE</v>
      </c>
      <c r="G470" s="2781"/>
      <c r="H470" s="2782"/>
      <c r="I470" s="908"/>
      <c r="J470" s="941">
        <v>20</v>
      </c>
      <c r="K470" s="910"/>
      <c r="L470" s="2470"/>
      <c r="M470" s="455"/>
      <c r="N470" s="2028"/>
      <c r="O470" s="455"/>
      <c r="P470" s="177"/>
      <c r="Q470" s="177"/>
      <c r="R470" s="177"/>
      <c r="S470" s="177"/>
      <c r="T470" s="177"/>
      <c r="U470" s="177"/>
      <c r="V470" s="2847"/>
      <c r="W470" s="2576"/>
      <c r="X470" s="941"/>
      <c r="Y470" s="940"/>
      <c r="Z470" s="908">
        <v>20</v>
      </c>
      <c r="AA470" s="2576"/>
      <c r="AB470" s="2576"/>
      <c r="AC470" s="2576"/>
      <c r="AD470" s="2576"/>
      <c r="AE470" s="2576"/>
      <c r="AF470" s="2576"/>
      <c r="AG470" s="2576"/>
      <c r="BB470" s="784"/>
      <c r="BC470" s="796"/>
      <c r="BD470" s="900"/>
      <c r="BE470" s="797"/>
    </row>
    <row r="471" spans="1:57" s="65" customFormat="1" hidden="1" outlineLevel="1" x14ac:dyDescent="0.25">
      <c r="A471" s="785"/>
      <c r="B471" s="177"/>
      <c r="C471" s="455"/>
      <c r="D471" s="2847"/>
      <c r="E471" s="2922"/>
      <c r="F471" s="2780" t="str">
        <f t="shared" si="61"/>
        <v>CAC - SEER 20 ROF: MF</v>
      </c>
      <c r="G471" s="2781"/>
      <c r="H471" s="2782"/>
      <c r="I471" s="908"/>
      <c r="J471" s="941">
        <v>20</v>
      </c>
      <c r="K471" s="910"/>
      <c r="L471" s="2470"/>
      <c r="M471" s="455"/>
      <c r="N471" s="2028"/>
      <c r="O471" s="455"/>
      <c r="P471" s="177"/>
      <c r="Q471" s="177"/>
      <c r="R471" s="177"/>
      <c r="S471" s="177"/>
      <c r="T471" s="177"/>
      <c r="U471" s="177"/>
      <c r="V471" s="2847"/>
      <c r="W471" s="2576"/>
      <c r="X471" s="941"/>
      <c r="Y471" s="940"/>
      <c r="Z471" s="908">
        <v>20</v>
      </c>
      <c r="AA471" s="2576"/>
      <c r="AB471" s="2576"/>
      <c r="AC471" s="2576"/>
      <c r="AD471" s="2576"/>
      <c r="AE471" s="2576"/>
      <c r="AF471" s="2576"/>
      <c r="AG471" s="2576"/>
      <c r="BB471" s="784"/>
      <c r="BC471" s="796"/>
      <c r="BD471" s="900"/>
      <c r="BE471" s="797"/>
    </row>
    <row r="472" spans="1:57" s="65" customFormat="1" hidden="1" outlineLevel="1" x14ac:dyDescent="0.25">
      <c r="A472" s="785"/>
      <c r="B472" s="177"/>
      <c r="C472" s="455"/>
      <c r="D472" s="2847"/>
      <c r="E472" s="2922"/>
      <c r="F472" s="2780" t="str">
        <f t="shared" si="61"/>
        <v>CAC - SEER 20 ROF: MF_CompE</v>
      </c>
      <c r="G472" s="2781"/>
      <c r="H472" s="2782"/>
      <c r="I472" s="908"/>
      <c r="J472" s="941">
        <v>20</v>
      </c>
      <c r="K472" s="910"/>
      <c r="L472" s="2470"/>
      <c r="M472" s="455"/>
      <c r="N472" s="2028"/>
      <c r="O472" s="455"/>
      <c r="P472" s="177"/>
      <c r="Q472" s="177"/>
      <c r="R472" s="177"/>
      <c r="S472" s="177"/>
      <c r="T472" s="177"/>
      <c r="U472" s="177"/>
      <c r="V472" s="2847"/>
      <c r="W472" s="2576"/>
      <c r="X472" s="941"/>
      <c r="Y472" s="940"/>
      <c r="Z472" s="908">
        <v>20</v>
      </c>
      <c r="AA472" s="2576"/>
      <c r="AB472" s="2576"/>
      <c r="AC472" s="2576"/>
      <c r="AD472" s="2576"/>
      <c r="AE472" s="2576"/>
      <c r="AF472" s="2576"/>
      <c r="AG472" s="2576"/>
      <c r="BB472" s="784"/>
      <c r="BC472" s="796"/>
      <c r="BD472" s="900"/>
      <c r="BE472" s="797"/>
    </row>
    <row r="473" spans="1:57" s="65" customFormat="1" hidden="1" outlineLevel="1" x14ac:dyDescent="0.25">
      <c r="A473" s="785"/>
      <c r="B473" s="177"/>
      <c r="C473" s="455"/>
      <c r="D473" s="2847"/>
      <c r="E473" s="2922"/>
      <c r="F473" s="2780" t="str">
        <f t="shared" si="61"/>
        <v>CAC - SEER 21+ ER1: SF</v>
      </c>
      <c r="G473" s="2781"/>
      <c r="H473" s="2782"/>
      <c r="I473" s="908"/>
      <c r="J473" s="941">
        <v>21</v>
      </c>
      <c r="K473" s="910"/>
      <c r="L473" s="2470"/>
      <c r="M473" s="455"/>
      <c r="N473" s="2028"/>
      <c r="O473" s="455"/>
      <c r="P473" s="177"/>
      <c r="Q473" s="177"/>
      <c r="R473" s="177"/>
      <c r="S473" s="177"/>
      <c r="T473" s="177"/>
      <c r="U473" s="177"/>
      <c r="V473" s="2847"/>
      <c r="W473" s="2576"/>
      <c r="X473" s="940"/>
      <c r="Y473" s="940"/>
      <c r="Z473" s="908">
        <v>21</v>
      </c>
      <c r="AA473" s="2576"/>
      <c r="AB473" s="2576"/>
      <c r="AC473" s="2576"/>
      <c r="AD473" s="2576"/>
      <c r="AE473" s="2576"/>
      <c r="AF473" s="2576"/>
      <c r="AG473" s="2576"/>
      <c r="BB473" s="784"/>
      <c r="BC473" s="796"/>
      <c r="BD473" s="900"/>
      <c r="BE473" s="797"/>
    </row>
    <row r="474" spans="1:57" s="65" customFormat="1" ht="14.45" hidden="1" customHeight="1" outlineLevel="1" x14ac:dyDescent="0.25">
      <c r="A474" s="785"/>
      <c r="B474" s="177"/>
      <c r="C474" s="455"/>
      <c r="D474" s="2847"/>
      <c r="E474" s="2922"/>
      <c r="F474" s="2780" t="str">
        <f t="shared" si="61"/>
        <v>CAC - SEER 21+ ER2: SF</v>
      </c>
      <c r="G474" s="2781"/>
      <c r="H474" s="2782"/>
      <c r="I474" s="908"/>
      <c r="J474" s="941">
        <v>21</v>
      </c>
      <c r="K474" s="910"/>
      <c r="L474" s="2470"/>
      <c r="M474" s="455"/>
      <c r="N474" s="2028"/>
      <c r="O474" s="455"/>
      <c r="P474" s="177"/>
      <c r="Q474" s="177"/>
      <c r="R474" s="177"/>
      <c r="S474" s="177"/>
      <c r="T474" s="177"/>
      <c r="U474" s="177"/>
      <c r="V474" s="2847"/>
      <c r="W474" s="2576"/>
      <c r="X474" s="940"/>
      <c r="Y474" s="940"/>
      <c r="Z474" s="908">
        <v>21</v>
      </c>
      <c r="AA474" s="2576"/>
      <c r="AB474" s="2576"/>
      <c r="AC474" s="2576"/>
      <c r="AD474" s="2576"/>
      <c r="AE474" s="2576"/>
      <c r="AF474" s="2576"/>
      <c r="AG474" s="2576"/>
      <c r="BB474" s="784"/>
      <c r="BC474" s="796"/>
      <c r="BD474" s="900"/>
      <c r="BE474" s="797"/>
    </row>
    <row r="475" spans="1:57" s="65" customFormat="1" ht="14.45" hidden="1" customHeight="1" outlineLevel="1" x14ac:dyDescent="0.25">
      <c r="A475" s="785"/>
      <c r="B475" s="177"/>
      <c r="C475" s="455"/>
      <c r="D475" s="2847"/>
      <c r="E475" s="2922"/>
      <c r="F475" s="2780" t="str">
        <f t="shared" si="61"/>
        <v>CAC - SEER 21+ ROF: SF</v>
      </c>
      <c r="G475" s="2781"/>
      <c r="H475" s="2782"/>
      <c r="I475" s="908"/>
      <c r="J475" s="941">
        <v>21</v>
      </c>
      <c r="K475" s="910"/>
      <c r="L475" s="2470"/>
      <c r="M475" s="455"/>
      <c r="N475" s="2028"/>
      <c r="O475" s="455"/>
      <c r="P475" s="177"/>
      <c r="Q475" s="177"/>
      <c r="R475" s="177"/>
      <c r="S475" s="177"/>
      <c r="T475" s="177"/>
      <c r="U475" s="177"/>
      <c r="V475" s="2847"/>
      <c r="W475" s="2576"/>
      <c r="X475" s="940"/>
      <c r="Y475" s="940"/>
      <c r="Z475" s="908">
        <v>21</v>
      </c>
      <c r="AA475" s="2576"/>
      <c r="AB475" s="2576"/>
      <c r="AC475" s="2576"/>
      <c r="AD475" s="2576"/>
      <c r="AE475" s="2576"/>
      <c r="AF475" s="2576"/>
      <c r="AG475" s="2576"/>
      <c r="BB475" s="784"/>
      <c r="BC475" s="796"/>
      <c r="BD475" s="900"/>
      <c r="BE475" s="797"/>
    </row>
    <row r="476" spans="1:57" s="65" customFormat="1" ht="14.45" hidden="1" customHeight="1" outlineLevel="1" x14ac:dyDescent="0.25">
      <c r="A476" s="785"/>
      <c r="B476" s="177"/>
      <c r="C476" s="455"/>
      <c r="D476" s="2847"/>
      <c r="E476" s="2922"/>
      <c r="F476" s="2780" t="str">
        <f t="shared" si="61"/>
        <v>CAC - SEER 21+ ER1: MF</v>
      </c>
      <c r="G476" s="2781"/>
      <c r="H476" s="2782"/>
      <c r="I476" s="908"/>
      <c r="J476" s="941">
        <v>21</v>
      </c>
      <c r="K476" s="910"/>
      <c r="L476" s="2470"/>
      <c r="M476" s="455"/>
      <c r="N476" s="2028"/>
      <c r="O476" s="455"/>
      <c r="P476" s="177"/>
      <c r="Q476" s="177"/>
      <c r="R476" s="177"/>
      <c r="S476" s="177"/>
      <c r="T476" s="177"/>
      <c r="U476" s="177"/>
      <c r="V476" s="2847"/>
      <c r="W476" s="2576"/>
      <c r="X476" s="940"/>
      <c r="Y476" s="940"/>
      <c r="Z476" s="908">
        <v>21</v>
      </c>
      <c r="AA476" s="2576"/>
      <c r="AB476" s="2576"/>
      <c r="AC476" s="2576"/>
      <c r="AD476" s="2576"/>
      <c r="AE476" s="2576"/>
      <c r="AF476" s="2576"/>
      <c r="AG476" s="2576"/>
      <c r="BB476" s="784"/>
      <c r="BC476" s="796"/>
      <c r="BD476" s="900"/>
      <c r="BE476" s="797"/>
    </row>
    <row r="477" spans="1:57" s="65" customFormat="1" ht="14.45" hidden="1" customHeight="1" outlineLevel="1" x14ac:dyDescent="0.25">
      <c r="A477" s="785"/>
      <c r="B477" s="177"/>
      <c r="C477" s="455"/>
      <c r="D477" s="2847"/>
      <c r="E477" s="2922"/>
      <c r="F477" s="2780" t="str">
        <f t="shared" si="61"/>
        <v>CAC - SEER 21+ ER2: MF</v>
      </c>
      <c r="G477" s="2781"/>
      <c r="H477" s="2782"/>
      <c r="I477" s="908"/>
      <c r="J477" s="941">
        <v>21</v>
      </c>
      <c r="K477" s="910"/>
      <c r="L477" s="2470"/>
      <c r="M477" s="455"/>
      <c r="N477" s="2028"/>
      <c r="O477" s="455"/>
      <c r="P477" s="177"/>
      <c r="Q477" s="177"/>
      <c r="R477" s="177"/>
      <c r="S477" s="177"/>
      <c r="T477" s="177"/>
      <c r="U477" s="177"/>
      <c r="V477" s="2847"/>
      <c r="W477" s="2576"/>
      <c r="X477" s="940"/>
      <c r="Y477" s="940"/>
      <c r="Z477" s="908">
        <v>21</v>
      </c>
      <c r="AA477" s="2576"/>
      <c r="AB477" s="2576"/>
      <c r="AC477" s="2576"/>
      <c r="AD477" s="2576"/>
      <c r="AE477" s="2576"/>
      <c r="AF477" s="2576"/>
      <c r="AG477" s="2576"/>
      <c r="BB477" s="784"/>
      <c r="BC477" s="796"/>
      <c r="BD477" s="900"/>
      <c r="BE477" s="797"/>
    </row>
    <row r="478" spans="1:57" s="65" customFormat="1" ht="14.45" hidden="1" customHeight="1" outlineLevel="1" x14ac:dyDescent="0.25">
      <c r="A478" s="785"/>
      <c r="B478" s="177"/>
      <c r="C478" s="455"/>
      <c r="D478" s="2847"/>
      <c r="E478" s="2922"/>
      <c r="F478" s="2780" t="str">
        <f t="shared" si="61"/>
        <v>CAC - SEER 21+ ER1: MF_CompE</v>
      </c>
      <c r="G478" s="2781"/>
      <c r="H478" s="2782"/>
      <c r="I478" s="920"/>
      <c r="J478" s="941">
        <v>21</v>
      </c>
      <c r="K478" s="922"/>
      <c r="L478" s="921"/>
      <c r="M478" s="455"/>
      <c r="N478" s="2028"/>
      <c r="O478" s="455"/>
      <c r="P478" s="177"/>
      <c r="Q478" s="177"/>
      <c r="R478" s="177"/>
      <c r="S478" s="177"/>
      <c r="T478" s="177"/>
      <c r="U478" s="177"/>
      <c r="V478" s="2847"/>
      <c r="W478" s="921"/>
      <c r="X478" s="942"/>
      <c r="Y478" s="942"/>
      <c r="Z478" s="920">
        <v>21</v>
      </c>
      <c r="AA478" s="921"/>
      <c r="AB478" s="921"/>
      <c r="AC478" s="921"/>
      <c r="AD478" s="921"/>
      <c r="AE478" s="921"/>
      <c r="AF478" s="921"/>
      <c r="AG478" s="921"/>
      <c r="BB478" s="784"/>
      <c r="BC478" s="796"/>
      <c r="BD478" s="900"/>
      <c r="BE478" s="797"/>
    </row>
    <row r="479" spans="1:57" s="65" customFormat="1" ht="14.45" hidden="1" customHeight="1" outlineLevel="1" x14ac:dyDescent="0.25">
      <c r="A479" s="785"/>
      <c r="B479" s="177"/>
      <c r="C479" s="455"/>
      <c r="D479" s="2847"/>
      <c r="E479" s="2922"/>
      <c r="F479" s="2780" t="str">
        <f t="shared" si="61"/>
        <v>CAC - SEER 21+ ER2: MF_CompE</v>
      </c>
      <c r="G479" s="2781"/>
      <c r="H479" s="2782"/>
      <c r="I479" s="920"/>
      <c r="J479" s="941">
        <v>21</v>
      </c>
      <c r="K479" s="922"/>
      <c r="L479" s="921"/>
      <c r="M479" s="455"/>
      <c r="N479" s="2028"/>
      <c r="O479" s="455"/>
      <c r="P479" s="177"/>
      <c r="Q479" s="177"/>
      <c r="R479" s="177"/>
      <c r="S479" s="177"/>
      <c r="T479" s="177"/>
      <c r="U479" s="177"/>
      <c r="V479" s="2847"/>
      <c r="W479" s="921"/>
      <c r="X479" s="942"/>
      <c r="Y479" s="942"/>
      <c r="Z479" s="920">
        <v>21</v>
      </c>
      <c r="AA479" s="921"/>
      <c r="AB479" s="921"/>
      <c r="AC479" s="921"/>
      <c r="AD479" s="921"/>
      <c r="AE479" s="921"/>
      <c r="AF479" s="921"/>
      <c r="AG479" s="921"/>
      <c r="BB479" s="784"/>
      <c r="BC479" s="796"/>
      <c r="BD479" s="900"/>
      <c r="BE479" s="797"/>
    </row>
    <row r="480" spans="1:57" s="65" customFormat="1" ht="15" hidden="1" customHeight="1" outlineLevel="1" x14ac:dyDescent="0.25">
      <c r="A480" s="785"/>
      <c r="B480" s="177"/>
      <c r="C480" s="455"/>
      <c r="D480" s="2847"/>
      <c r="E480" s="2922"/>
      <c r="F480" s="2780" t="str">
        <f t="shared" si="61"/>
        <v>CAC - SEER 21+ ROF: MF</v>
      </c>
      <c r="G480" s="2781"/>
      <c r="H480" s="2782"/>
      <c r="I480" s="908"/>
      <c r="J480" s="941">
        <v>21</v>
      </c>
      <c r="K480" s="910"/>
      <c r="L480" s="2470"/>
      <c r="M480" s="455"/>
      <c r="N480" s="2028"/>
      <c r="O480" s="455"/>
      <c r="P480" s="177"/>
      <c r="Q480" s="177"/>
      <c r="R480" s="177"/>
      <c r="S480" s="177"/>
      <c r="T480" s="177"/>
      <c r="U480" s="177"/>
      <c r="V480" s="2847"/>
      <c r="W480" s="2576"/>
      <c r="X480" s="940"/>
      <c r="Y480" s="940"/>
      <c r="Z480" s="908">
        <v>21</v>
      </c>
      <c r="AA480" s="2576"/>
      <c r="AB480" s="2576"/>
      <c r="AC480" s="2576"/>
      <c r="AD480" s="2576"/>
      <c r="AE480" s="2576"/>
      <c r="AF480" s="2576"/>
      <c r="AG480" s="2576"/>
      <c r="BB480" s="784"/>
      <c r="BC480" s="796"/>
      <c r="BD480" s="900"/>
      <c r="BE480" s="797"/>
    </row>
    <row r="481" spans="1:57" s="65" customFormat="1" ht="15" hidden="1" customHeight="1" outlineLevel="1" thickBot="1" x14ac:dyDescent="0.3">
      <c r="A481" s="785"/>
      <c r="B481" s="177"/>
      <c r="C481" s="455"/>
      <c r="D481" s="2848"/>
      <c r="E481" s="2923"/>
      <c r="F481" s="2780" t="str">
        <f t="shared" si="61"/>
        <v>CAC - SEER 21+ ROF: MF_CompE</v>
      </c>
      <c r="G481" s="2781"/>
      <c r="H481" s="2782"/>
      <c r="I481" s="923"/>
      <c r="J481" s="941">
        <v>21</v>
      </c>
      <c r="K481" s="936"/>
      <c r="L481" s="943"/>
      <c r="M481" s="455"/>
      <c r="N481" s="2028"/>
      <c r="O481" s="455"/>
      <c r="P481" s="177"/>
      <c r="Q481" s="177"/>
      <c r="R481" s="177"/>
      <c r="S481" s="177"/>
      <c r="T481" s="177"/>
      <c r="U481" s="177"/>
      <c r="V481" s="2848"/>
      <c r="W481" s="924"/>
      <c r="X481" s="944"/>
      <c r="Y481" s="944"/>
      <c r="Z481" s="923">
        <v>21</v>
      </c>
      <c r="AA481" s="924"/>
      <c r="AB481" s="924"/>
      <c r="AC481" s="924"/>
      <c r="AD481" s="924"/>
      <c r="AE481" s="924"/>
      <c r="AF481" s="924"/>
      <c r="AG481" s="924"/>
      <c r="BB481" s="784"/>
      <c r="BC481" s="796"/>
      <c r="BD481" s="900"/>
      <c r="BE481" s="797"/>
    </row>
    <row r="482" spans="1:57" s="65" customFormat="1" ht="14.45" hidden="1" customHeight="1" outlineLevel="1" x14ac:dyDescent="0.25">
      <c r="A482" s="785"/>
      <c r="B482" s="177"/>
      <c r="C482" s="455"/>
      <c r="D482" s="2805" t="s">
        <v>1294</v>
      </c>
      <c r="E482" s="2855" t="s">
        <v>1295</v>
      </c>
      <c r="F482" s="2776" t="str">
        <f t="shared" si="61"/>
        <v>CAC - SEER 14 ER1: SF</v>
      </c>
      <c r="G482" s="2777"/>
      <c r="H482" s="2778"/>
      <c r="I482" s="1667"/>
      <c r="J482" s="1667">
        <v>8.33</v>
      </c>
      <c r="K482" s="904"/>
      <c r="L482" s="2793" t="s">
        <v>1178</v>
      </c>
      <c r="M482" s="455"/>
      <c r="N482" s="2028"/>
      <c r="O482" s="455"/>
      <c r="P482" s="177"/>
      <c r="Q482" s="177"/>
      <c r="R482" s="177"/>
      <c r="S482" s="177"/>
      <c r="T482" s="177"/>
      <c r="U482" s="177"/>
      <c r="V482" s="2867" t="str">
        <f>D482</f>
        <v>SEERexist</v>
      </c>
      <c r="W482" s="2577">
        <v>8.1999999999999993</v>
      </c>
      <c r="X482" s="902">
        <v>8.33</v>
      </c>
      <c r="Y482" s="2577">
        <v>8.33</v>
      </c>
      <c r="Z482" s="2577"/>
      <c r="AA482" s="2577"/>
      <c r="AB482" s="2577"/>
      <c r="AC482" s="2577"/>
      <c r="AD482" s="2577"/>
      <c r="AE482" s="2577"/>
      <c r="AF482" s="2577"/>
      <c r="AG482" s="2577"/>
      <c r="BB482" s="784"/>
      <c r="BC482" s="796"/>
      <c r="BD482" s="900"/>
      <c r="BE482" s="797"/>
    </row>
    <row r="483" spans="1:57" s="65" customFormat="1" ht="14.45" hidden="1" customHeight="1" outlineLevel="1" x14ac:dyDescent="0.25">
      <c r="A483" s="785"/>
      <c r="B483" s="177"/>
      <c r="C483" s="455"/>
      <c r="D483" s="2806"/>
      <c r="E483" s="2856"/>
      <c r="F483" s="2783" t="str">
        <f t="shared" si="61"/>
        <v>CAC - SEER 14 ER2: SF</v>
      </c>
      <c r="G483" s="2784"/>
      <c r="H483" s="2785"/>
      <c r="I483" s="1663"/>
      <c r="J483" s="1663"/>
      <c r="K483" s="910"/>
      <c r="L483" s="2794"/>
      <c r="M483" s="455"/>
      <c r="N483" s="2028"/>
      <c r="O483" s="455"/>
      <c r="P483" s="177"/>
      <c r="Q483" s="177"/>
      <c r="R483" s="177"/>
      <c r="S483" s="177"/>
      <c r="T483" s="177"/>
      <c r="U483" s="177"/>
      <c r="V483" s="2866"/>
      <c r="W483" s="2576"/>
      <c r="X483" s="2576"/>
      <c r="Y483" s="2576"/>
      <c r="Z483" s="2576"/>
      <c r="AA483" s="2576"/>
      <c r="AB483" s="2576"/>
      <c r="AC483" s="2576"/>
      <c r="AD483" s="2576"/>
      <c r="AE483" s="2576"/>
      <c r="AF483" s="2576"/>
      <c r="AG483" s="2576"/>
      <c r="BB483" s="784"/>
      <c r="BC483" s="796"/>
      <c r="BD483" s="900"/>
      <c r="BE483" s="797"/>
    </row>
    <row r="484" spans="1:57" s="65" customFormat="1" ht="14.45" hidden="1" customHeight="1" outlineLevel="1" x14ac:dyDescent="0.25">
      <c r="A484" s="785"/>
      <c r="B484" s="177"/>
      <c r="C484" s="455"/>
      <c r="D484" s="2806"/>
      <c r="E484" s="2856"/>
      <c r="F484" s="2783" t="str">
        <f t="shared" si="61"/>
        <v>CAC - SEER 14 ROF: SF</v>
      </c>
      <c r="G484" s="2784"/>
      <c r="H484" s="2785"/>
      <c r="I484" s="1663"/>
      <c r="J484" s="921"/>
      <c r="K484" s="910"/>
      <c r="L484" s="2794"/>
      <c r="M484" s="455"/>
      <c r="N484" s="2028"/>
      <c r="O484" s="455"/>
      <c r="P484" s="177"/>
      <c r="Q484" s="177"/>
      <c r="R484" s="177"/>
      <c r="S484" s="177"/>
      <c r="T484" s="177"/>
      <c r="U484" s="177"/>
      <c r="V484" s="2866"/>
      <c r="W484" s="2576"/>
      <c r="X484" s="921"/>
      <c r="Y484" s="921"/>
      <c r="Z484" s="2576"/>
      <c r="AA484" s="2576"/>
      <c r="AB484" s="2576"/>
      <c r="AC484" s="2576"/>
      <c r="AD484" s="2576"/>
      <c r="AE484" s="2576"/>
      <c r="AF484" s="2576"/>
      <c r="AG484" s="2576"/>
      <c r="BB484" s="784"/>
      <c r="BC484" s="796"/>
      <c r="BD484" s="900"/>
      <c r="BE484" s="797"/>
    </row>
    <row r="485" spans="1:57" s="65" customFormat="1" hidden="1" outlineLevel="1" x14ac:dyDescent="0.25">
      <c r="A485" s="785"/>
      <c r="B485" s="177"/>
      <c r="C485" s="455"/>
      <c r="D485" s="2806"/>
      <c r="E485" s="2856"/>
      <c r="F485" s="2757" t="str">
        <f t="shared" si="61"/>
        <v>CAC - SEER 14 ER1: MF</v>
      </c>
      <c r="G485" s="2758"/>
      <c r="H485" s="2759"/>
      <c r="I485" s="1663"/>
      <c r="J485" s="1663">
        <v>8.33</v>
      </c>
      <c r="K485" s="910"/>
      <c r="L485" s="2794"/>
      <c r="M485" s="455"/>
      <c r="N485" s="2028"/>
      <c r="O485" s="455"/>
      <c r="P485" s="177"/>
      <c r="Q485" s="177"/>
      <c r="R485" s="177"/>
      <c r="S485" s="177"/>
      <c r="T485" s="177"/>
      <c r="U485" s="177"/>
      <c r="V485" s="2866"/>
      <c r="W485" s="2576">
        <v>8.1999999999999993</v>
      </c>
      <c r="X485" s="908">
        <v>8.33</v>
      </c>
      <c r="Y485" s="2576">
        <v>8.33</v>
      </c>
      <c r="Z485" s="2576"/>
      <c r="AA485" s="2576"/>
      <c r="AB485" s="2576"/>
      <c r="AC485" s="2576"/>
      <c r="AD485" s="2576"/>
      <c r="AE485" s="2576"/>
      <c r="AF485" s="2576"/>
      <c r="AG485" s="2576"/>
      <c r="BB485" s="784"/>
      <c r="BC485" s="796"/>
      <c r="BD485" s="900"/>
      <c r="BE485" s="797"/>
    </row>
    <row r="486" spans="1:57" s="65" customFormat="1" hidden="1" outlineLevel="1" x14ac:dyDescent="0.25">
      <c r="A486" s="785"/>
      <c r="B486" s="177"/>
      <c r="C486" s="455"/>
      <c r="D486" s="2806"/>
      <c r="E486" s="2856"/>
      <c r="F486" s="2757" t="str">
        <f t="shared" si="61"/>
        <v>CAC - SEER 14 ER2: MF</v>
      </c>
      <c r="G486" s="2758"/>
      <c r="H486" s="2759"/>
      <c r="I486" s="1663"/>
      <c r="J486" s="1663"/>
      <c r="K486" s="910"/>
      <c r="L486" s="2794"/>
      <c r="M486" s="455"/>
      <c r="N486" s="2028"/>
      <c r="O486" s="455"/>
      <c r="P486" s="177"/>
      <c r="Q486" s="177"/>
      <c r="R486" s="177"/>
      <c r="S486" s="177"/>
      <c r="T486" s="177"/>
      <c r="U486" s="177"/>
      <c r="V486" s="2866"/>
      <c r="W486" s="2576"/>
      <c r="X486" s="2576"/>
      <c r="Y486" s="2576"/>
      <c r="Z486" s="2576"/>
      <c r="AA486" s="2576"/>
      <c r="AB486" s="2576"/>
      <c r="AC486" s="2576"/>
      <c r="AD486" s="2576"/>
      <c r="AE486" s="2576"/>
      <c r="AF486" s="2576"/>
      <c r="AG486" s="2576"/>
      <c r="BB486" s="784"/>
      <c r="BC486" s="796"/>
      <c r="BD486" s="900"/>
      <c r="BE486" s="797"/>
    </row>
    <row r="487" spans="1:57" s="65" customFormat="1" hidden="1" outlineLevel="1" x14ac:dyDescent="0.25">
      <c r="A487" s="785"/>
      <c r="B487" s="177"/>
      <c r="C487" s="455"/>
      <c r="D487" s="2806"/>
      <c r="E487" s="2856"/>
      <c r="F487" s="2757" t="str">
        <f t="shared" si="61"/>
        <v>CAC - SEER 14 ER1: MF_CompE</v>
      </c>
      <c r="G487" s="2758"/>
      <c r="H487" s="2759"/>
      <c r="I487" s="1663"/>
      <c r="J487" s="1663">
        <v>8.33</v>
      </c>
      <c r="K487" s="910"/>
      <c r="L487" s="2794"/>
      <c r="M487" s="455"/>
      <c r="N487" s="2028"/>
      <c r="O487" s="455"/>
      <c r="P487" s="177"/>
      <c r="Q487" s="177"/>
      <c r="R487" s="177"/>
      <c r="S487" s="177"/>
      <c r="T487" s="177"/>
      <c r="U487" s="177"/>
      <c r="V487" s="2866"/>
      <c r="W487" s="2576"/>
      <c r="X487" s="2576"/>
      <c r="Y487" s="2576">
        <v>8.33</v>
      </c>
      <c r="Z487" s="2576"/>
      <c r="AA487" s="2576"/>
      <c r="AB487" s="2576"/>
      <c r="AC487" s="2576"/>
      <c r="AD487" s="2576"/>
      <c r="AE487" s="2576"/>
      <c r="AF487" s="2576"/>
      <c r="AG487" s="2576"/>
      <c r="BB487" s="784"/>
      <c r="BC487" s="796"/>
      <c r="BD487" s="900"/>
      <c r="BE487" s="797"/>
    </row>
    <row r="488" spans="1:57" s="65" customFormat="1" hidden="1" outlineLevel="1" x14ac:dyDescent="0.25">
      <c r="A488" s="785"/>
      <c r="B488" s="177"/>
      <c r="C488" s="455"/>
      <c r="D488" s="2806"/>
      <c r="E488" s="2856"/>
      <c r="F488" s="2757" t="str">
        <f t="shared" si="61"/>
        <v>CAC - SEER 14 ER2: MF_CompE</v>
      </c>
      <c r="G488" s="2758"/>
      <c r="H488" s="2759"/>
      <c r="I488" s="1663"/>
      <c r="J488" s="1663"/>
      <c r="K488" s="910"/>
      <c r="L488" s="2794"/>
      <c r="M488" s="455"/>
      <c r="N488" s="2028"/>
      <c r="O488" s="455"/>
      <c r="P488" s="177"/>
      <c r="Q488" s="177"/>
      <c r="R488" s="177"/>
      <c r="S488" s="177"/>
      <c r="T488" s="177"/>
      <c r="U488" s="177"/>
      <c r="V488" s="2866"/>
      <c r="W488" s="2576"/>
      <c r="X488" s="2576"/>
      <c r="Y488" s="2576"/>
      <c r="Z488" s="2576"/>
      <c r="AA488" s="2576"/>
      <c r="AB488" s="2576"/>
      <c r="AC488" s="2576"/>
      <c r="AD488" s="2576"/>
      <c r="AE488" s="2576"/>
      <c r="AF488" s="2576"/>
      <c r="AG488" s="2576"/>
      <c r="BB488" s="784"/>
      <c r="BC488" s="796"/>
      <c r="BD488" s="900"/>
      <c r="BE488" s="797"/>
    </row>
    <row r="489" spans="1:57" s="65" customFormat="1" hidden="1" outlineLevel="1" x14ac:dyDescent="0.25">
      <c r="A489" s="785"/>
      <c r="B489" s="177"/>
      <c r="C489" s="455"/>
      <c r="D489" s="2806"/>
      <c r="E489" s="2856"/>
      <c r="F489" s="2757" t="str">
        <f t="shared" si="61"/>
        <v>CAC - SEER 14 ROF: MF</v>
      </c>
      <c r="G489" s="2758"/>
      <c r="H489" s="2759"/>
      <c r="I489" s="1663"/>
      <c r="J489" s="1663"/>
      <c r="K489" s="910"/>
      <c r="L489" s="2794"/>
      <c r="M489" s="455"/>
      <c r="N489" s="2028"/>
      <c r="O489" s="455"/>
      <c r="P489" s="177"/>
      <c r="Q489" s="177"/>
      <c r="R489" s="177"/>
      <c r="S489" s="177"/>
      <c r="T489" s="177"/>
      <c r="U489" s="177"/>
      <c r="V489" s="2866"/>
      <c r="W489" s="2576"/>
      <c r="X489" s="2576"/>
      <c r="Y489" s="2576"/>
      <c r="Z489" s="2576"/>
      <c r="AA489" s="2576"/>
      <c r="AB489" s="2576"/>
      <c r="AC489" s="2576"/>
      <c r="AD489" s="2576"/>
      <c r="AE489" s="2576"/>
      <c r="AF489" s="2576"/>
      <c r="AG489" s="2576"/>
      <c r="BB489" s="784"/>
      <c r="BC489" s="796"/>
      <c r="BD489" s="900"/>
      <c r="BE489" s="797"/>
    </row>
    <row r="490" spans="1:57" s="65" customFormat="1" hidden="1" outlineLevel="1" x14ac:dyDescent="0.25">
      <c r="A490" s="785"/>
      <c r="B490" s="177"/>
      <c r="C490" s="455"/>
      <c r="D490" s="2806"/>
      <c r="E490" s="2856"/>
      <c r="F490" s="2757" t="str">
        <f t="shared" si="61"/>
        <v>CAC - SEER 14 ROF: MF_CompE</v>
      </c>
      <c r="G490" s="2758"/>
      <c r="H490" s="2759"/>
      <c r="I490" s="1663"/>
      <c r="J490" s="1663"/>
      <c r="K490" s="910"/>
      <c r="L490" s="2794"/>
      <c r="M490" s="455"/>
      <c r="N490" s="2028"/>
      <c r="O490" s="455"/>
      <c r="P490" s="177"/>
      <c r="Q490" s="177"/>
      <c r="R490" s="177"/>
      <c r="S490" s="177"/>
      <c r="T490" s="177"/>
      <c r="U490" s="177"/>
      <c r="V490" s="2866"/>
      <c r="W490" s="2576"/>
      <c r="X490" s="2576"/>
      <c r="Y490" s="2576"/>
      <c r="Z490" s="2576"/>
      <c r="AA490" s="2576"/>
      <c r="AB490" s="2576"/>
      <c r="AC490" s="2576"/>
      <c r="AD490" s="2576"/>
      <c r="AE490" s="2576"/>
      <c r="AF490" s="2576"/>
      <c r="AG490" s="2576"/>
      <c r="BB490" s="784"/>
      <c r="BC490" s="796"/>
      <c r="BD490" s="900"/>
      <c r="BE490" s="797"/>
    </row>
    <row r="491" spans="1:57" s="65" customFormat="1" hidden="1" outlineLevel="1" x14ac:dyDescent="0.25">
      <c r="A491" s="785"/>
      <c r="B491" s="177"/>
      <c r="C491" s="455"/>
      <c r="D491" s="2806"/>
      <c r="E491" s="2856"/>
      <c r="F491" s="2757" t="str">
        <f t="shared" si="61"/>
        <v>CAC - SEER 15 ER1: SF</v>
      </c>
      <c r="G491" s="2758"/>
      <c r="H491" s="2759"/>
      <c r="I491" s="1663"/>
      <c r="J491" s="1663">
        <v>8.33</v>
      </c>
      <c r="K491" s="910"/>
      <c r="L491" s="2794"/>
      <c r="M491" s="455"/>
      <c r="N491" s="2028"/>
      <c r="O491" s="455"/>
      <c r="P491" s="177"/>
      <c r="Q491" s="177"/>
      <c r="R491" s="177"/>
      <c r="S491" s="177"/>
      <c r="T491" s="177"/>
      <c r="U491" s="177"/>
      <c r="V491" s="2866"/>
      <c r="W491" s="2576">
        <v>8.1999999999999993</v>
      </c>
      <c r="X491" s="908">
        <v>8.33</v>
      </c>
      <c r="Y491" s="2576">
        <v>8.33</v>
      </c>
      <c r="Z491" s="2576"/>
      <c r="AA491" s="2576"/>
      <c r="AB491" s="2576"/>
      <c r="AC491" s="2576"/>
      <c r="AD491" s="2576"/>
      <c r="AE491" s="2576"/>
      <c r="AF491" s="2576"/>
      <c r="AG491" s="2576"/>
      <c r="BB491" s="784"/>
      <c r="BC491" s="796"/>
      <c r="BD491" s="900"/>
      <c r="BE491" s="797"/>
    </row>
    <row r="492" spans="1:57" s="65" customFormat="1" hidden="1" outlineLevel="1" x14ac:dyDescent="0.25">
      <c r="A492" s="785"/>
      <c r="B492" s="177"/>
      <c r="C492" s="455"/>
      <c r="D492" s="2806"/>
      <c r="E492" s="2856"/>
      <c r="F492" s="2757" t="str">
        <f t="shared" si="61"/>
        <v>CAC - SEER 15 ER2: SF</v>
      </c>
      <c r="G492" s="2758"/>
      <c r="H492" s="2759"/>
      <c r="I492" s="1663"/>
      <c r="J492" s="1663"/>
      <c r="K492" s="910"/>
      <c r="L492" s="2794"/>
      <c r="M492" s="455"/>
      <c r="N492" s="2028"/>
      <c r="O492" s="455"/>
      <c r="P492" s="177"/>
      <c r="Q492" s="177"/>
      <c r="R492" s="177"/>
      <c r="S492" s="177"/>
      <c r="T492" s="177"/>
      <c r="U492" s="177"/>
      <c r="V492" s="2866"/>
      <c r="W492" s="2576"/>
      <c r="X492" s="2576"/>
      <c r="Y492" s="2576"/>
      <c r="Z492" s="2576"/>
      <c r="AA492" s="2576"/>
      <c r="AB492" s="2576"/>
      <c r="AC492" s="2576"/>
      <c r="AD492" s="2576"/>
      <c r="AE492" s="2576"/>
      <c r="AF492" s="2576"/>
      <c r="AG492" s="2576"/>
      <c r="BB492" s="784"/>
      <c r="BC492" s="796"/>
      <c r="BD492" s="900"/>
      <c r="BE492" s="797"/>
    </row>
    <row r="493" spans="1:57" s="65" customFormat="1" hidden="1" outlineLevel="1" x14ac:dyDescent="0.25">
      <c r="A493" s="785"/>
      <c r="B493" s="177"/>
      <c r="C493" s="455"/>
      <c r="D493" s="2806"/>
      <c r="E493" s="2856"/>
      <c r="F493" s="2757" t="str">
        <f t="shared" si="61"/>
        <v>CAC - SEER 15 ROF: SF</v>
      </c>
      <c r="G493" s="2758"/>
      <c r="H493" s="2759"/>
      <c r="I493" s="1663"/>
      <c r="J493" s="1663"/>
      <c r="K493" s="910"/>
      <c r="L493" s="2794"/>
      <c r="M493" s="455"/>
      <c r="N493" s="2028"/>
      <c r="O493" s="455"/>
      <c r="P493" s="177"/>
      <c r="Q493" s="177"/>
      <c r="R493" s="177"/>
      <c r="S493" s="177"/>
      <c r="T493" s="177"/>
      <c r="U493" s="177"/>
      <c r="V493" s="2866"/>
      <c r="W493" s="2576"/>
      <c r="X493" s="2576"/>
      <c r="Y493" s="2576"/>
      <c r="Z493" s="2576"/>
      <c r="AA493" s="2576"/>
      <c r="AB493" s="2576"/>
      <c r="AC493" s="2576"/>
      <c r="AD493" s="2576"/>
      <c r="AE493" s="2576"/>
      <c r="AF493" s="2576"/>
      <c r="AG493" s="2576"/>
      <c r="BB493" s="784"/>
      <c r="BC493" s="796"/>
      <c r="BD493" s="900"/>
      <c r="BE493" s="797"/>
    </row>
    <row r="494" spans="1:57" s="65" customFormat="1" hidden="1" outlineLevel="1" x14ac:dyDescent="0.25">
      <c r="A494" s="785"/>
      <c r="B494" s="177"/>
      <c r="C494" s="455"/>
      <c r="D494" s="2806"/>
      <c r="E494" s="2856"/>
      <c r="F494" s="2757" t="str">
        <f t="shared" si="61"/>
        <v>CAC - SEER 15 ER1: MF</v>
      </c>
      <c r="G494" s="2758"/>
      <c r="H494" s="2759"/>
      <c r="I494" s="1663"/>
      <c r="J494" s="1663">
        <v>8.33</v>
      </c>
      <c r="K494" s="910"/>
      <c r="L494" s="2794"/>
      <c r="M494" s="455"/>
      <c r="N494" s="2028"/>
      <c r="O494" s="455"/>
      <c r="P494" s="177"/>
      <c r="Q494" s="177"/>
      <c r="R494" s="177"/>
      <c r="S494" s="177"/>
      <c r="T494" s="177"/>
      <c r="U494" s="177"/>
      <c r="V494" s="2866"/>
      <c r="W494" s="2576">
        <v>8.1999999999999993</v>
      </c>
      <c r="X494" s="908">
        <v>8.33</v>
      </c>
      <c r="Y494" s="2576">
        <v>8.33</v>
      </c>
      <c r="Z494" s="2576"/>
      <c r="AA494" s="2576"/>
      <c r="AB494" s="2576"/>
      <c r="AC494" s="2576"/>
      <c r="AD494" s="2576"/>
      <c r="AE494" s="2576"/>
      <c r="AF494" s="2576"/>
      <c r="AG494" s="2576"/>
      <c r="BB494" s="784"/>
      <c r="BC494" s="796"/>
      <c r="BD494" s="900"/>
      <c r="BE494" s="797"/>
    </row>
    <row r="495" spans="1:57" s="65" customFormat="1" hidden="1" outlineLevel="1" x14ac:dyDescent="0.25">
      <c r="A495" s="785"/>
      <c r="B495" s="177"/>
      <c r="C495" s="455"/>
      <c r="D495" s="2806"/>
      <c r="E495" s="2856"/>
      <c r="F495" s="2757" t="str">
        <f t="shared" si="61"/>
        <v>CAC - SEER 15 ER2: MF</v>
      </c>
      <c r="G495" s="2758"/>
      <c r="H495" s="2759"/>
      <c r="I495" s="1663"/>
      <c r="J495" s="1663"/>
      <c r="K495" s="910"/>
      <c r="L495" s="2794"/>
      <c r="M495" s="455"/>
      <c r="N495" s="2028"/>
      <c r="O495" s="455"/>
      <c r="P495" s="177"/>
      <c r="Q495" s="177"/>
      <c r="R495" s="177"/>
      <c r="S495" s="177"/>
      <c r="T495" s="177"/>
      <c r="U495" s="177"/>
      <c r="V495" s="2866"/>
      <c r="W495" s="2576"/>
      <c r="X495" s="2576"/>
      <c r="Y495" s="2576"/>
      <c r="Z495" s="2576"/>
      <c r="AA495" s="2576"/>
      <c r="AB495" s="2576"/>
      <c r="AC495" s="2576"/>
      <c r="AD495" s="2576"/>
      <c r="AE495" s="2576"/>
      <c r="AF495" s="2576"/>
      <c r="AG495" s="2576"/>
      <c r="BB495" s="784"/>
      <c r="BC495" s="796"/>
      <c r="BD495" s="900"/>
      <c r="BE495" s="797"/>
    </row>
    <row r="496" spans="1:57" s="65" customFormat="1" hidden="1" outlineLevel="1" x14ac:dyDescent="0.25">
      <c r="A496" s="785"/>
      <c r="B496" s="177"/>
      <c r="C496" s="455"/>
      <c r="D496" s="2806"/>
      <c r="E496" s="2856"/>
      <c r="F496" s="2757" t="str">
        <f t="shared" si="61"/>
        <v>CAC - SEER 15 ER1: MF_CompE</v>
      </c>
      <c r="G496" s="2758"/>
      <c r="H496" s="2759"/>
      <c r="I496" s="1663"/>
      <c r="J496" s="1663">
        <v>8.33</v>
      </c>
      <c r="K496" s="910"/>
      <c r="L496" s="2794"/>
      <c r="M496" s="455"/>
      <c r="N496" s="2028"/>
      <c r="O496" s="455"/>
      <c r="P496" s="177"/>
      <c r="Q496" s="177"/>
      <c r="R496" s="177"/>
      <c r="S496" s="177"/>
      <c r="T496" s="177"/>
      <c r="U496" s="177"/>
      <c r="V496" s="2866"/>
      <c r="W496" s="2576"/>
      <c r="X496" s="2576"/>
      <c r="Y496" s="2576">
        <v>8.33</v>
      </c>
      <c r="Z496" s="2576"/>
      <c r="AA496" s="2576"/>
      <c r="AB496" s="2576"/>
      <c r="AC496" s="2576"/>
      <c r="AD496" s="2576"/>
      <c r="AE496" s="2576"/>
      <c r="AF496" s="2576"/>
      <c r="AG496" s="2576"/>
      <c r="BB496" s="784"/>
      <c r="BC496" s="796"/>
      <c r="BD496" s="900"/>
      <c r="BE496" s="797"/>
    </row>
    <row r="497" spans="1:57" s="65" customFormat="1" hidden="1" outlineLevel="1" x14ac:dyDescent="0.25">
      <c r="A497" s="785"/>
      <c r="B497" s="177"/>
      <c r="C497" s="455"/>
      <c r="D497" s="2806"/>
      <c r="E497" s="2856"/>
      <c r="F497" s="2757" t="str">
        <f t="shared" si="61"/>
        <v>CAC - SEER 15 ER2: MF_CompE</v>
      </c>
      <c r="G497" s="2758"/>
      <c r="H497" s="2759"/>
      <c r="I497" s="1663"/>
      <c r="J497" s="1663"/>
      <c r="K497" s="910"/>
      <c r="L497" s="2794"/>
      <c r="M497" s="455"/>
      <c r="N497" s="2028"/>
      <c r="O497" s="455"/>
      <c r="P497" s="177"/>
      <c r="Q497" s="177"/>
      <c r="R497" s="177"/>
      <c r="S497" s="177"/>
      <c r="T497" s="177"/>
      <c r="U497" s="177"/>
      <c r="V497" s="2866"/>
      <c r="W497" s="2576"/>
      <c r="X497" s="2576"/>
      <c r="Y497" s="2576"/>
      <c r="Z497" s="2576"/>
      <c r="AA497" s="2576"/>
      <c r="AB497" s="2576"/>
      <c r="AC497" s="2576"/>
      <c r="AD497" s="2576"/>
      <c r="AE497" s="2576"/>
      <c r="AF497" s="2576"/>
      <c r="AG497" s="2576"/>
      <c r="BB497" s="784"/>
      <c r="BC497" s="796"/>
      <c r="BD497" s="900"/>
      <c r="BE497" s="797"/>
    </row>
    <row r="498" spans="1:57" s="65" customFormat="1" hidden="1" outlineLevel="1" x14ac:dyDescent="0.25">
      <c r="A498" s="785"/>
      <c r="B498" s="177"/>
      <c r="C498" s="455"/>
      <c r="D498" s="2806"/>
      <c r="E498" s="2856"/>
      <c r="F498" s="2757" t="str">
        <f t="shared" si="61"/>
        <v>CAC - SEER 15 ROF: MF</v>
      </c>
      <c r="G498" s="2758"/>
      <c r="H498" s="2759"/>
      <c r="I498" s="1663"/>
      <c r="J498" s="1663"/>
      <c r="K498" s="910"/>
      <c r="L498" s="2794"/>
      <c r="M498" s="455"/>
      <c r="N498" s="2028"/>
      <c r="O498" s="455"/>
      <c r="P498" s="177"/>
      <c r="Q498" s="177"/>
      <c r="R498" s="177"/>
      <c r="S498" s="177"/>
      <c r="T498" s="177"/>
      <c r="U498" s="177"/>
      <c r="V498" s="2866"/>
      <c r="W498" s="2576"/>
      <c r="X498" s="2576"/>
      <c r="Y498" s="2576"/>
      <c r="Z498" s="2576"/>
      <c r="AA498" s="2576"/>
      <c r="AB498" s="2576"/>
      <c r="AC498" s="2576"/>
      <c r="AD498" s="2576"/>
      <c r="AE498" s="2576"/>
      <c r="AF498" s="2576"/>
      <c r="AG498" s="2576"/>
      <c r="BB498" s="784"/>
      <c r="BC498" s="796"/>
      <c r="BD498" s="900"/>
      <c r="BE498" s="797"/>
    </row>
    <row r="499" spans="1:57" s="65" customFormat="1" hidden="1" outlineLevel="1" x14ac:dyDescent="0.25">
      <c r="A499" s="785"/>
      <c r="B499" s="177"/>
      <c r="C499" s="455"/>
      <c r="D499" s="2806"/>
      <c r="E499" s="2856"/>
      <c r="F499" s="2757" t="str">
        <f t="shared" si="61"/>
        <v>CAC - SEER 15 ROF: MF_CompE</v>
      </c>
      <c r="G499" s="2758"/>
      <c r="H499" s="2759"/>
      <c r="I499" s="1663"/>
      <c r="J499" s="1663"/>
      <c r="K499" s="910"/>
      <c r="L499" s="2794"/>
      <c r="M499" s="455"/>
      <c r="N499" s="2028"/>
      <c r="O499" s="455"/>
      <c r="P499" s="177"/>
      <c r="Q499" s="177"/>
      <c r="R499" s="177"/>
      <c r="S499" s="177"/>
      <c r="T499" s="177"/>
      <c r="U499" s="177"/>
      <c r="V499" s="2866"/>
      <c r="W499" s="2576"/>
      <c r="X499" s="2576"/>
      <c r="Y499" s="2576"/>
      <c r="Z499" s="2576"/>
      <c r="AA499" s="2576"/>
      <c r="AB499" s="2576"/>
      <c r="AC499" s="2576"/>
      <c r="AD499" s="2576"/>
      <c r="AE499" s="2576"/>
      <c r="AF499" s="2576"/>
      <c r="AG499" s="2576"/>
      <c r="BB499" s="784"/>
      <c r="BC499" s="796"/>
      <c r="BD499" s="900"/>
      <c r="BE499" s="797"/>
    </row>
    <row r="500" spans="1:57" s="65" customFormat="1" hidden="1" outlineLevel="1" x14ac:dyDescent="0.25">
      <c r="A500" s="785"/>
      <c r="B500" s="177"/>
      <c r="C500" s="455"/>
      <c r="D500" s="2806"/>
      <c r="E500" s="2856"/>
      <c r="F500" s="2757" t="str">
        <f t="shared" si="61"/>
        <v>CAC - SEER 16 ER1: SF</v>
      </c>
      <c r="G500" s="2758"/>
      <c r="H500" s="2759"/>
      <c r="I500" s="1663"/>
      <c r="J500" s="1663">
        <v>8.33</v>
      </c>
      <c r="K500" s="910"/>
      <c r="L500" s="2794"/>
      <c r="M500" s="455"/>
      <c r="N500" s="2028"/>
      <c r="O500" s="455"/>
      <c r="P500" s="177"/>
      <c r="Q500" s="177"/>
      <c r="R500" s="177"/>
      <c r="S500" s="177"/>
      <c r="T500" s="177"/>
      <c r="U500" s="177"/>
      <c r="V500" s="2866"/>
      <c r="W500" s="2576">
        <v>8.1999999999999993</v>
      </c>
      <c r="X500" s="908">
        <v>8.33</v>
      </c>
      <c r="Y500" s="2576">
        <v>8.33</v>
      </c>
      <c r="Z500" s="2576"/>
      <c r="AA500" s="2576"/>
      <c r="AB500" s="2576"/>
      <c r="AC500" s="2576"/>
      <c r="AD500" s="2576"/>
      <c r="AE500" s="2576"/>
      <c r="AF500" s="2576"/>
      <c r="AG500" s="2576"/>
      <c r="BB500" s="784"/>
      <c r="BC500" s="796"/>
      <c r="BD500" s="900"/>
      <c r="BE500" s="797"/>
    </row>
    <row r="501" spans="1:57" s="65" customFormat="1" hidden="1" outlineLevel="1" x14ac:dyDescent="0.25">
      <c r="A501" s="785"/>
      <c r="B501" s="177"/>
      <c r="C501" s="455"/>
      <c r="D501" s="2806"/>
      <c r="E501" s="2856"/>
      <c r="F501" s="2757" t="str">
        <f t="shared" si="61"/>
        <v>CAC - SEER 16 ER2: SF</v>
      </c>
      <c r="G501" s="2758"/>
      <c r="H501" s="2759"/>
      <c r="I501" s="1663"/>
      <c r="J501" s="1663"/>
      <c r="K501" s="910"/>
      <c r="L501" s="2794"/>
      <c r="M501" s="455"/>
      <c r="N501" s="2028"/>
      <c r="O501" s="455"/>
      <c r="P501" s="177"/>
      <c r="Q501" s="177"/>
      <c r="R501" s="177"/>
      <c r="S501" s="177"/>
      <c r="T501" s="177"/>
      <c r="U501" s="177"/>
      <c r="V501" s="2866"/>
      <c r="W501" s="2576"/>
      <c r="X501" s="2576"/>
      <c r="Y501" s="2576"/>
      <c r="Z501" s="2576"/>
      <c r="AA501" s="2576"/>
      <c r="AB501" s="2576"/>
      <c r="AC501" s="2576"/>
      <c r="AD501" s="2576"/>
      <c r="AE501" s="2576"/>
      <c r="AF501" s="2576"/>
      <c r="AG501" s="2576"/>
      <c r="BB501" s="784"/>
      <c r="BC501" s="796"/>
      <c r="BD501" s="900"/>
      <c r="BE501" s="797"/>
    </row>
    <row r="502" spans="1:57" s="65" customFormat="1" hidden="1" outlineLevel="1" x14ac:dyDescent="0.25">
      <c r="A502" s="785"/>
      <c r="B502" s="177"/>
      <c r="C502" s="455"/>
      <c r="D502" s="2806"/>
      <c r="E502" s="2856"/>
      <c r="F502" s="2757" t="str">
        <f t="shared" si="61"/>
        <v>CAC - SEER 16 ROF: SF</v>
      </c>
      <c r="G502" s="2758"/>
      <c r="H502" s="2759"/>
      <c r="I502" s="1663"/>
      <c r="J502" s="1663"/>
      <c r="K502" s="910"/>
      <c r="L502" s="2794"/>
      <c r="M502" s="455"/>
      <c r="N502" s="2028"/>
      <c r="O502" s="455"/>
      <c r="P502" s="177"/>
      <c r="Q502" s="177"/>
      <c r="R502" s="177"/>
      <c r="S502" s="177"/>
      <c r="T502" s="177"/>
      <c r="U502" s="177"/>
      <c r="V502" s="2866"/>
      <c r="W502" s="2576"/>
      <c r="X502" s="2576"/>
      <c r="Y502" s="2576"/>
      <c r="Z502" s="2576"/>
      <c r="AA502" s="2576"/>
      <c r="AB502" s="2576"/>
      <c r="AC502" s="2576"/>
      <c r="AD502" s="2576"/>
      <c r="AE502" s="2576"/>
      <c r="AF502" s="2576"/>
      <c r="AG502" s="2576"/>
      <c r="BB502" s="784"/>
      <c r="BC502" s="796"/>
      <c r="BD502" s="900"/>
      <c r="BE502" s="797"/>
    </row>
    <row r="503" spans="1:57" s="65" customFormat="1" hidden="1" outlineLevel="1" x14ac:dyDescent="0.25">
      <c r="A503" s="785"/>
      <c r="B503" s="177"/>
      <c r="C503" s="455"/>
      <c r="D503" s="2806"/>
      <c r="E503" s="2856"/>
      <c r="F503" s="2757" t="str">
        <f t="shared" si="61"/>
        <v>CAC - SEER 16 ER1: MF</v>
      </c>
      <c r="G503" s="2758"/>
      <c r="H503" s="2759"/>
      <c r="I503" s="1663"/>
      <c r="J503" s="1663">
        <v>8.33</v>
      </c>
      <c r="K503" s="910"/>
      <c r="L503" s="2794"/>
      <c r="M503" s="455"/>
      <c r="N503" s="2028"/>
      <c r="O503" s="455"/>
      <c r="P503" s="177"/>
      <c r="Q503" s="177"/>
      <c r="R503" s="177"/>
      <c r="S503" s="177"/>
      <c r="T503" s="177"/>
      <c r="U503" s="177"/>
      <c r="V503" s="2866"/>
      <c r="W503" s="2576">
        <v>8.1999999999999993</v>
      </c>
      <c r="X503" s="908">
        <v>8.33</v>
      </c>
      <c r="Y503" s="2576">
        <v>8.33</v>
      </c>
      <c r="Z503" s="2576"/>
      <c r="AA503" s="2576"/>
      <c r="AB503" s="2576"/>
      <c r="AC503" s="2576"/>
      <c r="AD503" s="2576"/>
      <c r="AE503" s="2576"/>
      <c r="AF503" s="2576"/>
      <c r="AG503" s="2576"/>
      <c r="BB503" s="784"/>
      <c r="BC503" s="796"/>
      <c r="BD503" s="900"/>
      <c r="BE503" s="797"/>
    </row>
    <row r="504" spans="1:57" s="65" customFormat="1" hidden="1" outlineLevel="1" x14ac:dyDescent="0.25">
      <c r="A504" s="785"/>
      <c r="B504" s="177"/>
      <c r="C504" s="455"/>
      <c r="D504" s="2806"/>
      <c r="E504" s="2856"/>
      <c r="F504" s="2757" t="str">
        <f t="shared" si="61"/>
        <v>CAC - SEER 16 ER2: MF</v>
      </c>
      <c r="G504" s="2758"/>
      <c r="H504" s="2759"/>
      <c r="I504" s="1663"/>
      <c r="J504" s="1663"/>
      <c r="K504" s="910"/>
      <c r="L504" s="2794"/>
      <c r="M504" s="455"/>
      <c r="N504" s="2028"/>
      <c r="O504" s="455"/>
      <c r="P504" s="177"/>
      <c r="Q504" s="177"/>
      <c r="R504" s="177"/>
      <c r="S504" s="177"/>
      <c r="T504" s="177"/>
      <c r="U504" s="177"/>
      <c r="V504" s="2866"/>
      <c r="W504" s="2576"/>
      <c r="X504" s="2576"/>
      <c r="Y504" s="2576"/>
      <c r="Z504" s="2576"/>
      <c r="AA504" s="2576"/>
      <c r="AB504" s="2576"/>
      <c r="AC504" s="2576"/>
      <c r="AD504" s="2576"/>
      <c r="AE504" s="2576"/>
      <c r="AF504" s="2576"/>
      <c r="AG504" s="2576"/>
      <c r="BB504" s="784"/>
      <c r="BC504" s="796"/>
      <c r="BD504" s="900"/>
      <c r="BE504" s="797"/>
    </row>
    <row r="505" spans="1:57" s="65" customFormat="1" hidden="1" outlineLevel="1" x14ac:dyDescent="0.25">
      <c r="A505" s="785"/>
      <c r="B505" s="177"/>
      <c r="C505" s="455"/>
      <c r="D505" s="2806"/>
      <c r="E505" s="2856"/>
      <c r="F505" s="2757" t="str">
        <f t="shared" si="61"/>
        <v>CAC - SEER 16 ER1: MF_CompE</v>
      </c>
      <c r="G505" s="2758"/>
      <c r="H505" s="2759"/>
      <c r="I505" s="1663"/>
      <c r="J505" s="1663">
        <v>8.33</v>
      </c>
      <c r="K505" s="910"/>
      <c r="L505" s="2794"/>
      <c r="M505" s="455"/>
      <c r="N505" s="2028"/>
      <c r="O505" s="455"/>
      <c r="P505" s="177"/>
      <c r="Q505" s="177"/>
      <c r="R505" s="177"/>
      <c r="S505" s="177"/>
      <c r="T505" s="177"/>
      <c r="U505" s="177"/>
      <c r="V505" s="2866"/>
      <c r="W505" s="2576"/>
      <c r="X505" s="2576"/>
      <c r="Y505" s="2576">
        <v>8.33</v>
      </c>
      <c r="Z505" s="2576"/>
      <c r="AA505" s="2576"/>
      <c r="AB505" s="2576"/>
      <c r="AC505" s="2576"/>
      <c r="AD505" s="2576"/>
      <c r="AE505" s="2576"/>
      <c r="AF505" s="2576"/>
      <c r="AG505" s="2576"/>
      <c r="BB505" s="784"/>
      <c r="BC505" s="796"/>
      <c r="BD505" s="900"/>
      <c r="BE505" s="797"/>
    </row>
    <row r="506" spans="1:57" s="65" customFormat="1" hidden="1" outlineLevel="1" x14ac:dyDescent="0.25">
      <c r="A506" s="785"/>
      <c r="B506" s="177"/>
      <c r="C506" s="455"/>
      <c r="D506" s="2806"/>
      <c r="E506" s="2856"/>
      <c r="F506" s="2757" t="str">
        <f t="shared" si="61"/>
        <v>CAC - SEER 16 ER2: MF_CompE</v>
      </c>
      <c r="G506" s="2758"/>
      <c r="H506" s="2759"/>
      <c r="I506" s="1663"/>
      <c r="J506" s="1663"/>
      <c r="K506" s="910"/>
      <c r="L506" s="2794"/>
      <c r="M506" s="455"/>
      <c r="N506" s="2028"/>
      <c r="O506" s="455"/>
      <c r="P506" s="177"/>
      <c r="Q506" s="177"/>
      <c r="R506" s="177"/>
      <c r="S506" s="177"/>
      <c r="T506" s="177"/>
      <c r="U506" s="177"/>
      <c r="V506" s="2866"/>
      <c r="W506" s="2576"/>
      <c r="X506" s="2576"/>
      <c r="Y506" s="2576"/>
      <c r="Z506" s="2576"/>
      <c r="AA506" s="2576"/>
      <c r="AB506" s="2576"/>
      <c r="AC506" s="2576"/>
      <c r="AD506" s="2576"/>
      <c r="AE506" s="2576"/>
      <c r="AF506" s="2576"/>
      <c r="AG506" s="2576"/>
      <c r="BB506" s="784"/>
      <c r="BC506" s="796"/>
      <c r="BD506" s="900"/>
      <c r="BE506" s="797"/>
    </row>
    <row r="507" spans="1:57" s="65" customFormat="1" hidden="1" outlineLevel="1" x14ac:dyDescent="0.25">
      <c r="A507" s="785"/>
      <c r="B507" s="177"/>
      <c r="C507" s="455"/>
      <c r="D507" s="2806"/>
      <c r="E507" s="2856"/>
      <c r="F507" s="2757" t="str">
        <f t="shared" si="61"/>
        <v>CAC - SEER 16 ROF: MF</v>
      </c>
      <c r="G507" s="2758"/>
      <c r="H507" s="2759"/>
      <c r="I507" s="1663"/>
      <c r="J507" s="1663"/>
      <c r="K507" s="910"/>
      <c r="L507" s="2794"/>
      <c r="M507" s="455"/>
      <c r="N507" s="2028"/>
      <c r="O507" s="455"/>
      <c r="P507" s="177"/>
      <c r="Q507" s="177"/>
      <c r="R507" s="177"/>
      <c r="S507" s="177"/>
      <c r="T507" s="177"/>
      <c r="U507" s="177"/>
      <c r="V507" s="2866"/>
      <c r="W507" s="2576"/>
      <c r="X507" s="2576"/>
      <c r="Y507" s="2576"/>
      <c r="Z507" s="2576"/>
      <c r="AA507" s="2576"/>
      <c r="AB507" s="2576"/>
      <c r="AC507" s="2576"/>
      <c r="AD507" s="2576"/>
      <c r="AE507" s="2576"/>
      <c r="AF507" s="2576"/>
      <c r="AG507" s="2576"/>
      <c r="BB507" s="784"/>
      <c r="BC507" s="796"/>
      <c r="BD507" s="900"/>
      <c r="BE507" s="797"/>
    </row>
    <row r="508" spans="1:57" s="65" customFormat="1" hidden="1" outlineLevel="1" x14ac:dyDescent="0.25">
      <c r="A508" s="785"/>
      <c r="B508" s="177"/>
      <c r="C508" s="455"/>
      <c r="D508" s="2806"/>
      <c r="E508" s="2856"/>
      <c r="F508" s="2757" t="str">
        <f t="shared" si="61"/>
        <v>CAC - SEER 16 ROF: MF_CompE</v>
      </c>
      <c r="G508" s="2758"/>
      <c r="H508" s="2759"/>
      <c r="I508" s="1663"/>
      <c r="J508" s="1663"/>
      <c r="K508" s="910"/>
      <c r="L508" s="2794"/>
      <c r="M508" s="455"/>
      <c r="N508" s="2028"/>
      <c r="O508" s="455"/>
      <c r="P508" s="177"/>
      <c r="Q508" s="177"/>
      <c r="R508" s="177"/>
      <c r="S508" s="177"/>
      <c r="T508" s="177"/>
      <c r="U508" s="177"/>
      <c r="V508" s="2866"/>
      <c r="W508" s="2576"/>
      <c r="X508" s="2576"/>
      <c r="Y508" s="2576"/>
      <c r="Z508" s="2576"/>
      <c r="AA508" s="2576"/>
      <c r="AB508" s="2576"/>
      <c r="AC508" s="2576"/>
      <c r="AD508" s="2576"/>
      <c r="AE508" s="2576"/>
      <c r="AF508" s="2576"/>
      <c r="AG508" s="2576"/>
      <c r="BB508" s="784"/>
      <c r="BC508" s="796"/>
      <c r="BD508" s="900"/>
      <c r="BE508" s="797"/>
    </row>
    <row r="509" spans="1:57" s="65" customFormat="1" hidden="1" outlineLevel="1" x14ac:dyDescent="0.25">
      <c r="A509" s="785"/>
      <c r="B509" s="177"/>
      <c r="C509" s="455"/>
      <c r="D509" s="2806"/>
      <c r="E509" s="2856"/>
      <c r="F509" s="2757" t="str">
        <f t="shared" si="61"/>
        <v>CAC - SEER 17 ER1: SF</v>
      </c>
      <c r="G509" s="2758"/>
      <c r="H509" s="2759"/>
      <c r="I509" s="1663"/>
      <c r="J509" s="1663">
        <v>8.33</v>
      </c>
      <c r="K509" s="910"/>
      <c r="L509" s="2794"/>
      <c r="M509" s="455"/>
      <c r="N509" s="2028"/>
      <c r="O509" s="455"/>
      <c r="P509" s="177"/>
      <c r="Q509" s="177"/>
      <c r="R509" s="177"/>
      <c r="S509" s="177"/>
      <c r="T509" s="177"/>
      <c r="U509" s="177"/>
      <c r="V509" s="2866"/>
      <c r="W509" s="2576">
        <v>8.1999999999999993</v>
      </c>
      <c r="X509" s="908">
        <v>8.33</v>
      </c>
      <c r="Y509" s="2576">
        <v>8.33</v>
      </c>
      <c r="Z509" s="2576"/>
      <c r="AA509" s="2576"/>
      <c r="AB509" s="2576"/>
      <c r="AC509" s="2576"/>
      <c r="AD509" s="2576"/>
      <c r="AE509" s="2576"/>
      <c r="AF509" s="2576"/>
      <c r="AG509" s="2576"/>
      <c r="BB509" s="784"/>
      <c r="BC509" s="796"/>
      <c r="BD509" s="900"/>
      <c r="BE509" s="797"/>
    </row>
    <row r="510" spans="1:57" s="65" customFormat="1" ht="14.45" hidden="1" customHeight="1" outlineLevel="1" x14ac:dyDescent="0.25">
      <c r="A510" s="785"/>
      <c r="B510" s="177"/>
      <c r="C510" s="455"/>
      <c r="D510" s="2806"/>
      <c r="E510" s="2856"/>
      <c r="F510" s="2757" t="str">
        <f t="shared" si="61"/>
        <v>CAC - SEER 17 ER2: SF</v>
      </c>
      <c r="G510" s="2758"/>
      <c r="H510" s="2759"/>
      <c r="I510" s="1663"/>
      <c r="J510" s="1663"/>
      <c r="K510" s="910"/>
      <c r="L510" s="2794"/>
      <c r="M510" s="455"/>
      <c r="N510" s="2028"/>
      <c r="O510" s="455"/>
      <c r="P510" s="177"/>
      <c r="Q510" s="177"/>
      <c r="R510" s="177"/>
      <c r="S510" s="177"/>
      <c r="T510" s="177"/>
      <c r="U510" s="177"/>
      <c r="V510" s="2866"/>
      <c r="W510" s="2576"/>
      <c r="X510" s="2576"/>
      <c r="Y510" s="2576"/>
      <c r="Z510" s="2576"/>
      <c r="AA510" s="2576"/>
      <c r="AB510" s="2576"/>
      <c r="AC510" s="2576"/>
      <c r="AD510" s="2576"/>
      <c r="AE510" s="2576"/>
      <c r="AF510" s="2576"/>
      <c r="AG510" s="2576"/>
      <c r="BB510" s="784"/>
      <c r="BC510" s="796"/>
      <c r="BD510" s="900"/>
      <c r="BE510" s="797"/>
    </row>
    <row r="511" spans="1:57" s="65" customFormat="1" ht="14.45" hidden="1" customHeight="1" outlineLevel="1" x14ac:dyDescent="0.25">
      <c r="A511" s="785"/>
      <c r="B511" s="177"/>
      <c r="C511" s="455"/>
      <c r="D511" s="2806"/>
      <c r="E511" s="2856"/>
      <c r="F511" s="2757" t="str">
        <f t="shared" si="61"/>
        <v>CAC - SEER 17 ROF: SF</v>
      </c>
      <c r="G511" s="2758"/>
      <c r="H511" s="2759"/>
      <c r="I511" s="1663"/>
      <c r="J511" s="1663"/>
      <c r="K511" s="910"/>
      <c r="L511" s="2794"/>
      <c r="M511" s="455"/>
      <c r="N511" s="2028"/>
      <c r="O511" s="455"/>
      <c r="P511" s="177"/>
      <c r="Q511" s="177"/>
      <c r="R511" s="177"/>
      <c r="S511" s="177"/>
      <c r="T511" s="177"/>
      <c r="U511" s="177"/>
      <c r="V511" s="2866"/>
      <c r="W511" s="2576"/>
      <c r="X511" s="2576"/>
      <c r="Y511" s="2576"/>
      <c r="Z511" s="2576"/>
      <c r="AA511" s="2576"/>
      <c r="AB511" s="2576"/>
      <c r="AC511" s="2576"/>
      <c r="AD511" s="2576"/>
      <c r="AE511" s="2576"/>
      <c r="AF511" s="2576"/>
      <c r="AG511" s="2576"/>
      <c r="BB511" s="784"/>
      <c r="BC511" s="796"/>
      <c r="BD511" s="900"/>
      <c r="BE511" s="797"/>
    </row>
    <row r="512" spans="1:57" s="65" customFormat="1" ht="14.45" hidden="1" customHeight="1" outlineLevel="1" x14ac:dyDescent="0.25">
      <c r="A512" s="785"/>
      <c r="B512" s="177"/>
      <c r="C512" s="455"/>
      <c r="D512" s="2806"/>
      <c r="E512" s="2856"/>
      <c r="F512" s="2757" t="str">
        <f t="shared" si="61"/>
        <v>CAC - SEER 17 ER1: MF</v>
      </c>
      <c r="G512" s="2758"/>
      <c r="H512" s="2759"/>
      <c r="I512" s="1663"/>
      <c r="J512" s="1663">
        <v>8.33</v>
      </c>
      <c r="K512" s="910"/>
      <c r="L512" s="2794"/>
      <c r="M512" s="455"/>
      <c r="N512" s="2028"/>
      <c r="O512" s="455"/>
      <c r="P512" s="177"/>
      <c r="Q512" s="177"/>
      <c r="R512" s="177"/>
      <c r="S512" s="177"/>
      <c r="T512" s="177"/>
      <c r="U512" s="177"/>
      <c r="V512" s="2866"/>
      <c r="W512" s="2576">
        <v>8.1999999999999993</v>
      </c>
      <c r="X512" s="908">
        <v>8.33</v>
      </c>
      <c r="Y512" s="2576">
        <v>8.33</v>
      </c>
      <c r="Z512" s="2576"/>
      <c r="AA512" s="2576"/>
      <c r="AB512" s="2576"/>
      <c r="AC512" s="2576"/>
      <c r="AD512" s="2576"/>
      <c r="AE512" s="2576"/>
      <c r="AF512" s="2576"/>
      <c r="AG512" s="2576"/>
      <c r="BB512" s="784"/>
      <c r="BC512" s="796"/>
      <c r="BD512" s="900"/>
      <c r="BE512" s="797"/>
    </row>
    <row r="513" spans="1:57" s="65" customFormat="1" ht="14.45" hidden="1" customHeight="1" outlineLevel="1" x14ac:dyDescent="0.25">
      <c r="A513" s="785"/>
      <c r="B513" s="177"/>
      <c r="C513" s="455"/>
      <c r="D513" s="2806"/>
      <c r="E513" s="2856"/>
      <c r="F513" s="2757" t="str">
        <f t="shared" si="61"/>
        <v>CAC - SEER 17 ER2: MF</v>
      </c>
      <c r="G513" s="2758"/>
      <c r="H513" s="2759"/>
      <c r="I513" s="1663"/>
      <c r="J513" s="1663"/>
      <c r="K513" s="910"/>
      <c r="L513" s="2794"/>
      <c r="M513" s="455"/>
      <c r="N513" s="2028"/>
      <c r="O513" s="455"/>
      <c r="P513" s="177"/>
      <c r="Q513" s="177"/>
      <c r="R513" s="177"/>
      <c r="S513" s="177"/>
      <c r="T513" s="177"/>
      <c r="U513" s="177"/>
      <c r="V513" s="2866"/>
      <c r="W513" s="2576"/>
      <c r="X513" s="2576"/>
      <c r="Y513" s="2576"/>
      <c r="Z513" s="2576"/>
      <c r="AA513" s="2576"/>
      <c r="AB513" s="2576"/>
      <c r="AC513" s="2576"/>
      <c r="AD513" s="2576"/>
      <c r="AE513" s="2576"/>
      <c r="AF513" s="2576"/>
      <c r="AG513" s="2576"/>
      <c r="BB513" s="784"/>
      <c r="BC513" s="796"/>
      <c r="BD513" s="900"/>
      <c r="BE513" s="797"/>
    </row>
    <row r="514" spans="1:57" s="65" customFormat="1" ht="14.45" hidden="1" customHeight="1" outlineLevel="1" x14ac:dyDescent="0.25">
      <c r="A514" s="785"/>
      <c r="B514" s="177"/>
      <c r="C514" s="455"/>
      <c r="D514" s="2806"/>
      <c r="E514" s="2856"/>
      <c r="F514" s="2757" t="str">
        <f t="shared" si="61"/>
        <v>CAC - SEER 17 ER1: MF_CompE</v>
      </c>
      <c r="G514" s="2758"/>
      <c r="H514" s="2759"/>
      <c r="I514" s="921"/>
      <c r="J514" s="1663">
        <v>8.33</v>
      </c>
      <c r="K514" s="922"/>
      <c r="L514" s="2794"/>
      <c r="M514" s="455"/>
      <c r="N514" s="2028"/>
      <c r="O514" s="455"/>
      <c r="P514" s="177"/>
      <c r="Q514" s="177"/>
      <c r="R514" s="177"/>
      <c r="S514" s="177"/>
      <c r="T514" s="177"/>
      <c r="U514" s="177"/>
      <c r="V514" s="2866"/>
      <c r="W514" s="921"/>
      <c r="X514" s="921"/>
      <c r="Y514" s="921">
        <v>8.33</v>
      </c>
      <c r="Z514" s="921"/>
      <c r="AA514" s="921"/>
      <c r="AB514" s="921"/>
      <c r="AC514" s="921"/>
      <c r="AD514" s="921"/>
      <c r="AE514" s="921"/>
      <c r="AF514" s="921"/>
      <c r="AG514" s="921"/>
      <c r="BB514" s="784"/>
      <c r="BC514" s="796"/>
      <c r="BD514" s="900"/>
      <c r="BE514" s="797"/>
    </row>
    <row r="515" spans="1:57" s="65" customFormat="1" ht="14.45" hidden="1" customHeight="1" outlineLevel="1" x14ac:dyDescent="0.25">
      <c r="A515" s="785"/>
      <c r="B515" s="177"/>
      <c r="C515" s="455"/>
      <c r="D515" s="2806"/>
      <c r="E515" s="2856"/>
      <c r="F515" s="2757" t="str">
        <f t="shared" si="61"/>
        <v>CAC - SEER 17 ER2: MF_CompE</v>
      </c>
      <c r="G515" s="2758"/>
      <c r="H515" s="2759"/>
      <c r="I515" s="921"/>
      <c r="J515" s="921"/>
      <c r="K515" s="922"/>
      <c r="L515" s="2794"/>
      <c r="M515" s="455"/>
      <c r="N515" s="2028"/>
      <c r="O515" s="455"/>
      <c r="P515" s="177"/>
      <c r="Q515" s="177"/>
      <c r="R515" s="177"/>
      <c r="S515" s="177"/>
      <c r="T515" s="177"/>
      <c r="U515" s="177"/>
      <c r="V515" s="2866"/>
      <c r="W515" s="921"/>
      <c r="X515" s="921"/>
      <c r="Y515" s="921"/>
      <c r="Z515" s="921"/>
      <c r="AA515" s="921"/>
      <c r="AB515" s="921"/>
      <c r="AC515" s="921"/>
      <c r="AD515" s="921"/>
      <c r="AE515" s="921"/>
      <c r="AF515" s="921"/>
      <c r="AG515" s="921"/>
      <c r="BB515" s="784"/>
      <c r="BC515" s="796"/>
      <c r="BD515" s="900"/>
      <c r="BE515" s="797"/>
    </row>
    <row r="516" spans="1:57" s="65" customFormat="1" ht="15" hidden="1" customHeight="1" outlineLevel="1" x14ac:dyDescent="0.25">
      <c r="A516" s="785"/>
      <c r="B516" s="177"/>
      <c r="C516" s="455"/>
      <c r="D516" s="2806"/>
      <c r="E516" s="2856"/>
      <c r="F516" s="2757" t="str">
        <f t="shared" si="61"/>
        <v>CAC - SEER 17 ROF: MF</v>
      </c>
      <c r="G516" s="2758"/>
      <c r="H516" s="2759"/>
      <c r="I516" s="2470"/>
      <c r="J516" s="2470"/>
      <c r="K516" s="910"/>
      <c r="L516" s="2794"/>
      <c r="M516" s="455"/>
      <c r="N516" s="2028"/>
      <c r="O516" s="455"/>
      <c r="P516" s="177"/>
      <c r="Q516" s="177"/>
      <c r="R516" s="177"/>
      <c r="S516" s="177"/>
      <c r="T516" s="177"/>
      <c r="U516" s="177"/>
      <c r="V516" s="2866"/>
      <c r="W516" s="921"/>
      <c r="X516" s="2576"/>
      <c r="Y516" s="2576"/>
      <c r="Z516" s="2576"/>
      <c r="AA516" s="2576"/>
      <c r="AB516" s="2576"/>
      <c r="AC516" s="2576"/>
      <c r="AD516" s="2576"/>
      <c r="AE516" s="2576"/>
      <c r="AF516" s="2576"/>
      <c r="AG516" s="2576"/>
      <c r="BB516" s="784"/>
      <c r="BC516" s="796"/>
      <c r="BD516" s="900"/>
      <c r="BE516" s="797"/>
    </row>
    <row r="517" spans="1:57" s="65" customFormat="1" hidden="1" outlineLevel="1" x14ac:dyDescent="0.25">
      <c r="A517" s="785"/>
      <c r="B517" s="177"/>
      <c r="C517" s="455"/>
      <c r="D517" s="2807"/>
      <c r="E517" s="2857"/>
      <c r="F517" s="2757" t="str">
        <f t="shared" si="61"/>
        <v>CAC - SEER 17 ROF: MF_CompE</v>
      </c>
      <c r="G517" s="2758"/>
      <c r="H517" s="2759"/>
      <c r="I517" s="2470"/>
      <c r="J517" s="2470"/>
      <c r="K517" s="910"/>
      <c r="L517" s="2794"/>
      <c r="M517" s="455"/>
      <c r="N517" s="2028"/>
      <c r="O517" s="455"/>
      <c r="P517" s="177"/>
      <c r="Q517" s="177"/>
      <c r="R517" s="177"/>
      <c r="S517" s="177"/>
      <c r="T517" s="177"/>
      <c r="U517" s="177"/>
      <c r="V517" s="2847"/>
      <c r="W517" s="2576"/>
      <c r="X517" s="2576"/>
      <c r="Y517" s="2576"/>
      <c r="Z517" s="2576"/>
      <c r="AA517" s="2576"/>
      <c r="AB517" s="2576"/>
      <c r="AC517" s="2576"/>
      <c r="AD517" s="2576"/>
      <c r="AE517" s="2576"/>
      <c r="AF517" s="2576"/>
      <c r="AG517" s="2576"/>
      <c r="BB517" s="784"/>
      <c r="BC517" s="796"/>
      <c r="BD517" s="900"/>
      <c r="BE517" s="797"/>
    </row>
    <row r="518" spans="1:57" s="65" customFormat="1" ht="14.45" hidden="1" customHeight="1" outlineLevel="1" x14ac:dyDescent="0.25">
      <c r="A518" s="785"/>
      <c r="B518" s="177"/>
      <c r="C518" s="455"/>
      <c r="D518" s="2847"/>
      <c r="E518" s="2922"/>
      <c r="F518" s="2790" t="str">
        <f t="shared" si="61"/>
        <v>CAC - SEER 18 ER1: SF</v>
      </c>
      <c r="G518" s="2791"/>
      <c r="H518" s="2792"/>
      <c r="I518" s="2470"/>
      <c r="J518" s="2470">
        <v>8.33</v>
      </c>
      <c r="K518" s="910"/>
      <c r="L518" s="2795"/>
      <c r="M518" s="455"/>
      <c r="N518" s="2028"/>
      <c r="O518" s="455"/>
      <c r="P518" s="177"/>
      <c r="Q518" s="177"/>
      <c r="R518" s="177"/>
      <c r="S518" s="177"/>
      <c r="T518" s="177"/>
      <c r="U518" s="177"/>
      <c r="V518" s="2847"/>
      <c r="W518" s="926"/>
      <c r="X518" s="933"/>
      <c r="Y518" s="926"/>
      <c r="Z518" s="933">
        <v>8.33</v>
      </c>
      <c r="AA518" s="926"/>
      <c r="AB518" s="926"/>
      <c r="AC518" s="926"/>
      <c r="AD518" s="926"/>
      <c r="AE518" s="926"/>
      <c r="AF518" s="926"/>
      <c r="AG518" s="926"/>
      <c r="BB518" s="784"/>
      <c r="BC518" s="796"/>
      <c r="BD518" s="900"/>
      <c r="BE518" s="797"/>
    </row>
    <row r="519" spans="1:57" s="65" customFormat="1" ht="14.45" hidden="1" customHeight="1" outlineLevel="1" x14ac:dyDescent="0.25">
      <c r="A519" s="785"/>
      <c r="B519" s="177"/>
      <c r="C519" s="455"/>
      <c r="D519" s="2847"/>
      <c r="E519" s="2922"/>
      <c r="F519" s="2790" t="str">
        <f t="shared" si="61"/>
        <v>CAC - SEER 18 ER2: SF</v>
      </c>
      <c r="G519" s="2791"/>
      <c r="H519" s="2792"/>
      <c r="I519" s="2470"/>
      <c r="J519" s="2470"/>
      <c r="K519" s="910"/>
      <c r="L519" s="2795"/>
      <c r="M519" s="455"/>
      <c r="N519" s="2028"/>
      <c r="O519" s="455"/>
      <c r="P519" s="177"/>
      <c r="Q519" s="177"/>
      <c r="R519" s="177"/>
      <c r="S519" s="177"/>
      <c r="T519" s="177"/>
      <c r="U519" s="177"/>
      <c r="V519" s="2847"/>
      <c r="W519" s="2576"/>
      <c r="X519" s="2576"/>
      <c r="Y519" s="2576"/>
      <c r="Z519" s="908"/>
      <c r="AA519" s="2576"/>
      <c r="AB519" s="2576"/>
      <c r="AC519" s="2576"/>
      <c r="AD519" s="2576"/>
      <c r="AE519" s="2576"/>
      <c r="AF519" s="2576"/>
      <c r="AG519" s="2576"/>
      <c r="BB519" s="784"/>
      <c r="BC519" s="796"/>
      <c r="BD519" s="900"/>
      <c r="BE519" s="797"/>
    </row>
    <row r="520" spans="1:57" s="65" customFormat="1" ht="14.45" hidden="1" customHeight="1" outlineLevel="1" x14ac:dyDescent="0.25">
      <c r="A520" s="785"/>
      <c r="B520" s="177"/>
      <c r="C520" s="455"/>
      <c r="D520" s="2847"/>
      <c r="E520" s="2922"/>
      <c r="F520" s="2790" t="str">
        <f t="shared" si="61"/>
        <v>CAC - SEER 18 ROF: SF</v>
      </c>
      <c r="G520" s="2791"/>
      <c r="H520" s="2792"/>
      <c r="I520" s="2470"/>
      <c r="J520" s="921"/>
      <c r="K520" s="910"/>
      <c r="L520" s="2795"/>
      <c r="M520" s="455"/>
      <c r="N520" s="2028"/>
      <c r="O520" s="455"/>
      <c r="P520" s="177"/>
      <c r="Q520" s="177"/>
      <c r="R520" s="177"/>
      <c r="S520" s="177"/>
      <c r="T520" s="177"/>
      <c r="U520" s="177"/>
      <c r="V520" s="2847"/>
      <c r="W520" s="2576"/>
      <c r="X520" s="921"/>
      <c r="Y520" s="921"/>
      <c r="Z520" s="908"/>
      <c r="AA520" s="2576"/>
      <c r="AB520" s="2576"/>
      <c r="AC520" s="2576"/>
      <c r="AD520" s="2576"/>
      <c r="AE520" s="2576"/>
      <c r="AF520" s="2576"/>
      <c r="AG520" s="2576"/>
      <c r="BB520" s="784"/>
      <c r="BC520" s="796"/>
      <c r="BD520" s="900"/>
      <c r="BE520" s="797"/>
    </row>
    <row r="521" spans="1:57" s="65" customFormat="1" hidden="1" outlineLevel="1" x14ac:dyDescent="0.25">
      <c r="A521" s="785"/>
      <c r="B521" s="177"/>
      <c r="C521" s="455"/>
      <c r="D521" s="2847"/>
      <c r="E521" s="2922"/>
      <c r="F521" s="2780" t="str">
        <f t="shared" si="61"/>
        <v>CAC - SEER 18 ER1: MF</v>
      </c>
      <c r="G521" s="2781"/>
      <c r="H521" s="2782"/>
      <c r="I521" s="2470"/>
      <c r="J521" s="2470">
        <v>8.33</v>
      </c>
      <c r="K521" s="910"/>
      <c r="L521" s="2795"/>
      <c r="M521" s="455"/>
      <c r="N521" s="2028"/>
      <c r="O521" s="455"/>
      <c r="P521" s="177"/>
      <c r="Q521" s="177"/>
      <c r="R521" s="177"/>
      <c r="S521" s="177"/>
      <c r="T521" s="177"/>
      <c r="U521" s="177"/>
      <c r="V521" s="2847"/>
      <c r="W521" s="2576"/>
      <c r="X521" s="908"/>
      <c r="Y521" s="2576"/>
      <c r="Z521" s="908">
        <v>8.33</v>
      </c>
      <c r="AA521" s="2576"/>
      <c r="AB521" s="2576"/>
      <c r="AC521" s="2576"/>
      <c r="AD521" s="2576"/>
      <c r="AE521" s="2576"/>
      <c r="AF521" s="2576"/>
      <c r="AG521" s="2576"/>
      <c r="BB521" s="784"/>
      <c r="BC521" s="796"/>
      <c r="BD521" s="900"/>
      <c r="BE521" s="797"/>
    </row>
    <row r="522" spans="1:57" s="65" customFormat="1" hidden="1" outlineLevel="1" x14ac:dyDescent="0.25">
      <c r="A522" s="785"/>
      <c r="B522" s="177"/>
      <c r="C522" s="455"/>
      <c r="D522" s="2847"/>
      <c r="E522" s="2922"/>
      <c r="F522" s="2780" t="str">
        <f t="shared" ref="F522:F585" si="62">F450</f>
        <v>CAC - SEER 18 ER2: MF</v>
      </c>
      <c r="G522" s="2781"/>
      <c r="H522" s="2782"/>
      <c r="I522" s="2470"/>
      <c r="J522" s="2470"/>
      <c r="K522" s="910"/>
      <c r="L522" s="2795"/>
      <c r="M522" s="455"/>
      <c r="N522" s="2028"/>
      <c r="O522" s="455"/>
      <c r="P522" s="177"/>
      <c r="Q522" s="177"/>
      <c r="R522" s="177"/>
      <c r="S522" s="177"/>
      <c r="T522" s="177"/>
      <c r="U522" s="177"/>
      <c r="V522" s="2847"/>
      <c r="W522" s="2576"/>
      <c r="X522" s="2576"/>
      <c r="Y522" s="2576"/>
      <c r="Z522" s="908"/>
      <c r="AA522" s="2576"/>
      <c r="AB522" s="2576"/>
      <c r="AC522" s="2576"/>
      <c r="AD522" s="2576"/>
      <c r="AE522" s="2576"/>
      <c r="AF522" s="2576"/>
      <c r="AG522" s="2576"/>
      <c r="BB522" s="784"/>
      <c r="BC522" s="796"/>
      <c r="BD522" s="900"/>
      <c r="BE522" s="797"/>
    </row>
    <row r="523" spans="1:57" s="65" customFormat="1" hidden="1" outlineLevel="1" x14ac:dyDescent="0.25">
      <c r="A523" s="785"/>
      <c r="B523" s="177"/>
      <c r="C523" s="455"/>
      <c r="D523" s="2847"/>
      <c r="E523" s="2922"/>
      <c r="F523" s="2780" t="str">
        <f t="shared" si="62"/>
        <v>CAC - SEER 18 ER1: MF_CompE</v>
      </c>
      <c r="G523" s="2781"/>
      <c r="H523" s="2782"/>
      <c r="I523" s="2470"/>
      <c r="J523" s="2470">
        <v>8.33</v>
      </c>
      <c r="K523" s="910"/>
      <c r="L523" s="2795"/>
      <c r="M523" s="455"/>
      <c r="N523" s="2028"/>
      <c r="O523" s="455"/>
      <c r="P523" s="177"/>
      <c r="Q523" s="177"/>
      <c r="R523" s="177"/>
      <c r="S523" s="177"/>
      <c r="T523" s="177"/>
      <c r="U523" s="177"/>
      <c r="V523" s="2847"/>
      <c r="W523" s="2576"/>
      <c r="X523" s="2576"/>
      <c r="Y523" s="2576"/>
      <c r="Z523" s="908">
        <v>8.33</v>
      </c>
      <c r="AA523" s="2576"/>
      <c r="AB523" s="2576"/>
      <c r="AC523" s="2576"/>
      <c r="AD523" s="2576"/>
      <c r="AE523" s="2576"/>
      <c r="AF523" s="2576"/>
      <c r="AG523" s="2576"/>
      <c r="BB523" s="784"/>
      <c r="BC523" s="796"/>
      <c r="BD523" s="900"/>
      <c r="BE523" s="797"/>
    </row>
    <row r="524" spans="1:57" s="65" customFormat="1" hidden="1" outlineLevel="1" x14ac:dyDescent="0.25">
      <c r="A524" s="785"/>
      <c r="B524" s="177"/>
      <c r="C524" s="455"/>
      <c r="D524" s="2847"/>
      <c r="E524" s="2922"/>
      <c r="F524" s="2780" t="str">
        <f t="shared" si="62"/>
        <v>CAC - SEER 18 ER2: MF_CompE</v>
      </c>
      <c r="G524" s="2781"/>
      <c r="H524" s="2782"/>
      <c r="I524" s="2470"/>
      <c r="J524" s="2470"/>
      <c r="K524" s="910"/>
      <c r="L524" s="2795"/>
      <c r="M524" s="455"/>
      <c r="N524" s="2028"/>
      <c r="O524" s="455"/>
      <c r="P524" s="177"/>
      <c r="Q524" s="177"/>
      <c r="R524" s="177"/>
      <c r="S524" s="177"/>
      <c r="T524" s="177"/>
      <c r="U524" s="177"/>
      <c r="V524" s="2847"/>
      <c r="W524" s="2576"/>
      <c r="X524" s="2576"/>
      <c r="Y524" s="2576"/>
      <c r="Z524" s="908"/>
      <c r="AA524" s="2576"/>
      <c r="AB524" s="2576"/>
      <c r="AC524" s="2576"/>
      <c r="AD524" s="2576"/>
      <c r="AE524" s="2576"/>
      <c r="AF524" s="2576"/>
      <c r="AG524" s="2576"/>
      <c r="BB524" s="784"/>
      <c r="BC524" s="796"/>
      <c r="BD524" s="900"/>
      <c r="BE524" s="797"/>
    </row>
    <row r="525" spans="1:57" s="65" customFormat="1" hidden="1" outlineLevel="1" x14ac:dyDescent="0.25">
      <c r="A525" s="785"/>
      <c r="B525" s="177"/>
      <c r="C525" s="455"/>
      <c r="D525" s="2847"/>
      <c r="E525" s="2922"/>
      <c r="F525" s="2780" t="str">
        <f t="shared" si="62"/>
        <v>CAC - SEER 18 ROF: MF</v>
      </c>
      <c r="G525" s="2781"/>
      <c r="H525" s="2782"/>
      <c r="I525" s="2470"/>
      <c r="J525" s="2470"/>
      <c r="K525" s="910"/>
      <c r="L525" s="2795"/>
      <c r="M525" s="455"/>
      <c r="N525" s="2028"/>
      <c r="O525" s="455"/>
      <c r="P525" s="177"/>
      <c r="Q525" s="177"/>
      <c r="R525" s="177"/>
      <c r="S525" s="177"/>
      <c r="T525" s="177"/>
      <c r="U525" s="177"/>
      <c r="V525" s="2847"/>
      <c r="W525" s="2576"/>
      <c r="X525" s="2576"/>
      <c r="Y525" s="2576"/>
      <c r="Z525" s="908"/>
      <c r="AA525" s="2576"/>
      <c r="AB525" s="2576"/>
      <c r="AC525" s="2576"/>
      <c r="AD525" s="2576"/>
      <c r="AE525" s="2576"/>
      <c r="AF525" s="2576"/>
      <c r="AG525" s="2576"/>
      <c r="BB525" s="784"/>
      <c r="BC525" s="796"/>
      <c r="BD525" s="900"/>
      <c r="BE525" s="797"/>
    </row>
    <row r="526" spans="1:57" s="65" customFormat="1" hidden="1" outlineLevel="1" x14ac:dyDescent="0.25">
      <c r="A526" s="785"/>
      <c r="B526" s="177"/>
      <c r="C526" s="455"/>
      <c r="D526" s="2847"/>
      <c r="E526" s="2922"/>
      <c r="F526" s="2780" t="str">
        <f t="shared" si="62"/>
        <v>CAC - SEER 18 ROF: MF_CompE</v>
      </c>
      <c r="G526" s="2781"/>
      <c r="H526" s="2782"/>
      <c r="I526" s="2470"/>
      <c r="J526" s="2470"/>
      <c r="K526" s="910"/>
      <c r="L526" s="2795"/>
      <c r="M526" s="455"/>
      <c r="N526" s="2028"/>
      <c r="O526" s="455"/>
      <c r="P526" s="177"/>
      <c r="Q526" s="177"/>
      <c r="R526" s="177"/>
      <c r="S526" s="177"/>
      <c r="T526" s="177"/>
      <c r="U526" s="177"/>
      <c r="V526" s="2847"/>
      <c r="W526" s="2576"/>
      <c r="X526" s="2576"/>
      <c r="Y526" s="2576"/>
      <c r="Z526" s="908"/>
      <c r="AA526" s="2576"/>
      <c r="AB526" s="2576"/>
      <c r="AC526" s="2576"/>
      <c r="AD526" s="2576"/>
      <c r="AE526" s="2576"/>
      <c r="AF526" s="2576"/>
      <c r="AG526" s="2576"/>
      <c r="BB526" s="784"/>
      <c r="BC526" s="796"/>
      <c r="BD526" s="900"/>
      <c r="BE526" s="797"/>
    </row>
    <row r="527" spans="1:57" s="65" customFormat="1" hidden="1" outlineLevel="1" x14ac:dyDescent="0.25">
      <c r="A527" s="785"/>
      <c r="B527" s="177"/>
      <c r="C527" s="455"/>
      <c r="D527" s="2847"/>
      <c r="E527" s="2922"/>
      <c r="F527" s="2780" t="str">
        <f t="shared" si="62"/>
        <v>CAC - SEER 19 ER1: SF</v>
      </c>
      <c r="G527" s="2781"/>
      <c r="H527" s="2782"/>
      <c r="I527" s="2470"/>
      <c r="J527" s="2470">
        <v>8.33</v>
      </c>
      <c r="K527" s="910"/>
      <c r="L527" s="2795"/>
      <c r="M527" s="455"/>
      <c r="N527" s="2028"/>
      <c r="O527" s="455"/>
      <c r="P527" s="177"/>
      <c r="Q527" s="177"/>
      <c r="R527" s="177"/>
      <c r="S527" s="177"/>
      <c r="T527" s="177"/>
      <c r="U527" s="177"/>
      <c r="V527" s="2847"/>
      <c r="W527" s="2576"/>
      <c r="X527" s="908"/>
      <c r="Y527" s="2576"/>
      <c r="Z527" s="908">
        <v>8.33</v>
      </c>
      <c r="AA527" s="2576"/>
      <c r="AB527" s="2576"/>
      <c r="AC527" s="2576"/>
      <c r="AD527" s="2576"/>
      <c r="AE527" s="2576"/>
      <c r="AF527" s="2576"/>
      <c r="AG527" s="2576"/>
      <c r="BB527" s="784"/>
      <c r="BC527" s="796"/>
      <c r="BD527" s="900"/>
      <c r="BE527" s="797"/>
    </row>
    <row r="528" spans="1:57" s="65" customFormat="1" hidden="1" outlineLevel="1" x14ac:dyDescent="0.25">
      <c r="A528" s="785"/>
      <c r="B528" s="177"/>
      <c r="C528" s="455"/>
      <c r="D528" s="2847"/>
      <c r="E528" s="2922"/>
      <c r="F528" s="2780" t="str">
        <f t="shared" si="62"/>
        <v>CAC - SEER 19 ER2: SF</v>
      </c>
      <c r="G528" s="2781"/>
      <c r="H528" s="2782"/>
      <c r="I528" s="2470"/>
      <c r="J528" s="2470"/>
      <c r="K528" s="910"/>
      <c r="L528" s="2795"/>
      <c r="M528" s="455"/>
      <c r="N528" s="2028"/>
      <c r="O528" s="455"/>
      <c r="P528" s="177"/>
      <c r="Q528" s="177"/>
      <c r="R528" s="177"/>
      <c r="S528" s="177"/>
      <c r="T528" s="177"/>
      <c r="U528" s="177"/>
      <c r="V528" s="2847"/>
      <c r="W528" s="2576"/>
      <c r="X528" s="2576"/>
      <c r="Y528" s="2576"/>
      <c r="Z528" s="908"/>
      <c r="AA528" s="2576"/>
      <c r="AB528" s="2576"/>
      <c r="AC528" s="2576"/>
      <c r="AD528" s="2576"/>
      <c r="AE528" s="2576"/>
      <c r="AF528" s="2576"/>
      <c r="AG528" s="2576"/>
      <c r="BB528" s="784"/>
      <c r="BC528" s="796"/>
      <c r="BD528" s="900"/>
      <c r="BE528" s="797"/>
    </row>
    <row r="529" spans="1:57" s="65" customFormat="1" hidden="1" outlineLevel="1" x14ac:dyDescent="0.25">
      <c r="A529" s="785"/>
      <c r="B529" s="177"/>
      <c r="C529" s="455"/>
      <c r="D529" s="2847"/>
      <c r="E529" s="2922"/>
      <c r="F529" s="2780" t="str">
        <f t="shared" si="62"/>
        <v>CAC - SEER 19 ROF: SF</v>
      </c>
      <c r="G529" s="2781"/>
      <c r="H529" s="2782"/>
      <c r="I529" s="2470"/>
      <c r="J529" s="2470"/>
      <c r="K529" s="910"/>
      <c r="L529" s="2795"/>
      <c r="M529" s="455"/>
      <c r="N529" s="2028"/>
      <c r="O529" s="455"/>
      <c r="P529" s="177"/>
      <c r="Q529" s="177"/>
      <c r="R529" s="177"/>
      <c r="S529" s="177"/>
      <c r="T529" s="177"/>
      <c r="U529" s="177"/>
      <c r="V529" s="2847"/>
      <c r="W529" s="2576"/>
      <c r="X529" s="2576"/>
      <c r="Y529" s="2576"/>
      <c r="Z529" s="908"/>
      <c r="AA529" s="2576"/>
      <c r="AB529" s="2576"/>
      <c r="AC529" s="2576"/>
      <c r="AD529" s="2576"/>
      <c r="AE529" s="2576"/>
      <c r="AF529" s="2576"/>
      <c r="AG529" s="2576"/>
      <c r="BB529" s="784"/>
      <c r="BC529" s="796"/>
      <c r="BD529" s="900"/>
      <c r="BE529" s="797"/>
    </row>
    <row r="530" spans="1:57" s="65" customFormat="1" hidden="1" outlineLevel="1" x14ac:dyDescent="0.25">
      <c r="A530" s="785"/>
      <c r="B530" s="177"/>
      <c r="C530" s="455"/>
      <c r="D530" s="2847"/>
      <c r="E530" s="2922"/>
      <c r="F530" s="2780" t="str">
        <f t="shared" si="62"/>
        <v>CAC - SEER 19 ER1: MF</v>
      </c>
      <c r="G530" s="2781"/>
      <c r="H530" s="2782"/>
      <c r="I530" s="2470"/>
      <c r="J530" s="2470">
        <v>8.33</v>
      </c>
      <c r="K530" s="910"/>
      <c r="L530" s="2795"/>
      <c r="M530" s="455"/>
      <c r="N530" s="2028"/>
      <c r="O530" s="455"/>
      <c r="P530" s="177"/>
      <c r="Q530" s="177"/>
      <c r="R530" s="177"/>
      <c r="S530" s="177"/>
      <c r="T530" s="177"/>
      <c r="U530" s="177"/>
      <c r="V530" s="2847"/>
      <c r="W530" s="2576"/>
      <c r="X530" s="908"/>
      <c r="Y530" s="2576"/>
      <c r="Z530" s="908">
        <v>8.33</v>
      </c>
      <c r="AA530" s="2576"/>
      <c r="AB530" s="2576"/>
      <c r="AC530" s="2576"/>
      <c r="AD530" s="2576"/>
      <c r="AE530" s="2576"/>
      <c r="AF530" s="2576"/>
      <c r="AG530" s="2576"/>
      <c r="BB530" s="784"/>
      <c r="BC530" s="796"/>
      <c r="BD530" s="900"/>
      <c r="BE530" s="797"/>
    </row>
    <row r="531" spans="1:57" s="65" customFormat="1" hidden="1" outlineLevel="1" x14ac:dyDescent="0.25">
      <c r="A531" s="785"/>
      <c r="B531" s="177"/>
      <c r="C531" s="455"/>
      <c r="D531" s="2847"/>
      <c r="E531" s="2922"/>
      <c r="F531" s="2780" t="str">
        <f t="shared" si="62"/>
        <v>CAC - SEER 19 ER2: MF</v>
      </c>
      <c r="G531" s="2781"/>
      <c r="H531" s="2782"/>
      <c r="I531" s="2470"/>
      <c r="J531" s="2470"/>
      <c r="K531" s="910"/>
      <c r="L531" s="2795"/>
      <c r="M531" s="455"/>
      <c r="N531" s="2028"/>
      <c r="O531" s="455"/>
      <c r="P531" s="177"/>
      <c r="Q531" s="177"/>
      <c r="R531" s="177"/>
      <c r="S531" s="177"/>
      <c r="T531" s="177"/>
      <c r="U531" s="177"/>
      <c r="V531" s="2847"/>
      <c r="W531" s="2576"/>
      <c r="X531" s="2576"/>
      <c r="Y531" s="2576"/>
      <c r="Z531" s="908"/>
      <c r="AA531" s="2576"/>
      <c r="AB531" s="2576"/>
      <c r="AC531" s="2576"/>
      <c r="AD531" s="2576"/>
      <c r="AE531" s="2576"/>
      <c r="AF531" s="2576"/>
      <c r="AG531" s="2576"/>
      <c r="BB531" s="784"/>
      <c r="BC531" s="796"/>
      <c r="BD531" s="900"/>
      <c r="BE531" s="797"/>
    </row>
    <row r="532" spans="1:57" s="65" customFormat="1" hidden="1" outlineLevel="1" x14ac:dyDescent="0.25">
      <c r="A532" s="785"/>
      <c r="B532" s="177"/>
      <c r="C532" s="455"/>
      <c r="D532" s="2847"/>
      <c r="E532" s="2922"/>
      <c r="F532" s="2780" t="str">
        <f t="shared" si="62"/>
        <v>CAC - SEER 19 ER1: MF_CompE</v>
      </c>
      <c r="G532" s="2781"/>
      <c r="H532" s="2782"/>
      <c r="I532" s="2470"/>
      <c r="J532" s="2470">
        <v>8.33</v>
      </c>
      <c r="K532" s="910"/>
      <c r="L532" s="2795"/>
      <c r="M532" s="455"/>
      <c r="N532" s="2028"/>
      <c r="O532" s="455"/>
      <c r="P532" s="177"/>
      <c r="Q532" s="177"/>
      <c r="R532" s="177"/>
      <c r="S532" s="177"/>
      <c r="T532" s="177"/>
      <c r="U532" s="177"/>
      <c r="V532" s="2847"/>
      <c r="W532" s="2576"/>
      <c r="X532" s="2576"/>
      <c r="Y532" s="2576"/>
      <c r="Z532" s="908">
        <v>8.33</v>
      </c>
      <c r="AA532" s="2576"/>
      <c r="AB532" s="2576"/>
      <c r="AC532" s="2576"/>
      <c r="AD532" s="2576"/>
      <c r="AE532" s="2576"/>
      <c r="AF532" s="2576"/>
      <c r="AG532" s="2576"/>
      <c r="BB532" s="784"/>
      <c r="BC532" s="796"/>
      <c r="BD532" s="900"/>
      <c r="BE532" s="797"/>
    </row>
    <row r="533" spans="1:57" s="65" customFormat="1" hidden="1" outlineLevel="1" x14ac:dyDescent="0.25">
      <c r="A533" s="785"/>
      <c r="B533" s="177"/>
      <c r="C533" s="455"/>
      <c r="D533" s="2847"/>
      <c r="E533" s="2922"/>
      <c r="F533" s="2780" t="str">
        <f t="shared" si="62"/>
        <v>CAC - SEER 19 ER2: MF_CompE</v>
      </c>
      <c r="G533" s="2781"/>
      <c r="H533" s="2782"/>
      <c r="I533" s="2470"/>
      <c r="J533" s="2470"/>
      <c r="K533" s="910"/>
      <c r="L533" s="2795"/>
      <c r="M533" s="455"/>
      <c r="N533" s="2028"/>
      <c r="O533" s="455"/>
      <c r="P533" s="177"/>
      <c r="Q533" s="177"/>
      <c r="R533" s="177"/>
      <c r="S533" s="177"/>
      <c r="T533" s="177"/>
      <c r="U533" s="177"/>
      <c r="V533" s="2847"/>
      <c r="W533" s="2576"/>
      <c r="X533" s="2576"/>
      <c r="Y533" s="2576"/>
      <c r="Z533" s="908"/>
      <c r="AA533" s="2576"/>
      <c r="AB533" s="2576"/>
      <c r="AC533" s="2576"/>
      <c r="AD533" s="2576"/>
      <c r="AE533" s="2576"/>
      <c r="AF533" s="2576"/>
      <c r="AG533" s="2576"/>
      <c r="BB533" s="784"/>
      <c r="BC533" s="796"/>
      <c r="BD533" s="900"/>
      <c r="BE533" s="797"/>
    </row>
    <row r="534" spans="1:57" s="65" customFormat="1" hidden="1" outlineLevel="1" x14ac:dyDescent="0.25">
      <c r="A534" s="785"/>
      <c r="B534" s="177"/>
      <c r="C534" s="455"/>
      <c r="D534" s="2847"/>
      <c r="E534" s="2922"/>
      <c r="F534" s="2780" t="str">
        <f t="shared" si="62"/>
        <v>CAC - SEER 19 ROF: MF</v>
      </c>
      <c r="G534" s="2781"/>
      <c r="H534" s="2782"/>
      <c r="I534" s="2470"/>
      <c r="J534" s="2470"/>
      <c r="K534" s="910"/>
      <c r="L534" s="2795"/>
      <c r="M534" s="455"/>
      <c r="N534" s="2028"/>
      <c r="O534" s="455"/>
      <c r="P534" s="177"/>
      <c r="Q534" s="177"/>
      <c r="R534" s="177"/>
      <c r="S534" s="177"/>
      <c r="T534" s="177"/>
      <c r="U534" s="177"/>
      <c r="V534" s="2847"/>
      <c r="W534" s="2576"/>
      <c r="X534" s="2576"/>
      <c r="Y534" s="2576"/>
      <c r="Z534" s="908"/>
      <c r="AA534" s="2576"/>
      <c r="AB534" s="2576"/>
      <c r="AC534" s="2576"/>
      <c r="AD534" s="2576"/>
      <c r="AE534" s="2576"/>
      <c r="AF534" s="2576"/>
      <c r="AG534" s="2576"/>
      <c r="BB534" s="784"/>
      <c r="BC534" s="796"/>
      <c r="BD534" s="900"/>
      <c r="BE534" s="797"/>
    </row>
    <row r="535" spans="1:57" s="65" customFormat="1" hidden="1" outlineLevel="1" x14ac:dyDescent="0.25">
      <c r="A535" s="785"/>
      <c r="B535" s="177"/>
      <c r="C535" s="455"/>
      <c r="D535" s="2847"/>
      <c r="E535" s="2922"/>
      <c r="F535" s="2780" t="str">
        <f t="shared" si="62"/>
        <v>CAC - SEER 19 ROF: MF_CompE</v>
      </c>
      <c r="G535" s="2781"/>
      <c r="H535" s="2782"/>
      <c r="I535" s="2470"/>
      <c r="J535" s="2470"/>
      <c r="K535" s="910"/>
      <c r="L535" s="2795"/>
      <c r="M535" s="455"/>
      <c r="N535" s="2028"/>
      <c r="O535" s="455"/>
      <c r="P535" s="177"/>
      <c r="Q535" s="177"/>
      <c r="R535" s="177"/>
      <c r="S535" s="177"/>
      <c r="T535" s="177"/>
      <c r="U535" s="177"/>
      <c r="V535" s="2847"/>
      <c r="W535" s="2576"/>
      <c r="X535" s="2576"/>
      <c r="Y535" s="2576"/>
      <c r="Z535" s="908"/>
      <c r="AA535" s="2576"/>
      <c r="AB535" s="2576"/>
      <c r="AC535" s="2576"/>
      <c r="AD535" s="2576"/>
      <c r="AE535" s="2576"/>
      <c r="AF535" s="2576"/>
      <c r="AG535" s="2576"/>
      <c r="BB535" s="784"/>
      <c r="BC535" s="796"/>
      <c r="BD535" s="900"/>
      <c r="BE535" s="797"/>
    </row>
    <row r="536" spans="1:57" s="65" customFormat="1" hidden="1" outlineLevel="1" x14ac:dyDescent="0.25">
      <c r="A536" s="785"/>
      <c r="B536" s="177"/>
      <c r="C536" s="455"/>
      <c r="D536" s="2847"/>
      <c r="E536" s="2922"/>
      <c r="F536" s="2780" t="str">
        <f t="shared" si="62"/>
        <v>CAC - SEER 20 ER1: SF</v>
      </c>
      <c r="G536" s="2781"/>
      <c r="H536" s="2782"/>
      <c r="I536" s="2470"/>
      <c r="J536" s="2470">
        <v>8.33</v>
      </c>
      <c r="K536" s="910"/>
      <c r="L536" s="2795"/>
      <c r="M536" s="455"/>
      <c r="N536" s="2028"/>
      <c r="O536" s="455"/>
      <c r="P536" s="177"/>
      <c r="Q536" s="177"/>
      <c r="R536" s="177"/>
      <c r="S536" s="177"/>
      <c r="T536" s="177"/>
      <c r="U536" s="177"/>
      <c r="V536" s="2847"/>
      <c r="W536" s="2576"/>
      <c r="X536" s="908"/>
      <c r="Y536" s="2576"/>
      <c r="Z536" s="908">
        <v>8.33</v>
      </c>
      <c r="AA536" s="2576"/>
      <c r="AB536" s="2576"/>
      <c r="AC536" s="2576"/>
      <c r="AD536" s="2576"/>
      <c r="AE536" s="2576"/>
      <c r="AF536" s="2576"/>
      <c r="AG536" s="2576"/>
      <c r="BB536" s="784"/>
      <c r="BC536" s="796"/>
      <c r="BD536" s="900"/>
      <c r="BE536" s="797"/>
    </row>
    <row r="537" spans="1:57" s="65" customFormat="1" hidden="1" outlineLevel="1" x14ac:dyDescent="0.25">
      <c r="A537" s="785"/>
      <c r="B537" s="177"/>
      <c r="C537" s="455"/>
      <c r="D537" s="2847"/>
      <c r="E537" s="2922"/>
      <c r="F537" s="2780" t="str">
        <f t="shared" si="62"/>
        <v>CAC - SEER 20 ER2: SF</v>
      </c>
      <c r="G537" s="2781"/>
      <c r="H537" s="2782"/>
      <c r="I537" s="2470"/>
      <c r="J537" s="2470"/>
      <c r="K537" s="910"/>
      <c r="L537" s="2795"/>
      <c r="M537" s="455"/>
      <c r="N537" s="2028"/>
      <c r="O537" s="455"/>
      <c r="P537" s="177"/>
      <c r="Q537" s="177"/>
      <c r="R537" s="177"/>
      <c r="S537" s="177"/>
      <c r="T537" s="177"/>
      <c r="U537" s="177"/>
      <c r="V537" s="2847"/>
      <c r="W537" s="2576"/>
      <c r="X537" s="2576"/>
      <c r="Y537" s="2576"/>
      <c r="Z537" s="908"/>
      <c r="AA537" s="2576"/>
      <c r="AB537" s="2576"/>
      <c r="AC537" s="2576"/>
      <c r="AD537" s="2576"/>
      <c r="AE537" s="2576"/>
      <c r="AF537" s="2576"/>
      <c r="AG537" s="2576"/>
      <c r="BB537" s="784"/>
      <c r="BC537" s="796"/>
      <c r="BD537" s="900"/>
      <c r="BE537" s="797"/>
    </row>
    <row r="538" spans="1:57" s="65" customFormat="1" hidden="1" outlineLevel="1" x14ac:dyDescent="0.25">
      <c r="A538" s="785"/>
      <c r="B538" s="177"/>
      <c r="C538" s="455"/>
      <c r="D538" s="2847"/>
      <c r="E538" s="2922"/>
      <c r="F538" s="2780" t="str">
        <f t="shared" si="62"/>
        <v>CAC - SEER 20 ROF: SF</v>
      </c>
      <c r="G538" s="2781"/>
      <c r="H538" s="2782"/>
      <c r="I538" s="2470"/>
      <c r="J538" s="2470"/>
      <c r="K538" s="910"/>
      <c r="L538" s="2795"/>
      <c r="M538" s="455"/>
      <c r="N538" s="2028"/>
      <c r="O538" s="455"/>
      <c r="P538" s="177"/>
      <c r="Q538" s="177"/>
      <c r="R538" s="177"/>
      <c r="S538" s="177"/>
      <c r="T538" s="177"/>
      <c r="U538" s="177"/>
      <c r="V538" s="2847"/>
      <c r="W538" s="2576"/>
      <c r="X538" s="2576"/>
      <c r="Y538" s="2576"/>
      <c r="Z538" s="908"/>
      <c r="AA538" s="2576"/>
      <c r="AB538" s="2576"/>
      <c r="AC538" s="2576"/>
      <c r="AD538" s="2576"/>
      <c r="AE538" s="2576"/>
      <c r="AF538" s="2576"/>
      <c r="AG538" s="2576"/>
      <c r="BB538" s="784"/>
      <c r="BC538" s="796"/>
      <c r="BD538" s="900"/>
      <c r="BE538" s="797"/>
    </row>
    <row r="539" spans="1:57" s="65" customFormat="1" hidden="1" outlineLevel="1" x14ac:dyDescent="0.25">
      <c r="A539" s="785"/>
      <c r="B539" s="177"/>
      <c r="C539" s="455"/>
      <c r="D539" s="2847"/>
      <c r="E539" s="2922"/>
      <c r="F539" s="2780" t="str">
        <f t="shared" si="62"/>
        <v>CAC - SEER 20 ER1: MF</v>
      </c>
      <c r="G539" s="2781"/>
      <c r="H539" s="2782"/>
      <c r="I539" s="2470"/>
      <c r="J539" s="2470">
        <v>8.33</v>
      </c>
      <c r="K539" s="910"/>
      <c r="L539" s="2795"/>
      <c r="M539" s="455"/>
      <c r="N539" s="2028"/>
      <c r="O539" s="455"/>
      <c r="P539" s="177"/>
      <c r="Q539" s="177"/>
      <c r="R539" s="177"/>
      <c r="S539" s="177"/>
      <c r="T539" s="177"/>
      <c r="U539" s="177"/>
      <c r="V539" s="2847"/>
      <c r="W539" s="2576"/>
      <c r="X539" s="908"/>
      <c r="Y539" s="2576"/>
      <c r="Z539" s="908">
        <v>8.33</v>
      </c>
      <c r="AA539" s="2576"/>
      <c r="AB539" s="2576"/>
      <c r="AC539" s="2576"/>
      <c r="AD539" s="2576"/>
      <c r="AE539" s="2576"/>
      <c r="AF539" s="2576"/>
      <c r="AG539" s="2576"/>
      <c r="BB539" s="784"/>
      <c r="BC539" s="796"/>
      <c r="BD539" s="900"/>
      <c r="BE539" s="797"/>
    </row>
    <row r="540" spans="1:57" s="65" customFormat="1" hidden="1" outlineLevel="1" x14ac:dyDescent="0.25">
      <c r="A540" s="785"/>
      <c r="B540" s="177"/>
      <c r="C540" s="455"/>
      <c r="D540" s="2847"/>
      <c r="E540" s="2922"/>
      <c r="F540" s="2780" t="str">
        <f t="shared" si="62"/>
        <v>CAC - SEER 20 ER2: MF</v>
      </c>
      <c r="G540" s="2781"/>
      <c r="H540" s="2782"/>
      <c r="I540" s="2470"/>
      <c r="J540" s="2470"/>
      <c r="K540" s="910"/>
      <c r="L540" s="2795"/>
      <c r="M540" s="455"/>
      <c r="N540" s="2028"/>
      <c r="O540" s="455"/>
      <c r="P540" s="177"/>
      <c r="Q540" s="177"/>
      <c r="R540" s="177"/>
      <c r="S540" s="177"/>
      <c r="T540" s="177"/>
      <c r="U540" s="177"/>
      <c r="V540" s="2847"/>
      <c r="W540" s="2576"/>
      <c r="X540" s="2576"/>
      <c r="Y540" s="2576"/>
      <c r="Z540" s="908"/>
      <c r="AA540" s="2576"/>
      <c r="AB540" s="2576"/>
      <c r="AC540" s="2576"/>
      <c r="AD540" s="2576"/>
      <c r="AE540" s="2576"/>
      <c r="AF540" s="2576"/>
      <c r="AG540" s="2576"/>
      <c r="BB540" s="784"/>
      <c r="BC540" s="796"/>
      <c r="BD540" s="900"/>
      <c r="BE540" s="797"/>
    </row>
    <row r="541" spans="1:57" s="65" customFormat="1" hidden="1" outlineLevel="1" x14ac:dyDescent="0.25">
      <c r="A541" s="785"/>
      <c r="B541" s="177"/>
      <c r="C541" s="455"/>
      <c r="D541" s="2847"/>
      <c r="E541" s="2922"/>
      <c r="F541" s="2780" t="str">
        <f t="shared" si="62"/>
        <v>CAC - SEER 20 ER1: MF_CompE</v>
      </c>
      <c r="G541" s="2781"/>
      <c r="H541" s="2782"/>
      <c r="I541" s="2470"/>
      <c r="J541" s="2470">
        <v>8.33</v>
      </c>
      <c r="K541" s="910"/>
      <c r="L541" s="2795"/>
      <c r="M541" s="455"/>
      <c r="N541" s="2028"/>
      <c r="O541" s="455"/>
      <c r="P541" s="177"/>
      <c r="Q541" s="177"/>
      <c r="R541" s="177"/>
      <c r="S541" s="177"/>
      <c r="T541" s="177"/>
      <c r="U541" s="177"/>
      <c r="V541" s="2847"/>
      <c r="W541" s="2576"/>
      <c r="X541" s="2576"/>
      <c r="Y541" s="2576"/>
      <c r="Z541" s="908">
        <v>8.33</v>
      </c>
      <c r="AA541" s="2576"/>
      <c r="AB541" s="2576"/>
      <c r="AC541" s="2576"/>
      <c r="AD541" s="2576"/>
      <c r="AE541" s="2576"/>
      <c r="AF541" s="2576"/>
      <c r="AG541" s="2576"/>
      <c r="BB541" s="784"/>
      <c r="BC541" s="796"/>
      <c r="BD541" s="900"/>
      <c r="BE541" s="797"/>
    </row>
    <row r="542" spans="1:57" s="65" customFormat="1" hidden="1" outlineLevel="1" x14ac:dyDescent="0.25">
      <c r="A542" s="785"/>
      <c r="B542" s="177"/>
      <c r="C542" s="455"/>
      <c r="D542" s="2847"/>
      <c r="E542" s="2922"/>
      <c r="F542" s="2780" t="str">
        <f t="shared" si="62"/>
        <v>CAC - SEER 20 ER2: MF_CompE</v>
      </c>
      <c r="G542" s="2781"/>
      <c r="H542" s="2782"/>
      <c r="I542" s="2470"/>
      <c r="J542" s="2470"/>
      <c r="K542" s="910"/>
      <c r="L542" s="2795"/>
      <c r="M542" s="455"/>
      <c r="N542" s="2028"/>
      <c r="O542" s="455"/>
      <c r="P542" s="177"/>
      <c r="Q542" s="177"/>
      <c r="R542" s="177"/>
      <c r="S542" s="177"/>
      <c r="T542" s="177"/>
      <c r="U542" s="177"/>
      <c r="V542" s="2847"/>
      <c r="W542" s="2576"/>
      <c r="X542" s="2576"/>
      <c r="Y542" s="2576"/>
      <c r="Z542" s="908"/>
      <c r="AA542" s="2576"/>
      <c r="AB542" s="2576"/>
      <c r="AC542" s="2576"/>
      <c r="AD542" s="2576"/>
      <c r="AE542" s="2576"/>
      <c r="AF542" s="2576"/>
      <c r="AG542" s="2576"/>
      <c r="BB542" s="784"/>
      <c r="BC542" s="796"/>
      <c r="BD542" s="900"/>
      <c r="BE542" s="797"/>
    </row>
    <row r="543" spans="1:57" s="65" customFormat="1" hidden="1" outlineLevel="1" x14ac:dyDescent="0.25">
      <c r="A543" s="785"/>
      <c r="B543" s="177"/>
      <c r="C543" s="455"/>
      <c r="D543" s="2847"/>
      <c r="E543" s="2922"/>
      <c r="F543" s="2780" t="str">
        <f t="shared" si="62"/>
        <v>CAC - SEER 20 ROF: MF</v>
      </c>
      <c r="G543" s="2781"/>
      <c r="H543" s="2782"/>
      <c r="I543" s="2470"/>
      <c r="J543" s="2470"/>
      <c r="K543" s="910"/>
      <c r="L543" s="2795"/>
      <c r="M543" s="455"/>
      <c r="N543" s="2028"/>
      <c r="O543" s="455"/>
      <c r="P543" s="177"/>
      <c r="Q543" s="177"/>
      <c r="R543" s="177"/>
      <c r="S543" s="177"/>
      <c r="T543" s="177"/>
      <c r="U543" s="177"/>
      <c r="V543" s="2847"/>
      <c r="W543" s="2576"/>
      <c r="X543" s="2576"/>
      <c r="Y543" s="2576"/>
      <c r="Z543" s="908"/>
      <c r="AA543" s="2576"/>
      <c r="AB543" s="2576"/>
      <c r="AC543" s="2576"/>
      <c r="AD543" s="2576"/>
      <c r="AE543" s="2576"/>
      <c r="AF543" s="2576"/>
      <c r="AG543" s="2576"/>
      <c r="BB543" s="784"/>
      <c r="BC543" s="796"/>
      <c r="BD543" s="900"/>
      <c r="BE543" s="797"/>
    </row>
    <row r="544" spans="1:57" s="65" customFormat="1" hidden="1" outlineLevel="1" x14ac:dyDescent="0.25">
      <c r="A544" s="785"/>
      <c r="B544" s="177"/>
      <c r="C544" s="455"/>
      <c r="D544" s="2847"/>
      <c r="E544" s="2922"/>
      <c r="F544" s="2780" t="str">
        <f t="shared" si="62"/>
        <v>CAC - SEER 20 ROF: MF_CompE</v>
      </c>
      <c r="G544" s="2781"/>
      <c r="H544" s="2782"/>
      <c r="I544" s="2470"/>
      <c r="J544" s="2470"/>
      <c r="K544" s="910"/>
      <c r="L544" s="2795"/>
      <c r="M544" s="455"/>
      <c r="N544" s="2028"/>
      <c r="O544" s="455"/>
      <c r="P544" s="177"/>
      <c r="Q544" s="177"/>
      <c r="R544" s="177"/>
      <c r="S544" s="177"/>
      <c r="T544" s="177"/>
      <c r="U544" s="177"/>
      <c r="V544" s="2847"/>
      <c r="W544" s="2576"/>
      <c r="X544" s="2576"/>
      <c r="Y544" s="2576"/>
      <c r="Z544" s="908"/>
      <c r="AA544" s="2576"/>
      <c r="AB544" s="2576"/>
      <c r="AC544" s="2576"/>
      <c r="AD544" s="2576"/>
      <c r="AE544" s="2576"/>
      <c r="AF544" s="2576"/>
      <c r="AG544" s="2576"/>
      <c r="BB544" s="784"/>
      <c r="BC544" s="796"/>
      <c r="BD544" s="900"/>
      <c r="BE544" s="797"/>
    </row>
    <row r="545" spans="1:57" s="65" customFormat="1" hidden="1" outlineLevel="1" x14ac:dyDescent="0.25">
      <c r="A545" s="785"/>
      <c r="B545" s="177"/>
      <c r="C545" s="455"/>
      <c r="D545" s="2847"/>
      <c r="E545" s="2922"/>
      <c r="F545" s="2780" t="str">
        <f t="shared" si="62"/>
        <v>CAC - SEER 21+ ER1: SF</v>
      </c>
      <c r="G545" s="2781"/>
      <c r="H545" s="2782"/>
      <c r="I545" s="2470"/>
      <c r="J545" s="2470">
        <v>8.33</v>
      </c>
      <c r="K545" s="910"/>
      <c r="L545" s="2795"/>
      <c r="M545" s="455"/>
      <c r="N545" s="2028"/>
      <c r="O545" s="455"/>
      <c r="P545" s="177"/>
      <c r="Q545" s="177"/>
      <c r="R545" s="177"/>
      <c r="S545" s="177"/>
      <c r="T545" s="177"/>
      <c r="U545" s="177"/>
      <c r="V545" s="2847"/>
      <c r="W545" s="2576"/>
      <c r="X545" s="908"/>
      <c r="Y545" s="2576"/>
      <c r="Z545" s="908">
        <v>8.33</v>
      </c>
      <c r="AA545" s="2576"/>
      <c r="AB545" s="2576"/>
      <c r="AC545" s="2576"/>
      <c r="AD545" s="2576"/>
      <c r="AE545" s="2576"/>
      <c r="AF545" s="2576"/>
      <c r="AG545" s="2576"/>
      <c r="BB545" s="784"/>
      <c r="BC545" s="796"/>
      <c r="BD545" s="900"/>
      <c r="BE545" s="797"/>
    </row>
    <row r="546" spans="1:57" s="65" customFormat="1" ht="14.45" hidden="1" customHeight="1" outlineLevel="1" x14ac:dyDescent="0.25">
      <c r="A546" s="785"/>
      <c r="B546" s="177"/>
      <c r="C546" s="455"/>
      <c r="D546" s="2847"/>
      <c r="E546" s="2922"/>
      <c r="F546" s="2780" t="str">
        <f t="shared" si="62"/>
        <v>CAC - SEER 21+ ER2: SF</v>
      </c>
      <c r="G546" s="2781"/>
      <c r="H546" s="2782"/>
      <c r="I546" s="2470"/>
      <c r="J546" s="2470"/>
      <c r="K546" s="910"/>
      <c r="L546" s="2795"/>
      <c r="M546" s="455"/>
      <c r="N546" s="2028"/>
      <c r="O546" s="455"/>
      <c r="P546" s="177"/>
      <c r="Q546" s="177"/>
      <c r="R546" s="177"/>
      <c r="S546" s="177"/>
      <c r="T546" s="177"/>
      <c r="U546" s="177"/>
      <c r="V546" s="2847"/>
      <c r="W546" s="2576"/>
      <c r="X546" s="2576"/>
      <c r="Y546" s="2576"/>
      <c r="Z546" s="908"/>
      <c r="AA546" s="2576"/>
      <c r="AB546" s="2576"/>
      <c r="AC546" s="2576"/>
      <c r="AD546" s="2576"/>
      <c r="AE546" s="2576"/>
      <c r="AF546" s="2576"/>
      <c r="AG546" s="2576"/>
      <c r="BB546" s="784"/>
      <c r="BC546" s="796"/>
      <c r="BD546" s="900"/>
      <c r="BE546" s="797"/>
    </row>
    <row r="547" spans="1:57" s="65" customFormat="1" ht="14.45" hidden="1" customHeight="1" outlineLevel="1" x14ac:dyDescent="0.25">
      <c r="A547" s="785"/>
      <c r="B547" s="177"/>
      <c r="C547" s="455"/>
      <c r="D547" s="2847"/>
      <c r="E547" s="2922"/>
      <c r="F547" s="2780" t="str">
        <f t="shared" si="62"/>
        <v>CAC - SEER 21+ ROF: SF</v>
      </c>
      <c r="G547" s="2781"/>
      <c r="H547" s="2782"/>
      <c r="I547" s="2470"/>
      <c r="J547" s="2470"/>
      <c r="K547" s="910"/>
      <c r="L547" s="2795"/>
      <c r="M547" s="455"/>
      <c r="N547" s="2028"/>
      <c r="O547" s="455"/>
      <c r="P547" s="177"/>
      <c r="Q547" s="177"/>
      <c r="R547" s="177"/>
      <c r="S547" s="177"/>
      <c r="T547" s="177"/>
      <c r="U547" s="177"/>
      <c r="V547" s="2847"/>
      <c r="W547" s="2576"/>
      <c r="X547" s="2576"/>
      <c r="Y547" s="2576"/>
      <c r="Z547" s="908"/>
      <c r="AA547" s="2576"/>
      <c r="AB547" s="2576"/>
      <c r="AC547" s="2576"/>
      <c r="AD547" s="2576"/>
      <c r="AE547" s="2576"/>
      <c r="AF547" s="2576"/>
      <c r="AG547" s="2576"/>
      <c r="BB547" s="784"/>
      <c r="BC547" s="796"/>
      <c r="BD547" s="900"/>
      <c r="BE547" s="797"/>
    </row>
    <row r="548" spans="1:57" s="65" customFormat="1" ht="14.45" hidden="1" customHeight="1" outlineLevel="1" x14ac:dyDescent="0.25">
      <c r="A548" s="785"/>
      <c r="B548" s="177"/>
      <c r="C548" s="455"/>
      <c r="D548" s="2847"/>
      <c r="E548" s="2922"/>
      <c r="F548" s="2780" t="str">
        <f t="shared" si="62"/>
        <v>CAC - SEER 21+ ER1: MF</v>
      </c>
      <c r="G548" s="2781"/>
      <c r="H548" s="2782"/>
      <c r="I548" s="2470"/>
      <c r="J548" s="2470">
        <v>8.33</v>
      </c>
      <c r="K548" s="910"/>
      <c r="L548" s="2795"/>
      <c r="M548" s="455"/>
      <c r="N548" s="2028"/>
      <c r="O548" s="455"/>
      <c r="P548" s="177"/>
      <c r="Q548" s="177"/>
      <c r="R548" s="177"/>
      <c r="S548" s="177"/>
      <c r="T548" s="177"/>
      <c r="U548" s="177"/>
      <c r="V548" s="2847"/>
      <c r="W548" s="2576"/>
      <c r="X548" s="908"/>
      <c r="Y548" s="2576"/>
      <c r="Z548" s="908">
        <v>8.33</v>
      </c>
      <c r="AA548" s="2576"/>
      <c r="AB548" s="2576"/>
      <c r="AC548" s="2576"/>
      <c r="AD548" s="2576"/>
      <c r="AE548" s="2576"/>
      <c r="AF548" s="2576"/>
      <c r="AG548" s="2576"/>
      <c r="BB548" s="784"/>
      <c r="BC548" s="796"/>
      <c r="BD548" s="900"/>
      <c r="BE548" s="797"/>
    </row>
    <row r="549" spans="1:57" s="65" customFormat="1" ht="14.45" hidden="1" customHeight="1" outlineLevel="1" x14ac:dyDescent="0.25">
      <c r="A549" s="785"/>
      <c r="B549" s="177"/>
      <c r="C549" s="455"/>
      <c r="D549" s="2847"/>
      <c r="E549" s="2922"/>
      <c r="F549" s="2780" t="str">
        <f t="shared" si="62"/>
        <v>CAC - SEER 21+ ER2: MF</v>
      </c>
      <c r="G549" s="2781"/>
      <c r="H549" s="2782"/>
      <c r="I549" s="2470"/>
      <c r="J549" s="2470"/>
      <c r="K549" s="910"/>
      <c r="L549" s="2795"/>
      <c r="M549" s="455"/>
      <c r="N549" s="2028"/>
      <c r="O549" s="455"/>
      <c r="P549" s="177"/>
      <c r="Q549" s="177"/>
      <c r="R549" s="177"/>
      <c r="S549" s="177"/>
      <c r="T549" s="177"/>
      <c r="U549" s="177"/>
      <c r="V549" s="2847"/>
      <c r="W549" s="2576"/>
      <c r="X549" s="2576"/>
      <c r="Y549" s="2576"/>
      <c r="Z549" s="908"/>
      <c r="AA549" s="2576"/>
      <c r="AB549" s="2576"/>
      <c r="AC549" s="2576"/>
      <c r="AD549" s="2576"/>
      <c r="AE549" s="2576"/>
      <c r="AF549" s="2576"/>
      <c r="AG549" s="2576"/>
      <c r="BB549" s="784"/>
      <c r="BC549" s="796"/>
      <c r="BD549" s="900"/>
      <c r="BE549" s="797"/>
    </row>
    <row r="550" spans="1:57" s="65" customFormat="1" ht="14.45" hidden="1" customHeight="1" outlineLevel="1" x14ac:dyDescent="0.25">
      <c r="A550" s="785"/>
      <c r="B550" s="177"/>
      <c r="C550" s="455"/>
      <c r="D550" s="2847"/>
      <c r="E550" s="2922"/>
      <c r="F550" s="2780" t="str">
        <f t="shared" si="62"/>
        <v>CAC - SEER 21+ ER1: MF_CompE</v>
      </c>
      <c r="G550" s="2781"/>
      <c r="H550" s="2782"/>
      <c r="I550" s="921"/>
      <c r="J550" s="2470">
        <v>8.33</v>
      </c>
      <c r="K550" s="922"/>
      <c r="L550" s="2795"/>
      <c r="M550" s="455"/>
      <c r="N550" s="2028"/>
      <c r="O550" s="455"/>
      <c r="P550" s="177"/>
      <c r="Q550" s="177"/>
      <c r="R550" s="177"/>
      <c r="S550" s="177"/>
      <c r="T550" s="177"/>
      <c r="U550" s="177"/>
      <c r="V550" s="2847"/>
      <c r="W550" s="2576"/>
      <c r="X550" s="921"/>
      <c r="Y550" s="921"/>
      <c r="Z550" s="920">
        <v>8.33</v>
      </c>
      <c r="AA550" s="921"/>
      <c r="AB550" s="921"/>
      <c r="AC550" s="921"/>
      <c r="AD550" s="921"/>
      <c r="AE550" s="921"/>
      <c r="AF550" s="921"/>
      <c r="AG550" s="921"/>
      <c r="BB550" s="784"/>
      <c r="BC550" s="796"/>
      <c r="BD550" s="900"/>
      <c r="BE550" s="797"/>
    </row>
    <row r="551" spans="1:57" s="65" customFormat="1" ht="14.45" hidden="1" customHeight="1" outlineLevel="1" x14ac:dyDescent="0.25">
      <c r="A551" s="785"/>
      <c r="B551" s="177"/>
      <c r="C551" s="455"/>
      <c r="D551" s="2847"/>
      <c r="E551" s="2922"/>
      <c r="F551" s="2780" t="str">
        <f t="shared" si="62"/>
        <v>CAC - SEER 21+ ER2: MF_CompE</v>
      </c>
      <c r="G551" s="2781"/>
      <c r="H551" s="2782"/>
      <c r="I551" s="921"/>
      <c r="J551" s="921"/>
      <c r="K551" s="922"/>
      <c r="L551" s="2795"/>
      <c r="M551" s="455"/>
      <c r="N551" s="2028"/>
      <c r="O551" s="455"/>
      <c r="P551" s="177"/>
      <c r="Q551" s="177"/>
      <c r="R551" s="177"/>
      <c r="S551" s="177"/>
      <c r="T551" s="177"/>
      <c r="U551" s="177"/>
      <c r="V551" s="2847"/>
      <c r="W551" s="2576"/>
      <c r="X551" s="921"/>
      <c r="Y551" s="921"/>
      <c r="Z551" s="920"/>
      <c r="AA551" s="921"/>
      <c r="AB551" s="921"/>
      <c r="AC551" s="921"/>
      <c r="AD551" s="921"/>
      <c r="AE551" s="921"/>
      <c r="AF551" s="921"/>
      <c r="AG551" s="921"/>
      <c r="BB551" s="784"/>
      <c r="BC551" s="796"/>
      <c r="BD551" s="900"/>
      <c r="BE551" s="797"/>
    </row>
    <row r="552" spans="1:57" s="65" customFormat="1" ht="15" hidden="1" customHeight="1" outlineLevel="1" x14ac:dyDescent="0.25">
      <c r="A552" s="785"/>
      <c r="B552" s="177"/>
      <c r="C552" s="455"/>
      <c r="D552" s="2847"/>
      <c r="E552" s="2922"/>
      <c r="F552" s="2780" t="str">
        <f t="shared" si="62"/>
        <v>CAC - SEER 21+ ROF: MF</v>
      </c>
      <c r="G552" s="2781"/>
      <c r="H552" s="2782"/>
      <c r="I552" s="2470"/>
      <c r="J552" s="2470"/>
      <c r="K552" s="910"/>
      <c r="L552" s="2795"/>
      <c r="M552" s="455"/>
      <c r="N552" s="2028"/>
      <c r="O552" s="455"/>
      <c r="P552" s="177"/>
      <c r="Q552" s="177"/>
      <c r="R552" s="177"/>
      <c r="S552" s="177"/>
      <c r="T552" s="177"/>
      <c r="U552" s="177"/>
      <c r="V552" s="2847"/>
      <c r="W552" s="2576"/>
      <c r="X552" s="2576"/>
      <c r="Y552" s="2576"/>
      <c r="Z552" s="908"/>
      <c r="AA552" s="2576"/>
      <c r="AB552" s="2576"/>
      <c r="AC552" s="2576"/>
      <c r="AD552" s="2576"/>
      <c r="AE552" s="2576"/>
      <c r="AF552" s="2576"/>
      <c r="AG552" s="2576"/>
      <c r="BB552" s="784"/>
      <c r="BC552" s="796"/>
      <c r="BD552" s="900"/>
      <c r="BE552" s="797"/>
    </row>
    <row r="553" spans="1:57" s="65" customFormat="1" ht="15.75" hidden="1" outlineLevel="1" thickBot="1" x14ac:dyDescent="0.3">
      <c r="A553" s="785"/>
      <c r="B553" s="177"/>
      <c r="C553" s="455"/>
      <c r="D553" s="2848"/>
      <c r="E553" s="2923"/>
      <c r="F553" s="2780" t="str">
        <f t="shared" si="62"/>
        <v>CAC - SEER 21+ ROF: MF_CompE</v>
      </c>
      <c r="G553" s="2781"/>
      <c r="H553" s="2782"/>
      <c r="I553" s="924"/>
      <c r="J553" s="924"/>
      <c r="K553" s="936"/>
      <c r="L553" s="2796"/>
      <c r="M553" s="455"/>
      <c r="N553" s="2028"/>
      <c r="O553" s="455"/>
      <c r="P553" s="177"/>
      <c r="Q553" s="177"/>
      <c r="R553" s="177"/>
      <c r="S553" s="177"/>
      <c r="T553" s="177"/>
      <c r="U553" s="177"/>
      <c r="V553" s="2848"/>
      <c r="W553" s="2576"/>
      <c r="X553" s="2578"/>
      <c r="Y553" s="2578"/>
      <c r="Z553" s="1021"/>
      <c r="AA553" s="2578"/>
      <c r="AB553" s="2578"/>
      <c r="AC553" s="2578"/>
      <c r="AD553" s="2578"/>
      <c r="AE553" s="2578"/>
      <c r="AF553" s="2578"/>
      <c r="AG553" s="2578"/>
      <c r="BB553" s="784"/>
      <c r="BC553" s="796"/>
      <c r="BD553" s="900"/>
      <c r="BE553" s="797"/>
    </row>
    <row r="554" spans="1:57" s="614" customFormat="1" ht="14.45" hidden="1" customHeight="1" outlineLevel="1" x14ac:dyDescent="0.25">
      <c r="A554" s="2038"/>
      <c r="B554" s="493"/>
      <c r="C554" s="455"/>
      <c r="D554" s="2805" t="s">
        <v>775</v>
      </c>
      <c r="E554" s="2855" t="s">
        <v>1296</v>
      </c>
      <c r="F554" s="2776" t="str">
        <f t="shared" si="62"/>
        <v>CAC - SEER 14 ER1: SF</v>
      </c>
      <c r="G554" s="2777"/>
      <c r="H554" s="2778"/>
      <c r="I554" s="946"/>
      <c r="J554" s="947">
        <v>1</v>
      </c>
      <c r="K554" s="948"/>
      <c r="L554" s="949"/>
      <c r="M554" s="455"/>
      <c r="N554" s="2028"/>
      <c r="O554" s="455"/>
      <c r="P554" s="493"/>
      <c r="Q554" s="493"/>
      <c r="R554" s="493"/>
      <c r="S554" s="493"/>
      <c r="T554" s="493"/>
      <c r="U554" s="493"/>
      <c r="V554" s="2867" t="str">
        <f>D554</f>
        <v>HF</v>
      </c>
      <c r="W554" s="947">
        <v>1</v>
      </c>
      <c r="X554" s="947">
        <f t="shared" ref="X554:X556" si="63">W554</f>
        <v>1</v>
      </c>
      <c r="Y554" s="947">
        <v>1</v>
      </c>
      <c r="Z554" s="947"/>
      <c r="AA554" s="947"/>
      <c r="AB554" s="947"/>
      <c r="AC554" s="947"/>
      <c r="AD554" s="947"/>
      <c r="AE554" s="947"/>
      <c r="AF554" s="947"/>
      <c r="AG554" s="947"/>
      <c r="BB554" s="950"/>
      <c r="BC554" s="796"/>
      <c r="BD554" s="900"/>
      <c r="BE554" s="797"/>
    </row>
    <row r="555" spans="1:57" s="614" customFormat="1" ht="14.45" hidden="1" customHeight="1" outlineLevel="1" x14ac:dyDescent="0.25">
      <c r="A555" s="2038"/>
      <c r="B555" s="493"/>
      <c r="C555" s="455"/>
      <c r="D555" s="2806"/>
      <c r="E555" s="2856"/>
      <c r="F555" s="2783" t="str">
        <f t="shared" si="62"/>
        <v>CAC - SEER 14 ER2: SF</v>
      </c>
      <c r="G555" s="2784"/>
      <c r="H555" s="2785"/>
      <c r="I555" s="951"/>
      <c r="J555" s="952">
        <v>1</v>
      </c>
      <c r="K555" s="953"/>
      <c r="L555" s="954"/>
      <c r="M555" s="455"/>
      <c r="N555" s="2028"/>
      <c r="O555" s="455"/>
      <c r="P555" s="493"/>
      <c r="Q555" s="493"/>
      <c r="R555" s="493"/>
      <c r="S555" s="493"/>
      <c r="T555" s="493"/>
      <c r="U555" s="493"/>
      <c r="V555" s="2866"/>
      <c r="W555" s="952">
        <v>1</v>
      </c>
      <c r="X555" s="952">
        <f t="shared" si="63"/>
        <v>1</v>
      </c>
      <c r="Y555" s="952">
        <v>1</v>
      </c>
      <c r="Z555" s="952"/>
      <c r="AA555" s="952"/>
      <c r="AB555" s="952"/>
      <c r="AC555" s="952"/>
      <c r="AD555" s="952"/>
      <c r="AE555" s="952"/>
      <c r="AF555" s="952"/>
      <c r="AG555" s="952"/>
      <c r="BB555" s="950"/>
      <c r="BC555" s="796"/>
      <c r="BD555" s="900"/>
      <c r="BE555" s="797"/>
    </row>
    <row r="556" spans="1:57" s="614" customFormat="1" ht="14.45" hidden="1" customHeight="1" outlineLevel="1" x14ac:dyDescent="0.25">
      <c r="A556" s="2038"/>
      <c r="B556" s="493"/>
      <c r="C556" s="455"/>
      <c r="D556" s="2806"/>
      <c r="E556" s="2856"/>
      <c r="F556" s="2783" t="str">
        <f t="shared" si="62"/>
        <v>CAC - SEER 14 ROF: SF</v>
      </c>
      <c r="G556" s="2784"/>
      <c r="H556" s="2785"/>
      <c r="I556" s="951"/>
      <c r="J556" s="952">
        <v>1</v>
      </c>
      <c r="K556" s="953"/>
      <c r="L556" s="954"/>
      <c r="M556" s="455"/>
      <c r="N556" s="2028"/>
      <c r="O556" s="455"/>
      <c r="P556" s="493"/>
      <c r="Q556" s="493"/>
      <c r="R556" s="493"/>
      <c r="S556" s="493"/>
      <c r="T556" s="493"/>
      <c r="U556" s="493"/>
      <c r="V556" s="2866"/>
      <c r="W556" s="952">
        <v>1</v>
      </c>
      <c r="X556" s="952">
        <f t="shared" si="63"/>
        <v>1</v>
      </c>
      <c r="Y556" s="952">
        <v>1</v>
      </c>
      <c r="Z556" s="952"/>
      <c r="AA556" s="952"/>
      <c r="AB556" s="952"/>
      <c r="AC556" s="952"/>
      <c r="AD556" s="952"/>
      <c r="AE556" s="952"/>
      <c r="AF556" s="952"/>
      <c r="AG556" s="952"/>
      <c r="BB556" s="950"/>
      <c r="BC556" s="796"/>
      <c r="BD556" s="900"/>
      <c r="BE556" s="797"/>
    </row>
    <row r="557" spans="1:57" s="614" customFormat="1" ht="14.45" hidden="1" customHeight="1" outlineLevel="1" x14ac:dyDescent="0.25">
      <c r="A557" s="2038"/>
      <c r="B557" s="493"/>
      <c r="C557" s="455"/>
      <c r="D557" s="2806"/>
      <c r="E557" s="2856"/>
      <c r="F557" s="2757" t="str">
        <f t="shared" si="62"/>
        <v>CAC - SEER 14 ER1: MF</v>
      </c>
      <c r="G557" s="2758"/>
      <c r="H557" s="2759"/>
      <c r="I557" s="951"/>
      <c r="J557" s="952">
        <v>1</v>
      </c>
      <c r="K557" s="953"/>
      <c r="L557" s="954"/>
      <c r="M557" s="455"/>
      <c r="N557" s="2028"/>
      <c r="O557" s="455"/>
      <c r="P557" s="493"/>
      <c r="Q557" s="493"/>
      <c r="R557" s="493"/>
      <c r="S557" s="493"/>
      <c r="T557" s="493"/>
      <c r="U557" s="493"/>
      <c r="V557" s="2866"/>
      <c r="W557" s="952">
        <v>0.65</v>
      </c>
      <c r="X557" s="955">
        <v>1</v>
      </c>
      <c r="Y557" s="952">
        <v>1</v>
      </c>
      <c r="Z557" s="952"/>
      <c r="AA557" s="952"/>
      <c r="AB557" s="952"/>
      <c r="AC557" s="952"/>
      <c r="AD557" s="952"/>
      <c r="AE557" s="952"/>
      <c r="AF557" s="952"/>
      <c r="AG557" s="952"/>
      <c r="BB557" s="950"/>
      <c r="BC557" s="796"/>
      <c r="BD557" s="900"/>
      <c r="BE557" s="797"/>
    </row>
    <row r="558" spans="1:57" s="614" customFormat="1" ht="14.45" hidden="1" customHeight="1" outlineLevel="1" x14ac:dyDescent="0.25">
      <c r="A558" s="2038"/>
      <c r="B558" s="493"/>
      <c r="C558" s="455"/>
      <c r="D558" s="2806"/>
      <c r="E558" s="2856"/>
      <c r="F558" s="2757" t="str">
        <f t="shared" si="62"/>
        <v>CAC - SEER 14 ER2: MF</v>
      </c>
      <c r="G558" s="2758"/>
      <c r="H558" s="2759"/>
      <c r="I558" s="951"/>
      <c r="J558" s="952">
        <v>1</v>
      </c>
      <c r="K558" s="953"/>
      <c r="L558" s="954"/>
      <c r="M558" s="455"/>
      <c r="N558" s="2028"/>
      <c r="O558" s="455"/>
      <c r="P558" s="493"/>
      <c r="Q558" s="493"/>
      <c r="R558" s="493"/>
      <c r="S558" s="493"/>
      <c r="T558" s="493"/>
      <c r="U558" s="493"/>
      <c r="V558" s="2866"/>
      <c r="W558" s="952">
        <v>0.65</v>
      </c>
      <c r="X558" s="955">
        <v>1</v>
      </c>
      <c r="Y558" s="952">
        <v>1</v>
      </c>
      <c r="Z558" s="952"/>
      <c r="AA558" s="952"/>
      <c r="AB558" s="952"/>
      <c r="AC558" s="952"/>
      <c r="AD558" s="952"/>
      <c r="AE558" s="952"/>
      <c r="AF558" s="952"/>
      <c r="AG558" s="952"/>
      <c r="BB558" s="950"/>
      <c r="BC558" s="796"/>
      <c r="BD558" s="900"/>
      <c r="BE558" s="797"/>
    </row>
    <row r="559" spans="1:57" s="614" customFormat="1" ht="14.45" hidden="1" customHeight="1" outlineLevel="1" x14ac:dyDescent="0.25">
      <c r="A559" s="2038"/>
      <c r="B559" s="493"/>
      <c r="C559" s="455"/>
      <c r="D559" s="2806"/>
      <c r="E559" s="2856"/>
      <c r="F559" s="2757" t="str">
        <f t="shared" si="62"/>
        <v>CAC - SEER 14 ER1: MF_CompE</v>
      </c>
      <c r="G559" s="2758"/>
      <c r="H559" s="2759"/>
      <c r="I559" s="951"/>
      <c r="J559" s="952">
        <v>1</v>
      </c>
      <c r="K559" s="953"/>
      <c r="L559" s="954"/>
      <c r="M559" s="455"/>
      <c r="N559" s="2028"/>
      <c r="O559" s="455"/>
      <c r="P559" s="493"/>
      <c r="Q559" s="493"/>
      <c r="R559" s="493"/>
      <c r="S559" s="493"/>
      <c r="T559" s="493"/>
      <c r="U559" s="493"/>
      <c r="V559" s="2866"/>
      <c r="W559" s="952"/>
      <c r="X559" s="955"/>
      <c r="Y559" s="952">
        <v>1</v>
      </c>
      <c r="Z559" s="952"/>
      <c r="AA559" s="952"/>
      <c r="AB559" s="952"/>
      <c r="AC559" s="952"/>
      <c r="AD559" s="952"/>
      <c r="AE559" s="952"/>
      <c r="AF559" s="952"/>
      <c r="AG559" s="952"/>
      <c r="BB559" s="950"/>
      <c r="BC559" s="796"/>
      <c r="BD559" s="900"/>
      <c r="BE559" s="797"/>
    </row>
    <row r="560" spans="1:57" s="614" customFormat="1" ht="14.45" hidden="1" customHeight="1" outlineLevel="1" x14ac:dyDescent="0.25">
      <c r="A560" s="2038"/>
      <c r="B560" s="493"/>
      <c r="C560" s="455"/>
      <c r="D560" s="2806"/>
      <c r="E560" s="2856"/>
      <c r="F560" s="2757" t="str">
        <f t="shared" si="62"/>
        <v>CAC - SEER 14 ER2: MF_CompE</v>
      </c>
      <c r="G560" s="2758"/>
      <c r="H560" s="2759"/>
      <c r="I560" s="951"/>
      <c r="J560" s="952">
        <v>1</v>
      </c>
      <c r="K560" s="953"/>
      <c r="L560" s="954"/>
      <c r="M560" s="455"/>
      <c r="N560" s="2028"/>
      <c r="O560" s="455"/>
      <c r="P560" s="493"/>
      <c r="Q560" s="493"/>
      <c r="R560" s="493"/>
      <c r="S560" s="493"/>
      <c r="T560" s="493"/>
      <c r="U560" s="493"/>
      <c r="V560" s="2866"/>
      <c r="W560" s="952"/>
      <c r="X560" s="955"/>
      <c r="Y560" s="952">
        <v>1</v>
      </c>
      <c r="Z560" s="952"/>
      <c r="AA560" s="952"/>
      <c r="AB560" s="952"/>
      <c r="AC560" s="952"/>
      <c r="AD560" s="952"/>
      <c r="AE560" s="952"/>
      <c r="AF560" s="952"/>
      <c r="AG560" s="952"/>
      <c r="BB560" s="950"/>
      <c r="BC560" s="796"/>
      <c r="BD560" s="900"/>
      <c r="BE560" s="797"/>
    </row>
    <row r="561" spans="1:57" s="614" customFormat="1" ht="14.45" hidden="1" customHeight="1" outlineLevel="1" x14ac:dyDescent="0.25">
      <c r="A561" s="2038"/>
      <c r="B561" s="493"/>
      <c r="C561" s="455"/>
      <c r="D561" s="2806"/>
      <c r="E561" s="2856"/>
      <c r="F561" s="2757" t="str">
        <f t="shared" si="62"/>
        <v>CAC - SEER 14 ROF: MF</v>
      </c>
      <c r="G561" s="2758"/>
      <c r="H561" s="2759"/>
      <c r="I561" s="951"/>
      <c r="J561" s="952">
        <v>1</v>
      </c>
      <c r="K561" s="953"/>
      <c r="L561" s="954"/>
      <c r="M561" s="455"/>
      <c r="N561" s="2028"/>
      <c r="O561" s="455"/>
      <c r="P561" s="493"/>
      <c r="Q561" s="493"/>
      <c r="R561" s="493"/>
      <c r="S561" s="493"/>
      <c r="T561" s="493"/>
      <c r="U561" s="493"/>
      <c r="V561" s="2866"/>
      <c r="W561" s="952">
        <v>0.65</v>
      </c>
      <c r="X561" s="955">
        <v>1</v>
      </c>
      <c r="Y561" s="952">
        <v>1</v>
      </c>
      <c r="Z561" s="952"/>
      <c r="AA561" s="952"/>
      <c r="AB561" s="952"/>
      <c r="AC561" s="952"/>
      <c r="AD561" s="952"/>
      <c r="AE561" s="952"/>
      <c r="AF561" s="952"/>
      <c r="AG561" s="952"/>
      <c r="BB561" s="950"/>
      <c r="BC561" s="796"/>
      <c r="BD561" s="900"/>
      <c r="BE561" s="797"/>
    </row>
    <row r="562" spans="1:57" s="614" customFormat="1" ht="14.45" hidden="1" customHeight="1" outlineLevel="1" x14ac:dyDescent="0.25">
      <c r="A562" s="2038"/>
      <c r="B562" s="493"/>
      <c r="C562" s="455"/>
      <c r="D562" s="2806"/>
      <c r="E562" s="2856"/>
      <c r="F562" s="2757" t="str">
        <f t="shared" si="62"/>
        <v>CAC - SEER 14 ROF: MF_CompE</v>
      </c>
      <c r="G562" s="2758"/>
      <c r="H562" s="2759"/>
      <c r="I562" s="951"/>
      <c r="J562" s="952">
        <v>1</v>
      </c>
      <c r="K562" s="953"/>
      <c r="L562" s="954"/>
      <c r="M562" s="455"/>
      <c r="N562" s="2028"/>
      <c r="O562" s="455"/>
      <c r="P562" s="493"/>
      <c r="Q562" s="493"/>
      <c r="R562" s="493"/>
      <c r="S562" s="493"/>
      <c r="T562" s="493"/>
      <c r="U562" s="493"/>
      <c r="V562" s="2866"/>
      <c r="W562" s="952"/>
      <c r="X562" s="955"/>
      <c r="Y562" s="952">
        <v>1</v>
      </c>
      <c r="Z562" s="952"/>
      <c r="AA562" s="952"/>
      <c r="AB562" s="952"/>
      <c r="AC562" s="952"/>
      <c r="AD562" s="952"/>
      <c r="AE562" s="952"/>
      <c r="AF562" s="952"/>
      <c r="AG562" s="952"/>
      <c r="BB562" s="950"/>
      <c r="BC562" s="796"/>
      <c r="BD562" s="900"/>
      <c r="BE562" s="797"/>
    </row>
    <row r="563" spans="1:57" s="614" customFormat="1" ht="14.45" hidden="1" customHeight="1" outlineLevel="1" x14ac:dyDescent="0.25">
      <c r="A563" s="2038"/>
      <c r="B563" s="493"/>
      <c r="C563" s="455"/>
      <c r="D563" s="2806"/>
      <c r="E563" s="2856"/>
      <c r="F563" s="2757" t="str">
        <f t="shared" si="62"/>
        <v>CAC - SEER 15 ER1: SF</v>
      </c>
      <c r="G563" s="2758"/>
      <c r="H563" s="2759"/>
      <c r="I563" s="951"/>
      <c r="J563" s="952">
        <v>1</v>
      </c>
      <c r="K563" s="953"/>
      <c r="L563" s="954"/>
      <c r="M563" s="455"/>
      <c r="N563" s="2028"/>
      <c r="O563" s="455"/>
      <c r="P563" s="493"/>
      <c r="Q563" s="493"/>
      <c r="R563" s="493"/>
      <c r="S563" s="493"/>
      <c r="T563" s="493"/>
      <c r="U563" s="493"/>
      <c r="V563" s="2866"/>
      <c r="W563" s="952">
        <v>1</v>
      </c>
      <c r="X563" s="952">
        <f t="shared" ref="X563:X565" si="64">W563</f>
        <v>1</v>
      </c>
      <c r="Y563" s="952">
        <v>1</v>
      </c>
      <c r="Z563" s="952"/>
      <c r="AA563" s="952"/>
      <c r="AB563" s="952"/>
      <c r="AC563" s="952"/>
      <c r="AD563" s="952"/>
      <c r="AE563" s="952"/>
      <c r="AF563" s="952"/>
      <c r="AG563" s="952"/>
      <c r="BB563" s="950"/>
      <c r="BC563" s="796"/>
      <c r="BD563" s="900"/>
      <c r="BE563" s="797"/>
    </row>
    <row r="564" spans="1:57" s="614" customFormat="1" ht="14.45" hidden="1" customHeight="1" outlineLevel="1" x14ac:dyDescent="0.25">
      <c r="A564" s="2038"/>
      <c r="B564" s="493"/>
      <c r="C564" s="455"/>
      <c r="D564" s="2806"/>
      <c r="E564" s="2856"/>
      <c r="F564" s="2757" t="str">
        <f t="shared" si="62"/>
        <v>CAC - SEER 15 ER2: SF</v>
      </c>
      <c r="G564" s="2758"/>
      <c r="H564" s="2759"/>
      <c r="I564" s="951"/>
      <c r="J564" s="952">
        <v>1</v>
      </c>
      <c r="K564" s="953"/>
      <c r="L564" s="954"/>
      <c r="M564" s="455"/>
      <c r="N564" s="2028"/>
      <c r="O564" s="455"/>
      <c r="P564" s="493"/>
      <c r="Q564" s="493"/>
      <c r="R564" s="493"/>
      <c r="S564" s="493"/>
      <c r="T564" s="493"/>
      <c r="U564" s="493"/>
      <c r="V564" s="2866"/>
      <c r="W564" s="952">
        <v>1</v>
      </c>
      <c r="X564" s="952">
        <f t="shared" si="64"/>
        <v>1</v>
      </c>
      <c r="Y564" s="952">
        <v>1</v>
      </c>
      <c r="Z564" s="952"/>
      <c r="AA564" s="952"/>
      <c r="AB564" s="952"/>
      <c r="AC564" s="952"/>
      <c r="AD564" s="952"/>
      <c r="AE564" s="952"/>
      <c r="AF564" s="952"/>
      <c r="AG564" s="952"/>
      <c r="BB564" s="950"/>
      <c r="BC564" s="796"/>
      <c r="BD564" s="900"/>
      <c r="BE564" s="797"/>
    </row>
    <row r="565" spans="1:57" s="614" customFormat="1" ht="14.45" hidden="1" customHeight="1" outlineLevel="1" x14ac:dyDescent="0.25">
      <c r="A565" s="2038"/>
      <c r="B565" s="493"/>
      <c r="C565" s="455"/>
      <c r="D565" s="2806"/>
      <c r="E565" s="2856"/>
      <c r="F565" s="2757" t="str">
        <f t="shared" si="62"/>
        <v>CAC - SEER 15 ROF: SF</v>
      </c>
      <c r="G565" s="2758"/>
      <c r="H565" s="2759"/>
      <c r="I565" s="951"/>
      <c r="J565" s="952">
        <v>1</v>
      </c>
      <c r="K565" s="953"/>
      <c r="L565" s="954"/>
      <c r="M565" s="455"/>
      <c r="N565" s="2028"/>
      <c r="O565" s="455"/>
      <c r="P565" s="493"/>
      <c r="Q565" s="493"/>
      <c r="R565" s="493"/>
      <c r="S565" s="493"/>
      <c r="T565" s="493"/>
      <c r="U565" s="493"/>
      <c r="V565" s="2866"/>
      <c r="W565" s="952">
        <v>1</v>
      </c>
      <c r="X565" s="952">
        <f t="shared" si="64"/>
        <v>1</v>
      </c>
      <c r="Y565" s="952">
        <v>1</v>
      </c>
      <c r="Z565" s="952"/>
      <c r="AA565" s="952"/>
      <c r="AB565" s="952"/>
      <c r="AC565" s="952"/>
      <c r="AD565" s="952"/>
      <c r="AE565" s="952"/>
      <c r="AF565" s="952"/>
      <c r="AG565" s="952"/>
      <c r="BB565" s="950"/>
      <c r="BC565" s="796"/>
      <c r="BD565" s="900"/>
      <c r="BE565" s="797"/>
    </row>
    <row r="566" spans="1:57" s="614" customFormat="1" ht="14.45" hidden="1" customHeight="1" outlineLevel="1" x14ac:dyDescent="0.25">
      <c r="A566" s="2038"/>
      <c r="B566" s="493"/>
      <c r="C566" s="455"/>
      <c r="D566" s="2806"/>
      <c r="E566" s="2856"/>
      <c r="F566" s="2757" t="str">
        <f t="shared" si="62"/>
        <v>CAC - SEER 15 ER1: MF</v>
      </c>
      <c r="G566" s="2758"/>
      <c r="H566" s="2759"/>
      <c r="I566" s="951"/>
      <c r="J566" s="952">
        <v>1</v>
      </c>
      <c r="K566" s="953"/>
      <c r="L566" s="954"/>
      <c r="M566" s="455"/>
      <c r="N566" s="2028"/>
      <c r="O566" s="455"/>
      <c r="P566" s="493"/>
      <c r="Q566" s="493"/>
      <c r="R566" s="493"/>
      <c r="S566" s="493"/>
      <c r="T566" s="493"/>
      <c r="U566" s="493"/>
      <c r="V566" s="2866"/>
      <c r="W566" s="952">
        <v>0.65</v>
      </c>
      <c r="X566" s="955">
        <v>1</v>
      </c>
      <c r="Y566" s="952">
        <v>1</v>
      </c>
      <c r="Z566" s="952"/>
      <c r="AA566" s="952"/>
      <c r="AB566" s="952"/>
      <c r="AC566" s="952"/>
      <c r="AD566" s="952"/>
      <c r="AE566" s="952"/>
      <c r="AF566" s="952"/>
      <c r="AG566" s="952"/>
      <c r="BB566" s="950"/>
      <c r="BC566" s="796"/>
      <c r="BD566" s="900"/>
      <c r="BE566" s="797"/>
    </row>
    <row r="567" spans="1:57" s="614" customFormat="1" ht="14.45" hidden="1" customHeight="1" outlineLevel="1" x14ac:dyDescent="0.25">
      <c r="A567" s="2038"/>
      <c r="B567" s="493"/>
      <c r="C567" s="455"/>
      <c r="D567" s="2806"/>
      <c r="E567" s="2856"/>
      <c r="F567" s="2757" t="str">
        <f t="shared" si="62"/>
        <v>CAC - SEER 15 ER2: MF</v>
      </c>
      <c r="G567" s="2758"/>
      <c r="H567" s="2759"/>
      <c r="I567" s="951"/>
      <c r="J567" s="952">
        <v>1</v>
      </c>
      <c r="K567" s="953"/>
      <c r="L567" s="954"/>
      <c r="M567" s="455"/>
      <c r="N567" s="2028"/>
      <c r="O567" s="455"/>
      <c r="P567" s="493"/>
      <c r="Q567" s="493"/>
      <c r="R567" s="493"/>
      <c r="S567" s="493"/>
      <c r="T567" s="493"/>
      <c r="U567" s="493"/>
      <c r="V567" s="2866"/>
      <c r="W567" s="952">
        <v>0.65</v>
      </c>
      <c r="X567" s="955">
        <v>1</v>
      </c>
      <c r="Y567" s="952">
        <v>1</v>
      </c>
      <c r="Z567" s="952"/>
      <c r="AA567" s="952"/>
      <c r="AB567" s="952"/>
      <c r="AC567" s="952"/>
      <c r="AD567" s="952"/>
      <c r="AE567" s="952"/>
      <c r="AF567" s="952"/>
      <c r="AG567" s="952"/>
      <c r="BB567" s="950"/>
      <c r="BC567" s="796"/>
      <c r="BD567" s="900"/>
      <c r="BE567" s="797"/>
    </row>
    <row r="568" spans="1:57" s="614" customFormat="1" ht="14.45" hidden="1" customHeight="1" outlineLevel="1" x14ac:dyDescent="0.25">
      <c r="A568" s="2038"/>
      <c r="B568" s="493"/>
      <c r="C568" s="455"/>
      <c r="D568" s="2806"/>
      <c r="E568" s="2856"/>
      <c r="F568" s="2757" t="str">
        <f t="shared" si="62"/>
        <v>CAC - SEER 15 ER1: MF_CompE</v>
      </c>
      <c r="G568" s="2758"/>
      <c r="H568" s="2759"/>
      <c r="I568" s="951"/>
      <c r="J568" s="952">
        <v>1</v>
      </c>
      <c r="K568" s="953"/>
      <c r="L568" s="954"/>
      <c r="M568" s="455"/>
      <c r="N568" s="2028"/>
      <c r="O568" s="455"/>
      <c r="P568" s="493"/>
      <c r="Q568" s="493"/>
      <c r="R568" s="493"/>
      <c r="S568" s="493"/>
      <c r="T568" s="493"/>
      <c r="U568" s="493"/>
      <c r="V568" s="2866"/>
      <c r="W568" s="952"/>
      <c r="X568" s="955"/>
      <c r="Y568" s="952">
        <v>1</v>
      </c>
      <c r="Z568" s="952"/>
      <c r="AA568" s="952"/>
      <c r="AB568" s="952"/>
      <c r="AC568" s="952"/>
      <c r="AD568" s="952"/>
      <c r="AE568" s="952"/>
      <c r="AF568" s="952"/>
      <c r="AG568" s="952"/>
      <c r="BB568" s="950"/>
      <c r="BC568" s="796"/>
      <c r="BD568" s="900"/>
      <c r="BE568" s="797"/>
    </row>
    <row r="569" spans="1:57" s="614" customFormat="1" ht="14.45" hidden="1" customHeight="1" outlineLevel="1" x14ac:dyDescent="0.25">
      <c r="A569" s="2038"/>
      <c r="B569" s="493"/>
      <c r="C569" s="455"/>
      <c r="D569" s="2806"/>
      <c r="E569" s="2856"/>
      <c r="F569" s="2757" t="str">
        <f t="shared" si="62"/>
        <v>CAC - SEER 15 ER2: MF_CompE</v>
      </c>
      <c r="G569" s="2758"/>
      <c r="H569" s="2759"/>
      <c r="I569" s="951"/>
      <c r="J569" s="952">
        <v>1</v>
      </c>
      <c r="K569" s="953"/>
      <c r="L569" s="954"/>
      <c r="M569" s="455"/>
      <c r="N569" s="2028"/>
      <c r="O569" s="455"/>
      <c r="P569" s="493"/>
      <c r="Q569" s="493"/>
      <c r="R569" s="493"/>
      <c r="S569" s="493"/>
      <c r="T569" s="493"/>
      <c r="U569" s="493"/>
      <c r="V569" s="2866"/>
      <c r="W569" s="952"/>
      <c r="X569" s="955"/>
      <c r="Y569" s="952">
        <v>1</v>
      </c>
      <c r="Z569" s="952"/>
      <c r="AA569" s="952"/>
      <c r="AB569" s="952"/>
      <c r="AC569" s="952"/>
      <c r="AD569" s="952"/>
      <c r="AE569" s="952"/>
      <c r="AF569" s="952"/>
      <c r="AG569" s="952"/>
      <c r="BB569" s="950"/>
      <c r="BC569" s="796"/>
      <c r="BD569" s="900"/>
      <c r="BE569" s="797"/>
    </row>
    <row r="570" spans="1:57" s="614" customFormat="1" ht="14.45" hidden="1" customHeight="1" outlineLevel="1" x14ac:dyDescent="0.25">
      <c r="A570" s="2038"/>
      <c r="B570" s="493"/>
      <c r="C570" s="455"/>
      <c r="D570" s="2806"/>
      <c r="E570" s="2856"/>
      <c r="F570" s="2757" t="str">
        <f t="shared" si="62"/>
        <v>CAC - SEER 15 ROF: MF</v>
      </c>
      <c r="G570" s="2758"/>
      <c r="H570" s="2759"/>
      <c r="I570" s="951"/>
      <c r="J570" s="952">
        <v>1</v>
      </c>
      <c r="K570" s="953"/>
      <c r="L570" s="954"/>
      <c r="M570" s="455"/>
      <c r="N570" s="2028"/>
      <c r="O570" s="455"/>
      <c r="P570" s="493"/>
      <c r="Q570" s="493"/>
      <c r="R570" s="493"/>
      <c r="S570" s="493"/>
      <c r="T570" s="493"/>
      <c r="U570" s="493"/>
      <c r="V570" s="2866"/>
      <c r="W570" s="952">
        <v>0.65</v>
      </c>
      <c r="X570" s="955">
        <v>1</v>
      </c>
      <c r="Y570" s="952">
        <v>1</v>
      </c>
      <c r="Z570" s="952"/>
      <c r="AA570" s="952"/>
      <c r="AB570" s="952"/>
      <c r="AC570" s="952"/>
      <c r="AD570" s="952"/>
      <c r="AE570" s="952"/>
      <c r="AF570" s="952"/>
      <c r="AG570" s="952"/>
      <c r="BB570" s="950"/>
      <c r="BC570" s="796"/>
      <c r="BD570" s="900"/>
      <c r="BE570" s="797"/>
    </row>
    <row r="571" spans="1:57" s="614" customFormat="1" ht="14.45" hidden="1" customHeight="1" outlineLevel="1" x14ac:dyDescent="0.25">
      <c r="A571" s="2038"/>
      <c r="B571" s="493"/>
      <c r="C571" s="455"/>
      <c r="D571" s="2806"/>
      <c r="E571" s="2856"/>
      <c r="F571" s="2757" t="str">
        <f t="shared" si="62"/>
        <v>CAC - SEER 15 ROF: MF_CompE</v>
      </c>
      <c r="G571" s="2758"/>
      <c r="H571" s="2759"/>
      <c r="I571" s="951"/>
      <c r="J571" s="952">
        <v>1</v>
      </c>
      <c r="K571" s="953"/>
      <c r="L571" s="954"/>
      <c r="M571" s="455"/>
      <c r="N571" s="2028"/>
      <c r="O571" s="455"/>
      <c r="P571" s="493"/>
      <c r="Q571" s="493"/>
      <c r="R571" s="493"/>
      <c r="S571" s="493"/>
      <c r="T571" s="493"/>
      <c r="U571" s="493"/>
      <c r="V571" s="2866"/>
      <c r="W571" s="952"/>
      <c r="X571" s="955"/>
      <c r="Y571" s="952">
        <v>1</v>
      </c>
      <c r="Z571" s="952"/>
      <c r="AA571" s="952"/>
      <c r="AB571" s="952"/>
      <c r="AC571" s="952"/>
      <c r="AD571" s="952"/>
      <c r="AE571" s="952"/>
      <c r="AF571" s="952"/>
      <c r="AG571" s="952"/>
      <c r="BB571" s="950"/>
      <c r="BC571" s="796"/>
      <c r="BD571" s="900"/>
      <c r="BE571" s="797"/>
    </row>
    <row r="572" spans="1:57" s="614" customFormat="1" ht="14.45" hidden="1" customHeight="1" outlineLevel="1" x14ac:dyDescent="0.25">
      <c r="A572" s="2038"/>
      <c r="B572" s="493"/>
      <c r="C572" s="455"/>
      <c r="D572" s="2806"/>
      <c r="E572" s="2856"/>
      <c r="F572" s="2757" t="str">
        <f t="shared" si="62"/>
        <v>CAC - SEER 16 ER1: SF</v>
      </c>
      <c r="G572" s="2758"/>
      <c r="H572" s="2759"/>
      <c r="I572" s="951"/>
      <c r="J572" s="952">
        <v>1</v>
      </c>
      <c r="K572" s="953"/>
      <c r="L572" s="954"/>
      <c r="M572" s="455"/>
      <c r="N572" s="2028"/>
      <c r="O572" s="455"/>
      <c r="P572" s="493"/>
      <c r="Q572" s="493"/>
      <c r="R572" s="493"/>
      <c r="S572" s="493"/>
      <c r="T572" s="493"/>
      <c r="U572" s="493"/>
      <c r="V572" s="2866"/>
      <c r="W572" s="952">
        <v>1</v>
      </c>
      <c r="X572" s="952">
        <f t="shared" ref="X572:X574" si="65">W572</f>
        <v>1</v>
      </c>
      <c r="Y572" s="952">
        <v>1</v>
      </c>
      <c r="Z572" s="952"/>
      <c r="AA572" s="952"/>
      <c r="AB572" s="952"/>
      <c r="AC572" s="952"/>
      <c r="AD572" s="952"/>
      <c r="AE572" s="952"/>
      <c r="AF572" s="952"/>
      <c r="AG572" s="952"/>
      <c r="BB572" s="950"/>
      <c r="BC572" s="796"/>
      <c r="BD572" s="900"/>
      <c r="BE572" s="797"/>
    </row>
    <row r="573" spans="1:57" s="614" customFormat="1" ht="14.45" hidden="1" customHeight="1" outlineLevel="1" x14ac:dyDescent="0.25">
      <c r="A573" s="2038"/>
      <c r="B573" s="493"/>
      <c r="C573" s="455"/>
      <c r="D573" s="2806"/>
      <c r="E573" s="2856"/>
      <c r="F573" s="2757" t="str">
        <f t="shared" si="62"/>
        <v>CAC - SEER 16 ER2: SF</v>
      </c>
      <c r="G573" s="2758"/>
      <c r="H573" s="2759"/>
      <c r="I573" s="951"/>
      <c r="J573" s="952">
        <v>1</v>
      </c>
      <c r="K573" s="953"/>
      <c r="L573" s="954"/>
      <c r="M573" s="455"/>
      <c r="N573" s="2028"/>
      <c r="O573" s="455"/>
      <c r="P573" s="493"/>
      <c r="Q573" s="493"/>
      <c r="R573" s="493"/>
      <c r="S573" s="493"/>
      <c r="T573" s="493"/>
      <c r="U573" s="493"/>
      <c r="V573" s="2866"/>
      <c r="W573" s="952">
        <v>1</v>
      </c>
      <c r="X573" s="952">
        <f t="shared" si="65"/>
        <v>1</v>
      </c>
      <c r="Y573" s="952">
        <v>1</v>
      </c>
      <c r="Z573" s="952"/>
      <c r="AA573" s="952"/>
      <c r="AB573" s="952"/>
      <c r="AC573" s="952"/>
      <c r="AD573" s="952"/>
      <c r="AE573" s="952"/>
      <c r="AF573" s="952"/>
      <c r="AG573" s="952"/>
      <c r="BB573" s="950"/>
      <c r="BC573" s="796"/>
      <c r="BD573" s="900"/>
      <c r="BE573" s="797"/>
    </row>
    <row r="574" spans="1:57" s="614" customFormat="1" ht="14.45" hidden="1" customHeight="1" outlineLevel="1" x14ac:dyDescent="0.25">
      <c r="A574" s="2038"/>
      <c r="B574" s="493"/>
      <c r="C574" s="455"/>
      <c r="D574" s="2806"/>
      <c r="E574" s="2856"/>
      <c r="F574" s="2757" t="str">
        <f t="shared" si="62"/>
        <v>CAC - SEER 16 ROF: SF</v>
      </c>
      <c r="G574" s="2758"/>
      <c r="H574" s="2759"/>
      <c r="I574" s="951"/>
      <c r="J574" s="952">
        <v>1</v>
      </c>
      <c r="K574" s="953"/>
      <c r="L574" s="954"/>
      <c r="M574" s="455"/>
      <c r="N574" s="2028"/>
      <c r="O574" s="455"/>
      <c r="P574" s="493"/>
      <c r="Q574" s="493"/>
      <c r="R574" s="493"/>
      <c r="S574" s="493"/>
      <c r="T574" s="493"/>
      <c r="U574" s="493"/>
      <c r="V574" s="2866"/>
      <c r="W574" s="952">
        <v>1</v>
      </c>
      <c r="X574" s="952">
        <f t="shared" si="65"/>
        <v>1</v>
      </c>
      <c r="Y574" s="952">
        <v>1</v>
      </c>
      <c r="Z574" s="952"/>
      <c r="AA574" s="952"/>
      <c r="AB574" s="952"/>
      <c r="AC574" s="952"/>
      <c r="AD574" s="952"/>
      <c r="AE574" s="952"/>
      <c r="AF574" s="952"/>
      <c r="AG574" s="952"/>
      <c r="BB574" s="950"/>
      <c r="BC574" s="796"/>
      <c r="BD574" s="900"/>
      <c r="BE574" s="797"/>
    </row>
    <row r="575" spans="1:57" s="614" customFormat="1" ht="14.45" hidden="1" customHeight="1" outlineLevel="1" x14ac:dyDescent="0.25">
      <c r="A575" s="2038"/>
      <c r="B575" s="493"/>
      <c r="C575" s="455"/>
      <c r="D575" s="2806"/>
      <c r="E575" s="2856"/>
      <c r="F575" s="2757" t="str">
        <f t="shared" si="62"/>
        <v>CAC - SEER 16 ER1: MF</v>
      </c>
      <c r="G575" s="2758"/>
      <c r="H575" s="2759"/>
      <c r="I575" s="951"/>
      <c r="J575" s="952">
        <v>1</v>
      </c>
      <c r="K575" s="953"/>
      <c r="L575" s="954"/>
      <c r="M575" s="455"/>
      <c r="N575" s="2028"/>
      <c r="O575" s="455"/>
      <c r="P575" s="493"/>
      <c r="Q575" s="493"/>
      <c r="R575" s="493"/>
      <c r="S575" s="493"/>
      <c r="T575" s="493"/>
      <c r="U575" s="493"/>
      <c r="V575" s="2866"/>
      <c r="W575" s="952">
        <v>0.65</v>
      </c>
      <c r="X575" s="955">
        <v>1</v>
      </c>
      <c r="Y575" s="952">
        <v>1</v>
      </c>
      <c r="Z575" s="952"/>
      <c r="AA575" s="952"/>
      <c r="AB575" s="952"/>
      <c r="AC575" s="952"/>
      <c r="AD575" s="952"/>
      <c r="AE575" s="952"/>
      <c r="AF575" s="952"/>
      <c r="AG575" s="952"/>
      <c r="BB575" s="950"/>
      <c r="BC575" s="796"/>
      <c r="BD575" s="900"/>
      <c r="BE575" s="797"/>
    </row>
    <row r="576" spans="1:57" s="614" customFormat="1" ht="14.45" hidden="1" customHeight="1" outlineLevel="1" x14ac:dyDescent="0.25">
      <c r="A576" s="2038"/>
      <c r="B576" s="493"/>
      <c r="C576" s="455"/>
      <c r="D576" s="2806"/>
      <c r="E576" s="2856"/>
      <c r="F576" s="2757" t="str">
        <f t="shared" si="62"/>
        <v>CAC - SEER 16 ER2: MF</v>
      </c>
      <c r="G576" s="2758"/>
      <c r="H576" s="2759"/>
      <c r="I576" s="951"/>
      <c r="J576" s="952">
        <v>1</v>
      </c>
      <c r="K576" s="953"/>
      <c r="L576" s="954"/>
      <c r="M576" s="455"/>
      <c r="N576" s="2028"/>
      <c r="O576" s="455"/>
      <c r="P576" s="493"/>
      <c r="Q576" s="493"/>
      <c r="R576" s="493"/>
      <c r="S576" s="493"/>
      <c r="T576" s="493"/>
      <c r="U576" s="493"/>
      <c r="V576" s="2866"/>
      <c r="W576" s="952">
        <v>0.65</v>
      </c>
      <c r="X576" s="955">
        <v>1</v>
      </c>
      <c r="Y576" s="952">
        <v>1</v>
      </c>
      <c r="Z576" s="952"/>
      <c r="AA576" s="952"/>
      <c r="AB576" s="952"/>
      <c r="AC576" s="952"/>
      <c r="AD576" s="952"/>
      <c r="AE576" s="952"/>
      <c r="AF576" s="952"/>
      <c r="AG576" s="952"/>
      <c r="BB576" s="950"/>
      <c r="BC576" s="796"/>
      <c r="BD576" s="900"/>
      <c r="BE576" s="797"/>
    </row>
    <row r="577" spans="1:57" s="614" customFormat="1" ht="14.45" hidden="1" customHeight="1" outlineLevel="1" x14ac:dyDescent="0.25">
      <c r="A577" s="2038"/>
      <c r="B577" s="493"/>
      <c r="C577" s="455"/>
      <c r="D577" s="2806"/>
      <c r="E577" s="2856"/>
      <c r="F577" s="2757" t="str">
        <f t="shared" si="62"/>
        <v>CAC - SEER 16 ER1: MF_CompE</v>
      </c>
      <c r="G577" s="2758"/>
      <c r="H577" s="2759"/>
      <c r="I577" s="951"/>
      <c r="J577" s="952">
        <v>1</v>
      </c>
      <c r="K577" s="953"/>
      <c r="L577" s="954"/>
      <c r="M577" s="455"/>
      <c r="N577" s="2028"/>
      <c r="O577" s="455"/>
      <c r="P577" s="493"/>
      <c r="Q577" s="493"/>
      <c r="R577" s="493"/>
      <c r="S577" s="493"/>
      <c r="T577" s="493"/>
      <c r="U577" s="493"/>
      <c r="V577" s="2866"/>
      <c r="W577" s="952"/>
      <c r="X577" s="955"/>
      <c r="Y577" s="952">
        <v>1</v>
      </c>
      <c r="Z577" s="952"/>
      <c r="AA577" s="952"/>
      <c r="AB577" s="952"/>
      <c r="AC577" s="952"/>
      <c r="AD577" s="952"/>
      <c r="AE577" s="952"/>
      <c r="AF577" s="952"/>
      <c r="AG577" s="952"/>
      <c r="BB577" s="950"/>
      <c r="BC577" s="796"/>
      <c r="BD577" s="900"/>
      <c r="BE577" s="797"/>
    </row>
    <row r="578" spans="1:57" s="614" customFormat="1" ht="14.45" hidden="1" customHeight="1" outlineLevel="1" x14ac:dyDescent="0.25">
      <c r="A578" s="2038"/>
      <c r="B578" s="493"/>
      <c r="C578" s="455"/>
      <c r="D578" s="2806"/>
      <c r="E578" s="2856"/>
      <c r="F578" s="2757" t="str">
        <f t="shared" si="62"/>
        <v>CAC - SEER 16 ER2: MF_CompE</v>
      </c>
      <c r="G578" s="2758"/>
      <c r="H578" s="2759"/>
      <c r="I578" s="951"/>
      <c r="J578" s="952">
        <v>1</v>
      </c>
      <c r="K578" s="953"/>
      <c r="L578" s="954"/>
      <c r="M578" s="455"/>
      <c r="N578" s="2028"/>
      <c r="O578" s="455"/>
      <c r="P578" s="493"/>
      <c r="Q578" s="493"/>
      <c r="R578" s="493"/>
      <c r="S578" s="493"/>
      <c r="T578" s="493"/>
      <c r="U578" s="493"/>
      <c r="V578" s="2866"/>
      <c r="W578" s="952"/>
      <c r="X578" s="955"/>
      <c r="Y578" s="952">
        <v>1</v>
      </c>
      <c r="Z578" s="952"/>
      <c r="AA578" s="952"/>
      <c r="AB578" s="952"/>
      <c r="AC578" s="952"/>
      <c r="AD578" s="952"/>
      <c r="AE578" s="952"/>
      <c r="AF578" s="952"/>
      <c r="AG578" s="952"/>
      <c r="BB578" s="950"/>
      <c r="BC578" s="796"/>
      <c r="BD578" s="900"/>
      <c r="BE578" s="797"/>
    </row>
    <row r="579" spans="1:57" s="614" customFormat="1" ht="14.45" hidden="1" customHeight="1" outlineLevel="1" x14ac:dyDescent="0.25">
      <c r="A579" s="2038"/>
      <c r="B579" s="493"/>
      <c r="C579" s="455"/>
      <c r="D579" s="2806"/>
      <c r="E579" s="2856"/>
      <c r="F579" s="2757" t="str">
        <f t="shared" si="62"/>
        <v>CAC - SEER 16 ROF: MF</v>
      </c>
      <c r="G579" s="2758"/>
      <c r="H579" s="2759"/>
      <c r="I579" s="951"/>
      <c r="J579" s="952">
        <v>1</v>
      </c>
      <c r="K579" s="953"/>
      <c r="L579" s="954"/>
      <c r="M579" s="455"/>
      <c r="N579" s="2028"/>
      <c r="O579" s="455"/>
      <c r="P579" s="493"/>
      <c r="Q579" s="493"/>
      <c r="R579" s="493"/>
      <c r="S579" s="493"/>
      <c r="T579" s="493"/>
      <c r="U579" s="493"/>
      <c r="V579" s="2866"/>
      <c r="W579" s="952">
        <v>0.65</v>
      </c>
      <c r="X579" s="955">
        <v>1</v>
      </c>
      <c r="Y579" s="952">
        <v>1</v>
      </c>
      <c r="Z579" s="952"/>
      <c r="AA579" s="952"/>
      <c r="AB579" s="952"/>
      <c r="AC579" s="952"/>
      <c r="AD579" s="952"/>
      <c r="AE579" s="952"/>
      <c r="AF579" s="952"/>
      <c r="AG579" s="952"/>
      <c r="BB579" s="950"/>
      <c r="BC579" s="796"/>
      <c r="BD579" s="900"/>
      <c r="BE579" s="797"/>
    </row>
    <row r="580" spans="1:57" s="614" customFormat="1" ht="14.45" hidden="1" customHeight="1" outlineLevel="1" x14ac:dyDescent="0.25">
      <c r="A580" s="2038"/>
      <c r="B580" s="493"/>
      <c r="C580" s="455"/>
      <c r="D580" s="2806"/>
      <c r="E580" s="2856"/>
      <c r="F580" s="2757" t="str">
        <f t="shared" si="62"/>
        <v>CAC - SEER 16 ROF: MF_CompE</v>
      </c>
      <c r="G580" s="2758"/>
      <c r="H580" s="2759"/>
      <c r="I580" s="951"/>
      <c r="J580" s="952">
        <v>1</v>
      </c>
      <c r="K580" s="953"/>
      <c r="L580" s="954"/>
      <c r="M580" s="455"/>
      <c r="N580" s="2028"/>
      <c r="O580" s="455"/>
      <c r="P580" s="493"/>
      <c r="Q580" s="493"/>
      <c r="R580" s="493"/>
      <c r="S580" s="493"/>
      <c r="T580" s="493"/>
      <c r="U580" s="493"/>
      <c r="V580" s="2866"/>
      <c r="W580" s="952"/>
      <c r="X580" s="955"/>
      <c r="Y580" s="952">
        <v>1</v>
      </c>
      <c r="Z580" s="952"/>
      <c r="AA580" s="952"/>
      <c r="AB580" s="952"/>
      <c r="AC580" s="952"/>
      <c r="AD580" s="952"/>
      <c r="AE580" s="952"/>
      <c r="AF580" s="952"/>
      <c r="AG580" s="952"/>
      <c r="BB580" s="950"/>
      <c r="BC580" s="796"/>
      <c r="BD580" s="900"/>
      <c r="BE580" s="797"/>
    </row>
    <row r="581" spans="1:57" s="614" customFormat="1" ht="14.45" hidden="1" customHeight="1" outlineLevel="1" x14ac:dyDescent="0.25">
      <c r="A581" s="2038"/>
      <c r="B581" s="493"/>
      <c r="C581" s="455"/>
      <c r="D581" s="2806"/>
      <c r="E581" s="2856"/>
      <c r="F581" s="2757" t="str">
        <f t="shared" si="62"/>
        <v>CAC - SEER 17 ER1: SF</v>
      </c>
      <c r="G581" s="2758"/>
      <c r="H581" s="2759"/>
      <c r="I581" s="951"/>
      <c r="J581" s="952">
        <v>1</v>
      </c>
      <c r="K581" s="953"/>
      <c r="L581" s="954"/>
      <c r="M581" s="455"/>
      <c r="N581" s="2028"/>
      <c r="O581" s="455"/>
      <c r="P581" s="493"/>
      <c r="Q581" s="493"/>
      <c r="R581" s="493"/>
      <c r="S581" s="493"/>
      <c r="T581" s="493"/>
      <c r="U581" s="493"/>
      <c r="V581" s="2866"/>
      <c r="W581" s="952">
        <v>1</v>
      </c>
      <c r="X581" s="952">
        <f t="shared" ref="X581:X583" si="66">W581</f>
        <v>1</v>
      </c>
      <c r="Y581" s="952">
        <v>1</v>
      </c>
      <c r="Z581" s="952"/>
      <c r="AA581" s="952"/>
      <c r="AB581" s="952"/>
      <c r="AC581" s="952"/>
      <c r="AD581" s="952"/>
      <c r="AE581" s="952"/>
      <c r="AF581" s="952"/>
      <c r="AG581" s="952"/>
      <c r="BB581" s="950"/>
      <c r="BC581" s="796"/>
      <c r="BD581" s="900"/>
      <c r="BE581" s="797"/>
    </row>
    <row r="582" spans="1:57" s="614" customFormat="1" ht="14.45" hidden="1" customHeight="1" outlineLevel="1" x14ac:dyDescent="0.25">
      <c r="A582" s="2038"/>
      <c r="B582" s="493"/>
      <c r="C582" s="455"/>
      <c r="D582" s="2806"/>
      <c r="E582" s="2856"/>
      <c r="F582" s="2757" t="str">
        <f t="shared" si="62"/>
        <v>CAC - SEER 17 ER2: SF</v>
      </c>
      <c r="G582" s="2758"/>
      <c r="H582" s="2759"/>
      <c r="I582" s="951"/>
      <c r="J582" s="952">
        <v>1</v>
      </c>
      <c r="K582" s="953"/>
      <c r="L582" s="954"/>
      <c r="M582" s="455"/>
      <c r="N582" s="2028"/>
      <c r="O582" s="455"/>
      <c r="P582" s="493"/>
      <c r="Q582" s="493"/>
      <c r="R582" s="493"/>
      <c r="S582" s="493"/>
      <c r="T582" s="493"/>
      <c r="U582" s="493"/>
      <c r="V582" s="2866"/>
      <c r="W582" s="952">
        <v>1</v>
      </c>
      <c r="X582" s="952">
        <f t="shared" si="66"/>
        <v>1</v>
      </c>
      <c r="Y582" s="952">
        <v>1</v>
      </c>
      <c r="Z582" s="952"/>
      <c r="AA582" s="952"/>
      <c r="AB582" s="952"/>
      <c r="AC582" s="952"/>
      <c r="AD582" s="952"/>
      <c r="AE582" s="952"/>
      <c r="AF582" s="952"/>
      <c r="AG582" s="952"/>
      <c r="BB582" s="950"/>
      <c r="BC582" s="796"/>
      <c r="BD582" s="900"/>
      <c r="BE582" s="797"/>
    </row>
    <row r="583" spans="1:57" s="614" customFormat="1" ht="14.45" hidden="1" customHeight="1" outlineLevel="1" x14ac:dyDescent="0.25">
      <c r="A583" s="2038"/>
      <c r="B583" s="493"/>
      <c r="C583" s="455"/>
      <c r="D583" s="2806"/>
      <c r="E583" s="2856"/>
      <c r="F583" s="2757" t="str">
        <f t="shared" si="62"/>
        <v>CAC - SEER 17 ROF: SF</v>
      </c>
      <c r="G583" s="2758"/>
      <c r="H583" s="2759"/>
      <c r="I583" s="951"/>
      <c r="J583" s="952">
        <v>1</v>
      </c>
      <c r="K583" s="953"/>
      <c r="L583" s="954"/>
      <c r="M583" s="455"/>
      <c r="N583" s="2028"/>
      <c r="O583" s="455"/>
      <c r="P583" s="493"/>
      <c r="Q583" s="493"/>
      <c r="R583" s="493"/>
      <c r="S583" s="493"/>
      <c r="T583" s="493"/>
      <c r="U583" s="493"/>
      <c r="V583" s="2866"/>
      <c r="W583" s="952">
        <v>1</v>
      </c>
      <c r="X583" s="952">
        <f t="shared" si="66"/>
        <v>1</v>
      </c>
      <c r="Y583" s="952">
        <v>1</v>
      </c>
      <c r="Z583" s="952"/>
      <c r="AA583" s="952"/>
      <c r="AB583" s="952"/>
      <c r="AC583" s="952"/>
      <c r="AD583" s="952"/>
      <c r="AE583" s="952"/>
      <c r="AF583" s="952"/>
      <c r="AG583" s="952"/>
      <c r="BB583" s="950"/>
      <c r="BC583" s="796"/>
      <c r="BD583" s="900"/>
      <c r="BE583" s="797"/>
    </row>
    <row r="584" spans="1:57" s="614" customFormat="1" ht="14.45" hidden="1" customHeight="1" outlineLevel="1" x14ac:dyDescent="0.25">
      <c r="A584" s="2038"/>
      <c r="B584" s="493"/>
      <c r="C584" s="455"/>
      <c r="D584" s="2806"/>
      <c r="E584" s="2856"/>
      <c r="F584" s="2757" t="str">
        <f t="shared" si="62"/>
        <v>CAC - SEER 17 ER1: MF</v>
      </c>
      <c r="G584" s="2758"/>
      <c r="H584" s="2759"/>
      <c r="I584" s="951"/>
      <c r="J584" s="952">
        <v>1</v>
      </c>
      <c r="K584" s="953"/>
      <c r="L584" s="954"/>
      <c r="M584" s="455"/>
      <c r="N584" s="2028"/>
      <c r="O584" s="455"/>
      <c r="P584" s="493"/>
      <c r="Q584" s="493"/>
      <c r="R584" s="493"/>
      <c r="S584" s="493"/>
      <c r="T584" s="493"/>
      <c r="U584" s="493"/>
      <c r="V584" s="2866"/>
      <c r="W584" s="952">
        <v>0.65</v>
      </c>
      <c r="X584" s="955">
        <v>1</v>
      </c>
      <c r="Y584" s="952">
        <v>1</v>
      </c>
      <c r="Z584" s="952"/>
      <c r="AA584" s="952"/>
      <c r="AB584" s="952"/>
      <c r="AC584" s="952"/>
      <c r="AD584" s="952"/>
      <c r="AE584" s="952"/>
      <c r="AF584" s="952"/>
      <c r="AG584" s="952"/>
      <c r="BB584" s="950"/>
      <c r="BC584" s="796"/>
      <c r="BD584" s="900"/>
      <c r="BE584" s="797"/>
    </row>
    <row r="585" spans="1:57" s="614" customFormat="1" ht="14.45" hidden="1" customHeight="1" outlineLevel="1" x14ac:dyDescent="0.25">
      <c r="A585" s="2038"/>
      <c r="B585" s="493"/>
      <c r="C585" s="455"/>
      <c r="D585" s="2806"/>
      <c r="E585" s="2856"/>
      <c r="F585" s="2757" t="str">
        <f t="shared" si="62"/>
        <v>CAC - SEER 17 ER2: MF</v>
      </c>
      <c r="G585" s="2758"/>
      <c r="H585" s="2759"/>
      <c r="I585" s="951"/>
      <c r="J585" s="952">
        <v>1</v>
      </c>
      <c r="K585" s="953"/>
      <c r="L585" s="954"/>
      <c r="M585" s="455"/>
      <c r="N585" s="2028"/>
      <c r="O585" s="455"/>
      <c r="P585" s="493"/>
      <c r="Q585" s="493"/>
      <c r="R585" s="493"/>
      <c r="S585" s="493"/>
      <c r="T585" s="493"/>
      <c r="U585" s="493"/>
      <c r="V585" s="2866"/>
      <c r="W585" s="952">
        <v>0.65</v>
      </c>
      <c r="X585" s="955">
        <v>1</v>
      </c>
      <c r="Y585" s="952">
        <v>1</v>
      </c>
      <c r="Z585" s="952"/>
      <c r="AA585" s="952"/>
      <c r="AB585" s="952"/>
      <c r="AC585" s="952"/>
      <c r="AD585" s="952"/>
      <c r="AE585" s="952"/>
      <c r="AF585" s="952"/>
      <c r="AG585" s="952"/>
      <c r="BB585" s="950"/>
      <c r="BC585" s="796"/>
      <c r="BD585" s="900"/>
      <c r="BE585" s="797"/>
    </row>
    <row r="586" spans="1:57" s="614" customFormat="1" ht="14.45" hidden="1" customHeight="1" outlineLevel="1" x14ac:dyDescent="0.25">
      <c r="A586" s="2038"/>
      <c r="B586" s="493"/>
      <c r="C586" s="455"/>
      <c r="D586" s="2806"/>
      <c r="E586" s="2856"/>
      <c r="F586" s="2757" t="str">
        <f t="shared" ref="F586:F649" si="67">F514</f>
        <v>CAC - SEER 17 ER1: MF_CompE</v>
      </c>
      <c r="G586" s="2758"/>
      <c r="H586" s="2759"/>
      <c r="I586" s="956"/>
      <c r="J586" s="952">
        <v>1</v>
      </c>
      <c r="K586" s="957"/>
      <c r="L586" s="958"/>
      <c r="M586" s="455"/>
      <c r="N586" s="2028"/>
      <c r="O586" s="455"/>
      <c r="P586" s="493"/>
      <c r="Q586" s="493"/>
      <c r="R586" s="493"/>
      <c r="S586" s="493"/>
      <c r="T586" s="493"/>
      <c r="U586" s="493"/>
      <c r="V586" s="2866"/>
      <c r="W586" s="959"/>
      <c r="X586" s="955"/>
      <c r="Y586" s="952">
        <v>1</v>
      </c>
      <c r="Z586" s="959"/>
      <c r="AA586" s="959"/>
      <c r="AB586" s="959"/>
      <c r="AC586" s="959"/>
      <c r="AD586" s="959"/>
      <c r="AE586" s="959"/>
      <c r="AF586" s="959"/>
      <c r="AG586" s="959"/>
      <c r="BB586" s="950"/>
      <c r="BC586" s="796"/>
      <c r="BD586" s="900"/>
      <c r="BE586" s="797"/>
    </row>
    <row r="587" spans="1:57" s="614" customFormat="1" ht="14.45" hidden="1" customHeight="1" outlineLevel="1" x14ac:dyDescent="0.25">
      <c r="A587" s="2038"/>
      <c r="B587" s="493"/>
      <c r="C587" s="455"/>
      <c r="D587" s="2806"/>
      <c r="E587" s="2856"/>
      <c r="F587" s="2757" t="str">
        <f t="shared" si="67"/>
        <v>CAC - SEER 17 ER2: MF_CompE</v>
      </c>
      <c r="G587" s="2758"/>
      <c r="H587" s="2759"/>
      <c r="I587" s="956"/>
      <c r="J587" s="952">
        <v>1</v>
      </c>
      <c r="K587" s="957"/>
      <c r="L587" s="958"/>
      <c r="M587" s="455"/>
      <c r="N587" s="2028"/>
      <c r="O587" s="455"/>
      <c r="P587" s="493"/>
      <c r="Q587" s="493"/>
      <c r="R587" s="493"/>
      <c r="S587" s="493"/>
      <c r="T587" s="493"/>
      <c r="U587" s="493"/>
      <c r="V587" s="2866"/>
      <c r="W587" s="959"/>
      <c r="X587" s="955"/>
      <c r="Y587" s="952">
        <v>1</v>
      </c>
      <c r="Z587" s="959"/>
      <c r="AA587" s="959"/>
      <c r="AB587" s="959"/>
      <c r="AC587" s="959"/>
      <c r="AD587" s="959"/>
      <c r="AE587" s="959"/>
      <c r="AF587" s="959"/>
      <c r="AG587" s="959"/>
      <c r="BB587" s="950"/>
      <c r="BC587" s="796"/>
      <c r="BD587" s="900"/>
      <c r="BE587" s="797"/>
    </row>
    <row r="588" spans="1:57" s="614" customFormat="1" ht="14.45" hidden="1" customHeight="1" outlineLevel="1" x14ac:dyDescent="0.25">
      <c r="A588" s="2038"/>
      <c r="B588" s="493"/>
      <c r="C588" s="455"/>
      <c r="D588" s="2806"/>
      <c r="E588" s="2856"/>
      <c r="F588" s="2757" t="str">
        <f t="shared" si="67"/>
        <v>CAC - SEER 17 ROF: MF</v>
      </c>
      <c r="G588" s="2758"/>
      <c r="H588" s="2759"/>
      <c r="I588" s="951"/>
      <c r="J588" s="952">
        <v>1</v>
      </c>
      <c r="K588" s="953"/>
      <c r="L588" s="954"/>
      <c r="M588" s="455"/>
      <c r="N588" s="2028"/>
      <c r="O588" s="455"/>
      <c r="P588" s="493"/>
      <c r="Q588" s="493"/>
      <c r="R588" s="493"/>
      <c r="S588" s="493"/>
      <c r="T588" s="493"/>
      <c r="U588" s="493"/>
      <c r="V588" s="2866"/>
      <c r="W588" s="952">
        <v>0.65</v>
      </c>
      <c r="X588" s="955">
        <v>1</v>
      </c>
      <c r="Y588" s="952">
        <v>1</v>
      </c>
      <c r="Z588" s="952"/>
      <c r="AA588" s="952"/>
      <c r="AB588" s="952"/>
      <c r="AC588" s="952"/>
      <c r="AD588" s="952"/>
      <c r="AE588" s="952"/>
      <c r="AF588" s="952"/>
      <c r="AG588" s="952"/>
      <c r="BB588" s="950"/>
      <c r="BC588" s="796"/>
      <c r="BD588" s="900"/>
      <c r="BE588" s="797"/>
    </row>
    <row r="589" spans="1:57" s="614" customFormat="1" ht="14.45" hidden="1" customHeight="1" outlineLevel="1" x14ac:dyDescent="0.25">
      <c r="A589" s="2038"/>
      <c r="B589" s="493"/>
      <c r="C589" s="455"/>
      <c r="D589" s="2807"/>
      <c r="E589" s="2857"/>
      <c r="F589" s="2757" t="str">
        <f t="shared" si="67"/>
        <v>CAC - SEER 17 ROF: MF_CompE</v>
      </c>
      <c r="G589" s="2758"/>
      <c r="H589" s="2759"/>
      <c r="I589" s="951"/>
      <c r="J589" s="952">
        <v>1</v>
      </c>
      <c r="K589" s="953"/>
      <c r="L589" s="954"/>
      <c r="M589" s="455"/>
      <c r="N589" s="2028"/>
      <c r="O589" s="455"/>
      <c r="P589" s="493"/>
      <c r="Q589" s="493"/>
      <c r="R589" s="493"/>
      <c r="S589" s="493"/>
      <c r="T589" s="493"/>
      <c r="U589" s="493"/>
      <c r="V589" s="2847"/>
      <c r="W589" s="965"/>
      <c r="X589" s="964"/>
      <c r="Y589" s="965">
        <v>1</v>
      </c>
      <c r="Z589" s="965"/>
      <c r="AA589" s="965"/>
      <c r="AB589" s="965"/>
      <c r="AC589" s="965"/>
      <c r="AD589" s="965"/>
      <c r="AE589" s="965"/>
      <c r="AF589" s="965"/>
      <c r="AG589" s="965"/>
      <c r="BB589" s="950"/>
      <c r="BC589" s="796"/>
      <c r="BD589" s="900"/>
      <c r="BE589" s="797"/>
    </row>
    <row r="590" spans="1:57" s="614" customFormat="1" ht="14.45" hidden="1" customHeight="1" outlineLevel="1" x14ac:dyDescent="0.25">
      <c r="A590" s="2038"/>
      <c r="B590" s="493"/>
      <c r="C590" s="455"/>
      <c r="D590" s="2847"/>
      <c r="E590" s="2922"/>
      <c r="F590" s="2790" t="str">
        <f t="shared" si="67"/>
        <v>CAC - SEER 18 ER1: SF</v>
      </c>
      <c r="G590" s="2791"/>
      <c r="H590" s="2792"/>
      <c r="I590" s="951"/>
      <c r="J590" s="952">
        <v>1</v>
      </c>
      <c r="K590" s="953"/>
      <c r="L590" s="954"/>
      <c r="M590" s="455"/>
      <c r="N590" s="2028"/>
      <c r="O590" s="455"/>
      <c r="P590" s="493"/>
      <c r="Q590" s="493"/>
      <c r="R590" s="493"/>
      <c r="S590" s="493"/>
      <c r="T590" s="493"/>
      <c r="U590" s="493"/>
      <c r="V590" s="2847"/>
      <c r="W590" s="965"/>
      <c r="X590" s="965"/>
      <c r="Y590" s="965"/>
      <c r="Z590" s="964">
        <v>1</v>
      </c>
      <c r="AA590" s="965"/>
      <c r="AB590" s="965"/>
      <c r="AC590" s="965"/>
      <c r="AD590" s="965"/>
      <c r="AE590" s="965"/>
      <c r="AF590" s="965"/>
      <c r="AG590" s="965"/>
      <c r="BB590" s="950"/>
      <c r="BC590" s="796"/>
      <c r="BD590" s="900"/>
      <c r="BE590" s="797"/>
    </row>
    <row r="591" spans="1:57" s="614" customFormat="1" ht="14.45" hidden="1" customHeight="1" outlineLevel="1" x14ac:dyDescent="0.25">
      <c r="A591" s="2038"/>
      <c r="B591" s="493"/>
      <c r="C591" s="455"/>
      <c r="D591" s="2847"/>
      <c r="E591" s="2922"/>
      <c r="F591" s="2790" t="str">
        <f t="shared" si="67"/>
        <v>CAC - SEER 18 ER2: SF</v>
      </c>
      <c r="G591" s="2791"/>
      <c r="H591" s="2792"/>
      <c r="I591" s="951"/>
      <c r="J591" s="952">
        <v>1</v>
      </c>
      <c r="K591" s="953"/>
      <c r="L591" s="954"/>
      <c r="M591" s="455"/>
      <c r="N591" s="2028"/>
      <c r="O591" s="455"/>
      <c r="P591" s="493"/>
      <c r="Q591" s="493"/>
      <c r="R591" s="493"/>
      <c r="S591" s="493"/>
      <c r="T591" s="493"/>
      <c r="U591" s="493"/>
      <c r="V591" s="2847"/>
      <c r="W591" s="952"/>
      <c r="X591" s="952"/>
      <c r="Y591" s="952"/>
      <c r="Z591" s="955">
        <v>1</v>
      </c>
      <c r="AA591" s="952"/>
      <c r="AB591" s="952"/>
      <c r="AC591" s="952"/>
      <c r="AD591" s="952"/>
      <c r="AE591" s="952"/>
      <c r="AF591" s="952"/>
      <c r="AG591" s="952"/>
      <c r="BB591" s="950"/>
      <c r="BC591" s="796"/>
      <c r="BD591" s="900"/>
      <c r="BE591" s="797"/>
    </row>
    <row r="592" spans="1:57" s="614" customFormat="1" ht="14.45" hidden="1" customHeight="1" outlineLevel="1" x14ac:dyDescent="0.25">
      <c r="A592" s="2038"/>
      <c r="B592" s="493"/>
      <c r="C592" s="455"/>
      <c r="D592" s="2847"/>
      <c r="E592" s="2922"/>
      <c r="F592" s="2790" t="str">
        <f t="shared" si="67"/>
        <v>CAC - SEER 18 ROF: SF</v>
      </c>
      <c r="G592" s="2791"/>
      <c r="H592" s="2792"/>
      <c r="I592" s="951"/>
      <c r="J592" s="952">
        <v>1</v>
      </c>
      <c r="K592" s="953"/>
      <c r="L592" s="954"/>
      <c r="M592" s="455"/>
      <c r="N592" s="2028"/>
      <c r="O592" s="455"/>
      <c r="P592" s="493"/>
      <c r="Q592" s="493"/>
      <c r="R592" s="493"/>
      <c r="S592" s="493"/>
      <c r="T592" s="493"/>
      <c r="U592" s="493"/>
      <c r="V592" s="2847"/>
      <c r="W592" s="952"/>
      <c r="X592" s="952"/>
      <c r="Y592" s="952"/>
      <c r="Z592" s="955">
        <v>1</v>
      </c>
      <c r="AA592" s="952"/>
      <c r="AB592" s="952"/>
      <c r="AC592" s="952"/>
      <c r="AD592" s="952"/>
      <c r="AE592" s="952"/>
      <c r="AF592" s="952"/>
      <c r="AG592" s="952"/>
      <c r="BB592" s="950"/>
      <c r="BC592" s="796"/>
      <c r="BD592" s="900"/>
      <c r="BE592" s="797"/>
    </row>
    <row r="593" spans="1:57" s="614" customFormat="1" ht="14.45" hidden="1" customHeight="1" outlineLevel="1" x14ac:dyDescent="0.25">
      <c r="A593" s="2038"/>
      <c r="B593" s="493"/>
      <c r="C593" s="455"/>
      <c r="D593" s="2847"/>
      <c r="E593" s="2922"/>
      <c r="F593" s="2780" t="str">
        <f t="shared" si="67"/>
        <v>CAC - SEER 18 ER1: MF</v>
      </c>
      <c r="G593" s="2781"/>
      <c r="H593" s="2782"/>
      <c r="I593" s="951"/>
      <c r="J593" s="952">
        <v>1</v>
      </c>
      <c r="K593" s="953"/>
      <c r="L593" s="954"/>
      <c r="M593" s="455"/>
      <c r="N593" s="2028"/>
      <c r="O593" s="455"/>
      <c r="P593" s="493"/>
      <c r="Q593" s="493"/>
      <c r="R593" s="493"/>
      <c r="S593" s="493"/>
      <c r="T593" s="493"/>
      <c r="U593" s="493"/>
      <c r="V593" s="2847"/>
      <c r="W593" s="952"/>
      <c r="X593" s="955"/>
      <c r="Y593" s="952"/>
      <c r="Z593" s="955">
        <v>1</v>
      </c>
      <c r="AA593" s="952"/>
      <c r="AB593" s="952"/>
      <c r="AC593" s="952"/>
      <c r="AD593" s="952"/>
      <c r="AE593" s="952"/>
      <c r="AF593" s="952"/>
      <c r="AG593" s="952"/>
      <c r="BB593" s="950"/>
      <c r="BC593" s="796"/>
      <c r="BD593" s="900"/>
      <c r="BE593" s="797"/>
    </row>
    <row r="594" spans="1:57" s="614" customFormat="1" ht="14.45" hidden="1" customHeight="1" outlineLevel="1" x14ac:dyDescent="0.25">
      <c r="A594" s="2038"/>
      <c r="B594" s="493"/>
      <c r="C594" s="455"/>
      <c r="D594" s="2847"/>
      <c r="E594" s="2922"/>
      <c r="F594" s="2780" t="str">
        <f t="shared" si="67"/>
        <v>CAC - SEER 18 ER2: MF</v>
      </c>
      <c r="G594" s="2781"/>
      <c r="H594" s="2782"/>
      <c r="I594" s="951"/>
      <c r="J594" s="952">
        <v>1</v>
      </c>
      <c r="K594" s="953"/>
      <c r="L594" s="954"/>
      <c r="M594" s="455"/>
      <c r="N594" s="2028"/>
      <c r="O594" s="455"/>
      <c r="P594" s="493"/>
      <c r="Q594" s="493"/>
      <c r="R594" s="493"/>
      <c r="S594" s="493"/>
      <c r="T594" s="493"/>
      <c r="U594" s="493"/>
      <c r="V594" s="2847"/>
      <c r="W594" s="952"/>
      <c r="X594" s="955"/>
      <c r="Y594" s="952"/>
      <c r="Z594" s="955">
        <v>1</v>
      </c>
      <c r="AA594" s="952"/>
      <c r="AB594" s="952"/>
      <c r="AC594" s="952"/>
      <c r="AD594" s="952"/>
      <c r="AE594" s="952"/>
      <c r="AF594" s="952"/>
      <c r="AG594" s="952"/>
      <c r="BB594" s="950"/>
      <c r="BC594" s="796"/>
      <c r="BD594" s="900"/>
      <c r="BE594" s="797"/>
    </row>
    <row r="595" spans="1:57" s="614" customFormat="1" ht="14.45" hidden="1" customHeight="1" outlineLevel="1" x14ac:dyDescent="0.25">
      <c r="A595" s="2038"/>
      <c r="B595" s="493"/>
      <c r="C595" s="455"/>
      <c r="D595" s="2847"/>
      <c r="E595" s="2922"/>
      <c r="F595" s="2780" t="str">
        <f t="shared" si="67"/>
        <v>CAC - SEER 18 ER1: MF_CompE</v>
      </c>
      <c r="G595" s="2781"/>
      <c r="H595" s="2782"/>
      <c r="I595" s="951"/>
      <c r="J595" s="952">
        <v>1</v>
      </c>
      <c r="K595" s="953"/>
      <c r="L595" s="954"/>
      <c r="M595" s="455"/>
      <c r="N595" s="2028"/>
      <c r="O595" s="455"/>
      <c r="P595" s="493"/>
      <c r="Q595" s="493"/>
      <c r="R595" s="493"/>
      <c r="S595" s="493"/>
      <c r="T595" s="493"/>
      <c r="U595" s="493"/>
      <c r="V595" s="2847"/>
      <c r="W595" s="952"/>
      <c r="X595" s="955"/>
      <c r="Y595" s="952"/>
      <c r="Z595" s="955">
        <v>1</v>
      </c>
      <c r="AA595" s="952"/>
      <c r="AB595" s="952"/>
      <c r="AC595" s="952"/>
      <c r="AD595" s="952"/>
      <c r="AE595" s="952"/>
      <c r="AF595" s="952"/>
      <c r="AG595" s="952"/>
      <c r="BB595" s="950"/>
      <c r="BC595" s="796"/>
      <c r="BD595" s="900"/>
      <c r="BE595" s="797"/>
    </row>
    <row r="596" spans="1:57" s="614" customFormat="1" ht="14.45" hidden="1" customHeight="1" outlineLevel="1" x14ac:dyDescent="0.25">
      <c r="A596" s="2038"/>
      <c r="B596" s="493"/>
      <c r="C596" s="455"/>
      <c r="D596" s="2847"/>
      <c r="E596" s="2922"/>
      <c r="F596" s="2780" t="str">
        <f t="shared" si="67"/>
        <v>CAC - SEER 18 ER2: MF_CompE</v>
      </c>
      <c r="G596" s="2781"/>
      <c r="H596" s="2782"/>
      <c r="I596" s="951"/>
      <c r="J596" s="952">
        <v>1</v>
      </c>
      <c r="K596" s="953"/>
      <c r="L596" s="954"/>
      <c r="M596" s="455"/>
      <c r="N596" s="2028"/>
      <c r="O596" s="455"/>
      <c r="P596" s="493"/>
      <c r="Q596" s="493"/>
      <c r="R596" s="493"/>
      <c r="S596" s="493"/>
      <c r="T596" s="493"/>
      <c r="U596" s="493"/>
      <c r="V596" s="2847"/>
      <c r="W596" s="952"/>
      <c r="X596" s="955"/>
      <c r="Y596" s="952"/>
      <c r="Z596" s="955">
        <v>1</v>
      </c>
      <c r="AA596" s="952"/>
      <c r="AB596" s="952"/>
      <c r="AC596" s="952"/>
      <c r="AD596" s="952"/>
      <c r="AE596" s="952"/>
      <c r="AF596" s="952"/>
      <c r="AG596" s="952"/>
      <c r="BB596" s="950"/>
      <c r="BC596" s="796"/>
      <c r="BD596" s="900"/>
      <c r="BE596" s="797"/>
    </row>
    <row r="597" spans="1:57" s="614" customFormat="1" ht="14.45" hidden="1" customHeight="1" outlineLevel="1" x14ac:dyDescent="0.25">
      <c r="A597" s="2038"/>
      <c r="B597" s="493"/>
      <c r="C597" s="455"/>
      <c r="D597" s="2847"/>
      <c r="E597" s="2922"/>
      <c r="F597" s="2780" t="str">
        <f t="shared" si="67"/>
        <v>CAC - SEER 18 ROF: MF</v>
      </c>
      <c r="G597" s="2781"/>
      <c r="H597" s="2782"/>
      <c r="I597" s="951"/>
      <c r="J597" s="952">
        <v>1</v>
      </c>
      <c r="K597" s="953"/>
      <c r="L597" s="954"/>
      <c r="M597" s="455"/>
      <c r="N597" s="2028"/>
      <c r="O597" s="455"/>
      <c r="P597" s="493"/>
      <c r="Q597" s="493"/>
      <c r="R597" s="493"/>
      <c r="S597" s="493"/>
      <c r="T597" s="493"/>
      <c r="U597" s="493"/>
      <c r="V597" s="2847"/>
      <c r="W597" s="952"/>
      <c r="X597" s="955"/>
      <c r="Y597" s="952"/>
      <c r="Z597" s="955">
        <v>1</v>
      </c>
      <c r="AA597" s="952"/>
      <c r="AB597" s="952"/>
      <c r="AC597" s="952"/>
      <c r="AD597" s="952"/>
      <c r="AE597" s="952"/>
      <c r="AF597" s="952"/>
      <c r="AG597" s="952"/>
      <c r="BB597" s="950"/>
      <c r="BC597" s="796"/>
      <c r="BD597" s="900"/>
      <c r="BE597" s="797"/>
    </row>
    <row r="598" spans="1:57" s="614" customFormat="1" ht="14.45" hidden="1" customHeight="1" outlineLevel="1" x14ac:dyDescent="0.25">
      <c r="A598" s="2038"/>
      <c r="B598" s="493"/>
      <c r="C598" s="455"/>
      <c r="D598" s="2847"/>
      <c r="E598" s="2922"/>
      <c r="F598" s="2780" t="str">
        <f t="shared" si="67"/>
        <v>CAC - SEER 18 ROF: MF_CompE</v>
      </c>
      <c r="G598" s="2781"/>
      <c r="H598" s="2782"/>
      <c r="I598" s="951"/>
      <c r="J598" s="952">
        <v>1</v>
      </c>
      <c r="K598" s="953"/>
      <c r="L598" s="954"/>
      <c r="M598" s="455"/>
      <c r="N598" s="2028"/>
      <c r="O598" s="455"/>
      <c r="P598" s="493"/>
      <c r="Q598" s="493"/>
      <c r="R598" s="493"/>
      <c r="S598" s="493"/>
      <c r="T598" s="493"/>
      <c r="U598" s="493"/>
      <c r="V598" s="2847"/>
      <c r="W598" s="952"/>
      <c r="X598" s="955"/>
      <c r="Y598" s="952"/>
      <c r="Z598" s="955">
        <v>1</v>
      </c>
      <c r="AA598" s="952"/>
      <c r="AB598" s="952"/>
      <c r="AC598" s="952"/>
      <c r="AD598" s="952"/>
      <c r="AE598" s="952"/>
      <c r="AF598" s="952"/>
      <c r="AG598" s="952"/>
      <c r="BB598" s="950"/>
      <c r="BC598" s="796"/>
      <c r="BD598" s="900"/>
      <c r="BE598" s="797"/>
    </row>
    <row r="599" spans="1:57" s="614" customFormat="1" ht="14.45" hidden="1" customHeight="1" outlineLevel="1" x14ac:dyDescent="0.25">
      <c r="A599" s="2038"/>
      <c r="B599" s="493"/>
      <c r="C599" s="455"/>
      <c r="D599" s="2847"/>
      <c r="E599" s="2922"/>
      <c r="F599" s="2780" t="str">
        <f t="shared" si="67"/>
        <v>CAC - SEER 19 ER1: SF</v>
      </c>
      <c r="G599" s="2781"/>
      <c r="H599" s="2782"/>
      <c r="I599" s="951"/>
      <c r="J599" s="952">
        <v>1</v>
      </c>
      <c r="K599" s="953"/>
      <c r="L599" s="954"/>
      <c r="M599" s="455"/>
      <c r="N599" s="2028"/>
      <c r="O599" s="455"/>
      <c r="P599" s="493"/>
      <c r="Q599" s="493"/>
      <c r="R599" s="493"/>
      <c r="S599" s="493"/>
      <c r="T599" s="493"/>
      <c r="U599" s="493"/>
      <c r="V599" s="2847"/>
      <c r="W599" s="952"/>
      <c r="X599" s="952"/>
      <c r="Y599" s="952"/>
      <c r="Z599" s="955">
        <v>1</v>
      </c>
      <c r="AA599" s="952"/>
      <c r="AB599" s="952"/>
      <c r="AC599" s="952"/>
      <c r="AD599" s="952"/>
      <c r="AE599" s="952"/>
      <c r="AF599" s="952"/>
      <c r="AG599" s="952"/>
      <c r="BB599" s="950"/>
      <c r="BC599" s="796"/>
      <c r="BD599" s="900"/>
      <c r="BE599" s="797"/>
    </row>
    <row r="600" spans="1:57" s="614" customFormat="1" ht="14.45" hidden="1" customHeight="1" outlineLevel="1" x14ac:dyDescent="0.25">
      <c r="A600" s="2038"/>
      <c r="B600" s="493"/>
      <c r="C600" s="455"/>
      <c r="D600" s="2847"/>
      <c r="E600" s="2922"/>
      <c r="F600" s="2780" t="str">
        <f t="shared" si="67"/>
        <v>CAC - SEER 19 ER2: SF</v>
      </c>
      <c r="G600" s="2781"/>
      <c r="H600" s="2782"/>
      <c r="I600" s="951"/>
      <c r="J600" s="952">
        <v>1</v>
      </c>
      <c r="K600" s="953"/>
      <c r="L600" s="954"/>
      <c r="M600" s="455"/>
      <c r="N600" s="2028"/>
      <c r="O600" s="455"/>
      <c r="P600" s="493"/>
      <c r="Q600" s="493"/>
      <c r="R600" s="493"/>
      <c r="S600" s="493"/>
      <c r="T600" s="493"/>
      <c r="U600" s="493"/>
      <c r="V600" s="2847"/>
      <c r="W600" s="952"/>
      <c r="X600" s="952"/>
      <c r="Y600" s="952"/>
      <c r="Z600" s="955">
        <v>1</v>
      </c>
      <c r="AA600" s="952"/>
      <c r="AB600" s="952"/>
      <c r="AC600" s="952"/>
      <c r="AD600" s="952"/>
      <c r="AE600" s="952"/>
      <c r="AF600" s="952"/>
      <c r="AG600" s="952"/>
      <c r="BB600" s="950"/>
      <c r="BC600" s="796"/>
      <c r="BD600" s="900"/>
      <c r="BE600" s="797"/>
    </row>
    <row r="601" spans="1:57" s="614" customFormat="1" ht="14.45" hidden="1" customHeight="1" outlineLevel="1" x14ac:dyDescent="0.25">
      <c r="A601" s="2038"/>
      <c r="B601" s="493"/>
      <c r="C601" s="455"/>
      <c r="D601" s="2847"/>
      <c r="E601" s="2922"/>
      <c r="F601" s="2780" t="str">
        <f t="shared" si="67"/>
        <v>CAC - SEER 19 ROF: SF</v>
      </c>
      <c r="G601" s="2781"/>
      <c r="H601" s="2782"/>
      <c r="I601" s="951"/>
      <c r="J601" s="952">
        <v>1</v>
      </c>
      <c r="K601" s="953"/>
      <c r="L601" s="954"/>
      <c r="M601" s="455"/>
      <c r="N601" s="2028"/>
      <c r="O601" s="455"/>
      <c r="P601" s="493"/>
      <c r="Q601" s="493"/>
      <c r="R601" s="493"/>
      <c r="S601" s="493"/>
      <c r="T601" s="493"/>
      <c r="U601" s="493"/>
      <c r="V601" s="2847"/>
      <c r="W601" s="952"/>
      <c r="X601" s="952"/>
      <c r="Y601" s="952"/>
      <c r="Z601" s="955">
        <v>1</v>
      </c>
      <c r="AA601" s="952"/>
      <c r="AB601" s="952"/>
      <c r="AC601" s="952"/>
      <c r="AD601" s="952"/>
      <c r="AE601" s="952"/>
      <c r="AF601" s="952"/>
      <c r="AG601" s="952"/>
      <c r="BB601" s="950"/>
      <c r="BC601" s="796"/>
      <c r="BD601" s="900"/>
      <c r="BE601" s="797"/>
    </row>
    <row r="602" spans="1:57" s="614" customFormat="1" ht="14.45" hidden="1" customHeight="1" outlineLevel="1" x14ac:dyDescent="0.25">
      <c r="A602" s="2038"/>
      <c r="B602" s="493"/>
      <c r="C602" s="455"/>
      <c r="D602" s="2847"/>
      <c r="E602" s="2922"/>
      <c r="F602" s="2780" t="str">
        <f t="shared" si="67"/>
        <v>CAC - SEER 19 ER1: MF</v>
      </c>
      <c r="G602" s="2781"/>
      <c r="H602" s="2782"/>
      <c r="I602" s="951"/>
      <c r="J602" s="952">
        <v>1</v>
      </c>
      <c r="K602" s="953"/>
      <c r="L602" s="954"/>
      <c r="M602" s="455"/>
      <c r="N602" s="2028"/>
      <c r="O602" s="455"/>
      <c r="P602" s="493"/>
      <c r="Q602" s="493"/>
      <c r="R602" s="493"/>
      <c r="S602" s="493"/>
      <c r="T602" s="493"/>
      <c r="U602" s="493"/>
      <c r="V602" s="2847"/>
      <c r="W602" s="952"/>
      <c r="X602" s="955"/>
      <c r="Y602" s="952"/>
      <c r="Z602" s="955">
        <v>1</v>
      </c>
      <c r="AA602" s="952"/>
      <c r="AB602" s="952"/>
      <c r="AC602" s="952"/>
      <c r="AD602" s="952"/>
      <c r="AE602" s="952"/>
      <c r="AF602" s="952"/>
      <c r="AG602" s="952"/>
      <c r="BB602" s="950"/>
      <c r="BC602" s="796"/>
      <c r="BD602" s="900"/>
      <c r="BE602" s="797"/>
    </row>
    <row r="603" spans="1:57" s="614" customFormat="1" ht="14.45" hidden="1" customHeight="1" outlineLevel="1" x14ac:dyDescent="0.25">
      <c r="A603" s="2038"/>
      <c r="B603" s="493"/>
      <c r="C603" s="455"/>
      <c r="D603" s="2847"/>
      <c r="E603" s="2922"/>
      <c r="F603" s="2780" t="str">
        <f t="shared" si="67"/>
        <v>CAC - SEER 19 ER2: MF</v>
      </c>
      <c r="G603" s="2781"/>
      <c r="H603" s="2782"/>
      <c r="I603" s="951"/>
      <c r="J603" s="952">
        <v>1</v>
      </c>
      <c r="K603" s="953"/>
      <c r="L603" s="954"/>
      <c r="M603" s="455"/>
      <c r="N603" s="2028"/>
      <c r="O603" s="455"/>
      <c r="P603" s="493"/>
      <c r="Q603" s="493"/>
      <c r="R603" s="493"/>
      <c r="S603" s="493"/>
      <c r="T603" s="493"/>
      <c r="U603" s="493"/>
      <c r="V603" s="2847"/>
      <c r="W603" s="952"/>
      <c r="X603" s="955"/>
      <c r="Y603" s="952"/>
      <c r="Z603" s="955">
        <v>1</v>
      </c>
      <c r="AA603" s="952"/>
      <c r="AB603" s="952"/>
      <c r="AC603" s="952"/>
      <c r="AD603" s="952"/>
      <c r="AE603" s="952"/>
      <c r="AF603" s="952"/>
      <c r="AG603" s="952"/>
      <c r="BB603" s="950"/>
      <c r="BC603" s="796"/>
      <c r="BD603" s="900"/>
      <c r="BE603" s="797"/>
    </row>
    <row r="604" spans="1:57" s="614" customFormat="1" ht="14.45" hidden="1" customHeight="1" outlineLevel="1" x14ac:dyDescent="0.25">
      <c r="A604" s="2038"/>
      <c r="B604" s="493"/>
      <c r="C604" s="455"/>
      <c r="D604" s="2847"/>
      <c r="E604" s="2922"/>
      <c r="F604" s="2780" t="str">
        <f t="shared" si="67"/>
        <v>CAC - SEER 19 ER1: MF_CompE</v>
      </c>
      <c r="G604" s="2781"/>
      <c r="H604" s="2782"/>
      <c r="I604" s="951"/>
      <c r="J604" s="952">
        <v>1</v>
      </c>
      <c r="K604" s="953"/>
      <c r="L604" s="954"/>
      <c r="M604" s="455"/>
      <c r="N604" s="2028"/>
      <c r="O604" s="455"/>
      <c r="P604" s="493"/>
      <c r="Q604" s="493"/>
      <c r="R604" s="493"/>
      <c r="S604" s="493"/>
      <c r="T604" s="493"/>
      <c r="U604" s="493"/>
      <c r="V604" s="2847"/>
      <c r="W604" s="952"/>
      <c r="X604" s="955"/>
      <c r="Y604" s="952"/>
      <c r="Z604" s="955">
        <v>1</v>
      </c>
      <c r="AA604" s="952"/>
      <c r="AB604" s="952"/>
      <c r="AC604" s="952"/>
      <c r="AD604" s="952"/>
      <c r="AE604" s="952"/>
      <c r="AF604" s="952"/>
      <c r="AG604" s="952"/>
      <c r="BB604" s="950"/>
      <c r="BC604" s="796"/>
      <c r="BD604" s="900"/>
      <c r="BE604" s="797"/>
    </row>
    <row r="605" spans="1:57" s="614" customFormat="1" ht="14.45" hidden="1" customHeight="1" outlineLevel="1" x14ac:dyDescent="0.25">
      <c r="A605" s="2038"/>
      <c r="B605" s="493"/>
      <c r="C605" s="455"/>
      <c r="D605" s="2847"/>
      <c r="E605" s="2922"/>
      <c r="F605" s="2780" t="str">
        <f t="shared" si="67"/>
        <v>CAC - SEER 19 ER2: MF_CompE</v>
      </c>
      <c r="G605" s="2781"/>
      <c r="H605" s="2782"/>
      <c r="I605" s="951"/>
      <c r="J605" s="952">
        <v>1</v>
      </c>
      <c r="K605" s="953"/>
      <c r="L605" s="954"/>
      <c r="M605" s="455"/>
      <c r="N605" s="2028"/>
      <c r="O605" s="455"/>
      <c r="P605" s="493"/>
      <c r="Q605" s="493"/>
      <c r="R605" s="493"/>
      <c r="S605" s="493"/>
      <c r="T605" s="493"/>
      <c r="U605" s="493"/>
      <c r="V605" s="2847"/>
      <c r="W605" s="952"/>
      <c r="X605" s="955"/>
      <c r="Y605" s="952"/>
      <c r="Z605" s="955">
        <v>1</v>
      </c>
      <c r="AA605" s="952"/>
      <c r="AB605" s="952"/>
      <c r="AC605" s="952"/>
      <c r="AD605" s="952"/>
      <c r="AE605" s="952"/>
      <c r="AF605" s="952"/>
      <c r="AG605" s="952"/>
      <c r="BB605" s="950"/>
      <c r="BC605" s="796"/>
      <c r="BD605" s="900"/>
      <c r="BE605" s="797"/>
    </row>
    <row r="606" spans="1:57" s="614" customFormat="1" ht="14.45" hidden="1" customHeight="1" outlineLevel="1" x14ac:dyDescent="0.25">
      <c r="A606" s="2038"/>
      <c r="B606" s="493"/>
      <c r="C606" s="455"/>
      <c r="D606" s="2847"/>
      <c r="E606" s="2922"/>
      <c r="F606" s="2780" t="str">
        <f t="shared" si="67"/>
        <v>CAC - SEER 19 ROF: MF</v>
      </c>
      <c r="G606" s="2781"/>
      <c r="H606" s="2782"/>
      <c r="I606" s="951"/>
      <c r="J606" s="952">
        <v>1</v>
      </c>
      <c r="K606" s="953"/>
      <c r="L606" s="954"/>
      <c r="M606" s="455"/>
      <c r="N606" s="2028"/>
      <c r="O606" s="455"/>
      <c r="P606" s="493"/>
      <c r="Q606" s="493"/>
      <c r="R606" s="493"/>
      <c r="S606" s="493"/>
      <c r="T606" s="493"/>
      <c r="U606" s="493"/>
      <c r="V606" s="2847"/>
      <c r="W606" s="952"/>
      <c r="X606" s="955"/>
      <c r="Y606" s="952"/>
      <c r="Z606" s="955">
        <v>1</v>
      </c>
      <c r="AA606" s="952"/>
      <c r="AB606" s="952"/>
      <c r="AC606" s="952"/>
      <c r="AD606" s="952"/>
      <c r="AE606" s="952"/>
      <c r="AF606" s="952"/>
      <c r="AG606" s="952"/>
      <c r="BB606" s="950"/>
      <c r="BC606" s="796"/>
      <c r="BD606" s="900"/>
      <c r="BE606" s="797"/>
    </row>
    <row r="607" spans="1:57" s="614" customFormat="1" ht="14.45" hidden="1" customHeight="1" outlineLevel="1" x14ac:dyDescent="0.25">
      <c r="A607" s="2038"/>
      <c r="B607" s="493"/>
      <c r="C607" s="455"/>
      <c r="D607" s="2847"/>
      <c r="E607" s="2922"/>
      <c r="F607" s="2780" t="str">
        <f t="shared" si="67"/>
        <v>CAC - SEER 19 ROF: MF_CompE</v>
      </c>
      <c r="G607" s="2781"/>
      <c r="H607" s="2782"/>
      <c r="I607" s="951"/>
      <c r="J607" s="952">
        <v>1</v>
      </c>
      <c r="K607" s="953"/>
      <c r="L607" s="954"/>
      <c r="M607" s="455"/>
      <c r="N607" s="2028"/>
      <c r="O607" s="455"/>
      <c r="P607" s="493"/>
      <c r="Q607" s="493"/>
      <c r="R607" s="493"/>
      <c r="S607" s="493"/>
      <c r="T607" s="493"/>
      <c r="U607" s="493"/>
      <c r="V607" s="2847"/>
      <c r="W607" s="952"/>
      <c r="X607" s="955"/>
      <c r="Y607" s="952"/>
      <c r="Z607" s="955">
        <v>1</v>
      </c>
      <c r="AA607" s="952"/>
      <c r="AB607" s="952"/>
      <c r="AC607" s="952"/>
      <c r="AD607" s="952"/>
      <c r="AE607" s="952"/>
      <c r="AF607" s="952"/>
      <c r="AG607" s="952"/>
      <c r="BB607" s="950"/>
      <c r="BC607" s="796"/>
      <c r="BD607" s="900"/>
      <c r="BE607" s="797"/>
    </row>
    <row r="608" spans="1:57" s="614" customFormat="1" ht="14.45" hidden="1" customHeight="1" outlineLevel="1" x14ac:dyDescent="0.25">
      <c r="A608" s="2038"/>
      <c r="B608" s="493"/>
      <c r="C608" s="455"/>
      <c r="D608" s="2847"/>
      <c r="E608" s="2922"/>
      <c r="F608" s="2780" t="str">
        <f t="shared" si="67"/>
        <v>CAC - SEER 20 ER1: SF</v>
      </c>
      <c r="G608" s="2781"/>
      <c r="H608" s="2782"/>
      <c r="I608" s="951"/>
      <c r="J608" s="952">
        <v>1</v>
      </c>
      <c r="K608" s="953"/>
      <c r="L608" s="954"/>
      <c r="M608" s="455"/>
      <c r="N608" s="2028"/>
      <c r="O608" s="455"/>
      <c r="P608" s="493"/>
      <c r="Q608" s="493"/>
      <c r="R608" s="493"/>
      <c r="S608" s="493"/>
      <c r="T608" s="493"/>
      <c r="U608" s="493"/>
      <c r="V608" s="2847"/>
      <c r="W608" s="952"/>
      <c r="X608" s="952"/>
      <c r="Y608" s="952"/>
      <c r="Z608" s="955">
        <v>1</v>
      </c>
      <c r="AA608" s="952"/>
      <c r="AB608" s="952"/>
      <c r="AC608" s="952"/>
      <c r="AD608" s="952"/>
      <c r="AE608" s="952"/>
      <c r="AF608" s="952"/>
      <c r="AG608" s="952"/>
      <c r="BB608" s="950"/>
      <c r="BC608" s="796"/>
      <c r="BD608" s="900"/>
      <c r="BE608" s="797"/>
    </row>
    <row r="609" spans="1:57" s="614" customFormat="1" ht="14.45" hidden="1" customHeight="1" outlineLevel="1" x14ac:dyDescent="0.25">
      <c r="A609" s="2038"/>
      <c r="B609" s="493"/>
      <c r="C609" s="455"/>
      <c r="D609" s="2847"/>
      <c r="E609" s="2922"/>
      <c r="F609" s="2780" t="str">
        <f t="shared" si="67"/>
        <v>CAC - SEER 20 ER2: SF</v>
      </c>
      <c r="G609" s="2781"/>
      <c r="H609" s="2782"/>
      <c r="I609" s="951"/>
      <c r="J609" s="952">
        <v>1</v>
      </c>
      <c r="K609" s="953"/>
      <c r="L609" s="954"/>
      <c r="M609" s="455"/>
      <c r="N609" s="2028"/>
      <c r="O609" s="455"/>
      <c r="P609" s="493"/>
      <c r="Q609" s="493"/>
      <c r="R609" s="493"/>
      <c r="S609" s="493"/>
      <c r="T609" s="493"/>
      <c r="U609" s="493"/>
      <c r="V609" s="2847"/>
      <c r="W609" s="952"/>
      <c r="X609" s="952"/>
      <c r="Y609" s="952"/>
      <c r="Z609" s="955">
        <v>1</v>
      </c>
      <c r="AA609" s="952"/>
      <c r="AB609" s="952"/>
      <c r="AC609" s="952"/>
      <c r="AD609" s="952"/>
      <c r="AE609" s="952"/>
      <c r="AF609" s="952"/>
      <c r="AG609" s="952"/>
      <c r="BB609" s="950"/>
      <c r="BC609" s="796"/>
      <c r="BD609" s="900"/>
      <c r="BE609" s="797"/>
    </row>
    <row r="610" spans="1:57" s="614" customFormat="1" ht="14.45" hidden="1" customHeight="1" outlineLevel="1" x14ac:dyDescent="0.25">
      <c r="A610" s="2038"/>
      <c r="B610" s="493"/>
      <c r="C610" s="455"/>
      <c r="D610" s="2847"/>
      <c r="E610" s="2922"/>
      <c r="F610" s="2780" t="str">
        <f t="shared" si="67"/>
        <v>CAC - SEER 20 ROF: SF</v>
      </c>
      <c r="G610" s="2781"/>
      <c r="H610" s="2782"/>
      <c r="I610" s="951"/>
      <c r="J610" s="952">
        <v>1</v>
      </c>
      <c r="K610" s="953"/>
      <c r="L610" s="954"/>
      <c r="M610" s="455"/>
      <c r="N610" s="2028"/>
      <c r="O610" s="455"/>
      <c r="P610" s="493"/>
      <c r="Q610" s="493"/>
      <c r="R610" s="493"/>
      <c r="S610" s="493"/>
      <c r="T610" s="493"/>
      <c r="U610" s="493"/>
      <c r="V610" s="2847"/>
      <c r="W610" s="952"/>
      <c r="X610" s="952"/>
      <c r="Y610" s="952"/>
      <c r="Z610" s="955">
        <v>1</v>
      </c>
      <c r="AA610" s="952"/>
      <c r="AB610" s="952"/>
      <c r="AC610" s="952"/>
      <c r="AD610" s="952"/>
      <c r="AE610" s="952"/>
      <c r="AF610" s="952"/>
      <c r="AG610" s="952"/>
      <c r="BB610" s="950"/>
      <c r="BC610" s="796"/>
      <c r="BD610" s="900"/>
      <c r="BE610" s="797"/>
    </row>
    <row r="611" spans="1:57" s="614" customFormat="1" ht="14.45" hidden="1" customHeight="1" outlineLevel="1" x14ac:dyDescent="0.25">
      <c r="A611" s="2038"/>
      <c r="B611" s="493"/>
      <c r="C611" s="455"/>
      <c r="D611" s="2847"/>
      <c r="E611" s="2922"/>
      <c r="F611" s="2780" t="str">
        <f t="shared" si="67"/>
        <v>CAC - SEER 20 ER1: MF</v>
      </c>
      <c r="G611" s="2781"/>
      <c r="H611" s="2782"/>
      <c r="I611" s="951"/>
      <c r="J611" s="952">
        <v>1</v>
      </c>
      <c r="K611" s="953"/>
      <c r="L611" s="954"/>
      <c r="M611" s="455"/>
      <c r="N611" s="2028"/>
      <c r="O611" s="455"/>
      <c r="P611" s="493"/>
      <c r="Q611" s="493"/>
      <c r="R611" s="493"/>
      <c r="S611" s="493"/>
      <c r="T611" s="493"/>
      <c r="U611" s="493"/>
      <c r="V611" s="2847"/>
      <c r="W611" s="952"/>
      <c r="X611" s="955"/>
      <c r="Y611" s="952"/>
      <c r="Z611" s="955">
        <v>1</v>
      </c>
      <c r="AA611" s="952"/>
      <c r="AB611" s="952"/>
      <c r="AC611" s="952"/>
      <c r="AD611" s="952"/>
      <c r="AE611" s="952"/>
      <c r="AF611" s="952"/>
      <c r="AG611" s="952"/>
      <c r="BB611" s="950"/>
      <c r="BC611" s="796"/>
      <c r="BD611" s="900"/>
      <c r="BE611" s="797"/>
    </row>
    <row r="612" spans="1:57" s="614" customFormat="1" ht="14.45" hidden="1" customHeight="1" outlineLevel="1" x14ac:dyDescent="0.25">
      <c r="A612" s="2038"/>
      <c r="B612" s="493"/>
      <c r="C612" s="455"/>
      <c r="D612" s="2847"/>
      <c r="E612" s="2922"/>
      <c r="F612" s="2780" t="str">
        <f t="shared" si="67"/>
        <v>CAC - SEER 20 ER2: MF</v>
      </c>
      <c r="G612" s="2781"/>
      <c r="H612" s="2782"/>
      <c r="I612" s="951"/>
      <c r="J612" s="952">
        <v>1</v>
      </c>
      <c r="K612" s="953"/>
      <c r="L612" s="954"/>
      <c r="M612" s="455"/>
      <c r="N612" s="2028"/>
      <c r="O612" s="455"/>
      <c r="P612" s="493"/>
      <c r="Q612" s="493"/>
      <c r="R612" s="493"/>
      <c r="S612" s="493"/>
      <c r="T612" s="493"/>
      <c r="U612" s="493"/>
      <c r="V612" s="2847"/>
      <c r="W612" s="952"/>
      <c r="X612" s="955"/>
      <c r="Y612" s="952"/>
      <c r="Z612" s="955">
        <v>1</v>
      </c>
      <c r="AA612" s="952"/>
      <c r="AB612" s="952"/>
      <c r="AC612" s="952"/>
      <c r="AD612" s="952"/>
      <c r="AE612" s="952"/>
      <c r="AF612" s="952"/>
      <c r="AG612" s="952"/>
      <c r="BB612" s="950"/>
      <c r="BC612" s="796"/>
      <c r="BD612" s="900"/>
      <c r="BE612" s="797"/>
    </row>
    <row r="613" spans="1:57" s="614" customFormat="1" ht="14.45" hidden="1" customHeight="1" outlineLevel="1" x14ac:dyDescent="0.25">
      <c r="A613" s="2038"/>
      <c r="B613" s="493"/>
      <c r="C613" s="455"/>
      <c r="D613" s="2847"/>
      <c r="E613" s="2922"/>
      <c r="F613" s="2780" t="str">
        <f t="shared" si="67"/>
        <v>CAC - SEER 20 ER1: MF_CompE</v>
      </c>
      <c r="G613" s="2781"/>
      <c r="H613" s="2782"/>
      <c r="I613" s="951"/>
      <c r="J613" s="952">
        <v>1</v>
      </c>
      <c r="K613" s="953"/>
      <c r="L613" s="954"/>
      <c r="M613" s="455"/>
      <c r="N613" s="2028"/>
      <c r="O613" s="455"/>
      <c r="P613" s="493"/>
      <c r="Q613" s="493"/>
      <c r="R613" s="493"/>
      <c r="S613" s="493"/>
      <c r="T613" s="493"/>
      <c r="U613" s="493"/>
      <c r="V613" s="2847"/>
      <c r="W613" s="952"/>
      <c r="X613" s="955"/>
      <c r="Y613" s="952"/>
      <c r="Z613" s="955">
        <v>1</v>
      </c>
      <c r="AA613" s="952"/>
      <c r="AB613" s="952"/>
      <c r="AC613" s="952"/>
      <c r="AD613" s="952"/>
      <c r="AE613" s="952"/>
      <c r="AF613" s="952"/>
      <c r="AG613" s="952"/>
      <c r="BB613" s="950"/>
      <c r="BC613" s="796"/>
      <c r="BD613" s="900"/>
      <c r="BE613" s="797"/>
    </row>
    <row r="614" spans="1:57" s="614" customFormat="1" ht="14.45" hidden="1" customHeight="1" outlineLevel="1" x14ac:dyDescent="0.25">
      <c r="A614" s="2038"/>
      <c r="B614" s="493"/>
      <c r="C614" s="455"/>
      <c r="D614" s="2847"/>
      <c r="E614" s="2922"/>
      <c r="F614" s="2780" t="str">
        <f t="shared" si="67"/>
        <v>CAC - SEER 20 ER2: MF_CompE</v>
      </c>
      <c r="G614" s="2781"/>
      <c r="H614" s="2782"/>
      <c r="I614" s="951"/>
      <c r="J614" s="952">
        <v>1</v>
      </c>
      <c r="K614" s="953"/>
      <c r="L614" s="954"/>
      <c r="M614" s="455"/>
      <c r="N614" s="2028"/>
      <c r="O614" s="455"/>
      <c r="P614" s="493"/>
      <c r="Q614" s="493"/>
      <c r="R614" s="493"/>
      <c r="S614" s="493"/>
      <c r="T614" s="493"/>
      <c r="U614" s="493"/>
      <c r="V614" s="2847"/>
      <c r="W614" s="952"/>
      <c r="X614" s="955"/>
      <c r="Y614" s="952"/>
      <c r="Z614" s="955">
        <v>1</v>
      </c>
      <c r="AA614" s="952"/>
      <c r="AB614" s="952"/>
      <c r="AC614" s="952"/>
      <c r="AD614" s="952"/>
      <c r="AE614" s="952"/>
      <c r="AF614" s="952"/>
      <c r="AG614" s="952"/>
      <c r="BB614" s="950"/>
      <c r="BC614" s="796"/>
      <c r="BD614" s="900"/>
      <c r="BE614" s="797"/>
    </row>
    <row r="615" spans="1:57" s="614" customFormat="1" ht="14.45" hidden="1" customHeight="1" outlineLevel="1" x14ac:dyDescent="0.25">
      <c r="A615" s="2038"/>
      <c r="B615" s="493"/>
      <c r="C615" s="455"/>
      <c r="D615" s="2847"/>
      <c r="E615" s="2922"/>
      <c r="F615" s="2780" t="str">
        <f t="shared" si="67"/>
        <v>CAC - SEER 20 ROF: MF</v>
      </c>
      <c r="G615" s="2781"/>
      <c r="H615" s="2782"/>
      <c r="I615" s="951"/>
      <c r="J615" s="952">
        <v>1</v>
      </c>
      <c r="K615" s="953"/>
      <c r="L615" s="954"/>
      <c r="M615" s="455"/>
      <c r="N615" s="2028"/>
      <c r="O615" s="455"/>
      <c r="P615" s="493"/>
      <c r="Q615" s="493"/>
      <c r="R615" s="493"/>
      <c r="S615" s="493"/>
      <c r="T615" s="493"/>
      <c r="U615" s="493"/>
      <c r="V615" s="2847"/>
      <c r="W615" s="952"/>
      <c r="X615" s="955"/>
      <c r="Y615" s="952"/>
      <c r="Z615" s="955">
        <v>1</v>
      </c>
      <c r="AA615" s="952"/>
      <c r="AB615" s="952"/>
      <c r="AC615" s="952"/>
      <c r="AD615" s="952"/>
      <c r="AE615" s="952"/>
      <c r="AF615" s="952"/>
      <c r="AG615" s="952"/>
      <c r="BB615" s="950"/>
      <c r="BC615" s="796"/>
      <c r="BD615" s="900"/>
      <c r="BE615" s="797"/>
    </row>
    <row r="616" spans="1:57" s="614" customFormat="1" ht="14.45" hidden="1" customHeight="1" outlineLevel="1" x14ac:dyDescent="0.25">
      <c r="A616" s="2038"/>
      <c r="B616" s="493"/>
      <c r="C616" s="455"/>
      <c r="D616" s="2847"/>
      <c r="E616" s="2922"/>
      <c r="F616" s="2780" t="str">
        <f t="shared" si="67"/>
        <v>CAC - SEER 20 ROF: MF_CompE</v>
      </c>
      <c r="G616" s="2781"/>
      <c r="H616" s="2782"/>
      <c r="I616" s="951"/>
      <c r="J616" s="952">
        <v>1</v>
      </c>
      <c r="K616" s="953"/>
      <c r="L616" s="954"/>
      <c r="M616" s="455"/>
      <c r="N616" s="2028"/>
      <c r="O616" s="455"/>
      <c r="P616" s="493"/>
      <c r="Q616" s="493"/>
      <c r="R616" s="493"/>
      <c r="S616" s="493"/>
      <c r="T616" s="493"/>
      <c r="U616" s="493"/>
      <c r="V616" s="2847"/>
      <c r="W616" s="952"/>
      <c r="X616" s="955"/>
      <c r="Y616" s="952"/>
      <c r="Z616" s="955">
        <v>1</v>
      </c>
      <c r="AA616" s="952"/>
      <c r="AB616" s="952"/>
      <c r="AC616" s="952"/>
      <c r="AD616" s="952"/>
      <c r="AE616" s="952"/>
      <c r="AF616" s="952"/>
      <c r="AG616" s="952"/>
      <c r="BB616" s="950"/>
      <c r="BC616" s="796"/>
      <c r="BD616" s="900"/>
      <c r="BE616" s="797"/>
    </row>
    <row r="617" spans="1:57" s="614" customFormat="1" ht="14.45" hidden="1" customHeight="1" outlineLevel="1" x14ac:dyDescent="0.25">
      <c r="A617" s="2038"/>
      <c r="B617" s="493"/>
      <c r="C617" s="455"/>
      <c r="D617" s="2847"/>
      <c r="E617" s="2922"/>
      <c r="F617" s="2780" t="str">
        <f t="shared" si="67"/>
        <v>CAC - SEER 21+ ER1: SF</v>
      </c>
      <c r="G617" s="2781"/>
      <c r="H617" s="2782"/>
      <c r="I617" s="951"/>
      <c r="J617" s="952">
        <v>1</v>
      </c>
      <c r="K617" s="953"/>
      <c r="L617" s="954"/>
      <c r="M617" s="455"/>
      <c r="N617" s="2028"/>
      <c r="O617" s="455"/>
      <c r="P617" s="493"/>
      <c r="Q617" s="493"/>
      <c r="R617" s="493"/>
      <c r="S617" s="493"/>
      <c r="T617" s="493"/>
      <c r="U617" s="493"/>
      <c r="V617" s="2847"/>
      <c r="W617" s="952"/>
      <c r="X617" s="952"/>
      <c r="Y617" s="952"/>
      <c r="Z617" s="955">
        <v>1</v>
      </c>
      <c r="AA617" s="952"/>
      <c r="AB617" s="952"/>
      <c r="AC617" s="952"/>
      <c r="AD617" s="952"/>
      <c r="AE617" s="952"/>
      <c r="AF617" s="952"/>
      <c r="AG617" s="952"/>
      <c r="BB617" s="950"/>
      <c r="BC617" s="796"/>
      <c r="BD617" s="900"/>
      <c r="BE617" s="797"/>
    </row>
    <row r="618" spans="1:57" s="614" customFormat="1" ht="14.45" hidden="1" customHeight="1" outlineLevel="1" x14ac:dyDescent="0.25">
      <c r="A618" s="2038"/>
      <c r="B618" s="493"/>
      <c r="C618" s="455"/>
      <c r="D618" s="2847"/>
      <c r="E618" s="2922"/>
      <c r="F618" s="2780" t="str">
        <f t="shared" si="67"/>
        <v>CAC - SEER 21+ ER2: SF</v>
      </c>
      <c r="G618" s="2781"/>
      <c r="H618" s="2782"/>
      <c r="I618" s="951"/>
      <c r="J618" s="952">
        <v>1</v>
      </c>
      <c r="K618" s="953"/>
      <c r="L618" s="954"/>
      <c r="M618" s="455"/>
      <c r="N618" s="2028"/>
      <c r="O618" s="455"/>
      <c r="P618" s="493"/>
      <c r="Q618" s="493"/>
      <c r="R618" s="493"/>
      <c r="S618" s="493"/>
      <c r="T618" s="493"/>
      <c r="U618" s="493"/>
      <c r="V618" s="2847"/>
      <c r="W618" s="952"/>
      <c r="X618" s="952"/>
      <c r="Y618" s="952"/>
      <c r="Z618" s="955">
        <v>1</v>
      </c>
      <c r="AA618" s="952"/>
      <c r="AB618" s="952"/>
      <c r="AC618" s="952"/>
      <c r="AD618" s="952"/>
      <c r="AE618" s="952"/>
      <c r="AF618" s="952"/>
      <c r="AG618" s="952"/>
      <c r="BB618" s="950"/>
      <c r="BC618" s="796"/>
      <c r="BD618" s="900"/>
      <c r="BE618" s="797"/>
    </row>
    <row r="619" spans="1:57" s="614" customFormat="1" ht="14.45" hidden="1" customHeight="1" outlineLevel="1" x14ac:dyDescent="0.25">
      <c r="A619" s="2038"/>
      <c r="B619" s="493"/>
      <c r="C619" s="455"/>
      <c r="D619" s="2847"/>
      <c r="E619" s="2922"/>
      <c r="F619" s="2780" t="str">
        <f t="shared" si="67"/>
        <v>CAC - SEER 21+ ROF: SF</v>
      </c>
      <c r="G619" s="2781"/>
      <c r="H619" s="2782"/>
      <c r="I619" s="951"/>
      <c r="J619" s="952">
        <v>1</v>
      </c>
      <c r="K619" s="953"/>
      <c r="L619" s="954"/>
      <c r="M619" s="455"/>
      <c r="N619" s="2028"/>
      <c r="O619" s="455"/>
      <c r="P619" s="493"/>
      <c r="Q619" s="493"/>
      <c r="R619" s="493"/>
      <c r="S619" s="493"/>
      <c r="T619" s="493"/>
      <c r="U619" s="493"/>
      <c r="V619" s="2847"/>
      <c r="W619" s="952"/>
      <c r="X619" s="952"/>
      <c r="Y619" s="952"/>
      <c r="Z619" s="955">
        <v>1</v>
      </c>
      <c r="AA619" s="952"/>
      <c r="AB619" s="952"/>
      <c r="AC619" s="952"/>
      <c r="AD619" s="952"/>
      <c r="AE619" s="952"/>
      <c r="AF619" s="952"/>
      <c r="AG619" s="952"/>
      <c r="BB619" s="950"/>
      <c r="BC619" s="796"/>
      <c r="BD619" s="900"/>
      <c r="BE619" s="797"/>
    </row>
    <row r="620" spans="1:57" s="614" customFormat="1" ht="14.45" hidden="1" customHeight="1" outlineLevel="1" x14ac:dyDescent="0.25">
      <c r="A620" s="2038"/>
      <c r="B620" s="493"/>
      <c r="C620" s="455"/>
      <c r="D620" s="2847"/>
      <c r="E620" s="2922"/>
      <c r="F620" s="2780" t="str">
        <f t="shared" si="67"/>
        <v>CAC - SEER 21+ ER1: MF</v>
      </c>
      <c r="G620" s="2781"/>
      <c r="H620" s="2782"/>
      <c r="I620" s="951"/>
      <c r="J620" s="952">
        <v>1</v>
      </c>
      <c r="K620" s="953"/>
      <c r="L620" s="954"/>
      <c r="M620" s="455"/>
      <c r="N620" s="2028"/>
      <c r="O620" s="455"/>
      <c r="P620" s="493"/>
      <c r="Q620" s="493"/>
      <c r="R620" s="493"/>
      <c r="S620" s="493"/>
      <c r="T620" s="493"/>
      <c r="U620" s="493"/>
      <c r="V620" s="2847"/>
      <c r="W620" s="952"/>
      <c r="X620" s="955"/>
      <c r="Y620" s="952"/>
      <c r="Z620" s="955">
        <v>1</v>
      </c>
      <c r="AA620" s="952"/>
      <c r="AB620" s="952"/>
      <c r="AC620" s="952"/>
      <c r="AD620" s="952"/>
      <c r="AE620" s="952"/>
      <c r="AF620" s="952"/>
      <c r="AG620" s="952"/>
      <c r="BB620" s="950"/>
      <c r="BC620" s="796"/>
      <c r="BD620" s="900"/>
      <c r="BE620" s="797"/>
    </row>
    <row r="621" spans="1:57" s="614" customFormat="1" ht="14.45" hidden="1" customHeight="1" outlineLevel="1" x14ac:dyDescent="0.25">
      <c r="A621" s="2038"/>
      <c r="B621" s="493"/>
      <c r="C621" s="455"/>
      <c r="D621" s="2847"/>
      <c r="E621" s="2922"/>
      <c r="F621" s="2780" t="str">
        <f t="shared" si="67"/>
        <v>CAC - SEER 21+ ER2: MF</v>
      </c>
      <c r="G621" s="2781"/>
      <c r="H621" s="2782"/>
      <c r="I621" s="951"/>
      <c r="J621" s="952">
        <v>1</v>
      </c>
      <c r="K621" s="953"/>
      <c r="L621" s="954"/>
      <c r="M621" s="455"/>
      <c r="N621" s="2028"/>
      <c r="O621" s="455"/>
      <c r="P621" s="493"/>
      <c r="Q621" s="493"/>
      <c r="R621" s="493"/>
      <c r="S621" s="493"/>
      <c r="T621" s="493"/>
      <c r="U621" s="493"/>
      <c r="V621" s="2847"/>
      <c r="W621" s="952"/>
      <c r="X621" s="955"/>
      <c r="Y621" s="952"/>
      <c r="Z621" s="955">
        <v>1</v>
      </c>
      <c r="AA621" s="952"/>
      <c r="AB621" s="952"/>
      <c r="AC621" s="952"/>
      <c r="AD621" s="952"/>
      <c r="AE621" s="952"/>
      <c r="AF621" s="952"/>
      <c r="AG621" s="952"/>
      <c r="BB621" s="950"/>
      <c r="BC621" s="796"/>
      <c r="BD621" s="900"/>
      <c r="BE621" s="797"/>
    </row>
    <row r="622" spans="1:57" s="614" customFormat="1" ht="14.45" hidden="1" customHeight="1" outlineLevel="1" x14ac:dyDescent="0.25">
      <c r="A622" s="2038"/>
      <c r="B622" s="493"/>
      <c r="C622" s="455"/>
      <c r="D622" s="2847"/>
      <c r="E622" s="2922"/>
      <c r="F622" s="2780" t="str">
        <f t="shared" si="67"/>
        <v>CAC - SEER 21+ ER1: MF_CompE</v>
      </c>
      <c r="G622" s="2781"/>
      <c r="H622" s="2782"/>
      <c r="I622" s="956"/>
      <c r="J622" s="952">
        <v>1</v>
      </c>
      <c r="K622" s="957"/>
      <c r="L622" s="958"/>
      <c r="M622" s="455"/>
      <c r="N622" s="2028"/>
      <c r="O622" s="455"/>
      <c r="P622" s="493"/>
      <c r="Q622" s="493"/>
      <c r="R622" s="493"/>
      <c r="S622" s="493"/>
      <c r="T622" s="493"/>
      <c r="U622" s="493"/>
      <c r="V622" s="2847"/>
      <c r="W622" s="959"/>
      <c r="X622" s="955"/>
      <c r="Y622" s="952"/>
      <c r="Z622" s="2580">
        <v>1</v>
      </c>
      <c r="AA622" s="959"/>
      <c r="AB622" s="959"/>
      <c r="AC622" s="959"/>
      <c r="AD622" s="959"/>
      <c r="AE622" s="959"/>
      <c r="AF622" s="959"/>
      <c r="AG622" s="959"/>
      <c r="BB622" s="950"/>
      <c r="BC622" s="796"/>
      <c r="BD622" s="900"/>
      <c r="BE622" s="797"/>
    </row>
    <row r="623" spans="1:57" s="614" customFormat="1" ht="14.45" hidden="1" customHeight="1" outlineLevel="1" x14ac:dyDescent="0.25">
      <c r="A623" s="2038"/>
      <c r="B623" s="493"/>
      <c r="C623" s="455"/>
      <c r="D623" s="2847"/>
      <c r="E623" s="2922"/>
      <c r="F623" s="2780" t="str">
        <f t="shared" si="67"/>
        <v>CAC - SEER 21+ ER2: MF_CompE</v>
      </c>
      <c r="G623" s="2781"/>
      <c r="H623" s="2782"/>
      <c r="I623" s="956"/>
      <c r="J623" s="952">
        <v>1</v>
      </c>
      <c r="K623" s="957"/>
      <c r="L623" s="958"/>
      <c r="M623" s="455"/>
      <c r="N623" s="2028"/>
      <c r="O623" s="455"/>
      <c r="P623" s="493"/>
      <c r="Q623" s="493"/>
      <c r="R623" s="493"/>
      <c r="S623" s="493"/>
      <c r="T623" s="493"/>
      <c r="U623" s="493"/>
      <c r="V623" s="2847"/>
      <c r="W623" s="959"/>
      <c r="X623" s="955"/>
      <c r="Y623" s="952"/>
      <c r="Z623" s="2580">
        <v>1</v>
      </c>
      <c r="AA623" s="959"/>
      <c r="AB623" s="959"/>
      <c r="AC623" s="959"/>
      <c r="AD623" s="959"/>
      <c r="AE623" s="959"/>
      <c r="AF623" s="959"/>
      <c r="AG623" s="959"/>
      <c r="BB623" s="950"/>
      <c r="BC623" s="796"/>
      <c r="BD623" s="900"/>
      <c r="BE623" s="797"/>
    </row>
    <row r="624" spans="1:57" s="614" customFormat="1" ht="14.45" hidden="1" customHeight="1" outlineLevel="1" x14ac:dyDescent="0.25">
      <c r="A624" s="2038"/>
      <c r="B624" s="493"/>
      <c r="C624" s="455"/>
      <c r="D624" s="2847"/>
      <c r="E624" s="2922"/>
      <c r="F624" s="2780" t="str">
        <f t="shared" si="67"/>
        <v>CAC - SEER 21+ ROF: MF</v>
      </c>
      <c r="G624" s="2781"/>
      <c r="H624" s="2782"/>
      <c r="I624" s="951"/>
      <c r="J624" s="952">
        <v>1</v>
      </c>
      <c r="K624" s="953"/>
      <c r="L624" s="954"/>
      <c r="M624" s="455"/>
      <c r="N624" s="2028"/>
      <c r="O624" s="455"/>
      <c r="P624" s="493"/>
      <c r="Q624" s="493"/>
      <c r="R624" s="493"/>
      <c r="S624" s="493"/>
      <c r="T624" s="493"/>
      <c r="U624" s="493"/>
      <c r="V624" s="2847"/>
      <c r="W624" s="952"/>
      <c r="X624" s="955"/>
      <c r="Y624" s="952"/>
      <c r="Z624" s="955">
        <v>1</v>
      </c>
      <c r="AA624" s="952"/>
      <c r="AB624" s="952"/>
      <c r="AC624" s="952"/>
      <c r="AD624" s="952"/>
      <c r="AE624" s="952"/>
      <c r="AF624" s="952"/>
      <c r="AG624" s="952"/>
      <c r="BB624" s="950"/>
      <c r="BC624" s="796"/>
      <c r="BD624" s="900"/>
      <c r="BE624" s="797"/>
    </row>
    <row r="625" spans="1:57" s="614" customFormat="1" ht="14.45" hidden="1" customHeight="1" outlineLevel="1" thickBot="1" x14ac:dyDescent="0.3">
      <c r="A625" s="2038"/>
      <c r="B625" s="493"/>
      <c r="C625" s="455"/>
      <c r="D625" s="2848"/>
      <c r="E625" s="2923"/>
      <c r="F625" s="2780" t="str">
        <f t="shared" si="67"/>
        <v>CAC - SEER 21+ ROF: MF_CompE</v>
      </c>
      <c r="G625" s="2781"/>
      <c r="H625" s="2782"/>
      <c r="I625" s="960"/>
      <c r="J625" s="952">
        <v>1</v>
      </c>
      <c r="K625" s="961"/>
      <c r="L625" s="962"/>
      <c r="M625" s="455"/>
      <c r="N625" s="2028"/>
      <c r="O625" s="455"/>
      <c r="P625" s="493"/>
      <c r="Q625" s="493"/>
      <c r="R625" s="493"/>
      <c r="S625" s="493"/>
      <c r="T625" s="493"/>
      <c r="U625" s="493"/>
      <c r="V625" s="2848"/>
      <c r="W625" s="963"/>
      <c r="X625" s="964"/>
      <c r="Y625" s="965"/>
      <c r="Z625" s="2581">
        <v>1</v>
      </c>
      <c r="AA625" s="963"/>
      <c r="AB625" s="963"/>
      <c r="AC625" s="963"/>
      <c r="AD625" s="963"/>
      <c r="AE625" s="963"/>
      <c r="AF625" s="963"/>
      <c r="AG625" s="963"/>
      <c r="BB625" s="950"/>
      <c r="BC625" s="796"/>
      <c r="BD625" s="900"/>
      <c r="BE625" s="797"/>
    </row>
    <row r="626" spans="1:57" s="614" customFormat="1" ht="14.45" hidden="1" customHeight="1" outlineLevel="1" x14ac:dyDescent="0.25">
      <c r="A626" s="2038"/>
      <c r="B626" s="493"/>
      <c r="C626" s="455"/>
      <c r="D626" s="2805" t="str">
        <f>J109</f>
        <v>EUL</v>
      </c>
      <c r="E626" s="2855" t="str">
        <f>E80</f>
        <v>End Useful Life</v>
      </c>
      <c r="F626" s="2776" t="str">
        <f t="shared" si="67"/>
        <v>CAC - SEER 14 ER1: SF</v>
      </c>
      <c r="G626" s="2777"/>
      <c r="H626" s="2778"/>
      <c r="I626" s="946"/>
      <c r="J626" s="966">
        <v>6</v>
      </c>
      <c r="K626" s="948"/>
      <c r="L626" s="949"/>
      <c r="M626" s="455"/>
      <c r="N626" s="2028"/>
      <c r="O626" s="455"/>
      <c r="P626" s="493"/>
      <c r="Q626" s="493"/>
      <c r="R626" s="493"/>
      <c r="S626" s="493"/>
      <c r="T626" s="493"/>
      <c r="U626" s="493"/>
      <c r="V626" s="2867" t="str">
        <f>D626</f>
        <v>EUL</v>
      </c>
      <c r="W626" s="967">
        <v>6</v>
      </c>
      <c r="X626" s="967">
        <v>6</v>
      </c>
      <c r="Y626" s="967">
        <v>6</v>
      </c>
      <c r="Z626" s="967"/>
      <c r="AA626" s="967"/>
      <c r="AB626" s="967"/>
      <c r="AC626" s="967"/>
      <c r="AD626" s="967"/>
      <c r="AE626" s="967"/>
      <c r="AF626" s="967"/>
      <c r="AG626" s="967"/>
      <c r="BB626" s="950"/>
      <c r="BC626" s="796"/>
      <c r="BD626" s="900"/>
      <c r="BE626" s="797"/>
    </row>
    <row r="627" spans="1:57" s="614" customFormat="1" ht="14.45" hidden="1" customHeight="1" outlineLevel="1" x14ac:dyDescent="0.25">
      <c r="A627" s="2038"/>
      <c r="B627" s="493"/>
      <c r="C627" s="455"/>
      <c r="D627" s="2806"/>
      <c r="E627" s="2856"/>
      <c r="F627" s="2783" t="str">
        <f t="shared" si="67"/>
        <v>CAC - SEER 14 ER2: SF</v>
      </c>
      <c r="G627" s="2784"/>
      <c r="H627" s="2785"/>
      <c r="I627" s="951"/>
      <c r="J627" s="968">
        <v>12</v>
      </c>
      <c r="K627" s="953"/>
      <c r="L627" s="954"/>
      <c r="M627" s="455"/>
      <c r="N627" s="2028"/>
      <c r="O627" s="455"/>
      <c r="P627" s="493"/>
      <c r="Q627" s="493"/>
      <c r="R627" s="493"/>
      <c r="S627" s="493"/>
      <c r="T627" s="493"/>
      <c r="U627" s="493"/>
      <c r="V627" s="2866"/>
      <c r="W627" s="969">
        <v>12</v>
      </c>
      <c r="X627" s="969">
        <v>12</v>
      </c>
      <c r="Y627" s="969">
        <v>12</v>
      </c>
      <c r="Z627" s="969"/>
      <c r="AA627" s="969"/>
      <c r="AB627" s="969"/>
      <c r="AC627" s="969"/>
      <c r="AD627" s="969"/>
      <c r="AE627" s="969"/>
      <c r="AF627" s="969"/>
      <c r="AG627" s="969"/>
      <c r="BB627" s="950"/>
      <c r="BC627" s="796"/>
      <c r="BD627" s="900"/>
      <c r="BE627" s="797"/>
    </row>
    <row r="628" spans="1:57" s="614" customFormat="1" ht="14.45" hidden="1" customHeight="1" outlineLevel="1" x14ac:dyDescent="0.25">
      <c r="A628" s="2038"/>
      <c r="B628" s="493"/>
      <c r="C628" s="455"/>
      <c r="D628" s="2806"/>
      <c r="E628" s="2856"/>
      <c r="F628" s="2783" t="str">
        <f t="shared" si="67"/>
        <v>CAC - SEER 14 ROF: SF</v>
      </c>
      <c r="G628" s="2784"/>
      <c r="H628" s="2785"/>
      <c r="I628" s="951"/>
      <c r="J628" s="968">
        <v>18</v>
      </c>
      <c r="K628" s="953"/>
      <c r="L628" s="954"/>
      <c r="M628" s="455"/>
      <c r="N628" s="2028"/>
      <c r="O628" s="455"/>
      <c r="P628" s="493"/>
      <c r="Q628" s="493"/>
      <c r="R628" s="493"/>
      <c r="S628" s="493"/>
      <c r="T628" s="493"/>
      <c r="U628" s="493"/>
      <c r="V628" s="2866"/>
      <c r="W628" s="969">
        <v>18</v>
      </c>
      <c r="X628" s="969">
        <v>18</v>
      </c>
      <c r="Y628" s="969">
        <v>18</v>
      </c>
      <c r="Z628" s="969"/>
      <c r="AA628" s="969"/>
      <c r="AB628" s="969"/>
      <c r="AC628" s="969"/>
      <c r="AD628" s="969"/>
      <c r="AE628" s="969"/>
      <c r="AF628" s="969"/>
      <c r="AG628" s="969"/>
      <c r="BB628" s="950"/>
      <c r="BC628" s="796"/>
      <c r="BD628" s="900"/>
      <c r="BE628" s="797"/>
    </row>
    <row r="629" spans="1:57" s="614" customFormat="1" ht="14.45" hidden="1" customHeight="1" outlineLevel="1" x14ac:dyDescent="0.25">
      <c r="A629" s="2038"/>
      <c r="B629" s="493"/>
      <c r="C629" s="455"/>
      <c r="D629" s="2806"/>
      <c r="E629" s="2856"/>
      <c r="F629" s="2757" t="str">
        <f t="shared" si="67"/>
        <v>CAC - SEER 14 ER1: MF</v>
      </c>
      <c r="G629" s="2758"/>
      <c r="H629" s="2759"/>
      <c r="I629" s="951"/>
      <c r="J629" s="968">
        <v>6</v>
      </c>
      <c r="K629" s="953"/>
      <c r="L629" s="954"/>
      <c r="M629" s="455"/>
      <c r="N629" s="2028"/>
      <c r="O629" s="455"/>
      <c r="P629" s="493"/>
      <c r="Q629" s="493"/>
      <c r="R629" s="493"/>
      <c r="S629" s="493"/>
      <c r="T629" s="493"/>
      <c r="U629" s="493"/>
      <c r="V629" s="2866"/>
      <c r="W629" s="969">
        <v>6</v>
      </c>
      <c r="X629" s="969">
        <v>6</v>
      </c>
      <c r="Y629" s="969">
        <v>6</v>
      </c>
      <c r="Z629" s="969"/>
      <c r="AA629" s="969"/>
      <c r="AB629" s="969"/>
      <c r="AC629" s="969"/>
      <c r="AD629" s="969"/>
      <c r="AE629" s="969"/>
      <c r="AF629" s="969"/>
      <c r="AG629" s="969"/>
      <c r="BB629" s="950"/>
      <c r="BC629" s="796"/>
      <c r="BD629" s="900"/>
      <c r="BE629" s="797"/>
    </row>
    <row r="630" spans="1:57" s="614" customFormat="1" ht="14.45" hidden="1" customHeight="1" outlineLevel="1" x14ac:dyDescent="0.25">
      <c r="A630" s="2038"/>
      <c r="B630" s="493"/>
      <c r="C630" s="455"/>
      <c r="D630" s="2806"/>
      <c r="E630" s="2856"/>
      <c r="F630" s="2757" t="str">
        <f t="shared" si="67"/>
        <v>CAC - SEER 14 ER2: MF</v>
      </c>
      <c r="G630" s="2758"/>
      <c r="H630" s="2759"/>
      <c r="I630" s="951"/>
      <c r="J630" s="968">
        <v>12</v>
      </c>
      <c r="K630" s="953"/>
      <c r="L630" s="954"/>
      <c r="M630" s="455"/>
      <c r="N630" s="2028"/>
      <c r="O630" s="455"/>
      <c r="P630" s="493"/>
      <c r="Q630" s="493"/>
      <c r="R630" s="493"/>
      <c r="S630" s="493"/>
      <c r="T630" s="493"/>
      <c r="U630" s="493"/>
      <c r="V630" s="2866"/>
      <c r="W630" s="969">
        <v>12</v>
      </c>
      <c r="X630" s="969">
        <v>12</v>
      </c>
      <c r="Y630" s="969">
        <v>12</v>
      </c>
      <c r="Z630" s="969"/>
      <c r="AA630" s="969"/>
      <c r="AB630" s="969"/>
      <c r="AC630" s="969"/>
      <c r="AD630" s="969"/>
      <c r="AE630" s="969"/>
      <c r="AF630" s="969"/>
      <c r="AG630" s="969"/>
      <c r="BB630" s="950"/>
      <c r="BC630" s="796"/>
      <c r="BD630" s="900"/>
      <c r="BE630" s="797"/>
    </row>
    <row r="631" spans="1:57" s="614" customFormat="1" ht="14.45" hidden="1" customHeight="1" outlineLevel="1" x14ac:dyDescent="0.25">
      <c r="A631" s="2038"/>
      <c r="B631" s="493"/>
      <c r="C631" s="455"/>
      <c r="D631" s="2806"/>
      <c r="E631" s="2856"/>
      <c r="F631" s="2757" t="str">
        <f t="shared" si="67"/>
        <v>CAC - SEER 14 ER1: MF_CompE</v>
      </c>
      <c r="G631" s="2758"/>
      <c r="H631" s="2759"/>
      <c r="I631" s="951"/>
      <c r="J631" s="968">
        <v>6</v>
      </c>
      <c r="K631" s="953"/>
      <c r="L631" s="954"/>
      <c r="M631" s="455"/>
      <c r="N631" s="2028"/>
      <c r="O631" s="455"/>
      <c r="P631" s="493"/>
      <c r="Q631" s="493"/>
      <c r="R631" s="493"/>
      <c r="S631" s="493"/>
      <c r="T631" s="493"/>
      <c r="U631" s="493"/>
      <c r="V631" s="2866"/>
      <c r="W631" s="969"/>
      <c r="X631" s="969"/>
      <c r="Y631" s="969">
        <v>6</v>
      </c>
      <c r="Z631" s="969"/>
      <c r="AA631" s="969"/>
      <c r="AB631" s="969"/>
      <c r="AC631" s="969"/>
      <c r="AD631" s="969"/>
      <c r="AE631" s="969"/>
      <c r="AF631" s="969"/>
      <c r="AG631" s="969"/>
      <c r="BB631" s="950"/>
      <c r="BC631" s="796"/>
      <c r="BD631" s="900"/>
      <c r="BE631" s="797"/>
    </row>
    <row r="632" spans="1:57" s="614" customFormat="1" ht="14.45" hidden="1" customHeight="1" outlineLevel="1" x14ac:dyDescent="0.25">
      <c r="A632" s="2038"/>
      <c r="B632" s="493"/>
      <c r="C632" s="455"/>
      <c r="D632" s="2806"/>
      <c r="E632" s="2856"/>
      <c r="F632" s="2757" t="str">
        <f t="shared" si="67"/>
        <v>CAC - SEER 14 ER2: MF_CompE</v>
      </c>
      <c r="G632" s="2758"/>
      <c r="H632" s="2759"/>
      <c r="I632" s="951"/>
      <c r="J632" s="968">
        <v>12</v>
      </c>
      <c r="K632" s="953"/>
      <c r="L632" s="954"/>
      <c r="M632" s="455"/>
      <c r="N632" s="2028"/>
      <c r="O632" s="455"/>
      <c r="P632" s="493"/>
      <c r="Q632" s="493"/>
      <c r="R632" s="493"/>
      <c r="S632" s="493"/>
      <c r="T632" s="493"/>
      <c r="U632" s="493"/>
      <c r="V632" s="2866"/>
      <c r="W632" s="969"/>
      <c r="X632" s="969"/>
      <c r="Y632" s="969">
        <v>12</v>
      </c>
      <c r="Z632" s="969"/>
      <c r="AA632" s="969"/>
      <c r="AB632" s="969"/>
      <c r="AC632" s="969"/>
      <c r="AD632" s="969"/>
      <c r="AE632" s="969"/>
      <c r="AF632" s="969"/>
      <c r="AG632" s="969"/>
      <c r="BB632" s="950"/>
      <c r="BC632" s="796"/>
      <c r="BD632" s="900"/>
      <c r="BE632" s="797"/>
    </row>
    <row r="633" spans="1:57" s="614" customFormat="1" ht="14.45" hidden="1" customHeight="1" outlineLevel="1" x14ac:dyDescent="0.25">
      <c r="A633" s="2038"/>
      <c r="B633" s="493"/>
      <c r="C633" s="455"/>
      <c r="D633" s="2806"/>
      <c r="E633" s="2856"/>
      <c r="F633" s="2757" t="str">
        <f t="shared" si="67"/>
        <v>CAC - SEER 14 ROF: MF</v>
      </c>
      <c r="G633" s="2758"/>
      <c r="H633" s="2759"/>
      <c r="I633" s="951"/>
      <c r="J633" s="968">
        <v>16</v>
      </c>
      <c r="K633" s="953"/>
      <c r="L633" s="954"/>
      <c r="M633" s="455"/>
      <c r="N633" s="2028"/>
      <c r="O633" s="455"/>
      <c r="P633" s="493"/>
      <c r="Q633" s="493"/>
      <c r="R633" s="493"/>
      <c r="S633" s="493"/>
      <c r="T633" s="493"/>
      <c r="U633" s="493"/>
      <c r="V633" s="2866"/>
      <c r="W633" s="969">
        <v>16</v>
      </c>
      <c r="X633" s="969">
        <v>16</v>
      </c>
      <c r="Y633" s="970">
        <v>18</v>
      </c>
      <c r="Z633" s="969"/>
      <c r="AA633" s="969"/>
      <c r="AB633" s="969"/>
      <c r="AC633" s="969"/>
      <c r="AD633" s="969"/>
      <c r="AE633" s="969"/>
      <c r="AF633" s="969"/>
      <c r="AG633" s="969"/>
      <c r="BB633" s="950"/>
      <c r="BC633" s="796"/>
      <c r="BD633" s="900"/>
      <c r="BE633" s="797"/>
    </row>
    <row r="634" spans="1:57" s="614" customFormat="1" ht="14.45" hidden="1" customHeight="1" outlineLevel="1" x14ac:dyDescent="0.25">
      <c r="A634" s="2038"/>
      <c r="B634" s="493"/>
      <c r="C634" s="455"/>
      <c r="D634" s="2806"/>
      <c r="E634" s="2856"/>
      <c r="F634" s="2757" t="str">
        <f t="shared" si="67"/>
        <v>CAC - SEER 14 ROF: MF_CompE</v>
      </c>
      <c r="G634" s="2758"/>
      <c r="H634" s="2759"/>
      <c r="I634" s="951"/>
      <c r="J634" s="968">
        <v>18</v>
      </c>
      <c r="K634" s="953"/>
      <c r="L634" s="954"/>
      <c r="M634" s="455"/>
      <c r="N634" s="2028"/>
      <c r="O634" s="455"/>
      <c r="P634" s="493"/>
      <c r="Q634" s="493"/>
      <c r="R634" s="493"/>
      <c r="S634" s="493"/>
      <c r="T634" s="493"/>
      <c r="U634" s="493"/>
      <c r="V634" s="2866"/>
      <c r="W634" s="969"/>
      <c r="X634" s="969"/>
      <c r="Y634" s="969">
        <v>18</v>
      </c>
      <c r="Z634" s="969"/>
      <c r="AA634" s="969"/>
      <c r="AB634" s="969"/>
      <c r="AC634" s="969"/>
      <c r="AD634" s="969"/>
      <c r="AE634" s="969"/>
      <c r="AF634" s="969"/>
      <c r="AG634" s="969"/>
      <c r="BB634" s="950"/>
      <c r="BC634" s="796"/>
      <c r="BD634" s="900"/>
      <c r="BE634" s="797"/>
    </row>
    <row r="635" spans="1:57" s="614" customFormat="1" ht="14.45" hidden="1" customHeight="1" outlineLevel="1" x14ac:dyDescent="0.25">
      <c r="A635" s="2038"/>
      <c r="B635" s="493"/>
      <c r="C635" s="455"/>
      <c r="D635" s="2806"/>
      <c r="E635" s="2856"/>
      <c r="F635" s="2757" t="str">
        <f t="shared" si="67"/>
        <v>CAC - SEER 15 ER1: SF</v>
      </c>
      <c r="G635" s="2758"/>
      <c r="H635" s="2759"/>
      <c r="I635" s="951"/>
      <c r="J635" s="968">
        <v>6</v>
      </c>
      <c r="K635" s="953"/>
      <c r="L635" s="954"/>
      <c r="M635" s="455"/>
      <c r="N635" s="2028"/>
      <c r="O635" s="455"/>
      <c r="P635" s="493"/>
      <c r="Q635" s="493"/>
      <c r="R635" s="493"/>
      <c r="S635" s="493"/>
      <c r="T635" s="493"/>
      <c r="U635" s="493"/>
      <c r="V635" s="2866"/>
      <c r="W635" s="969">
        <v>6</v>
      </c>
      <c r="X635" s="969">
        <v>6</v>
      </c>
      <c r="Y635" s="969">
        <v>6</v>
      </c>
      <c r="Z635" s="969"/>
      <c r="AA635" s="969"/>
      <c r="AB635" s="969"/>
      <c r="AC635" s="969"/>
      <c r="AD635" s="969"/>
      <c r="AE635" s="969"/>
      <c r="AF635" s="969"/>
      <c r="AG635" s="969"/>
      <c r="BB635" s="950"/>
      <c r="BC635" s="796"/>
      <c r="BD635" s="900"/>
      <c r="BE635" s="797"/>
    </row>
    <row r="636" spans="1:57" s="614" customFormat="1" ht="14.45" hidden="1" customHeight="1" outlineLevel="1" x14ac:dyDescent="0.25">
      <c r="A636" s="2038"/>
      <c r="B636" s="493"/>
      <c r="C636" s="455"/>
      <c r="D636" s="2806"/>
      <c r="E636" s="2856"/>
      <c r="F636" s="2757" t="str">
        <f t="shared" si="67"/>
        <v>CAC - SEER 15 ER2: SF</v>
      </c>
      <c r="G636" s="2758"/>
      <c r="H636" s="2759"/>
      <c r="I636" s="951"/>
      <c r="J636" s="968">
        <v>12</v>
      </c>
      <c r="K636" s="953"/>
      <c r="L636" s="954"/>
      <c r="M636" s="455"/>
      <c r="N636" s="2028"/>
      <c r="O636" s="455"/>
      <c r="P636" s="493"/>
      <c r="Q636" s="493"/>
      <c r="R636" s="493"/>
      <c r="S636" s="493"/>
      <c r="T636" s="493"/>
      <c r="U636" s="493"/>
      <c r="V636" s="2866"/>
      <c r="W636" s="969">
        <v>12</v>
      </c>
      <c r="X636" s="969">
        <v>12</v>
      </c>
      <c r="Y636" s="969">
        <v>12</v>
      </c>
      <c r="Z636" s="969"/>
      <c r="AA636" s="969"/>
      <c r="AB636" s="969"/>
      <c r="AC636" s="969"/>
      <c r="AD636" s="969"/>
      <c r="AE636" s="969"/>
      <c r="AF636" s="969"/>
      <c r="AG636" s="969"/>
      <c r="BB636" s="950"/>
      <c r="BC636" s="796"/>
      <c r="BD636" s="900"/>
      <c r="BE636" s="797"/>
    </row>
    <row r="637" spans="1:57" s="614" customFormat="1" ht="14.45" hidden="1" customHeight="1" outlineLevel="1" x14ac:dyDescent="0.25">
      <c r="A637" s="2038"/>
      <c r="B637" s="493"/>
      <c r="C637" s="455"/>
      <c r="D637" s="2806"/>
      <c r="E637" s="2856"/>
      <c r="F637" s="2757" t="str">
        <f t="shared" si="67"/>
        <v>CAC - SEER 15 ROF: SF</v>
      </c>
      <c r="G637" s="2758"/>
      <c r="H637" s="2759"/>
      <c r="I637" s="951"/>
      <c r="J637" s="968">
        <v>18</v>
      </c>
      <c r="K637" s="953"/>
      <c r="L637" s="954"/>
      <c r="M637" s="455"/>
      <c r="N637" s="2028"/>
      <c r="O637" s="455"/>
      <c r="P637" s="493"/>
      <c r="Q637" s="493"/>
      <c r="R637" s="493"/>
      <c r="S637" s="493"/>
      <c r="T637" s="493"/>
      <c r="U637" s="493"/>
      <c r="V637" s="2866"/>
      <c r="W637" s="969">
        <v>18</v>
      </c>
      <c r="X637" s="969">
        <v>18</v>
      </c>
      <c r="Y637" s="969">
        <v>18</v>
      </c>
      <c r="Z637" s="969"/>
      <c r="AA637" s="969"/>
      <c r="AB637" s="969"/>
      <c r="AC637" s="969"/>
      <c r="AD637" s="969"/>
      <c r="AE637" s="969"/>
      <c r="AF637" s="969"/>
      <c r="AG637" s="969"/>
      <c r="BB637" s="950"/>
      <c r="BC637" s="796"/>
      <c r="BD637" s="900"/>
      <c r="BE637" s="797"/>
    </row>
    <row r="638" spans="1:57" s="614" customFormat="1" ht="14.45" hidden="1" customHeight="1" outlineLevel="1" x14ac:dyDescent="0.25">
      <c r="A638" s="2038"/>
      <c r="B638" s="493"/>
      <c r="C638" s="455"/>
      <c r="D638" s="2806"/>
      <c r="E638" s="2856"/>
      <c r="F638" s="2757" t="str">
        <f t="shared" si="67"/>
        <v>CAC - SEER 15 ER1: MF</v>
      </c>
      <c r="G638" s="2758"/>
      <c r="H638" s="2759"/>
      <c r="I638" s="951"/>
      <c r="J638" s="968">
        <v>6</v>
      </c>
      <c r="K638" s="953"/>
      <c r="L638" s="954"/>
      <c r="M638" s="455"/>
      <c r="N638" s="2028"/>
      <c r="O638" s="455"/>
      <c r="P638" s="493"/>
      <c r="Q638" s="493"/>
      <c r="R638" s="493"/>
      <c r="S638" s="493"/>
      <c r="T638" s="493"/>
      <c r="U638" s="493"/>
      <c r="V638" s="2866"/>
      <c r="W638" s="969">
        <v>6</v>
      </c>
      <c r="X638" s="969">
        <v>6</v>
      </c>
      <c r="Y638" s="969">
        <v>6</v>
      </c>
      <c r="Z638" s="969"/>
      <c r="AA638" s="969"/>
      <c r="AB638" s="969"/>
      <c r="AC638" s="969"/>
      <c r="AD638" s="969"/>
      <c r="AE638" s="969"/>
      <c r="AF638" s="969"/>
      <c r="AG638" s="969"/>
      <c r="BB638" s="950"/>
      <c r="BC638" s="796"/>
      <c r="BD638" s="900"/>
      <c r="BE638" s="797"/>
    </row>
    <row r="639" spans="1:57" s="614" customFormat="1" ht="14.45" hidden="1" customHeight="1" outlineLevel="1" x14ac:dyDescent="0.25">
      <c r="A639" s="2038"/>
      <c r="B639" s="493"/>
      <c r="C639" s="455"/>
      <c r="D639" s="2806"/>
      <c r="E639" s="2856"/>
      <c r="F639" s="2757" t="str">
        <f t="shared" si="67"/>
        <v>CAC - SEER 15 ER2: MF</v>
      </c>
      <c r="G639" s="2758"/>
      <c r="H639" s="2759"/>
      <c r="I639" s="951"/>
      <c r="J639" s="968">
        <v>12</v>
      </c>
      <c r="K639" s="953"/>
      <c r="L639" s="954"/>
      <c r="M639" s="455"/>
      <c r="N639" s="2028"/>
      <c r="O639" s="455"/>
      <c r="P639" s="493"/>
      <c r="Q639" s="493"/>
      <c r="R639" s="493"/>
      <c r="S639" s="493"/>
      <c r="T639" s="493"/>
      <c r="U639" s="493"/>
      <c r="V639" s="2866"/>
      <c r="W639" s="969">
        <v>12</v>
      </c>
      <c r="X639" s="969">
        <v>12</v>
      </c>
      <c r="Y639" s="969">
        <v>12</v>
      </c>
      <c r="Z639" s="969"/>
      <c r="AA639" s="969"/>
      <c r="AB639" s="969"/>
      <c r="AC639" s="969"/>
      <c r="AD639" s="969"/>
      <c r="AE639" s="969"/>
      <c r="AF639" s="969"/>
      <c r="AG639" s="969"/>
      <c r="BB639" s="950"/>
      <c r="BC639" s="796"/>
      <c r="BD639" s="900"/>
      <c r="BE639" s="797"/>
    </row>
    <row r="640" spans="1:57" s="614" customFormat="1" ht="14.45" hidden="1" customHeight="1" outlineLevel="1" x14ac:dyDescent="0.25">
      <c r="A640" s="2038"/>
      <c r="B640" s="493"/>
      <c r="C640" s="455"/>
      <c r="D640" s="2806"/>
      <c r="E640" s="2856"/>
      <c r="F640" s="2757" t="str">
        <f t="shared" si="67"/>
        <v>CAC - SEER 15 ER1: MF_CompE</v>
      </c>
      <c r="G640" s="2758"/>
      <c r="H640" s="2759"/>
      <c r="I640" s="951"/>
      <c r="J640" s="968">
        <v>6</v>
      </c>
      <c r="K640" s="953"/>
      <c r="L640" s="954"/>
      <c r="M640" s="455"/>
      <c r="N640" s="2028"/>
      <c r="O640" s="455"/>
      <c r="P640" s="493"/>
      <c r="Q640" s="493"/>
      <c r="R640" s="493"/>
      <c r="S640" s="493"/>
      <c r="T640" s="493"/>
      <c r="U640" s="493"/>
      <c r="V640" s="2866"/>
      <c r="W640" s="969"/>
      <c r="X640" s="969"/>
      <c r="Y640" s="969">
        <v>6</v>
      </c>
      <c r="Z640" s="969"/>
      <c r="AA640" s="969"/>
      <c r="AB640" s="969"/>
      <c r="AC640" s="969"/>
      <c r="AD640" s="969"/>
      <c r="AE640" s="969"/>
      <c r="AF640" s="969"/>
      <c r="AG640" s="969"/>
      <c r="BB640" s="950"/>
      <c r="BC640" s="796"/>
      <c r="BD640" s="900"/>
      <c r="BE640" s="797"/>
    </row>
    <row r="641" spans="1:57" s="614" customFormat="1" ht="14.45" hidden="1" customHeight="1" outlineLevel="1" x14ac:dyDescent="0.25">
      <c r="A641" s="2038"/>
      <c r="B641" s="493"/>
      <c r="C641" s="455"/>
      <c r="D641" s="2806"/>
      <c r="E641" s="2856"/>
      <c r="F641" s="2757" t="str">
        <f t="shared" si="67"/>
        <v>CAC - SEER 15 ER2: MF_CompE</v>
      </c>
      <c r="G641" s="2758"/>
      <c r="H641" s="2759"/>
      <c r="I641" s="951"/>
      <c r="J641" s="968">
        <v>12</v>
      </c>
      <c r="K641" s="953"/>
      <c r="L641" s="954"/>
      <c r="M641" s="455"/>
      <c r="N641" s="2028"/>
      <c r="O641" s="455"/>
      <c r="P641" s="493"/>
      <c r="Q641" s="493"/>
      <c r="R641" s="493"/>
      <c r="S641" s="493"/>
      <c r="T641" s="493"/>
      <c r="U641" s="493"/>
      <c r="V641" s="2866"/>
      <c r="W641" s="969"/>
      <c r="X641" s="969"/>
      <c r="Y641" s="969">
        <v>12</v>
      </c>
      <c r="Z641" s="969"/>
      <c r="AA641" s="969"/>
      <c r="AB641" s="969"/>
      <c r="AC641" s="969"/>
      <c r="AD641" s="969"/>
      <c r="AE641" s="969"/>
      <c r="AF641" s="969"/>
      <c r="AG641" s="969"/>
      <c r="BB641" s="950"/>
      <c r="BC641" s="796"/>
      <c r="BD641" s="900"/>
      <c r="BE641" s="797"/>
    </row>
    <row r="642" spans="1:57" s="614" customFormat="1" ht="14.45" hidden="1" customHeight="1" outlineLevel="1" x14ac:dyDescent="0.25">
      <c r="A642" s="2038"/>
      <c r="B642" s="493"/>
      <c r="C642" s="455"/>
      <c r="D642" s="2806"/>
      <c r="E642" s="2856"/>
      <c r="F642" s="2757" t="str">
        <f t="shared" si="67"/>
        <v>CAC - SEER 15 ROF: MF</v>
      </c>
      <c r="G642" s="2758"/>
      <c r="H642" s="2759"/>
      <c r="I642" s="951"/>
      <c r="J642" s="968">
        <v>18</v>
      </c>
      <c r="K642" s="953"/>
      <c r="L642" s="954"/>
      <c r="M642" s="455"/>
      <c r="N642" s="2028"/>
      <c r="O642" s="455"/>
      <c r="P642" s="493"/>
      <c r="Q642" s="493"/>
      <c r="R642" s="493"/>
      <c r="S642" s="493"/>
      <c r="T642" s="493"/>
      <c r="U642" s="493"/>
      <c r="V642" s="2866"/>
      <c r="W642" s="969">
        <v>18</v>
      </c>
      <c r="X642" s="969">
        <v>18</v>
      </c>
      <c r="Y642" s="969">
        <v>18</v>
      </c>
      <c r="Z642" s="969"/>
      <c r="AA642" s="969"/>
      <c r="AB642" s="969"/>
      <c r="AC642" s="969"/>
      <c r="AD642" s="969"/>
      <c r="AE642" s="969"/>
      <c r="AF642" s="969"/>
      <c r="AG642" s="969"/>
      <c r="BB642" s="950"/>
      <c r="BC642" s="796"/>
      <c r="BD642" s="900"/>
      <c r="BE642" s="797"/>
    </row>
    <row r="643" spans="1:57" s="614" customFormat="1" ht="14.45" hidden="1" customHeight="1" outlineLevel="1" x14ac:dyDescent="0.25">
      <c r="A643" s="2038"/>
      <c r="B643" s="493"/>
      <c r="C643" s="455"/>
      <c r="D643" s="2806"/>
      <c r="E643" s="2856"/>
      <c r="F643" s="2757" t="str">
        <f t="shared" si="67"/>
        <v>CAC - SEER 15 ROF: MF_CompE</v>
      </c>
      <c r="G643" s="2758"/>
      <c r="H643" s="2759"/>
      <c r="I643" s="951"/>
      <c r="J643" s="968">
        <v>18</v>
      </c>
      <c r="K643" s="953"/>
      <c r="L643" s="954"/>
      <c r="M643" s="455"/>
      <c r="N643" s="2028"/>
      <c r="O643" s="455"/>
      <c r="P643" s="493"/>
      <c r="Q643" s="493"/>
      <c r="R643" s="493"/>
      <c r="S643" s="493"/>
      <c r="T643" s="493"/>
      <c r="U643" s="493"/>
      <c r="V643" s="2866"/>
      <c r="W643" s="969"/>
      <c r="X643" s="969"/>
      <c r="Y643" s="969">
        <v>18</v>
      </c>
      <c r="Z643" s="969"/>
      <c r="AA643" s="969"/>
      <c r="AB643" s="969"/>
      <c r="AC643" s="969"/>
      <c r="AD643" s="969"/>
      <c r="AE643" s="969"/>
      <c r="AF643" s="969"/>
      <c r="AG643" s="969"/>
      <c r="BB643" s="950"/>
      <c r="BC643" s="796"/>
      <c r="BD643" s="900"/>
      <c r="BE643" s="797"/>
    </row>
    <row r="644" spans="1:57" s="614" customFormat="1" ht="14.45" hidden="1" customHeight="1" outlineLevel="1" x14ac:dyDescent="0.25">
      <c r="A644" s="2038"/>
      <c r="B644" s="493"/>
      <c r="C644" s="455"/>
      <c r="D644" s="2806"/>
      <c r="E644" s="2856"/>
      <c r="F644" s="2757" t="str">
        <f t="shared" si="67"/>
        <v>CAC - SEER 16 ER1: SF</v>
      </c>
      <c r="G644" s="2758"/>
      <c r="H644" s="2759"/>
      <c r="I644" s="951"/>
      <c r="J644" s="968">
        <v>6</v>
      </c>
      <c r="K644" s="953"/>
      <c r="L644" s="954"/>
      <c r="M644" s="455"/>
      <c r="N644" s="2028"/>
      <c r="O644" s="455"/>
      <c r="P644" s="493"/>
      <c r="Q644" s="493"/>
      <c r="R644" s="493"/>
      <c r="S644" s="493"/>
      <c r="T644" s="493"/>
      <c r="U644" s="493"/>
      <c r="V644" s="2866"/>
      <c r="W644" s="969">
        <v>6</v>
      </c>
      <c r="X644" s="969">
        <v>6</v>
      </c>
      <c r="Y644" s="969">
        <v>6</v>
      </c>
      <c r="Z644" s="969"/>
      <c r="AA644" s="969"/>
      <c r="AB644" s="969"/>
      <c r="AC644" s="969"/>
      <c r="AD644" s="969"/>
      <c r="AE644" s="969"/>
      <c r="AF644" s="969"/>
      <c r="AG644" s="969"/>
      <c r="BB644" s="950"/>
      <c r="BC644" s="796"/>
      <c r="BD644" s="900"/>
      <c r="BE644" s="797"/>
    </row>
    <row r="645" spans="1:57" s="614" customFormat="1" ht="14.45" hidden="1" customHeight="1" outlineLevel="1" x14ac:dyDescent="0.25">
      <c r="A645" s="2038"/>
      <c r="B645" s="493"/>
      <c r="C645" s="455"/>
      <c r="D645" s="2806"/>
      <c r="E645" s="2856"/>
      <c r="F645" s="2757" t="str">
        <f t="shared" si="67"/>
        <v>CAC - SEER 16 ER2: SF</v>
      </c>
      <c r="G645" s="2758"/>
      <c r="H645" s="2759"/>
      <c r="I645" s="951"/>
      <c r="J645" s="968">
        <v>12</v>
      </c>
      <c r="K645" s="953"/>
      <c r="L645" s="954"/>
      <c r="M645" s="455"/>
      <c r="N645" s="2028"/>
      <c r="O645" s="455"/>
      <c r="P645" s="493"/>
      <c r="Q645" s="493"/>
      <c r="R645" s="493"/>
      <c r="S645" s="493"/>
      <c r="T645" s="493"/>
      <c r="U645" s="493"/>
      <c r="V645" s="2866"/>
      <c r="W645" s="969">
        <v>12</v>
      </c>
      <c r="X645" s="969">
        <v>12</v>
      </c>
      <c r="Y645" s="969">
        <v>12</v>
      </c>
      <c r="Z645" s="969"/>
      <c r="AA645" s="969"/>
      <c r="AB645" s="969"/>
      <c r="AC645" s="969"/>
      <c r="AD645" s="969"/>
      <c r="AE645" s="969"/>
      <c r="AF645" s="969"/>
      <c r="AG645" s="969"/>
      <c r="BB645" s="950"/>
      <c r="BC645" s="796"/>
      <c r="BD645" s="900"/>
      <c r="BE645" s="797"/>
    </row>
    <row r="646" spans="1:57" s="614" customFormat="1" ht="14.45" hidden="1" customHeight="1" outlineLevel="1" x14ac:dyDescent="0.25">
      <c r="A646" s="2038"/>
      <c r="B646" s="493"/>
      <c r="C646" s="455"/>
      <c r="D646" s="2806"/>
      <c r="E646" s="2856"/>
      <c r="F646" s="2757" t="str">
        <f t="shared" si="67"/>
        <v>CAC - SEER 16 ROF: SF</v>
      </c>
      <c r="G646" s="2758"/>
      <c r="H646" s="2759"/>
      <c r="I646" s="951"/>
      <c r="J646" s="968">
        <v>18</v>
      </c>
      <c r="K646" s="953"/>
      <c r="L646" s="954"/>
      <c r="M646" s="455"/>
      <c r="N646" s="2028"/>
      <c r="O646" s="455"/>
      <c r="P646" s="493"/>
      <c r="Q646" s="493"/>
      <c r="R646" s="493"/>
      <c r="S646" s="493"/>
      <c r="T646" s="493"/>
      <c r="U646" s="493"/>
      <c r="V646" s="2866"/>
      <c r="W646" s="969">
        <v>18</v>
      </c>
      <c r="X646" s="969">
        <v>18</v>
      </c>
      <c r="Y646" s="969">
        <v>18</v>
      </c>
      <c r="Z646" s="969"/>
      <c r="AA646" s="969"/>
      <c r="AB646" s="969"/>
      <c r="AC646" s="969"/>
      <c r="AD646" s="969"/>
      <c r="AE646" s="969"/>
      <c r="AF646" s="969"/>
      <c r="AG646" s="969"/>
      <c r="BB646" s="950"/>
      <c r="BC646" s="796"/>
      <c r="BD646" s="900"/>
      <c r="BE646" s="797"/>
    </row>
    <row r="647" spans="1:57" s="614" customFormat="1" ht="14.45" hidden="1" customHeight="1" outlineLevel="1" x14ac:dyDescent="0.25">
      <c r="A647" s="2038"/>
      <c r="B647" s="493"/>
      <c r="C647" s="455"/>
      <c r="D647" s="2806"/>
      <c r="E647" s="2856"/>
      <c r="F647" s="2757" t="str">
        <f t="shared" si="67"/>
        <v>CAC - SEER 16 ER1: MF</v>
      </c>
      <c r="G647" s="2758"/>
      <c r="H647" s="2759"/>
      <c r="I647" s="951"/>
      <c r="J647" s="968">
        <v>6</v>
      </c>
      <c r="K647" s="953"/>
      <c r="L647" s="954"/>
      <c r="M647" s="455"/>
      <c r="N647" s="2028"/>
      <c r="O647" s="455"/>
      <c r="P647" s="493"/>
      <c r="Q647" s="493"/>
      <c r="R647" s="493"/>
      <c r="S647" s="493"/>
      <c r="T647" s="493"/>
      <c r="U647" s="493"/>
      <c r="V647" s="2866"/>
      <c r="W647" s="969">
        <v>6</v>
      </c>
      <c r="X647" s="969">
        <v>6</v>
      </c>
      <c r="Y647" s="969">
        <v>6</v>
      </c>
      <c r="Z647" s="969"/>
      <c r="AA647" s="969"/>
      <c r="AB647" s="969"/>
      <c r="AC647" s="969"/>
      <c r="AD647" s="969"/>
      <c r="AE647" s="969"/>
      <c r="AF647" s="969"/>
      <c r="AG647" s="969"/>
      <c r="BB647" s="950"/>
      <c r="BC647" s="796"/>
      <c r="BD647" s="900"/>
      <c r="BE647" s="797"/>
    </row>
    <row r="648" spans="1:57" s="614" customFormat="1" ht="14.45" hidden="1" customHeight="1" outlineLevel="1" x14ac:dyDescent="0.25">
      <c r="A648" s="2038"/>
      <c r="B648" s="493"/>
      <c r="C648" s="455"/>
      <c r="D648" s="2806"/>
      <c r="E648" s="2856"/>
      <c r="F648" s="2757" t="str">
        <f t="shared" si="67"/>
        <v>CAC - SEER 16 ER2: MF</v>
      </c>
      <c r="G648" s="2758"/>
      <c r="H648" s="2759"/>
      <c r="I648" s="951"/>
      <c r="J648" s="968">
        <v>12</v>
      </c>
      <c r="K648" s="953"/>
      <c r="L648" s="954"/>
      <c r="M648" s="455"/>
      <c r="N648" s="2028"/>
      <c r="O648" s="455"/>
      <c r="P648" s="493"/>
      <c r="Q648" s="493"/>
      <c r="R648" s="493"/>
      <c r="S648" s="493"/>
      <c r="T648" s="493"/>
      <c r="U648" s="493"/>
      <c r="V648" s="2866"/>
      <c r="W648" s="969">
        <v>12</v>
      </c>
      <c r="X648" s="969">
        <v>12</v>
      </c>
      <c r="Y648" s="969">
        <v>12</v>
      </c>
      <c r="Z648" s="969"/>
      <c r="AA648" s="969"/>
      <c r="AB648" s="969"/>
      <c r="AC648" s="969"/>
      <c r="AD648" s="969"/>
      <c r="AE648" s="969"/>
      <c r="AF648" s="969"/>
      <c r="AG648" s="969"/>
      <c r="BB648" s="950"/>
      <c r="BC648" s="796"/>
      <c r="BD648" s="900"/>
      <c r="BE648" s="797"/>
    </row>
    <row r="649" spans="1:57" s="614" customFormat="1" ht="14.45" hidden="1" customHeight="1" outlineLevel="1" x14ac:dyDescent="0.25">
      <c r="A649" s="2038"/>
      <c r="B649" s="493"/>
      <c r="C649" s="455"/>
      <c r="D649" s="2806"/>
      <c r="E649" s="2856"/>
      <c r="F649" s="2757" t="str">
        <f t="shared" si="67"/>
        <v>CAC - SEER 16 ER1: MF_CompE</v>
      </c>
      <c r="G649" s="2758"/>
      <c r="H649" s="2759"/>
      <c r="I649" s="951"/>
      <c r="J649" s="968">
        <v>6</v>
      </c>
      <c r="K649" s="953"/>
      <c r="L649" s="954"/>
      <c r="M649" s="455"/>
      <c r="N649" s="2028"/>
      <c r="O649" s="455"/>
      <c r="P649" s="493"/>
      <c r="Q649" s="493"/>
      <c r="R649" s="493"/>
      <c r="S649" s="493"/>
      <c r="T649" s="493"/>
      <c r="U649" s="493"/>
      <c r="V649" s="2866"/>
      <c r="W649" s="969"/>
      <c r="X649" s="969"/>
      <c r="Y649" s="969">
        <v>6</v>
      </c>
      <c r="Z649" s="969"/>
      <c r="AA649" s="969"/>
      <c r="AB649" s="969"/>
      <c r="AC649" s="969"/>
      <c r="AD649" s="969"/>
      <c r="AE649" s="969"/>
      <c r="AF649" s="969"/>
      <c r="AG649" s="969"/>
      <c r="BB649" s="950"/>
      <c r="BC649" s="796"/>
      <c r="BD649" s="900"/>
      <c r="BE649" s="797"/>
    </row>
    <row r="650" spans="1:57" s="614" customFormat="1" ht="14.45" hidden="1" customHeight="1" outlineLevel="1" x14ac:dyDescent="0.25">
      <c r="A650" s="2038"/>
      <c r="B650" s="493"/>
      <c r="C650" s="455"/>
      <c r="D650" s="2806"/>
      <c r="E650" s="2856"/>
      <c r="F650" s="2757" t="str">
        <f t="shared" ref="F650:F713" si="68">F578</f>
        <v>CAC - SEER 16 ER2: MF_CompE</v>
      </c>
      <c r="G650" s="2758"/>
      <c r="H650" s="2759"/>
      <c r="I650" s="951"/>
      <c r="J650" s="968">
        <v>12</v>
      </c>
      <c r="K650" s="953"/>
      <c r="L650" s="954"/>
      <c r="M650" s="455"/>
      <c r="N650" s="2028"/>
      <c r="O650" s="455"/>
      <c r="P650" s="493"/>
      <c r="Q650" s="493"/>
      <c r="R650" s="493"/>
      <c r="S650" s="493"/>
      <c r="T650" s="493"/>
      <c r="U650" s="493"/>
      <c r="V650" s="2866"/>
      <c r="W650" s="969"/>
      <c r="X650" s="969"/>
      <c r="Y650" s="969">
        <v>12</v>
      </c>
      <c r="Z650" s="969"/>
      <c r="AA650" s="969"/>
      <c r="AB650" s="969"/>
      <c r="AC650" s="969"/>
      <c r="AD650" s="969"/>
      <c r="AE650" s="969"/>
      <c r="AF650" s="969"/>
      <c r="AG650" s="969"/>
      <c r="BB650" s="950"/>
      <c r="BC650" s="796"/>
      <c r="BD650" s="900"/>
      <c r="BE650" s="797"/>
    </row>
    <row r="651" spans="1:57" s="614" customFormat="1" ht="14.45" hidden="1" customHeight="1" outlineLevel="1" x14ac:dyDescent="0.25">
      <c r="A651" s="2038"/>
      <c r="B651" s="493"/>
      <c r="C651" s="455"/>
      <c r="D651" s="2806"/>
      <c r="E651" s="2856"/>
      <c r="F651" s="2757" t="str">
        <f t="shared" si="68"/>
        <v>CAC - SEER 16 ROF: MF</v>
      </c>
      <c r="G651" s="2758"/>
      <c r="H651" s="2759"/>
      <c r="I651" s="951"/>
      <c r="J651" s="968">
        <v>18</v>
      </c>
      <c r="K651" s="953"/>
      <c r="L651" s="954"/>
      <c r="M651" s="455"/>
      <c r="N651" s="2028"/>
      <c r="O651" s="455"/>
      <c r="P651" s="493"/>
      <c r="Q651" s="493"/>
      <c r="R651" s="493"/>
      <c r="S651" s="493"/>
      <c r="T651" s="493"/>
      <c r="U651" s="493"/>
      <c r="V651" s="2866"/>
      <c r="W651" s="969">
        <v>18</v>
      </c>
      <c r="X651" s="969">
        <v>18</v>
      </c>
      <c r="Y651" s="969">
        <v>18</v>
      </c>
      <c r="Z651" s="969"/>
      <c r="AA651" s="969"/>
      <c r="AB651" s="969"/>
      <c r="AC651" s="969"/>
      <c r="AD651" s="969"/>
      <c r="AE651" s="969"/>
      <c r="AF651" s="969"/>
      <c r="AG651" s="969"/>
      <c r="BB651" s="950"/>
      <c r="BC651" s="796"/>
      <c r="BD651" s="900"/>
      <c r="BE651" s="797"/>
    </row>
    <row r="652" spans="1:57" s="614" customFormat="1" ht="14.45" hidden="1" customHeight="1" outlineLevel="1" x14ac:dyDescent="0.25">
      <c r="A652" s="2038"/>
      <c r="B652" s="493"/>
      <c r="C652" s="455"/>
      <c r="D652" s="2806"/>
      <c r="E652" s="2856"/>
      <c r="F652" s="2757" t="str">
        <f t="shared" si="68"/>
        <v>CAC - SEER 16 ROF: MF_CompE</v>
      </c>
      <c r="G652" s="2758"/>
      <c r="H652" s="2759"/>
      <c r="I652" s="951"/>
      <c r="J652" s="968">
        <v>18</v>
      </c>
      <c r="K652" s="953"/>
      <c r="L652" s="954"/>
      <c r="M652" s="455"/>
      <c r="N652" s="2028"/>
      <c r="O652" s="455"/>
      <c r="P652" s="493"/>
      <c r="Q652" s="493"/>
      <c r="R652" s="493"/>
      <c r="S652" s="493"/>
      <c r="T652" s="493"/>
      <c r="U652" s="493"/>
      <c r="V652" s="2866"/>
      <c r="W652" s="969"/>
      <c r="X652" s="969"/>
      <c r="Y652" s="969">
        <v>18</v>
      </c>
      <c r="Z652" s="969"/>
      <c r="AA652" s="969"/>
      <c r="AB652" s="969"/>
      <c r="AC652" s="969"/>
      <c r="AD652" s="969"/>
      <c r="AE652" s="969"/>
      <c r="AF652" s="969"/>
      <c r="AG652" s="969"/>
      <c r="BB652" s="950"/>
      <c r="BC652" s="796"/>
      <c r="BD652" s="900"/>
      <c r="BE652" s="797"/>
    </row>
    <row r="653" spans="1:57" s="614" customFormat="1" ht="14.45" hidden="1" customHeight="1" outlineLevel="1" x14ac:dyDescent="0.25">
      <c r="A653" s="2038"/>
      <c r="B653" s="493"/>
      <c r="C653" s="455"/>
      <c r="D653" s="2806"/>
      <c r="E653" s="2856"/>
      <c r="F653" s="2757" t="str">
        <f t="shared" si="68"/>
        <v>CAC - SEER 17 ER1: SF</v>
      </c>
      <c r="G653" s="2758"/>
      <c r="H653" s="2759"/>
      <c r="I653" s="951"/>
      <c r="J653" s="968">
        <v>6</v>
      </c>
      <c r="K653" s="953"/>
      <c r="L653" s="954"/>
      <c r="M653" s="455"/>
      <c r="N653" s="2028"/>
      <c r="O653" s="455"/>
      <c r="P653" s="493"/>
      <c r="Q653" s="493"/>
      <c r="R653" s="493"/>
      <c r="S653" s="493"/>
      <c r="T653" s="493"/>
      <c r="U653" s="493"/>
      <c r="V653" s="2866"/>
      <c r="W653" s="969">
        <v>6</v>
      </c>
      <c r="X653" s="969">
        <v>6</v>
      </c>
      <c r="Y653" s="969">
        <v>6</v>
      </c>
      <c r="Z653" s="969"/>
      <c r="AA653" s="969"/>
      <c r="AB653" s="969"/>
      <c r="AC653" s="969"/>
      <c r="AD653" s="969"/>
      <c r="AE653" s="969"/>
      <c r="AF653" s="969"/>
      <c r="AG653" s="969"/>
      <c r="BB653" s="950"/>
      <c r="BC653" s="796"/>
      <c r="BD653" s="900"/>
      <c r="BE653" s="797"/>
    </row>
    <row r="654" spans="1:57" s="614" customFormat="1" ht="14.45" hidden="1" customHeight="1" outlineLevel="1" x14ac:dyDescent="0.25">
      <c r="A654" s="2038"/>
      <c r="B654" s="493"/>
      <c r="C654" s="455"/>
      <c r="D654" s="2806"/>
      <c r="E654" s="2856"/>
      <c r="F654" s="2757" t="str">
        <f t="shared" si="68"/>
        <v>CAC - SEER 17 ER2: SF</v>
      </c>
      <c r="G654" s="2758"/>
      <c r="H654" s="2759"/>
      <c r="I654" s="951"/>
      <c r="J654" s="968">
        <v>12</v>
      </c>
      <c r="K654" s="953"/>
      <c r="L654" s="954"/>
      <c r="M654" s="455"/>
      <c r="N654" s="2028"/>
      <c r="O654" s="455"/>
      <c r="P654" s="493"/>
      <c r="Q654" s="493"/>
      <c r="R654" s="493"/>
      <c r="S654" s="493"/>
      <c r="T654" s="493"/>
      <c r="U654" s="493"/>
      <c r="V654" s="2866"/>
      <c r="W654" s="969">
        <v>12</v>
      </c>
      <c r="X654" s="969">
        <v>12</v>
      </c>
      <c r="Y654" s="969">
        <v>12</v>
      </c>
      <c r="Z654" s="969"/>
      <c r="AA654" s="969"/>
      <c r="AB654" s="969"/>
      <c r="AC654" s="969"/>
      <c r="AD654" s="969"/>
      <c r="AE654" s="969"/>
      <c r="AF654" s="969"/>
      <c r="AG654" s="969"/>
      <c r="BB654" s="950"/>
      <c r="BC654" s="796"/>
      <c r="BD654" s="900"/>
      <c r="BE654" s="797"/>
    </row>
    <row r="655" spans="1:57" s="614" customFormat="1" ht="14.45" hidden="1" customHeight="1" outlineLevel="1" x14ac:dyDescent="0.25">
      <c r="A655" s="2038"/>
      <c r="B655" s="493"/>
      <c r="C655" s="455"/>
      <c r="D655" s="2806"/>
      <c r="E655" s="2856"/>
      <c r="F655" s="2757" t="str">
        <f t="shared" si="68"/>
        <v>CAC - SEER 17 ROF: SF</v>
      </c>
      <c r="G655" s="2758"/>
      <c r="H655" s="2759"/>
      <c r="I655" s="951"/>
      <c r="J655" s="968">
        <v>18</v>
      </c>
      <c r="K655" s="953"/>
      <c r="L655" s="954"/>
      <c r="M655" s="455"/>
      <c r="N655" s="2028"/>
      <c r="O655" s="455"/>
      <c r="P655" s="493"/>
      <c r="Q655" s="493"/>
      <c r="R655" s="493"/>
      <c r="S655" s="493"/>
      <c r="T655" s="493"/>
      <c r="U655" s="493"/>
      <c r="V655" s="2866"/>
      <c r="W655" s="969">
        <v>18</v>
      </c>
      <c r="X655" s="969">
        <v>18</v>
      </c>
      <c r="Y655" s="969">
        <v>18</v>
      </c>
      <c r="Z655" s="969"/>
      <c r="AA655" s="969"/>
      <c r="AB655" s="969"/>
      <c r="AC655" s="969"/>
      <c r="AD655" s="969"/>
      <c r="AE655" s="969"/>
      <c r="AF655" s="969"/>
      <c r="AG655" s="969"/>
      <c r="BB655" s="950"/>
      <c r="BC655" s="796"/>
      <c r="BD655" s="900"/>
      <c r="BE655" s="797"/>
    </row>
    <row r="656" spans="1:57" s="614" customFormat="1" ht="14.45" hidden="1" customHeight="1" outlineLevel="1" x14ac:dyDescent="0.25">
      <c r="A656" s="2038"/>
      <c r="B656" s="493"/>
      <c r="C656" s="455"/>
      <c r="D656" s="2806"/>
      <c r="E656" s="2856"/>
      <c r="F656" s="2757" t="str">
        <f t="shared" si="68"/>
        <v>CAC - SEER 17 ER1: MF</v>
      </c>
      <c r="G656" s="2758"/>
      <c r="H656" s="2759"/>
      <c r="I656" s="951"/>
      <c r="J656" s="968">
        <v>6</v>
      </c>
      <c r="K656" s="953"/>
      <c r="L656" s="954"/>
      <c r="M656" s="455"/>
      <c r="N656" s="2028"/>
      <c r="O656" s="455"/>
      <c r="P656" s="493"/>
      <c r="Q656" s="493"/>
      <c r="R656" s="493"/>
      <c r="S656" s="493"/>
      <c r="T656" s="493"/>
      <c r="U656" s="493"/>
      <c r="V656" s="2866"/>
      <c r="W656" s="969">
        <v>6</v>
      </c>
      <c r="X656" s="969">
        <v>6</v>
      </c>
      <c r="Y656" s="969">
        <v>6</v>
      </c>
      <c r="Z656" s="969"/>
      <c r="AA656" s="969"/>
      <c r="AB656" s="969"/>
      <c r="AC656" s="969"/>
      <c r="AD656" s="969"/>
      <c r="AE656" s="969"/>
      <c r="AF656" s="969"/>
      <c r="AG656" s="969"/>
      <c r="BB656" s="950"/>
      <c r="BC656" s="796"/>
      <c r="BD656" s="900"/>
      <c r="BE656" s="797"/>
    </row>
    <row r="657" spans="1:57" s="614" customFormat="1" ht="14.45" hidden="1" customHeight="1" outlineLevel="1" x14ac:dyDescent="0.25">
      <c r="A657" s="2038"/>
      <c r="B657" s="493"/>
      <c r="C657" s="455"/>
      <c r="D657" s="2806"/>
      <c r="E657" s="2856"/>
      <c r="F657" s="2757" t="str">
        <f t="shared" si="68"/>
        <v>CAC - SEER 17 ER2: MF</v>
      </c>
      <c r="G657" s="2758"/>
      <c r="H657" s="2759"/>
      <c r="I657" s="951"/>
      <c r="J657" s="968">
        <v>12</v>
      </c>
      <c r="K657" s="953"/>
      <c r="L657" s="954"/>
      <c r="M657" s="455"/>
      <c r="N657" s="2028"/>
      <c r="O657" s="455"/>
      <c r="P657" s="493"/>
      <c r="Q657" s="493"/>
      <c r="R657" s="493"/>
      <c r="S657" s="493"/>
      <c r="T657" s="493"/>
      <c r="U657" s="493"/>
      <c r="V657" s="2866"/>
      <c r="W657" s="969">
        <v>12</v>
      </c>
      <c r="X657" s="969">
        <v>12</v>
      </c>
      <c r="Y657" s="969">
        <v>12</v>
      </c>
      <c r="Z657" s="969"/>
      <c r="AA657" s="969"/>
      <c r="AB657" s="969"/>
      <c r="AC657" s="969"/>
      <c r="AD657" s="969"/>
      <c r="AE657" s="969"/>
      <c r="AF657" s="969"/>
      <c r="AG657" s="969"/>
      <c r="BB657" s="950"/>
      <c r="BC657" s="796"/>
      <c r="BD657" s="900"/>
      <c r="BE657" s="797"/>
    </row>
    <row r="658" spans="1:57" s="614" customFormat="1" ht="14.45" hidden="1" customHeight="1" outlineLevel="1" x14ac:dyDescent="0.25">
      <c r="A658" s="2038"/>
      <c r="B658" s="493"/>
      <c r="C658" s="455"/>
      <c r="D658" s="2806"/>
      <c r="E658" s="2856"/>
      <c r="F658" s="2757" t="str">
        <f t="shared" si="68"/>
        <v>CAC - SEER 17 ER1: MF_CompE</v>
      </c>
      <c r="G658" s="2758"/>
      <c r="H658" s="2759"/>
      <c r="I658" s="956"/>
      <c r="J658" s="968">
        <v>6</v>
      </c>
      <c r="K658" s="957"/>
      <c r="L658" s="958"/>
      <c r="M658" s="455"/>
      <c r="N658" s="2028"/>
      <c r="O658" s="455"/>
      <c r="P658" s="493"/>
      <c r="Q658" s="493"/>
      <c r="R658" s="493"/>
      <c r="S658" s="493"/>
      <c r="T658" s="493"/>
      <c r="U658" s="493"/>
      <c r="V658" s="2866"/>
      <c r="W658" s="971"/>
      <c r="X658" s="971"/>
      <c r="Y658" s="971">
        <v>6</v>
      </c>
      <c r="Z658" s="971"/>
      <c r="AA658" s="971"/>
      <c r="AB658" s="971"/>
      <c r="AC658" s="971"/>
      <c r="AD658" s="971"/>
      <c r="AE658" s="971"/>
      <c r="AF658" s="971"/>
      <c r="AG658" s="971"/>
      <c r="BB658" s="950"/>
      <c r="BC658" s="796"/>
      <c r="BD658" s="900"/>
      <c r="BE658" s="797"/>
    </row>
    <row r="659" spans="1:57" s="614" customFormat="1" ht="14.45" hidden="1" customHeight="1" outlineLevel="1" x14ac:dyDescent="0.25">
      <c r="A659" s="2038"/>
      <c r="B659" s="493"/>
      <c r="C659" s="455"/>
      <c r="D659" s="2806"/>
      <c r="E659" s="2856"/>
      <c r="F659" s="2757" t="str">
        <f t="shared" si="68"/>
        <v>CAC - SEER 17 ER2: MF_CompE</v>
      </c>
      <c r="G659" s="2758"/>
      <c r="H659" s="2759"/>
      <c r="I659" s="956"/>
      <c r="J659" s="968">
        <v>12</v>
      </c>
      <c r="K659" s="957"/>
      <c r="L659" s="958"/>
      <c r="M659" s="455"/>
      <c r="N659" s="2028"/>
      <c r="O659" s="455"/>
      <c r="P659" s="493"/>
      <c r="Q659" s="493"/>
      <c r="R659" s="493"/>
      <c r="S659" s="493"/>
      <c r="T659" s="493"/>
      <c r="U659" s="493"/>
      <c r="V659" s="2866"/>
      <c r="W659" s="971"/>
      <c r="X659" s="971"/>
      <c r="Y659" s="971">
        <v>12</v>
      </c>
      <c r="Z659" s="971"/>
      <c r="AA659" s="971"/>
      <c r="AB659" s="971"/>
      <c r="AC659" s="971"/>
      <c r="AD659" s="971"/>
      <c r="AE659" s="971"/>
      <c r="AF659" s="971"/>
      <c r="AG659" s="971"/>
      <c r="BB659" s="950"/>
      <c r="BC659" s="796"/>
      <c r="BD659" s="900"/>
      <c r="BE659" s="797"/>
    </row>
    <row r="660" spans="1:57" s="614" customFormat="1" ht="14.45" hidden="1" customHeight="1" outlineLevel="1" x14ac:dyDescent="0.25">
      <c r="A660" s="2038"/>
      <c r="B660" s="493"/>
      <c r="C660" s="455"/>
      <c r="D660" s="2806"/>
      <c r="E660" s="2856"/>
      <c r="F660" s="2757" t="str">
        <f t="shared" si="68"/>
        <v>CAC - SEER 17 ROF: MF</v>
      </c>
      <c r="G660" s="2758"/>
      <c r="H660" s="2759"/>
      <c r="I660" s="951"/>
      <c r="J660" s="968">
        <v>18</v>
      </c>
      <c r="K660" s="953"/>
      <c r="L660" s="954"/>
      <c r="M660" s="455"/>
      <c r="N660" s="2028"/>
      <c r="O660" s="455"/>
      <c r="P660" s="493"/>
      <c r="Q660" s="493"/>
      <c r="R660" s="493"/>
      <c r="S660" s="493"/>
      <c r="T660" s="493"/>
      <c r="U660" s="493"/>
      <c r="V660" s="2866"/>
      <c r="W660" s="971">
        <v>18</v>
      </c>
      <c r="X660" s="971">
        <v>18</v>
      </c>
      <c r="Y660" s="971">
        <v>18</v>
      </c>
      <c r="Z660" s="971"/>
      <c r="AA660" s="971"/>
      <c r="AB660" s="971"/>
      <c r="AC660" s="971"/>
      <c r="AD660" s="971"/>
      <c r="AE660" s="971"/>
      <c r="AF660" s="971"/>
      <c r="AG660" s="971"/>
      <c r="BB660" s="950"/>
      <c r="BC660" s="796"/>
      <c r="BD660" s="900"/>
      <c r="BE660" s="797"/>
    </row>
    <row r="661" spans="1:57" s="614" customFormat="1" ht="14.45" hidden="1" customHeight="1" outlineLevel="1" x14ac:dyDescent="0.25">
      <c r="A661" s="2038"/>
      <c r="B661" s="493"/>
      <c r="C661" s="455"/>
      <c r="D661" s="2807"/>
      <c r="E661" s="2857"/>
      <c r="F661" s="2757" t="str">
        <f t="shared" si="68"/>
        <v>CAC - SEER 17 ROF: MF_CompE</v>
      </c>
      <c r="G661" s="2758"/>
      <c r="H661" s="2759"/>
      <c r="I661" s="951"/>
      <c r="J661" s="968">
        <v>18</v>
      </c>
      <c r="K661" s="953"/>
      <c r="L661" s="954"/>
      <c r="M661" s="455"/>
      <c r="N661" s="2028"/>
      <c r="O661" s="455"/>
      <c r="P661" s="493"/>
      <c r="Q661" s="493"/>
      <c r="R661" s="493"/>
      <c r="S661" s="493"/>
      <c r="T661" s="493"/>
      <c r="U661" s="493"/>
      <c r="V661" s="2847"/>
      <c r="W661" s="969"/>
      <c r="X661" s="969"/>
      <c r="Y661" s="969">
        <v>18</v>
      </c>
      <c r="Z661" s="969"/>
      <c r="AA661" s="969"/>
      <c r="AB661" s="969"/>
      <c r="AC661" s="969"/>
      <c r="AD661" s="969"/>
      <c r="AE661" s="969"/>
      <c r="AF661" s="969"/>
      <c r="AG661" s="969"/>
      <c r="BB661" s="950"/>
      <c r="BC661" s="796"/>
      <c r="BD661" s="900"/>
      <c r="BE661" s="797"/>
    </row>
    <row r="662" spans="1:57" s="614" customFormat="1" ht="14.45" hidden="1" customHeight="1" outlineLevel="1" x14ac:dyDescent="0.25">
      <c r="A662" s="2038"/>
      <c r="B662" s="493"/>
      <c r="C662" s="455"/>
      <c r="D662" s="2847"/>
      <c r="E662" s="2922"/>
      <c r="F662" s="2790" t="str">
        <f t="shared" si="68"/>
        <v>CAC - SEER 18 ER1: SF</v>
      </c>
      <c r="G662" s="2791"/>
      <c r="H662" s="2792"/>
      <c r="I662" s="951"/>
      <c r="J662" s="968">
        <v>6</v>
      </c>
      <c r="K662" s="953"/>
      <c r="L662" s="954"/>
      <c r="M662" s="455"/>
      <c r="N662" s="2028"/>
      <c r="O662" s="455"/>
      <c r="P662" s="493"/>
      <c r="Q662" s="493"/>
      <c r="R662" s="493"/>
      <c r="S662" s="493"/>
      <c r="T662" s="493"/>
      <c r="U662" s="493"/>
      <c r="V662" s="2847"/>
      <c r="W662" s="2582"/>
      <c r="X662" s="2582"/>
      <c r="Y662" s="2582"/>
      <c r="Z662" s="2583">
        <v>6</v>
      </c>
      <c r="AA662" s="2582"/>
      <c r="AB662" s="2582"/>
      <c r="AC662" s="2582"/>
      <c r="AD662" s="2582"/>
      <c r="AE662" s="2582"/>
      <c r="AF662" s="2582"/>
      <c r="AG662" s="2582"/>
      <c r="BB662" s="950"/>
      <c r="BC662" s="796"/>
      <c r="BD662" s="900"/>
      <c r="BE662" s="797"/>
    </row>
    <row r="663" spans="1:57" s="614" customFormat="1" ht="14.45" hidden="1" customHeight="1" outlineLevel="1" x14ac:dyDescent="0.25">
      <c r="A663" s="2038"/>
      <c r="B663" s="493"/>
      <c r="C663" s="455"/>
      <c r="D663" s="2847"/>
      <c r="E663" s="2922"/>
      <c r="F663" s="2790" t="str">
        <f t="shared" si="68"/>
        <v>CAC - SEER 18 ER2: SF</v>
      </c>
      <c r="G663" s="2791"/>
      <c r="H663" s="2792"/>
      <c r="I663" s="951"/>
      <c r="J663" s="968">
        <v>12</v>
      </c>
      <c r="K663" s="953"/>
      <c r="L663" s="954"/>
      <c r="M663" s="455"/>
      <c r="N663" s="2028"/>
      <c r="O663" s="455"/>
      <c r="P663" s="493"/>
      <c r="Q663" s="493"/>
      <c r="R663" s="493"/>
      <c r="S663" s="493"/>
      <c r="T663" s="493"/>
      <c r="U663" s="493"/>
      <c r="V663" s="2847"/>
      <c r="W663" s="969"/>
      <c r="X663" s="969"/>
      <c r="Y663" s="969"/>
      <c r="Z663" s="970">
        <v>12</v>
      </c>
      <c r="AA663" s="969"/>
      <c r="AB663" s="969"/>
      <c r="AC663" s="969"/>
      <c r="AD663" s="969"/>
      <c r="AE663" s="969"/>
      <c r="AF663" s="969"/>
      <c r="AG663" s="969"/>
      <c r="BB663" s="950"/>
      <c r="BC663" s="796"/>
      <c r="BD663" s="900"/>
      <c r="BE663" s="797"/>
    </row>
    <row r="664" spans="1:57" s="614" customFormat="1" ht="14.45" hidden="1" customHeight="1" outlineLevel="1" x14ac:dyDescent="0.25">
      <c r="A664" s="2038"/>
      <c r="B664" s="493"/>
      <c r="C664" s="455"/>
      <c r="D664" s="2847"/>
      <c r="E664" s="2922"/>
      <c r="F664" s="2790" t="str">
        <f t="shared" si="68"/>
        <v>CAC - SEER 18 ROF: SF</v>
      </c>
      <c r="G664" s="2791"/>
      <c r="H664" s="2792"/>
      <c r="I664" s="951"/>
      <c r="J664" s="968">
        <v>18</v>
      </c>
      <c r="K664" s="953"/>
      <c r="L664" s="954"/>
      <c r="M664" s="455"/>
      <c r="N664" s="2028"/>
      <c r="O664" s="455"/>
      <c r="P664" s="493"/>
      <c r="Q664" s="493"/>
      <c r="R664" s="493"/>
      <c r="S664" s="493"/>
      <c r="T664" s="493"/>
      <c r="U664" s="493"/>
      <c r="V664" s="2847"/>
      <c r="W664" s="969"/>
      <c r="X664" s="969"/>
      <c r="Y664" s="969"/>
      <c r="Z664" s="970">
        <v>18</v>
      </c>
      <c r="AA664" s="969"/>
      <c r="AB664" s="969"/>
      <c r="AC664" s="969"/>
      <c r="AD664" s="969"/>
      <c r="AE664" s="969"/>
      <c r="AF664" s="969"/>
      <c r="AG664" s="969"/>
      <c r="BB664" s="950"/>
      <c r="BC664" s="796"/>
      <c r="BD664" s="900"/>
      <c r="BE664" s="797"/>
    </row>
    <row r="665" spans="1:57" s="614" customFormat="1" ht="14.45" hidden="1" customHeight="1" outlineLevel="1" x14ac:dyDescent="0.25">
      <c r="A665" s="2038"/>
      <c r="B665" s="493"/>
      <c r="C665" s="455"/>
      <c r="D665" s="2847"/>
      <c r="E665" s="2922"/>
      <c r="F665" s="2780" t="str">
        <f t="shared" si="68"/>
        <v>CAC - SEER 18 ER1: MF</v>
      </c>
      <c r="G665" s="2781"/>
      <c r="H665" s="2782"/>
      <c r="I665" s="951"/>
      <c r="J665" s="968">
        <v>6</v>
      </c>
      <c r="K665" s="953"/>
      <c r="L665" s="954"/>
      <c r="M665" s="455"/>
      <c r="N665" s="2028"/>
      <c r="O665" s="455"/>
      <c r="P665" s="493"/>
      <c r="Q665" s="493"/>
      <c r="R665" s="493"/>
      <c r="S665" s="493"/>
      <c r="T665" s="493"/>
      <c r="U665" s="493"/>
      <c r="V665" s="2847"/>
      <c r="W665" s="969"/>
      <c r="X665" s="969"/>
      <c r="Y665" s="969"/>
      <c r="Z665" s="970">
        <v>6</v>
      </c>
      <c r="AA665" s="969"/>
      <c r="AB665" s="969"/>
      <c r="AC665" s="969"/>
      <c r="AD665" s="969"/>
      <c r="AE665" s="969"/>
      <c r="AF665" s="969"/>
      <c r="AG665" s="969"/>
      <c r="BB665" s="950"/>
      <c r="BC665" s="796"/>
      <c r="BD665" s="900"/>
      <c r="BE665" s="797"/>
    </row>
    <row r="666" spans="1:57" s="614" customFormat="1" ht="14.45" hidden="1" customHeight="1" outlineLevel="1" x14ac:dyDescent="0.25">
      <c r="A666" s="2038"/>
      <c r="B666" s="493"/>
      <c r="C666" s="455"/>
      <c r="D666" s="2847"/>
      <c r="E666" s="2922"/>
      <c r="F666" s="2780" t="str">
        <f t="shared" si="68"/>
        <v>CAC - SEER 18 ER2: MF</v>
      </c>
      <c r="G666" s="2781"/>
      <c r="H666" s="2782"/>
      <c r="I666" s="951"/>
      <c r="J666" s="968">
        <v>12</v>
      </c>
      <c r="K666" s="953"/>
      <c r="L666" s="954"/>
      <c r="M666" s="455"/>
      <c r="N666" s="2028"/>
      <c r="O666" s="455"/>
      <c r="P666" s="493"/>
      <c r="Q666" s="493"/>
      <c r="R666" s="493"/>
      <c r="S666" s="493"/>
      <c r="T666" s="493"/>
      <c r="U666" s="493"/>
      <c r="V666" s="2847"/>
      <c r="W666" s="969"/>
      <c r="X666" s="969"/>
      <c r="Y666" s="969"/>
      <c r="Z666" s="970">
        <v>12</v>
      </c>
      <c r="AA666" s="969"/>
      <c r="AB666" s="969"/>
      <c r="AC666" s="969"/>
      <c r="AD666" s="969"/>
      <c r="AE666" s="969"/>
      <c r="AF666" s="969"/>
      <c r="AG666" s="969"/>
      <c r="BB666" s="950"/>
      <c r="BC666" s="796"/>
      <c r="BD666" s="900"/>
      <c r="BE666" s="797"/>
    </row>
    <row r="667" spans="1:57" s="614" customFormat="1" ht="14.45" hidden="1" customHeight="1" outlineLevel="1" x14ac:dyDescent="0.25">
      <c r="A667" s="2038"/>
      <c r="B667" s="493"/>
      <c r="C667" s="455"/>
      <c r="D667" s="2847"/>
      <c r="E667" s="2922"/>
      <c r="F667" s="2780" t="str">
        <f t="shared" si="68"/>
        <v>CAC - SEER 18 ER1: MF_CompE</v>
      </c>
      <c r="G667" s="2781"/>
      <c r="H667" s="2782"/>
      <c r="I667" s="951"/>
      <c r="J667" s="968">
        <v>6</v>
      </c>
      <c r="K667" s="953"/>
      <c r="L667" s="954"/>
      <c r="M667" s="455"/>
      <c r="N667" s="2028"/>
      <c r="O667" s="455"/>
      <c r="P667" s="493"/>
      <c r="Q667" s="493"/>
      <c r="R667" s="493"/>
      <c r="S667" s="493"/>
      <c r="T667" s="493"/>
      <c r="U667" s="493"/>
      <c r="V667" s="2847"/>
      <c r="W667" s="969"/>
      <c r="X667" s="969"/>
      <c r="Y667" s="969"/>
      <c r="Z667" s="970">
        <v>6</v>
      </c>
      <c r="AA667" s="969"/>
      <c r="AB667" s="969"/>
      <c r="AC667" s="969"/>
      <c r="AD667" s="969"/>
      <c r="AE667" s="969"/>
      <c r="AF667" s="969"/>
      <c r="AG667" s="969"/>
      <c r="BB667" s="950"/>
      <c r="BC667" s="796"/>
      <c r="BD667" s="900"/>
      <c r="BE667" s="797"/>
    </row>
    <row r="668" spans="1:57" s="614" customFormat="1" ht="14.45" hidden="1" customHeight="1" outlineLevel="1" x14ac:dyDescent="0.25">
      <c r="A668" s="2038"/>
      <c r="B668" s="493"/>
      <c r="C668" s="455"/>
      <c r="D668" s="2847"/>
      <c r="E668" s="2922"/>
      <c r="F668" s="2780" t="str">
        <f t="shared" si="68"/>
        <v>CAC - SEER 18 ER2: MF_CompE</v>
      </c>
      <c r="G668" s="2781"/>
      <c r="H668" s="2782"/>
      <c r="I668" s="951"/>
      <c r="J668" s="968">
        <v>12</v>
      </c>
      <c r="K668" s="953"/>
      <c r="L668" s="954"/>
      <c r="M668" s="455"/>
      <c r="N668" s="2028"/>
      <c r="O668" s="455"/>
      <c r="P668" s="493"/>
      <c r="Q668" s="493"/>
      <c r="R668" s="493"/>
      <c r="S668" s="493"/>
      <c r="T668" s="493"/>
      <c r="U668" s="493"/>
      <c r="V668" s="2847"/>
      <c r="W668" s="969"/>
      <c r="X668" s="969"/>
      <c r="Y668" s="969"/>
      <c r="Z668" s="970">
        <v>12</v>
      </c>
      <c r="AA668" s="969"/>
      <c r="AB668" s="969"/>
      <c r="AC668" s="969"/>
      <c r="AD668" s="969"/>
      <c r="AE668" s="969"/>
      <c r="AF668" s="969"/>
      <c r="AG668" s="969"/>
      <c r="BB668" s="950"/>
      <c r="BC668" s="796"/>
      <c r="BD668" s="900"/>
      <c r="BE668" s="797"/>
    </row>
    <row r="669" spans="1:57" s="614" customFormat="1" ht="14.45" hidden="1" customHeight="1" outlineLevel="1" x14ac:dyDescent="0.25">
      <c r="A669" s="2038"/>
      <c r="B669" s="493"/>
      <c r="C669" s="455"/>
      <c r="D669" s="2847"/>
      <c r="E669" s="2922"/>
      <c r="F669" s="2780" t="str">
        <f t="shared" si="68"/>
        <v>CAC - SEER 18 ROF: MF</v>
      </c>
      <c r="G669" s="2781"/>
      <c r="H669" s="2782"/>
      <c r="I669" s="951"/>
      <c r="J669" s="968">
        <v>18</v>
      </c>
      <c r="K669" s="953"/>
      <c r="L669" s="954"/>
      <c r="M669" s="455"/>
      <c r="N669" s="2028"/>
      <c r="O669" s="455"/>
      <c r="P669" s="493"/>
      <c r="Q669" s="493"/>
      <c r="R669" s="493"/>
      <c r="S669" s="493"/>
      <c r="T669" s="493"/>
      <c r="U669" s="493"/>
      <c r="V669" s="2847"/>
      <c r="W669" s="969"/>
      <c r="X669" s="969"/>
      <c r="Y669" s="970"/>
      <c r="Z669" s="970">
        <v>18</v>
      </c>
      <c r="AA669" s="969"/>
      <c r="AB669" s="969"/>
      <c r="AC669" s="969"/>
      <c r="AD669" s="969"/>
      <c r="AE669" s="969"/>
      <c r="AF669" s="969"/>
      <c r="AG669" s="969"/>
      <c r="BB669" s="950"/>
      <c r="BC669" s="796"/>
      <c r="BD669" s="900"/>
      <c r="BE669" s="797"/>
    </row>
    <row r="670" spans="1:57" s="614" customFormat="1" ht="14.45" hidden="1" customHeight="1" outlineLevel="1" x14ac:dyDescent="0.25">
      <c r="A670" s="2038"/>
      <c r="B670" s="493"/>
      <c r="C670" s="455"/>
      <c r="D670" s="2847"/>
      <c r="E670" s="2922"/>
      <c r="F670" s="2780" t="str">
        <f t="shared" si="68"/>
        <v>CAC - SEER 18 ROF: MF_CompE</v>
      </c>
      <c r="G670" s="2781"/>
      <c r="H670" s="2782"/>
      <c r="I670" s="951"/>
      <c r="J670" s="968">
        <v>18</v>
      </c>
      <c r="K670" s="953"/>
      <c r="L670" s="954"/>
      <c r="M670" s="455"/>
      <c r="N670" s="2028"/>
      <c r="O670" s="455"/>
      <c r="P670" s="493"/>
      <c r="Q670" s="493"/>
      <c r="R670" s="493"/>
      <c r="S670" s="493"/>
      <c r="T670" s="493"/>
      <c r="U670" s="493"/>
      <c r="V670" s="2847"/>
      <c r="W670" s="969"/>
      <c r="X670" s="969"/>
      <c r="Y670" s="969"/>
      <c r="Z670" s="970">
        <v>18</v>
      </c>
      <c r="AA670" s="969"/>
      <c r="AB670" s="969"/>
      <c r="AC670" s="969"/>
      <c r="AD670" s="969"/>
      <c r="AE670" s="969"/>
      <c r="AF670" s="969"/>
      <c r="AG670" s="969"/>
      <c r="BB670" s="950"/>
      <c r="BC670" s="796"/>
      <c r="BD670" s="900"/>
      <c r="BE670" s="797"/>
    </row>
    <row r="671" spans="1:57" s="614" customFormat="1" ht="14.45" hidden="1" customHeight="1" outlineLevel="1" x14ac:dyDescent="0.25">
      <c r="A671" s="2038"/>
      <c r="B671" s="493"/>
      <c r="C671" s="455"/>
      <c r="D671" s="2847"/>
      <c r="E671" s="2922"/>
      <c r="F671" s="2780" t="str">
        <f t="shared" si="68"/>
        <v>CAC - SEER 19 ER1: SF</v>
      </c>
      <c r="G671" s="2781"/>
      <c r="H671" s="2782"/>
      <c r="I671" s="951"/>
      <c r="J671" s="968">
        <v>6</v>
      </c>
      <c r="K671" s="953"/>
      <c r="L671" s="954"/>
      <c r="M671" s="455"/>
      <c r="N671" s="2028"/>
      <c r="O671" s="455"/>
      <c r="P671" s="493"/>
      <c r="Q671" s="493"/>
      <c r="R671" s="493"/>
      <c r="S671" s="493"/>
      <c r="T671" s="493"/>
      <c r="U671" s="493"/>
      <c r="V671" s="2847"/>
      <c r="W671" s="969"/>
      <c r="X671" s="969"/>
      <c r="Y671" s="969"/>
      <c r="Z671" s="970">
        <v>6</v>
      </c>
      <c r="AA671" s="969"/>
      <c r="AB671" s="969"/>
      <c r="AC671" s="969"/>
      <c r="AD671" s="969"/>
      <c r="AE671" s="969"/>
      <c r="AF671" s="969"/>
      <c r="AG671" s="969"/>
      <c r="BB671" s="950"/>
      <c r="BC671" s="796"/>
      <c r="BD671" s="900"/>
      <c r="BE671" s="797"/>
    </row>
    <row r="672" spans="1:57" s="614" customFormat="1" ht="14.45" hidden="1" customHeight="1" outlineLevel="1" x14ac:dyDescent="0.25">
      <c r="A672" s="2038"/>
      <c r="B672" s="493"/>
      <c r="C672" s="455"/>
      <c r="D672" s="2847"/>
      <c r="E672" s="2922"/>
      <c r="F672" s="2780" t="str">
        <f t="shared" si="68"/>
        <v>CAC - SEER 19 ER2: SF</v>
      </c>
      <c r="G672" s="2781"/>
      <c r="H672" s="2782"/>
      <c r="I672" s="951"/>
      <c r="J672" s="968">
        <v>12</v>
      </c>
      <c r="K672" s="953"/>
      <c r="L672" s="954"/>
      <c r="M672" s="455"/>
      <c r="N672" s="2028"/>
      <c r="O672" s="455"/>
      <c r="P672" s="493"/>
      <c r="Q672" s="493"/>
      <c r="R672" s="493"/>
      <c r="S672" s="493"/>
      <c r="T672" s="493"/>
      <c r="U672" s="493"/>
      <c r="V672" s="2847"/>
      <c r="W672" s="969"/>
      <c r="X672" s="969"/>
      <c r="Y672" s="969"/>
      <c r="Z672" s="970">
        <v>12</v>
      </c>
      <c r="AA672" s="969"/>
      <c r="AB672" s="969"/>
      <c r="AC672" s="969"/>
      <c r="AD672" s="969"/>
      <c r="AE672" s="969"/>
      <c r="AF672" s="969"/>
      <c r="AG672" s="969"/>
      <c r="BB672" s="950"/>
      <c r="BC672" s="796"/>
      <c r="BD672" s="900"/>
      <c r="BE672" s="797"/>
    </row>
    <row r="673" spans="1:57" s="614" customFormat="1" ht="14.45" hidden="1" customHeight="1" outlineLevel="1" x14ac:dyDescent="0.25">
      <c r="A673" s="2038"/>
      <c r="B673" s="493"/>
      <c r="C673" s="455"/>
      <c r="D673" s="2847"/>
      <c r="E673" s="2922"/>
      <c r="F673" s="2780" t="str">
        <f t="shared" si="68"/>
        <v>CAC - SEER 19 ROF: SF</v>
      </c>
      <c r="G673" s="2781"/>
      <c r="H673" s="2782"/>
      <c r="I673" s="951"/>
      <c r="J673" s="968">
        <v>18</v>
      </c>
      <c r="K673" s="953"/>
      <c r="L673" s="954"/>
      <c r="M673" s="455"/>
      <c r="N673" s="2028"/>
      <c r="O673" s="455"/>
      <c r="P673" s="493"/>
      <c r="Q673" s="493"/>
      <c r="R673" s="493"/>
      <c r="S673" s="493"/>
      <c r="T673" s="493"/>
      <c r="U673" s="493"/>
      <c r="V673" s="2847"/>
      <c r="W673" s="969"/>
      <c r="X673" s="969"/>
      <c r="Y673" s="969"/>
      <c r="Z673" s="970">
        <v>18</v>
      </c>
      <c r="AA673" s="969"/>
      <c r="AB673" s="969"/>
      <c r="AC673" s="969"/>
      <c r="AD673" s="969"/>
      <c r="AE673" s="969"/>
      <c r="AF673" s="969"/>
      <c r="AG673" s="969"/>
      <c r="BB673" s="950"/>
      <c r="BC673" s="796"/>
      <c r="BD673" s="900"/>
      <c r="BE673" s="797"/>
    </row>
    <row r="674" spans="1:57" s="614" customFormat="1" ht="14.45" hidden="1" customHeight="1" outlineLevel="1" x14ac:dyDescent="0.25">
      <c r="A674" s="2038"/>
      <c r="B674" s="493"/>
      <c r="C674" s="455"/>
      <c r="D674" s="2847"/>
      <c r="E674" s="2922"/>
      <c r="F674" s="2780" t="str">
        <f t="shared" si="68"/>
        <v>CAC - SEER 19 ER1: MF</v>
      </c>
      <c r="G674" s="2781"/>
      <c r="H674" s="2782"/>
      <c r="I674" s="951"/>
      <c r="J674" s="968">
        <v>6</v>
      </c>
      <c r="K674" s="953"/>
      <c r="L674" s="954"/>
      <c r="M674" s="455"/>
      <c r="N674" s="2028"/>
      <c r="O674" s="455"/>
      <c r="P674" s="493"/>
      <c r="Q674" s="493"/>
      <c r="R674" s="493"/>
      <c r="S674" s="493"/>
      <c r="T674" s="493"/>
      <c r="U674" s="493"/>
      <c r="V674" s="2847"/>
      <c r="W674" s="969"/>
      <c r="X674" s="969"/>
      <c r="Y674" s="969"/>
      <c r="Z674" s="970">
        <v>6</v>
      </c>
      <c r="AA674" s="969"/>
      <c r="AB674" s="969"/>
      <c r="AC674" s="969"/>
      <c r="AD674" s="969"/>
      <c r="AE674" s="969"/>
      <c r="AF674" s="969"/>
      <c r="AG674" s="969"/>
      <c r="BB674" s="950"/>
      <c r="BC674" s="796"/>
      <c r="BD674" s="900"/>
      <c r="BE674" s="797"/>
    </row>
    <row r="675" spans="1:57" s="614" customFormat="1" ht="14.45" hidden="1" customHeight="1" outlineLevel="1" x14ac:dyDescent="0.25">
      <c r="A675" s="2038"/>
      <c r="B675" s="493"/>
      <c r="C675" s="455"/>
      <c r="D675" s="2847"/>
      <c r="E675" s="2922"/>
      <c r="F675" s="2780" t="str">
        <f t="shared" si="68"/>
        <v>CAC - SEER 19 ER2: MF</v>
      </c>
      <c r="G675" s="2781"/>
      <c r="H675" s="2782"/>
      <c r="I675" s="951"/>
      <c r="J675" s="968">
        <v>12</v>
      </c>
      <c r="K675" s="953"/>
      <c r="L675" s="954"/>
      <c r="M675" s="455"/>
      <c r="N675" s="2028"/>
      <c r="O675" s="455"/>
      <c r="P675" s="493"/>
      <c r="Q675" s="493"/>
      <c r="R675" s="493"/>
      <c r="S675" s="493"/>
      <c r="T675" s="493"/>
      <c r="U675" s="493"/>
      <c r="V675" s="2847"/>
      <c r="W675" s="969"/>
      <c r="X675" s="969"/>
      <c r="Y675" s="969"/>
      <c r="Z675" s="970">
        <v>12</v>
      </c>
      <c r="AA675" s="969"/>
      <c r="AB675" s="969"/>
      <c r="AC675" s="969"/>
      <c r="AD675" s="969"/>
      <c r="AE675" s="969"/>
      <c r="AF675" s="969"/>
      <c r="AG675" s="969"/>
      <c r="BB675" s="950"/>
      <c r="BC675" s="796"/>
      <c r="BD675" s="900"/>
      <c r="BE675" s="797"/>
    </row>
    <row r="676" spans="1:57" s="614" customFormat="1" ht="14.45" hidden="1" customHeight="1" outlineLevel="1" x14ac:dyDescent="0.25">
      <c r="A676" s="2038"/>
      <c r="B676" s="493"/>
      <c r="C676" s="455"/>
      <c r="D676" s="2847"/>
      <c r="E676" s="2922"/>
      <c r="F676" s="2780" t="str">
        <f t="shared" si="68"/>
        <v>CAC - SEER 19 ER1: MF_CompE</v>
      </c>
      <c r="G676" s="2781"/>
      <c r="H676" s="2782"/>
      <c r="I676" s="951"/>
      <c r="J676" s="968">
        <v>6</v>
      </c>
      <c r="K676" s="953"/>
      <c r="L676" s="954"/>
      <c r="M676" s="455"/>
      <c r="N676" s="2028"/>
      <c r="O676" s="455"/>
      <c r="P676" s="493"/>
      <c r="Q676" s="493"/>
      <c r="R676" s="493"/>
      <c r="S676" s="493"/>
      <c r="T676" s="493"/>
      <c r="U676" s="493"/>
      <c r="V676" s="2847"/>
      <c r="W676" s="969"/>
      <c r="X676" s="969"/>
      <c r="Y676" s="969"/>
      <c r="Z676" s="970">
        <v>6</v>
      </c>
      <c r="AA676" s="969"/>
      <c r="AB676" s="969"/>
      <c r="AC676" s="969"/>
      <c r="AD676" s="969"/>
      <c r="AE676" s="969"/>
      <c r="AF676" s="969"/>
      <c r="AG676" s="969"/>
      <c r="BB676" s="950"/>
      <c r="BC676" s="796"/>
      <c r="BD676" s="900"/>
      <c r="BE676" s="797"/>
    </row>
    <row r="677" spans="1:57" s="614" customFormat="1" ht="14.45" hidden="1" customHeight="1" outlineLevel="1" x14ac:dyDescent="0.25">
      <c r="A677" s="2038"/>
      <c r="B677" s="493"/>
      <c r="C677" s="455"/>
      <c r="D677" s="2847"/>
      <c r="E677" s="2922"/>
      <c r="F677" s="2780" t="str">
        <f t="shared" si="68"/>
        <v>CAC - SEER 19 ER2: MF_CompE</v>
      </c>
      <c r="G677" s="2781"/>
      <c r="H677" s="2782"/>
      <c r="I677" s="951"/>
      <c r="J677" s="968">
        <v>12</v>
      </c>
      <c r="K677" s="953"/>
      <c r="L677" s="954"/>
      <c r="M677" s="455"/>
      <c r="N677" s="2028"/>
      <c r="O677" s="455"/>
      <c r="P677" s="493"/>
      <c r="Q677" s="493"/>
      <c r="R677" s="493"/>
      <c r="S677" s="493"/>
      <c r="T677" s="493"/>
      <c r="U677" s="493"/>
      <c r="V677" s="2847"/>
      <c r="W677" s="969"/>
      <c r="X677" s="969"/>
      <c r="Y677" s="969"/>
      <c r="Z677" s="970">
        <v>12</v>
      </c>
      <c r="AA677" s="969"/>
      <c r="AB677" s="969"/>
      <c r="AC677" s="969"/>
      <c r="AD677" s="969"/>
      <c r="AE677" s="969"/>
      <c r="AF677" s="969"/>
      <c r="AG677" s="969"/>
      <c r="BB677" s="950"/>
      <c r="BC677" s="796"/>
      <c r="BD677" s="900"/>
      <c r="BE677" s="797"/>
    </row>
    <row r="678" spans="1:57" s="614" customFormat="1" ht="14.45" hidden="1" customHeight="1" outlineLevel="1" x14ac:dyDescent="0.25">
      <c r="A678" s="2038"/>
      <c r="B678" s="493"/>
      <c r="C678" s="455"/>
      <c r="D678" s="2847"/>
      <c r="E678" s="2922"/>
      <c r="F678" s="2780" t="str">
        <f t="shared" si="68"/>
        <v>CAC - SEER 19 ROF: MF</v>
      </c>
      <c r="G678" s="2781"/>
      <c r="H678" s="2782"/>
      <c r="I678" s="951"/>
      <c r="J678" s="968">
        <v>18</v>
      </c>
      <c r="K678" s="953"/>
      <c r="L678" s="954"/>
      <c r="M678" s="455"/>
      <c r="N678" s="2028"/>
      <c r="O678" s="455"/>
      <c r="P678" s="493"/>
      <c r="Q678" s="493"/>
      <c r="R678" s="493"/>
      <c r="S678" s="493"/>
      <c r="T678" s="493"/>
      <c r="U678" s="493"/>
      <c r="V678" s="2847"/>
      <c r="W678" s="969"/>
      <c r="X678" s="969"/>
      <c r="Y678" s="969"/>
      <c r="Z678" s="970">
        <v>18</v>
      </c>
      <c r="AA678" s="969"/>
      <c r="AB678" s="969"/>
      <c r="AC678" s="969"/>
      <c r="AD678" s="969"/>
      <c r="AE678" s="969"/>
      <c r="AF678" s="969"/>
      <c r="AG678" s="969"/>
      <c r="BB678" s="950"/>
      <c r="BC678" s="796"/>
      <c r="BD678" s="900"/>
      <c r="BE678" s="797"/>
    </row>
    <row r="679" spans="1:57" s="614" customFormat="1" ht="14.45" hidden="1" customHeight="1" outlineLevel="1" x14ac:dyDescent="0.25">
      <c r="A679" s="2038"/>
      <c r="B679" s="493"/>
      <c r="C679" s="455"/>
      <c r="D679" s="2847"/>
      <c r="E679" s="2922"/>
      <c r="F679" s="2780" t="str">
        <f t="shared" si="68"/>
        <v>CAC - SEER 19 ROF: MF_CompE</v>
      </c>
      <c r="G679" s="2781"/>
      <c r="H679" s="2782"/>
      <c r="I679" s="951"/>
      <c r="J679" s="968">
        <v>18</v>
      </c>
      <c r="K679" s="953"/>
      <c r="L679" s="954"/>
      <c r="M679" s="455"/>
      <c r="N679" s="2028"/>
      <c r="O679" s="455"/>
      <c r="P679" s="493"/>
      <c r="Q679" s="493"/>
      <c r="R679" s="493"/>
      <c r="S679" s="493"/>
      <c r="T679" s="493"/>
      <c r="U679" s="493"/>
      <c r="V679" s="2847"/>
      <c r="W679" s="969"/>
      <c r="X679" s="969"/>
      <c r="Y679" s="969"/>
      <c r="Z679" s="970">
        <v>18</v>
      </c>
      <c r="AA679" s="969"/>
      <c r="AB679" s="969"/>
      <c r="AC679" s="969"/>
      <c r="AD679" s="969"/>
      <c r="AE679" s="969"/>
      <c r="AF679" s="969"/>
      <c r="AG679" s="969"/>
      <c r="BB679" s="950"/>
      <c r="BC679" s="796"/>
      <c r="BD679" s="900"/>
      <c r="BE679" s="797"/>
    </row>
    <row r="680" spans="1:57" s="614" customFormat="1" ht="14.45" hidden="1" customHeight="1" outlineLevel="1" x14ac:dyDescent="0.25">
      <c r="A680" s="2038"/>
      <c r="B680" s="493"/>
      <c r="C680" s="455"/>
      <c r="D680" s="2847"/>
      <c r="E680" s="2922"/>
      <c r="F680" s="2780" t="str">
        <f t="shared" si="68"/>
        <v>CAC - SEER 20 ER1: SF</v>
      </c>
      <c r="G680" s="2781"/>
      <c r="H680" s="2782"/>
      <c r="I680" s="951"/>
      <c r="J680" s="968">
        <v>6</v>
      </c>
      <c r="K680" s="953"/>
      <c r="L680" s="954"/>
      <c r="M680" s="455"/>
      <c r="N680" s="2028"/>
      <c r="O680" s="455"/>
      <c r="P680" s="493"/>
      <c r="Q680" s="493"/>
      <c r="R680" s="493"/>
      <c r="S680" s="493"/>
      <c r="T680" s="493"/>
      <c r="U680" s="493"/>
      <c r="V680" s="2847"/>
      <c r="W680" s="969"/>
      <c r="X680" s="969"/>
      <c r="Y680" s="969"/>
      <c r="Z680" s="970">
        <v>6</v>
      </c>
      <c r="AA680" s="969"/>
      <c r="AB680" s="969"/>
      <c r="AC680" s="969"/>
      <c r="AD680" s="969"/>
      <c r="AE680" s="969"/>
      <c r="AF680" s="969"/>
      <c r="AG680" s="969"/>
      <c r="BB680" s="950"/>
      <c r="BC680" s="796"/>
      <c r="BD680" s="900"/>
      <c r="BE680" s="797"/>
    </row>
    <row r="681" spans="1:57" s="614" customFormat="1" ht="14.45" hidden="1" customHeight="1" outlineLevel="1" x14ac:dyDescent="0.25">
      <c r="A681" s="2038"/>
      <c r="B681" s="493"/>
      <c r="C681" s="455"/>
      <c r="D681" s="2847"/>
      <c r="E681" s="2922"/>
      <c r="F681" s="2780" t="str">
        <f t="shared" si="68"/>
        <v>CAC - SEER 20 ER2: SF</v>
      </c>
      <c r="G681" s="2781"/>
      <c r="H681" s="2782"/>
      <c r="I681" s="951"/>
      <c r="J681" s="968">
        <v>12</v>
      </c>
      <c r="K681" s="953"/>
      <c r="L681" s="954"/>
      <c r="M681" s="455"/>
      <c r="N681" s="2028"/>
      <c r="O681" s="455"/>
      <c r="P681" s="493"/>
      <c r="Q681" s="493"/>
      <c r="R681" s="493"/>
      <c r="S681" s="493"/>
      <c r="T681" s="493"/>
      <c r="U681" s="493"/>
      <c r="V681" s="2847"/>
      <c r="W681" s="969"/>
      <c r="X681" s="969"/>
      <c r="Y681" s="969"/>
      <c r="Z681" s="970">
        <v>12</v>
      </c>
      <c r="AA681" s="969"/>
      <c r="AB681" s="969"/>
      <c r="AC681" s="969"/>
      <c r="AD681" s="969"/>
      <c r="AE681" s="969"/>
      <c r="AF681" s="969"/>
      <c r="AG681" s="969"/>
      <c r="BB681" s="950"/>
      <c r="BC681" s="796"/>
      <c r="BD681" s="900"/>
      <c r="BE681" s="797"/>
    </row>
    <row r="682" spans="1:57" s="614" customFormat="1" ht="14.45" hidden="1" customHeight="1" outlineLevel="1" x14ac:dyDescent="0.25">
      <c r="A682" s="2038"/>
      <c r="B682" s="493"/>
      <c r="C682" s="455"/>
      <c r="D682" s="2847"/>
      <c r="E682" s="2922"/>
      <c r="F682" s="2780" t="str">
        <f t="shared" si="68"/>
        <v>CAC - SEER 20 ROF: SF</v>
      </c>
      <c r="G682" s="2781"/>
      <c r="H682" s="2782"/>
      <c r="I682" s="951"/>
      <c r="J682" s="968">
        <v>18</v>
      </c>
      <c r="K682" s="953"/>
      <c r="L682" s="954"/>
      <c r="M682" s="455"/>
      <c r="N682" s="2028"/>
      <c r="O682" s="455"/>
      <c r="P682" s="493"/>
      <c r="Q682" s="493"/>
      <c r="R682" s="493"/>
      <c r="S682" s="493"/>
      <c r="T682" s="493"/>
      <c r="U682" s="493"/>
      <c r="V682" s="2847"/>
      <c r="W682" s="969"/>
      <c r="X682" s="969"/>
      <c r="Y682" s="969"/>
      <c r="Z682" s="970">
        <v>18</v>
      </c>
      <c r="AA682" s="969"/>
      <c r="AB682" s="969"/>
      <c r="AC682" s="969"/>
      <c r="AD682" s="969"/>
      <c r="AE682" s="969"/>
      <c r="AF682" s="969"/>
      <c r="AG682" s="969"/>
      <c r="BB682" s="950"/>
      <c r="BC682" s="796"/>
      <c r="BD682" s="900"/>
      <c r="BE682" s="797"/>
    </row>
    <row r="683" spans="1:57" s="614" customFormat="1" ht="14.45" hidden="1" customHeight="1" outlineLevel="1" x14ac:dyDescent="0.25">
      <c r="A683" s="2038"/>
      <c r="B683" s="493"/>
      <c r="C683" s="455"/>
      <c r="D683" s="2847"/>
      <c r="E683" s="2922"/>
      <c r="F683" s="2780" t="str">
        <f t="shared" si="68"/>
        <v>CAC - SEER 20 ER1: MF</v>
      </c>
      <c r="G683" s="2781"/>
      <c r="H683" s="2782"/>
      <c r="I683" s="951"/>
      <c r="J683" s="968">
        <v>6</v>
      </c>
      <c r="K683" s="953"/>
      <c r="L683" s="954"/>
      <c r="M683" s="455"/>
      <c r="N683" s="2028"/>
      <c r="O683" s="455"/>
      <c r="P683" s="493"/>
      <c r="Q683" s="493"/>
      <c r="R683" s="493"/>
      <c r="S683" s="493"/>
      <c r="T683" s="493"/>
      <c r="U683" s="493"/>
      <c r="V683" s="2847"/>
      <c r="W683" s="969"/>
      <c r="X683" s="969"/>
      <c r="Y683" s="969"/>
      <c r="Z683" s="970">
        <v>6</v>
      </c>
      <c r="AA683" s="969"/>
      <c r="AB683" s="969"/>
      <c r="AC683" s="969"/>
      <c r="AD683" s="969"/>
      <c r="AE683" s="969"/>
      <c r="AF683" s="969"/>
      <c r="AG683" s="969"/>
      <c r="BB683" s="950"/>
      <c r="BC683" s="796"/>
      <c r="BD683" s="900"/>
      <c r="BE683" s="797"/>
    </row>
    <row r="684" spans="1:57" s="614" customFormat="1" ht="14.45" hidden="1" customHeight="1" outlineLevel="1" x14ac:dyDescent="0.25">
      <c r="A684" s="2038"/>
      <c r="B684" s="493"/>
      <c r="C684" s="455"/>
      <c r="D684" s="2847"/>
      <c r="E684" s="2922"/>
      <c r="F684" s="2780" t="str">
        <f t="shared" si="68"/>
        <v>CAC - SEER 20 ER2: MF</v>
      </c>
      <c r="G684" s="2781"/>
      <c r="H684" s="2782"/>
      <c r="I684" s="951"/>
      <c r="J684" s="968">
        <v>12</v>
      </c>
      <c r="K684" s="953"/>
      <c r="L684" s="954"/>
      <c r="M684" s="455"/>
      <c r="N684" s="2028"/>
      <c r="O684" s="455"/>
      <c r="P684" s="493"/>
      <c r="Q684" s="493"/>
      <c r="R684" s="493"/>
      <c r="S684" s="493"/>
      <c r="T684" s="493"/>
      <c r="U684" s="493"/>
      <c r="V684" s="2847"/>
      <c r="W684" s="969"/>
      <c r="X684" s="969"/>
      <c r="Y684" s="969"/>
      <c r="Z684" s="970">
        <v>12</v>
      </c>
      <c r="AA684" s="969"/>
      <c r="AB684" s="969"/>
      <c r="AC684" s="969"/>
      <c r="AD684" s="969"/>
      <c r="AE684" s="969"/>
      <c r="AF684" s="969"/>
      <c r="AG684" s="969"/>
      <c r="BB684" s="950"/>
      <c r="BC684" s="796"/>
      <c r="BD684" s="900"/>
      <c r="BE684" s="797"/>
    </row>
    <row r="685" spans="1:57" s="614" customFormat="1" ht="14.45" hidden="1" customHeight="1" outlineLevel="1" x14ac:dyDescent="0.25">
      <c r="A685" s="2038"/>
      <c r="B685" s="493"/>
      <c r="C685" s="455"/>
      <c r="D685" s="2847"/>
      <c r="E685" s="2922"/>
      <c r="F685" s="2780" t="str">
        <f t="shared" si="68"/>
        <v>CAC - SEER 20 ER1: MF_CompE</v>
      </c>
      <c r="G685" s="2781"/>
      <c r="H685" s="2782"/>
      <c r="I685" s="951"/>
      <c r="J685" s="968">
        <v>6</v>
      </c>
      <c r="K685" s="953"/>
      <c r="L685" s="954"/>
      <c r="M685" s="455"/>
      <c r="N685" s="2028"/>
      <c r="O685" s="455"/>
      <c r="P685" s="493"/>
      <c r="Q685" s="493"/>
      <c r="R685" s="493"/>
      <c r="S685" s="493"/>
      <c r="T685" s="493"/>
      <c r="U685" s="493"/>
      <c r="V685" s="2847"/>
      <c r="W685" s="969"/>
      <c r="X685" s="969"/>
      <c r="Y685" s="969"/>
      <c r="Z685" s="970">
        <v>6</v>
      </c>
      <c r="AA685" s="969"/>
      <c r="AB685" s="969"/>
      <c r="AC685" s="969"/>
      <c r="AD685" s="969"/>
      <c r="AE685" s="969"/>
      <c r="AF685" s="969"/>
      <c r="AG685" s="969"/>
      <c r="BB685" s="950"/>
      <c r="BC685" s="796"/>
      <c r="BD685" s="900"/>
      <c r="BE685" s="797"/>
    </row>
    <row r="686" spans="1:57" s="614" customFormat="1" ht="14.45" hidden="1" customHeight="1" outlineLevel="1" x14ac:dyDescent="0.25">
      <c r="A686" s="2038"/>
      <c r="B686" s="493"/>
      <c r="C686" s="455"/>
      <c r="D686" s="2847"/>
      <c r="E686" s="2922"/>
      <c r="F686" s="2780" t="str">
        <f t="shared" si="68"/>
        <v>CAC - SEER 20 ER2: MF_CompE</v>
      </c>
      <c r="G686" s="2781"/>
      <c r="H686" s="2782"/>
      <c r="I686" s="951"/>
      <c r="J686" s="968">
        <v>12</v>
      </c>
      <c r="K686" s="953"/>
      <c r="L686" s="954"/>
      <c r="M686" s="455"/>
      <c r="N686" s="2028"/>
      <c r="O686" s="455"/>
      <c r="P686" s="493"/>
      <c r="Q686" s="493"/>
      <c r="R686" s="493"/>
      <c r="S686" s="493"/>
      <c r="T686" s="493"/>
      <c r="U686" s="493"/>
      <c r="V686" s="2847"/>
      <c r="W686" s="969"/>
      <c r="X686" s="969"/>
      <c r="Y686" s="969"/>
      <c r="Z686" s="970">
        <v>12</v>
      </c>
      <c r="AA686" s="969"/>
      <c r="AB686" s="969"/>
      <c r="AC686" s="969"/>
      <c r="AD686" s="969"/>
      <c r="AE686" s="969"/>
      <c r="AF686" s="969"/>
      <c r="AG686" s="969"/>
      <c r="BB686" s="950"/>
      <c r="BC686" s="796"/>
      <c r="BD686" s="900"/>
      <c r="BE686" s="797"/>
    </row>
    <row r="687" spans="1:57" s="614" customFormat="1" ht="14.45" hidden="1" customHeight="1" outlineLevel="1" x14ac:dyDescent="0.25">
      <c r="A687" s="2038"/>
      <c r="B687" s="493"/>
      <c r="C687" s="455"/>
      <c r="D687" s="2847"/>
      <c r="E687" s="2922"/>
      <c r="F687" s="2780" t="str">
        <f t="shared" si="68"/>
        <v>CAC - SEER 20 ROF: MF</v>
      </c>
      <c r="G687" s="2781"/>
      <c r="H687" s="2782"/>
      <c r="I687" s="951"/>
      <c r="J687" s="968">
        <v>18</v>
      </c>
      <c r="K687" s="953"/>
      <c r="L687" s="954"/>
      <c r="M687" s="455"/>
      <c r="N687" s="2028"/>
      <c r="O687" s="455"/>
      <c r="P687" s="493"/>
      <c r="Q687" s="493"/>
      <c r="R687" s="493"/>
      <c r="S687" s="493"/>
      <c r="T687" s="493"/>
      <c r="U687" s="493"/>
      <c r="V687" s="2847"/>
      <c r="W687" s="969"/>
      <c r="X687" s="969"/>
      <c r="Y687" s="969"/>
      <c r="Z687" s="970">
        <v>18</v>
      </c>
      <c r="AA687" s="969"/>
      <c r="AB687" s="969"/>
      <c r="AC687" s="969"/>
      <c r="AD687" s="969"/>
      <c r="AE687" s="969"/>
      <c r="AF687" s="969"/>
      <c r="AG687" s="969"/>
      <c r="BB687" s="950"/>
      <c r="BC687" s="796"/>
      <c r="BD687" s="900"/>
      <c r="BE687" s="797"/>
    </row>
    <row r="688" spans="1:57" s="614" customFormat="1" ht="14.45" hidden="1" customHeight="1" outlineLevel="1" x14ac:dyDescent="0.25">
      <c r="A688" s="2038"/>
      <c r="B688" s="493"/>
      <c r="C688" s="455"/>
      <c r="D688" s="2847"/>
      <c r="E688" s="2922"/>
      <c r="F688" s="2780" t="str">
        <f t="shared" si="68"/>
        <v>CAC - SEER 20 ROF: MF_CompE</v>
      </c>
      <c r="G688" s="2781"/>
      <c r="H688" s="2782"/>
      <c r="I688" s="951"/>
      <c r="J688" s="968">
        <v>18</v>
      </c>
      <c r="K688" s="953"/>
      <c r="L688" s="954"/>
      <c r="M688" s="455"/>
      <c r="N688" s="2028"/>
      <c r="O688" s="455"/>
      <c r="P688" s="493"/>
      <c r="Q688" s="493"/>
      <c r="R688" s="493"/>
      <c r="S688" s="493"/>
      <c r="T688" s="493"/>
      <c r="U688" s="493"/>
      <c r="V688" s="2847"/>
      <c r="W688" s="969"/>
      <c r="X688" s="969"/>
      <c r="Y688" s="969"/>
      <c r="Z688" s="970">
        <v>18</v>
      </c>
      <c r="AA688" s="969"/>
      <c r="AB688" s="969"/>
      <c r="AC688" s="969"/>
      <c r="AD688" s="969"/>
      <c r="AE688" s="969"/>
      <c r="AF688" s="969"/>
      <c r="AG688" s="969"/>
      <c r="BB688" s="950"/>
      <c r="BC688" s="796"/>
      <c r="BD688" s="900"/>
      <c r="BE688" s="797"/>
    </row>
    <row r="689" spans="1:57" s="614" customFormat="1" ht="14.45" hidden="1" customHeight="1" outlineLevel="1" x14ac:dyDescent="0.25">
      <c r="A689" s="2038"/>
      <c r="B689" s="493"/>
      <c r="C689" s="455"/>
      <c r="D689" s="2847"/>
      <c r="E689" s="2922"/>
      <c r="F689" s="2780" t="str">
        <f t="shared" si="68"/>
        <v>CAC - SEER 21+ ER1: SF</v>
      </c>
      <c r="G689" s="2781"/>
      <c r="H689" s="2782"/>
      <c r="I689" s="951"/>
      <c r="J689" s="968">
        <v>6</v>
      </c>
      <c r="K689" s="953"/>
      <c r="L689" s="954"/>
      <c r="M689" s="455"/>
      <c r="N689" s="2028"/>
      <c r="O689" s="455"/>
      <c r="P689" s="493"/>
      <c r="Q689" s="493"/>
      <c r="R689" s="493"/>
      <c r="S689" s="493"/>
      <c r="T689" s="493"/>
      <c r="U689" s="493"/>
      <c r="V689" s="2847"/>
      <c r="W689" s="969"/>
      <c r="X689" s="969"/>
      <c r="Y689" s="969"/>
      <c r="Z689" s="970">
        <v>6</v>
      </c>
      <c r="AA689" s="969"/>
      <c r="AB689" s="969"/>
      <c r="AC689" s="969"/>
      <c r="AD689" s="969"/>
      <c r="AE689" s="969"/>
      <c r="AF689" s="969"/>
      <c r="AG689" s="969"/>
      <c r="BB689" s="950"/>
      <c r="BC689" s="796"/>
      <c r="BD689" s="900"/>
      <c r="BE689" s="797"/>
    </row>
    <row r="690" spans="1:57" s="614" customFormat="1" ht="14.45" hidden="1" customHeight="1" outlineLevel="1" x14ac:dyDescent="0.25">
      <c r="A690" s="2038"/>
      <c r="B690" s="493"/>
      <c r="C690" s="455"/>
      <c r="D690" s="2847"/>
      <c r="E690" s="2922"/>
      <c r="F690" s="2780" t="str">
        <f t="shared" si="68"/>
        <v>CAC - SEER 21+ ER2: SF</v>
      </c>
      <c r="G690" s="2781"/>
      <c r="H690" s="2782"/>
      <c r="I690" s="951"/>
      <c r="J690" s="968">
        <v>12</v>
      </c>
      <c r="K690" s="953"/>
      <c r="L690" s="954"/>
      <c r="M690" s="455"/>
      <c r="N690" s="2028"/>
      <c r="O690" s="455"/>
      <c r="P690" s="493"/>
      <c r="Q690" s="493"/>
      <c r="R690" s="493"/>
      <c r="S690" s="493"/>
      <c r="T690" s="493"/>
      <c r="U690" s="493"/>
      <c r="V690" s="2847"/>
      <c r="W690" s="969"/>
      <c r="X690" s="969"/>
      <c r="Y690" s="969"/>
      <c r="Z690" s="970">
        <v>12</v>
      </c>
      <c r="AA690" s="969"/>
      <c r="AB690" s="969"/>
      <c r="AC690" s="969"/>
      <c r="AD690" s="969"/>
      <c r="AE690" s="969"/>
      <c r="AF690" s="969"/>
      <c r="AG690" s="969"/>
      <c r="BB690" s="950"/>
      <c r="BC690" s="796"/>
      <c r="BD690" s="900"/>
      <c r="BE690" s="797"/>
    </row>
    <row r="691" spans="1:57" s="614" customFormat="1" ht="14.45" hidden="1" customHeight="1" outlineLevel="1" x14ac:dyDescent="0.25">
      <c r="A691" s="2038"/>
      <c r="B691" s="493"/>
      <c r="C691" s="455"/>
      <c r="D691" s="2847"/>
      <c r="E691" s="2922"/>
      <c r="F691" s="2780" t="str">
        <f t="shared" si="68"/>
        <v>CAC - SEER 21+ ROF: SF</v>
      </c>
      <c r="G691" s="2781"/>
      <c r="H691" s="2782"/>
      <c r="I691" s="951"/>
      <c r="J691" s="968">
        <v>18</v>
      </c>
      <c r="K691" s="953"/>
      <c r="L691" s="954"/>
      <c r="M691" s="455"/>
      <c r="N691" s="2028"/>
      <c r="O691" s="455"/>
      <c r="P691" s="493"/>
      <c r="Q691" s="493"/>
      <c r="R691" s="493"/>
      <c r="S691" s="493"/>
      <c r="T691" s="493"/>
      <c r="U691" s="493"/>
      <c r="V691" s="2847"/>
      <c r="W691" s="969"/>
      <c r="X691" s="969"/>
      <c r="Y691" s="969"/>
      <c r="Z691" s="970">
        <v>18</v>
      </c>
      <c r="AA691" s="969"/>
      <c r="AB691" s="969"/>
      <c r="AC691" s="969"/>
      <c r="AD691" s="969"/>
      <c r="AE691" s="969"/>
      <c r="AF691" s="969"/>
      <c r="AG691" s="969"/>
      <c r="BB691" s="950"/>
      <c r="BC691" s="796"/>
      <c r="BD691" s="900"/>
      <c r="BE691" s="797"/>
    </row>
    <row r="692" spans="1:57" s="614" customFormat="1" ht="14.45" hidden="1" customHeight="1" outlineLevel="1" x14ac:dyDescent="0.25">
      <c r="A692" s="2038"/>
      <c r="B692" s="493"/>
      <c r="C692" s="455"/>
      <c r="D692" s="2847"/>
      <c r="E692" s="2922"/>
      <c r="F692" s="2780" t="str">
        <f t="shared" si="68"/>
        <v>CAC - SEER 21+ ER1: MF</v>
      </c>
      <c r="G692" s="2781"/>
      <c r="H692" s="2782"/>
      <c r="I692" s="951"/>
      <c r="J692" s="968">
        <v>6</v>
      </c>
      <c r="K692" s="953"/>
      <c r="L692" s="954"/>
      <c r="M692" s="455"/>
      <c r="N692" s="2028"/>
      <c r="O692" s="455"/>
      <c r="P692" s="493"/>
      <c r="Q692" s="493"/>
      <c r="R692" s="493"/>
      <c r="S692" s="493"/>
      <c r="T692" s="493"/>
      <c r="U692" s="493"/>
      <c r="V692" s="2847"/>
      <c r="W692" s="969"/>
      <c r="X692" s="969"/>
      <c r="Y692" s="969"/>
      <c r="Z692" s="970">
        <v>6</v>
      </c>
      <c r="AA692" s="969"/>
      <c r="AB692" s="969"/>
      <c r="AC692" s="969"/>
      <c r="AD692" s="969"/>
      <c r="AE692" s="969"/>
      <c r="AF692" s="969"/>
      <c r="AG692" s="969"/>
      <c r="BB692" s="950"/>
      <c r="BC692" s="796"/>
      <c r="BD692" s="900"/>
      <c r="BE692" s="797"/>
    </row>
    <row r="693" spans="1:57" s="614" customFormat="1" ht="14.45" hidden="1" customHeight="1" outlineLevel="1" x14ac:dyDescent="0.25">
      <c r="A693" s="2038"/>
      <c r="B693" s="493"/>
      <c r="C693" s="455"/>
      <c r="D693" s="2847"/>
      <c r="E693" s="2922"/>
      <c r="F693" s="2780" t="str">
        <f t="shared" si="68"/>
        <v>CAC - SEER 21+ ER2: MF</v>
      </c>
      <c r="G693" s="2781"/>
      <c r="H693" s="2782"/>
      <c r="I693" s="951"/>
      <c r="J693" s="968">
        <v>12</v>
      </c>
      <c r="K693" s="953"/>
      <c r="L693" s="954"/>
      <c r="M693" s="455"/>
      <c r="N693" s="2028"/>
      <c r="O693" s="455"/>
      <c r="P693" s="493"/>
      <c r="Q693" s="493"/>
      <c r="R693" s="493"/>
      <c r="S693" s="493"/>
      <c r="T693" s="493"/>
      <c r="U693" s="493"/>
      <c r="V693" s="2847"/>
      <c r="W693" s="969"/>
      <c r="X693" s="969"/>
      <c r="Y693" s="969"/>
      <c r="Z693" s="970">
        <v>12</v>
      </c>
      <c r="AA693" s="969"/>
      <c r="AB693" s="969"/>
      <c r="AC693" s="969"/>
      <c r="AD693" s="969"/>
      <c r="AE693" s="969"/>
      <c r="AF693" s="969"/>
      <c r="AG693" s="969"/>
      <c r="BB693" s="950"/>
      <c r="BC693" s="796"/>
      <c r="BD693" s="900"/>
      <c r="BE693" s="797"/>
    </row>
    <row r="694" spans="1:57" s="614" customFormat="1" ht="14.45" hidden="1" customHeight="1" outlineLevel="1" x14ac:dyDescent="0.25">
      <c r="A694" s="2038"/>
      <c r="B694" s="493"/>
      <c r="C694" s="455"/>
      <c r="D694" s="2847"/>
      <c r="E694" s="2922"/>
      <c r="F694" s="2780" t="str">
        <f t="shared" si="68"/>
        <v>CAC - SEER 21+ ER1: MF_CompE</v>
      </c>
      <c r="G694" s="2781"/>
      <c r="H694" s="2782"/>
      <c r="I694" s="956"/>
      <c r="J694" s="968">
        <v>6</v>
      </c>
      <c r="K694" s="957"/>
      <c r="L694" s="958"/>
      <c r="M694" s="455"/>
      <c r="N694" s="2028"/>
      <c r="O694" s="455"/>
      <c r="P694" s="493"/>
      <c r="Q694" s="493"/>
      <c r="R694" s="493"/>
      <c r="S694" s="493"/>
      <c r="T694" s="493"/>
      <c r="U694" s="493"/>
      <c r="V694" s="2847"/>
      <c r="W694" s="971"/>
      <c r="X694" s="971"/>
      <c r="Y694" s="971"/>
      <c r="Z694" s="2584">
        <v>6</v>
      </c>
      <c r="AA694" s="971"/>
      <c r="AB694" s="971"/>
      <c r="AC694" s="971"/>
      <c r="AD694" s="971"/>
      <c r="AE694" s="971"/>
      <c r="AF694" s="971"/>
      <c r="AG694" s="971"/>
      <c r="BB694" s="950"/>
      <c r="BC694" s="796"/>
      <c r="BD694" s="900"/>
      <c r="BE694" s="797"/>
    </row>
    <row r="695" spans="1:57" s="614" customFormat="1" ht="14.45" hidden="1" customHeight="1" outlineLevel="1" x14ac:dyDescent="0.25">
      <c r="A695" s="2038"/>
      <c r="B695" s="493"/>
      <c r="C695" s="455"/>
      <c r="D695" s="2847"/>
      <c r="E695" s="2922"/>
      <c r="F695" s="2780" t="str">
        <f t="shared" si="68"/>
        <v>CAC - SEER 21+ ER2: MF_CompE</v>
      </c>
      <c r="G695" s="2781"/>
      <c r="H695" s="2782"/>
      <c r="I695" s="956"/>
      <c r="J695" s="968">
        <v>12</v>
      </c>
      <c r="K695" s="957"/>
      <c r="L695" s="958"/>
      <c r="M695" s="455"/>
      <c r="N695" s="2028"/>
      <c r="O695" s="455"/>
      <c r="P695" s="493"/>
      <c r="Q695" s="493"/>
      <c r="R695" s="493"/>
      <c r="S695" s="493"/>
      <c r="T695" s="493"/>
      <c r="U695" s="493"/>
      <c r="V695" s="2847"/>
      <c r="W695" s="971"/>
      <c r="X695" s="971"/>
      <c r="Y695" s="971"/>
      <c r="Z695" s="2584">
        <v>12</v>
      </c>
      <c r="AA695" s="971"/>
      <c r="AB695" s="971"/>
      <c r="AC695" s="971"/>
      <c r="AD695" s="971"/>
      <c r="AE695" s="971"/>
      <c r="AF695" s="971"/>
      <c r="AG695" s="971"/>
      <c r="BB695" s="950"/>
      <c r="BC695" s="796"/>
      <c r="BD695" s="900"/>
      <c r="BE695" s="797"/>
    </row>
    <row r="696" spans="1:57" s="614" customFormat="1" ht="14.45" hidden="1" customHeight="1" outlineLevel="1" x14ac:dyDescent="0.25">
      <c r="A696" s="2038"/>
      <c r="B696" s="493"/>
      <c r="C696" s="455"/>
      <c r="D696" s="2847"/>
      <c r="E696" s="2922"/>
      <c r="F696" s="2780" t="str">
        <f t="shared" si="68"/>
        <v>CAC - SEER 21+ ROF: MF</v>
      </c>
      <c r="G696" s="2781"/>
      <c r="H696" s="2782"/>
      <c r="I696" s="951"/>
      <c r="J696" s="968">
        <v>18</v>
      </c>
      <c r="K696" s="953"/>
      <c r="L696" s="954"/>
      <c r="M696" s="455"/>
      <c r="N696" s="2028"/>
      <c r="O696" s="455"/>
      <c r="P696" s="493"/>
      <c r="Q696" s="493"/>
      <c r="R696" s="493"/>
      <c r="S696" s="493"/>
      <c r="T696" s="493"/>
      <c r="U696" s="493"/>
      <c r="V696" s="2847"/>
      <c r="W696" s="971"/>
      <c r="X696" s="971"/>
      <c r="Y696" s="971"/>
      <c r="Z696" s="2584">
        <v>18</v>
      </c>
      <c r="AA696" s="971"/>
      <c r="AB696" s="971"/>
      <c r="AC696" s="971"/>
      <c r="AD696" s="971"/>
      <c r="AE696" s="971"/>
      <c r="AF696" s="971"/>
      <c r="AG696" s="971"/>
      <c r="BB696" s="950"/>
      <c r="BC696" s="796"/>
      <c r="BD696" s="900"/>
      <c r="BE696" s="797"/>
    </row>
    <row r="697" spans="1:57" s="614" customFormat="1" ht="14.45" hidden="1" customHeight="1" outlineLevel="1" thickBot="1" x14ac:dyDescent="0.3">
      <c r="A697" s="2038"/>
      <c r="B697" s="493"/>
      <c r="C697" s="455"/>
      <c r="D697" s="2848"/>
      <c r="E697" s="2923"/>
      <c r="F697" s="2780" t="str">
        <f t="shared" si="68"/>
        <v>CAC - SEER 21+ ROF: MF_CompE</v>
      </c>
      <c r="G697" s="2781"/>
      <c r="H697" s="2782"/>
      <c r="I697" s="972"/>
      <c r="J697" s="2039">
        <v>18</v>
      </c>
      <c r="K697" s="973"/>
      <c r="L697" s="974"/>
      <c r="M697" s="455"/>
      <c r="N697" s="2028"/>
      <c r="O697" s="455"/>
      <c r="P697" s="493"/>
      <c r="Q697" s="493"/>
      <c r="R697" s="493"/>
      <c r="S697" s="493"/>
      <c r="T697" s="493"/>
      <c r="U697" s="493"/>
      <c r="V697" s="2848"/>
      <c r="W697" s="975"/>
      <c r="X697" s="975"/>
      <c r="Y697" s="975"/>
      <c r="Z697" s="2585">
        <v>18</v>
      </c>
      <c r="AA697" s="975"/>
      <c r="AB697" s="975"/>
      <c r="AC697" s="975"/>
      <c r="AD697" s="975"/>
      <c r="AE697" s="975"/>
      <c r="AF697" s="975"/>
      <c r="AG697" s="975"/>
      <c r="BB697" s="950"/>
      <c r="BC697" s="796"/>
      <c r="BD697" s="900"/>
      <c r="BE697" s="797"/>
    </row>
    <row r="698" spans="1:57" s="614" customFormat="1" ht="14.45" hidden="1" customHeight="1" outlineLevel="1" x14ac:dyDescent="0.25">
      <c r="A698" s="2038"/>
      <c r="B698" s="493"/>
      <c r="C698" s="455"/>
      <c r="D698" s="2801" t="str">
        <f>K109</f>
        <v>Inc. Cost</v>
      </c>
      <c r="E698" s="2805" t="str">
        <f>E92</f>
        <v>Incremental Cost ($)</v>
      </c>
      <c r="F698" s="2776" t="str">
        <f t="shared" si="68"/>
        <v>CAC - SEER 14 ER1: SF</v>
      </c>
      <c r="G698" s="2777"/>
      <c r="H698" s="2778"/>
      <c r="I698" s="946"/>
      <c r="J698" s="2040">
        <f>(($R$207/3*K698)+$R$194)-(($Q$207/3*K698)/((1+$R$209)^($R$210-1)))*J554</f>
        <v>444.07830140084025</v>
      </c>
      <c r="K698" s="925">
        <f t="shared" ref="K698:K729" si="69">K266*J554</f>
        <v>2.98</v>
      </c>
      <c r="L698" s="949"/>
      <c r="M698" s="455"/>
      <c r="N698" s="2028"/>
      <c r="O698" s="455"/>
      <c r="P698" s="493"/>
      <c r="Q698" s="493"/>
      <c r="R698" s="493"/>
      <c r="S698" s="493"/>
      <c r="T698" s="493"/>
      <c r="U698" s="493"/>
      <c r="V698" s="2867" t="str">
        <f>D698</f>
        <v>Inc. Cost</v>
      </c>
      <c r="W698" s="2586">
        <v>637.14870909240062</v>
      </c>
      <c r="X698" s="2587">
        <f>$Q$194*(X$266/12000)*X$554</f>
        <v>1363.5290126904986</v>
      </c>
      <c r="Y698" s="2587">
        <v>578.51488884773289</v>
      </c>
      <c r="Z698" s="2588">
        <v>444.07830140084025</v>
      </c>
      <c r="AA698" s="2586"/>
      <c r="AB698" s="2586"/>
      <c r="AC698" s="2586"/>
      <c r="AD698" s="2586"/>
      <c r="AE698" s="2586"/>
      <c r="AF698" s="2586"/>
      <c r="AG698" s="2586"/>
      <c r="BB698" s="950"/>
      <c r="BC698" s="796"/>
      <c r="BD698" s="900"/>
      <c r="BE698" s="797"/>
    </row>
    <row r="699" spans="1:57" s="614" customFormat="1" ht="14.45" hidden="1" customHeight="1" outlineLevel="1" x14ac:dyDescent="0.25">
      <c r="A699" s="2038"/>
      <c r="B699" s="493"/>
      <c r="C699" s="455"/>
      <c r="D699" s="2802"/>
      <c r="E699" s="2806"/>
      <c r="F699" s="2783" t="str">
        <f t="shared" si="68"/>
        <v>CAC - SEER 14 ER2: SF</v>
      </c>
      <c r="G699" s="2784"/>
      <c r="H699" s="2785"/>
      <c r="I699" s="951"/>
      <c r="J699" s="2041"/>
      <c r="K699" s="95">
        <f t="shared" si="69"/>
        <v>2.98</v>
      </c>
      <c r="L699" s="954"/>
      <c r="M699" s="455"/>
      <c r="N699" s="2028"/>
      <c r="O699" s="455"/>
      <c r="P699" s="493"/>
      <c r="Q699" s="493"/>
      <c r="R699" s="493"/>
      <c r="S699" s="493"/>
      <c r="T699" s="493"/>
      <c r="U699" s="493"/>
      <c r="V699" s="2866"/>
      <c r="W699" s="886"/>
      <c r="X699" s="2589"/>
      <c r="Y699" s="2590"/>
      <c r="Z699" s="2517"/>
      <c r="AA699" s="886"/>
      <c r="AB699" s="886"/>
      <c r="AC699" s="886"/>
      <c r="AD699" s="886"/>
      <c r="AE699" s="886"/>
      <c r="AF699" s="886"/>
      <c r="AG699" s="886"/>
      <c r="BB699" s="950"/>
      <c r="BC699" s="796"/>
      <c r="BD699" s="900"/>
      <c r="BE699" s="797"/>
    </row>
    <row r="700" spans="1:57" s="614" customFormat="1" ht="14.45" hidden="1" customHeight="1" outlineLevel="1" x14ac:dyDescent="0.25">
      <c r="A700" s="2038"/>
      <c r="B700" s="493"/>
      <c r="C700" s="455"/>
      <c r="D700" s="2802"/>
      <c r="E700" s="2806"/>
      <c r="F700" s="2783" t="str">
        <f t="shared" si="68"/>
        <v>CAC - SEER 14 ROF: SF</v>
      </c>
      <c r="G700" s="2784"/>
      <c r="H700" s="2785"/>
      <c r="I700" s="951"/>
      <c r="J700" s="610"/>
      <c r="K700" s="95">
        <f t="shared" si="69"/>
        <v>2.97</v>
      </c>
      <c r="L700" s="954"/>
      <c r="M700" s="455"/>
      <c r="N700" s="2028"/>
      <c r="O700" s="455"/>
      <c r="P700" s="493"/>
      <c r="Q700" s="493"/>
      <c r="R700" s="493"/>
      <c r="S700" s="493"/>
      <c r="T700" s="493"/>
      <c r="U700" s="493"/>
      <c r="V700" s="2866"/>
      <c r="W700" s="886"/>
      <c r="X700" s="978"/>
      <c r="Y700" s="979"/>
      <c r="Z700" s="2517"/>
      <c r="AA700" s="886"/>
      <c r="AB700" s="886"/>
      <c r="AC700" s="886"/>
      <c r="AD700" s="886"/>
      <c r="AE700" s="886"/>
      <c r="AF700" s="886"/>
      <c r="AG700" s="886"/>
      <c r="BB700" s="950"/>
      <c r="BC700" s="796"/>
      <c r="BD700" s="900"/>
      <c r="BE700" s="797"/>
    </row>
    <row r="701" spans="1:57" s="614" customFormat="1" ht="14.45" hidden="1" customHeight="1" outlineLevel="1" x14ac:dyDescent="0.25">
      <c r="A701" s="2038"/>
      <c r="B701" s="493"/>
      <c r="C701" s="455"/>
      <c r="D701" s="2802"/>
      <c r="E701" s="2806"/>
      <c r="F701" s="2757" t="str">
        <f t="shared" si="68"/>
        <v>CAC - SEER 14 ER1: MF</v>
      </c>
      <c r="G701" s="2758"/>
      <c r="H701" s="2759"/>
      <c r="I701" s="951"/>
      <c r="J701" s="610">
        <f>(($R$207/3*K701)+$R$194)-(($Q$207/3*K701)/((1+$R$209)^$R$210))*J557</f>
        <v>388.26502607230418</v>
      </c>
      <c r="K701" s="95">
        <f t="shared" si="69"/>
        <v>2</v>
      </c>
      <c r="L701" s="954"/>
      <c r="M701" s="455"/>
      <c r="N701" s="2028"/>
      <c r="O701" s="455"/>
      <c r="P701" s="493"/>
      <c r="Q701" s="493"/>
      <c r="R701" s="493"/>
      <c r="S701" s="493"/>
      <c r="T701" s="493"/>
      <c r="U701" s="493"/>
      <c r="V701" s="2866"/>
      <c r="W701" s="886">
        <v>637.14870909240062</v>
      </c>
      <c r="X701" s="979">
        <f>(X$269/12000)*$Q$194*X$557</f>
        <v>894.11738537081874</v>
      </c>
      <c r="Y701" s="979">
        <v>388.26502607230418</v>
      </c>
      <c r="Z701" s="2517">
        <v>388.26502607230418</v>
      </c>
      <c r="AA701" s="886"/>
      <c r="AB701" s="886"/>
      <c r="AC701" s="886"/>
      <c r="AD701" s="886"/>
      <c r="AE701" s="886"/>
      <c r="AF701" s="886"/>
      <c r="AG701" s="886"/>
      <c r="BB701" s="950"/>
      <c r="BC701" s="796"/>
      <c r="BD701" s="900"/>
      <c r="BE701" s="797"/>
    </row>
    <row r="702" spans="1:57" s="614" customFormat="1" ht="14.45" hidden="1" customHeight="1" outlineLevel="1" x14ac:dyDescent="0.25">
      <c r="A702" s="2038"/>
      <c r="B702" s="493"/>
      <c r="C702" s="455"/>
      <c r="D702" s="2802"/>
      <c r="E702" s="2806"/>
      <c r="F702" s="2757" t="str">
        <f t="shared" si="68"/>
        <v>CAC - SEER 14 ER2: MF</v>
      </c>
      <c r="G702" s="2758"/>
      <c r="H702" s="2759"/>
      <c r="I702" s="951"/>
      <c r="J702" s="610"/>
      <c r="K702" s="95">
        <f t="shared" si="69"/>
        <v>2</v>
      </c>
      <c r="L702" s="954"/>
      <c r="M702" s="455"/>
      <c r="N702" s="2028"/>
      <c r="O702" s="455"/>
      <c r="P702" s="493"/>
      <c r="Q702" s="493"/>
      <c r="R702" s="493"/>
      <c r="S702" s="493"/>
      <c r="T702" s="493"/>
      <c r="U702" s="493"/>
      <c r="V702" s="2866"/>
      <c r="W702" s="886"/>
      <c r="X702" s="978"/>
      <c r="Y702" s="979"/>
      <c r="Z702" s="2517"/>
      <c r="AA702" s="886"/>
      <c r="AB702" s="886"/>
      <c r="AC702" s="886"/>
      <c r="AD702" s="886"/>
      <c r="AE702" s="886"/>
      <c r="AF702" s="886"/>
      <c r="AG702" s="886"/>
      <c r="BB702" s="950"/>
      <c r="BC702" s="796"/>
      <c r="BD702" s="900"/>
      <c r="BE702" s="797"/>
    </row>
    <row r="703" spans="1:57" s="614" customFormat="1" ht="14.45" hidden="1" customHeight="1" outlineLevel="1" x14ac:dyDescent="0.25">
      <c r="A703" s="2038"/>
      <c r="B703" s="493"/>
      <c r="C703" s="455"/>
      <c r="D703" s="2802"/>
      <c r="E703" s="2806"/>
      <c r="F703" s="2757" t="str">
        <f t="shared" si="68"/>
        <v>CAC - SEER 14 ER1: MF_CompE</v>
      </c>
      <c r="G703" s="2758"/>
      <c r="H703" s="2759"/>
      <c r="I703" s="951"/>
      <c r="J703" s="610">
        <f>(($R$207/3*K703)+$R$194)-(($Q$207/3*K703)/((1+$R$209)^($R$210-1)))*J559</f>
        <v>298.03912845693981</v>
      </c>
      <c r="K703" s="95">
        <f t="shared" si="69"/>
        <v>2</v>
      </c>
      <c r="L703" s="954"/>
      <c r="M703" s="455"/>
      <c r="N703" s="2028"/>
      <c r="O703" s="455"/>
      <c r="P703" s="493"/>
      <c r="Q703" s="493"/>
      <c r="R703" s="493"/>
      <c r="S703" s="493"/>
      <c r="T703" s="493"/>
      <c r="U703" s="493"/>
      <c r="V703" s="2866"/>
      <c r="W703" s="886"/>
      <c r="X703" s="978"/>
      <c r="Y703" s="979">
        <v>388.26502607230418</v>
      </c>
      <c r="Z703" s="2517">
        <v>298.03912845693981</v>
      </c>
      <c r="AA703" s="886"/>
      <c r="AB703" s="886"/>
      <c r="AC703" s="886"/>
      <c r="AD703" s="886"/>
      <c r="AE703" s="886"/>
      <c r="AF703" s="886"/>
      <c r="AG703" s="886"/>
      <c r="BB703" s="950"/>
      <c r="BC703" s="796"/>
      <c r="BD703" s="900"/>
      <c r="BE703" s="797"/>
    </row>
    <row r="704" spans="1:57" s="614" customFormat="1" ht="14.45" hidden="1" customHeight="1" outlineLevel="1" x14ac:dyDescent="0.25">
      <c r="A704" s="2038"/>
      <c r="B704" s="493"/>
      <c r="C704" s="455"/>
      <c r="D704" s="2802"/>
      <c r="E704" s="2806"/>
      <c r="F704" s="2757" t="str">
        <f t="shared" si="68"/>
        <v>CAC - SEER 14 ER2: MF_CompE</v>
      </c>
      <c r="G704" s="2758"/>
      <c r="H704" s="2759"/>
      <c r="I704" s="951"/>
      <c r="J704" s="610"/>
      <c r="K704" s="95">
        <f t="shared" si="69"/>
        <v>2</v>
      </c>
      <c r="L704" s="954"/>
      <c r="M704" s="455"/>
      <c r="N704" s="2028"/>
      <c r="O704" s="455"/>
      <c r="P704" s="493"/>
      <c r="Q704" s="493"/>
      <c r="R704" s="493"/>
      <c r="S704" s="493"/>
      <c r="T704" s="493"/>
      <c r="U704" s="493"/>
      <c r="V704" s="2866"/>
      <c r="W704" s="886"/>
      <c r="X704" s="978"/>
      <c r="Y704" s="979"/>
      <c r="Z704" s="2517"/>
      <c r="AA704" s="886"/>
      <c r="AB704" s="886"/>
      <c r="AC704" s="886"/>
      <c r="AD704" s="886"/>
      <c r="AE704" s="886"/>
      <c r="AF704" s="886"/>
      <c r="AG704" s="886"/>
      <c r="BB704" s="950"/>
      <c r="BC704" s="796"/>
      <c r="BD704" s="900"/>
      <c r="BE704" s="797"/>
    </row>
    <row r="705" spans="1:57" s="614" customFormat="1" ht="14.25" hidden="1" customHeight="1" outlineLevel="1" x14ac:dyDescent="0.25">
      <c r="A705" s="2038"/>
      <c r="B705" s="493"/>
      <c r="C705" s="455"/>
      <c r="D705" s="2802"/>
      <c r="E705" s="2806"/>
      <c r="F705" s="2757" t="str">
        <f t="shared" si="68"/>
        <v>CAC - SEER 14 ROF: MF</v>
      </c>
      <c r="G705" s="2758"/>
      <c r="H705" s="2759"/>
      <c r="I705" s="951"/>
      <c r="J705" s="610">
        <f>$R$194*J561</f>
        <v>0</v>
      </c>
      <c r="K705" s="95">
        <f t="shared" si="69"/>
        <v>2</v>
      </c>
      <c r="L705" s="954"/>
      <c r="M705" s="455"/>
      <c r="N705" s="2028"/>
      <c r="O705" s="455"/>
      <c r="P705" s="493"/>
      <c r="Q705" s="493"/>
      <c r="R705" s="493"/>
      <c r="S705" s="493"/>
      <c r="T705" s="493"/>
      <c r="U705" s="493"/>
      <c r="V705" s="2866"/>
      <c r="W705" s="886"/>
      <c r="X705" s="978"/>
      <c r="Y705" s="979">
        <v>0</v>
      </c>
      <c r="Z705" s="2517">
        <v>0</v>
      </c>
      <c r="AA705" s="886"/>
      <c r="AB705" s="886"/>
      <c r="AC705" s="886"/>
      <c r="AD705" s="886"/>
      <c r="AE705" s="886"/>
      <c r="AF705" s="886"/>
      <c r="AG705" s="886"/>
      <c r="BB705" s="950"/>
      <c r="BC705" s="796"/>
      <c r="BD705" s="900"/>
      <c r="BE705" s="797"/>
    </row>
    <row r="706" spans="1:57" s="614" customFormat="1" ht="14.25" hidden="1" customHeight="1" outlineLevel="1" x14ac:dyDescent="0.25">
      <c r="A706" s="2038"/>
      <c r="B706" s="493"/>
      <c r="C706" s="455"/>
      <c r="D706" s="2802"/>
      <c r="E706" s="2806"/>
      <c r="F706" s="2757" t="str">
        <f t="shared" si="68"/>
        <v>CAC - SEER 14 ROF: MF_CompE</v>
      </c>
      <c r="G706" s="2758"/>
      <c r="H706" s="2759"/>
      <c r="I706" s="951"/>
      <c r="J706" s="610">
        <f>$R$194*J562</f>
        <v>0</v>
      </c>
      <c r="K706" s="95">
        <f t="shared" si="69"/>
        <v>2</v>
      </c>
      <c r="L706" s="954"/>
      <c r="M706" s="455"/>
      <c r="N706" s="2028"/>
      <c r="O706" s="455"/>
      <c r="P706" s="493"/>
      <c r="Q706" s="493"/>
      <c r="R706" s="493"/>
      <c r="S706" s="493"/>
      <c r="T706" s="493"/>
      <c r="U706" s="493"/>
      <c r="V706" s="2866"/>
      <c r="W706" s="886"/>
      <c r="X706" s="978"/>
      <c r="Y706" s="979">
        <v>0</v>
      </c>
      <c r="Z706" s="2517">
        <v>0</v>
      </c>
      <c r="AA706" s="886"/>
      <c r="AB706" s="886"/>
      <c r="AC706" s="886"/>
      <c r="AD706" s="886"/>
      <c r="AE706" s="886"/>
      <c r="AF706" s="886"/>
      <c r="AG706" s="886"/>
      <c r="BB706" s="950"/>
      <c r="BC706" s="796"/>
      <c r="BD706" s="900"/>
      <c r="BE706" s="797"/>
    </row>
    <row r="707" spans="1:57" s="614" customFormat="1" ht="14.45" hidden="1" customHeight="1" outlineLevel="1" x14ac:dyDescent="0.25">
      <c r="A707" s="2038"/>
      <c r="B707" s="493"/>
      <c r="C707" s="455"/>
      <c r="D707" s="2802"/>
      <c r="E707" s="2806"/>
      <c r="F707" s="2757" t="str">
        <f t="shared" si="68"/>
        <v>CAC - SEER 15 ER1: SF</v>
      </c>
      <c r="G707" s="2758"/>
      <c r="H707" s="2759"/>
      <c r="I707" s="951"/>
      <c r="J707" s="610">
        <f>(($R$207/3*K707)+$R$195)-(($Q$207/3*K707)/((1+$R$209)^($R$210-1)))*J563</f>
        <v>595.29397502709662</v>
      </c>
      <c r="K707" s="95">
        <f t="shared" si="69"/>
        <v>3.27</v>
      </c>
      <c r="L707" s="954"/>
      <c r="M707" s="455"/>
      <c r="N707" s="2028"/>
      <c r="O707" s="455"/>
      <c r="P707" s="493"/>
      <c r="Q707" s="493"/>
      <c r="R707" s="493"/>
      <c r="S707" s="493"/>
      <c r="T707" s="493"/>
      <c r="U707" s="493"/>
      <c r="V707" s="2866"/>
      <c r="W707" s="886">
        <v>1057.263580001641</v>
      </c>
      <c r="X707" s="979">
        <f>$Q$195*(X$275/12000)*X$563</f>
        <v>1692.9290126904984</v>
      </c>
      <c r="Y707" s="979">
        <v>742.81331762821719</v>
      </c>
      <c r="Z707" s="2517">
        <v>595.29397502709662</v>
      </c>
      <c r="AA707" s="886"/>
      <c r="AB707" s="886"/>
      <c r="AC707" s="886"/>
      <c r="AD707" s="886"/>
      <c r="AE707" s="886"/>
      <c r="AF707" s="886"/>
      <c r="AG707" s="886"/>
      <c r="BB707" s="950"/>
      <c r="BC707" s="796"/>
      <c r="BD707" s="900"/>
      <c r="BE707" s="797"/>
    </row>
    <row r="708" spans="1:57" s="614" customFormat="1" ht="14.45" hidden="1" customHeight="1" outlineLevel="1" x14ac:dyDescent="0.25">
      <c r="A708" s="2038"/>
      <c r="B708" s="493"/>
      <c r="C708" s="455"/>
      <c r="D708" s="2802"/>
      <c r="E708" s="2806"/>
      <c r="F708" s="2757" t="str">
        <f t="shared" si="68"/>
        <v>CAC - SEER 15 ER2: SF</v>
      </c>
      <c r="G708" s="2758"/>
      <c r="H708" s="2759"/>
      <c r="I708" s="951"/>
      <c r="J708" s="610"/>
      <c r="K708" s="95">
        <f t="shared" si="69"/>
        <v>3.27</v>
      </c>
      <c r="L708" s="954"/>
      <c r="M708" s="455"/>
      <c r="N708" s="2028"/>
      <c r="O708" s="455"/>
      <c r="P708" s="493"/>
      <c r="Q708" s="493"/>
      <c r="R708" s="493"/>
      <c r="S708" s="493"/>
      <c r="T708" s="493"/>
      <c r="U708" s="493"/>
      <c r="V708" s="2866"/>
      <c r="W708" s="886"/>
      <c r="X708" s="978"/>
      <c r="Y708" s="979"/>
      <c r="Z708" s="2517"/>
      <c r="AA708" s="886"/>
      <c r="AB708" s="886"/>
      <c r="AC708" s="886"/>
      <c r="AD708" s="886"/>
      <c r="AE708" s="886"/>
      <c r="AF708" s="886"/>
      <c r="AG708" s="886"/>
      <c r="BB708" s="950"/>
      <c r="BC708" s="796"/>
      <c r="BD708" s="900"/>
      <c r="BE708" s="797"/>
    </row>
    <row r="709" spans="1:57" s="614" customFormat="1" ht="14.45" hidden="1" customHeight="1" outlineLevel="1" x14ac:dyDescent="0.25">
      <c r="A709" s="2038"/>
      <c r="B709" s="493"/>
      <c r="C709" s="455"/>
      <c r="D709" s="2802"/>
      <c r="E709" s="2806"/>
      <c r="F709" s="2757" t="str">
        <f t="shared" si="68"/>
        <v>CAC - SEER 15 ROF: SF</v>
      </c>
      <c r="G709" s="2758"/>
      <c r="H709" s="2759"/>
      <c r="I709" s="951"/>
      <c r="J709" s="610">
        <f>$R$195*J565</f>
        <v>108</v>
      </c>
      <c r="K709" s="95">
        <f t="shared" si="69"/>
        <v>3.27</v>
      </c>
      <c r="L709" s="954"/>
      <c r="M709" s="455"/>
      <c r="N709" s="2028"/>
      <c r="O709" s="455"/>
      <c r="P709" s="493"/>
      <c r="Q709" s="493"/>
      <c r="R709" s="493"/>
      <c r="S709" s="493"/>
      <c r="T709" s="493"/>
      <c r="U709" s="493"/>
      <c r="V709" s="2866"/>
      <c r="W709" s="886">
        <v>324</v>
      </c>
      <c r="X709" s="979">
        <f>(X$269/12000)*$R$195*X$565</f>
        <v>216</v>
      </c>
      <c r="Y709" s="979">
        <v>108</v>
      </c>
      <c r="Z709" s="2517">
        <v>108</v>
      </c>
      <c r="AA709" s="886"/>
      <c r="AB709" s="886"/>
      <c r="AC709" s="886"/>
      <c r="AD709" s="886"/>
      <c r="AE709" s="886"/>
      <c r="AF709" s="886"/>
      <c r="AG709" s="886"/>
      <c r="BB709" s="950"/>
      <c r="BC709" s="796"/>
      <c r="BD709" s="900"/>
      <c r="BE709" s="797"/>
    </row>
    <row r="710" spans="1:57" s="614" customFormat="1" ht="14.45" hidden="1" customHeight="1" outlineLevel="1" x14ac:dyDescent="0.25">
      <c r="A710" s="2038"/>
      <c r="B710" s="493"/>
      <c r="C710" s="455"/>
      <c r="D710" s="2802"/>
      <c r="E710" s="2806"/>
      <c r="F710" s="2757" t="str">
        <f t="shared" si="68"/>
        <v>CAC - SEER 15 ER1: MF</v>
      </c>
      <c r="G710" s="2758"/>
      <c r="H710" s="2759"/>
      <c r="I710" s="951"/>
      <c r="J710" s="610">
        <f>(($R$207/3*K710)+$R$195)-(($Q$207/3*K710)/((1+$R$209)^($R$210-1)))*J566</f>
        <v>406.03912845693981</v>
      </c>
      <c r="K710" s="95">
        <f t="shared" si="69"/>
        <v>2</v>
      </c>
      <c r="L710" s="954"/>
      <c r="M710" s="455"/>
      <c r="N710" s="2028"/>
      <c r="O710" s="455"/>
      <c r="P710" s="493"/>
      <c r="Q710" s="493"/>
      <c r="R710" s="493"/>
      <c r="S710" s="493"/>
      <c r="T710" s="493"/>
      <c r="U710" s="493"/>
      <c r="V710" s="2866"/>
      <c r="W710" s="886">
        <v>1057.263580001641</v>
      </c>
      <c r="X710" s="979">
        <f>(X$278/12000)*$Q$195*X$566</f>
        <v>1120.7791377594842</v>
      </c>
      <c r="Y710" s="979">
        <v>496.26502607230418</v>
      </c>
      <c r="Z710" s="2517">
        <v>406.03912845693981</v>
      </c>
      <c r="AA710" s="886"/>
      <c r="AB710" s="886"/>
      <c r="AC710" s="886"/>
      <c r="AD710" s="886"/>
      <c r="AE710" s="886"/>
      <c r="AF710" s="886"/>
      <c r="AG710" s="886"/>
      <c r="BB710" s="950"/>
      <c r="BC710" s="796"/>
      <c r="BD710" s="900"/>
      <c r="BE710" s="797"/>
    </row>
    <row r="711" spans="1:57" s="614" customFormat="1" ht="14.45" hidden="1" customHeight="1" outlineLevel="1" x14ac:dyDescent="0.25">
      <c r="A711" s="2038"/>
      <c r="B711" s="493"/>
      <c r="C711" s="455"/>
      <c r="D711" s="2802"/>
      <c r="E711" s="2806"/>
      <c r="F711" s="2757" t="str">
        <f t="shared" si="68"/>
        <v>CAC - SEER 15 ER2: MF</v>
      </c>
      <c r="G711" s="2758"/>
      <c r="H711" s="2759"/>
      <c r="I711" s="951"/>
      <c r="J711" s="610"/>
      <c r="K711" s="95">
        <f t="shared" si="69"/>
        <v>2</v>
      </c>
      <c r="L711" s="954"/>
      <c r="M711" s="455"/>
      <c r="N711" s="2028"/>
      <c r="O711" s="455"/>
      <c r="P711" s="493"/>
      <c r="Q711" s="493"/>
      <c r="R711" s="493"/>
      <c r="S711" s="493"/>
      <c r="T711" s="493"/>
      <c r="U711" s="493"/>
      <c r="V711" s="2866"/>
      <c r="W711" s="886"/>
      <c r="X711" s="978"/>
      <c r="Y711" s="979"/>
      <c r="Z711" s="2517"/>
      <c r="AA711" s="886"/>
      <c r="AB711" s="886"/>
      <c r="AC711" s="886"/>
      <c r="AD711" s="886"/>
      <c r="AE711" s="886"/>
      <c r="AF711" s="886"/>
      <c r="AG711" s="886"/>
      <c r="BB711" s="950"/>
      <c r="BC711" s="796"/>
      <c r="BD711" s="900"/>
      <c r="BE711" s="797"/>
    </row>
    <row r="712" spans="1:57" s="614" customFormat="1" ht="14.45" hidden="1" customHeight="1" outlineLevel="1" x14ac:dyDescent="0.25">
      <c r="A712" s="2038"/>
      <c r="B712" s="493"/>
      <c r="C712" s="455"/>
      <c r="D712" s="2802"/>
      <c r="E712" s="2806"/>
      <c r="F712" s="2757" t="str">
        <f t="shared" si="68"/>
        <v>CAC - SEER 15 ER1: MF_CompE</v>
      </c>
      <c r="G712" s="2758"/>
      <c r="H712" s="2759"/>
      <c r="I712" s="951"/>
      <c r="J712" s="610">
        <f>(($R$207/3*K712)+$R$195)-(($Q$207/3*K712)/((1+$R$209)^($R$210-1)))*J568</f>
        <v>406.03912845693981</v>
      </c>
      <c r="K712" s="95">
        <f t="shared" si="69"/>
        <v>2</v>
      </c>
      <c r="L712" s="954"/>
      <c r="M712" s="455"/>
      <c r="N712" s="2028"/>
      <c r="O712" s="455"/>
      <c r="P712" s="493"/>
      <c r="Q712" s="493"/>
      <c r="R712" s="493"/>
      <c r="S712" s="493"/>
      <c r="T712" s="493"/>
      <c r="U712" s="493"/>
      <c r="V712" s="2866"/>
      <c r="W712" s="886"/>
      <c r="X712" s="978"/>
      <c r="Y712" s="979">
        <v>496.26502607230418</v>
      </c>
      <c r="Z712" s="2517">
        <v>406.03912845693981</v>
      </c>
      <c r="AA712" s="886"/>
      <c r="AB712" s="886"/>
      <c r="AC712" s="886"/>
      <c r="AD712" s="886"/>
      <c r="AE712" s="886"/>
      <c r="AF712" s="886"/>
      <c r="AG712" s="886"/>
      <c r="BB712" s="950"/>
      <c r="BC712" s="796"/>
      <c r="BD712" s="900"/>
      <c r="BE712" s="797"/>
    </row>
    <row r="713" spans="1:57" s="614" customFormat="1" ht="14.45" hidden="1" customHeight="1" outlineLevel="1" x14ac:dyDescent="0.25">
      <c r="A713" s="2038"/>
      <c r="B713" s="493"/>
      <c r="C713" s="455"/>
      <c r="D713" s="2802"/>
      <c r="E713" s="2806"/>
      <c r="F713" s="2757" t="str">
        <f t="shared" si="68"/>
        <v>CAC - SEER 15 ER2: MF_CompE</v>
      </c>
      <c r="G713" s="2758"/>
      <c r="H713" s="2759"/>
      <c r="I713" s="951"/>
      <c r="J713" s="610"/>
      <c r="K713" s="95">
        <f t="shared" si="69"/>
        <v>2</v>
      </c>
      <c r="L713" s="954"/>
      <c r="M713" s="455"/>
      <c r="N713" s="2028"/>
      <c r="O713" s="455"/>
      <c r="P713" s="493"/>
      <c r="Q713" s="493"/>
      <c r="R713" s="493"/>
      <c r="S713" s="493"/>
      <c r="T713" s="493"/>
      <c r="U713" s="493"/>
      <c r="V713" s="2866"/>
      <c r="W713" s="886"/>
      <c r="X713" s="978"/>
      <c r="Y713" s="979"/>
      <c r="Z713" s="2517"/>
      <c r="AA713" s="886"/>
      <c r="AB713" s="886"/>
      <c r="AC713" s="886"/>
      <c r="AD713" s="886"/>
      <c r="AE713" s="886"/>
      <c r="AF713" s="886"/>
      <c r="AG713" s="886"/>
      <c r="BB713" s="950"/>
      <c r="BC713" s="796"/>
      <c r="BD713" s="900"/>
      <c r="BE713" s="797"/>
    </row>
    <row r="714" spans="1:57" s="614" customFormat="1" ht="14.25" hidden="1" customHeight="1" outlineLevel="1" x14ac:dyDescent="0.25">
      <c r="A714" s="2038"/>
      <c r="B714" s="493"/>
      <c r="C714" s="455"/>
      <c r="D714" s="2802"/>
      <c r="E714" s="2806"/>
      <c r="F714" s="2757" t="str">
        <f t="shared" ref="F714:F769" si="70">F642</f>
        <v>CAC - SEER 15 ROF: MF</v>
      </c>
      <c r="G714" s="2758"/>
      <c r="H714" s="2759"/>
      <c r="I714" s="951"/>
      <c r="J714" s="610">
        <f>$R$195*J570</f>
        <v>108</v>
      </c>
      <c r="K714" s="95">
        <f t="shared" si="69"/>
        <v>2</v>
      </c>
      <c r="L714" s="954"/>
      <c r="M714" s="455"/>
      <c r="N714" s="2028"/>
      <c r="O714" s="455"/>
      <c r="P714" s="493"/>
      <c r="Q714" s="493"/>
      <c r="R714" s="493"/>
      <c r="S714" s="493"/>
      <c r="T714" s="493"/>
      <c r="U714" s="493"/>
      <c r="V714" s="2866"/>
      <c r="W714" s="886">
        <v>324</v>
      </c>
      <c r="X714" s="979">
        <f>(X$282/12000)*$R$195*X$570</f>
        <v>218.0745</v>
      </c>
      <c r="Y714" s="979">
        <v>108</v>
      </c>
      <c r="Z714" s="2517">
        <v>108</v>
      </c>
      <c r="AA714" s="886"/>
      <c r="AB714" s="886"/>
      <c r="AC714" s="886"/>
      <c r="AD714" s="886"/>
      <c r="AE714" s="886"/>
      <c r="AF714" s="886"/>
      <c r="AG714" s="886"/>
      <c r="BB714" s="950"/>
      <c r="BC714" s="796"/>
      <c r="BD714" s="900"/>
      <c r="BE714" s="797"/>
    </row>
    <row r="715" spans="1:57" s="614" customFormat="1" ht="14.25" hidden="1" customHeight="1" outlineLevel="1" x14ac:dyDescent="0.25">
      <c r="A715" s="2038"/>
      <c r="B715" s="493"/>
      <c r="C715" s="455"/>
      <c r="D715" s="2802"/>
      <c r="E715" s="2806"/>
      <c r="F715" s="2757" t="str">
        <f t="shared" si="70"/>
        <v>CAC - SEER 15 ROF: MF_CompE</v>
      </c>
      <c r="G715" s="2758"/>
      <c r="H715" s="2759"/>
      <c r="I715" s="951"/>
      <c r="J715" s="610">
        <f>$R$195*J571</f>
        <v>108</v>
      </c>
      <c r="K715" s="95">
        <f t="shared" si="69"/>
        <v>2</v>
      </c>
      <c r="L715" s="954"/>
      <c r="M715" s="455"/>
      <c r="N715" s="2028"/>
      <c r="O715" s="455"/>
      <c r="P715" s="493"/>
      <c r="Q715" s="493"/>
      <c r="R715" s="493"/>
      <c r="S715" s="493"/>
      <c r="T715" s="493"/>
      <c r="U715" s="493"/>
      <c r="V715" s="2866"/>
      <c r="W715" s="886"/>
      <c r="X715" s="979"/>
      <c r="Y715" s="979">
        <v>108</v>
      </c>
      <c r="Z715" s="2517">
        <v>108</v>
      </c>
      <c r="AA715" s="886"/>
      <c r="AB715" s="886"/>
      <c r="AC715" s="886"/>
      <c r="AD715" s="886"/>
      <c r="AE715" s="886"/>
      <c r="AF715" s="886"/>
      <c r="AG715" s="886"/>
      <c r="BB715" s="950"/>
      <c r="BC715" s="796"/>
      <c r="BD715" s="900"/>
      <c r="BE715" s="797"/>
    </row>
    <row r="716" spans="1:57" s="614" customFormat="1" ht="14.45" hidden="1" customHeight="1" outlineLevel="1" x14ac:dyDescent="0.25">
      <c r="A716" s="2038"/>
      <c r="B716" s="493"/>
      <c r="C716" s="455"/>
      <c r="D716" s="2802"/>
      <c r="E716" s="2806"/>
      <c r="F716" s="2757" t="str">
        <f t="shared" si="70"/>
        <v>CAC - SEER 16 ER1: SF</v>
      </c>
      <c r="G716" s="2758"/>
      <c r="H716" s="2759"/>
      <c r="I716" s="951"/>
      <c r="J716" s="610">
        <f>(($R$207/3*K716)+$R$196)-(($Q$207/3*K716)/((1+$R$209)^($R$210-1)))*J572</f>
        <v>676.9998665391181</v>
      </c>
      <c r="K716" s="95">
        <f t="shared" si="69"/>
        <v>3.06</v>
      </c>
      <c r="L716" s="954"/>
      <c r="M716" s="455"/>
      <c r="N716" s="2028"/>
      <c r="O716" s="455"/>
      <c r="P716" s="493"/>
      <c r="Q716" s="493"/>
      <c r="R716" s="493"/>
      <c r="S716" s="493"/>
      <c r="T716" s="493"/>
      <c r="U716" s="493"/>
      <c r="V716" s="2866"/>
      <c r="W716" s="886">
        <v>1343.486999395481</v>
      </c>
      <c r="X716" s="979">
        <f>$Q$196*(X$284/12000)*X$572</f>
        <v>2037.5790126904985</v>
      </c>
      <c r="Y716" s="979">
        <v>815.0454898906255</v>
      </c>
      <c r="Z716" s="2517">
        <v>676.9998665391181</v>
      </c>
      <c r="AA716" s="886"/>
      <c r="AB716" s="886"/>
      <c r="AC716" s="886"/>
      <c r="AD716" s="886"/>
      <c r="AE716" s="886"/>
      <c r="AF716" s="886"/>
      <c r="AG716" s="886"/>
      <c r="BB716" s="950"/>
      <c r="BC716" s="796"/>
      <c r="BD716" s="900"/>
      <c r="BE716" s="797"/>
    </row>
    <row r="717" spans="1:57" s="614" customFormat="1" ht="14.45" hidden="1" customHeight="1" outlineLevel="1" x14ac:dyDescent="0.25">
      <c r="A717" s="2038"/>
      <c r="B717" s="493"/>
      <c r="C717" s="455"/>
      <c r="D717" s="2802"/>
      <c r="E717" s="2806"/>
      <c r="F717" s="2757" t="str">
        <f t="shared" si="70"/>
        <v>CAC - SEER 16 ER2: SF</v>
      </c>
      <c r="G717" s="2758"/>
      <c r="H717" s="2759"/>
      <c r="I717" s="951"/>
      <c r="J717" s="610"/>
      <c r="K717" s="95">
        <f t="shared" si="69"/>
        <v>3.06</v>
      </c>
      <c r="L717" s="954"/>
      <c r="M717" s="455"/>
      <c r="N717" s="2028"/>
      <c r="O717" s="455"/>
      <c r="P717" s="493"/>
      <c r="Q717" s="493"/>
      <c r="R717" s="493"/>
      <c r="S717" s="493"/>
      <c r="T717" s="493"/>
      <c r="U717" s="493"/>
      <c r="V717" s="2866"/>
      <c r="W717" s="886"/>
      <c r="X717" s="978"/>
      <c r="Y717" s="979"/>
      <c r="Z717" s="2517"/>
      <c r="AA717" s="886"/>
      <c r="AB717" s="886"/>
      <c r="AC717" s="886"/>
      <c r="AD717" s="886"/>
      <c r="AE717" s="886"/>
      <c r="AF717" s="886"/>
      <c r="AG717" s="886"/>
      <c r="BB717" s="950"/>
      <c r="BC717" s="796"/>
      <c r="BD717" s="900"/>
      <c r="BE717" s="797"/>
    </row>
    <row r="718" spans="1:57" s="614" customFormat="1" ht="14.45" hidden="1" customHeight="1" outlineLevel="1" x14ac:dyDescent="0.25">
      <c r="A718" s="2038"/>
      <c r="B718" s="493"/>
      <c r="C718" s="455"/>
      <c r="D718" s="2802"/>
      <c r="E718" s="2806"/>
      <c r="F718" s="2757" t="str">
        <f t="shared" si="70"/>
        <v>CAC - SEER 16 ROF: SF</v>
      </c>
      <c r="G718" s="2758"/>
      <c r="H718" s="2759"/>
      <c r="I718" s="951"/>
      <c r="J718" s="610">
        <f>$R$196*J574</f>
        <v>221</v>
      </c>
      <c r="K718" s="95">
        <f t="shared" si="69"/>
        <v>2.99</v>
      </c>
      <c r="L718" s="954"/>
      <c r="M718" s="455"/>
      <c r="N718" s="2028"/>
      <c r="O718" s="455"/>
      <c r="P718" s="493"/>
      <c r="Q718" s="493"/>
      <c r="R718" s="493"/>
      <c r="S718" s="493"/>
      <c r="T718" s="493"/>
      <c r="U718" s="493"/>
      <c r="V718" s="2866"/>
      <c r="W718" s="610">
        <v>640.9</v>
      </c>
      <c r="X718" s="979">
        <f>(X$286/12000)*$R$196*X$574</f>
        <v>674.05</v>
      </c>
      <c r="Y718" s="979">
        <v>221</v>
      </c>
      <c r="Z718" s="906">
        <v>221</v>
      </c>
      <c r="AA718" s="610"/>
      <c r="AB718" s="610"/>
      <c r="AC718" s="610"/>
      <c r="AD718" s="610"/>
      <c r="AE718" s="610"/>
      <c r="AF718" s="610"/>
      <c r="AG718" s="610"/>
      <c r="BB718" s="950"/>
      <c r="BC718" s="796"/>
      <c r="BD718" s="900"/>
      <c r="BE718" s="797"/>
    </row>
    <row r="719" spans="1:57" s="614" customFormat="1" ht="14.45" hidden="1" customHeight="1" outlineLevel="1" x14ac:dyDescent="0.25">
      <c r="A719" s="2038"/>
      <c r="B719" s="493"/>
      <c r="C719" s="455"/>
      <c r="D719" s="2802"/>
      <c r="E719" s="2806"/>
      <c r="F719" s="2757" t="str">
        <f t="shared" si="70"/>
        <v>CAC - SEER 16 ER1: MF</v>
      </c>
      <c r="G719" s="2758"/>
      <c r="H719" s="2759"/>
      <c r="I719" s="951"/>
      <c r="J719" s="610">
        <f>(($R$207/3*K719)+$R$196)-(($Q$207/3*K719)/((1+$R$209)^($R$210-1)))*J575</f>
        <v>519.03912845694003</v>
      </c>
      <c r="K719" s="95">
        <f t="shared" si="69"/>
        <v>2</v>
      </c>
      <c r="L719" s="954"/>
      <c r="M719" s="455"/>
      <c r="N719" s="2028"/>
      <c r="O719" s="455"/>
      <c r="P719" s="493"/>
      <c r="Q719" s="493"/>
      <c r="R719" s="493"/>
      <c r="S719" s="493"/>
      <c r="T719" s="493"/>
      <c r="U719" s="493"/>
      <c r="V719" s="2866"/>
      <c r="W719" s="886">
        <v>1343.486999395481</v>
      </c>
      <c r="X719" s="979">
        <f>(X$287/12000)*$Q$196*X$575</f>
        <v>1361.7819734814832</v>
      </c>
      <c r="Y719" s="979">
        <v>609.26502607230441</v>
      </c>
      <c r="Z719" s="2517">
        <v>519.03912845694003</v>
      </c>
      <c r="AA719" s="886"/>
      <c r="AB719" s="886"/>
      <c r="AC719" s="886"/>
      <c r="AD719" s="886"/>
      <c r="AE719" s="886"/>
      <c r="AF719" s="886"/>
      <c r="AG719" s="886"/>
      <c r="BB719" s="950"/>
      <c r="BC719" s="796"/>
      <c r="BD719" s="900"/>
      <c r="BE719" s="797"/>
    </row>
    <row r="720" spans="1:57" s="614" customFormat="1" ht="14.45" hidden="1" customHeight="1" outlineLevel="1" x14ac:dyDescent="0.25">
      <c r="A720" s="2038"/>
      <c r="B720" s="493"/>
      <c r="C720" s="455"/>
      <c r="D720" s="2802"/>
      <c r="E720" s="2806"/>
      <c r="F720" s="2757" t="str">
        <f t="shared" si="70"/>
        <v>CAC - SEER 16 ER2: MF</v>
      </c>
      <c r="G720" s="2758"/>
      <c r="H720" s="2759"/>
      <c r="I720" s="951"/>
      <c r="J720" s="610"/>
      <c r="K720" s="95">
        <f t="shared" si="69"/>
        <v>2</v>
      </c>
      <c r="L720" s="954"/>
      <c r="M720" s="455"/>
      <c r="N720" s="2028"/>
      <c r="O720" s="455"/>
      <c r="P720" s="493"/>
      <c r="Q720" s="493"/>
      <c r="R720" s="493"/>
      <c r="S720" s="493"/>
      <c r="T720" s="493"/>
      <c r="U720" s="493"/>
      <c r="V720" s="2866"/>
      <c r="W720" s="886"/>
      <c r="X720" s="978"/>
      <c r="Y720" s="979"/>
      <c r="Z720" s="2517"/>
      <c r="AA720" s="886"/>
      <c r="AB720" s="886"/>
      <c r="AC720" s="886"/>
      <c r="AD720" s="886"/>
      <c r="AE720" s="886"/>
      <c r="AF720" s="886"/>
      <c r="AG720" s="886"/>
      <c r="BB720" s="950"/>
      <c r="BC720" s="796"/>
      <c r="BD720" s="900"/>
      <c r="BE720" s="797"/>
    </row>
    <row r="721" spans="1:57" s="614" customFormat="1" ht="14.45" hidden="1" customHeight="1" outlineLevel="1" x14ac:dyDescent="0.25">
      <c r="A721" s="2038"/>
      <c r="B721" s="493"/>
      <c r="C721" s="455"/>
      <c r="D721" s="2802"/>
      <c r="E721" s="2806"/>
      <c r="F721" s="2757" t="str">
        <f t="shared" si="70"/>
        <v>CAC - SEER 16 ER1: MF_CompE</v>
      </c>
      <c r="G721" s="2758"/>
      <c r="H721" s="2759"/>
      <c r="I721" s="951"/>
      <c r="J721" s="610">
        <f>(($R$207/3*K721)+$R$196)-(($Q$207/3*K721)/((1+$R$209)^($R$210-1)))*J577</f>
        <v>519.03912845694003</v>
      </c>
      <c r="K721" s="95">
        <f t="shared" si="69"/>
        <v>2</v>
      </c>
      <c r="L721" s="954"/>
      <c r="M721" s="455"/>
      <c r="N721" s="2028"/>
      <c r="O721" s="455"/>
      <c r="P721" s="493"/>
      <c r="Q721" s="493"/>
      <c r="R721" s="493"/>
      <c r="S721" s="493"/>
      <c r="T721" s="493"/>
      <c r="U721" s="493"/>
      <c r="V721" s="2866"/>
      <c r="W721" s="886"/>
      <c r="X721" s="978"/>
      <c r="Y721" s="979">
        <v>609.26502607230441</v>
      </c>
      <c r="Z721" s="2517">
        <v>519.03912845694003</v>
      </c>
      <c r="AA721" s="886"/>
      <c r="AB721" s="886"/>
      <c r="AC721" s="886"/>
      <c r="AD721" s="886"/>
      <c r="AE721" s="886"/>
      <c r="AF721" s="886"/>
      <c r="AG721" s="886"/>
      <c r="BB721" s="950"/>
      <c r="BC721" s="796"/>
      <c r="BD721" s="900"/>
      <c r="BE721" s="797"/>
    </row>
    <row r="722" spans="1:57" s="614" customFormat="1" ht="14.45" hidden="1" customHeight="1" outlineLevel="1" x14ac:dyDescent="0.25">
      <c r="A722" s="2038"/>
      <c r="B722" s="493"/>
      <c r="C722" s="455"/>
      <c r="D722" s="2802"/>
      <c r="E722" s="2806"/>
      <c r="F722" s="2757" t="str">
        <f t="shared" si="70"/>
        <v>CAC - SEER 16 ER2: MF_CompE</v>
      </c>
      <c r="G722" s="2758"/>
      <c r="H722" s="2759"/>
      <c r="I722" s="951"/>
      <c r="J722" s="610"/>
      <c r="K722" s="95">
        <f t="shared" si="69"/>
        <v>2</v>
      </c>
      <c r="L722" s="954"/>
      <c r="M722" s="455"/>
      <c r="N722" s="2028"/>
      <c r="O722" s="455"/>
      <c r="P722" s="493"/>
      <c r="Q722" s="493"/>
      <c r="R722" s="493"/>
      <c r="S722" s="493"/>
      <c r="T722" s="493"/>
      <c r="U722" s="493"/>
      <c r="V722" s="2866"/>
      <c r="W722" s="886"/>
      <c r="X722" s="978"/>
      <c r="Y722" s="979"/>
      <c r="Z722" s="2517"/>
      <c r="AA722" s="886"/>
      <c r="AB722" s="886"/>
      <c r="AC722" s="886"/>
      <c r="AD722" s="886"/>
      <c r="AE722" s="886"/>
      <c r="AF722" s="886"/>
      <c r="AG722" s="886"/>
      <c r="BB722" s="950"/>
      <c r="BC722" s="796"/>
      <c r="BD722" s="900"/>
      <c r="BE722" s="797"/>
    </row>
    <row r="723" spans="1:57" s="614" customFormat="1" ht="14.45" hidden="1" customHeight="1" outlineLevel="1" x14ac:dyDescent="0.25">
      <c r="A723" s="2038"/>
      <c r="B723" s="493"/>
      <c r="C723" s="455"/>
      <c r="D723" s="2802"/>
      <c r="E723" s="2806"/>
      <c r="F723" s="2757" t="str">
        <f t="shared" si="70"/>
        <v>CAC - SEER 16 ROF: MF</v>
      </c>
      <c r="G723" s="2758"/>
      <c r="H723" s="2759"/>
      <c r="I723" s="951"/>
      <c r="J723" s="610">
        <f>$R$196*J579</f>
        <v>221</v>
      </c>
      <c r="K723" s="95">
        <f t="shared" si="69"/>
        <v>2</v>
      </c>
      <c r="L723" s="954"/>
      <c r="M723" s="455"/>
      <c r="N723" s="2028"/>
      <c r="O723" s="455"/>
      <c r="P723" s="493"/>
      <c r="Q723" s="493"/>
      <c r="R723" s="493"/>
      <c r="S723" s="493"/>
      <c r="T723" s="493"/>
      <c r="U723" s="493"/>
      <c r="V723" s="2866"/>
      <c r="W723" s="610">
        <v>640.9</v>
      </c>
      <c r="X723" s="979">
        <f>(X$291/12000)*$R$196*X$579</f>
        <v>450.4900833333333</v>
      </c>
      <c r="Y723" s="979">
        <v>221</v>
      </c>
      <c r="Z723" s="906">
        <v>221</v>
      </c>
      <c r="AA723" s="610"/>
      <c r="AB723" s="610"/>
      <c r="AC723" s="610"/>
      <c r="AD723" s="610"/>
      <c r="AE723" s="610"/>
      <c r="AF723" s="610"/>
      <c r="AG723" s="610"/>
      <c r="BB723" s="950"/>
      <c r="BC723" s="796"/>
      <c r="BD723" s="900"/>
      <c r="BE723" s="797"/>
    </row>
    <row r="724" spans="1:57" s="614" customFormat="1" ht="14.45" hidden="1" customHeight="1" outlineLevel="1" x14ac:dyDescent="0.25">
      <c r="A724" s="2038"/>
      <c r="B724" s="493"/>
      <c r="C724" s="455"/>
      <c r="D724" s="2802"/>
      <c r="E724" s="2806"/>
      <c r="F724" s="2757" t="str">
        <f t="shared" si="70"/>
        <v>CAC - SEER 16 ROF: MF_CompE</v>
      </c>
      <c r="G724" s="2758"/>
      <c r="H724" s="2759"/>
      <c r="I724" s="951"/>
      <c r="J724" s="610">
        <f>$R$196*J580</f>
        <v>221</v>
      </c>
      <c r="K724" s="95">
        <f t="shared" si="69"/>
        <v>2</v>
      </c>
      <c r="L724" s="954"/>
      <c r="M724" s="455"/>
      <c r="N724" s="2028"/>
      <c r="O724" s="455"/>
      <c r="P724" s="493"/>
      <c r="Q724" s="493"/>
      <c r="R724" s="493"/>
      <c r="S724" s="493"/>
      <c r="T724" s="493"/>
      <c r="U724" s="493"/>
      <c r="V724" s="2866"/>
      <c r="W724" s="610"/>
      <c r="X724" s="979"/>
      <c r="Y724" s="979">
        <v>221</v>
      </c>
      <c r="Z724" s="906">
        <v>221</v>
      </c>
      <c r="AA724" s="610"/>
      <c r="AB724" s="610"/>
      <c r="AC724" s="610"/>
      <c r="AD724" s="610"/>
      <c r="AE724" s="610"/>
      <c r="AF724" s="610"/>
      <c r="AG724" s="610"/>
      <c r="BB724" s="950"/>
      <c r="BC724" s="796"/>
      <c r="BD724" s="900"/>
      <c r="BE724" s="797"/>
    </row>
    <row r="725" spans="1:57" s="614" customFormat="1" ht="14.45" hidden="1" customHeight="1" outlineLevel="1" x14ac:dyDescent="0.25">
      <c r="A725" s="2038"/>
      <c r="B725" s="493"/>
      <c r="C725" s="455"/>
      <c r="D725" s="2802"/>
      <c r="E725" s="2806"/>
      <c r="F725" s="2757" t="str">
        <f t="shared" si="70"/>
        <v>CAC - SEER 17 ER1: SF</v>
      </c>
      <c r="G725" s="2758"/>
      <c r="H725" s="2759"/>
      <c r="I725" s="951"/>
      <c r="J725" s="610">
        <f>(($R$207/3*K725)+$R$197)-(($Q$207/3*K725)/((1+$R$209)^($R$210-1)))*J581</f>
        <v>1075.9998665391181</v>
      </c>
      <c r="K725" s="95">
        <f t="shared" si="69"/>
        <v>3.06</v>
      </c>
      <c r="L725" s="954"/>
      <c r="M725" s="455"/>
      <c r="N725" s="2028"/>
      <c r="O725" s="455"/>
      <c r="P725" s="493"/>
      <c r="Q725" s="493"/>
      <c r="R725" s="493"/>
      <c r="S725" s="493"/>
      <c r="T725" s="493"/>
      <c r="U725" s="493"/>
      <c r="V725" s="2866"/>
      <c r="W725" s="886">
        <v>1910.786999395481</v>
      </c>
      <c r="X725" s="979">
        <f>$Q$197*(X$297/12000)*X$581</f>
        <v>3307.881947324769</v>
      </c>
      <c r="Y725" s="979">
        <v>998.0454898906255</v>
      </c>
      <c r="Z725" s="2517">
        <v>1075.9998665391181</v>
      </c>
      <c r="AA725" s="886"/>
      <c r="AB725" s="886"/>
      <c r="AC725" s="886"/>
      <c r="AD725" s="886"/>
      <c r="AE725" s="886"/>
      <c r="AF725" s="886"/>
      <c r="AG725" s="886"/>
      <c r="BB725" s="950"/>
      <c r="BC725" s="796"/>
      <c r="BD725" s="900"/>
      <c r="BE725" s="797"/>
    </row>
    <row r="726" spans="1:57" s="614" customFormat="1" ht="14.45" hidden="1" customHeight="1" outlineLevel="1" x14ac:dyDescent="0.25">
      <c r="A726" s="2038"/>
      <c r="B726" s="493"/>
      <c r="C726" s="455"/>
      <c r="D726" s="2802"/>
      <c r="E726" s="2806"/>
      <c r="F726" s="2757" t="str">
        <f t="shared" si="70"/>
        <v>CAC - SEER 17 ER2: SF</v>
      </c>
      <c r="G726" s="2758"/>
      <c r="H726" s="2759"/>
      <c r="I726" s="951"/>
      <c r="J726" s="610"/>
      <c r="K726" s="95">
        <f t="shared" si="69"/>
        <v>3.06</v>
      </c>
      <c r="L726" s="954"/>
      <c r="M726" s="455"/>
      <c r="N726" s="2028"/>
      <c r="O726" s="455"/>
      <c r="P726" s="493"/>
      <c r="Q726" s="493"/>
      <c r="R726" s="493"/>
      <c r="S726" s="493"/>
      <c r="T726" s="493"/>
      <c r="U726" s="493"/>
      <c r="V726" s="2866"/>
      <c r="W726" s="886"/>
      <c r="X726" s="978"/>
      <c r="Y726" s="979"/>
      <c r="Z726" s="2517"/>
      <c r="AA726" s="886"/>
      <c r="AB726" s="886"/>
      <c r="AC726" s="886"/>
      <c r="AD726" s="886"/>
      <c r="AE726" s="886"/>
      <c r="AF726" s="886"/>
      <c r="AG726" s="886"/>
      <c r="BB726" s="950"/>
      <c r="BC726" s="796"/>
      <c r="BD726" s="900"/>
      <c r="BE726" s="797"/>
    </row>
    <row r="727" spans="1:57" s="614" customFormat="1" ht="14.45" hidden="1" customHeight="1" outlineLevel="1" x14ac:dyDescent="0.25">
      <c r="A727" s="2038"/>
      <c r="B727" s="493"/>
      <c r="C727" s="455"/>
      <c r="D727" s="2802"/>
      <c r="E727" s="2806"/>
      <c r="F727" s="2757" t="str">
        <f t="shared" si="70"/>
        <v>CAC - SEER 17 ROF: SF</v>
      </c>
      <c r="G727" s="2758"/>
      <c r="H727" s="2759"/>
      <c r="I727" s="951"/>
      <c r="J727" s="610">
        <f>$R$197*J583</f>
        <v>620</v>
      </c>
      <c r="K727" s="95">
        <f t="shared" si="69"/>
        <v>2.99</v>
      </c>
      <c r="L727" s="954"/>
      <c r="M727" s="455"/>
      <c r="N727" s="2028"/>
      <c r="O727" s="455"/>
      <c r="P727" s="493"/>
      <c r="Q727" s="493"/>
      <c r="R727" s="493"/>
      <c r="S727" s="493"/>
      <c r="T727" s="493"/>
      <c r="U727" s="493"/>
      <c r="V727" s="2866"/>
      <c r="W727" s="886">
        <v>1171.5999999999999</v>
      </c>
      <c r="X727" s="979">
        <f>(X$300/12000)*$R$197*X$583</f>
        <v>1798</v>
      </c>
      <c r="Y727" s="979">
        <v>404</v>
      </c>
      <c r="Z727" s="2517">
        <v>620</v>
      </c>
      <c r="AA727" s="886"/>
      <c r="AB727" s="886"/>
      <c r="AC727" s="886"/>
      <c r="AD727" s="886"/>
      <c r="AE727" s="886"/>
      <c r="AF727" s="886"/>
      <c r="AG727" s="886"/>
      <c r="BB727" s="950"/>
      <c r="BC727" s="796"/>
      <c r="BD727" s="900"/>
      <c r="BE727" s="797"/>
    </row>
    <row r="728" spans="1:57" s="614" customFormat="1" ht="14.45" hidden="1" customHeight="1" outlineLevel="1" x14ac:dyDescent="0.25">
      <c r="A728" s="2038"/>
      <c r="B728" s="493"/>
      <c r="C728" s="455"/>
      <c r="D728" s="2802"/>
      <c r="E728" s="2806"/>
      <c r="F728" s="2757" t="str">
        <f t="shared" si="70"/>
        <v>CAC - SEER 17 ER1: MF</v>
      </c>
      <c r="G728" s="2758"/>
      <c r="H728" s="2759"/>
      <c r="I728" s="951"/>
      <c r="J728" s="610">
        <f>(($R$207/3*K728)+$R$197)-(($Q$207/3*K728)/((1+$R$209)^($R$210-1)))*J584</f>
        <v>918.03912845694003</v>
      </c>
      <c r="K728" s="95">
        <f t="shared" si="69"/>
        <v>2</v>
      </c>
      <c r="L728" s="954"/>
      <c r="M728" s="455"/>
      <c r="N728" s="2028"/>
      <c r="O728" s="455"/>
      <c r="P728" s="493"/>
      <c r="Q728" s="493"/>
      <c r="R728" s="493"/>
      <c r="S728" s="493"/>
      <c r="T728" s="493"/>
      <c r="U728" s="493"/>
      <c r="V728" s="2866"/>
      <c r="W728" s="886">
        <v>1910.786999395481</v>
      </c>
      <c r="X728" s="979">
        <f>(X$296/12000)*$Q$197*X$584</f>
        <v>3307.881947324769</v>
      </c>
      <c r="Y728" s="979">
        <v>792.26502607230441</v>
      </c>
      <c r="Z728" s="2517">
        <v>918.03912845694003</v>
      </c>
      <c r="AA728" s="886"/>
      <c r="AB728" s="886"/>
      <c r="AC728" s="886"/>
      <c r="AD728" s="886"/>
      <c r="AE728" s="886"/>
      <c r="AF728" s="886"/>
      <c r="AG728" s="886"/>
      <c r="BB728" s="950"/>
      <c r="BC728" s="796"/>
      <c r="BD728" s="900"/>
      <c r="BE728" s="797"/>
    </row>
    <row r="729" spans="1:57" s="614" customFormat="1" ht="14.45" hidden="1" customHeight="1" outlineLevel="1" x14ac:dyDescent="0.25">
      <c r="A729" s="2038"/>
      <c r="B729" s="493"/>
      <c r="C729" s="455"/>
      <c r="D729" s="2802"/>
      <c r="E729" s="2806"/>
      <c r="F729" s="2757" t="str">
        <f t="shared" si="70"/>
        <v>CAC - SEER 17 ER2: MF</v>
      </c>
      <c r="G729" s="2758"/>
      <c r="H729" s="2759"/>
      <c r="I729" s="951"/>
      <c r="J729" s="610"/>
      <c r="K729" s="95">
        <f t="shared" si="69"/>
        <v>2</v>
      </c>
      <c r="L729" s="954"/>
      <c r="M729" s="455"/>
      <c r="N729" s="2028"/>
      <c r="O729" s="455"/>
      <c r="P729" s="493"/>
      <c r="Q729" s="493"/>
      <c r="R729" s="493"/>
      <c r="S729" s="493"/>
      <c r="T729" s="493"/>
      <c r="U729" s="493"/>
      <c r="V729" s="2866"/>
      <c r="W729" s="886"/>
      <c r="X729" s="978"/>
      <c r="Y729" s="979"/>
      <c r="Z729" s="2517"/>
      <c r="AA729" s="886"/>
      <c r="AB729" s="886"/>
      <c r="AC729" s="886"/>
      <c r="AD729" s="886"/>
      <c r="AE729" s="886"/>
      <c r="AF729" s="886"/>
      <c r="AG729" s="886"/>
      <c r="BB729" s="950"/>
      <c r="BC729" s="796"/>
      <c r="BD729" s="900"/>
      <c r="BE729" s="797"/>
    </row>
    <row r="730" spans="1:57" s="614" customFormat="1" ht="14.45" hidden="1" customHeight="1" outlineLevel="1" x14ac:dyDescent="0.25">
      <c r="A730" s="2038"/>
      <c r="B730" s="493"/>
      <c r="C730" s="455"/>
      <c r="D730" s="2802"/>
      <c r="E730" s="2806"/>
      <c r="F730" s="2757" t="str">
        <f t="shared" si="70"/>
        <v>CAC - SEER 17 ER1: MF_CompE</v>
      </c>
      <c r="G730" s="2758"/>
      <c r="H730" s="2759"/>
      <c r="I730" s="956"/>
      <c r="J730" s="610">
        <f>(($R$207/3*K730)+$R$197)-(($Q$207/3*K730)/((1+$R$209)^($R$210-1)))*J586</f>
        <v>918.03912845694003</v>
      </c>
      <c r="K730" s="95">
        <f t="shared" ref="K730:K761" si="71">K298*J586</f>
        <v>2</v>
      </c>
      <c r="L730" s="958"/>
      <c r="M730" s="455"/>
      <c r="N730" s="2028"/>
      <c r="O730" s="455"/>
      <c r="P730" s="493"/>
      <c r="Q730" s="493"/>
      <c r="R730" s="493"/>
      <c r="S730" s="493"/>
      <c r="T730" s="493"/>
      <c r="U730" s="493"/>
      <c r="V730" s="2866"/>
      <c r="W730" s="980"/>
      <c r="X730" s="981"/>
      <c r="Y730" s="982">
        <v>792.26502607230441</v>
      </c>
      <c r="Z730" s="2591">
        <v>918.03912845694003</v>
      </c>
      <c r="AA730" s="980"/>
      <c r="AB730" s="980"/>
      <c r="AC730" s="980"/>
      <c r="AD730" s="980"/>
      <c r="AE730" s="980"/>
      <c r="AF730" s="980"/>
      <c r="AG730" s="980"/>
      <c r="BB730" s="950"/>
      <c r="BC730" s="796"/>
      <c r="BD730" s="900"/>
      <c r="BE730" s="797"/>
    </row>
    <row r="731" spans="1:57" s="614" customFormat="1" ht="14.45" hidden="1" customHeight="1" outlineLevel="1" x14ac:dyDescent="0.25">
      <c r="A731" s="2038"/>
      <c r="B731" s="493"/>
      <c r="C731" s="455"/>
      <c r="D731" s="2802"/>
      <c r="E731" s="2806"/>
      <c r="F731" s="2757" t="str">
        <f t="shared" si="70"/>
        <v>CAC - SEER 17 ER2: MF_CompE</v>
      </c>
      <c r="G731" s="2758"/>
      <c r="H731" s="2759"/>
      <c r="I731" s="956"/>
      <c r="J731" s="998"/>
      <c r="K731" s="95">
        <f t="shared" si="71"/>
        <v>2</v>
      </c>
      <c r="L731" s="958"/>
      <c r="M731" s="455"/>
      <c r="N731" s="2028"/>
      <c r="O731" s="455"/>
      <c r="P731" s="493"/>
      <c r="Q731" s="493"/>
      <c r="R731" s="493"/>
      <c r="S731" s="493"/>
      <c r="T731" s="493"/>
      <c r="U731" s="493"/>
      <c r="V731" s="2866"/>
      <c r="W731" s="980"/>
      <c r="X731" s="981"/>
      <c r="Y731" s="982"/>
      <c r="Z731" s="2591"/>
      <c r="AA731" s="980"/>
      <c r="AB731" s="980"/>
      <c r="AC731" s="980"/>
      <c r="AD731" s="980"/>
      <c r="AE731" s="980"/>
      <c r="AF731" s="980"/>
      <c r="AG731" s="980"/>
      <c r="BB731" s="950"/>
      <c r="BC731" s="796"/>
      <c r="BD731" s="900"/>
      <c r="BE731" s="797"/>
    </row>
    <row r="732" spans="1:57" s="614" customFormat="1" ht="14.45" hidden="1" customHeight="1" outlineLevel="1" x14ac:dyDescent="0.25">
      <c r="A732" s="2038"/>
      <c r="B732" s="493"/>
      <c r="C732" s="455"/>
      <c r="D732" s="2802"/>
      <c r="E732" s="2806"/>
      <c r="F732" s="2757" t="str">
        <f t="shared" si="70"/>
        <v>CAC - SEER 17 ROF: MF</v>
      </c>
      <c r="G732" s="2758"/>
      <c r="H732" s="2759"/>
      <c r="I732" s="956"/>
      <c r="J732" s="610">
        <f>$R$197*J588</f>
        <v>620</v>
      </c>
      <c r="K732" s="95">
        <f t="shared" si="71"/>
        <v>2</v>
      </c>
      <c r="L732" s="958"/>
      <c r="M732" s="455"/>
      <c r="N732" s="2028"/>
      <c r="O732" s="455"/>
      <c r="P732" s="493"/>
      <c r="Q732" s="493"/>
      <c r="R732" s="493"/>
      <c r="S732" s="493"/>
      <c r="T732" s="493"/>
      <c r="U732" s="493"/>
      <c r="V732" s="2866"/>
      <c r="W732" s="980">
        <v>1171.5999999999999</v>
      </c>
      <c r="X732" s="982">
        <f>(X$300/12000)*$R$197*X$588</f>
        <v>1798</v>
      </c>
      <c r="Y732" s="982">
        <v>404</v>
      </c>
      <c r="Z732" s="2591">
        <v>620</v>
      </c>
      <c r="AA732" s="980"/>
      <c r="AB732" s="980"/>
      <c r="AC732" s="980"/>
      <c r="AD732" s="980"/>
      <c r="AE732" s="980"/>
      <c r="AF732" s="980"/>
      <c r="AG732" s="980"/>
      <c r="BB732" s="950"/>
      <c r="BC732" s="796"/>
      <c r="BD732" s="900"/>
      <c r="BE732" s="797"/>
    </row>
    <row r="733" spans="1:57" s="614" customFormat="1" ht="14.45" hidden="1" customHeight="1" outlineLevel="1" x14ac:dyDescent="0.25">
      <c r="A733" s="2038"/>
      <c r="B733" s="493"/>
      <c r="C733" s="455"/>
      <c r="D733" s="2803"/>
      <c r="E733" s="2807"/>
      <c r="F733" s="2757" t="str">
        <f t="shared" si="70"/>
        <v>CAC - SEER 17 ROF: MF_CompE</v>
      </c>
      <c r="G733" s="2758"/>
      <c r="H733" s="2759"/>
      <c r="I733" s="951"/>
      <c r="J733" s="610">
        <f>$R$197*J589</f>
        <v>620</v>
      </c>
      <c r="K733" s="95">
        <f t="shared" si="71"/>
        <v>2</v>
      </c>
      <c r="L733" s="954"/>
      <c r="M733" s="455"/>
      <c r="N733" s="2028"/>
      <c r="O733" s="455"/>
      <c r="P733" s="493"/>
      <c r="Q733" s="493"/>
      <c r="R733" s="493"/>
      <c r="S733" s="493"/>
      <c r="T733" s="493"/>
      <c r="U733" s="493"/>
      <c r="V733" s="2847"/>
      <c r="W733" s="886"/>
      <c r="X733" s="979"/>
      <c r="Y733" s="979">
        <v>404</v>
      </c>
      <c r="Z733" s="2517">
        <v>620</v>
      </c>
      <c r="AA733" s="886"/>
      <c r="AB733" s="886"/>
      <c r="AC733" s="886"/>
      <c r="AD733" s="886"/>
      <c r="AE733" s="886"/>
      <c r="AF733" s="886"/>
      <c r="AG733" s="886"/>
      <c r="BB733" s="950"/>
      <c r="BC733" s="796"/>
      <c r="BD733" s="900"/>
      <c r="BE733" s="797"/>
    </row>
    <row r="734" spans="1:57" s="614" customFormat="1" ht="14.45" hidden="1" customHeight="1" outlineLevel="1" x14ac:dyDescent="0.25">
      <c r="A734" s="2038"/>
      <c r="B734" s="493"/>
      <c r="C734" s="455"/>
      <c r="D734" s="2813"/>
      <c r="E734" s="2847"/>
      <c r="F734" s="2790" t="str">
        <f t="shared" si="70"/>
        <v>CAC - SEER 18 ER1: SF</v>
      </c>
      <c r="G734" s="2791"/>
      <c r="H734" s="2792"/>
      <c r="I734" s="951"/>
      <c r="J734" s="610">
        <f>(($R$207/3*K734)+$R$198)-(($Q$207/3*K734)/((1+$R$209)^($R$210-1)))*J590</f>
        <v>1273.7253593520768</v>
      </c>
      <c r="K734" s="95">
        <f t="shared" si="71"/>
        <v>3</v>
      </c>
      <c r="L734" s="954"/>
      <c r="M734" s="455"/>
      <c r="N734" s="2028"/>
      <c r="O734" s="455"/>
      <c r="P734" s="493"/>
      <c r="Q734" s="493"/>
      <c r="R734" s="493"/>
      <c r="S734" s="493"/>
      <c r="T734" s="493"/>
      <c r="U734" s="493"/>
      <c r="V734" s="2847"/>
      <c r="W734" s="976"/>
      <c r="X734" s="977"/>
      <c r="Y734" s="977"/>
      <c r="Z734" s="2592">
        <v>1273.7253593520768</v>
      </c>
      <c r="AA734" s="976"/>
      <c r="AB734" s="976"/>
      <c r="AC734" s="976"/>
      <c r="AD734" s="976"/>
      <c r="AE734" s="976"/>
      <c r="AF734" s="976"/>
      <c r="AG734" s="976"/>
      <c r="BB734" s="950"/>
      <c r="BC734" s="796"/>
      <c r="BD734" s="900"/>
      <c r="BE734" s="797"/>
    </row>
    <row r="735" spans="1:57" s="614" customFormat="1" ht="14.45" hidden="1" customHeight="1" outlineLevel="1" x14ac:dyDescent="0.25">
      <c r="A735" s="2038"/>
      <c r="B735" s="493"/>
      <c r="C735" s="455"/>
      <c r="D735" s="2813"/>
      <c r="E735" s="2847"/>
      <c r="F735" s="2790" t="str">
        <f t="shared" si="70"/>
        <v>CAC - SEER 18 ER2: SF</v>
      </c>
      <c r="G735" s="2791"/>
      <c r="H735" s="2792"/>
      <c r="I735" s="951"/>
      <c r="J735" s="2041"/>
      <c r="K735" s="95">
        <f t="shared" si="71"/>
        <v>3</v>
      </c>
      <c r="L735" s="954"/>
      <c r="M735" s="455"/>
      <c r="N735" s="2028"/>
      <c r="O735" s="455"/>
      <c r="P735" s="493"/>
      <c r="Q735" s="493"/>
      <c r="R735" s="493"/>
      <c r="S735" s="493"/>
      <c r="T735" s="493"/>
      <c r="U735" s="493"/>
      <c r="V735" s="2847"/>
      <c r="W735" s="886"/>
      <c r="X735" s="978"/>
      <c r="Y735" s="979"/>
      <c r="Z735" s="2593"/>
      <c r="AA735" s="886"/>
      <c r="AB735" s="886"/>
      <c r="AC735" s="886"/>
      <c r="AD735" s="886"/>
      <c r="AE735" s="886"/>
      <c r="AF735" s="886"/>
      <c r="AG735" s="886"/>
      <c r="BB735" s="950"/>
      <c r="BC735" s="796"/>
      <c r="BD735" s="900"/>
      <c r="BE735" s="797"/>
    </row>
    <row r="736" spans="1:57" s="614" customFormat="1" ht="14.45" hidden="1" customHeight="1" outlineLevel="1" x14ac:dyDescent="0.25">
      <c r="A736" s="2038"/>
      <c r="B736" s="493"/>
      <c r="C736" s="455"/>
      <c r="D736" s="2813"/>
      <c r="E736" s="2847"/>
      <c r="F736" s="2790" t="str">
        <f t="shared" si="70"/>
        <v>CAC - SEER 18 ROF: SF</v>
      </c>
      <c r="G736" s="2791"/>
      <c r="H736" s="2792"/>
      <c r="I736" s="951"/>
      <c r="J736" s="610">
        <f>$R$198*J592</f>
        <v>826.66666666666708</v>
      </c>
      <c r="K736" s="95">
        <f t="shared" si="71"/>
        <v>3</v>
      </c>
      <c r="L736" s="954"/>
      <c r="M736" s="455"/>
      <c r="N736" s="2028"/>
      <c r="O736" s="455"/>
      <c r="P736" s="493"/>
      <c r="Q736" s="493"/>
      <c r="R736" s="493"/>
      <c r="S736" s="493"/>
      <c r="T736" s="493"/>
      <c r="U736" s="493"/>
      <c r="V736" s="2847"/>
      <c r="W736" s="886"/>
      <c r="X736" s="978"/>
      <c r="Y736" s="979"/>
      <c r="Z736" s="906">
        <v>826.66666666666708</v>
      </c>
      <c r="AA736" s="886"/>
      <c r="AB736" s="886"/>
      <c r="AC736" s="886"/>
      <c r="AD736" s="886"/>
      <c r="AE736" s="886"/>
      <c r="AF736" s="886"/>
      <c r="AG736" s="886"/>
      <c r="BB736" s="950"/>
      <c r="BC736" s="796"/>
      <c r="BD736" s="900"/>
      <c r="BE736" s="797"/>
    </row>
    <row r="737" spans="1:57" s="614" customFormat="1" ht="14.45" hidden="1" customHeight="1" outlineLevel="1" x14ac:dyDescent="0.25">
      <c r="A737" s="2038"/>
      <c r="B737" s="493"/>
      <c r="C737" s="455"/>
      <c r="D737" s="2813"/>
      <c r="E737" s="2847"/>
      <c r="F737" s="2780" t="str">
        <f t="shared" si="70"/>
        <v>CAC - SEER 18 ER1: MF</v>
      </c>
      <c r="G737" s="2781"/>
      <c r="H737" s="2782"/>
      <c r="I737" s="951"/>
      <c r="J737" s="610">
        <f>(($R$207/3*K737)+$R$198)-(($Q$207/3*K737)/((1+$R$209)^$R$210))*J593</f>
        <v>1214.9316927389714</v>
      </c>
      <c r="K737" s="95">
        <f t="shared" si="71"/>
        <v>2</v>
      </c>
      <c r="L737" s="954"/>
      <c r="M737" s="455"/>
      <c r="N737" s="2028"/>
      <c r="O737" s="455"/>
      <c r="P737" s="493"/>
      <c r="Q737" s="493"/>
      <c r="R737" s="493"/>
      <c r="S737" s="493"/>
      <c r="T737" s="493"/>
      <c r="U737" s="493"/>
      <c r="V737" s="2847"/>
      <c r="W737" s="886"/>
      <c r="X737" s="979"/>
      <c r="Y737" s="979"/>
      <c r="Z737" s="906">
        <v>1214.9316927389714</v>
      </c>
      <c r="AA737" s="886"/>
      <c r="AB737" s="886"/>
      <c r="AC737" s="886"/>
      <c r="AD737" s="886"/>
      <c r="AE737" s="886"/>
      <c r="AF737" s="886"/>
      <c r="AG737" s="886"/>
      <c r="BB737" s="950"/>
      <c r="BC737" s="796"/>
      <c r="BD737" s="900"/>
      <c r="BE737" s="797"/>
    </row>
    <row r="738" spans="1:57" s="614" customFormat="1" ht="14.45" hidden="1" customHeight="1" outlineLevel="1" x14ac:dyDescent="0.25">
      <c r="A738" s="2038"/>
      <c r="B738" s="493"/>
      <c r="C738" s="455"/>
      <c r="D738" s="2813"/>
      <c r="E738" s="2847"/>
      <c r="F738" s="2780" t="str">
        <f t="shared" si="70"/>
        <v>CAC - SEER 18 ER2: MF</v>
      </c>
      <c r="G738" s="2781"/>
      <c r="H738" s="2782"/>
      <c r="I738" s="951"/>
      <c r="J738" s="610"/>
      <c r="K738" s="95">
        <f t="shared" si="71"/>
        <v>2</v>
      </c>
      <c r="L738" s="954"/>
      <c r="M738" s="455"/>
      <c r="N738" s="2028"/>
      <c r="O738" s="455"/>
      <c r="P738" s="493"/>
      <c r="Q738" s="493"/>
      <c r="R738" s="493"/>
      <c r="S738" s="493"/>
      <c r="T738" s="493"/>
      <c r="U738" s="493"/>
      <c r="V738" s="2847"/>
      <c r="W738" s="886"/>
      <c r="X738" s="978"/>
      <c r="Y738" s="979"/>
      <c r="Z738" s="906"/>
      <c r="AA738" s="886"/>
      <c r="AB738" s="886"/>
      <c r="AC738" s="886"/>
      <c r="AD738" s="886"/>
      <c r="AE738" s="886"/>
      <c r="AF738" s="886"/>
      <c r="AG738" s="886"/>
      <c r="BB738" s="950"/>
      <c r="BC738" s="796"/>
      <c r="BD738" s="900"/>
      <c r="BE738" s="797"/>
    </row>
    <row r="739" spans="1:57" s="614" customFormat="1" ht="14.45" hidden="1" customHeight="1" outlineLevel="1" x14ac:dyDescent="0.25">
      <c r="A739" s="2038"/>
      <c r="B739" s="493"/>
      <c r="C739" s="455"/>
      <c r="D739" s="2813"/>
      <c r="E739" s="2847"/>
      <c r="F739" s="2780" t="str">
        <f t="shared" si="70"/>
        <v>CAC - SEER 18 ER1: MF_CompE</v>
      </c>
      <c r="G739" s="2781"/>
      <c r="H739" s="2782"/>
      <c r="I739" s="951"/>
      <c r="J739" s="610">
        <f>(($R$207/3*K739)+$R$198)-(($Q$207/3*K739)/((1+$R$209)^($R$210-1)))*J595</f>
        <v>1124.705795123607</v>
      </c>
      <c r="K739" s="95">
        <f t="shared" si="71"/>
        <v>2</v>
      </c>
      <c r="L739" s="954"/>
      <c r="M739" s="455"/>
      <c r="N739" s="2028"/>
      <c r="O739" s="455"/>
      <c r="P739" s="493"/>
      <c r="Q739" s="493"/>
      <c r="R739" s="493"/>
      <c r="S739" s="493"/>
      <c r="T739" s="493"/>
      <c r="U739" s="493"/>
      <c r="V739" s="2847"/>
      <c r="W739" s="886"/>
      <c r="X739" s="978"/>
      <c r="Y739" s="979"/>
      <c r="Z739" s="906">
        <v>1124.705795123607</v>
      </c>
      <c r="AA739" s="886"/>
      <c r="AB739" s="886"/>
      <c r="AC739" s="886"/>
      <c r="AD739" s="886"/>
      <c r="AE739" s="886"/>
      <c r="AF739" s="886"/>
      <c r="AG739" s="886"/>
      <c r="BB739" s="950"/>
      <c r="BC739" s="796"/>
      <c r="BD739" s="900"/>
      <c r="BE739" s="797"/>
    </row>
    <row r="740" spans="1:57" s="614" customFormat="1" ht="14.45" hidden="1" customHeight="1" outlineLevel="1" x14ac:dyDescent="0.25">
      <c r="A740" s="2038"/>
      <c r="B740" s="493"/>
      <c r="C740" s="455"/>
      <c r="D740" s="2813"/>
      <c r="E740" s="2847"/>
      <c r="F740" s="2780" t="str">
        <f t="shared" si="70"/>
        <v>CAC - SEER 18 ER2: MF_CompE</v>
      </c>
      <c r="G740" s="2781"/>
      <c r="H740" s="2782"/>
      <c r="I740" s="951"/>
      <c r="J740" s="610"/>
      <c r="K740" s="95">
        <f t="shared" si="71"/>
        <v>2</v>
      </c>
      <c r="L740" s="954"/>
      <c r="M740" s="455"/>
      <c r="N740" s="2028"/>
      <c r="O740" s="455"/>
      <c r="P740" s="493"/>
      <c r="Q740" s="493"/>
      <c r="R740" s="493"/>
      <c r="S740" s="493"/>
      <c r="T740" s="493"/>
      <c r="U740" s="493"/>
      <c r="V740" s="2847"/>
      <c r="W740" s="886"/>
      <c r="X740" s="978"/>
      <c r="Y740" s="979"/>
      <c r="Z740" s="906"/>
      <c r="AA740" s="886"/>
      <c r="AB740" s="886"/>
      <c r="AC740" s="886"/>
      <c r="AD740" s="886"/>
      <c r="AE740" s="886"/>
      <c r="AF740" s="886"/>
      <c r="AG740" s="886"/>
      <c r="BB740" s="950"/>
      <c r="BC740" s="796"/>
      <c r="BD740" s="900"/>
      <c r="BE740" s="797"/>
    </row>
    <row r="741" spans="1:57" s="614" customFormat="1" ht="14.25" hidden="1" customHeight="1" outlineLevel="1" x14ac:dyDescent="0.25">
      <c r="A741" s="2038"/>
      <c r="B741" s="493"/>
      <c r="C741" s="455"/>
      <c r="D741" s="2813"/>
      <c r="E741" s="2847"/>
      <c r="F741" s="2780" t="str">
        <f t="shared" si="70"/>
        <v>CAC - SEER 18 ROF: MF</v>
      </c>
      <c r="G741" s="2781"/>
      <c r="H741" s="2782"/>
      <c r="I741" s="951"/>
      <c r="J741" s="610">
        <f>$R$198*J597</f>
        <v>826.66666666666708</v>
      </c>
      <c r="K741" s="95">
        <f t="shared" si="71"/>
        <v>2</v>
      </c>
      <c r="L741" s="954"/>
      <c r="M741" s="455"/>
      <c r="N741" s="2028"/>
      <c r="O741" s="455"/>
      <c r="P741" s="493"/>
      <c r="Q741" s="493"/>
      <c r="R741" s="493"/>
      <c r="S741" s="493"/>
      <c r="T741" s="493"/>
      <c r="U741" s="493"/>
      <c r="V741" s="2847"/>
      <c r="W741" s="886"/>
      <c r="X741" s="978"/>
      <c r="Y741" s="979"/>
      <c r="Z741" s="906">
        <v>826.66666666666708</v>
      </c>
      <c r="AA741" s="886"/>
      <c r="AB741" s="886"/>
      <c r="AC741" s="886"/>
      <c r="AD741" s="886"/>
      <c r="AE741" s="886"/>
      <c r="AF741" s="886"/>
      <c r="AG741" s="886"/>
      <c r="BB741" s="950"/>
      <c r="BC741" s="796"/>
      <c r="BD741" s="900"/>
      <c r="BE741" s="797"/>
    </row>
    <row r="742" spans="1:57" s="614" customFormat="1" ht="14.25" hidden="1" customHeight="1" outlineLevel="1" x14ac:dyDescent="0.25">
      <c r="A742" s="2038"/>
      <c r="B742" s="493"/>
      <c r="C742" s="455"/>
      <c r="D742" s="2813"/>
      <c r="E742" s="2847"/>
      <c r="F742" s="2780" t="str">
        <f t="shared" si="70"/>
        <v>CAC - SEER 18 ROF: MF_CompE</v>
      </c>
      <c r="G742" s="2781"/>
      <c r="H742" s="2782"/>
      <c r="I742" s="951"/>
      <c r="J742" s="610">
        <f>$R$198*J598</f>
        <v>826.66666666666708</v>
      </c>
      <c r="K742" s="95">
        <f t="shared" si="71"/>
        <v>2</v>
      </c>
      <c r="L742" s="954"/>
      <c r="M742" s="455"/>
      <c r="N742" s="2028"/>
      <c r="O742" s="455"/>
      <c r="P742" s="493"/>
      <c r="Q742" s="493"/>
      <c r="R742" s="493"/>
      <c r="S742" s="493"/>
      <c r="T742" s="493"/>
      <c r="U742" s="493"/>
      <c r="V742" s="2847"/>
      <c r="W742" s="886"/>
      <c r="X742" s="978"/>
      <c r="Y742" s="979"/>
      <c r="Z742" s="906">
        <v>826.66666666666708</v>
      </c>
      <c r="AA742" s="886"/>
      <c r="AB742" s="886"/>
      <c r="AC742" s="886"/>
      <c r="AD742" s="886"/>
      <c r="AE742" s="886"/>
      <c r="AF742" s="886"/>
      <c r="AG742" s="886"/>
      <c r="BB742" s="950"/>
      <c r="BC742" s="796"/>
      <c r="BD742" s="900"/>
      <c r="BE742" s="797"/>
    </row>
    <row r="743" spans="1:57" s="614" customFormat="1" ht="14.45" hidden="1" customHeight="1" outlineLevel="1" x14ac:dyDescent="0.25">
      <c r="A743" s="2038"/>
      <c r="B743" s="493"/>
      <c r="C743" s="455"/>
      <c r="D743" s="2813"/>
      <c r="E743" s="2847"/>
      <c r="F743" s="2780" t="str">
        <f t="shared" si="70"/>
        <v>CAC - SEER 19 ER1: SF</v>
      </c>
      <c r="G743" s="2781"/>
      <c r="H743" s="2782"/>
      <c r="I743" s="951"/>
      <c r="J743" s="610">
        <f>(($R$207/3*K743)+$R$199)-(($Q$207/3*K743)/((1+$R$209)^($R$210-1)))*J599</f>
        <v>1480.3920260187429</v>
      </c>
      <c r="K743" s="95">
        <f t="shared" si="71"/>
        <v>3</v>
      </c>
      <c r="L743" s="954"/>
      <c r="M743" s="455"/>
      <c r="N743" s="2028"/>
      <c r="O743" s="455"/>
      <c r="P743" s="493"/>
      <c r="Q743" s="493"/>
      <c r="R743" s="493"/>
      <c r="S743" s="493"/>
      <c r="T743" s="493"/>
      <c r="U743" s="493"/>
      <c r="V743" s="2847"/>
      <c r="W743" s="886"/>
      <c r="X743" s="979"/>
      <c r="Y743" s="979"/>
      <c r="Z743" s="906">
        <v>1480.3920260187429</v>
      </c>
      <c r="AA743" s="886"/>
      <c r="AB743" s="886"/>
      <c r="AC743" s="886"/>
      <c r="AD743" s="886"/>
      <c r="AE743" s="886"/>
      <c r="AF743" s="886"/>
      <c r="AG743" s="886"/>
      <c r="BB743" s="950"/>
      <c r="BC743" s="796"/>
      <c r="BD743" s="900"/>
      <c r="BE743" s="797"/>
    </row>
    <row r="744" spans="1:57" s="614" customFormat="1" ht="14.45" hidden="1" customHeight="1" outlineLevel="1" x14ac:dyDescent="0.25">
      <c r="A744" s="2038"/>
      <c r="B744" s="493"/>
      <c r="C744" s="455"/>
      <c r="D744" s="2813"/>
      <c r="E744" s="2847"/>
      <c r="F744" s="2780" t="str">
        <f t="shared" si="70"/>
        <v>CAC - SEER 19 ER2: SF</v>
      </c>
      <c r="G744" s="2781"/>
      <c r="H744" s="2782"/>
      <c r="I744" s="951"/>
      <c r="J744" s="610"/>
      <c r="K744" s="95">
        <f t="shared" si="71"/>
        <v>3</v>
      </c>
      <c r="L744" s="954"/>
      <c r="M744" s="455"/>
      <c r="N744" s="2028"/>
      <c r="O744" s="455"/>
      <c r="P744" s="493"/>
      <c r="Q744" s="493"/>
      <c r="R744" s="493"/>
      <c r="S744" s="493"/>
      <c r="T744" s="493"/>
      <c r="U744" s="493"/>
      <c r="V744" s="2847"/>
      <c r="W744" s="886"/>
      <c r="X744" s="978"/>
      <c r="Y744" s="979"/>
      <c r="Z744" s="906"/>
      <c r="AA744" s="886"/>
      <c r="AB744" s="886"/>
      <c r="AC744" s="886"/>
      <c r="AD744" s="886"/>
      <c r="AE744" s="886"/>
      <c r="AF744" s="886"/>
      <c r="AG744" s="886"/>
      <c r="BB744" s="950"/>
      <c r="BC744" s="796"/>
      <c r="BD744" s="900"/>
      <c r="BE744" s="797"/>
    </row>
    <row r="745" spans="1:57" s="614" customFormat="1" ht="14.45" hidden="1" customHeight="1" outlineLevel="1" x14ac:dyDescent="0.25">
      <c r="A745" s="2038"/>
      <c r="B745" s="493"/>
      <c r="C745" s="455"/>
      <c r="D745" s="2813"/>
      <c r="E745" s="2847"/>
      <c r="F745" s="2780" t="str">
        <f t="shared" si="70"/>
        <v>CAC - SEER 19 ROF: SF</v>
      </c>
      <c r="G745" s="2781"/>
      <c r="H745" s="2782"/>
      <c r="I745" s="951"/>
      <c r="J745" s="610">
        <f>$R$199*J601</f>
        <v>1033.3333333333328</v>
      </c>
      <c r="K745" s="95">
        <f t="shared" si="71"/>
        <v>3</v>
      </c>
      <c r="L745" s="954"/>
      <c r="M745" s="455"/>
      <c r="N745" s="2028"/>
      <c r="O745" s="455"/>
      <c r="P745" s="493"/>
      <c r="Q745" s="493"/>
      <c r="R745" s="493"/>
      <c r="S745" s="493"/>
      <c r="T745" s="493"/>
      <c r="U745" s="493"/>
      <c r="V745" s="2847"/>
      <c r="W745" s="886"/>
      <c r="X745" s="979"/>
      <c r="Y745" s="979"/>
      <c r="Z745" s="906">
        <v>1033.3333333333328</v>
      </c>
      <c r="AA745" s="886"/>
      <c r="AB745" s="886"/>
      <c r="AC745" s="886"/>
      <c r="AD745" s="886"/>
      <c r="AE745" s="886"/>
      <c r="AF745" s="886"/>
      <c r="AG745" s="886"/>
      <c r="BB745" s="950"/>
      <c r="BC745" s="796"/>
      <c r="BD745" s="900"/>
      <c r="BE745" s="797"/>
    </row>
    <row r="746" spans="1:57" s="614" customFormat="1" ht="14.45" hidden="1" customHeight="1" outlineLevel="1" x14ac:dyDescent="0.25">
      <c r="A746" s="2038"/>
      <c r="B746" s="493"/>
      <c r="C746" s="455"/>
      <c r="D746" s="2813"/>
      <c r="E746" s="2847"/>
      <c r="F746" s="2780" t="str">
        <f t="shared" si="70"/>
        <v>CAC - SEER 19 ER1: MF</v>
      </c>
      <c r="G746" s="2781"/>
      <c r="H746" s="2782"/>
      <c r="I746" s="951"/>
      <c r="J746" s="610">
        <f>(($R$207/3*K746)+$R$199)-(($Q$207/3*K746)/((1+$R$209)^($R$210-1)))*J602</f>
        <v>1331.3724617902726</v>
      </c>
      <c r="K746" s="95">
        <f t="shared" si="71"/>
        <v>2</v>
      </c>
      <c r="L746" s="954"/>
      <c r="M746" s="455"/>
      <c r="N746" s="2028"/>
      <c r="O746" s="455"/>
      <c r="P746" s="493"/>
      <c r="Q746" s="493"/>
      <c r="R746" s="493"/>
      <c r="S746" s="493"/>
      <c r="T746" s="493"/>
      <c r="U746" s="493"/>
      <c r="V746" s="2847"/>
      <c r="W746" s="886"/>
      <c r="X746" s="979"/>
      <c r="Y746" s="979"/>
      <c r="Z746" s="906">
        <v>1331.3724617902726</v>
      </c>
      <c r="AA746" s="886"/>
      <c r="AB746" s="886"/>
      <c r="AC746" s="886"/>
      <c r="AD746" s="886"/>
      <c r="AE746" s="886"/>
      <c r="AF746" s="886"/>
      <c r="AG746" s="886"/>
      <c r="BB746" s="950"/>
      <c r="BC746" s="796"/>
      <c r="BD746" s="900"/>
      <c r="BE746" s="797"/>
    </row>
    <row r="747" spans="1:57" s="614" customFormat="1" ht="14.45" hidden="1" customHeight="1" outlineLevel="1" x14ac:dyDescent="0.25">
      <c r="A747" s="2038"/>
      <c r="B747" s="493"/>
      <c r="C747" s="455"/>
      <c r="D747" s="2813"/>
      <c r="E747" s="2847"/>
      <c r="F747" s="2780" t="str">
        <f t="shared" si="70"/>
        <v>CAC - SEER 19 ER2: MF</v>
      </c>
      <c r="G747" s="2781"/>
      <c r="H747" s="2782"/>
      <c r="I747" s="951"/>
      <c r="J747" s="610"/>
      <c r="K747" s="95">
        <f t="shared" si="71"/>
        <v>2</v>
      </c>
      <c r="L747" s="954"/>
      <c r="M747" s="455"/>
      <c r="N747" s="2028"/>
      <c r="O747" s="455"/>
      <c r="P747" s="493"/>
      <c r="Q747" s="493"/>
      <c r="R747" s="493"/>
      <c r="S747" s="493"/>
      <c r="T747" s="493"/>
      <c r="U747" s="493"/>
      <c r="V747" s="2847"/>
      <c r="W747" s="886"/>
      <c r="X747" s="978"/>
      <c r="Y747" s="979"/>
      <c r="Z747" s="906"/>
      <c r="AA747" s="886"/>
      <c r="AB747" s="886"/>
      <c r="AC747" s="886"/>
      <c r="AD747" s="886"/>
      <c r="AE747" s="886"/>
      <c r="AF747" s="886"/>
      <c r="AG747" s="886"/>
      <c r="BB747" s="950"/>
      <c r="BC747" s="796"/>
      <c r="BD747" s="900"/>
      <c r="BE747" s="797"/>
    </row>
    <row r="748" spans="1:57" s="614" customFormat="1" ht="14.45" hidden="1" customHeight="1" outlineLevel="1" x14ac:dyDescent="0.25">
      <c r="A748" s="2038"/>
      <c r="B748" s="493"/>
      <c r="C748" s="455"/>
      <c r="D748" s="2813"/>
      <c r="E748" s="2847"/>
      <c r="F748" s="2780" t="str">
        <f t="shared" si="70"/>
        <v>CAC - SEER 19 ER1: MF_CompE</v>
      </c>
      <c r="G748" s="2781"/>
      <c r="H748" s="2782"/>
      <c r="I748" s="951"/>
      <c r="J748" s="610">
        <f>(($R$207/3*K748)+$R$199)-(($Q$207/3*K748)/((1+$R$209)^($R$210-1)))*J604</f>
        <v>1331.3724617902726</v>
      </c>
      <c r="K748" s="95">
        <f t="shared" si="71"/>
        <v>2</v>
      </c>
      <c r="L748" s="954"/>
      <c r="M748" s="455"/>
      <c r="N748" s="2028"/>
      <c r="O748" s="455"/>
      <c r="P748" s="493"/>
      <c r="Q748" s="493"/>
      <c r="R748" s="493"/>
      <c r="S748" s="493"/>
      <c r="T748" s="493"/>
      <c r="U748" s="493"/>
      <c r="V748" s="2847"/>
      <c r="W748" s="886"/>
      <c r="X748" s="978"/>
      <c r="Y748" s="979"/>
      <c r="Z748" s="906">
        <v>1331.3724617902726</v>
      </c>
      <c r="AA748" s="886"/>
      <c r="AB748" s="886"/>
      <c r="AC748" s="886"/>
      <c r="AD748" s="886"/>
      <c r="AE748" s="886"/>
      <c r="AF748" s="886"/>
      <c r="AG748" s="886"/>
      <c r="BB748" s="950"/>
      <c r="BC748" s="796"/>
      <c r="BD748" s="900"/>
      <c r="BE748" s="797"/>
    </row>
    <row r="749" spans="1:57" s="614" customFormat="1" ht="14.45" hidden="1" customHeight="1" outlineLevel="1" x14ac:dyDescent="0.25">
      <c r="A749" s="2038"/>
      <c r="B749" s="493"/>
      <c r="C749" s="455"/>
      <c r="D749" s="2813"/>
      <c r="E749" s="2847"/>
      <c r="F749" s="2780" t="str">
        <f t="shared" si="70"/>
        <v>CAC - SEER 19 ER2: MF_CompE</v>
      </c>
      <c r="G749" s="2781"/>
      <c r="H749" s="2782"/>
      <c r="I749" s="951"/>
      <c r="J749" s="610"/>
      <c r="K749" s="95">
        <f t="shared" si="71"/>
        <v>2</v>
      </c>
      <c r="L749" s="954"/>
      <c r="M749" s="455"/>
      <c r="N749" s="2028"/>
      <c r="O749" s="455"/>
      <c r="P749" s="493"/>
      <c r="Q749" s="493"/>
      <c r="R749" s="493"/>
      <c r="S749" s="493"/>
      <c r="T749" s="493"/>
      <c r="U749" s="493"/>
      <c r="V749" s="2847"/>
      <c r="W749" s="886"/>
      <c r="X749" s="978"/>
      <c r="Y749" s="979"/>
      <c r="Z749" s="906"/>
      <c r="AA749" s="886"/>
      <c r="AB749" s="886"/>
      <c r="AC749" s="886"/>
      <c r="AD749" s="886"/>
      <c r="AE749" s="886"/>
      <c r="AF749" s="886"/>
      <c r="AG749" s="886"/>
      <c r="BB749" s="950"/>
      <c r="BC749" s="796"/>
      <c r="BD749" s="900"/>
      <c r="BE749" s="797"/>
    </row>
    <row r="750" spans="1:57" s="614" customFormat="1" ht="14.25" hidden="1" customHeight="1" outlineLevel="1" x14ac:dyDescent="0.25">
      <c r="A750" s="2038"/>
      <c r="B750" s="493"/>
      <c r="C750" s="455"/>
      <c r="D750" s="2813"/>
      <c r="E750" s="2847"/>
      <c r="F750" s="2780" t="str">
        <f t="shared" si="70"/>
        <v>CAC - SEER 19 ROF: MF</v>
      </c>
      <c r="G750" s="2781"/>
      <c r="H750" s="2782"/>
      <c r="I750" s="951"/>
      <c r="J750" s="610">
        <f>$R$199*J606</f>
        <v>1033.3333333333328</v>
      </c>
      <c r="K750" s="95">
        <f t="shared" si="71"/>
        <v>2</v>
      </c>
      <c r="L750" s="954"/>
      <c r="M750" s="455"/>
      <c r="N750" s="2028"/>
      <c r="O750" s="455"/>
      <c r="P750" s="493"/>
      <c r="Q750" s="493"/>
      <c r="R750" s="493"/>
      <c r="S750" s="493"/>
      <c r="T750" s="493"/>
      <c r="U750" s="493"/>
      <c r="V750" s="2847"/>
      <c r="W750" s="886"/>
      <c r="X750" s="979"/>
      <c r="Y750" s="979"/>
      <c r="Z750" s="906">
        <v>1033.3333333333328</v>
      </c>
      <c r="AA750" s="886"/>
      <c r="AB750" s="886"/>
      <c r="AC750" s="886"/>
      <c r="AD750" s="886"/>
      <c r="AE750" s="886"/>
      <c r="AF750" s="886"/>
      <c r="AG750" s="886"/>
      <c r="BB750" s="950"/>
      <c r="BC750" s="796"/>
      <c r="BD750" s="900"/>
      <c r="BE750" s="797"/>
    </row>
    <row r="751" spans="1:57" s="614" customFormat="1" ht="14.25" hidden="1" customHeight="1" outlineLevel="1" x14ac:dyDescent="0.25">
      <c r="A751" s="2038"/>
      <c r="B751" s="493"/>
      <c r="C751" s="455"/>
      <c r="D751" s="2813"/>
      <c r="E751" s="2847"/>
      <c r="F751" s="2780" t="str">
        <f t="shared" si="70"/>
        <v>CAC - SEER 19 ROF: MF_CompE</v>
      </c>
      <c r="G751" s="2781"/>
      <c r="H751" s="2782"/>
      <c r="I751" s="951"/>
      <c r="J751" s="610">
        <f>$R$199*J607</f>
        <v>1033.3333333333328</v>
      </c>
      <c r="K751" s="95">
        <f t="shared" si="71"/>
        <v>2</v>
      </c>
      <c r="L751" s="954"/>
      <c r="M751" s="455"/>
      <c r="N751" s="2028"/>
      <c r="O751" s="455"/>
      <c r="P751" s="493"/>
      <c r="Q751" s="493"/>
      <c r="R751" s="493"/>
      <c r="S751" s="493"/>
      <c r="T751" s="493"/>
      <c r="U751" s="493"/>
      <c r="V751" s="2847"/>
      <c r="W751" s="886"/>
      <c r="X751" s="979"/>
      <c r="Y751" s="979"/>
      <c r="Z751" s="906">
        <v>1033.3333333333328</v>
      </c>
      <c r="AA751" s="886"/>
      <c r="AB751" s="886"/>
      <c r="AC751" s="886"/>
      <c r="AD751" s="886"/>
      <c r="AE751" s="886"/>
      <c r="AF751" s="886"/>
      <c r="AG751" s="886"/>
      <c r="BB751" s="950"/>
      <c r="BC751" s="796"/>
      <c r="BD751" s="900"/>
      <c r="BE751" s="797"/>
    </row>
    <row r="752" spans="1:57" s="614" customFormat="1" ht="14.45" hidden="1" customHeight="1" outlineLevel="1" x14ac:dyDescent="0.25">
      <c r="A752" s="2038"/>
      <c r="B752" s="493"/>
      <c r="C752" s="455"/>
      <c r="D752" s="2813"/>
      <c r="E752" s="2847"/>
      <c r="F752" s="2780" t="str">
        <f t="shared" si="70"/>
        <v>CAC - SEER 20 ER1: SF</v>
      </c>
      <c r="G752" s="2781"/>
      <c r="H752" s="2782"/>
      <c r="I752" s="951"/>
      <c r="J752" s="610">
        <f>(($R$207/3*K752)+$R$200)-(($Q$207/3*K752)/((1+$R$209)^($R$210-1)))*J608</f>
        <v>1687.0586926854098</v>
      </c>
      <c r="K752" s="95">
        <f t="shared" si="71"/>
        <v>3</v>
      </c>
      <c r="L752" s="954"/>
      <c r="M752" s="455"/>
      <c r="N752" s="2028"/>
      <c r="O752" s="455"/>
      <c r="P752" s="493"/>
      <c r="Q752" s="493"/>
      <c r="R752" s="493"/>
      <c r="S752" s="493"/>
      <c r="T752" s="493"/>
      <c r="U752" s="493"/>
      <c r="V752" s="2847"/>
      <c r="W752" s="886"/>
      <c r="X752" s="979"/>
      <c r="Y752" s="979"/>
      <c r="Z752" s="906">
        <v>1687.0586926854098</v>
      </c>
      <c r="AA752" s="886"/>
      <c r="AB752" s="886"/>
      <c r="AC752" s="886"/>
      <c r="AD752" s="886"/>
      <c r="AE752" s="886"/>
      <c r="AF752" s="886"/>
      <c r="AG752" s="886"/>
      <c r="BB752" s="950"/>
      <c r="BC752" s="796"/>
      <c r="BD752" s="900"/>
      <c r="BE752" s="797"/>
    </row>
    <row r="753" spans="1:57" s="614" customFormat="1" ht="14.45" hidden="1" customHeight="1" outlineLevel="1" x14ac:dyDescent="0.25">
      <c r="A753" s="2038"/>
      <c r="B753" s="493"/>
      <c r="C753" s="455"/>
      <c r="D753" s="2813"/>
      <c r="E753" s="2847"/>
      <c r="F753" s="2780" t="str">
        <f t="shared" si="70"/>
        <v>CAC - SEER 20 ER2: SF</v>
      </c>
      <c r="G753" s="2781"/>
      <c r="H753" s="2782"/>
      <c r="I753" s="951"/>
      <c r="J753" s="610"/>
      <c r="K753" s="95">
        <f t="shared" si="71"/>
        <v>3</v>
      </c>
      <c r="L753" s="954"/>
      <c r="M753" s="455"/>
      <c r="N753" s="2028"/>
      <c r="O753" s="455"/>
      <c r="P753" s="493"/>
      <c r="Q753" s="493"/>
      <c r="R753" s="493"/>
      <c r="S753" s="493"/>
      <c r="T753" s="493"/>
      <c r="U753" s="493"/>
      <c r="V753" s="2847"/>
      <c r="W753" s="886"/>
      <c r="X753" s="978"/>
      <c r="Y753" s="979"/>
      <c r="Z753" s="906"/>
      <c r="AA753" s="886"/>
      <c r="AB753" s="886"/>
      <c r="AC753" s="886"/>
      <c r="AD753" s="886"/>
      <c r="AE753" s="886"/>
      <c r="AF753" s="886"/>
      <c r="AG753" s="886"/>
      <c r="BB753" s="950"/>
      <c r="BC753" s="796"/>
      <c r="BD753" s="900"/>
      <c r="BE753" s="797"/>
    </row>
    <row r="754" spans="1:57" s="614" customFormat="1" ht="14.45" hidden="1" customHeight="1" outlineLevel="1" x14ac:dyDescent="0.25">
      <c r="A754" s="2038"/>
      <c r="B754" s="493"/>
      <c r="C754" s="455"/>
      <c r="D754" s="2813"/>
      <c r="E754" s="2847"/>
      <c r="F754" s="2780" t="str">
        <f t="shared" si="70"/>
        <v>CAC - SEER 20 ROF: SF</v>
      </c>
      <c r="G754" s="2781"/>
      <c r="H754" s="2782"/>
      <c r="I754" s="951"/>
      <c r="J754" s="610">
        <f>$R$200*J610</f>
        <v>1239.9999999999995</v>
      </c>
      <c r="K754" s="95">
        <f t="shared" si="71"/>
        <v>3</v>
      </c>
      <c r="L754" s="954"/>
      <c r="M754" s="455"/>
      <c r="N754" s="2028"/>
      <c r="O754" s="455"/>
      <c r="P754" s="493"/>
      <c r="Q754" s="493"/>
      <c r="R754" s="493"/>
      <c r="S754" s="493"/>
      <c r="T754" s="493"/>
      <c r="U754" s="493"/>
      <c r="V754" s="2847"/>
      <c r="W754" s="610"/>
      <c r="X754" s="979"/>
      <c r="Y754" s="979"/>
      <c r="Z754" s="906">
        <v>1239.9999999999995</v>
      </c>
      <c r="AA754" s="610"/>
      <c r="AB754" s="610"/>
      <c r="AC754" s="610"/>
      <c r="AD754" s="610"/>
      <c r="AE754" s="610"/>
      <c r="AF754" s="610"/>
      <c r="AG754" s="610"/>
      <c r="BB754" s="950"/>
      <c r="BC754" s="796"/>
      <c r="BD754" s="900"/>
      <c r="BE754" s="797"/>
    </row>
    <row r="755" spans="1:57" s="614" customFormat="1" ht="14.45" hidden="1" customHeight="1" outlineLevel="1" x14ac:dyDescent="0.25">
      <c r="A755" s="2038"/>
      <c r="B755" s="493"/>
      <c r="C755" s="455"/>
      <c r="D755" s="2813"/>
      <c r="E755" s="2847"/>
      <c r="F755" s="2780" t="str">
        <f t="shared" si="70"/>
        <v>CAC - SEER 20 ER1: MF</v>
      </c>
      <c r="G755" s="2781"/>
      <c r="H755" s="2782"/>
      <c r="I755" s="951"/>
      <c r="J755" s="610">
        <f>(($R$207/3*K755)+$R$200)-(($Q$207/3*K755)/((1+$R$209)^($R$210-1)))*J611</f>
        <v>1538.0391284569391</v>
      </c>
      <c r="K755" s="95">
        <f t="shared" si="71"/>
        <v>2</v>
      </c>
      <c r="L755" s="954"/>
      <c r="M755" s="455"/>
      <c r="N755" s="2028"/>
      <c r="O755" s="455"/>
      <c r="P755" s="493"/>
      <c r="Q755" s="493"/>
      <c r="R755" s="493"/>
      <c r="S755" s="493"/>
      <c r="T755" s="493"/>
      <c r="U755" s="493"/>
      <c r="V755" s="2847"/>
      <c r="W755" s="886"/>
      <c r="X755" s="979"/>
      <c r="Y755" s="979"/>
      <c r="Z755" s="906">
        <v>1538.0391284569391</v>
      </c>
      <c r="AA755" s="886"/>
      <c r="AB755" s="886"/>
      <c r="AC755" s="886"/>
      <c r="AD755" s="886"/>
      <c r="AE755" s="886"/>
      <c r="AF755" s="886"/>
      <c r="AG755" s="886"/>
      <c r="BB755" s="950"/>
      <c r="BC755" s="796"/>
      <c r="BD755" s="900"/>
      <c r="BE755" s="797"/>
    </row>
    <row r="756" spans="1:57" s="614" customFormat="1" ht="14.45" hidden="1" customHeight="1" outlineLevel="1" x14ac:dyDescent="0.25">
      <c r="A756" s="2038"/>
      <c r="B756" s="493"/>
      <c r="C756" s="455"/>
      <c r="D756" s="2813"/>
      <c r="E756" s="2847"/>
      <c r="F756" s="2780" t="str">
        <f t="shared" si="70"/>
        <v>CAC - SEER 20 ER2: MF</v>
      </c>
      <c r="G756" s="2781"/>
      <c r="H756" s="2782"/>
      <c r="I756" s="951"/>
      <c r="J756" s="610"/>
      <c r="K756" s="95">
        <f t="shared" si="71"/>
        <v>2</v>
      </c>
      <c r="L756" s="954"/>
      <c r="M756" s="455"/>
      <c r="N756" s="2028"/>
      <c r="O756" s="455"/>
      <c r="P756" s="493"/>
      <c r="Q756" s="493"/>
      <c r="R756" s="493"/>
      <c r="S756" s="493"/>
      <c r="T756" s="493"/>
      <c r="U756" s="493"/>
      <c r="V756" s="2847"/>
      <c r="W756" s="886"/>
      <c r="X756" s="978"/>
      <c r="Y756" s="979"/>
      <c r="Z756" s="906"/>
      <c r="AA756" s="886"/>
      <c r="AB756" s="886"/>
      <c r="AC756" s="886"/>
      <c r="AD756" s="886"/>
      <c r="AE756" s="886"/>
      <c r="AF756" s="886"/>
      <c r="AG756" s="886"/>
      <c r="BB756" s="950"/>
      <c r="BC756" s="796"/>
      <c r="BD756" s="900"/>
      <c r="BE756" s="797"/>
    </row>
    <row r="757" spans="1:57" s="614" customFormat="1" ht="14.45" hidden="1" customHeight="1" outlineLevel="1" x14ac:dyDescent="0.25">
      <c r="A757" s="2038"/>
      <c r="B757" s="493"/>
      <c r="C757" s="455"/>
      <c r="D757" s="2813"/>
      <c r="E757" s="2847"/>
      <c r="F757" s="2780" t="str">
        <f t="shared" si="70"/>
        <v>CAC - SEER 20 ER1: MF_CompE</v>
      </c>
      <c r="G757" s="2781"/>
      <c r="H757" s="2782"/>
      <c r="I757" s="951"/>
      <c r="J757" s="610">
        <f>(($R$207/3*K757)+$R$200)-(($Q$207/3*K757)/((1+$R$209)^($R$210-1)))*J613</f>
        <v>1538.0391284569391</v>
      </c>
      <c r="K757" s="95">
        <f t="shared" si="71"/>
        <v>2</v>
      </c>
      <c r="L757" s="954"/>
      <c r="M757" s="455"/>
      <c r="N757" s="2028"/>
      <c r="O757" s="455"/>
      <c r="P757" s="493"/>
      <c r="Q757" s="493"/>
      <c r="R757" s="493"/>
      <c r="S757" s="493"/>
      <c r="T757" s="493"/>
      <c r="U757" s="493"/>
      <c r="V757" s="2847"/>
      <c r="W757" s="886"/>
      <c r="X757" s="978"/>
      <c r="Y757" s="979"/>
      <c r="Z757" s="906">
        <v>1538.0391284569391</v>
      </c>
      <c r="AA757" s="886"/>
      <c r="AB757" s="886"/>
      <c r="AC757" s="886"/>
      <c r="AD757" s="886"/>
      <c r="AE757" s="886"/>
      <c r="AF757" s="886"/>
      <c r="AG757" s="886"/>
      <c r="BB757" s="950"/>
      <c r="BC757" s="796"/>
      <c r="BD757" s="900"/>
      <c r="BE757" s="797"/>
    </row>
    <row r="758" spans="1:57" s="614" customFormat="1" ht="14.45" hidden="1" customHeight="1" outlineLevel="1" x14ac:dyDescent="0.25">
      <c r="A758" s="2038"/>
      <c r="B758" s="493"/>
      <c r="C758" s="455"/>
      <c r="D758" s="2813"/>
      <c r="E758" s="2847"/>
      <c r="F758" s="2780" t="str">
        <f t="shared" si="70"/>
        <v>CAC - SEER 20 ER2: MF_CompE</v>
      </c>
      <c r="G758" s="2781"/>
      <c r="H758" s="2782"/>
      <c r="I758" s="951"/>
      <c r="J758" s="610"/>
      <c r="K758" s="95">
        <f t="shared" si="71"/>
        <v>2</v>
      </c>
      <c r="L758" s="954"/>
      <c r="M758" s="455"/>
      <c r="N758" s="2028"/>
      <c r="O758" s="455"/>
      <c r="P758" s="493"/>
      <c r="Q758" s="493"/>
      <c r="R758" s="493"/>
      <c r="S758" s="493"/>
      <c r="T758" s="493"/>
      <c r="U758" s="493"/>
      <c r="V758" s="2847"/>
      <c r="W758" s="886"/>
      <c r="X758" s="978"/>
      <c r="Y758" s="979"/>
      <c r="Z758" s="906"/>
      <c r="AA758" s="886"/>
      <c r="AB758" s="886"/>
      <c r="AC758" s="886"/>
      <c r="AD758" s="886"/>
      <c r="AE758" s="886"/>
      <c r="AF758" s="886"/>
      <c r="AG758" s="886"/>
      <c r="BB758" s="950"/>
      <c r="BC758" s="796"/>
      <c r="BD758" s="900"/>
      <c r="BE758" s="797"/>
    </row>
    <row r="759" spans="1:57" s="614" customFormat="1" ht="14.45" hidden="1" customHeight="1" outlineLevel="1" x14ac:dyDescent="0.25">
      <c r="A759" s="2038"/>
      <c r="B759" s="493"/>
      <c r="C759" s="455"/>
      <c r="D759" s="2813"/>
      <c r="E759" s="2847"/>
      <c r="F759" s="2780" t="str">
        <f t="shared" si="70"/>
        <v>CAC - SEER 20 ROF: MF</v>
      </c>
      <c r="G759" s="2781"/>
      <c r="H759" s="2782"/>
      <c r="I759" s="951"/>
      <c r="J759" s="610">
        <f>$R$200*J615</f>
        <v>1239.9999999999995</v>
      </c>
      <c r="K759" s="95">
        <f t="shared" si="71"/>
        <v>2</v>
      </c>
      <c r="L759" s="954"/>
      <c r="M759" s="455"/>
      <c r="N759" s="2028"/>
      <c r="O759" s="455"/>
      <c r="P759" s="493"/>
      <c r="Q759" s="493"/>
      <c r="R759" s="493"/>
      <c r="S759" s="493"/>
      <c r="T759" s="493"/>
      <c r="U759" s="493"/>
      <c r="V759" s="2847"/>
      <c r="W759" s="610"/>
      <c r="X759" s="979"/>
      <c r="Y759" s="979"/>
      <c r="Z759" s="906">
        <v>1239.9999999999995</v>
      </c>
      <c r="AA759" s="610"/>
      <c r="AB759" s="610"/>
      <c r="AC759" s="610"/>
      <c r="AD759" s="610"/>
      <c r="AE759" s="610"/>
      <c r="AF759" s="610"/>
      <c r="AG759" s="610"/>
      <c r="BB759" s="950"/>
      <c r="BC759" s="796"/>
      <c r="BD759" s="900"/>
      <c r="BE759" s="797"/>
    </row>
    <row r="760" spans="1:57" s="614" customFormat="1" ht="14.45" hidden="1" customHeight="1" outlineLevel="1" x14ac:dyDescent="0.25">
      <c r="A760" s="2038"/>
      <c r="B760" s="493"/>
      <c r="C760" s="455"/>
      <c r="D760" s="2813"/>
      <c r="E760" s="2847"/>
      <c r="F760" s="2780" t="str">
        <f t="shared" si="70"/>
        <v>CAC - SEER 20 ROF: MF_CompE</v>
      </c>
      <c r="G760" s="2781"/>
      <c r="H760" s="2782"/>
      <c r="I760" s="951"/>
      <c r="J760" s="610">
        <f>$R$200*J616</f>
        <v>1239.9999999999995</v>
      </c>
      <c r="K760" s="95">
        <f t="shared" si="71"/>
        <v>2</v>
      </c>
      <c r="L760" s="954"/>
      <c r="M760" s="455"/>
      <c r="N760" s="2028"/>
      <c r="O760" s="455"/>
      <c r="P760" s="493"/>
      <c r="Q760" s="493"/>
      <c r="R760" s="493"/>
      <c r="S760" s="493"/>
      <c r="T760" s="493"/>
      <c r="U760" s="493"/>
      <c r="V760" s="2847"/>
      <c r="W760" s="610"/>
      <c r="X760" s="979"/>
      <c r="Y760" s="979"/>
      <c r="Z760" s="906">
        <v>1239.9999999999995</v>
      </c>
      <c r="AA760" s="610"/>
      <c r="AB760" s="610"/>
      <c r="AC760" s="610"/>
      <c r="AD760" s="610"/>
      <c r="AE760" s="610"/>
      <c r="AF760" s="610"/>
      <c r="AG760" s="610"/>
      <c r="BB760" s="950"/>
      <c r="BC760" s="796"/>
      <c r="BD760" s="900"/>
      <c r="BE760" s="797"/>
    </row>
    <row r="761" spans="1:57" s="614" customFormat="1" ht="14.45" hidden="1" customHeight="1" outlineLevel="1" x14ac:dyDescent="0.25">
      <c r="A761" s="2038"/>
      <c r="B761" s="493"/>
      <c r="C761" s="455"/>
      <c r="D761" s="2813"/>
      <c r="E761" s="2847"/>
      <c r="F761" s="2780" t="str">
        <f t="shared" si="70"/>
        <v>CAC - SEER 21+ ER1: SF</v>
      </c>
      <c r="G761" s="2781"/>
      <c r="H761" s="2782"/>
      <c r="I761" s="951"/>
      <c r="J761" s="610">
        <f>(($R$207/3*K761)+$R$201)-(($Q$207/3*K761)/((1+$R$209)^($R$210-1)))*J617</f>
        <v>1893.7253593520759</v>
      </c>
      <c r="K761" s="95">
        <f t="shared" si="71"/>
        <v>3</v>
      </c>
      <c r="L761" s="954"/>
      <c r="M761" s="455"/>
      <c r="N761" s="2028"/>
      <c r="O761" s="455"/>
      <c r="P761" s="493"/>
      <c r="Q761" s="493"/>
      <c r="R761" s="493"/>
      <c r="S761" s="493"/>
      <c r="T761" s="493"/>
      <c r="U761" s="493"/>
      <c r="V761" s="2847"/>
      <c r="W761" s="886"/>
      <c r="X761" s="979"/>
      <c r="Y761" s="979"/>
      <c r="Z761" s="906">
        <v>1893.7253593520759</v>
      </c>
      <c r="AA761" s="886"/>
      <c r="AB761" s="886"/>
      <c r="AC761" s="886"/>
      <c r="AD761" s="886"/>
      <c r="AE761" s="886"/>
      <c r="AF761" s="886"/>
      <c r="AG761" s="886"/>
      <c r="BB761" s="950"/>
      <c r="BC761" s="796"/>
      <c r="BD761" s="900"/>
      <c r="BE761" s="797"/>
    </row>
    <row r="762" spans="1:57" s="614" customFormat="1" ht="14.45" hidden="1" customHeight="1" outlineLevel="1" x14ac:dyDescent="0.25">
      <c r="A762" s="2038"/>
      <c r="B762" s="493"/>
      <c r="C762" s="455"/>
      <c r="D762" s="2813"/>
      <c r="E762" s="2847"/>
      <c r="F762" s="2780" t="str">
        <f t="shared" si="70"/>
        <v>CAC - SEER 21+ ER2: SF</v>
      </c>
      <c r="G762" s="2781"/>
      <c r="H762" s="2782"/>
      <c r="I762" s="951"/>
      <c r="J762" s="610"/>
      <c r="K762" s="95">
        <f t="shared" ref="K762:K769" si="72">K330*J618</f>
        <v>3</v>
      </c>
      <c r="L762" s="954"/>
      <c r="M762" s="455"/>
      <c r="N762" s="2028"/>
      <c r="O762" s="455"/>
      <c r="P762" s="493"/>
      <c r="Q762" s="493"/>
      <c r="R762" s="493"/>
      <c r="S762" s="493"/>
      <c r="T762" s="493"/>
      <c r="U762" s="493"/>
      <c r="V762" s="2847"/>
      <c r="W762" s="886"/>
      <c r="X762" s="978"/>
      <c r="Y762" s="979"/>
      <c r="Z762" s="906"/>
      <c r="AA762" s="886"/>
      <c r="AB762" s="886"/>
      <c r="AC762" s="886"/>
      <c r="AD762" s="886"/>
      <c r="AE762" s="886"/>
      <c r="AF762" s="886"/>
      <c r="AG762" s="886"/>
      <c r="BB762" s="950"/>
      <c r="BC762" s="796"/>
      <c r="BD762" s="900"/>
      <c r="BE762" s="797"/>
    </row>
    <row r="763" spans="1:57" s="614" customFormat="1" ht="14.45" hidden="1" customHeight="1" outlineLevel="1" x14ac:dyDescent="0.25">
      <c r="A763" s="2038"/>
      <c r="B763" s="493"/>
      <c r="C763" s="455"/>
      <c r="D763" s="2813"/>
      <c r="E763" s="2847"/>
      <c r="F763" s="2780" t="str">
        <f t="shared" si="70"/>
        <v>CAC - SEER 21+ ROF: SF</v>
      </c>
      <c r="G763" s="2781"/>
      <c r="H763" s="2782"/>
      <c r="I763" s="951"/>
      <c r="J763" s="610">
        <f>$R$201*J619</f>
        <v>1446.6666666666663</v>
      </c>
      <c r="K763" s="95">
        <f t="shared" si="72"/>
        <v>3</v>
      </c>
      <c r="L763" s="954"/>
      <c r="M763" s="455"/>
      <c r="N763" s="2028"/>
      <c r="O763" s="455"/>
      <c r="P763" s="493"/>
      <c r="Q763" s="493"/>
      <c r="R763" s="493"/>
      <c r="S763" s="493"/>
      <c r="T763" s="493"/>
      <c r="U763" s="493"/>
      <c r="V763" s="2847"/>
      <c r="W763" s="886"/>
      <c r="X763" s="979"/>
      <c r="Y763" s="979"/>
      <c r="Z763" s="906">
        <v>1446.6666666666663</v>
      </c>
      <c r="AA763" s="886"/>
      <c r="AB763" s="886"/>
      <c r="AC763" s="886"/>
      <c r="AD763" s="886"/>
      <c r="AE763" s="886"/>
      <c r="AF763" s="886"/>
      <c r="AG763" s="886"/>
      <c r="BB763" s="950"/>
      <c r="BC763" s="796"/>
      <c r="BD763" s="900"/>
      <c r="BE763" s="797"/>
    </row>
    <row r="764" spans="1:57" s="614" customFormat="1" ht="14.45" hidden="1" customHeight="1" outlineLevel="1" x14ac:dyDescent="0.25">
      <c r="A764" s="2038"/>
      <c r="B764" s="493"/>
      <c r="C764" s="455"/>
      <c r="D764" s="2813"/>
      <c r="E764" s="2847"/>
      <c r="F764" s="2780" t="str">
        <f t="shared" si="70"/>
        <v>CAC - SEER 21+ ER1: MF</v>
      </c>
      <c r="G764" s="2781"/>
      <c r="H764" s="2782"/>
      <c r="I764" s="951"/>
      <c r="J764" s="610">
        <f>(($R$207/3*K764)+$R$201)-(($Q$207/3*K764)/((1+$R$209)^($R$210-1)))*J620</f>
        <v>1744.7057951236061</v>
      </c>
      <c r="K764" s="95">
        <f t="shared" si="72"/>
        <v>2</v>
      </c>
      <c r="L764" s="954"/>
      <c r="M764" s="455"/>
      <c r="N764" s="2028"/>
      <c r="O764" s="455"/>
      <c r="P764" s="493"/>
      <c r="Q764" s="493"/>
      <c r="R764" s="493"/>
      <c r="S764" s="493"/>
      <c r="T764" s="493"/>
      <c r="U764" s="493"/>
      <c r="V764" s="2847"/>
      <c r="W764" s="886"/>
      <c r="X764" s="979"/>
      <c r="Y764" s="979"/>
      <c r="Z764" s="906">
        <v>1744.7057951236061</v>
      </c>
      <c r="AA764" s="886"/>
      <c r="AB764" s="886"/>
      <c r="AC764" s="886"/>
      <c r="AD764" s="886"/>
      <c r="AE764" s="886"/>
      <c r="AF764" s="886"/>
      <c r="AG764" s="886"/>
      <c r="BB764" s="950"/>
      <c r="BC764" s="796"/>
      <c r="BD764" s="900"/>
      <c r="BE764" s="797"/>
    </row>
    <row r="765" spans="1:57" s="614" customFormat="1" ht="14.45" hidden="1" customHeight="1" outlineLevel="1" x14ac:dyDescent="0.25">
      <c r="A765" s="2038"/>
      <c r="B765" s="493"/>
      <c r="C765" s="455"/>
      <c r="D765" s="2813"/>
      <c r="E765" s="2847"/>
      <c r="F765" s="2780" t="str">
        <f t="shared" si="70"/>
        <v>CAC - SEER 21+ ER2: MF</v>
      </c>
      <c r="G765" s="2781"/>
      <c r="H765" s="2782"/>
      <c r="I765" s="951"/>
      <c r="J765" s="610"/>
      <c r="K765" s="95">
        <f t="shared" si="72"/>
        <v>2</v>
      </c>
      <c r="L765" s="954"/>
      <c r="M765" s="455"/>
      <c r="N765" s="2028"/>
      <c r="O765" s="455"/>
      <c r="P765" s="493"/>
      <c r="Q765" s="493"/>
      <c r="R765" s="493"/>
      <c r="S765" s="493"/>
      <c r="T765" s="493"/>
      <c r="U765" s="493"/>
      <c r="V765" s="2847"/>
      <c r="W765" s="886"/>
      <c r="X765" s="978"/>
      <c r="Y765" s="979"/>
      <c r="Z765" s="906"/>
      <c r="AA765" s="886"/>
      <c r="AB765" s="886"/>
      <c r="AC765" s="886"/>
      <c r="AD765" s="886"/>
      <c r="AE765" s="886"/>
      <c r="AF765" s="886"/>
      <c r="AG765" s="886"/>
      <c r="BB765" s="950"/>
      <c r="BC765" s="796"/>
      <c r="BD765" s="900"/>
      <c r="BE765" s="797"/>
    </row>
    <row r="766" spans="1:57" s="614" customFormat="1" ht="14.45" hidden="1" customHeight="1" outlineLevel="1" x14ac:dyDescent="0.25">
      <c r="A766" s="2038"/>
      <c r="B766" s="493"/>
      <c r="C766" s="455"/>
      <c r="D766" s="2813"/>
      <c r="E766" s="2847"/>
      <c r="F766" s="2780" t="str">
        <f t="shared" si="70"/>
        <v>CAC - SEER 21+ ER1: MF_CompE</v>
      </c>
      <c r="G766" s="2781"/>
      <c r="H766" s="2782"/>
      <c r="I766" s="956"/>
      <c r="J766" s="610">
        <f>(($R$207/3*K766)+$R$201)-(($Q$207/3*K766)/((1+$R$209)^($R$210-1)))*J622</f>
        <v>1744.7057951236061</v>
      </c>
      <c r="K766" s="95">
        <f t="shared" si="72"/>
        <v>2</v>
      </c>
      <c r="L766" s="958"/>
      <c r="M766" s="455"/>
      <c r="N766" s="2028"/>
      <c r="O766" s="455"/>
      <c r="P766" s="493"/>
      <c r="Q766" s="493"/>
      <c r="R766" s="493"/>
      <c r="S766" s="493"/>
      <c r="T766" s="493"/>
      <c r="U766" s="493"/>
      <c r="V766" s="2847"/>
      <c r="W766" s="980"/>
      <c r="X766" s="981"/>
      <c r="Y766" s="982"/>
      <c r="Z766" s="906">
        <v>1744.7057951236061</v>
      </c>
      <c r="AA766" s="980"/>
      <c r="AB766" s="980"/>
      <c r="AC766" s="980"/>
      <c r="AD766" s="980"/>
      <c r="AE766" s="980"/>
      <c r="AF766" s="980"/>
      <c r="AG766" s="980"/>
      <c r="BB766" s="950"/>
      <c r="BC766" s="796"/>
      <c r="BD766" s="900"/>
      <c r="BE766" s="797"/>
    </row>
    <row r="767" spans="1:57" s="614" customFormat="1" ht="14.45" hidden="1" customHeight="1" outlineLevel="1" x14ac:dyDescent="0.25">
      <c r="A767" s="2038"/>
      <c r="B767" s="493"/>
      <c r="C767" s="455"/>
      <c r="D767" s="2813"/>
      <c r="E767" s="2847"/>
      <c r="F767" s="2780" t="str">
        <f t="shared" si="70"/>
        <v>CAC - SEER 21+ ER2: MF_CompE</v>
      </c>
      <c r="G767" s="2781"/>
      <c r="H767" s="2782"/>
      <c r="I767" s="956"/>
      <c r="J767" s="998"/>
      <c r="K767" s="95">
        <f t="shared" si="72"/>
        <v>2</v>
      </c>
      <c r="L767" s="958"/>
      <c r="M767" s="455"/>
      <c r="N767" s="2028"/>
      <c r="O767" s="455"/>
      <c r="P767" s="493"/>
      <c r="Q767" s="493"/>
      <c r="R767" s="493"/>
      <c r="S767" s="493"/>
      <c r="T767" s="493"/>
      <c r="U767" s="493"/>
      <c r="V767" s="2847"/>
      <c r="W767" s="980"/>
      <c r="X767" s="981"/>
      <c r="Y767" s="982"/>
      <c r="Z767" s="2594"/>
      <c r="AA767" s="980"/>
      <c r="AB767" s="980"/>
      <c r="AC767" s="980"/>
      <c r="AD767" s="980"/>
      <c r="AE767" s="980"/>
      <c r="AF767" s="980"/>
      <c r="AG767" s="980"/>
      <c r="BB767" s="950"/>
      <c r="BC767" s="796"/>
      <c r="BD767" s="900"/>
      <c r="BE767" s="797"/>
    </row>
    <row r="768" spans="1:57" s="614" customFormat="1" ht="14.45" hidden="1" customHeight="1" outlineLevel="1" x14ac:dyDescent="0.25">
      <c r="A768" s="2038"/>
      <c r="B768" s="493"/>
      <c r="C768" s="455"/>
      <c r="D768" s="2813"/>
      <c r="E768" s="2847"/>
      <c r="F768" s="2780" t="str">
        <f t="shared" si="70"/>
        <v>CAC - SEER 21+ ROF: MF</v>
      </c>
      <c r="G768" s="2781"/>
      <c r="H768" s="2782"/>
      <c r="I768" s="956"/>
      <c r="J768" s="610">
        <f>$R$201*J624</f>
        <v>1446.6666666666663</v>
      </c>
      <c r="K768" s="95">
        <f t="shared" si="72"/>
        <v>2</v>
      </c>
      <c r="L768" s="958"/>
      <c r="M768" s="455"/>
      <c r="N768" s="2028"/>
      <c r="O768" s="455"/>
      <c r="P768" s="493"/>
      <c r="Q768" s="493"/>
      <c r="R768" s="493"/>
      <c r="S768" s="493"/>
      <c r="T768" s="493"/>
      <c r="U768" s="493"/>
      <c r="V768" s="2847"/>
      <c r="W768" s="980"/>
      <c r="X768" s="982"/>
      <c r="Y768" s="982"/>
      <c r="Z768" s="906">
        <v>1446.6666666666663</v>
      </c>
      <c r="AA768" s="980"/>
      <c r="AB768" s="980"/>
      <c r="AC768" s="980"/>
      <c r="AD768" s="980"/>
      <c r="AE768" s="980"/>
      <c r="AF768" s="980"/>
      <c r="AG768" s="980"/>
      <c r="BB768" s="950"/>
      <c r="BC768" s="796"/>
      <c r="BD768" s="900"/>
      <c r="BE768" s="797"/>
    </row>
    <row r="769" spans="1:57" s="614" customFormat="1" ht="14.45" hidden="1" customHeight="1" outlineLevel="1" thickBot="1" x14ac:dyDescent="0.3">
      <c r="A769" s="2038"/>
      <c r="B769" s="493"/>
      <c r="C769" s="455"/>
      <c r="D769" s="2814"/>
      <c r="E769" s="2848"/>
      <c r="F769" s="2787" t="str">
        <f t="shared" si="70"/>
        <v>CAC - SEER 21+ ROF: MF_CompE</v>
      </c>
      <c r="G769" s="2788"/>
      <c r="H769" s="2789"/>
      <c r="I769" s="983"/>
      <c r="J769" s="2042">
        <f>$R$201*J625</f>
        <v>1446.6666666666663</v>
      </c>
      <c r="K769" s="2037">
        <f t="shared" si="72"/>
        <v>2</v>
      </c>
      <c r="L769" s="984"/>
      <c r="M769" s="455"/>
      <c r="N769" s="2028"/>
      <c r="O769" s="455"/>
      <c r="P769" s="493"/>
      <c r="Q769" s="493"/>
      <c r="R769" s="493"/>
      <c r="S769" s="493"/>
      <c r="T769" s="493"/>
      <c r="U769" s="493"/>
      <c r="V769" s="2848"/>
      <c r="W769" s="985"/>
      <c r="X769" s="986"/>
      <c r="Y769" s="986"/>
      <c r="Z769" s="2595">
        <v>1446.6666666666663</v>
      </c>
      <c r="AA769" s="985"/>
      <c r="AB769" s="985"/>
      <c r="AC769" s="985"/>
      <c r="AD769" s="985"/>
      <c r="AE769" s="985"/>
      <c r="AF769" s="985"/>
      <c r="AG769" s="985"/>
      <c r="BB769" s="950"/>
      <c r="BC769" s="796"/>
      <c r="BD769" s="900"/>
      <c r="BE769" s="797"/>
    </row>
    <row r="770" spans="1:57" collapsed="1" x14ac:dyDescent="0.25">
      <c r="I770" s="177" t="s">
        <v>1297</v>
      </c>
      <c r="L770" s="455"/>
      <c r="M770" s="455"/>
      <c r="N770" s="455"/>
      <c r="O770" s="455"/>
      <c r="P770" s="455"/>
      <c r="Q770" s="455"/>
      <c r="V770" s="65"/>
      <c r="W770" s="65"/>
      <c r="X770" s="65"/>
      <c r="Y770" s="65"/>
      <c r="Z770" s="65"/>
      <c r="BC770" s="796"/>
      <c r="BD770" s="900"/>
      <c r="BE770" s="797"/>
    </row>
    <row r="771" spans="1:57" x14ac:dyDescent="0.25">
      <c r="H771" s="455"/>
      <c r="I771" s="455"/>
      <c r="J771" s="455"/>
      <c r="K771" s="455"/>
      <c r="L771" s="455"/>
      <c r="M771" s="455"/>
      <c r="BC771" s="796"/>
      <c r="BD771" s="900"/>
      <c r="BE771" s="797"/>
    </row>
    <row r="772" spans="1:57" s="65" customFormat="1" x14ac:dyDescent="0.25">
      <c r="A772" s="785"/>
      <c r="B772" s="1636" t="s">
        <v>3358</v>
      </c>
      <c r="C772" s="987"/>
      <c r="D772" s="1637"/>
      <c r="E772" s="1637"/>
      <c r="F772" s="1637"/>
      <c r="G772" s="1637"/>
      <c r="H772" s="1637"/>
      <c r="I772" s="1637"/>
      <c r="J772" s="1637"/>
      <c r="K772" s="1637"/>
      <c r="L772" s="1637"/>
      <c r="M772" s="1637"/>
      <c r="N772" s="2043"/>
      <c r="O772" s="2043"/>
      <c r="P772" s="2043"/>
      <c r="Q772" s="2044"/>
      <c r="R772" s="177"/>
      <c r="S772" s="177"/>
      <c r="T772" s="177"/>
      <c r="U772" s="177"/>
      <c r="V772" s="2639" t="str">
        <f>B772</f>
        <v>Ductless Heat Pumps and Air Conditioners</v>
      </c>
      <c r="W772" s="2640"/>
      <c r="X772" s="2640"/>
      <c r="Y772" s="2640"/>
      <c r="Z772" s="2640"/>
      <c r="AA772" s="2640"/>
      <c r="AB772" s="2640"/>
      <c r="AC772" s="2615"/>
      <c r="AD772" s="2615"/>
      <c r="AE772" s="2615"/>
      <c r="AF772" s="2615"/>
      <c r="AG772" s="2615"/>
      <c r="AH772" s="2616"/>
      <c r="BB772" s="784"/>
      <c r="BC772" s="796"/>
      <c r="BD772" s="900"/>
      <c r="BE772" s="797"/>
    </row>
    <row r="773" spans="1:57" s="65" customFormat="1" x14ac:dyDescent="0.25">
      <c r="A773" s="785"/>
      <c r="B773" s="177"/>
      <c r="C773" s="455"/>
      <c r="D773" s="456" t="s">
        <v>1209</v>
      </c>
      <c r="E773" s="456"/>
      <c r="F773" s="177"/>
      <c r="G773" s="456"/>
      <c r="H773" s="455"/>
      <c r="I773" s="455"/>
      <c r="J773" s="455"/>
      <c r="K773" s="455"/>
      <c r="L773" s="455"/>
      <c r="M773" s="455"/>
      <c r="N773" s="177"/>
      <c r="O773" s="177"/>
      <c r="P773" s="177"/>
      <c r="Q773" s="177"/>
      <c r="R773" s="177"/>
      <c r="S773" s="177"/>
      <c r="T773" s="177"/>
      <c r="U773" s="177"/>
      <c r="BB773" s="784"/>
      <c r="BC773" s="796"/>
      <c r="BD773" s="900"/>
      <c r="BE773" s="797"/>
    </row>
    <row r="774" spans="1:57" s="65" customFormat="1" ht="30" x14ac:dyDescent="0.25">
      <c r="A774" s="785"/>
      <c r="B774" s="177"/>
      <c r="C774" s="1659" t="s">
        <v>17</v>
      </c>
      <c r="D774" s="1659" t="s">
        <v>662</v>
      </c>
      <c r="E774" s="1659" t="s">
        <v>19</v>
      </c>
      <c r="F774" s="1659" t="s">
        <v>20</v>
      </c>
      <c r="G774" s="1659" t="s">
        <v>21</v>
      </c>
      <c r="H774" s="1659" t="s">
        <v>22</v>
      </c>
      <c r="I774" s="1659" t="s">
        <v>23</v>
      </c>
      <c r="J774" s="1688" t="s">
        <v>24</v>
      </c>
      <c r="K774" s="1659" t="s">
        <v>25</v>
      </c>
      <c r="L774" s="1659" t="s">
        <v>1210</v>
      </c>
      <c r="M774" s="177"/>
      <c r="N774" s="177"/>
      <c r="O774" s="177"/>
      <c r="P774" s="177"/>
      <c r="Q774" s="177"/>
      <c r="R774" s="332"/>
      <c r="S774" s="332"/>
      <c r="T774" s="332"/>
      <c r="U774" s="332"/>
      <c r="V774" s="55" t="s">
        <v>27</v>
      </c>
      <c r="W774" s="56">
        <v>43252</v>
      </c>
      <c r="X774" s="56">
        <f>$X$6</f>
        <v>43465</v>
      </c>
      <c r="Y774" s="56">
        <f>$Y$6</f>
        <v>43800</v>
      </c>
      <c r="Z774" s="56">
        <f>$Z$6</f>
        <v>43862</v>
      </c>
      <c r="AA774" s="56" t="str">
        <f>$AA$6</f>
        <v>-</v>
      </c>
      <c r="AB774" s="56" t="str">
        <f>$AB$6</f>
        <v>-</v>
      </c>
      <c r="AC774" s="56" t="str">
        <f>$AC$6</f>
        <v>-</v>
      </c>
      <c r="AD774" s="56" t="str">
        <f>$AD$6</f>
        <v>-</v>
      </c>
      <c r="AE774" s="56" t="str">
        <f>$AE$6</f>
        <v>-</v>
      </c>
      <c r="AF774" s="56" t="str">
        <f>$AF$6</f>
        <v>-</v>
      </c>
      <c r="AG774" s="56" t="str">
        <f>$AG$6</f>
        <v>-</v>
      </c>
      <c r="BB774" s="103" t="str">
        <f>$BB$6</f>
        <v>TRC (2020)</v>
      </c>
      <c r="BC774" s="103" t="str">
        <f>$BC$6</f>
        <v>Benefit Lookup</v>
      </c>
      <c r="BD774" s="883" t="str">
        <f>$BD$6</f>
        <v>Benefits (2019 $)</v>
      </c>
      <c r="BE774" s="334" t="str">
        <f>$BE$6</f>
        <v>Incremental Cost (2019 $)</v>
      </c>
    </row>
    <row r="775" spans="1:57" s="65" customFormat="1" x14ac:dyDescent="0.25">
      <c r="A775" s="785"/>
      <c r="B775" s="177"/>
      <c r="C775" s="1942" t="s">
        <v>1298</v>
      </c>
      <c r="D775" s="1927" t="s">
        <v>795</v>
      </c>
      <c r="E775" s="884" t="s">
        <v>1299</v>
      </c>
      <c r="F775" s="988">
        <f>ROUND((($J$950*$J$971*(1/$J$1013-1/$J$1034))/1000)*$J$1055,2)</f>
        <v>1320.98</v>
      </c>
      <c r="G775" s="2045" t="s">
        <v>737</v>
      </c>
      <c r="H775" s="239">
        <f>VLOOKUP(G775,'CP FACTORS'!$A$3:$B$38, 2, FALSE)</f>
        <v>9.4741810000000004E-4</v>
      </c>
      <c r="I775" s="2046">
        <f>ROUND(F775*H775,6)</f>
        <v>1.25152</v>
      </c>
      <c r="J775" s="157">
        <f t="shared" ref="J775:J793" si="73">J1106</f>
        <v>6</v>
      </c>
      <c r="K775" s="610">
        <f t="shared" ref="K775:K793" si="74">J1140</f>
        <v>2108</v>
      </c>
      <c r="L775" s="340">
        <f>K951</f>
        <v>1.5</v>
      </c>
      <c r="M775" s="2047"/>
      <c r="N775" s="177"/>
      <c r="O775" s="177"/>
      <c r="P775" s="177"/>
      <c r="Q775" s="177"/>
      <c r="R775" s="1894"/>
      <c r="S775" s="332"/>
      <c r="T775" s="332"/>
      <c r="U775" s="332"/>
      <c r="V775" s="245" t="s">
        <v>20</v>
      </c>
      <c r="W775" s="989">
        <v>2022.4940476190473</v>
      </c>
      <c r="X775" s="888">
        <v>1807.7600345274061</v>
      </c>
      <c r="Y775" s="990">
        <v>1320.98</v>
      </c>
      <c r="Z775" s="991"/>
      <c r="AA775" s="64"/>
      <c r="AB775" s="64"/>
      <c r="AC775" s="64"/>
      <c r="AD775" s="64"/>
      <c r="AE775" s="64"/>
      <c r="AF775" s="64"/>
      <c r="AG775" s="64"/>
      <c r="AH775" s="248"/>
      <c r="AI775" s="248"/>
      <c r="BB775" s="345">
        <f>(BD775+BD776)/(BE775+BE776)</f>
        <v>0.6154002412685371</v>
      </c>
      <c r="BC775" s="884" t="str">
        <f t="shared" ref="BC775:BC825" si="75">CONCATENATE(G775," ",J775," Year EUL")</f>
        <v>Cooling RES 6 Year EUL</v>
      </c>
      <c r="BD775" s="891">
        <f>(INDEX('Avoided Cost Benefits'!$C$4:$C$857,MATCH(BC775,'Avoided Cost Benefits'!$A$4:$A$857,0)))*F775</f>
        <v>768.12894955388606</v>
      </c>
      <c r="BE775" s="70">
        <f t="shared" ref="BE775:BE825" si="76">K775/(1.0595^(2020-2019))</f>
        <v>1989.617744218971</v>
      </c>
    </row>
    <row r="776" spans="1:57" s="65" customFormat="1" x14ac:dyDescent="0.25">
      <c r="A776" s="785"/>
      <c r="B776" s="177"/>
      <c r="C776" s="1942" t="s">
        <v>1298</v>
      </c>
      <c r="D776" s="2016" t="s">
        <v>795</v>
      </c>
      <c r="E776" s="892" t="s">
        <v>1300</v>
      </c>
      <c r="F776" s="988">
        <f>ROUND((($J$950*$J$971*(1/$J$992-1/$J$1034))/1000)*$J$1056,2)</f>
        <v>385.92</v>
      </c>
      <c r="G776" s="2045" t="s">
        <v>1214</v>
      </c>
      <c r="H776" s="239">
        <f>VLOOKUP(G776,'CP FACTORS'!$A$3:$B$38, 2, FALSE)</f>
        <v>9.4741810000000004E-4</v>
      </c>
      <c r="I776" s="2046">
        <f t="shared" ref="I776:I825" si="77">ROUND(F776*H776,6)</f>
        <v>0.36562800000000001</v>
      </c>
      <c r="J776" s="157">
        <f t="shared" si="73"/>
        <v>12</v>
      </c>
      <c r="K776" s="610">
        <f t="shared" si="74"/>
        <v>0</v>
      </c>
      <c r="L776" s="340"/>
      <c r="M776" s="2047"/>
      <c r="N776" s="177"/>
      <c r="O776" s="177"/>
      <c r="P776" s="177"/>
      <c r="Q776" s="177"/>
      <c r="R776" s="1894"/>
      <c r="S776" s="332"/>
      <c r="T776" s="332"/>
      <c r="U776" s="332"/>
      <c r="V776" s="245" t="s">
        <v>20</v>
      </c>
      <c r="W776" s="989">
        <v>572.25082417582416</v>
      </c>
      <c r="X776" s="888">
        <v>528.13366090103261</v>
      </c>
      <c r="Y776" s="990">
        <v>385.92</v>
      </c>
      <c r="Z776" s="991"/>
      <c r="AA776" s="64"/>
      <c r="AB776" s="64"/>
      <c r="AC776" s="64"/>
      <c r="AD776" s="64"/>
      <c r="AE776" s="64"/>
      <c r="AF776" s="64"/>
      <c r="AG776" s="64"/>
      <c r="AH776" s="248"/>
      <c r="AI776" s="248"/>
      <c r="BB776" s="348"/>
      <c r="BC776" s="892" t="str">
        <f t="shared" si="75"/>
        <v>Cooling RES ER2 12 Year EUL</v>
      </c>
      <c r="BD776" s="894">
        <f>(INDEX('Avoided Cost Benefits'!$C$4:$C$857,MATCH(BC776,'Avoided Cost Benefits'!$A$4:$A$857,0)))*F776</f>
        <v>456.28229027063122</v>
      </c>
      <c r="BE776" s="74">
        <f t="shared" si="76"/>
        <v>0</v>
      </c>
    </row>
    <row r="777" spans="1:57" s="65" customFormat="1" x14ac:dyDescent="0.25">
      <c r="A777" s="785"/>
      <c r="B777" s="177"/>
      <c r="C777" s="1942" t="s">
        <v>1301</v>
      </c>
      <c r="D777" s="2016" t="s">
        <v>795</v>
      </c>
      <c r="E777" s="458" t="s">
        <v>1302</v>
      </c>
      <c r="F777" s="988">
        <f>ROUND((($J$951*$J$972*(1/$J$1014-1/$J$1035))/1000)*$J$1057,2)</f>
        <v>1320.98</v>
      </c>
      <c r="G777" s="450" t="s">
        <v>737</v>
      </c>
      <c r="H777" s="239">
        <f>VLOOKUP(G777,'CP FACTORS'!$A$3:$B$38, 2, FALSE)</f>
        <v>9.4741810000000004E-4</v>
      </c>
      <c r="I777" s="2046">
        <f t="shared" si="77"/>
        <v>1.25152</v>
      </c>
      <c r="J777" s="157">
        <f t="shared" si="73"/>
        <v>18</v>
      </c>
      <c r="K777" s="610">
        <f t="shared" si="74"/>
        <v>1545</v>
      </c>
      <c r="L777" s="340">
        <f>K951</f>
        <v>1.5</v>
      </c>
      <c r="M777" s="2047"/>
      <c r="N777" s="2048"/>
      <c r="O777" s="177"/>
      <c r="P777" s="177"/>
      <c r="Q777" s="177"/>
      <c r="R777" s="1894"/>
      <c r="S777" s="332"/>
      <c r="T777" s="332"/>
      <c r="U777" s="332"/>
      <c r="V777" s="245" t="s">
        <v>20</v>
      </c>
      <c r="W777" s="989">
        <v>1875.936507936508</v>
      </c>
      <c r="X777" s="888">
        <v>1807.7600345274061</v>
      </c>
      <c r="Y777" s="990">
        <v>1320.98</v>
      </c>
      <c r="Z777" s="991"/>
      <c r="AA777" s="64"/>
      <c r="AB777" s="64"/>
      <c r="AC777" s="64"/>
      <c r="AD777" s="64"/>
      <c r="AE777" s="64"/>
      <c r="AF777" s="64"/>
      <c r="AG777" s="64"/>
      <c r="AH777" s="248"/>
      <c r="AI777" s="248"/>
      <c r="BB777" s="2546">
        <f>(BD777)/(BE777)</f>
        <v>1.5977909169805293</v>
      </c>
      <c r="BC777" s="458" t="str">
        <f t="shared" si="75"/>
        <v>Cooling RES 18 Year EUL</v>
      </c>
      <c r="BD777" s="894">
        <f>(INDEX('Avoided Cost Benefits'!$C$4:$C$857,MATCH(BC777,'Avoided Cost Benefits'!$A$4:$A$857,0)))*F777</f>
        <v>2329.954664214174</v>
      </c>
      <c r="BE777" s="74">
        <f t="shared" si="76"/>
        <v>1458.2350165172249</v>
      </c>
    </row>
    <row r="778" spans="1:57" s="65" customFormat="1" x14ac:dyDescent="0.25">
      <c r="A778" s="785"/>
      <c r="B778" s="177"/>
      <c r="C778" s="1942" t="s">
        <v>1303</v>
      </c>
      <c r="D778" s="2016" t="s">
        <v>795</v>
      </c>
      <c r="E778" s="884" t="s">
        <v>1304</v>
      </c>
      <c r="F778" s="988">
        <f>ROUND((($J$952*$J$973*(1/$J$994-1/$J$1036))/1000)*$J$1058,2)</f>
        <v>214.85</v>
      </c>
      <c r="G778" s="450" t="s">
        <v>737</v>
      </c>
      <c r="H778" s="239">
        <f>VLOOKUP(G778,'CP FACTORS'!$A$3:$B$38, 2, FALSE)</f>
        <v>9.4741810000000004E-4</v>
      </c>
      <c r="I778" s="2046">
        <f t="shared" si="77"/>
        <v>0.20355300000000001</v>
      </c>
      <c r="J778" s="157">
        <f t="shared" si="73"/>
        <v>18</v>
      </c>
      <c r="K778" s="610">
        <f t="shared" si="74"/>
        <v>888</v>
      </c>
      <c r="L778" s="340">
        <f>K952</f>
        <v>1.5</v>
      </c>
      <c r="M778" s="2047"/>
      <c r="N778" s="2048"/>
      <c r="O778" s="177"/>
      <c r="P778" s="177"/>
      <c r="Q778" s="177"/>
      <c r="R778" s="1894"/>
      <c r="S778" s="332"/>
      <c r="T778" s="332"/>
      <c r="U778" s="332"/>
      <c r="V778" s="245" t="s">
        <v>20</v>
      </c>
      <c r="W778" s="989">
        <v>548.43293798712307</v>
      </c>
      <c r="X778" s="888">
        <v>528.13366090103261</v>
      </c>
      <c r="Y778" s="993">
        <v>214.85</v>
      </c>
      <c r="Z778" s="991"/>
      <c r="AA778" s="64"/>
      <c r="AB778" s="64"/>
      <c r="AC778" s="64"/>
      <c r="AD778" s="64"/>
      <c r="AE778" s="64"/>
      <c r="AF778" s="64"/>
      <c r="AG778" s="64"/>
      <c r="AH778" s="248"/>
      <c r="AI778" s="248"/>
      <c r="BB778" s="350">
        <f>(BD778+BD779)/(BE778+BE779)</f>
        <v>0.7354323279647752</v>
      </c>
      <c r="BC778" s="884" t="str">
        <f t="shared" si="75"/>
        <v>Cooling RES 18 Year EUL</v>
      </c>
      <c r="BD778" s="894">
        <f>(INDEX('Avoided Cost Benefits'!$C$4:$C$857,MATCH(BC778,'Avoided Cost Benefits'!$A$4:$A$857,0)))*F778</f>
        <v>378.95407924905396</v>
      </c>
      <c r="BE778" s="74">
        <f t="shared" si="76"/>
        <v>838.13119395941476</v>
      </c>
    </row>
    <row r="779" spans="1:57" s="65" customFormat="1" x14ac:dyDescent="0.25">
      <c r="A779" s="785"/>
      <c r="B779" s="177"/>
      <c r="C779" s="1942" t="s">
        <v>1303</v>
      </c>
      <c r="D779" s="2016" t="s">
        <v>795</v>
      </c>
      <c r="E779" s="892" t="s">
        <v>1304</v>
      </c>
      <c r="F779" s="988">
        <f>ROUND((($J$847*$J$868*(1/$J$889-1/$J$931))/1000)*$J$1059,2)</f>
        <v>513.91</v>
      </c>
      <c r="G779" s="450" t="s">
        <v>738</v>
      </c>
      <c r="H779" s="239">
        <f>VLOOKUP(G779,'CP FACTORS'!$A$3:$B$38, 2, FALSE)</f>
        <v>0</v>
      </c>
      <c r="I779" s="2046">
        <f t="shared" si="77"/>
        <v>0</v>
      </c>
      <c r="J779" s="157">
        <f t="shared" si="73"/>
        <v>18</v>
      </c>
      <c r="K779" s="610">
        <f t="shared" si="74"/>
        <v>0</v>
      </c>
      <c r="L779" s="340"/>
      <c r="M779" s="2047"/>
      <c r="N779" s="2048"/>
      <c r="O779" s="177"/>
      <c r="P779" s="177"/>
      <c r="Q779" s="177"/>
      <c r="R779" s="1894"/>
      <c r="S779" s="332"/>
      <c r="T779" s="332"/>
      <c r="U779" s="332"/>
      <c r="V779" s="245" t="s">
        <v>20</v>
      </c>
      <c r="W779" s="989">
        <v>1059.3684210526314</v>
      </c>
      <c r="X779" s="888">
        <v>905.10385245195232</v>
      </c>
      <c r="Y779" s="993">
        <v>513.91</v>
      </c>
      <c r="Z779" s="991"/>
      <c r="AA779" s="64"/>
      <c r="AB779" s="64"/>
      <c r="AC779" s="64"/>
      <c r="AD779" s="64"/>
      <c r="AE779" s="64"/>
      <c r="AF779" s="64"/>
      <c r="AG779" s="64"/>
      <c r="AH779" s="248"/>
      <c r="AI779" s="248"/>
      <c r="BB779" s="348"/>
      <c r="BC779" s="892" t="str">
        <f t="shared" si="75"/>
        <v>Heating RES 18 Year EUL</v>
      </c>
      <c r="BD779" s="894">
        <f>(INDEX('Avoided Cost Benefits'!$C$4:$C$857,MATCH(BC779,'Avoided Cost Benefits'!$A$4:$A$857,0)))*F779</f>
        <v>237.43469586441489</v>
      </c>
      <c r="BE779" s="74">
        <f t="shared" si="76"/>
        <v>0</v>
      </c>
    </row>
    <row r="780" spans="1:57" s="65" customFormat="1" x14ac:dyDescent="0.25">
      <c r="A780" s="785"/>
      <c r="B780" s="177"/>
      <c r="C780" s="1942" t="s">
        <v>1305</v>
      </c>
      <c r="D780" s="2016" t="s">
        <v>795</v>
      </c>
      <c r="E780" s="884" t="s">
        <v>1306</v>
      </c>
      <c r="F780" s="988">
        <f>ROUND((($J$953*$J$974*(1/$J$995-1/$J$1037))/1000)*$J$1060,2)</f>
        <v>214.85</v>
      </c>
      <c r="G780" s="450" t="s">
        <v>737</v>
      </c>
      <c r="H780" s="239">
        <f>VLOOKUP(G780,'CP FACTORS'!$A$3:$B$38, 2, FALSE)</f>
        <v>9.4741810000000004E-4</v>
      </c>
      <c r="I780" s="2046">
        <f t="shared" si="77"/>
        <v>0.20355300000000001</v>
      </c>
      <c r="J780" s="157">
        <f t="shared" si="73"/>
        <v>18</v>
      </c>
      <c r="K780" s="610">
        <f t="shared" si="74"/>
        <v>888</v>
      </c>
      <c r="L780" s="340">
        <f>K950</f>
        <v>1.5</v>
      </c>
      <c r="M780" s="2047"/>
      <c r="N780" s="2048"/>
      <c r="O780" s="177"/>
      <c r="P780" s="177"/>
      <c r="Q780" s="177"/>
      <c r="R780" s="1894"/>
      <c r="S780" s="332"/>
      <c r="T780" s="332"/>
      <c r="U780" s="332"/>
      <c r="V780" s="245" t="s">
        <v>20</v>
      </c>
      <c r="W780" s="989">
        <v>548.43293798712307</v>
      </c>
      <c r="X780" s="888">
        <v>528.13366090103261</v>
      </c>
      <c r="Y780" s="993">
        <v>214.85</v>
      </c>
      <c r="Z780" s="991"/>
      <c r="AA780" s="64"/>
      <c r="AB780" s="64"/>
      <c r="AC780" s="64"/>
      <c r="AD780" s="64"/>
      <c r="AE780" s="64"/>
      <c r="AF780" s="64"/>
      <c r="AG780" s="64"/>
      <c r="AH780" s="248"/>
      <c r="AI780" s="248"/>
      <c r="BB780" s="350">
        <f>(BD780+BD781)/(BE780+BE781)</f>
        <v>0.7354323279647752</v>
      </c>
      <c r="BC780" s="884" t="str">
        <f t="shared" si="75"/>
        <v>Cooling RES 18 Year EUL</v>
      </c>
      <c r="BD780" s="894">
        <f>(INDEX('Avoided Cost Benefits'!$C$4:$C$857,MATCH(BC780,'Avoided Cost Benefits'!$A$4:$A$857,0)))*F780</f>
        <v>378.95407924905396</v>
      </c>
      <c r="BE780" s="74">
        <f t="shared" si="76"/>
        <v>838.13119395941476</v>
      </c>
    </row>
    <row r="781" spans="1:57" s="65" customFormat="1" x14ac:dyDescent="0.25">
      <c r="A781" s="785"/>
      <c r="B781" s="177"/>
      <c r="C781" s="1942" t="s">
        <v>1305</v>
      </c>
      <c r="D781" s="2016" t="s">
        <v>795</v>
      </c>
      <c r="E781" s="892" t="s">
        <v>1306</v>
      </c>
      <c r="F781" s="988">
        <f>ROUND((($J$848*$J$869*(1/$J$890-1/$J$932))/1000)*$J$1061,2)</f>
        <v>513.91</v>
      </c>
      <c r="G781" s="450" t="s">
        <v>738</v>
      </c>
      <c r="H781" s="239">
        <f>VLOOKUP(G781,'CP FACTORS'!$A$3:$B$38, 2, FALSE)</f>
        <v>0</v>
      </c>
      <c r="I781" s="2046">
        <f t="shared" si="77"/>
        <v>0</v>
      </c>
      <c r="J781" s="157">
        <f t="shared" si="73"/>
        <v>18</v>
      </c>
      <c r="K781" s="610">
        <f t="shared" si="74"/>
        <v>0</v>
      </c>
      <c r="L781" s="340"/>
      <c r="M781" s="2047"/>
      <c r="N781" s="2048"/>
      <c r="O781" s="177"/>
      <c r="P781" s="177"/>
      <c r="Q781" s="177"/>
      <c r="R781" s="1894"/>
      <c r="S781" s="332"/>
      <c r="T781" s="332"/>
      <c r="U781" s="332"/>
      <c r="V781" s="245" t="s">
        <v>20</v>
      </c>
      <c r="W781" s="989">
        <v>1059.3684210526314</v>
      </c>
      <c r="X781" s="888">
        <v>905.10385245195232</v>
      </c>
      <c r="Y781" s="993">
        <v>513.91</v>
      </c>
      <c r="Z781" s="991"/>
      <c r="AA781" s="64"/>
      <c r="AB781" s="64"/>
      <c r="AC781" s="64"/>
      <c r="AD781" s="64"/>
      <c r="AE781" s="64"/>
      <c r="AF781" s="64"/>
      <c r="AG781" s="64"/>
      <c r="AH781" s="248"/>
      <c r="AI781" s="248"/>
      <c r="BB781" s="348"/>
      <c r="BC781" s="892" t="str">
        <f t="shared" si="75"/>
        <v>Heating RES 18 Year EUL</v>
      </c>
      <c r="BD781" s="894">
        <f>(INDEX('Avoided Cost Benefits'!$C$4:$C$857,MATCH(BC781,'Avoided Cost Benefits'!$A$4:$A$857,0)))*F781</f>
        <v>237.43469586441489</v>
      </c>
      <c r="BE781" s="74">
        <f t="shared" si="76"/>
        <v>0</v>
      </c>
    </row>
    <row r="782" spans="1:57" s="65" customFormat="1" x14ac:dyDescent="0.25">
      <c r="A782" s="785"/>
      <c r="B782" s="177"/>
      <c r="C782" s="1942" t="s">
        <v>1307</v>
      </c>
      <c r="D782" s="2016" t="s">
        <v>795</v>
      </c>
      <c r="E782" s="884" t="s">
        <v>1308</v>
      </c>
      <c r="F782" s="988">
        <f>ROUND((($J$954*$J$975*(1/$J$1017-1/$J$1038))/1000)*$J$1062,2)</f>
        <v>1175.8</v>
      </c>
      <c r="G782" s="450" t="s">
        <v>737</v>
      </c>
      <c r="H782" s="239">
        <f>VLOOKUP(G782,'CP FACTORS'!$A$3:$B$38, 2, FALSE)</f>
        <v>9.4741810000000004E-4</v>
      </c>
      <c r="I782" s="2046">
        <f t="shared" si="77"/>
        <v>1.113974</v>
      </c>
      <c r="J782" s="157">
        <f t="shared" si="73"/>
        <v>6</v>
      </c>
      <c r="K782" s="610">
        <f t="shared" si="74"/>
        <v>2108</v>
      </c>
      <c r="L782" s="340">
        <f>K954</f>
        <v>1.5</v>
      </c>
      <c r="M782" s="2047"/>
      <c r="N782" s="2048"/>
      <c r="O782" s="177"/>
      <c r="P782" s="177"/>
      <c r="Q782" s="177"/>
      <c r="R782" s="1894"/>
      <c r="S782" s="332"/>
      <c r="T782" s="332"/>
      <c r="U782" s="332"/>
      <c r="V782" s="245" t="s">
        <v>20</v>
      </c>
      <c r="W782" s="989">
        <v>1495.1911764705883</v>
      </c>
      <c r="X782" s="888">
        <v>1625.1970093173225</v>
      </c>
      <c r="Y782" s="993">
        <v>1175.8</v>
      </c>
      <c r="Z782" s="991"/>
      <c r="AA782" s="64"/>
      <c r="AB782" s="64"/>
      <c r="AC782" s="64"/>
      <c r="AD782" s="64"/>
      <c r="AE782" s="64"/>
      <c r="AF782" s="64"/>
      <c r="AG782" s="64"/>
      <c r="AH782" s="248"/>
      <c r="AI782" s="248"/>
      <c r="BB782" s="350">
        <f>(BD782+BD783+BD784+BD785)/(BE782+BE783+BE784+BE785)</f>
        <v>1.4535491763855897</v>
      </c>
      <c r="BC782" s="884" t="str">
        <f t="shared" si="75"/>
        <v>Cooling RES 6 Year EUL</v>
      </c>
      <c r="BD782" s="894">
        <f>(INDEX('Avoided Cost Benefits'!$C$4:$C$857,MATCH(BC782,'Avoided Cost Benefits'!$A$4:$A$857,0)))*F782</f>
        <v>683.70907877898162</v>
      </c>
      <c r="BE782" s="74">
        <f t="shared" si="76"/>
        <v>1989.617744218971</v>
      </c>
    </row>
    <row r="783" spans="1:57" s="65" customFormat="1" x14ac:dyDescent="0.25">
      <c r="A783" s="785"/>
      <c r="B783" s="177"/>
      <c r="C783" s="1942" t="s">
        <v>1307</v>
      </c>
      <c r="D783" s="2016" t="s">
        <v>795</v>
      </c>
      <c r="E783" s="994" t="s">
        <v>1308</v>
      </c>
      <c r="F783" s="988">
        <f>ROUND((($J$849*$J$870*(1/$J$912-1/$J$933))/1000)*$J$1063,2)</f>
        <v>3822.23</v>
      </c>
      <c r="G783" s="450" t="s">
        <v>738</v>
      </c>
      <c r="H783" s="239">
        <f>VLOOKUP(G783,'CP FACTORS'!$A$3:$B$38, 2, FALSE)</f>
        <v>0</v>
      </c>
      <c r="I783" s="2046">
        <f t="shared" si="77"/>
        <v>0</v>
      </c>
      <c r="J783" s="157">
        <f t="shared" si="73"/>
        <v>6</v>
      </c>
      <c r="K783" s="610">
        <f t="shared" si="74"/>
        <v>0</v>
      </c>
      <c r="L783" s="340"/>
      <c r="M783" s="2047"/>
      <c r="N783" s="2048"/>
      <c r="O783" s="177"/>
      <c r="P783" s="177"/>
      <c r="Q783" s="177"/>
      <c r="R783" s="1894"/>
      <c r="S783" s="332"/>
      <c r="T783" s="332"/>
      <c r="U783" s="332"/>
      <c r="V783" s="245" t="s">
        <v>20</v>
      </c>
      <c r="W783" s="989">
        <v>5217.8997805633207</v>
      </c>
      <c r="X783" s="888">
        <v>5513.3467827124387</v>
      </c>
      <c r="Y783" s="993">
        <v>3822.23</v>
      </c>
      <c r="Z783" s="991"/>
      <c r="AA783" s="64"/>
      <c r="AB783" s="64"/>
      <c r="AC783" s="64"/>
      <c r="AD783" s="64"/>
      <c r="AE783" s="64"/>
      <c r="AF783" s="64"/>
      <c r="AG783" s="64"/>
      <c r="AH783" s="248"/>
      <c r="AI783" s="248"/>
      <c r="BB783" s="995"/>
      <c r="BC783" s="994" t="str">
        <f t="shared" si="75"/>
        <v>Heating RES 6 Year EUL</v>
      </c>
      <c r="BD783" s="894">
        <f>(INDEX('Avoided Cost Benefits'!$C$4:$C$857,MATCH(BC783,'Avoided Cost Benefits'!$A$4:$A$857,0)))*F783</f>
        <v>635.76490982922712</v>
      </c>
      <c r="BE783" s="74">
        <f t="shared" si="76"/>
        <v>0</v>
      </c>
    </row>
    <row r="784" spans="1:57" s="65" customFormat="1" x14ac:dyDescent="0.25">
      <c r="A784" s="785"/>
      <c r="B784" s="177"/>
      <c r="C784" s="1942" t="s">
        <v>1307</v>
      </c>
      <c r="D784" s="2016" t="s">
        <v>795</v>
      </c>
      <c r="E784" s="994" t="s">
        <v>1309</v>
      </c>
      <c r="F784" s="988">
        <f>ROUND(((J$954*J$975*(1/J$996-1/J$1038))/1000)*J$1064,2)</f>
        <v>374.15</v>
      </c>
      <c r="G784" s="2045" t="s">
        <v>1214</v>
      </c>
      <c r="H784" s="239">
        <f>VLOOKUP(G784,'CP FACTORS'!$A$3:$B$38, 2, FALSE)</f>
        <v>9.4741810000000004E-4</v>
      </c>
      <c r="I784" s="2046">
        <f t="shared" si="77"/>
        <v>0.35447600000000001</v>
      </c>
      <c r="J784" s="157">
        <f t="shared" si="73"/>
        <v>12</v>
      </c>
      <c r="K784" s="610">
        <f t="shared" si="74"/>
        <v>0</v>
      </c>
      <c r="L784" s="340"/>
      <c r="M784" s="2047"/>
      <c r="N784" s="2048"/>
      <c r="O784" s="177"/>
      <c r="P784" s="177"/>
      <c r="Q784" s="177"/>
      <c r="R784" s="1894"/>
      <c r="S784" s="332"/>
      <c r="T784" s="332"/>
      <c r="U784" s="332"/>
      <c r="V784" s="245" t="s">
        <v>20</v>
      </c>
      <c r="W784" s="989">
        <v>471.26538461538468</v>
      </c>
      <c r="X784" s="888">
        <v>528.13366090103261</v>
      </c>
      <c r="Y784" s="993">
        <v>374.15</v>
      </c>
      <c r="Z784" s="991"/>
      <c r="AA784" s="64"/>
      <c r="AB784" s="64"/>
      <c r="AC784" s="64"/>
      <c r="AD784" s="64"/>
      <c r="AE784" s="64"/>
      <c r="AF784" s="64"/>
      <c r="AG784" s="64"/>
      <c r="AH784" s="248"/>
      <c r="AI784" s="248"/>
      <c r="BB784" s="995"/>
      <c r="BC784" s="994" t="str">
        <f t="shared" si="75"/>
        <v>Cooling RES ER2 12 Year EUL</v>
      </c>
      <c r="BD784" s="894">
        <f>(INDEX('Avoided Cost Benefits'!$C$4:$C$857,MATCH(BC784,'Avoided Cost Benefits'!$A$4:$A$857,0)))*F784</f>
        <v>442.3663425185444</v>
      </c>
      <c r="BE784" s="74">
        <f t="shared" si="76"/>
        <v>0</v>
      </c>
    </row>
    <row r="785" spans="1:57" s="65" customFormat="1" x14ac:dyDescent="0.25">
      <c r="A785" s="785"/>
      <c r="B785" s="177"/>
      <c r="C785" s="1942" t="s">
        <v>1307</v>
      </c>
      <c r="D785" s="2016" t="s">
        <v>795</v>
      </c>
      <c r="E785" s="892" t="s">
        <v>1309</v>
      </c>
      <c r="F785" s="988">
        <f>ROUND((($J$849*$J$870*(1/$J$891-1/$J$933))/1000)*$J$1065,2)</f>
        <v>3822.23</v>
      </c>
      <c r="G785" s="132" t="s">
        <v>1310</v>
      </c>
      <c r="H785" s="239">
        <f>VLOOKUP(G785,'CP FACTORS'!$A$3:$B$38, 2, FALSE)</f>
        <v>0</v>
      </c>
      <c r="I785" s="2046">
        <f t="shared" si="77"/>
        <v>0</v>
      </c>
      <c r="J785" s="157">
        <f t="shared" si="73"/>
        <v>12</v>
      </c>
      <c r="K785" s="610">
        <f t="shared" si="74"/>
        <v>0</v>
      </c>
      <c r="L785" s="340"/>
      <c r="M785" s="2047"/>
      <c r="N785" s="2048"/>
      <c r="O785" s="177"/>
      <c r="P785" s="177"/>
      <c r="Q785" s="177"/>
      <c r="R785" s="1894"/>
      <c r="S785" s="332"/>
      <c r="T785" s="332"/>
      <c r="U785" s="332"/>
      <c r="V785" s="245" t="s">
        <v>20</v>
      </c>
      <c r="W785" s="989">
        <v>1115.8974358974356</v>
      </c>
      <c r="X785" s="888">
        <v>5517.9756069759478</v>
      </c>
      <c r="Y785" s="993">
        <v>3822.23</v>
      </c>
      <c r="Z785" s="991"/>
      <c r="AA785" s="64"/>
      <c r="AB785" s="64"/>
      <c r="AC785" s="64"/>
      <c r="AD785" s="64"/>
      <c r="AE785" s="64"/>
      <c r="AF785" s="64"/>
      <c r="AG785" s="64"/>
      <c r="AH785" s="248"/>
      <c r="AI785" s="248"/>
      <c r="BB785" s="995"/>
      <c r="BC785" s="892" t="str">
        <f t="shared" si="75"/>
        <v>Heating RES ER2 12 Year EUL</v>
      </c>
      <c r="BD785" s="894">
        <f>(INDEX('Avoided Cost Benefits'!$C$4:$C$857,MATCH(BC785,'Avoided Cost Benefits'!$A$4:$A$857,0)))*F785</f>
        <v>1130.1669023048871</v>
      </c>
      <c r="BE785" s="74">
        <f t="shared" si="76"/>
        <v>0</v>
      </c>
    </row>
    <row r="786" spans="1:57" s="65" customFormat="1" x14ac:dyDescent="0.25">
      <c r="A786" s="785"/>
      <c r="B786" s="177"/>
      <c r="C786" s="1942" t="s">
        <v>1311</v>
      </c>
      <c r="D786" s="2016" t="s">
        <v>795</v>
      </c>
      <c r="E786" s="884" t="s">
        <v>1312</v>
      </c>
      <c r="F786" s="988">
        <f>ROUND((($J$955*$J$976*(1/$J$997-1/$J$1039))/1000)*$J$1066,2)</f>
        <v>335.42</v>
      </c>
      <c r="G786" s="450" t="s">
        <v>737</v>
      </c>
      <c r="H786" s="239">
        <f>VLOOKUP(G786,'CP FACTORS'!$A$3:$B$38, 2, FALSE)</f>
        <v>9.4741810000000004E-4</v>
      </c>
      <c r="I786" s="2046">
        <f t="shared" si="77"/>
        <v>0.31778299999999998</v>
      </c>
      <c r="J786" s="157">
        <f t="shared" si="73"/>
        <v>18</v>
      </c>
      <c r="K786" s="610">
        <f t="shared" si="74"/>
        <v>1121.0666666666668</v>
      </c>
      <c r="L786" s="340">
        <f>K955</f>
        <v>1.6</v>
      </c>
      <c r="M786" s="2047"/>
      <c r="N786" s="2048"/>
      <c r="O786" s="177"/>
      <c r="P786" s="177"/>
      <c r="Q786" s="177"/>
      <c r="R786" s="1894"/>
      <c r="S786" s="332"/>
      <c r="T786" s="332"/>
      <c r="U786" s="332"/>
      <c r="V786" s="245" t="s">
        <v>20</v>
      </c>
      <c r="W786" s="989">
        <v>447.12649572649582</v>
      </c>
      <c r="X786" s="888">
        <v>528.13366090103261</v>
      </c>
      <c r="Y786" s="993">
        <v>335.42</v>
      </c>
      <c r="Z786" s="991"/>
      <c r="AA786" s="64"/>
      <c r="AB786" s="64"/>
      <c r="AC786" s="64"/>
      <c r="AD786" s="64"/>
      <c r="AE786" s="64"/>
      <c r="AF786" s="64"/>
      <c r="AG786" s="64"/>
      <c r="AH786" s="248"/>
      <c r="AI786" s="248"/>
      <c r="BB786" s="350">
        <f>(BD786+BD787)/(BE786+BE787)</f>
        <v>2.3393419075473338</v>
      </c>
      <c r="BC786" s="884" t="str">
        <f t="shared" si="75"/>
        <v>Cooling RES 18 Year EUL</v>
      </c>
      <c r="BD786" s="894">
        <f>(INDEX('Avoided Cost Benefits'!$C$4:$C$857,MATCH(BC786,'Avoided Cost Benefits'!$A$4:$A$857,0)))*F786</f>
        <v>591.61637077829971</v>
      </c>
      <c r="BE786" s="74">
        <f t="shared" si="76"/>
        <v>1058.1091709926066</v>
      </c>
    </row>
    <row r="787" spans="1:57" s="65" customFormat="1" x14ac:dyDescent="0.25">
      <c r="A787" s="785"/>
      <c r="B787" s="177"/>
      <c r="C787" s="1942" t="s">
        <v>1311</v>
      </c>
      <c r="D787" s="2016" t="s">
        <v>795</v>
      </c>
      <c r="E787" s="892" t="s">
        <v>1312</v>
      </c>
      <c r="F787" s="988">
        <f xml:space="preserve"> ROUND((($J$850*$J$871*(1/$J$892-1/$J$934))/1000)*$J$1067,2)</f>
        <v>4077.05</v>
      </c>
      <c r="G787" s="450" t="s">
        <v>738</v>
      </c>
      <c r="H787" s="239">
        <f>VLOOKUP(G787,'CP FACTORS'!$A$3:$B$38, 2, FALSE)</f>
        <v>0</v>
      </c>
      <c r="I787" s="2046">
        <f t="shared" si="77"/>
        <v>0</v>
      </c>
      <c r="J787" s="157">
        <f t="shared" si="73"/>
        <v>18</v>
      </c>
      <c r="K787" s="610">
        <f t="shared" si="74"/>
        <v>0</v>
      </c>
      <c r="L787" s="340"/>
      <c r="M787" s="2047"/>
      <c r="N787" s="2048"/>
      <c r="O787" s="177"/>
      <c r="P787" s="177"/>
      <c r="Q787" s="177"/>
      <c r="R787" s="1894"/>
      <c r="S787" s="332"/>
      <c r="T787" s="332"/>
      <c r="U787" s="332"/>
      <c r="V787" s="245" t="s">
        <v>20</v>
      </c>
      <c r="W787" s="989">
        <v>1070.7301587301586</v>
      </c>
      <c r="X787" s="888">
        <v>5517.9756069759478</v>
      </c>
      <c r="Y787" s="993">
        <v>4077.05</v>
      </c>
      <c r="Z787" s="991"/>
      <c r="AA787" s="64"/>
      <c r="AB787" s="64"/>
      <c r="AC787" s="64"/>
      <c r="AD787" s="64"/>
      <c r="AE787" s="64"/>
      <c r="AF787" s="64"/>
      <c r="AG787" s="64"/>
      <c r="AH787" s="248"/>
      <c r="AI787" s="248"/>
      <c r="BB787" s="348"/>
      <c r="BC787" s="892" t="str">
        <f t="shared" si="75"/>
        <v>Heating RES 18 Year EUL</v>
      </c>
      <c r="BD787" s="894">
        <f>(INDEX('Avoided Cost Benefits'!$C$4:$C$857,MATCH(BC787,'Avoided Cost Benefits'!$A$4:$A$857,0)))*F787</f>
        <v>1883.6627556848725</v>
      </c>
      <c r="BE787" s="74">
        <f t="shared" si="76"/>
        <v>0</v>
      </c>
    </row>
    <row r="788" spans="1:57" s="65" customFormat="1" x14ac:dyDescent="0.25">
      <c r="A788" s="785"/>
      <c r="B788" s="177"/>
      <c r="C788" s="1942" t="s">
        <v>1313</v>
      </c>
      <c r="D788" s="2016" t="s">
        <v>795</v>
      </c>
      <c r="E788" s="884" t="s">
        <v>1314</v>
      </c>
      <c r="F788" s="988">
        <f>ROUND((($J$956*$J$977*(1/$J$1019-1/$J$1040))/1000)*$J$1068,2)</f>
        <v>1164.32</v>
      </c>
      <c r="G788" s="450" t="s">
        <v>737</v>
      </c>
      <c r="H788" s="239">
        <f>VLOOKUP(G788,'CP FACTORS'!$A$3:$B$38, 2, FALSE)</f>
        <v>9.4741810000000004E-4</v>
      </c>
      <c r="I788" s="2046">
        <f t="shared" si="77"/>
        <v>1.1030979999999999</v>
      </c>
      <c r="J788" s="157">
        <f t="shared" si="73"/>
        <v>6</v>
      </c>
      <c r="K788" s="610">
        <f t="shared" si="74"/>
        <v>1982</v>
      </c>
      <c r="L788" s="340">
        <f>K956</f>
        <v>1.5</v>
      </c>
      <c r="M788" s="2047"/>
      <c r="N788" s="2048"/>
      <c r="O788" s="177"/>
      <c r="P788" s="177"/>
      <c r="Q788" s="177"/>
      <c r="R788" s="1894"/>
      <c r="S788" s="332"/>
      <c r="T788" s="332"/>
      <c r="U788" s="332"/>
      <c r="V788" s="245" t="s">
        <v>20</v>
      </c>
      <c r="W788" s="989">
        <v>1625.9591194968555</v>
      </c>
      <c r="X788" s="888">
        <v>1497.4028916702637</v>
      </c>
      <c r="Y788" s="993">
        <v>1164.32</v>
      </c>
      <c r="Z788" s="991"/>
      <c r="AA788" s="64"/>
      <c r="AB788" s="64"/>
      <c r="AC788" s="64"/>
      <c r="AD788" s="64"/>
      <c r="AE788" s="64"/>
      <c r="AF788" s="64"/>
      <c r="AG788" s="64"/>
      <c r="AH788" s="248"/>
      <c r="AI788" s="248"/>
      <c r="BB788" s="350">
        <f>(BD788+BD789+BD790+BD791)/(BE788+BE789+BE790+BE791)</f>
        <v>1.0366255374767435</v>
      </c>
      <c r="BC788" s="884" t="str">
        <f t="shared" si="75"/>
        <v>Cooling RES 6 Year EUL</v>
      </c>
      <c r="BD788" s="894">
        <f>(INDEX('Avoided Cost Benefits'!$C$4:$C$857,MATCH(BC788,'Avoided Cost Benefits'!$A$4:$A$857,0)))*F788</f>
        <v>677.03364058848774</v>
      </c>
      <c r="BE788" s="74">
        <f t="shared" si="76"/>
        <v>1870.6937234544594</v>
      </c>
    </row>
    <row r="789" spans="1:57" s="65" customFormat="1" x14ac:dyDescent="0.25">
      <c r="A789" s="785"/>
      <c r="B789" s="177"/>
      <c r="C789" s="1942" t="s">
        <v>1313</v>
      </c>
      <c r="D789" s="2016" t="s">
        <v>795</v>
      </c>
      <c r="E789" s="994" t="s">
        <v>1314</v>
      </c>
      <c r="F789" s="988">
        <f xml:space="preserve"> ROUND((($J$851*$J$872*(1/$J$914-1/$J$935))/1000)*$J$1069,2)</f>
        <v>1944.18</v>
      </c>
      <c r="G789" s="450" t="s">
        <v>738</v>
      </c>
      <c r="H789" s="239">
        <f>VLOOKUP(G789,'CP FACTORS'!$A$3:$B$38, 2, FALSE)</f>
        <v>0</v>
      </c>
      <c r="I789" s="2046">
        <f t="shared" si="77"/>
        <v>0</v>
      </c>
      <c r="J789" s="157">
        <f t="shared" si="73"/>
        <v>6</v>
      </c>
      <c r="K789" s="610">
        <f t="shared" si="74"/>
        <v>0</v>
      </c>
      <c r="L789" s="340"/>
      <c r="M789" s="2047"/>
      <c r="N789" s="2048"/>
      <c r="O789" s="177"/>
      <c r="P789" s="177"/>
      <c r="Q789" s="177"/>
      <c r="R789" s="1894"/>
      <c r="S789" s="332"/>
      <c r="T789" s="332"/>
      <c r="U789" s="332"/>
      <c r="V789" s="245" t="s">
        <v>20</v>
      </c>
      <c r="W789" s="989">
        <v>2932.947368421052</v>
      </c>
      <c r="X789" s="888">
        <v>2571.2014134275614</v>
      </c>
      <c r="Y789" s="993">
        <v>1944.18</v>
      </c>
      <c r="Z789" s="991"/>
      <c r="AA789" s="64"/>
      <c r="AB789" s="64"/>
      <c r="AC789" s="64"/>
      <c r="AD789" s="64"/>
      <c r="AE789" s="64"/>
      <c r="AF789" s="64"/>
      <c r="AG789" s="64"/>
      <c r="AH789" s="248"/>
      <c r="AI789" s="248"/>
      <c r="BB789" s="995"/>
      <c r="BC789" s="994" t="str">
        <f t="shared" si="75"/>
        <v>Heating RES 6 Year EUL</v>
      </c>
      <c r="BD789" s="894">
        <f>(INDEX('Avoided Cost Benefits'!$C$4:$C$857,MATCH(BC789,'Avoided Cost Benefits'!$A$4:$A$857,0)))*F789</f>
        <v>323.38227223159959</v>
      </c>
      <c r="BE789" s="74">
        <f t="shared" si="76"/>
        <v>0</v>
      </c>
    </row>
    <row r="790" spans="1:57" s="65" customFormat="1" x14ac:dyDescent="0.25">
      <c r="A790" s="785"/>
      <c r="B790" s="177"/>
      <c r="C790" s="1942" t="s">
        <v>1313</v>
      </c>
      <c r="D790" s="2016" t="s">
        <v>795</v>
      </c>
      <c r="E790" s="994" t="s">
        <v>1315</v>
      </c>
      <c r="F790" s="988">
        <f>ROUND((($J$956*$J$977*(1/$J$998-1/$J$1040))/1000)*$J$1070,2)</f>
        <v>456.05</v>
      </c>
      <c r="G790" s="2045" t="s">
        <v>1214</v>
      </c>
      <c r="H790" s="239">
        <f>VLOOKUP(G790,'CP FACTORS'!$A$3:$B$38, 2, FALSE)</f>
        <v>9.4741810000000004E-4</v>
      </c>
      <c r="I790" s="2046">
        <f t="shared" si="77"/>
        <v>0.43207000000000001</v>
      </c>
      <c r="J790" s="157">
        <f t="shared" si="73"/>
        <v>12</v>
      </c>
      <c r="K790" s="610">
        <f t="shared" si="74"/>
        <v>0</v>
      </c>
      <c r="L790" s="340"/>
      <c r="M790" s="2047"/>
      <c r="N790" s="2048"/>
      <c r="O790" s="177"/>
      <c r="P790" s="177"/>
      <c r="Q790" s="177"/>
      <c r="R790" s="1894"/>
      <c r="S790" s="332"/>
      <c r="T790" s="332"/>
      <c r="U790" s="332"/>
      <c r="V790" s="245" t="s">
        <v>20</v>
      </c>
      <c r="W790" s="989">
        <v>527.45399129172722</v>
      </c>
      <c r="X790" s="888">
        <v>528.13366090103261</v>
      </c>
      <c r="Y790" s="993">
        <v>456.05</v>
      </c>
      <c r="Z790" s="991"/>
      <c r="AA790" s="64"/>
      <c r="AB790" s="64"/>
      <c r="AC790" s="64"/>
      <c r="AD790" s="64"/>
      <c r="AE790" s="64"/>
      <c r="AF790" s="64"/>
      <c r="AG790" s="64"/>
      <c r="AH790" s="248"/>
      <c r="AI790" s="248"/>
      <c r="BB790" s="995"/>
      <c r="BC790" s="994" t="str">
        <f t="shared" si="75"/>
        <v>Cooling RES ER2 12 Year EUL</v>
      </c>
      <c r="BD790" s="894">
        <f>(INDEX('Avoided Cost Benefits'!$C$4:$C$857,MATCH(BC790,'Avoided Cost Benefits'!$A$4:$A$857,0)))*F790</f>
        <v>539.19863826161225</v>
      </c>
      <c r="BE790" s="74">
        <f t="shared" si="76"/>
        <v>0</v>
      </c>
    </row>
    <row r="791" spans="1:57" s="65" customFormat="1" x14ac:dyDescent="0.25">
      <c r="A791" s="785"/>
      <c r="B791" s="177"/>
      <c r="C791" s="2049" t="s">
        <v>1313</v>
      </c>
      <c r="D791" s="2050" t="s">
        <v>795</v>
      </c>
      <c r="E791" s="994" t="s">
        <v>1315</v>
      </c>
      <c r="F791" s="996">
        <f>ROUND((($J$851*$J$872*(1/$J$893-1/$J$935))/1000)*$J$1071,2)</f>
        <v>1351.43</v>
      </c>
      <c r="G791" s="2051" t="s">
        <v>1310</v>
      </c>
      <c r="H791" s="2052">
        <f>VLOOKUP(G791,'CP FACTORS'!$A$3:$B$38, 2, FALSE)</f>
        <v>0</v>
      </c>
      <c r="I791" s="2053">
        <f t="shared" si="77"/>
        <v>0</v>
      </c>
      <c r="J791" s="997">
        <f t="shared" si="73"/>
        <v>12</v>
      </c>
      <c r="K791" s="998">
        <f t="shared" si="74"/>
        <v>0</v>
      </c>
      <c r="L791" s="2054"/>
      <c r="M791" s="2047"/>
      <c r="N791" s="2048"/>
      <c r="O791" s="177"/>
      <c r="P791" s="177"/>
      <c r="Q791" s="177"/>
      <c r="R791" s="1894"/>
      <c r="S791" s="177"/>
      <c r="T791" s="177"/>
      <c r="U791" s="177"/>
      <c r="V791" s="245" t="s">
        <v>20</v>
      </c>
      <c r="W791" s="989">
        <v>1286.375939849624</v>
      </c>
      <c r="X791" s="888">
        <v>1713.6026292330328</v>
      </c>
      <c r="Y791" s="993">
        <v>1351.43</v>
      </c>
      <c r="Z791" s="991"/>
      <c r="AA791" s="64"/>
      <c r="AB791" s="64"/>
      <c r="AC791" s="64"/>
      <c r="AD791" s="64"/>
      <c r="AE791" s="64"/>
      <c r="AF791" s="64"/>
      <c r="AG791" s="64"/>
      <c r="AH791" s="248"/>
      <c r="AI791" s="248"/>
      <c r="BB791" s="995"/>
      <c r="BC791" s="892" t="str">
        <f t="shared" si="75"/>
        <v>Heating RES ER2 12 Year EUL</v>
      </c>
      <c r="BD791" s="894">
        <f>(INDEX('Avoided Cost Benefits'!$C$4:$C$857,MATCH(BC791,'Avoided Cost Benefits'!$A$4:$A$857,0)))*F791</f>
        <v>399.59433544864999</v>
      </c>
      <c r="BE791" s="74">
        <f t="shared" si="76"/>
        <v>0</v>
      </c>
    </row>
    <row r="792" spans="1:57" s="65" customFormat="1" x14ac:dyDescent="0.25">
      <c r="A792" s="785"/>
      <c r="B792" s="177"/>
      <c r="C792" s="1942" t="s">
        <v>1316</v>
      </c>
      <c r="D792" s="2016" t="s">
        <v>797</v>
      </c>
      <c r="E792" s="884" t="s">
        <v>1317</v>
      </c>
      <c r="F792" s="999">
        <f>ROUND((($J$957*$J$978*(1/$J$1020-1/$J$1041))/1000)*$J$1072,2)</f>
        <v>1320.98</v>
      </c>
      <c r="G792" s="2045" t="s">
        <v>737</v>
      </c>
      <c r="H792" s="239">
        <f>VLOOKUP(G792,'CP FACTORS'!$A$3:$B$38, 2, FALSE)</f>
        <v>9.4741810000000004E-4</v>
      </c>
      <c r="I792" s="2046">
        <f t="shared" si="77"/>
        <v>1.25152</v>
      </c>
      <c r="J792" s="157">
        <f t="shared" si="73"/>
        <v>6</v>
      </c>
      <c r="K792" s="610">
        <f t="shared" si="74"/>
        <v>1413</v>
      </c>
      <c r="L792" s="340">
        <f>K950</f>
        <v>1.5</v>
      </c>
      <c r="M792" s="1884"/>
      <c r="N792" s="1884"/>
      <c r="O792" s="1884"/>
      <c r="P792" s="1884"/>
      <c r="Q792" s="1884"/>
      <c r="R792" s="2055"/>
      <c r="S792" s="1884"/>
      <c r="T792" s="1884"/>
      <c r="U792" s="1884"/>
      <c r="V792" s="182" t="s">
        <v>20</v>
      </c>
      <c r="W792" s="1001">
        <v>1314.6211309523808</v>
      </c>
      <c r="X792" s="1002">
        <v>1175.0440224428139</v>
      </c>
      <c r="Y792" s="163">
        <v>1320.98</v>
      </c>
      <c r="Z792" s="1003"/>
      <c r="AA792" s="62"/>
      <c r="AB792" s="62"/>
      <c r="AC792" s="62"/>
      <c r="AD792" s="62"/>
      <c r="AE792" s="62"/>
      <c r="AF792" s="62"/>
      <c r="AG792" s="62"/>
      <c r="AH792" s="1004"/>
      <c r="AI792" s="1004"/>
      <c r="AJ792" s="1000"/>
      <c r="AK792" s="1000"/>
      <c r="AL792" s="1000"/>
      <c r="AM792" s="1000"/>
      <c r="AN792" s="1000"/>
      <c r="AO792" s="1000"/>
      <c r="BB792" s="350">
        <f>(BD792+BD793)/(BE792+BE793)</f>
        <v>0.91809179659878004</v>
      </c>
      <c r="BC792" s="884" t="str">
        <f t="shared" si="75"/>
        <v>Cooling RES 6 Year EUL</v>
      </c>
      <c r="BD792" s="894">
        <f>(INDEX('Avoided Cost Benefits'!$C$4:$C$857,MATCH(BC792,'Avoided Cost Benefits'!$A$4:$A$857,0)))*F792</f>
        <v>768.12894955388606</v>
      </c>
      <c r="BE792" s="74">
        <f t="shared" si="76"/>
        <v>1333.6479471448795</v>
      </c>
    </row>
    <row r="793" spans="1:57" s="65" customFormat="1" x14ac:dyDescent="0.25">
      <c r="A793" s="785"/>
      <c r="B793" s="177"/>
      <c r="C793" s="1942" t="s">
        <v>1316</v>
      </c>
      <c r="D793" s="2016" t="s">
        <v>797</v>
      </c>
      <c r="E793" s="892" t="s">
        <v>1318</v>
      </c>
      <c r="F793" s="999">
        <f>ROUND((($J$957*$J$978*(1/$J$999-1/$J$1041))/1000)*$J$1073,2)</f>
        <v>385.92</v>
      </c>
      <c r="G793" s="2045" t="s">
        <v>1214</v>
      </c>
      <c r="H793" s="239">
        <f>VLOOKUP(G793,'CP FACTORS'!$A$3:$B$38, 2, FALSE)</f>
        <v>9.4741810000000004E-4</v>
      </c>
      <c r="I793" s="2046">
        <f t="shared" si="77"/>
        <v>0.36562800000000001</v>
      </c>
      <c r="J793" s="157">
        <f t="shared" si="73"/>
        <v>12</v>
      </c>
      <c r="K793" s="610">
        <f t="shared" si="74"/>
        <v>0</v>
      </c>
      <c r="L793" s="340"/>
      <c r="M793" s="1884"/>
      <c r="N793" s="1884"/>
      <c r="O793" s="1884"/>
      <c r="P793" s="1884"/>
      <c r="Q793" s="1884"/>
      <c r="R793" s="2055"/>
      <c r="S793" s="1884"/>
      <c r="T793" s="1884"/>
      <c r="U793" s="1884"/>
      <c r="V793" s="182" t="s">
        <v>20</v>
      </c>
      <c r="W793" s="1001">
        <v>371.9630357142857</v>
      </c>
      <c r="X793" s="1002">
        <v>343.28687958567122</v>
      </c>
      <c r="Y793" s="163">
        <v>385.92</v>
      </c>
      <c r="Z793" s="1003"/>
      <c r="AA793" s="62"/>
      <c r="AB793" s="62"/>
      <c r="AC793" s="62"/>
      <c r="AD793" s="62"/>
      <c r="AE793" s="62"/>
      <c r="AF793" s="62"/>
      <c r="AG793" s="62"/>
      <c r="AH793" s="1004"/>
      <c r="AI793" s="1004"/>
      <c r="AJ793" s="1000"/>
      <c r="AK793" s="1000"/>
      <c r="AL793" s="1000"/>
      <c r="AM793" s="1000"/>
      <c r="AN793" s="1000"/>
      <c r="AO793" s="1000"/>
      <c r="BB793" s="348"/>
      <c r="BC793" s="892" t="str">
        <f t="shared" si="75"/>
        <v>Cooling RES ER2 12 Year EUL</v>
      </c>
      <c r="BD793" s="894">
        <f>(INDEX('Avoided Cost Benefits'!$C$4:$C$857,MATCH(BC793,'Avoided Cost Benefits'!$A$4:$A$857,0)))*F793</f>
        <v>456.28229027063122</v>
      </c>
      <c r="BE793" s="74">
        <f t="shared" si="76"/>
        <v>0</v>
      </c>
    </row>
    <row r="794" spans="1:57" s="65" customFormat="1" x14ac:dyDescent="0.25">
      <c r="A794" s="785"/>
      <c r="B794" s="785"/>
      <c r="C794" s="2057" t="s">
        <v>1319</v>
      </c>
      <c r="D794" s="2058" t="s">
        <v>792</v>
      </c>
      <c r="E794" s="994" t="str">
        <f>CONCATENATE(E792, "_CompE")</f>
        <v>Ductless AC - ER1 MF_CompE</v>
      </c>
      <c r="F794" s="2060">
        <f>ROUND((($J$964*$J$985*(1/$J$1027-1/$J$1048))/1000)*$J$1089,2)</f>
        <v>867.48</v>
      </c>
      <c r="G794" s="2599" t="s">
        <v>737</v>
      </c>
      <c r="H794" s="2062">
        <f>VLOOKUP(G794,'CP FACTORS'!$A$3:$B$38, 2, FALSE)</f>
        <v>9.4741810000000004E-4</v>
      </c>
      <c r="I794" s="2063">
        <f>ROUND(F794*H794,6)</f>
        <v>0.82186599999999999</v>
      </c>
      <c r="J794" s="541">
        <f>J792</f>
        <v>6</v>
      </c>
      <c r="K794" s="2059">
        <f>K792</f>
        <v>1413</v>
      </c>
      <c r="L794" s="2064">
        <f>K964</f>
        <v>1.5</v>
      </c>
      <c r="M794" s="1884"/>
      <c r="N794" s="1884"/>
      <c r="O794" s="1884"/>
      <c r="P794" s="1884"/>
      <c r="Q794" s="1884"/>
      <c r="R794" s="2055"/>
      <c r="S794" s="1884"/>
      <c r="T794" s="1884"/>
      <c r="U794" s="1884"/>
      <c r="V794" s="182" t="s">
        <v>20</v>
      </c>
      <c r="W794" s="1001"/>
      <c r="X794" s="1002"/>
      <c r="Y794" s="163">
        <v>1164.95</v>
      </c>
      <c r="Z794" s="1003"/>
      <c r="AA794" s="62"/>
      <c r="AB794" s="62"/>
      <c r="AC794" s="62"/>
      <c r="AD794" s="62"/>
      <c r="AE794" s="62"/>
      <c r="AF794" s="62"/>
      <c r="AG794" s="62"/>
      <c r="AH794" s="1004"/>
      <c r="AI794" s="1004"/>
      <c r="AJ794" s="1000"/>
      <c r="AK794" s="1000"/>
      <c r="AL794" s="1000"/>
      <c r="AM794" s="1000"/>
      <c r="AN794" s="1000"/>
      <c r="AO794" s="1000"/>
      <c r="BB794" s="350">
        <f>(BD794+BD795)/(BE794+BE795)</f>
        <v>0.60290433571438051</v>
      </c>
      <c r="BC794" s="884" t="str">
        <f>CONCATENATE(G794," ",J794," Year EUL")</f>
        <v>Cooling RES 6 Year EUL</v>
      </c>
      <c r="BD794" s="894">
        <f>(INDEX('Avoided Cost Benefits'!$C$4:$C$857,MATCH(BC794,'Avoided Cost Benefits'!$A$4:$A$857,0)))*F794</f>
        <v>504.42588166286021</v>
      </c>
      <c r="BE794" s="74">
        <f>K794/(1.0595^(2020-2019))</f>
        <v>1333.6479471448795</v>
      </c>
    </row>
    <row r="795" spans="1:57" s="65" customFormat="1" x14ac:dyDescent="0.25">
      <c r="A795" s="785"/>
      <c r="B795" s="785"/>
      <c r="C795" s="2057" t="s">
        <v>1319</v>
      </c>
      <c r="D795" s="2058" t="s">
        <v>792</v>
      </c>
      <c r="E795" s="892" t="str">
        <f>CONCATENATE(E793, "_CompE")</f>
        <v>Ductless AC - ER2 MF_CompE</v>
      </c>
      <c r="F795" s="999">
        <f>ROUND((($J$964*$J$985*(1/$J$1006-1/$J$1048))/1000)*$J$1090,2)</f>
        <v>253.43</v>
      </c>
      <c r="G795" s="2045" t="s">
        <v>1214</v>
      </c>
      <c r="H795" s="239">
        <f>VLOOKUP(G795,'CP FACTORS'!$A$3:$B$38, 2, FALSE)</f>
        <v>9.4741810000000004E-4</v>
      </c>
      <c r="I795" s="2046">
        <f>ROUND(F795*H795,6)</f>
        <v>0.24010400000000001</v>
      </c>
      <c r="J795" s="541">
        <f>J793</f>
        <v>12</v>
      </c>
      <c r="K795" s="2059">
        <f>K793</f>
        <v>0</v>
      </c>
      <c r="L795" s="340"/>
      <c r="M795" s="1884"/>
      <c r="N795" s="1884"/>
      <c r="O795" s="1884"/>
      <c r="P795" s="1884"/>
      <c r="Q795" s="1884"/>
      <c r="R795" s="2055"/>
      <c r="S795" s="1884"/>
      <c r="T795" s="1884"/>
      <c r="U795" s="1884"/>
      <c r="V795" s="182" t="s">
        <v>20</v>
      </c>
      <c r="W795" s="1001"/>
      <c r="X795" s="1002"/>
      <c r="Y795" s="163">
        <v>340.34</v>
      </c>
      <c r="Z795" s="1003"/>
      <c r="AA795" s="62"/>
      <c r="AB795" s="62"/>
      <c r="AC795" s="62"/>
      <c r="AD795" s="62"/>
      <c r="AE795" s="62"/>
      <c r="AF795" s="62"/>
      <c r="AG795" s="62"/>
      <c r="AH795" s="1004"/>
      <c r="AI795" s="1004"/>
      <c r="AJ795" s="1000"/>
      <c r="AK795" s="1000"/>
      <c r="AL795" s="1000"/>
      <c r="AM795" s="1000"/>
      <c r="AN795" s="1000"/>
      <c r="AO795" s="1000"/>
      <c r="BB795" s="348"/>
      <c r="BC795" s="892" t="str">
        <f>CONCATENATE(G795," ",J795," Year EUL")</f>
        <v>Cooling RES ER2 12 Year EUL</v>
      </c>
      <c r="BD795" s="894">
        <f>(INDEX('Avoided Cost Benefits'!$C$4:$C$857,MATCH(BC795,'Avoided Cost Benefits'!$A$4:$A$857,0)))*F795</f>
        <v>299.63624798737061</v>
      </c>
      <c r="BE795" s="74">
        <f>K795/(1.0595^(2020-2019))</f>
        <v>0</v>
      </c>
    </row>
    <row r="796" spans="1:57" s="65" customFormat="1" x14ac:dyDescent="0.25">
      <c r="A796" s="785"/>
      <c r="B796" s="177"/>
      <c r="C796" s="1942" t="s">
        <v>1320</v>
      </c>
      <c r="D796" s="2016" t="s">
        <v>797</v>
      </c>
      <c r="E796" s="458" t="s">
        <v>1321</v>
      </c>
      <c r="F796" s="999">
        <f>ROUND((($J$958*$J$979*(1/$J$1021-1/$J$1042))/1000)*$J$1074,2)</f>
        <v>1320.98</v>
      </c>
      <c r="G796" s="450" t="s">
        <v>737</v>
      </c>
      <c r="H796" s="239">
        <f>VLOOKUP(G796,'CP FACTORS'!$A$3:$B$38, 2, FALSE)</f>
        <v>9.4741810000000004E-4</v>
      </c>
      <c r="I796" s="2046">
        <f t="shared" si="77"/>
        <v>1.25152</v>
      </c>
      <c r="J796" s="157">
        <f>J1125</f>
        <v>18</v>
      </c>
      <c r="K796" s="610">
        <f>J1159</f>
        <v>978.5</v>
      </c>
      <c r="L796" s="340">
        <f>K951</f>
        <v>1.5</v>
      </c>
      <c r="M796" s="1884"/>
      <c r="N796" s="1884"/>
      <c r="O796" s="1884"/>
      <c r="P796" s="1884"/>
      <c r="Q796" s="1884"/>
      <c r="R796" s="2055"/>
      <c r="S796" s="1884"/>
      <c r="T796" s="1884"/>
      <c r="U796" s="1884"/>
      <c r="V796" s="182" t="s">
        <v>20</v>
      </c>
      <c r="W796" s="1001">
        <v>1219.3587301587302</v>
      </c>
      <c r="X796" s="1002">
        <v>1175.0440224428139</v>
      </c>
      <c r="Y796" s="163">
        <v>1320.98</v>
      </c>
      <c r="Z796" s="1003"/>
      <c r="AA796" s="62"/>
      <c r="AB796" s="62"/>
      <c r="AC796" s="62"/>
      <c r="AD796" s="62"/>
      <c r="AE796" s="62"/>
      <c r="AF796" s="62"/>
      <c r="AG796" s="62"/>
      <c r="AH796" s="1004"/>
      <c r="AI796" s="1004"/>
      <c r="AJ796" s="1000"/>
      <c r="AK796" s="1000"/>
      <c r="AL796" s="1000"/>
      <c r="AM796" s="1000"/>
      <c r="AN796" s="1000"/>
      <c r="AO796" s="1000"/>
      <c r="BB796" s="2546">
        <f>(BD796)/(BE796)</f>
        <v>2.5228277636534675</v>
      </c>
      <c r="BC796" s="458" t="str">
        <f t="shared" si="75"/>
        <v>Cooling RES 18 Year EUL</v>
      </c>
      <c r="BD796" s="894">
        <f>(INDEX('Avoided Cost Benefits'!$C$4:$C$857,MATCH(BC796,'Avoided Cost Benefits'!$A$4:$A$857,0)))*F796</f>
        <v>2329.954664214174</v>
      </c>
      <c r="BE796" s="74">
        <f t="shared" si="76"/>
        <v>923.54884379424243</v>
      </c>
    </row>
    <row r="797" spans="1:57" s="65" customFormat="1" x14ac:dyDescent="0.25">
      <c r="A797" s="785"/>
      <c r="B797" s="785"/>
      <c r="C797" s="1572" t="s">
        <v>1322</v>
      </c>
      <c r="D797" s="2058" t="s">
        <v>792</v>
      </c>
      <c r="E797" s="458" t="str">
        <f>CONCATENATE(E796, "_CompE")</f>
        <v>Ductless AC - ROF MF_CompE</v>
      </c>
      <c r="F797" s="999">
        <f>ROUND((($J$965*$J$986*(1/$J$1028-1/$J$1049))/1000)*$J$1091,2)</f>
        <v>867.48</v>
      </c>
      <c r="G797" s="450" t="s">
        <v>737</v>
      </c>
      <c r="H797" s="239">
        <f>VLOOKUP(G797,'CP FACTORS'!$A$3:$B$38, 2, FALSE)</f>
        <v>9.4741810000000004E-4</v>
      </c>
      <c r="I797" s="2046">
        <f>ROUND(F797*H797,6)</f>
        <v>0.82186599999999999</v>
      </c>
      <c r="J797" s="541">
        <f>J796</f>
        <v>18</v>
      </c>
      <c r="K797" s="2059">
        <f>K796</f>
        <v>978.5</v>
      </c>
      <c r="L797" s="340">
        <f>K965</f>
        <v>1.5</v>
      </c>
      <c r="M797" s="1884"/>
      <c r="N797" s="1884"/>
      <c r="O797" s="1884"/>
      <c r="P797" s="1884"/>
      <c r="Q797" s="1884"/>
      <c r="R797" s="2055"/>
      <c r="S797" s="1884"/>
      <c r="T797" s="1884"/>
      <c r="U797" s="1884"/>
      <c r="V797" s="182" t="s">
        <v>20</v>
      </c>
      <c r="W797" s="1001"/>
      <c r="X797" s="1002"/>
      <c r="Y797" s="163">
        <v>1164.95</v>
      </c>
      <c r="Z797" s="1003"/>
      <c r="AA797" s="62"/>
      <c r="AB797" s="62"/>
      <c r="AC797" s="62"/>
      <c r="AD797" s="62"/>
      <c r="AE797" s="62"/>
      <c r="AF797" s="62"/>
      <c r="AG797" s="62"/>
      <c r="AH797" s="1004"/>
      <c r="AI797" s="1004"/>
      <c r="AJ797" s="1000"/>
      <c r="AK797" s="1000"/>
      <c r="AL797" s="1000"/>
      <c r="AM797" s="1000"/>
      <c r="AN797" s="1000"/>
      <c r="AO797" s="1000"/>
      <c r="BB797" s="2546">
        <f>(BD797)/(BE797)</f>
        <v>1.6567265427289661</v>
      </c>
      <c r="BC797" s="458" t="str">
        <f>CONCATENATE(G797," ",J797," Year EUL")</f>
        <v>Cooling RES 18 Year EUL</v>
      </c>
      <c r="BD797" s="894">
        <f>(INDEX('Avoided Cost Benefits'!$C$4:$C$857,MATCH(BC797,'Avoided Cost Benefits'!$A$4:$A$857,0)))*F797</f>
        <v>1530.0678830205693</v>
      </c>
      <c r="BE797" s="74">
        <f>K797/(1.0595^(2020-2019))</f>
        <v>923.54884379424243</v>
      </c>
    </row>
    <row r="798" spans="1:57" s="65" customFormat="1" x14ac:dyDescent="0.25">
      <c r="A798" s="785"/>
      <c r="B798" s="177"/>
      <c r="C798" s="1942" t="s">
        <v>1323</v>
      </c>
      <c r="D798" s="2016" t="s">
        <v>797</v>
      </c>
      <c r="E798" s="884" t="s">
        <v>1324</v>
      </c>
      <c r="F798" s="999">
        <f>ROUND((($J$959*$J$980*(1/$J$1001-1/$J$1043))/1000)*$J$1075,2)</f>
        <v>214.85</v>
      </c>
      <c r="G798" s="450" t="s">
        <v>737</v>
      </c>
      <c r="H798" s="239">
        <f>VLOOKUP(G798,'CP FACTORS'!$A$3:$B$38, 2, FALSE)</f>
        <v>9.4741810000000004E-4</v>
      </c>
      <c r="I798" s="2046">
        <f t="shared" si="77"/>
        <v>0.20355300000000001</v>
      </c>
      <c r="J798" s="157">
        <f>J1126</f>
        <v>18</v>
      </c>
      <c r="K798" s="610">
        <f>J1160</f>
        <v>705</v>
      </c>
      <c r="L798" s="340">
        <f>K952</f>
        <v>1.5</v>
      </c>
      <c r="M798" s="1884"/>
      <c r="N798" s="1884"/>
      <c r="O798" s="1884"/>
      <c r="P798" s="1884"/>
      <c r="Q798" s="1884"/>
      <c r="R798" s="2055"/>
      <c r="S798" s="1884"/>
      <c r="T798" s="1884"/>
      <c r="U798" s="1884"/>
      <c r="V798" s="182" t="s">
        <v>20</v>
      </c>
      <c r="W798" s="1001">
        <v>356.48140969163001</v>
      </c>
      <c r="X798" s="1002">
        <v>343.28687958567122</v>
      </c>
      <c r="Y798" s="163">
        <v>214.85</v>
      </c>
      <c r="Z798" s="1003"/>
      <c r="AA798" s="62"/>
      <c r="AB798" s="62"/>
      <c r="AC798" s="62"/>
      <c r="AD798" s="62"/>
      <c r="AE798" s="62"/>
      <c r="AF798" s="62"/>
      <c r="AG798" s="62"/>
      <c r="AH798" s="1004"/>
      <c r="AI798" s="1004"/>
      <c r="AJ798" s="1000"/>
      <c r="AK798" s="1000"/>
      <c r="AL798" s="1000"/>
      <c r="AM798" s="1000"/>
      <c r="AN798" s="1000"/>
      <c r="AO798" s="1000"/>
      <c r="BB798" s="350">
        <f>(BD798+BD799)/(BE798+BE799)</f>
        <v>0.92633178330882326</v>
      </c>
      <c r="BC798" s="884" t="str">
        <f t="shared" si="75"/>
        <v>Cooling RES 18 Year EUL</v>
      </c>
      <c r="BD798" s="894">
        <f>(INDEX('Avoided Cost Benefits'!$C$4:$C$857,MATCH(BC798,'Avoided Cost Benefits'!$A$4:$A$857,0)))*F798</f>
        <v>378.95407924905396</v>
      </c>
      <c r="BE798" s="74">
        <f t="shared" si="76"/>
        <v>665.40821142048128</v>
      </c>
    </row>
    <row r="799" spans="1:57" s="65" customFormat="1" x14ac:dyDescent="0.25">
      <c r="A799" s="785"/>
      <c r="B799" s="177"/>
      <c r="C799" s="1942" t="s">
        <v>1323</v>
      </c>
      <c r="D799" s="2016" t="s">
        <v>797</v>
      </c>
      <c r="E799" s="892" t="s">
        <v>1324</v>
      </c>
      <c r="F799" s="999">
        <f>ROUND((($J$854*$J$875*(1/$J$896-1/$J$938))/1000)*$J$1076,2)</f>
        <v>513.91</v>
      </c>
      <c r="G799" s="450" t="s">
        <v>738</v>
      </c>
      <c r="H799" s="239">
        <f>VLOOKUP(G799,'CP FACTORS'!$A$3:$B$38, 2, FALSE)</f>
        <v>0</v>
      </c>
      <c r="I799" s="2046">
        <f t="shared" si="77"/>
        <v>0</v>
      </c>
      <c r="J799" s="157">
        <f>J1127</f>
        <v>18</v>
      </c>
      <c r="K799" s="610">
        <f>J1161</f>
        <v>0</v>
      </c>
      <c r="L799" s="340"/>
      <c r="M799" s="1884"/>
      <c r="N799" s="1884"/>
      <c r="O799" s="1884"/>
      <c r="P799" s="1884"/>
      <c r="Q799" s="1884"/>
      <c r="R799" s="2055"/>
      <c r="S799" s="1884"/>
      <c r="T799" s="1884"/>
      <c r="U799" s="1884"/>
      <c r="V799" s="182" t="s">
        <v>20</v>
      </c>
      <c r="W799" s="1001">
        <v>688.58947368421047</v>
      </c>
      <c r="X799" s="1002">
        <v>588.317504093769</v>
      </c>
      <c r="Y799" s="163">
        <v>513.91</v>
      </c>
      <c r="Z799" s="1003"/>
      <c r="AA799" s="62"/>
      <c r="AB799" s="62"/>
      <c r="AC799" s="62"/>
      <c r="AD799" s="62"/>
      <c r="AE799" s="62"/>
      <c r="AF799" s="62"/>
      <c r="AG799" s="62"/>
      <c r="AH799" s="1004"/>
      <c r="AI799" s="1004"/>
      <c r="AJ799" s="1000"/>
      <c r="AK799" s="1000"/>
      <c r="AL799" s="1000"/>
      <c r="AM799" s="1000"/>
      <c r="AN799" s="1000"/>
      <c r="AO799" s="1000"/>
      <c r="BB799" s="348"/>
      <c r="BC799" s="892" t="str">
        <f t="shared" si="75"/>
        <v>Heating RES 18 Year EUL</v>
      </c>
      <c r="BD799" s="894">
        <f>(INDEX('Avoided Cost Benefits'!$C$4:$C$857,MATCH(BC799,'Avoided Cost Benefits'!$A$4:$A$857,0)))*F799</f>
        <v>237.43469586441489</v>
      </c>
      <c r="BE799" s="74">
        <f t="shared" si="76"/>
        <v>0</v>
      </c>
    </row>
    <row r="800" spans="1:57" s="65" customFormat="1" x14ac:dyDescent="0.25">
      <c r="A800" s="785"/>
      <c r="B800" s="785"/>
      <c r="C800" s="1572" t="s">
        <v>1325</v>
      </c>
      <c r="D800" s="2058" t="s">
        <v>792</v>
      </c>
      <c r="E800" s="884" t="str">
        <f>CONCATENATE(E798, "_CompE")</f>
        <v>Ductless ASHP - ROF MF NC_CompE</v>
      </c>
      <c r="F800" s="999">
        <f>ROUND((($J$966*$J$987*(1/$J$1008-1/$J$1050))/1000)*$J$1092,2)</f>
        <v>141.09</v>
      </c>
      <c r="G800" s="450" t="s">
        <v>737</v>
      </c>
      <c r="H800" s="239">
        <f>VLOOKUP(G800,'CP FACTORS'!$A$3:$B$38, 2, FALSE)</f>
        <v>9.4741810000000004E-4</v>
      </c>
      <c r="I800" s="2046">
        <f>ROUND(F800*H800,6)</f>
        <v>0.13367100000000001</v>
      </c>
      <c r="J800" s="541">
        <f>J798</f>
        <v>18</v>
      </c>
      <c r="K800" s="2059">
        <f>K798</f>
        <v>705</v>
      </c>
      <c r="L800" s="340">
        <f>K966</f>
        <v>1.5</v>
      </c>
      <c r="M800" s="1884"/>
      <c r="N800" s="1884"/>
      <c r="O800" s="1884"/>
      <c r="P800" s="1884"/>
      <c r="Q800" s="1884"/>
      <c r="R800" s="2055"/>
      <c r="S800" s="1884"/>
      <c r="T800" s="1884"/>
      <c r="U800" s="1884"/>
      <c r="V800" s="182" t="s">
        <v>20</v>
      </c>
      <c r="W800" s="1001">
        <v>356.48140969163001</v>
      </c>
      <c r="X800" s="1002"/>
      <c r="Y800" s="163">
        <v>189.47</v>
      </c>
      <c r="Z800" s="1003"/>
      <c r="AA800" s="62"/>
      <c r="AB800" s="62"/>
      <c r="AC800" s="62"/>
      <c r="AD800" s="62"/>
      <c r="AE800" s="62"/>
      <c r="AF800" s="62"/>
      <c r="AG800" s="62"/>
      <c r="AH800" s="1004"/>
      <c r="AI800" s="1004"/>
      <c r="AJ800" s="1000"/>
      <c r="AK800" s="1000"/>
      <c r="AL800" s="1000"/>
      <c r="AM800" s="1000"/>
      <c r="AN800" s="1000"/>
      <c r="AO800" s="1000"/>
      <c r="BB800" s="350">
        <f>(BD800+BD801)/(BE800+BE801)</f>
        <v>0.50960689183843633</v>
      </c>
      <c r="BC800" s="884" t="str">
        <f>CONCATENATE(G800," ",J800," Year EUL")</f>
        <v>Cooling RES 18 Year EUL</v>
      </c>
      <c r="BD800" s="894">
        <f>(INDEX('Avoided Cost Benefits'!$C$4:$C$857,MATCH(BC800,'Avoided Cost Benefits'!$A$4:$A$857,0)))*F800</f>
        <v>248.85562504653956</v>
      </c>
      <c r="BE800" s="74">
        <f>K800/(1.0595^(2020-2019))</f>
        <v>665.40821142048128</v>
      </c>
    </row>
    <row r="801" spans="1:57" s="65" customFormat="1" x14ac:dyDescent="0.25">
      <c r="A801" s="785"/>
      <c r="B801" s="785"/>
      <c r="C801" s="1572" t="s">
        <v>1325</v>
      </c>
      <c r="D801" s="2058" t="s">
        <v>792</v>
      </c>
      <c r="E801" s="892" t="str">
        <f>CONCATENATE(E799, "_CompE")</f>
        <v>Ductless ASHP - ROF MF NC_CompE</v>
      </c>
      <c r="F801" s="999">
        <f>ROUND((($J$861*$J$882*(1/$J$903-1/$J$945))/1000)*$J$1093,2)</f>
        <v>195.32</v>
      </c>
      <c r="G801" s="450" t="s">
        <v>738</v>
      </c>
      <c r="H801" s="239">
        <f>VLOOKUP(G801,'CP FACTORS'!$A$3:$B$38, 2, FALSE)</f>
        <v>0</v>
      </c>
      <c r="I801" s="2046">
        <f>ROUND(F801*H801,6)</f>
        <v>0</v>
      </c>
      <c r="J801" s="541">
        <f>J799</f>
        <v>18</v>
      </c>
      <c r="K801" s="2059">
        <f>K799</f>
        <v>0</v>
      </c>
      <c r="L801" s="340"/>
      <c r="M801" s="1884"/>
      <c r="N801" s="1884"/>
      <c r="O801" s="1884"/>
      <c r="P801" s="1884"/>
      <c r="Q801" s="1884"/>
      <c r="R801" s="2055"/>
      <c r="S801" s="1884"/>
      <c r="T801" s="1884"/>
      <c r="U801" s="1884"/>
      <c r="V801" s="182" t="s">
        <v>20</v>
      </c>
      <c r="W801" s="1001">
        <v>688.58947368421047</v>
      </c>
      <c r="X801" s="1002"/>
      <c r="Y801" s="163">
        <v>236.58</v>
      </c>
      <c r="Z801" s="1003"/>
      <c r="AA801" s="62"/>
      <c r="AB801" s="62"/>
      <c r="AC801" s="62"/>
      <c r="AD801" s="62"/>
      <c r="AE801" s="62"/>
      <c r="AF801" s="62"/>
      <c r="AG801" s="62"/>
      <c r="AH801" s="1004"/>
      <c r="AI801" s="1004"/>
      <c r="AJ801" s="1000"/>
      <c r="AK801" s="1000"/>
      <c r="AL801" s="1000"/>
      <c r="AM801" s="1000"/>
      <c r="AN801" s="1000"/>
      <c r="AO801" s="1000"/>
      <c r="BB801" s="348"/>
      <c r="BC801" s="892" t="str">
        <f>CONCATENATE(G801," ",J801," Year EUL")</f>
        <v>Heating RES 18 Year EUL</v>
      </c>
      <c r="BD801" s="894">
        <f>(INDEX('Avoided Cost Benefits'!$C$4:$C$857,MATCH(BC801,'Avoided Cost Benefits'!$A$4:$A$857,0)))*F801</f>
        <v>90.240985379224995</v>
      </c>
      <c r="BE801" s="74">
        <f>K801/(1.0595^(2020-2019))</f>
        <v>0</v>
      </c>
    </row>
    <row r="802" spans="1:57" s="65" customFormat="1" x14ac:dyDescent="0.25">
      <c r="A802" s="785"/>
      <c r="B802" s="177"/>
      <c r="C802" s="1942" t="s">
        <v>1326</v>
      </c>
      <c r="D802" s="2016" t="s">
        <v>797</v>
      </c>
      <c r="E802" s="884" t="s">
        <v>1327</v>
      </c>
      <c r="F802" s="999">
        <f>ROUND((($J$960*$J$981*(1/$J$1002-1/$J$1044))/1000)*$J$1077,2)</f>
        <v>214.85</v>
      </c>
      <c r="G802" s="450" t="s">
        <v>737</v>
      </c>
      <c r="H802" s="239">
        <f>VLOOKUP(G802,'CP FACTORS'!$A$3:$B$38, 2, FALSE)</f>
        <v>9.4741810000000004E-4</v>
      </c>
      <c r="I802" s="2046">
        <f t="shared" si="77"/>
        <v>0.20355300000000001</v>
      </c>
      <c r="J802" s="157">
        <f>J1128</f>
        <v>18</v>
      </c>
      <c r="K802" s="610">
        <f>J1162</f>
        <v>705</v>
      </c>
      <c r="L802" s="340">
        <f>K953</f>
        <v>1.5</v>
      </c>
      <c r="M802" s="1884"/>
      <c r="N802" s="1884"/>
      <c r="O802" s="1884"/>
      <c r="P802" s="1884"/>
      <c r="Q802" s="1884"/>
      <c r="R802" s="2055"/>
      <c r="S802" s="1884"/>
      <c r="T802" s="1884"/>
      <c r="U802" s="1884"/>
      <c r="V802" s="182" t="s">
        <v>20</v>
      </c>
      <c r="W802" s="1001">
        <v>356.48140969163001</v>
      </c>
      <c r="X802" s="1002">
        <v>343.28687958567122</v>
      </c>
      <c r="Y802" s="163">
        <v>214.85</v>
      </c>
      <c r="Z802" s="1003"/>
      <c r="AA802" s="62"/>
      <c r="AB802" s="62"/>
      <c r="AC802" s="62"/>
      <c r="AD802" s="62"/>
      <c r="AE802" s="62"/>
      <c r="AF802" s="62"/>
      <c r="AG802" s="62"/>
      <c r="AH802" s="1004"/>
      <c r="AI802" s="1004"/>
      <c r="AJ802" s="1000"/>
      <c r="AK802" s="1000"/>
      <c r="AL802" s="1000"/>
      <c r="AM802" s="1000"/>
      <c r="AN802" s="1000"/>
      <c r="AO802" s="1000"/>
      <c r="BB802" s="350">
        <f>(BD802+BD803)/(BE802+BE803)</f>
        <v>0.92633178330882326</v>
      </c>
      <c r="BC802" s="884" t="str">
        <f t="shared" si="75"/>
        <v>Cooling RES 18 Year EUL</v>
      </c>
      <c r="BD802" s="894">
        <f>(INDEX('Avoided Cost Benefits'!$C$4:$C$857,MATCH(BC802,'Avoided Cost Benefits'!$A$4:$A$857,0)))*F802</f>
        <v>378.95407924905396</v>
      </c>
      <c r="BE802" s="74">
        <f t="shared" si="76"/>
        <v>665.40821142048128</v>
      </c>
    </row>
    <row r="803" spans="1:57" s="65" customFormat="1" x14ac:dyDescent="0.25">
      <c r="A803" s="785"/>
      <c r="B803" s="177"/>
      <c r="C803" s="1942" t="s">
        <v>1326</v>
      </c>
      <c r="D803" s="2016" t="s">
        <v>797</v>
      </c>
      <c r="E803" s="892" t="s">
        <v>1327</v>
      </c>
      <c r="F803" s="999">
        <f>ROUND((($J$855*$J$875*(1/$J$897-1/$J$939))/1000)*$J$1078,2)</f>
        <v>513.91</v>
      </c>
      <c r="G803" s="450" t="s">
        <v>738</v>
      </c>
      <c r="H803" s="239">
        <f>VLOOKUP(G803,'CP FACTORS'!$A$3:$B$38, 2, FALSE)</f>
        <v>0</v>
      </c>
      <c r="I803" s="2046">
        <f t="shared" si="77"/>
        <v>0</v>
      </c>
      <c r="J803" s="157">
        <f>J1129</f>
        <v>18</v>
      </c>
      <c r="K803" s="610">
        <f>J1163</f>
        <v>0</v>
      </c>
      <c r="L803" s="340"/>
      <c r="M803" s="1884"/>
      <c r="N803" s="1884"/>
      <c r="O803" s="1884"/>
      <c r="P803" s="1884"/>
      <c r="Q803" s="1884"/>
      <c r="R803" s="2055"/>
      <c r="S803" s="1884"/>
      <c r="T803" s="1884"/>
      <c r="U803" s="1884"/>
      <c r="V803" s="182" t="s">
        <v>20</v>
      </c>
      <c r="W803" s="1001">
        <v>688.58947368421047</v>
      </c>
      <c r="X803" s="1002">
        <v>588.317504093769</v>
      </c>
      <c r="Y803" s="163">
        <v>513.91</v>
      </c>
      <c r="Z803" s="1003"/>
      <c r="AA803" s="62"/>
      <c r="AB803" s="62"/>
      <c r="AC803" s="62"/>
      <c r="AD803" s="62"/>
      <c r="AE803" s="62"/>
      <c r="AF803" s="62"/>
      <c r="AG803" s="62"/>
      <c r="AH803" s="1004"/>
      <c r="AI803" s="1004"/>
      <c r="AJ803" s="1000"/>
      <c r="AK803" s="1000"/>
      <c r="AL803" s="1000"/>
      <c r="AM803" s="1000"/>
      <c r="AN803" s="1000"/>
      <c r="AO803" s="1000"/>
      <c r="BB803" s="348"/>
      <c r="BC803" s="892" t="str">
        <f t="shared" si="75"/>
        <v>Heating RES 18 Year EUL</v>
      </c>
      <c r="BD803" s="894">
        <f>(INDEX('Avoided Cost Benefits'!$C$4:$C$857,MATCH(BC803,'Avoided Cost Benefits'!$A$4:$A$857,0)))*F803</f>
        <v>237.43469586441489</v>
      </c>
      <c r="BE803" s="74">
        <f t="shared" si="76"/>
        <v>0</v>
      </c>
    </row>
    <row r="804" spans="1:57" s="65" customFormat="1" x14ac:dyDescent="0.25">
      <c r="A804" s="785"/>
      <c r="B804" s="785"/>
      <c r="C804" s="1572" t="s">
        <v>1328</v>
      </c>
      <c r="D804" s="2058" t="s">
        <v>792</v>
      </c>
      <c r="E804" s="884" t="str">
        <f>CONCATENATE(E802, "_CompE")</f>
        <v>Ductless ASHP - ROF MF_CompE</v>
      </c>
      <c r="F804" s="999">
        <f>ROUND((($J$967*$J$988*(1/$J$1009-1/$J$1051))/1000)*$J$1094,2)</f>
        <v>141.09</v>
      </c>
      <c r="G804" s="450" t="s">
        <v>737</v>
      </c>
      <c r="H804" s="239">
        <f>VLOOKUP(G804,'CP FACTORS'!$A$3:$B$38, 2, FALSE)</f>
        <v>9.4741810000000004E-4</v>
      </c>
      <c r="I804" s="2046">
        <f>ROUND(F804*H804,6)</f>
        <v>0.13367100000000001</v>
      </c>
      <c r="J804" s="541">
        <f>J802</f>
        <v>18</v>
      </c>
      <c r="K804" s="2059">
        <f>K802</f>
        <v>705</v>
      </c>
      <c r="L804" s="340">
        <f>K967</f>
        <v>1.5</v>
      </c>
      <c r="M804" s="1884"/>
      <c r="N804" s="1884"/>
      <c r="O804" s="1884"/>
      <c r="P804" s="1884"/>
      <c r="Q804" s="1884"/>
      <c r="R804" s="2055"/>
      <c r="S804" s="1884"/>
      <c r="T804" s="1884"/>
      <c r="U804" s="1884"/>
      <c r="V804" s="182" t="s">
        <v>20</v>
      </c>
      <c r="W804" s="1001"/>
      <c r="X804" s="1002"/>
      <c r="Y804" s="163">
        <v>189.47</v>
      </c>
      <c r="Z804" s="1003"/>
      <c r="AA804" s="62"/>
      <c r="AB804" s="62"/>
      <c r="AC804" s="62"/>
      <c r="AD804" s="62"/>
      <c r="AE804" s="62"/>
      <c r="AF804" s="62"/>
      <c r="AG804" s="62"/>
      <c r="AH804" s="1004"/>
      <c r="AI804" s="1004"/>
      <c r="AJ804" s="1000"/>
      <c r="AK804" s="1000"/>
      <c r="AL804" s="1000"/>
      <c r="AM804" s="1000"/>
      <c r="AN804" s="1000"/>
      <c r="AO804" s="1000"/>
      <c r="BB804" s="350">
        <f>(BD804+BD805)/(BE804+BE805)</f>
        <v>0.50960689183843633</v>
      </c>
      <c r="BC804" s="884" t="str">
        <f>CONCATENATE(G804," ",J804," Year EUL")</f>
        <v>Cooling RES 18 Year EUL</v>
      </c>
      <c r="BD804" s="894">
        <f>(INDEX('Avoided Cost Benefits'!$C$4:$C$857,MATCH(BC804,'Avoided Cost Benefits'!$A$4:$A$857,0)))*F804</f>
        <v>248.85562504653956</v>
      </c>
      <c r="BE804" s="74">
        <f>K804/(1.0595^(2020-2019))</f>
        <v>665.40821142048128</v>
      </c>
    </row>
    <row r="805" spans="1:57" s="65" customFormat="1" x14ac:dyDescent="0.25">
      <c r="A805" s="785"/>
      <c r="B805" s="785"/>
      <c r="C805" s="1572" t="s">
        <v>1328</v>
      </c>
      <c r="D805" s="2058" t="s">
        <v>792</v>
      </c>
      <c r="E805" s="892" t="str">
        <f>CONCATENATE(E803, "_CompE")</f>
        <v>Ductless ASHP - ROF MF_CompE</v>
      </c>
      <c r="F805" s="999">
        <f>ROUND((($J$862*$J$883*(1/$J$904-1/$J$946))/1000)*$J$1095,2)</f>
        <v>195.32</v>
      </c>
      <c r="G805" s="450" t="s">
        <v>738</v>
      </c>
      <c r="H805" s="239">
        <f>VLOOKUP(G805,'CP FACTORS'!$A$3:$B$38, 2, FALSE)</f>
        <v>0</v>
      </c>
      <c r="I805" s="2046">
        <f>ROUND(F805*H805,6)</f>
        <v>0</v>
      </c>
      <c r="J805" s="541">
        <f>J803</f>
        <v>18</v>
      </c>
      <c r="K805" s="2059">
        <f>K803</f>
        <v>0</v>
      </c>
      <c r="L805" s="340"/>
      <c r="M805" s="1884"/>
      <c r="N805" s="1884"/>
      <c r="O805" s="1884"/>
      <c r="P805" s="1884"/>
      <c r="Q805" s="1884"/>
      <c r="R805" s="2055"/>
      <c r="S805" s="1884"/>
      <c r="T805" s="1884"/>
      <c r="U805" s="1884"/>
      <c r="V805" s="182" t="s">
        <v>20</v>
      </c>
      <c r="W805" s="1001"/>
      <c r="X805" s="1002"/>
      <c r="Y805" s="163">
        <v>236.58</v>
      </c>
      <c r="Z805" s="1003"/>
      <c r="AA805" s="62"/>
      <c r="AB805" s="62"/>
      <c r="AC805" s="62"/>
      <c r="AD805" s="62"/>
      <c r="AE805" s="62"/>
      <c r="AF805" s="62"/>
      <c r="AG805" s="62"/>
      <c r="AH805" s="1004"/>
      <c r="AI805" s="1004"/>
      <c r="AJ805" s="1000"/>
      <c r="AK805" s="1000"/>
      <c r="AL805" s="1000"/>
      <c r="AM805" s="1000"/>
      <c r="AN805" s="1000"/>
      <c r="AO805" s="1000"/>
      <c r="BB805" s="348"/>
      <c r="BC805" s="892" t="str">
        <f>CONCATENATE(G805," ",J805," Year EUL")</f>
        <v>Heating RES 18 Year EUL</v>
      </c>
      <c r="BD805" s="894">
        <f>(INDEX('Avoided Cost Benefits'!$C$4:$C$857,MATCH(BC805,'Avoided Cost Benefits'!$A$4:$A$857,0)))*F805</f>
        <v>90.240985379224995</v>
      </c>
      <c r="BE805" s="74">
        <f>K805/(1.0595^(2020-2019))</f>
        <v>0</v>
      </c>
    </row>
    <row r="806" spans="1:57" s="65" customFormat="1" x14ac:dyDescent="0.25">
      <c r="A806" s="785"/>
      <c r="B806" s="177"/>
      <c r="C806" s="1942" t="s">
        <v>1329</v>
      </c>
      <c r="D806" s="2016" t="s">
        <v>797</v>
      </c>
      <c r="E806" s="884" t="s">
        <v>1330</v>
      </c>
      <c r="F806" s="999">
        <f>ROUND((($J$961*$J$982*(1/$J$1024-1/$J$1045))/1000)*$J$1079,2)</f>
        <v>1175.8</v>
      </c>
      <c r="G806" s="450" t="s">
        <v>737</v>
      </c>
      <c r="H806" s="239">
        <f>VLOOKUP(G806,'CP FACTORS'!$A$3:$B$38, 2, FALSE)</f>
        <v>9.4741810000000004E-4</v>
      </c>
      <c r="I806" s="2046">
        <f t="shared" si="77"/>
        <v>1.113974</v>
      </c>
      <c r="J806" s="157">
        <f>J1130</f>
        <v>6</v>
      </c>
      <c r="K806" s="610">
        <f>J1164</f>
        <v>1590</v>
      </c>
      <c r="L806" s="340">
        <f>K954</f>
        <v>1.5</v>
      </c>
      <c r="M806" s="1884"/>
      <c r="N806" s="1884"/>
      <c r="O806" s="1884"/>
      <c r="P806" s="1884"/>
      <c r="Q806" s="1884"/>
      <c r="R806" s="2055"/>
      <c r="S806" s="1884"/>
      <c r="T806" s="1884"/>
      <c r="U806" s="1884"/>
      <c r="V806" s="182" t="s">
        <v>20</v>
      </c>
      <c r="W806" s="1001">
        <v>971.87426470588241</v>
      </c>
      <c r="X806" s="1002">
        <v>1056.3780560562595</v>
      </c>
      <c r="Y806" s="163">
        <v>1175.8</v>
      </c>
      <c r="Z806" s="1003"/>
      <c r="AA806" s="62"/>
      <c r="AB806" s="62"/>
      <c r="AC806" s="62"/>
      <c r="AD806" s="62"/>
      <c r="AE806" s="62"/>
      <c r="AF806" s="62"/>
      <c r="AG806" s="62"/>
      <c r="AH806" s="1004"/>
      <c r="AI806" s="1004"/>
      <c r="AJ806" s="1000"/>
      <c r="AK806" s="1000"/>
      <c r="AL806" s="1000"/>
      <c r="AM806" s="1000"/>
      <c r="AN806" s="1000"/>
      <c r="AO806" s="1000"/>
      <c r="BB806" s="350">
        <f>(BD806+BD807+BD808+BD809)/(BE806+BE807+BE808+BE809)</f>
        <v>1.9270953860508322</v>
      </c>
      <c r="BC806" s="884" t="str">
        <f t="shared" si="75"/>
        <v>Cooling RES 6 Year EUL</v>
      </c>
      <c r="BD806" s="894">
        <f>(INDEX('Avoided Cost Benefits'!$C$4:$C$857,MATCH(BC806,'Avoided Cost Benefits'!$A$4:$A$857,0)))*F806</f>
        <v>683.70907877898162</v>
      </c>
      <c r="BE806" s="74">
        <f t="shared" si="76"/>
        <v>1500.707881075979</v>
      </c>
    </row>
    <row r="807" spans="1:57" s="65" customFormat="1" x14ac:dyDescent="0.25">
      <c r="A807" s="785"/>
      <c r="B807" s="177"/>
      <c r="C807" s="1942" t="s">
        <v>1329</v>
      </c>
      <c r="D807" s="2016" t="s">
        <v>797</v>
      </c>
      <c r="E807" s="994" t="s">
        <v>1330</v>
      </c>
      <c r="F807" s="999">
        <f>ROUND((($J$856*$J$876*(1/$J$919-1/$J$940))/1000)*$J$1080,2)</f>
        <v>3822.23</v>
      </c>
      <c r="G807" s="450" t="s">
        <v>738</v>
      </c>
      <c r="H807" s="239">
        <f>VLOOKUP(G807,'CP FACTORS'!$A$3:$B$38, 2, FALSE)</f>
        <v>0</v>
      </c>
      <c r="I807" s="2046">
        <f t="shared" si="77"/>
        <v>0</v>
      </c>
      <c r="J807" s="157">
        <f>J1131</f>
        <v>6</v>
      </c>
      <c r="K807" s="610">
        <f>J1165</f>
        <v>0</v>
      </c>
      <c r="L807" s="340"/>
      <c r="M807" s="1884"/>
      <c r="N807" s="1884"/>
      <c r="O807" s="1884"/>
      <c r="P807" s="1884"/>
      <c r="Q807" s="1884"/>
      <c r="R807" s="2055"/>
      <c r="S807" s="1884"/>
      <c r="T807" s="1884"/>
      <c r="U807" s="1884"/>
      <c r="V807" s="182" t="s">
        <v>20</v>
      </c>
      <c r="W807" s="1001">
        <v>3391.6348573661585</v>
      </c>
      <c r="X807" s="1002">
        <v>3583.6754087630852</v>
      </c>
      <c r="Y807" s="163">
        <v>3822.23</v>
      </c>
      <c r="Z807" s="1003"/>
      <c r="AA807" s="62"/>
      <c r="AB807" s="62"/>
      <c r="AC807" s="62"/>
      <c r="AD807" s="62"/>
      <c r="AE807" s="62"/>
      <c r="AF807" s="62"/>
      <c r="AG807" s="62"/>
      <c r="AH807" s="1004"/>
      <c r="AI807" s="1004"/>
      <c r="AJ807" s="1000"/>
      <c r="AK807" s="1000"/>
      <c r="AL807" s="1000"/>
      <c r="AM807" s="1000"/>
      <c r="AN807" s="1000"/>
      <c r="AO807" s="1000"/>
      <c r="BB807" s="995"/>
      <c r="BC807" s="994" t="str">
        <f t="shared" si="75"/>
        <v>Heating RES 6 Year EUL</v>
      </c>
      <c r="BD807" s="894">
        <f>(INDEX('Avoided Cost Benefits'!$C$4:$C$857,MATCH(BC807,'Avoided Cost Benefits'!$A$4:$A$857,0)))*F807</f>
        <v>635.76490982922712</v>
      </c>
      <c r="BE807" s="74">
        <f t="shared" si="76"/>
        <v>0</v>
      </c>
    </row>
    <row r="808" spans="1:57" s="65" customFormat="1" x14ac:dyDescent="0.25">
      <c r="A808" s="785"/>
      <c r="B808" s="177"/>
      <c r="C808" s="1942" t="s">
        <v>1329</v>
      </c>
      <c r="D808" s="2016" t="s">
        <v>797</v>
      </c>
      <c r="E808" s="994" t="s">
        <v>1331</v>
      </c>
      <c r="F808" s="999">
        <f>ROUND((($J$961*$J$982*(1/$J$1003-1/$J$1045))/1000)*$J$1081,2)</f>
        <v>374.15</v>
      </c>
      <c r="G808" s="2045" t="s">
        <v>1214</v>
      </c>
      <c r="H808" s="239">
        <f>VLOOKUP(G808,'CP FACTORS'!$A$3:$B$38, 2, FALSE)</f>
        <v>9.4741810000000004E-4</v>
      </c>
      <c r="I808" s="2046">
        <f t="shared" si="77"/>
        <v>0.35447600000000001</v>
      </c>
      <c r="J808" s="157">
        <f>J1132</f>
        <v>12</v>
      </c>
      <c r="K808" s="610">
        <f>J1166</f>
        <v>0</v>
      </c>
      <c r="L808" s="340"/>
      <c r="M808" s="1884"/>
      <c r="N808" s="1884"/>
      <c r="O808" s="1884"/>
      <c r="P808" s="1884"/>
      <c r="Q808" s="1884"/>
      <c r="R808" s="2055"/>
      <c r="S808" s="1884"/>
      <c r="T808" s="1884"/>
      <c r="U808" s="1884"/>
      <c r="V808" s="182" t="s">
        <v>20</v>
      </c>
      <c r="W808" s="1001">
        <v>306.32250000000005</v>
      </c>
      <c r="X808" s="1002">
        <v>343.28687958567122</v>
      </c>
      <c r="Y808" s="163">
        <v>374.15</v>
      </c>
      <c r="Z808" s="1003"/>
      <c r="AA808" s="62"/>
      <c r="AB808" s="62"/>
      <c r="AC808" s="62"/>
      <c r="AD808" s="62"/>
      <c r="AE808" s="62"/>
      <c r="AF808" s="62"/>
      <c r="AG808" s="62"/>
      <c r="AH808" s="1004"/>
      <c r="AI808" s="1004"/>
      <c r="AJ808" s="1000"/>
      <c r="AK808" s="1000"/>
      <c r="AL808" s="1000"/>
      <c r="AM808" s="1000"/>
      <c r="AN808" s="1000"/>
      <c r="AO808" s="1000"/>
      <c r="BB808" s="995"/>
      <c r="BC808" s="994" t="str">
        <f t="shared" si="75"/>
        <v>Cooling RES ER2 12 Year EUL</v>
      </c>
      <c r="BD808" s="894">
        <f>(INDEX('Avoided Cost Benefits'!$C$4:$C$857,MATCH(BC808,'Avoided Cost Benefits'!$A$4:$A$857,0)))*F808</f>
        <v>442.3663425185444</v>
      </c>
      <c r="BE808" s="74">
        <f t="shared" si="76"/>
        <v>0</v>
      </c>
    </row>
    <row r="809" spans="1:57" s="65" customFormat="1" x14ac:dyDescent="0.25">
      <c r="A809" s="785"/>
      <c r="B809" s="177"/>
      <c r="C809" s="1942" t="s">
        <v>1329</v>
      </c>
      <c r="D809" s="2016" t="s">
        <v>797</v>
      </c>
      <c r="E809" s="892" t="s">
        <v>1331</v>
      </c>
      <c r="F809" s="999">
        <f>ROUND((($J$856*$J$876*(1/$J$898-1/$J$940))/1000)*$J$1082,2)</f>
        <v>3822.23</v>
      </c>
      <c r="G809" s="132" t="s">
        <v>1310</v>
      </c>
      <c r="H809" s="239">
        <f>VLOOKUP(G809,'CP FACTORS'!$A$3:$B$38, 2, FALSE)</f>
        <v>0</v>
      </c>
      <c r="I809" s="2046">
        <f t="shared" si="77"/>
        <v>0</v>
      </c>
      <c r="J809" s="157">
        <f>J1133</f>
        <v>12</v>
      </c>
      <c r="K809" s="610">
        <f>J1167</f>
        <v>0</v>
      </c>
      <c r="L809" s="340"/>
      <c r="M809" s="1884"/>
      <c r="N809" s="1884"/>
      <c r="O809" s="1884"/>
      <c r="P809" s="1884"/>
      <c r="Q809" s="1884"/>
      <c r="R809" s="2055"/>
      <c r="S809" s="1884"/>
      <c r="T809" s="1884"/>
      <c r="U809" s="1884"/>
      <c r="V809" s="182" t="s">
        <v>20</v>
      </c>
      <c r="W809" s="1001">
        <v>725.33333333333314</v>
      </c>
      <c r="X809" s="1002">
        <v>3586.6841445343662</v>
      </c>
      <c r="Y809" s="163">
        <v>3822.23</v>
      </c>
      <c r="Z809" s="1003"/>
      <c r="AA809" s="62"/>
      <c r="AB809" s="62"/>
      <c r="AC809" s="62"/>
      <c r="AD809" s="62"/>
      <c r="AE809" s="62"/>
      <c r="AF809" s="62"/>
      <c r="AG809" s="62"/>
      <c r="AH809" s="1004"/>
      <c r="AI809" s="1004"/>
      <c r="AJ809" s="1000"/>
      <c r="AK809" s="1000"/>
      <c r="AL809" s="1000"/>
      <c r="AM809" s="1000"/>
      <c r="AN809" s="1000"/>
      <c r="AO809" s="1000"/>
      <c r="BB809" s="995"/>
      <c r="BC809" s="892" t="str">
        <f t="shared" si="75"/>
        <v>Heating RES ER2 12 Year EUL</v>
      </c>
      <c r="BD809" s="894">
        <f>(INDEX('Avoided Cost Benefits'!$C$4:$C$857,MATCH(BC809,'Avoided Cost Benefits'!$A$4:$A$857,0)))*F809</f>
        <v>1130.1669023048871</v>
      </c>
      <c r="BE809" s="74">
        <f t="shared" si="76"/>
        <v>0</v>
      </c>
    </row>
    <row r="810" spans="1:57" s="65" customFormat="1" x14ac:dyDescent="0.25">
      <c r="A810" s="785"/>
      <c r="B810" s="785"/>
      <c r="C810" s="1572" t="s">
        <v>1332</v>
      </c>
      <c r="D810" s="2058" t="s">
        <v>792</v>
      </c>
      <c r="E810" s="884" t="str">
        <f>CONCATENATE(E806, "_CompE")</f>
        <v>Ductless ASHP Replace Electric Resistance ER1 MF_CompE</v>
      </c>
      <c r="F810" s="999">
        <f>ROUND((($J$968*$J$989*(1/$J$1031-1/$J$1052))/1000)*$J$1096,2)</f>
        <v>772.14</v>
      </c>
      <c r="G810" s="450" t="s">
        <v>737</v>
      </c>
      <c r="H810" s="239">
        <f>VLOOKUP(G810,'CP FACTORS'!$A$3:$B$38, 2, FALSE)</f>
        <v>9.4741810000000004E-4</v>
      </c>
      <c r="I810" s="2046">
        <f>ROUND(F810*H810,6)</f>
        <v>0.73153900000000005</v>
      </c>
      <c r="J810" s="541">
        <f t="shared" ref="J810:K813" si="78">J806</f>
        <v>6</v>
      </c>
      <c r="K810" s="2059">
        <f t="shared" si="78"/>
        <v>1590</v>
      </c>
      <c r="L810" s="340">
        <f>K968</f>
        <v>1.5</v>
      </c>
      <c r="M810" s="1884"/>
      <c r="N810" s="1884"/>
      <c r="O810" s="1884"/>
      <c r="P810" s="1884"/>
      <c r="Q810" s="1884"/>
      <c r="R810" s="2055"/>
      <c r="S810" s="1884"/>
      <c r="T810" s="1884"/>
      <c r="U810" s="1884"/>
      <c r="V810" s="182" t="s">
        <v>20</v>
      </c>
      <c r="W810" s="1001"/>
      <c r="X810" s="1002"/>
      <c r="Y810" s="163">
        <v>1036.93</v>
      </c>
      <c r="Z810" s="1003"/>
      <c r="AA810" s="62"/>
      <c r="AB810" s="62"/>
      <c r="AC810" s="62"/>
      <c r="AD810" s="62"/>
      <c r="AE810" s="62"/>
      <c r="AF810" s="62"/>
      <c r="AG810" s="62"/>
      <c r="AH810" s="1004"/>
      <c r="AI810" s="1004"/>
      <c r="AJ810" s="1000"/>
      <c r="AK810" s="1000"/>
      <c r="AL810" s="1000"/>
      <c r="AM810" s="1000"/>
      <c r="AN810" s="1000"/>
      <c r="AO810" s="1000"/>
      <c r="BB810" s="350">
        <f>(BD810+BD811+BD812+BD813)/(BE810+BE811+BE812+BE813)</f>
        <v>0.94000528757757085</v>
      </c>
      <c r="BC810" s="884" t="str">
        <f>CONCATENATE(G810," ",J810," Year EUL")</f>
        <v>Cooling RES 6 Year EUL</v>
      </c>
      <c r="BD810" s="894">
        <f>(INDEX('Avoided Cost Benefits'!$C$4:$C$857,MATCH(BC810,'Avoided Cost Benefits'!$A$4:$A$857,0)))*F810</f>
        <v>448.98718156863657</v>
      </c>
      <c r="BE810" s="74">
        <f>K810/(1.0595^(2020-2019))</f>
        <v>1500.707881075979</v>
      </c>
    </row>
    <row r="811" spans="1:57" s="65" customFormat="1" x14ac:dyDescent="0.25">
      <c r="A811" s="785"/>
      <c r="B811" s="785"/>
      <c r="C811" s="1572" t="s">
        <v>1332</v>
      </c>
      <c r="D811" s="2058" t="s">
        <v>792</v>
      </c>
      <c r="E811" s="994" t="str">
        <f>CONCATENATE(E807, "_CompE")</f>
        <v>Ductless ASHP Replace Electric Resistance ER1 MF_CompE</v>
      </c>
      <c r="F811" s="999">
        <f>ROUND((($J$863*$J$884*(1/$J$926-1/$J$947))/1000)*$J$1097,2)</f>
        <v>1452.74</v>
      </c>
      <c r="G811" s="450" t="s">
        <v>738</v>
      </c>
      <c r="H811" s="239">
        <f>VLOOKUP(G811,'CP FACTORS'!$A$3:$B$38, 2, FALSE)</f>
        <v>0</v>
      </c>
      <c r="I811" s="2046">
        <f>ROUND(F811*H811,6)</f>
        <v>0</v>
      </c>
      <c r="J811" s="541">
        <f t="shared" si="78"/>
        <v>6</v>
      </c>
      <c r="K811" s="2059">
        <f t="shared" si="78"/>
        <v>0</v>
      </c>
      <c r="L811" s="340"/>
      <c r="M811" s="1884"/>
      <c r="N811" s="1884"/>
      <c r="O811" s="1884"/>
      <c r="P811" s="1884"/>
      <c r="Q811" s="1884"/>
      <c r="R811" s="2055"/>
      <c r="S811" s="1884"/>
      <c r="T811" s="1884"/>
      <c r="U811" s="1884"/>
      <c r="V811" s="182" t="s">
        <v>20</v>
      </c>
      <c r="W811" s="1001"/>
      <c r="X811" s="1002"/>
      <c r="Y811" s="163">
        <v>1759.56</v>
      </c>
      <c r="Z811" s="1003"/>
      <c r="AA811" s="62"/>
      <c r="AB811" s="62"/>
      <c r="AC811" s="62"/>
      <c r="AD811" s="62"/>
      <c r="AE811" s="62"/>
      <c r="AF811" s="62"/>
      <c r="AG811" s="62"/>
      <c r="AH811" s="1004"/>
      <c r="AI811" s="1004"/>
      <c r="AJ811" s="1000"/>
      <c r="AK811" s="1000"/>
      <c r="AL811" s="1000"/>
      <c r="AM811" s="1000"/>
      <c r="AN811" s="1000"/>
      <c r="AO811" s="1000"/>
      <c r="BB811" s="995"/>
      <c r="BC811" s="994" t="str">
        <f>CONCATENATE(G811," ",J811," Year EUL")</f>
        <v>Heating RES 6 Year EUL</v>
      </c>
      <c r="BD811" s="894">
        <f>(INDEX('Avoided Cost Benefits'!$C$4:$C$857,MATCH(BC811,'Avoided Cost Benefits'!$A$4:$A$857,0)))*F811</f>
        <v>241.63933491844065</v>
      </c>
      <c r="BE811" s="74">
        <f>K811/(1.0595^(2020-2019))</f>
        <v>0</v>
      </c>
    </row>
    <row r="812" spans="1:57" s="65" customFormat="1" x14ac:dyDescent="0.25">
      <c r="A812" s="785"/>
      <c r="B812" s="785"/>
      <c r="C812" s="1572" t="s">
        <v>1332</v>
      </c>
      <c r="D812" s="2058" t="s">
        <v>792</v>
      </c>
      <c r="E812" s="994" t="str">
        <f>CONCATENATE(E808, "_CompE")</f>
        <v>Ductless ASHP Replace Electric Resistance ER2 MF_CompE</v>
      </c>
      <c r="F812" s="999">
        <f>ROUND((($J$968*$J$989*(1/$J$1010-1/$J$1052))/1000)*$J$1098,2)</f>
        <v>245.7</v>
      </c>
      <c r="G812" s="2045" t="s">
        <v>1214</v>
      </c>
      <c r="H812" s="239">
        <f>VLOOKUP(G812,'CP FACTORS'!$A$3:$B$38, 2, FALSE)</f>
        <v>9.4741810000000004E-4</v>
      </c>
      <c r="I812" s="2046">
        <f>ROUND(F812*H812,6)</f>
        <v>0.23278099999999999</v>
      </c>
      <c r="J812" s="541">
        <f t="shared" si="78"/>
        <v>12</v>
      </c>
      <c r="K812" s="2059">
        <f t="shared" si="78"/>
        <v>0</v>
      </c>
      <c r="L812" s="340"/>
      <c r="M812" s="1884"/>
      <c r="N812" s="1884"/>
      <c r="O812" s="1884"/>
      <c r="P812" s="1884"/>
      <c r="Q812" s="1884"/>
      <c r="R812" s="2055"/>
      <c r="S812" s="1884"/>
      <c r="T812" s="1884"/>
      <c r="U812" s="1884"/>
      <c r="V812" s="182" t="s">
        <v>20</v>
      </c>
      <c r="W812" s="1001"/>
      <c r="X812" s="1002"/>
      <c r="Y812" s="163">
        <v>329.96</v>
      </c>
      <c r="Z812" s="1003"/>
      <c r="AA812" s="62"/>
      <c r="AB812" s="62"/>
      <c r="AC812" s="62"/>
      <c r="AD812" s="62"/>
      <c r="AE812" s="62"/>
      <c r="AF812" s="62"/>
      <c r="AG812" s="62"/>
      <c r="AH812" s="1004"/>
      <c r="AI812" s="1004"/>
      <c r="AJ812" s="1000"/>
      <c r="AK812" s="1000"/>
      <c r="AL812" s="1000"/>
      <c r="AM812" s="1000"/>
      <c r="AN812" s="1000"/>
      <c r="AO812" s="1000"/>
      <c r="BB812" s="995"/>
      <c r="BC812" s="994" t="str">
        <f>CONCATENATE(G812," ",J812," Year EUL")</f>
        <v>Cooling RES ER2 12 Year EUL</v>
      </c>
      <c r="BD812" s="894">
        <f>(INDEX('Avoided Cost Benefits'!$C$4:$C$857,MATCH(BC812,'Avoided Cost Benefits'!$A$4:$A$857,0)))*F812</f>
        <v>290.4968872292032</v>
      </c>
      <c r="BE812" s="74">
        <f>K812/(1.0595^(2020-2019))</f>
        <v>0</v>
      </c>
    </row>
    <row r="813" spans="1:57" s="65" customFormat="1" x14ac:dyDescent="0.25">
      <c r="A813" s="785"/>
      <c r="B813" s="785"/>
      <c r="C813" s="1572" t="s">
        <v>1332</v>
      </c>
      <c r="D813" s="2058" t="s">
        <v>792</v>
      </c>
      <c r="E813" s="892" t="str">
        <f>CONCATENATE(E809, "_CompE")</f>
        <v>Ductless ASHP Replace Electric Resistance ER2 MF_CompE</v>
      </c>
      <c r="F813" s="999">
        <f>ROUND((($J$863*$J$884*(1/$J$905-1/$J$947))/1000)*$J$1099,2)</f>
        <v>1452.74</v>
      </c>
      <c r="G813" s="132" t="s">
        <v>1310</v>
      </c>
      <c r="H813" s="239">
        <f>VLOOKUP(G813,'CP FACTORS'!$A$3:$B$38, 2, FALSE)</f>
        <v>0</v>
      </c>
      <c r="I813" s="2046">
        <f>ROUND(F813*H813,6)</f>
        <v>0</v>
      </c>
      <c r="J813" s="541">
        <f t="shared" si="78"/>
        <v>12</v>
      </c>
      <c r="K813" s="2059">
        <f t="shared" si="78"/>
        <v>0</v>
      </c>
      <c r="L813" s="340"/>
      <c r="M813" s="1884"/>
      <c r="N813" s="1884"/>
      <c r="O813" s="1884"/>
      <c r="P813" s="1884"/>
      <c r="Q813" s="1884"/>
      <c r="R813" s="2055"/>
      <c r="S813" s="1884"/>
      <c r="T813" s="1884"/>
      <c r="U813" s="1884"/>
      <c r="V813" s="182" t="s">
        <v>20</v>
      </c>
      <c r="W813" s="1001"/>
      <c r="X813" s="1002"/>
      <c r="Y813" s="163">
        <v>1759.56</v>
      </c>
      <c r="Z813" s="1003"/>
      <c r="AA813" s="62"/>
      <c r="AB813" s="62"/>
      <c r="AC813" s="62"/>
      <c r="AD813" s="62"/>
      <c r="AE813" s="62"/>
      <c r="AF813" s="62"/>
      <c r="AG813" s="62"/>
      <c r="AH813" s="1004"/>
      <c r="AI813" s="1004"/>
      <c r="AJ813" s="1000"/>
      <c r="AK813" s="1000"/>
      <c r="AL813" s="1000"/>
      <c r="AM813" s="1000"/>
      <c r="AN813" s="1000"/>
      <c r="AO813" s="1000"/>
      <c r="BB813" s="995"/>
      <c r="BC813" s="892" t="str">
        <f>CONCATENATE(G813," ",J813," Year EUL")</f>
        <v>Heating RES ER2 12 Year EUL</v>
      </c>
      <c r="BD813" s="894">
        <f>(INDEX('Avoided Cost Benefits'!$C$4:$C$857,MATCH(BC813,'Avoided Cost Benefits'!$A$4:$A$857,0)))*F813</f>
        <v>429.54993960447217</v>
      </c>
      <c r="BE813" s="74">
        <f>K813/(1.0595^(2020-2019))</f>
        <v>0</v>
      </c>
    </row>
    <row r="814" spans="1:57" s="65" customFormat="1" x14ac:dyDescent="0.25">
      <c r="A814" s="785"/>
      <c r="B814" s="177"/>
      <c r="C814" s="1942" t="s">
        <v>1333</v>
      </c>
      <c r="D814" s="2016" t="s">
        <v>797</v>
      </c>
      <c r="E814" s="884" t="s">
        <v>1334</v>
      </c>
      <c r="F814" s="999">
        <f>ROUND((($J$962*$J$983*(1/$J$1004-1/$J$1046))/1000)*$J$1083,2)</f>
        <v>335.42</v>
      </c>
      <c r="G814" s="450" t="s">
        <v>737</v>
      </c>
      <c r="H814" s="239">
        <f>VLOOKUP(G814,'CP FACTORS'!$A$3:$B$38, 2, FALSE)</f>
        <v>9.4741810000000004E-4</v>
      </c>
      <c r="I814" s="2046">
        <f t="shared" si="77"/>
        <v>0.31778299999999998</v>
      </c>
      <c r="J814" s="157">
        <f>J1134</f>
        <v>18</v>
      </c>
      <c r="K814" s="610">
        <f>J1168</f>
        <v>752</v>
      </c>
      <c r="L814" s="340">
        <f>K955</f>
        <v>1.6</v>
      </c>
      <c r="M814" s="1884"/>
      <c r="N814" s="1884"/>
      <c r="O814" s="1884"/>
      <c r="P814" s="1884"/>
      <c r="Q814" s="1884"/>
      <c r="R814" s="2055"/>
      <c r="S814" s="1884"/>
      <c r="T814" s="1884"/>
      <c r="U814" s="1884"/>
      <c r="V814" s="182" t="s">
        <v>20</v>
      </c>
      <c r="W814" s="1001">
        <v>290.63222222222231</v>
      </c>
      <c r="X814" s="1002">
        <v>343.28687958567122</v>
      </c>
      <c r="Y814" s="163">
        <v>335.42</v>
      </c>
      <c r="Z814" s="1003"/>
      <c r="AA814" s="62"/>
      <c r="AB814" s="62"/>
      <c r="AC814" s="62"/>
      <c r="AD814" s="62"/>
      <c r="AE814" s="62"/>
      <c r="AF814" s="62"/>
      <c r="AG814" s="62"/>
      <c r="AH814" s="1004"/>
      <c r="AI814" s="1004"/>
      <c r="AJ814" s="1000"/>
      <c r="AK814" s="1000"/>
      <c r="AL814" s="1000"/>
      <c r="AM814" s="1000"/>
      <c r="AN814" s="1000"/>
      <c r="AO814" s="1000"/>
      <c r="BB814" s="350">
        <f>(BD814+BD815)/(BE814+BE815)</f>
        <v>3.4874444607549622</v>
      </c>
      <c r="BC814" s="884" t="str">
        <f t="shared" si="75"/>
        <v>Cooling RES 18 Year EUL</v>
      </c>
      <c r="BD814" s="894">
        <f>(INDEX('Avoided Cost Benefits'!$C$4:$C$857,MATCH(BC814,'Avoided Cost Benefits'!$A$4:$A$857,0)))*F814</f>
        <v>591.61637077829971</v>
      </c>
      <c r="BE814" s="74">
        <f t="shared" si="76"/>
        <v>709.76875884851336</v>
      </c>
    </row>
    <row r="815" spans="1:57" s="65" customFormat="1" x14ac:dyDescent="0.25">
      <c r="A815" s="785"/>
      <c r="B815" s="177"/>
      <c r="C815" s="1942" t="s">
        <v>1333</v>
      </c>
      <c r="D815" s="2016" t="s">
        <v>797</v>
      </c>
      <c r="E815" s="892" t="s">
        <v>1334</v>
      </c>
      <c r="F815" s="999">
        <f xml:space="preserve"> ROUND((($J$850*$J$877*(1/$J$899-1/$J$941))/1000)*$J$1084,2)</f>
        <v>4077.05</v>
      </c>
      <c r="G815" s="450" t="s">
        <v>738</v>
      </c>
      <c r="H815" s="239">
        <f>VLOOKUP(G815,'CP FACTORS'!$A$3:$B$38, 2, FALSE)</f>
        <v>0</v>
      </c>
      <c r="I815" s="2046">
        <f t="shared" si="77"/>
        <v>0</v>
      </c>
      <c r="J815" s="157">
        <f>J1135</f>
        <v>18</v>
      </c>
      <c r="K815" s="610">
        <f>J1169</f>
        <v>0</v>
      </c>
      <c r="L815" s="340"/>
      <c r="M815" s="1884"/>
      <c r="N815" s="1884"/>
      <c r="O815" s="1884"/>
      <c r="P815" s="1884"/>
      <c r="Q815" s="1884"/>
      <c r="R815" s="2055"/>
      <c r="S815" s="1884"/>
      <c r="T815" s="1884"/>
      <c r="U815" s="1884"/>
      <c r="V815" s="182" t="s">
        <v>20</v>
      </c>
      <c r="W815" s="1001">
        <v>695.97460317460309</v>
      </c>
      <c r="X815" s="1002">
        <v>3586.6841445343662</v>
      </c>
      <c r="Y815" s="163">
        <v>4077.05</v>
      </c>
      <c r="Z815" s="1003"/>
      <c r="AA815" s="62"/>
      <c r="AB815" s="62"/>
      <c r="AC815" s="62"/>
      <c r="AD815" s="62"/>
      <c r="AE815" s="62"/>
      <c r="AF815" s="62"/>
      <c r="AG815" s="62"/>
      <c r="AH815" s="1004"/>
      <c r="AI815" s="1004"/>
      <c r="AJ815" s="1000"/>
      <c r="AK815" s="1000"/>
      <c r="AL815" s="1000"/>
      <c r="AM815" s="1000"/>
      <c r="AN815" s="1000"/>
      <c r="AO815" s="1000"/>
      <c r="BB815" s="348"/>
      <c r="BC815" s="892" t="str">
        <f t="shared" si="75"/>
        <v>Heating RES 18 Year EUL</v>
      </c>
      <c r="BD815" s="894">
        <f>(INDEX('Avoided Cost Benefits'!$C$4:$C$857,MATCH(BC815,'Avoided Cost Benefits'!$A$4:$A$857,0)))*F815</f>
        <v>1883.6627556848725</v>
      </c>
      <c r="BE815" s="74">
        <f t="shared" si="76"/>
        <v>0</v>
      </c>
    </row>
    <row r="816" spans="1:57" s="65" customFormat="1" x14ac:dyDescent="0.25">
      <c r="A816" s="785"/>
      <c r="B816" s="785"/>
      <c r="C816" s="1572" t="s">
        <v>1335</v>
      </c>
      <c r="D816" s="2058" t="s">
        <v>792</v>
      </c>
      <c r="E816" s="884" t="str">
        <f>CONCATENATE(E814, "_CompE")</f>
        <v>Ductless ASHP Replace Electric Resistance ROF MF_CompE</v>
      </c>
      <c r="F816" s="999">
        <f>ROUND((($J$969*$J$990*(1/$J$1011-1/$J$1053))/1000)*$J$1104,2)</f>
        <v>220.27</v>
      </c>
      <c r="G816" s="132" t="s">
        <v>737</v>
      </c>
      <c r="H816" s="239">
        <f>VLOOKUP(G816,'CP FACTORS'!$A$3:$B$38, 2, FALSE)</f>
        <v>9.4741810000000004E-4</v>
      </c>
      <c r="I816" s="2046">
        <f>ROUND(F816*H816,6)</f>
        <v>0.20868800000000001</v>
      </c>
      <c r="J816" s="541">
        <f>J814</f>
        <v>18</v>
      </c>
      <c r="K816" s="2059">
        <f>K814</f>
        <v>752</v>
      </c>
      <c r="L816" s="340">
        <f>K969</f>
        <v>1.6</v>
      </c>
      <c r="M816" s="1884"/>
      <c r="N816" s="1884"/>
      <c r="O816" s="1884"/>
      <c r="P816" s="1884"/>
      <c r="Q816" s="1884"/>
      <c r="R816" s="2055"/>
      <c r="S816" s="1884"/>
      <c r="T816" s="1884"/>
      <c r="U816" s="1884"/>
      <c r="V816" s="182" t="s">
        <v>20</v>
      </c>
      <c r="W816" s="1001"/>
      <c r="X816" s="1002"/>
      <c r="Y816" s="163">
        <v>295.8</v>
      </c>
      <c r="Z816" s="1003"/>
      <c r="AA816" s="62"/>
      <c r="AB816" s="62"/>
      <c r="AC816" s="62"/>
      <c r="AD816" s="62"/>
      <c r="AE816" s="62"/>
      <c r="AF816" s="62"/>
      <c r="AG816" s="62"/>
      <c r="AH816" s="1004"/>
      <c r="AI816" s="1004"/>
      <c r="AJ816" s="1000"/>
      <c r="AK816" s="1000"/>
      <c r="AL816" s="1000"/>
      <c r="AM816" s="1000"/>
      <c r="AN816" s="1000"/>
      <c r="AO816" s="1000"/>
      <c r="BB816" s="350">
        <f>(BD816+BD817)/(BE816+BE817)</f>
        <v>1.556069406062337</v>
      </c>
      <c r="BC816" s="884" t="str">
        <f>CONCATENATE(G816," ",J816," Year EUL")</f>
        <v>Cooling RES 18 Year EUL</v>
      </c>
      <c r="BD816" s="894">
        <f>(INDEX('Avoided Cost Benefits'!$C$4:$C$857,MATCH(BC816,'Avoided Cost Benefits'!$A$4:$A$857,0)))*F816</f>
        <v>388.51391685449903</v>
      </c>
      <c r="BE816" s="74">
        <f>K816/(1.0595^(2020-2019))</f>
        <v>709.76875884851336</v>
      </c>
    </row>
    <row r="817" spans="1:57" s="65" customFormat="1" x14ac:dyDescent="0.25">
      <c r="A817" s="785"/>
      <c r="B817" s="785"/>
      <c r="C817" s="1572" t="s">
        <v>1335</v>
      </c>
      <c r="D817" s="2058" t="s">
        <v>792</v>
      </c>
      <c r="E817" s="892" t="str">
        <f>CONCATENATE(E815, "_CompE")</f>
        <v>Ductless ASHP Replace Electric Resistance ROF MF_CompE</v>
      </c>
      <c r="F817" s="999">
        <f xml:space="preserve"> ROUND((($J$864*$J$885*(1/$J$906-1/$J$948))/1000)*$J$1101,2)</f>
        <v>1549.59</v>
      </c>
      <c r="G817" s="450" t="s">
        <v>738</v>
      </c>
      <c r="H817" s="239">
        <f>VLOOKUP(G817,'CP FACTORS'!$A$3:$B$38, 2, FALSE)</f>
        <v>0</v>
      </c>
      <c r="I817" s="2046">
        <f>ROUND(F817*H817,6)</f>
        <v>0</v>
      </c>
      <c r="J817" s="541">
        <f>J815</f>
        <v>18</v>
      </c>
      <c r="K817" s="2059">
        <f>K815</f>
        <v>0</v>
      </c>
      <c r="L817" s="340"/>
      <c r="M817" s="1884"/>
      <c r="N817" s="1884"/>
      <c r="O817" s="1884"/>
      <c r="P817" s="1884"/>
      <c r="Q817" s="1884"/>
      <c r="R817" s="2055"/>
      <c r="S817" s="1884"/>
      <c r="T817" s="1884"/>
      <c r="U817" s="1884"/>
      <c r="V817" s="182" t="s">
        <v>20</v>
      </c>
      <c r="W817" s="1001"/>
      <c r="X817" s="1002"/>
      <c r="Y817" s="163">
        <v>1876.86</v>
      </c>
      <c r="Z817" s="1003"/>
      <c r="AA817" s="62"/>
      <c r="AB817" s="62"/>
      <c r="AC817" s="62"/>
      <c r="AD817" s="62"/>
      <c r="AE817" s="62"/>
      <c r="AF817" s="62"/>
      <c r="AG817" s="62"/>
      <c r="AH817" s="1004"/>
      <c r="AI817" s="1004"/>
      <c r="AJ817" s="1000"/>
      <c r="AK817" s="1000"/>
      <c r="AL817" s="1000"/>
      <c r="AM817" s="1000"/>
      <c r="AN817" s="1000"/>
      <c r="AO817" s="1000"/>
      <c r="BB817" s="348"/>
      <c r="BC817" s="892" t="str">
        <f>CONCATENATE(G817," ",J817," Year EUL")</f>
        <v>Heating RES 18 Year EUL</v>
      </c>
      <c r="BD817" s="894">
        <f>(INDEX('Avoided Cost Benefits'!$C$4:$C$857,MATCH(BC817,'Avoided Cost Benefits'!$A$4:$A$857,0)))*F817</f>
        <v>715.93553416850943</v>
      </c>
      <c r="BE817" s="74">
        <f>K817/(1.0595^(2020-2019))</f>
        <v>0</v>
      </c>
    </row>
    <row r="818" spans="1:57" s="65" customFormat="1" x14ac:dyDescent="0.25">
      <c r="A818" s="785"/>
      <c r="B818" s="177"/>
      <c r="C818" s="1942" t="s">
        <v>1336</v>
      </c>
      <c r="D818" s="2016" t="s">
        <v>797</v>
      </c>
      <c r="E818" s="884" t="s">
        <v>1337</v>
      </c>
      <c r="F818" s="999">
        <f>ROUND((($J$963*$J$984*(1/$J$1026-1/$J$1047))/1000)*$J$1085,2)</f>
        <v>1164.32</v>
      </c>
      <c r="G818" s="450" t="s">
        <v>737</v>
      </c>
      <c r="H818" s="239">
        <f>VLOOKUP(G818,'CP FACTORS'!$A$3:$B$38, 2, FALSE)</f>
        <v>9.4741810000000004E-4</v>
      </c>
      <c r="I818" s="2046">
        <f t="shared" si="77"/>
        <v>1.1030979999999999</v>
      </c>
      <c r="J818" s="157">
        <f t="shared" ref="J818:J821" si="79">J1136</f>
        <v>6</v>
      </c>
      <c r="K818" s="610">
        <f t="shared" ref="K818:K821" si="80">J1170</f>
        <v>1440</v>
      </c>
      <c r="L818" s="340">
        <f>K956</f>
        <v>1.5</v>
      </c>
      <c r="M818" s="1884"/>
      <c r="N818" s="1884"/>
      <c r="O818" s="1884"/>
      <c r="P818" s="1884"/>
      <c r="Q818" s="1884"/>
      <c r="R818" s="2055"/>
      <c r="S818" s="1884"/>
      <c r="T818" s="1884"/>
      <c r="U818" s="1884"/>
      <c r="V818" s="182" t="s">
        <v>20</v>
      </c>
      <c r="W818" s="1001">
        <v>1056.873427672956</v>
      </c>
      <c r="X818" s="1002">
        <v>973.31187958567136</v>
      </c>
      <c r="Y818" s="163">
        <v>1164.32</v>
      </c>
      <c r="Z818" s="1003"/>
      <c r="AA818" s="62"/>
      <c r="AB818" s="62"/>
      <c r="AC818" s="62"/>
      <c r="AD818" s="62"/>
      <c r="AE818" s="62"/>
      <c r="AF818" s="62"/>
      <c r="AG818" s="62"/>
      <c r="AH818" s="1004"/>
      <c r="AI818" s="1004"/>
      <c r="AJ818" s="1000"/>
      <c r="AK818" s="1000"/>
      <c r="AL818" s="1000"/>
      <c r="AM818" s="1000"/>
      <c r="AN818" s="1000"/>
      <c r="AO818" s="1000"/>
      <c r="BB818" s="350">
        <f>(BD818+BD819+BD820+BD821)/(BE818+BE819+BE820+BE821)</f>
        <v>1.4267998717214621</v>
      </c>
      <c r="BC818" s="884" t="str">
        <f t="shared" si="75"/>
        <v>Cooling RES 6 Year EUL</v>
      </c>
      <c r="BD818" s="894">
        <f>(INDEX('Avoided Cost Benefits'!$C$4:$C$857,MATCH(BC818,'Avoided Cost Benefits'!$A$4:$A$857,0)))*F818</f>
        <v>677.03364058848774</v>
      </c>
      <c r="BE818" s="74">
        <f t="shared" si="76"/>
        <v>1359.131665880132</v>
      </c>
    </row>
    <row r="819" spans="1:57" s="65" customFormat="1" x14ac:dyDescent="0.25">
      <c r="A819" s="785"/>
      <c r="B819" s="177"/>
      <c r="C819" s="1942" t="s">
        <v>1336</v>
      </c>
      <c r="D819" s="2016" t="s">
        <v>797</v>
      </c>
      <c r="E819" s="994" t="s">
        <v>1337</v>
      </c>
      <c r="F819" s="999">
        <f xml:space="preserve"> ROUND((($J$858*$J$878*(1/$J$921-1/$J$942))/1000)*$J$1086,2)</f>
        <v>1944.18</v>
      </c>
      <c r="G819" s="450" t="s">
        <v>738</v>
      </c>
      <c r="H819" s="239">
        <f>VLOOKUP(G819,'CP FACTORS'!$A$3:$B$38, 2, FALSE)</f>
        <v>0</v>
      </c>
      <c r="I819" s="2046">
        <f t="shared" si="77"/>
        <v>0</v>
      </c>
      <c r="J819" s="157">
        <f t="shared" si="79"/>
        <v>6</v>
      </c>
      <c r="K819" s="610">
        <f t="shared" si="80"/>
        <v>0</v>
      </c>
      <c r="L819" s="340"/>
      <c r="M819" s="1884"/>
      <c r="N819" s="1884"/>
      <c r="O819" s="1884"/>
      <c r="P819" s="1884"/>
      <c r="Q819" s="1884"/>
      <c r="R819" s="2055"/>
      <c r="S819" s="1884"/>
      <c r="T819" s="1884"/>
      <c r="U819" s="1884"/>
      <c r="V819" s="182" t="s">
        <v>20</v>
      </c>
      <c r="W819" s="1001">
        <v>1906.4157894736838</v>
      </c>
      <c r="X819" s="1002">
        <v>1671.2809187279149</v>
      </c>
      <c r="Y819" s="163">
        <v>1944.18</v>
      </c>
      <c r="Z819" s="1003"/>
      <c r="AA819" s="62"/>
      <c r="AB819" s="62"/>
      <c r="AC819" s="62"/>
      <c r="AD819" s="62"/>
      <c r="AE819" s="62"/>
      <c r="AF819" s="62"/>
      <c r="AG819" s="62"/>
      <c r="AH819" s="1004"/>
      <c r="AI819" s="1004"/>
      <c r="AJ819" s="1000"/>
      <c r="AK819" s="1000"/>
      <c r="AL819" s="1000"/>
      <c r="AM819" s="1000"/>
      <c r="AN819" s="1000"/>
      <c r="AO819" s="1000"/>
      <c r="BB819" s="995"/>
      <c r="BC819" s="994" t="str">
        <f t="shared" si="75"/>
        <v>Heating RES 6 Year EUL</v>
      </c>
      <c r="BD819" s="894">
        <f>(INDEX('Avoided Cost Benefits'!$C$4:$C$857,MATCH(BC819,'Avoided Cost Benefits'!$A$4:$A$857,0)))*F819</f>
        <v>323.38227223159959</v>
      </c>
      <c r="BE819" s="74">
        <f t="shared" si="76"/>
        <v>0</v>
      </c>
    </row>
    <row r="820" spans="1:57" s="65" customFormat="1" x14ac:dyDescent="0.25">
      <c r="A820" s="785"/>
      <c r="B820" s="177"/>
      <c r="C820" s="1942" t="s">
        <v>1336</v>
      </c>
      <c r="D820" s="2016" t="s">
        <v>797</v>
      </c>
      <c r="E820" s="994" t="s">
        <v>1338</v>
      </c>
      <c r="F820" s="999">
        <f>ROUND((($J$963*$J$984*(1/$J$1005-1/$J$1047))/1000)*$J$1087,2)</f>
        <v>456.05</v>
      </c>
      <c r="G820" s="2045" t="s">
        <v>1214</v>
      </c>
      <c r="H820" s="239">
        <f>VLOOKUP(G820,'CP FACTORS'!$A$3:$B$38, 2, FALSE)</f>
        <v>9.4741810000000004E-4</v>
      </c>
      <c r="I820" s="2046">
        <f t="shared" si="77"/>
        <v>0.43207000000000001</v>
      </c>
      <c r="J820" s="157">
        <f t="shared" si="79"/>
        <v>12</v>
      </c>
      <c r="K820" s="610">
        <f t="shared" si="80"/>
        <v>0</v>
      </c>
      <c r="L820" s="340"/>
      <c r="M820" s="1884"/>
      <c r="N820" s="1884"/>
      <c r="O820" s="1884"/>
      <c r="P820" s="1884"/>
      <c r="Q820" s="1884"/>
      <c r="R820" s="2055"/>
      <c r="S820" s="1884"/>
      <c r="T820" s="1884"/>
      <c r="U820" s="1884"/>
      <c r="V820" s="182" t="s">
        <v>20</v>
      </c>
      <c r="W820" s="1001">
        <v>342.84509433962273</v>
      </c>
      <c r="X820" s="1002">
        <v>343.28687958567122</v>
      </c>
      <c r="Y820" s="163">
        <v>456.05</v>
      </c>
      <c r="Z820" s="1003"/>
      <c r="AA820" s="62"/>
      <c r="AB820" s="62"/>
      <c r="AC820" s="62"/>
      <c r="AD820" s="62"/>
      <c r="AE820" s="62"/>
      <c r="AF820" s="62"/>
      <c r="AG820" s="62"/>
      <c r="AH820" s="1004"/>
      <c r="AI820" s="1004"/>
      <c r="AJ820" s="1000"/>
      <c r="AK820" s="1000"/>
      <c r="AL820" s="1000"/>
      <c r="AM820" s="1000"/>
      <c r="AN820" s="1000"/>
      <c r="AO820" s="1000"/>
      <c r="BB820" s="995"/>
      <c r="BC820" s="994" t="str">
        <f t="shared" si="75"/>
        <v>Cooling RES ER2 12 Year EUL</v>
      </c>
      <c r="BD820" s="894">
        <f>(INDEX('Avoided Cost Benefits'!$C$4:$C$857,MATCH(BC820,'Avoided Cost Benefits'!$A$4:$A$857,0)))*F820</f>
        <v>539.19863826161225</v>
      </c>
      <c r="BE820" s="74">
        <f t="shared" si="76"/>
        <v>0</v>
      </c>
    </row>
    <row r="821" spans="1:57" s="65" customFormat="1" x14ac:dyDescent="0.25">
      <c r="A821" s="785"/>
      <c r="B821" s="785"/>
      <c r="C821" s="1942" t="s">
        <v>1336</v>
      </c>
      <c r="D821" s="2016" t="s">
        <v>797</v>
      </c>
      <c r="E821" s="892" t="s">
        <v>1338</v>
      </c>
      <c r="F821" s="999">
        <f>ROUND((($J$851*$J$872*(1/$J$893-1/$J$935))/1000)*$J$1088,2)</f>
        <v>1351.43</v>
      </c>
      <c r="G821" s="132" t="s">
        <v>1310</v>
      </c>
      <c r="H821" s="239">
        <f>VLOOKUP(G821,'CP FACTORS'!$A$3:$B$38, 2, FALSE)</f>
        <v>0</v>
      </c>
      <c r="I821" s="2046">
        <f t="shared" si="77"/>
        <v>0</v>
      </c>
      <c r="J821" s="157">
        <f t="shared" si="79"/>
        <v>12</v>
      </c>
      <c r="K821" s="610">
        <f t="shared" si="80"/>
        <v>0</v>
      </c>
      <c r="L821" s="340"/>
      <c r="M821" s="1884"/>
      <c r="N821" s="1884"/>
      <c r="O821" s="1884"/>
      <c r="P821" s="1884"/>
      <c r="Q821" s="1884"/>
      <c r="R821" s="2055"/>
      <c r="S821" s="1884"/>
      <c r="T821" s="1884"/>
      <c r="U821" s="1884"/>
      <c r="V821" s="182" t="s">
        <v>20</v>
      </c>
      <c r="W821" s="1001">
        <v>836.1443609022557</v>
      </c>
      <c r="X821" s="1002">
        <v>1113.8417090014714</v>
      </c>
      <c r="Y821" s="163">
        <v>1351.43</v>
      </c>
      <c r="Z821" s="1003"/>
      <c r="AA821" s="62"/>
      <c r="AB821" s="62"/>
      <c r="AC821" s="62"/>
      <c r="AD821" s="62"/>
      <c r="AE821" s="62"/>
      <c r="AF821" s="62"/>
      <c r="AG821" s="62"/>
      <c r="AH821" s="1004"/>
      <c r="AI821" s="1004"/>
      <c r="AJ821" s="1000"/>
      <c r="AK821" s="1000"/>
      <c r="AL821" s="1000"/>
      <c r="AM821" s="1000"/>
      <c r="AN821" s="1000"/>
      <c r="AO821" s="1000"/>
      <c r="BB821" s="995"/>
      <c r="BC821" s="892" t="str">
        <f t="shared" si="75"/>
        <v>Heating RES ER2 12 Year EUL</v>
      </c>
      <c r="BD821" s="894">
        <f>(INDEX('Avoided Cost Benefits'!$C$4:$C$857,MATCH(BC821,'Avoided Cost Benefits'!$A$4:$A$857,0)))*F821</f>
        <v>399.59433544864999</v>
      </c>
      <c r="BE821" s="74">
        <f t="shared" si="76"/>
        <v>0</v>
      </c>
    </row>
    <row r="822" spans="1:57" s="65" customFormat="1" x14ac:dyDescent="0.25">
      <c r="A822" s="785"/>
      <c r="B822" s="785"/>
      <c r="C822" s="2057" t="s">
        <v>1339</v>
      </c>
      <c r="D822" s="2058" t="s">
        <v>792</v>
      </c>
      <c r="E822" s="994" t="str">
        <f>CONCATENATE(E818, "_CompE")</f>
        <v>Ductless ASHP ER1 MF_CompE</v>
      </c>
      <c r="F822" s="2060">
        <f>ROUND((($J$970*$J$991*(1/$J$1033-1/$J$1054))/1000)*$J$1105,2)</f>
        <v>764.6</v>
      </c>
      <c r="G822" s="2061" t="s">
        <v>737</v>
      </c>
      <c r="H822" s="2062">
        <f>VLOOKUP(G822,'CP FACTORS'!$A$3:$B$38, 2, FALSE)</f>
        <v>9.4741810000000004E-4</v>
      </c>
      <c r="I822" s="2063">
        <f t="shared" si="77"/>
        <v>0.72439600000000004</v>
      </c>
      <c r="J822" s="541">
        <f t="shared" ref="J822:K825" si="81">J818</f>
        <v>6</v>
      </c>
      <c r="K822" s="2059">
        <f t="shared" si="81"/>
        <v>1440</v>
      </c>
      <c r="L822" s="2064">
        <f>K970</f>
        <v>1.5</v>
      </c>
      <c r="M822" s="1884"/>
      <c r="N822" s="1884"/>
      <c r="O822" s="1884"/>
      <c r="P822" s="1884"/>
      <c r="Q822" s="1884"/>
      <c r="R822" s="2055"/>
      <c r="S822" s="1884"/>
      <c r="T822" s="1884"/>
      <c r="U822" s="1884"/>
      <c r="V822" s="182" t="s">
        <v>20</v>
      </c>
      <c r="W822" s="1001"/>
      <c r="X822" s="1002"/>
      <c r="Y822" s="163">
        <v>1026.8</v>
      </c>
      <c r="Z822" s="1003"/>
      <c r="AA822" s="62"/>
      <c r="AB822" s="62"/>
      <c r="AC822" s="62"/>
      <c r="AD822" s="62"/>
      <c r="AE822" s="62"/>
      <c r="AF822" s="62"/>
      <c r="AG822" s="62"/>
      <c r="AH822" s="1004"/>
      <c r="AI822" s="1004"/>
      <c r="AJ822" s="1000"/>
      <c r="AK822" s="1000"/>
      <c r="AL822" s="1000"/>
      <c r="AM822" s="1000"/>
      <c r="AN822" s="1000"/>
      <c r="AO822" s="1000"/>
      <c r="BB822" s="350">
        <f>(BD822+BD823+BD824+BD825)/(BE822+BE823+BE824+BE825)</f>
        <v>0.78983128256370727</v>
      </c>
      <c r="BC822" s="884" t="str">
        <f t="shared" si="75"/>
        <v>Cooling RES 6 Year EUL</v>
      </c>
      <c r="BD822" s="894">
        <f>(INDEX('Avoided Cost Benefits'!$C$4:$C$857,MATCH(BC822,'Avoided Cost Benefits'!$A$4:$A$857,0)))*F822</f>
        <v>444.60279098010665</v>
      </c>
      <c r="BE822" s="74">
        <f t="shared" si="76"/>
        <v>1359.131665880132</v>
      </c>
    </row>
    <row r="823" spans="1:57" s="65" customFormat="1" x14ac:dyDescent="0.25">
      <c r="A823" s="785"/>
      <c r="B823" s="785"/>
      <c r="C823" s="1572" t="s">
        <v>1339</v>
      </c>
      <c r="D823" s="2058" t="s">
        <v>792</v>
      </c>
      <c r="E823" s="994" t="str">
        <f>CONCATENATE(E819, "_CompE")</f>
        <v>Ductless ASHP ER1 MF_CompE</v>
      </c>
      <c r="F823" s="999">
        <f xml:space="preserve"> ROUND((($J$865*$J$886*(1/$J$928-1/$J$949))/1000)*$J$1103,2)</f>
        <v>738.94</v>
      </c>
      <c r="G823" s="450" t="s">
        <v>738</v>
      </c>
      <c r="H823" s="239">
        <f>VLOOKUP(G823,'CP FACTORS'!$A$3:$B$38, 2, FALSE)</f>
        <v>0</v>
      </c>
      <c r="I823" s="2046">
        <f t="shared" si="77"/>
        <v>0</v>
      </c>
      <c r="J823" s="541">
        <f t="shared" si="81"/>
        <v>6</v>
      </c>
      <c r="K823" s="2059">
        <f t="shared" si="81"/>
        <v>0</v>
      </c>
      <c r="L823" s="340"/>
      <c r="M823" s="1884"/>
      <c r="N823" s="1884"/>
      <c r="O823" s="1884"/>
      <c r="P823" s="1884"/>
      <c r="Q823" s="1884"/>
      <c r="R823" s="2055"/>
      <c r="S823" s="1884"/>
      <c r="T823" s="1884"/>
      <c r="U823" s="1884"/>
      <c r="V823" s="182" t="s">
        <v>20</v>
      </c>
      <c r="W823" s="1001"/>
      <c r="X823" s="1002"/>
      <c r="Y823" s="163">
        <v>895</v>
      </c>
      <c r="Z823" s="1003"/>
      <c r="AA823" s="62"/>
      <c r="AB823" s="62"/>
      <c r="AC823" s="62"/>
      <c r="AD823" s="62"/>
      <c r="AE823" s="62"/>
      <c r="AF823" s="62"/>
      <c r="AG823" s="62"/>
      <c r="AH823" s="1004"/>
      <c r="AI823" s="1004"/>
      <c r="AJ823" s="1000"/>
      <c r="AK823" s="1000"/>
      <c r="AL823" s="1000"/>
      <c r="AM823" s="1000"/>
      <c r="AN823" s="1000"/>
      <c r="AO823" s="1000"/>
      <c r="BB823" s="995"/>
      <c r="BC823" s="994" t="str">
        <f t="shared" si="75"/>
        <v>Heating RES 6 Year EUL</v>
      </c>
      <c r="BD823" s="894">
        <f>(INDEX('Avoided Cost Benefits'!$C$4:$C$857,MATCH(BC823,'Avoided Cost Benefits'!$A$4:$A$857,0)))*F823</f>
        <v>122.91047960724737</v>
      </c>
      <c r="BE823" s="74">
        <f t="shared" si="76"/>
        <v>0</v>
      </c>
    </row>
    <row r="824" spans="1:57" s="65" customFormat="1" x14ac:dyDescent="0.25">
      <c r="A824" s="785"/>
      <c r="B824" s="785"/>
      <c r="C824" s="1572" t="s">
        <v>1339</v>
      </c>
      <c r="D824" s="2058" t="s">
        <v>792</v>
      </c>
      <c r="E824" s="994" t="str">
        <f>CONCATENATE(E820, "_CompE")</f>
        <v>Ductless ASHP ER2 MF_CompE</v>
      </c>
      <c r="F824" s="999">
        <f>ROUND((($J$970*$J$991*(1/$J$1012-1/$J$1054))/1000)*$J$1104,2)</f>
        <v>299.49</v>
      </c>
      <c r="G824" s="2045" t="s">
        <v>1214</v>
      </c>
      <c r="H824" s="239">
        <f>VLOOKUP(G824,'CP FACTORS'!$A$3:$B$38, 2, FALSE)</f>
        <v>9.4741810000000004E-4</v>
      </c>
      <c r="I824" s="2046">
        <f t="shared" si="77"/>
        <v>0.28374199999999999</v>
      </c>
      <c r="J824" s="541">
        <f t="shared" si="81"/>
        <v>12</v>
      </c>
      <c r="K824" s="2059">
        <f t="shared" si="81"/>
        <v>0</v>
      </c>
      <c r="L824" s="340"/>
      <c r="M824" s="1884"/>
      <c r="N824" s="1884"/>
      <c r="O824" s="1884"/>
      <c r="P824" s="1884"/>
      <c r="Q824" s="1884"/>
      <c r="R824" s="2055"/>
      <c r="S824" s="1884"/>
      <c r="T824" s="1884"/>
      <c r="U824" s="1884"/>
      <c r="V824" s="182" t="s">
        <v>20</v>
      </c>
      <c r="W824" s="1001"/>
      <c r="X824" s="1002"/>
      <c r="Y824" s="163">
        <v>402.19</v>
      </c>
      <c r="Z824" s="1003"/>
      <c r="AA824" s="62"/>
      <c r="AB824" s="62"/>
      <c r="AC824" s="62"/>
      <c r="AD824" s="62"/>
      <c r="AE824" s="62"/>
      <c r="AF824" s="62"/>
      <c r="AG824" s="62"/>
      <c r="AH824" s="1004"/>
      <c r="AI824" s="1004"/>
      <c r="AJ824" s="1000"/>
      <c r="AK824" s="1000"/>
      <c r="AL824" s="1000"/>
      <c r="AM824" s="1000"/>
      <c r="AN824" s="1000"/>
      <c r="AO824" s="1000"/>
      <c r="BB824" s="995"/>
      <c r="BC824" s="994" t="str">
        <f t="shared" si="75"/>
        <v>Cooling RES ER2 12 Year EUL</v>
      </c>
      <c r="BD824" s="894">
        <f>(INDEX('Avoided Cost Benefits'!$C$4:$C$857,MATCH(BC824,'Avoided Cost Benefits'!$A$4:$A$857,0)))*F824</f>
        <v>354.09406901210446</v>
      </c>
      <c r="BE824" s="74">
        <f t="shared" si="76"/>
        <v>0</v>
      </c>
    </row>
    <row r="825" spans="1:57" s="65" customFormat="1" x14ac:dyDescent="0.25">
      <c r="A825" s="785"/>
      <c r="B825" s="785"/>
      <c r="C825" s="1572" t="s">
        <v>1339</v>
      </c>
      <c r="D825" s="2058" t="s">
        <v>792</v>
      </c>
      <c r="E825" s="892" t="str">
        <f>CONCATENATE(E821, "_CompE")</f>
        <v>Ductless ASHP ER2 MF_CompE</v>
      </c>
      <c r="F825" s="999">
        <f>ROUND((($J$865*$J$886*(1/$J$907-1/$J$949))/1000)*$J$1105,2)</f>
        <v>513.65</v>
      </c>
      <c r="G825" s="132" t="s">
        <v>1310</v>
      </c>
      <c r="H825" s="239">
        <f>VLOOKUP(G825,'CP FACTORS'!$A$3:$B$38, 2, FALSE)</f>
        <v>0</v>
      </c>
      <c r="I825" s="2046">
        <f t="shared" si="77"/>
        <v>0</v>
      </c>
      <c r="J825" s="541">
        <f t="shared" si="81"/>
        <v>12</v>
      </c>
      <c r="K825" s="2059">
        <f t="shared" si="81"/>
        <v>0</v>
      </c>
      <c r="L825" s="340"/>
      <c r="M825" s="1884"/>
      <c r="N825" s="1884"/>
      <c r="O825" s="1884"/>
      <c r="P825" s="1884"/>
      <c r="Q825" s="1884"/>
      <c r="R825" s="2055"/>
      <c r="S825" s="1884"/>
      <c r="T825" s="1884"/>
      <c r="U825" s="1884"/>
      <c r="V825" s="182" t="s">
        <v>20</v>
      </c>
      <c r="W825" s="1001"/>
      <c r="X825" s="1002"/>
      <c r="Y825" s="163">
        <v>622.13</v>
      </c>
      <c r="Z825" s="1003"/>
      <c r="AA825" s="62"/>
      <c r="AB825" s="62"/>
      <c r="AC825" s="62"/>
      <c r="AD825" s="62"/>
      <c r="AE825" s="62"/>
      <c r="AF825" s="62"/>
      <c r="AG825" s="62"/>
      <c r="AH825" s="1004"/>
      <c r="AI825" s="1004"/>
      <c r="AJ825" s="1000"/>
      <c r="AK825" s="1000"/>
      <c r="AL825" s="1000"/>
      <c r="AM825" s="1000"/>
      <c r="AN825" s="1000"/>
      <c r="AO825" s="1000"/>
      <c r="BB825" s="1007"/>
      <c r="BC825" s="892" t="str">
        <f t="shared" si="75"/>
        <v>Heating RES ER2 12 Year EUL</v>
      </c>
      <c r="BD825" s="899">
        <f>(INDEX('Avoided Cost Benefits'!$C$4:$C$857,MATCH(BC825,'Avoided Cost Benefits'!$A$4:$A$857,0)))*F825</f>
        <v>151.87736723559419</v>
      </c>
      <c r="BE825" s="76">
        <f t="shared" si="76"/>
        <v>0</v>
      </c>
    </row>
    <row r="826" spans="1:57" s="65" customFormat="1" ht="18.75" hidden="1" customHeight="1" outlineLevel="1" x14ac:dyDescent="0.25">
      <c r="A826" s="785"/>
      <c r="B826" s="177"/>
      <c r="C826" s="455"/>
      <c r="D826" s="456" t="s">
        <v>1340</v>
      </c>
      <c r="E826" s="177"/>
      <c r="F826" s="177"/>
      <c r="G826" s="177"/>
      <c r="H826" s="177"/>
      <c r="I826" s="177"/>
      <c r="J826" s="177"/>
      <c r="K826" s="177"/>
      <c r="L826" s="177"/>
      <c r="M826" s="177"/>
      <c r="N826" s="2048"/>
      <c r="O826" s="177"/>
      <c r="P826" s="177"/>
      <c r="Q826" s="177"/>
      <c r="R826" s="177"/>
      <c r="S826" s="177"/>
      <c r="T826" s="177"/>
      <c r="U826" s="177"/>
      <c r="BB826" s="784"/>
      <c r="BC826" s="796"/>
      <c r="BD826" s="900"/>
    </row>
    <row r="827" spans="1:57" s="65" customFormat="1" hidden="1" outlineLevel="1" x14ac:dyDescent="0.25">
      <c r="A827" s="785"/>
      <c r="B827" s="177"/>
      <c r="C827" s="455"/>
      <c r="D827" s="1099"/>
      <c r="E827" s="177"/>
      <c r="F827" s="177"/>
      <c r="G827" s="177"/>
      <c r="H827" s="177"/>
      <c r="I827" s="177"/>
      <c r="J827" s="177"/>
      <c r="K827" s="177"/>
      <c r="L827" s="177"/>
      <c r="M827" s="177"/>
      <c r="N827" s="2048"/>
      <c r="O827" s="177"/>
      <c r="P827" s="177"/>
      <c r="Q827" s="177"/>
      <c r="R827" s="177"/>
      <c r="S827" s="177"/>
      <c r="T827" s="177"/>
      <c r="U827" s="177"/>
      <c r="BB827" s="784"/>
      <c r="BC827" s="785"/>
      <c r="BD827" s="900"/>
    </row>
    <row r="828" spans="1:57" s="65" customFormat="1" hidden="1" outlineLevel="1" x14ac:dyDescent="0.25">
      <c r="A828" s="785"/>
      <c r="B828" s="177"/>
      <c r="C828" s="455"/>
      <c r="D828" s="259" t="s">
        <v>617</v>
      </c>
      <c r="E828" s="493"/>
      <c r="F828" s="493"/>
      <c r="G828" s="493"/>
      <c r="H828" s="493"/>
      <c r="I828" s="493"/>
      <c r="J828" s="177"/>
      <c r="K828" s="177"/>
      <c r="L828" s="177"/>
      <c r="M828" s="177"/>
      <c r="N828" s="2048"/>
      <c r="O828" s="177"/>
      <c r="P828" s="177"/>
      <c r="Q828" s="177"/>
      <c r="R828" s="177"/>
      <c r="S828" s="177"/>
      <c r="T828" s="177"/>
      <c r="U828" s="177"/>
      <c r="BB828" s="784"/>
      <c r="BC828" s="785"/>
      <c r="BD828" s="900"/>
    </row>
    <row r="829" spans="1:57" s="65" customFormat="1" hidden="1" outlineLevel="1" x14ac:dyDescent="0.25">
      <c r="A829" s="785"/>
      <c r="B829" s="177"/>
      <c r="C829" s="455"/>
      <c r="D829" s="456"/>
      <c r="E829" s="493"/>
      <c r="F829" s="493"/>
      <c r="G829" s="493"/>
      <c r="H829" s="493"/>
      <c r="I829" s="493"/>
      <c r="J829" s="177"/>
      <c r="K829" s="177"/>
      <c r="L829" s="177"/>
      <c r="M829" s="177"/>
      <c r="N829" s="2048"/>
      <c r="O829" s="177"/>
      <c r="P829" s="177"/>
      <c r="Q829" s="177"/>
      <c r="R829" s="177"/>
      <c r="S829" s="177"/>
      <c r="T829" s="177"/>
      <c r="U829" s="177"/>
      <c r="BB829" s="784"/>
      <c r="BC829" s="785"/>
      <c r="BD829" s="900"/>
    </row>
    <row r="830" spans="1:57" s="65" customFormat="1" hidden="1" outlineLevel="1" x14ac:dyDescent="0.25">
      <c r="A830" s="785"/>
      <c r="B830" s="177"/>
      <c r="C830" s="455"/>
      <c r="D830" s="456"/>
      <c r="E830" s="493"/>
      <c r="F830" s="493"/>
      <c r="G830" s="493"/>
      <c r="H830" s="493"/>
      <c r="I830" s="493"/>
      <c r="J830" s="177"/>
      <c r="K830" s="177"/>
      <c r="L830" s="177"/>
      <c r="M830" s="177"/>
      <c r="N830" s="2048"/>
      <c r="O830" s="177"/>
      <c r="P830" s="177"/>
      <c r="Q830" s="177"/>
      <c r="R830" s="177"/>
      <c r="S830" s="177"/>
      <c r="T830" s="177"/>
      <c r="U830" s="177"/>
      <c r="BB830" s="784"/>
      <c r="BC830" s="785"/>
      <c r="BD830" s="900"/>
    </row>
    <row r="831" spans="1:57" s="65" customFormat="1" hidden="1" outlineLevel="1" x14ac:dyDescent="0.25">
      <c r="A831" s="785"/>
      <c r="B831" s="177"/>
      <c r="C831" s="455"/>
      <c r="D831" s="456"/>
      <c r="E831" s="493"/>
      <c r="F831" s="493"/>
      <c r="G831" s="493"/>
      <c r="H831" s="493"/>
      <c r="I831" s="493"/>
      <c r="J831" s="177"/>
      <c r="K831" s="177"/>
      <c r="L831" s="177"/>
      <c r="M831" s="177"/>
      <c r="N831" s="2048"/>
      <c r="O831" s="177"/>
      <c r="P831" s="177"/>
      <c r="Q831" s="177"/>
      <c r="R831" s="177"/>
      <c r="S831" s="177"/>
      <c r="T831" s="177"/>
      <c r="U831" s="177"/>
      <c r="BB831" s="784"/>
      <c r="BC831" s="785"/>
      <c r="BD831" s="900"/>
    </row>
    <row r="832" spans="1:57" s="65" customFormat="1" hidden="1" outlineLevel="1" x14ac:dyDescent="0.25">
      <c r="A832" s="785"/>
      <c r="B832" s="177"/>
      <c r="C832" s="455"/>
      <c r="D832" s="456"/>
      <c r="E832" s="493"/>
      <c r="F832" s="493"/>
      <c r="G832" s="493"/>
      <c r="H832" s="493"/>
      <c r="I832" s="493"/>
      <c r="J832" s="177"/>
      <c r="K832" s="177"/>
      <c r="L832" s="177"/>
      <c r="M832" s="177"/>
      <c r="N832" s="2048"/>
      <c r="O832" s="177"/>
      <c r="P832" s="177"/>
      <c r="Q832" s="177"/>
      <c r="R832" s="177"/>
      <c r="S832" s="177"/>
      <c r="T832" s="177"/>
      <c r="U832" s="177"/>
      <c r="BB832" s="784"/>
      <c r="BC832" s="785"/>
      <c r="BD832" s="900"/>
    </row>
    <row r="833" spans="1:56" s="65" customFormat="1" hidden="1" outlineLevel="1" x14ac:dyDescent="0.25">
      <c r="A833" s="785"/>
      <c r="B833" s="177"/>
      <c r="C833" s="455"/>
      <c r="D833" s="456"/>
      <c r="E833" s="493"/>
      <c r="F833" s="493"/>
      <c r="G833" s="493"/>
      <c r="H833" s="493"/>
      <c r="I833" s="493"/>
      <c r="J833" s="177"/>
      <c r="K833" s="177"/>
      <c r="L833" s="177"/>
      <c r="M833" s="177"/>
      <c r="N833" s="2048"/>
      <c r="O833" s="177"/>
      <c r="P833" s="177"/>
      <c r="Q833" s="177"/>
      <c r="R833" s="177"/>
      <c r="S833" s="177"/>
      <c r="T833" s="177"/>
      <c r="U833" s="177"/>
      <c r="BB833" s="784"/>
      <c r="BC833" s="785"/>
      <c r="BD833" s="900"/>
    </row>
    <row r="834" spans="1:56" s="65" customFormat="1" hidden="1" outlineLevel="1" x14ac:dyDescent="0.25">
      <c r="A834" s="785"/>
      <c r="B834" s="177"/>
      <c r="C834" s="455"/>
      <c r="D834" s="456" t="s">
        <v>1254</v>
      </c>
      <c r="E834" s="493"/>
      <c r="F834" s="493"/>
      <c r="G834" s="493"/>
      <c r="H834" s="493"/>
      <c r="I834" s="493"/>
      <c r="J834" s="177"/>
      <c r="K834" s="177"/>
      <c r="L834" s="177"/>
      <c r="M834" s="177"/>
      <c r="N834" s="2048"/>
      <c r="O834" s="177"/>
      <c r="P834" s="177"/>
      <c r="Q834" s="177"/>
      <c r="R834" s="177"/>
      <c r="S834" s="177"/>
      <c r="T834" s="177"/>
      <c r="U834" s="177"/>
      <c r="BB834" s="784"/>
      <c r="BC834" s="785"/>
      <c r="BD834" s="900"/>
    </row>
    <row r="835" spans="1:56" s="65" customFormat="1" hidden="1" outlineLevel="1" x14ac:dyDescent="0.25">
      <c r="A835" s="785"/>
      <c r="B835" s="177"/>
      <c r="C835" s="455"/>
      <c r="D835" s="456"/>
      <c r="E835" s="493"/>
      <c r="F835" s="493"/>
      <c r="G835" s="493"/>
      <c r="H835" s="493"/>
      <c r="I835" s="493"/>
      <c r="J835" s="177"/>
      <c r="K835" s="177"/>
      <c r="L835" s="177"/>
      <c r="M835" s="177"/>
      <c r="N835" s="2048"/>
      <c r="O835" s="177"/>
      <c r="P835" s="177"/>
      <c r="Q835" s="177"/>
      <c r="R835" s="177"/>
      <c r="S835" s="177"/>
      <c r="T835" s="177"/>
      <c r="U835" s="177"/>
      <c r="BB835" s="784"/>
      <c r="BC835" s="785"/>
      <c r="BD835" s="900"/>
    </row>
    <row r="836" spans="1:56" s="65" customFormat="1" hidden="1" outlineLevel="1" x14ac:dyDescent="0.25">
      <c r="A836" s="785"/>
      <c r="B836" s="177"/>
      <c r="C836" s="455"/>
      <c r="D836" s="456"/>
      <c r="E836" s="493"/>
      <c r="F836" s="493"/>
      <c r="G836" s="493"/>
      <c r="H836" s="493"/>
      <c r="I836" s="493"/>
      <c r="J836" s="177"/>
      <c r="K836" s="177"/>
      <c r="L836" s="177"/>
      <c r="M836" s="177"/>
      <c r="N836" s="2048"/>
      <c r="O836" s="177"/>
      <c r="P836" s="177"/>
      <c r="Q836" s="177"/>
      <c r="R836" s="177"/>
      <c r="S836" s="177"/>
      <c r="T836" s="177"/>
      <c r="U836" s="177"/>
      <c r="BB836" s="784"/>
      <c r="BC836" s="785"/>
      <c r="BD836" s="900"/>
    </row>
    <row r="837" spans="1:56" s="65" customFormat="1" hidden="1" outlineLevel="1" x14ac:dyDescent="0.25">
      <c r="A837" s="785"/>
      <c r="B837" s="177"/>
      <c r="C837" s="455"/>
      <c r="D837" s="456"/>
      <c r="E837" s="493"/>
      <c r="F837" s="493"/>
      <c r="G837" s="493"/>
      <c r="H837" s="493"/>
      <c r="I837" s="493"/>
      <c r="J837" s="177"/>
      <c r="K837" s="177"/>
      <c r="L837" s="177"/>
      <c r="M837" s="177"/>
      <c r="N837" s="2048"/>
      <c r="O837" s="177"/>
      <c r="P837" s="177"/>
      <c r="Q837" s="177"/>
      <c r="R837" s="177"/>
      <c r="S837" s="177"/>
      <c r="T837" s="177"/>
      <c r="U837" s="177"/>
      <c r="BB837" s="784"/>
      <c r="BC837" s="785"/>
      <c r="BD837" s="900"/>
    </row>
    <row r="838" spans="1:56" s="65" customFormat="1" hidden="1" outlineLevel="1" x14ac:dyDescent="0.25">
      <c r="A838" s="785"/>
      <c r="B838" s="177"/>
      <c r="C838" s="455"/>
      <c r="D838" s="456"/>
      <c r="E838" s="493"/>
      <c r="F838" s="493"/>
      <c r="G838" s="493"/>
      <c r="H838" s="493"/>
      <c r="I838" s="493"/>
      <c r="J838" s="177"/>
      <c r="K838" s="177"/>
      <c r="L838" s="177"/>
      <c r="M838" s="177"/>
      <c r="N838" s="2048"/>
      <c r="O838" s="177"/>
      <c r="P838" s="177"/>
      <c r="Q838" s="177"/>
      <c r="R838" s="177"/>
      <c r="S838" s="177"/>
      <c r="T838" s="177"/>
      <c r="U838" s="177"/>
      <c r="BB838" s="784"/>
      <c r="BC838" s="785"/>
      <c r="BD838" s="900"/>
    </row>
    <row r="839" spans="1:56" s="65" customFormat="1" hidden="1" outlineLevel="1" x14ac:dyDescent="0.25">
      <c r="A839" s="785"/>
      <c r="B839" s="177"/>
      <c r="C839" s="455"/>
      <c r="D839" s="456"/>
      <c r="E839" s="493"/>
      <c r="F839" s="493"/>
      <c r="G839" s="493"/>
      <c r="H839" s="493"/>
      <c r="I839" s="493"/>
      <c r="J839" s="177"/>
      <c r="K839" s="177"/>
      <c r="L839" s="177"/>
      <c r="M839" s="177"/>
      <c r="N839" s="2048"/>
      <c r="O839" s="177"/>
      <c r="P839" s="177"/>
      <c r="Q839" s="177"/>
      <c r="R839" s="177"/>
      <c r="S839" s="177"/>
      <c r="T839" s="177"/>
      <c r="U839" s="177"/>
      <c r="BB839" s="784"/>
      <c r="BC839" s="785"/>
      <c r="BD839" s="900"/>
    </row>
    <row r="840" spans="1:56" s="65" customFormat="1" hidden="1" outlineLevel="1" x14ac:dyDescent="0.25">
      <c r="A840" s="785"/>
      <c r="B840" s="177"/>
      <c r="C840" s="455"/>
      <c r="D840" s="456" t="s">
        <v>1341</v>
      </c>
      <c r="E840" s="493"/>
      <c r="F840" s="493"/>
      <c r="G840" s="493"/>
      <c r="H840" s="493"/>
      <c r="I840" s="493"/>
      <c r="J840" s="177"/>
      <c r="K840" s="177"/>
      <c r="L840" s="177"/>
      <c r="M840" s="177"/>
      <c r="N840" s="2048"/>
      <c r="O840" s="177"/>
      <c r="P840" s="177"/>
      <c r="Q840" s="177"/>
      <c r="R840" s="177"/>
      <c r="S840" s="177"/>
      <c r="T840" s="177"/>
      <c r="U840" s="177"/>
      <c r="BB840" s="784"/>
      <c r="BC840" s="785"/>
      <c r="BD840" s="900"/>
    </row>
    <row r="841" spans="1:56" s="65" customFormat="1" hidden="1" outlineLevel="1" x14ac:dyDescent="0.25">
      <c r="A841" s="785"/>
      <c r="B841" s="177"/>
      <c r="C841" s="455"/>
      <c r="D841" s="456"/>
      <c r="E841" s="493"/>
      <c r="F841" s="493"/>
      <c r="G841" s="493"/>
      <c r="H841" s="493"/>
      <c r="I841" s="493"/>
      <c r="J841" s="177"/>
      <c r="K841" s="177"/>
      <c r="L841" s="177"/>
      <c r="M841" s="177"/>
      <c r="N841" s="2048"/>
      <c r="O841" s="177"/>
      <c r="P841" s="177"/>
      <c r="Q841" s="177"/>
      <c r="R841" s="177"/>
      <c r="S841" s="177"/>
      <c r="T841" s="177"/>
      <c r="U841" s="177"/>
      <c r="BB841" s="784"/>
      <c r="BC841" s="785"/>
      <c r="BD841" s="900"/>
    </row>
    <row r="842" spans="1:56" s="65" customFormat="1" hidden="1" outlineLevel="1" x14ac:dyDescent="0.25">
      <c r="A842" s="785"/>
      <c r="B842" s="177"/>
      <c r="C842" s="455"/>
      <c r="D842" s="456"/>
      <c r="E842" s="177"/>
      <c r="F842" s="177"/>
      <c r="G842" s="177"/>
      <c r="H842" s="177"/>
      <c r="I842" s="177"/>
      <c r="J842" s="177"/>
      <c r="K842" s="177"/>
      <c r="L842" s="177"/>
      <c r="M842" s="177"/>
      <c r="N842" s="2048"/>
      <c r="O842" s="177"/>
      <c r="P842" s="177"/>
      <c r="Q842" s="177"/>
      <c r="R842" s="177"/>
      <c r="S842" s="177"/>
      <c r="T842" s="177"/>
      <c r="U842" s="177"/>
      <c r="BB842" s="784"/>
      <c r="BC842" s="785"/>
      <c r="BD842" s="900"/>
    </row>
    <row r="843" spans="1:56" s="65" customFormat="1" hidden="1" outlineLevel="1" x14ac:dyDescent="0.25">
      <c r="A843" s="785"/>
      <c r="B843" s="177"/>
      <c r="C843" s="455"/>
      <c r="D843" s="456"/>
      <c r="E843" s="177"/>
      <c r="F843" s="177"/>
      <c r="G843" s="177"/>
      <c r="H843" s="177"/>
      <c r="I843" s="177"/>
      <c r="J843" s="177"/>
      <c r="K843" s="177"/>
      <c r="L843" s="177"/>
      <c r="M843" s="177"/>
      <c r="N843" s="2048"/>
      <c r="O843" s="177"/>
      <c r="P843" s="229"/>
      <c r="Q843" s="229"/>
      <c r="R843" s="229"/>
      <c r="S843" s="177"/>
      <c r="T843" s="177"/>
      <c r="U843" s="177"/>
      <c r="BB843" s="784"/>
      <c r="BC843" s="785"/>
      <c r="BD843" s="900"/>
    </row>
    <row r="844" spans="1:56" s="65" customFormat="1" ht="30.75" hidden="1" outlineLevel="1" thickBot="1" x14ac:dyDescent="0.3">
      <c r="A844" s="785"/>
      <c r="B844" s="332"/>
      <c r="C844" s="455"/>
      <c r="D844" s="520" t="s">
        <v>618</v>
      </c>
      <c r="E844" s="520" t="s">
        <v>619</v>
      </c>
      <c r="F844" s="2735" t="s">
        <v>669</v>
      </c>
      <c r="G844" s="2735"/>
      <c r="H844" s="2735"/>
      <c r="I844" s="1659" t="s">
        <v>17</v>
      </c>
      <c r="J844" s="1659" t="s">
        <v>620</v>
      </c>
      <c r="K844" s="1659" t="s">
        <v>1257</v>
      </c>
      <c r="L844" s="1659" t="s">
        <v>863</v>
      </c>
      <c r="M844" s="443"/>
      <c r="N844" s="2048"/>
      <c r="O844" s="332"/>
      <c r="P844" s="2527"/>
      <c r="Q844" s="2527"/>
      <c r="R844" s="2527"/>
      <c r="S844" s="2493"/>
      <c r="T844" s="177"/>
      <c r="U844" s="177"/>
      <c r="V844" s="55" t="s">
        <v>27</v>
      </c>
      <c r="W844" s="56">
        <v>43252</v>
      </c>
      <c r="X844" s="56">
        <f>$X$6</f>
        <v>43465</v>
      </c>
      <c r="Y844" s="56">
        <f>$Y$6</f>
        <v>43800</v>
      </c>
      <c r="Z844" s="56">
        <f>$Z$6</f>
        <v>43862</v>
      </c>
      <c r="AA844" s="56" t="str">
        <f>$AA$6</f>
        <v>-</v>
      </c>
      <c r="AB844" s="56" t="str">
        <f>$AB$6</f>
        <v>-</v>
      </c>
      <c r="AC844" s="56" t="str">
        <f>$AC$6</f>
        <v>-</v>
      </c>
      <c r="AD844" s="56" t="str">
        <f>$AD$6</f>
        <v>-</v>
      </c>
      <c r="AE844" s="56" t="str">
        <f>$AE$6</f>
        <v>-</v>
      </c>
      <c r="AF844" s="56" t="str">
        <f>$AF$6</f>
        <v>-</v>
      </c>
      <c r="AG844" s="56" t="str">
        <f>$AG$6</f>
        <v>-</v>
      </c>
      <c r="BB844" s="784"/>
      <c r="BC844" s="785"/>
      <c r="BD844" s="900"/>
    </row>
    <row r="845" spans="1:56" s="65" customFormat="1" ht="15" hidden="1" customHeight="1" outlineLevel="1" x14ac:dyDescent="0.25">
      <c r="A845" s="785"/>
      <c r="B845" s="332"/>
      <c r="C845" s="455"/>
      <c r="D845" s="2801" t="s">
        <v>1342</v>
      </c>
      <c r="E845" s="2805" t="s">
        <v>1343</v>
      </c>
      <c r="F845" s="2809" t="str">
        <f>E775</f>
        <v>Ductless AC - ER1 SF</v>
      </c>
      <c r="G845" s="2809"/>
      <c r="H845" s="2809"/>
      <c r="I845" s="1669"/>
      <c r="J845" s="1664">
        <v>0</v>
      </c>
      <c r="K845" s="1008"/>
      <c r="L845" s="1009" t="s">
        <v>1344</v>
      </c>
      <c r="M845" s="2065"/>
      <c r="N845" s="2048"/>
      <c r="O845" s="332"/>
      <c r="P845" s="2799"/>
      <c r="Q845" s="2800"/>
      <c r="R845" s="2800"/>
      <c r="S845" s="2493"/>
      <c r="T845" s="177"/>
      <c r="U845" s="177"/>
      <c r="V845" s="2811" t="s">
        <v>1342</v>
      </c>
      <c r="W845" s="903">
        <v>0</v>
      </c>
      <c r="X845" s="903">
        <v>0</v>
      </c>
      <c r="Y845" s="903">
        <v>0</v>
      </c>
      <c r="Z845" s="903"/>
      <c r="AA845" s="903"/>
      <c r="AB845" s="903"/>
      <c r="AC845" s="903"/>
      <c r="AD845" s="903"/>
      <c r="AE845" s="903"/>
      <c r="AF845" s="903"/>
      <c r="AG845" s="1010"/>
      <c r="BB845" s="784"/>
      <c r="BC845" s="785"/>
      <c r="BD845" s="900"/>
    </row>
    <row r="846" spans="1:56" s="65" customFormat="1" hidden="1" outlineLevel="1" x14ac:dyDescent="0.25">
      <c r="A846" s="785"/>
      <c r="B846" s="332"/>
      <c r="C846" s="455"/>
      <c r="D846" s="2802"/>
      <c r="E846" s="2806"/>
      <c r="F846" s="2797" t="str">
        <f>E777</f>
        <v>Ductless AC - ROF SF</v>
      </c>
      <c r="G846" s="2797"/>
      <c r="H846" s="2797"/>
      <c r="I846" s="1668"/>
      <c r="J846" s="1660">
        <v>0</v>
      </c>
      <c r="K846" s="1011"/>
      <c r="L846" s="1012" t="s">
        <v>1344</v>
      </c>
      <c r="M846" s="2065"/>
      <c r="N846" s="2048"/>
      <c r="O846" s="332"/>
      <c r="P846" s="2528"/>
      <c r="Q846" s="2528"/>
      <c r="R846" s="2528"/>
      <c r="S846" s="2493"/>
      <c r="T846" s="177"/>
      <c r="U846" s="177"/>
      <c r="V846" s="2812"/>
      <c r="W846" s="909">
        <v>0</v>
      </c>
      <c r="X846" s="909">
        <v>0</v>
      </c>
      <c r="Y846" s="909">
        <v>0</v>
      </c>
      <c r="Z846" s="909"/>
      <c r="AA846" s="909"/>
      <c r="AB846" s="909"/>
      <c r="AC846" s="909"/>
      <c r="AD846" s="909"/>
      <c r="AE846" s="909"/>
      <c r="AF846" s="909"/>
      <c r="AG846" s="927"/>
      <c r="BB846" s="784"/>
      <c r="BC846" s="785"/>
      <c r="BD846" s="900"/>
    </row>
    <row r="847" spans="1:56" s="65" customFormat="1" hidden="1" outlineLevel="1" x14ac:dyDescent="0.25">
      <c r="A847" s="785"/>
      <c r="B847" s="332"/>
      <c r="C847" s="455"/>
      <c r="D847" s="2802"/>
      <c r="E847" s="2806"/>
      <c r="F847" s="2797" t="str">
        <f>E778</f>
        <v>Ductless ASHP - ROF SF NC</v>
      </c>
      <c r="G847" s="2797"/>
      <c r="H847" s="2797"/>
      <c r="I847" s="1668"/>
      <c r="J847" s="1660">
        <v>18000</v>
      </c>
      <c r="K847" s="1011">
        <f>J847/12000</f>
        <v>1.5</v>
      </c>
      <c r="L847" s="1012" t="s">
        <v>1345</v>
      </c>
      <c r="M847" s="2065"/>
      <c r="N847" s="2048"/>
      <c r="O847" s="332"/>
      <c r="P847" s="2529"/>
      <c r="Q847" s="2530"/>
      <c r="R847" s="2530"/>
      <c r="S847" s="2493"/>
      <c r="T847" s="177"/>
      <c r="U847" s="177"/>
      <c r="V847" s="2812"/>
      <c r="W847" s="909">
        <v>16800</v>
      </c>
      <c r="X847" s="908">
        <f t="shared" ref="X847:X849" si="82">1.5*12000</f>
        <v>18000</v>
      </c>
      <c r="Y847" s="909">
        <v>18000</v>
      </c>
      <c r="Z847" s="909"/>
      <c r="AA847" s="909"/>
      <c r="AB847" s="909"/>
      <c r="AC847" s="909"/>
      <c r="AD847" s="909"/>
      <c r="AE847" s="909"/>
      <c r="AF847" s="909"/>
      <c r="AG847" s="927"/>
      <c r="BB847" s="784"/>
      <c r="BC847" s="785"/>
      <c r="BD847" s="900"/>
    </row>
    <row r="848" spans="1:56" s="65" customFormat="1" hidden="1" outlineLevel="1" x14ac:dyDescent="0.25">
      <c r="A848" s="785"/>
      <c r="B848" s="332"/>
      <c r="C848" s="455"/>
      <c r="D848" s="2802"/>
      <c r="E848" s="2806"/>
      <c r="F848" s="2797" t="str">
        <f>E780</f>
        <v>Ductless ASHP - ROF SF</v>
      </c>
      <c r="G848" s="2797"/>
      <c r="H848" s="2797"/>
      <c r="I848" s="1668"/>
      <c r="J848" s="1660">
        <v>18000</v>
      </c>
      <c r="K848" s="1011">
        <f>J848/12000</f>
        <v>1.5</v>
      </c>
      <c r="L848" s="1013" t="s">
        <v>1345</v>
      </c>
      <c r="M848" s="2036"/>
      <c r="N848" s="2048"/>
      <c r="O848" s="332"/>
      <c r="P848" s="2529"/>
      <c r="Q848" s="2530"/>
      <c r="R848" s="2530"/>
      <c r="S848" s="2493"/>
      <c r="T848" s="177"/>
      <c r="U848" s="177"/>
      <c r="V848" s="2812"/>
      <c r="W848" s="909">
        <v>16800</v>
      </c>
      <c r="X848" s="908">
        <f t="shared" si="82"/>
        <v>18000</v>
      </c>
      <c r="Y848" s="909">
        <v>18000</v>
      </c>
      <c r="Z848" s="909"/>
      <c r="AA848" s="909"/>
      <c r="AB848" s="909"/>
      <c r="AC848" s="909"/>
      <c r="AD848" s="909"/>
      <c r="AE848" s="909"/>
      <c r="AF848" s="909"/>
      <c r="AG848" s="927"/>
      <c r="BB848" s="784"/>
      <c r="BC848" s="785"/>
      <c r="BD848" s="900"/>
    </row>
    <row r="849" spans="1:56" s="65" customFormat="1" hidden="1" outlineLevel="1" x14ac:dyDescent="0.25">
      <c r="A849" s="785"/>
      <c r="B849" s="332"/>
      <c r="C849" s="455"/>
      <c r="D849" s="2802"/>
      <c r="E849" s="2806"/>
      <c r="F849" s="2797" t="str">
        <f>E782</f>
        <v>Ductless ASHP Replace Electric Resistance ER1 SF</v>
      </c>
      <c r="G849" s="2797"/>
      <c r="H849" s="2797"/>
      <c r="I849" s="1668"/>
      <c r="J849" s="1660">
        <v>18000</v>
      </c>
      <c r="K849" s="1011">
        <f>J849/12000</f>
        <v>1.5</v>
      </c>
      <c r="L849" s="1013" t="s">
        <v>1346</v>
      </c>
      <c r="M849" s="2036"/>
      <c r="N849" s="2048"/>
      <c r="O849" s="332"/>
      <c r="P849" s="2529"/>
      <c r="Q849" s="2530"/>
      <c r="R849" s="2530"/>
      <c r="S849" s="2493"/>
      <c r="T849" s="177"/>
      <c r="U849" s="177"/>
      <c r="V849" s="2812"/>
      <c r="W849" s="909">
        <v>16800</v>
      </c>
      <c r="X849" s="908">
        <f t="shared" si="82"/>
        <v>18000</v>
      </c>
      <c r="Y849" s="909">
        <v>18000</v>
      </c>
      <c r="Z849" s="909"/>
      <c r="AA849" s="909"/>
      <c r="AB849" s="909"/>
      <c r="AC849" s="909"/>
      <c r="AD849" s="909"/>
      <c r="AE849" s="909"/>
      <c r="AF849" s="909"/>
      <c r="AG849" s="927"/>
      <c r="BB849" s="784"/>
      <c r="BC849" s="785"/>
      <c r="BD849" s="900"/>
    </row>
    <row r="850" spans="1:56" s="65" customFormat="1" hidden="1" outlineLevel="1" x14ac:dyDescent="0.25">
      <c r="A850" s="785"/>
      <c r="B850" s="332"/>
      <c r="C850" s="455"/>
      <c r="D850" s="2802"/>
      <c r="E850" s="2806"/>
      <c r="F850" s="2797" t="str">
        <f>E786</f>
        <v>Ductless ASHP Replace Electric Resistance ROF SF</v>
      </c>
      <c r="G850" s="2797"/>
      <c r="H850" s="2797"/>
      <c r="I850" s="1668"/>
      <c r="J850" s="1660">
        <v>19200</v>
      </c>
      <c r="K850" s="1011">
        <f>J850/12000</f>
        <v>1.6</v>
      </c>
      <c r="L850" s="1013" t="s">
        <v>1346</v>
      </c>
      <c r="M850" s="2036"/>
      <c r="N850" s="2048"/>
      <c r="O850" s="332"/>
      <c r="P850" s="2529"/>
      <c r="Q850" s="2530"/>
      <c r="R850" s="2530"/>
      <c r="S850" s="2493"/>
      <c r="T850" s="177"/>
      <c r="U850" s="177"/>
      <c r="V850" s="2812"/>
      <c r="W850" s="909">
        <v>19200</v>
      </c>
      <c r="X850" s="908">
        <f>1.5*12000</f>
        <v>18000</v>
      </c>
      <c r="Y850" s="908">
        <v>19200</v>
      </c>
      <c r="Z850" s="909"/>
      <c r="AA850" s="909"/>
      <c r="AB850" s="909"/>
      <c r="AC850" s="909"/>
      <c r="AD850" s="909"/>
      <c r="AE850" s="909"/>
      <c r="AF850" s="909"/>
      <c r="AG850" s="927"/>
      <c r="BB850" s="784"/>
      <c r="BC850" s="785"/>
      <c r="BD850" s="900"/>
    </row>
    <row r="851" spans="1:56" s="65" customFormat="1" hidden="1" outlineLevel="1" x14ac:dyDescent="0.25">
      <c r="A851" s="785"/>
      <c r="B851" s="332"/>
      <c r="C851" s="455"/>
      <c r="D851" s="2802"/>
      <c r="E851" s="2806"/>
      <c r="F851" s="2797" t="str">
        <f>E788</f>
        <v>Ductless ASHP ER1 SF</v>
      </c>
      <c r="G851" s="2797"/>
      <c r="H851" s="2797"/>
      <c r="I851" s="1668"/>
      <c r="J851" s="1660">
        <v>18000</v>
      </c>
      <c r="K851" s="1011">
        <f>J851/12000</f>
        <v>1.5</v>
      </c>
      <c r="L851" s="1013" t="s">
        <v>1346</v>
      </c>
      <c r="M851" s="2065"/>
      <c r="N851" s="2048"/>
      <c r="O851" s="332"/>
      <c r="P851" s="2529"/>
      <c r="Q851" s="2530"/>
      <c r="R851" s="2530"/>
      <c r="S851" s="2493"/>
      <c r="T851" s="177"/>
      <c r="U851" s="177"/>
      <c r="V851" s="2812"/>
      <c r="W851" s="909">
        <v>20400</v>
      </c>
      <c r="X851" s="908">
        <f>1.5*12000</f>
        <v>18000</v>
      </c>
      <c r="Y851" s="909">
        <v>18000</v>
      </c>
      <c r="Z851" s="909"/>
      <c r="AA851" s="909"/>
      <c r="AB851" s="909"/>
      <c r="AC851" s="909"/>
      <c r="AD851" s="909"/>
      <c r="AE851" s="909"/>
      <c r="AF851" s="909"/>
      <c r="AG851" s="927"/>
      <c r="BB851" s="784"/>
      <c r="BC851" s="785"/>
      <c r="BD851" s="900"/>
    </row>
    <row r="852" spans="1:56" s="65" customFormat="1" hidden="1" outlineLevel="1" x14ac:dyDescent="0.25">
      <c r="A852" s="785"/>
      <c r="B852" s="332"/>
      <c r="C852" s="2029"/>
      <c r="D852" s="2802"/>
      <c r="E852" s="2806"/>
      <c r="F852" s="2798" t="str">
        <f>E792</f>
        <v>Ductless AC - ER1 MF</v>
      </c>
      <c r="G852" s="2798"/>
      <c r="H852" s="2798"/>
      <c r="I852" s="1668"/>
      <c r="J852" s="1660">
        <f>J845</f>
        <v>0</v>
      </c>
      <c r="K852" s="1011">
        <f t="shared" ref="K852:K865" si="83">J852/12000</f>
        <v>0</v>
      </c>
      <c r="L852" s="1012"/>
      <c r="M852" s="2065"/>
      <c r="N852" s="2048"/>
      <c r="O852" s="332"/>
      <c r="P852" s="2529"/>
      <c r="Q852" s="2530"/>
      <c r="R852" s="2530"/>
      <c r="S852" s="2493"/>
      <c r="T852" s="177"/>
      <c r="U852" s="177"/>
      <c r="V852" s="2812"/>
      <c r="W852" s="909"/>
      <c r="X852" s="909"/>
      <c r="Y852" s="1014">
        <v>0</v>
      </c>
      <c r="Z852" s="909"/>
      <c r="AA852" s="909"/>
      <c r="AB852" s="909"/>
      <c r="AC852" s="909"/>
      <c r="AD852" s="909"/>
      <c r="AE852" s="909"/>
      <c r="AF852" s="909"/>
      <c r="AG852" s="927"/>
      <c r="BB852" s="784"/>
      <c r="BC852" s="785"/>
      <c r="BD852" s="900"/>
    </row>
    <row r="853" spans="1:56" s="65" customFormat="1" hidden="1" outlineLevel="1" x14ac:dyDescent="0.25">
      <c r="A853" s="785"/>
      <c r="B853" s="332"/>
      <c r="C853" s="2029"/>
      <c r="D853" s="2802"/>
      <c r="E853" s="2806"/>
      <c r="F853" s="2798" t="str">
        <f>E796</f>
        <v>Ductless AC - ROF MF</v>
      </c>
      <c r="G853" s="2798"/>
      <c r="H853" s="2798"/>
      <c r="I853" s="1668"/>
      <c r="J853" s="1660">
        <f t="shared" ref="J853:J858" si="84">J846</f>
        <v>0</v>
      </c>
      <c r="K853" s="1011">
        <f t="shared" si="83"/>
        <v>0</v>
      </c>
      <c r="L853" s="1012"/>
      <c r="M853" s="2065"/>
      <c r="N853" s="2048"/>
      <c r="O853" s="332"/>
      <c r="P853" s="2529"/>
      <c r="Q853" s="2530"/>
      <c r="R853" s="2530"/>
      <c r="S853" s="2493"/>
      <c r="T853" s="177"/>
      <c r="U853" s="177"/>
      <c r="V853" s="2812"/>
      <c r="W853" s="909"/>
      <c r="X853" s="909"/>
      <c r="Y853" s="1014">
        <v>0</v>
      </c>
      <c r="Z853" s="909"/>
      <c r="AA853" s="909"/>
      <c r="AB853" s="909"/>
      <c r="AC853" s="909"/>
      <c r="AD853" s="909"/>
      <c r="AE853" s="909"/>
      <c r="AF853" s="909"/>
      <c r="AG853" s="927"/>
      <c r="BB853" s="784"/>
      <c r="BC853" s="785"/>
      <c r="BD853" s="900"/>
    </row>
    <row r="854" spans="1:56" s="65" customFormat="1" hidden="1" outlineLevel="1" x14ac:dyDescent="0.25">
      <c r="A854" s="785"/>
      <c r="B854" s="332"/>
      <c r="C854" s="2029"/>
      <c r="D854" s="2802"/>
      <c r="E854" s="2806"/>
      <c r="F854" s="2798" t="str">
        <f>E798</f>
        <v>Ductless ASHP - ROF MF NC</v>
      </c>
      <c r="G854" s="2798"/>
      <c r="H854" s="2798"/>
      <c r="I854" s="1668"/>
      <c r="J854" s="1660">
        <f t="shared" si="84"/>
        <v>18000</v>
      </c>
      <c r="K854" s="1011">
        <f t="shared" si="83"/>
        <v>1.5</v>
      </c>
      <c r="L854" s="1012"/>
      <c r="M854" s="2065"/>
      <c r="N854" s="2048"/>
      <c r="O854" s="332"/>
      <c r="P854" s="2529"/>
      <c r="Q854" s="2530"/>
      <c r="R854" s="2530"/>
      <c r="S854" s="2493"/>
      <c r="T854" s="177"/>
      <c r="U854" s="177"/>
      <c r="V854" s="2812"/>
      <c r="W854" s="909"/>
      <c r="X854" s="909"/>
      <c r="Y854" s="1014">
        <v>18000</v>
      </c>
      <c r="Z854" s="909"/>
      <c r="AA854" s="909"/>
      <c r="AB854" s="909"/>
      <c r="AC854" s="909"/>
      <c r="AD854" s="909"/>
      <c r="AE854" s="909"/>
      <c r="AF854" s="909"/>
      <c r="AG854" s="927"/>
      <c r="BB854" s="784"/>
      <c r="BC854" s="785"/>
      <c r="BD854" s="900"/>
    </row>
    <row r="855" spans="1:56" s="65" customFormat="1" hidden="1" outlineLevel="1" x14ac:dyDescent="0.25">
      <c r="A855" s="785"/>
      <c r="B855" s="332"/>
      <c r="C855" s="2029"/>
      <c r="D855" s="2802"/>
      <c r="E855" s="2806"/>
      <c r="F855" s="2798" t="str">
        <f>E802</f>
        <v>Ductless ASHP - ROF MF</v>
      </c>
      <c r="G855" s="2798"/>
      <c r="H855" s="2798"/>
      <c r="I855" s="1668"/>
      <c r="J855" s="1660">
        <f t="shared" si="84"/>
        <v>18000</v>
      </c>
      <c r="K855" s="1011">
        <f t="shared" si="83"/>
        <v>1.5</v>
      </c>
      <c r="L855" s="1012"/>
      <c r="M855" s="2065"/>
      <c r="N855" s="2048"/>
      <c r="O855" s="332"/>
      <c r="P855" s="2529"/>
      <c r="Q855" s="2530"/>
      <c r="R855" s="2530"/>
      <c r="S855" s="2493"/>
      <c r="T855" s="177"/>
      <c r="U855" s="177"/>
      <c r="V855" s="2812"/>
      <c r="W855" s="909"/>
      <c r="X855" s="909"/>
      <c r="Y855" s="1014">
        <v>18000</v>
      </c>
      <c r="Z855" s="909"/>
      <c r="AA855" s="909"/>
      <c r="AB855" s="909"/>
      <c r="AC855" s="909"/>
      <c r="AD855" s="909"/>
      <c r="AE855" s="909"/>
      <c r="AF855" s="909"/>
      <c r="AG855" s="927"/>
      <c r="BB855" s="784"/>
      <c r="BC855" s="785"/>
      <c r="BD855" s="900"/>
    </row>
    <row r="856" spans="1:56" s="65" customFormat="1" hidden="1" outlineLevel="1" x14ac:dyDescent="0.25">
      <c r="A856" s="785"/>
      <c r="B856" s="332"/>
      <c r="C856" s="2029"/>
      <c r="D856" s="2802"/>
      <c r="E856" s="2806"/>
      <c r="F856" s="2798" t="str">
        <f>E806</f>
        <v>Ductless ASHP Replace Electric Resistance ER1 MF</v>
      </c>
      <c r="G856" s="2798"/>
      <c r="H856" s="2798"/>
      <c r="I856" s="1668"/>
      <c r="J856" s="1660">
        <f t="shared" si="84"/>
        <v>18000</v>
      </c>
      <c r="K856" s="1011">
        <f t="shared" si="83"/>
        <v>1.5</v>
      </c>
      <c r="L856" s="1012"/>
      <c r="M856" s="2065"/>
      <c r="N856" s="2048"/>
      <c r="O856" s="332"/>
      <c r="P856" s="2531"/>
      <c r="Q856" s="2532"/>
      <c r="R856" s="2527"/>
      <c r="S856" s="2493"/>
      <c r="T856" s="177"/>
      <c r="U856" s="177"/>
      <c r="V856" s="2812"/>
      <c r="W856" s="909"/>
      <c r="X856" s="909"/>
      <c r="Y856" s="1014">
        <v>18000</v>
      </c>
      <c r="Z856" s="909"/>
      <c r="AA856" s="909"/>
      <c r="AB856" s="909"/>
      <c r="AC856" s="909"/>
      <c r="AD856" s="909"/>
      <c r="AE856" s="909"/>
      <c r="AF856" s="909"/>
      <c r="AG856" s="927"/>
      <c r="BB856" s="784"/>
      <c r="BC856" s="785"/>
      <c r="BD856" s="900"/>
    </row>
    <row r="857" spans="1:56" s="65" customFormat="1" hidden="1" outlineLevel="1" x14ac:dyDescent="0.25">
      <c r="A857" s="785"/>
      <c r="B857" s="332"/>
      <c r="C857" s="2029"/>
      <c r="D857" s="2802"/>
      <c r="E857" s="2806"/>
      <c r="F857" s="2798" t="str">
        <f>E814</f>
        <v>Ductless ASHP Replace Electric Resistance ROF MF</v>
      </c>
      <c r="G857" s="2798"/>
      <c r="H857" s="2798"/>
      <c r="I857" s="1668"/>
      <c r="J857" s="1660">
        <f t="shared" si="84"/>
        <v>19200</v>
      </c>
      <c r="K857" s="1011">
        <f t="shared" si="83"/>
        <v>1.6</v>
      </c>
      <c r="L857" s="1012"/>
      <c r="M857" s="2065"/>
      <c r="N857" s="2048"/>
      <c r="O857" s="332"/>
      <c r="P857" s="2527"/>
      <c r="Q857" s="2527"/>
      <c r="R857" s="2527"/>
      <c r="S857" s="2493"/>
      <c r="T857" s="177"/>
      <c r="U857" s="177"/>
      <c r="V857" s="2812"/>
      <c r="W857" s="909"/>
      <c r="X857" s="909"/>
      <c r="Y857" s="1014">
        <v>19200</v>
      </c>
      <c r="Z857" s="909"/>
      <c r="AA857" s="909"/>
      <c r="AB857" s="909"/>
      <c r="AC857" s="909"/>
      <c r="AD857" s="909"/>
      <c r="AE857" s="909"/>
      <c r="AF857" s="909"/>
      <c r="AG857" s="927"/>
      <c r="BB857" s="784"/>
      <c r="BC857" s="785"/>
      <c r="BD857" s="900"/>
    </row>
    <row r="858" spans="1:56" s="65" customFormat="1" ht="15" hidden="1" customHeight="1" outlineLevel="1" x14ac:dyDescent="0.25">
      <c r="A858" s="785"/>
      <c r="B858" s="332"/>
      <c r="C858" s="2029"/>
      <c r="D858" s="2802"/>
      <c r="E858" s="2806"/>
      <c r="F858" s="2798" t="str">
        <f>E818</f>
        <v>Ductless ASHP ER1 MF</v>
      </c>
      <c r="G858" s="2798"/>
      <c r="H858" s="2798"/>
      <c r="I858" s="1668"/>
      <c r="J858" s="1660">
        <f t="shared" si="84"/>
        <v>18000</v>
      </c>
      <c r="K858" s="1011">
        <f t="shared" si="83"/>
        <v>1.5</v>
      </c>
      <c r="L858" s="1012"/>
      <c r="M858" s="2065"/>
      <c r="N858" s="2048"/>
      <c r="O858" s="332"/>
      <c r="P858" s="2799"/>
      <c r="Q858" s="2810"/>
      <c r="R858" s="2810"/>
      <c r="S858" s="2493"/>
      <c r="T858" s="177"/>
      <c r="U858" s="177"/>
      <c r="V858" s="2812"/>
      <c r="W858" s="909"/>
      <c r="X858" s="909"/>
      <c r="Y858" s="1014">
        <v>18000</v>
      </c>
      <c r="Z858" s="909"/>
      <c r="AA858" s="909"/>
      <c r="AB858" s="909"/>
      <c r="AC858" s="909"/>
      <c r="AD858" s="909"/>
      <c r="AE858" s="909"/>
      <c r="AF858" s="909"/>
      <c r="AG858" s="927"/>
      <c r="BB858" s="784"/>
      <c r="BC858" s="785"/>
      <c r="BD858" s="900"/>
    </row>
    <row r="859" spans="1:56" s="65" customFormat="1" hidden="1" outlineLevel="1" x14ac:dyDescent="0.25">
      <c r="A859" s="785"/>
      <c r="B859" s="332"/>
      <c r="C859" s="2029"/>
      <c r="D859" s="2803"/>
      <c r="E859" s="2807"/>
      <c r="F859" s="2798" t="str">
        <f>E794</f>
        <v>Ductless AC - ER1 MF_CompE</v>
      </c>
      <c r="G859" s="2798"/>
      <c r="H859" s="2798"/>
      <c r="I859" s="1668"/>
      <c r="J859" s="1660">
        <f>J845</f>
        <v>0</v>
      </c>
      <c r="K859" s="1011">
        <f t="shared" si="83"/>
        <v>0</v>
      </c>
      <c r="L859" s="1012"/>
      <c r="M859" s="2065"/>
      <c r="N859" s="2048"/>
      <c r="O859" s="332"/>
      <c r="P859" s="2533"/>
      <c r="Q859" s="2532"/>
      <c r="R859" s="2532"/>
      <c r="S859" s="2493"/>
      <c r="T859" s="177"/>
      <c r="U859" s="177"/>
      <c r="V859" s="2813"/>
      <c r="W859" s="909"/>
      <c r="X859" s="909"/>
      <c r="Y859" s="1014">
        <v>0</v>
      </c>
      <c r="Z859" s="909"/>
      <c r="AA859" s="909"/>
      <c r="AB859" s="909"/>
      <c r="AC859" s="909"/>
      <c r="AD859" s="909"/>
      <c r="AE859" s="909"/>
      <c r="AF859" s="909"/>
      <c r="AG859" s="927"/>
      <c r="BB859" s="784"/>
      <c r="BC859" s="785"/>
      <c r="BD859" s="900"/>
    </row>
    <row r="860" spans="1:56" s="65" customFormat="1" hidden="1" outlineLevel="1" x14ac:dyDescent="0.25">
      <c r="A860" s="785"/>
      <c r="B860" s="332"/>
      <c r="C860" s="2029"/>
      <c r="D860" s="2803"/>
      <c r="E860" s="2807"/>
      <c r="F860" s="2798" t="str">
        <f>E797</f>
        <v>Ductless AC - ROF MF_CompE</v>
      </c>
      <c r="G860" s="2798"/>
      <c r="H860" s="2798"/>
      <c r="I860" s="1668"/>
      <c r="J860" s="1660">
        <f t="shared" ref="J860:J865" si="85">J846</f>
        <v>0</v>
      </c>
      <c r="K860" s="1011">
        <f t="shared" si="83"/>
        <v>0</v>
      </c>
      <c r="L860" s="1012"/>
      <c r="M860" s="2065"/>
      <c r="N860" s="2048"/>
      <c r="O860" s="332"/>
      <c r="P860" s="2533"/>
      <c r="Q860" s="2534"/>
      <c r="R860" s="2534"/>
      <c r="S860" s="2493"/>
      <c r="T860" s="177"/>
      <c r="U860" s="177"/>
      <c r="V860" s="2813"/>
      <c r="W860" s="909"/>
      <c r="X860" s="909"/>
      <c r="Y860" s="1014">
        <v>0</v>
      </c>
      <c r="Z860" s="909"/>
      <c r="AA860" s="909"/>
      <c r="AB860" s="909"/>
      <c r="AC860" s="909"/>
      <c r="AD860" s="909"/>
      <c r="AE860" s="909"/>
      <c r="AF860" s="909"/>
      <c r="AG860" s="927"/>
      <c r="BB860" s="784"/>
      <c r="BC860" s="785"/>
      <c r="BD860" s="900"/>
    </row>
    <row r="861" spans="1:56" s="65" customFormat="1" hidden="1" outlineLevel="1" x14ac:dyDescent="0.25">
      <c r="A861" s="785"/>
      <c r="B861" s="332"/>
      <c r="C861" s="2029"/>
      <c r="D861" s="2803"/>
      <c r="E861" s="2807"/>
      <c r="F861" s="2798" t="str">
        <f>E800</f>
        <v>Ductless ASHP - ROF MF NC_CompE</v>
      </c>
      <c r="G861" s="2798"/>
      <c r="H861" s="2798"/>
      <c r="I861" s="1668"/>
      <c r="J861" s="1660">
        <f t="shared" si="85"/>
        <v>18000</v>
      </c>
      <c r="K861" s="1011">
        <f t="shared" si="83"/>
        <v>1.5</v>
      </c>
      <c r="L861" s="1012"/>
      <c r="M861" s="2065"/>
      <c r="N861" s="2048"/>
      <c r="O861" s="332"/>
      <c r="P861" s="2533"/>
      <c r="Q861" s="2527"/>
      <c r="R861" s="2535"/>
      <c r="S861" s="2493"/>
      <c r="T861" s="177"/>
      <c r="U861" s="177"/>
      <c r="V861" s="2813"/>
      <c r="W861" s="909"/>
      <c r="X861" s="909"/>
      <c r="Y861" s="1014">
        <v>18000</v>
      </c>
      <c r="Z861" s="909"/>
      <c r="AA861" s="909"/>
      <c r="AB861" s="909"/>
      <c r="AC861" s="909"/>
      <c r="AD861" s="909"/>
      <c r="AE861" s="909"/>
      <c r="AF861" s="909"/>
      <c r="AG861" s="927"/>
      <c r="BB861" s="784"/>
      <c r="BC861" s="785"/>
      <c r="BD861" s="900"/>
    </row>
    <row r="862" spans="1:56" s="65" customFormat="1" hidden="1" outlineLevel="1" x14ac:dyDescent="0.25">
      <c r="A862" s="785"/>
      <c r="B862" s="332"/>
      <c r="C862" s="2029"/>
      <c r="D862" s="2803"/>
      <c r="E862" s="2807"/>
      <c r="F862" s="2798" t="str">
        <f>E804</f>
        <v>Ductless ASHP - ROF MF_CompE</v>
      </c>
      <c r="G862" s="2798"/>
      <c r="H862" s="2798"/>
      <c r="I862" s="1668"/>
      <c r="J862" s="1660">
        <f t="shared" si="85"/>
        <v>18000</v>
      </c>
      <c r="K862" s="1011">
        <f t="shared" si="83"/>
        <v>1.5</v>
      </c>
      <c r="L862" s="1013"/>
      <c r="M862" s="2065"/>
      <c r="N862" s="2048"/>
      <c r="O862" s="332"/>
      <c r="P862" s="2536"/>
      <c r="Q862" s="2527"/>
      <c r="R862" s="2535"/>
      <c r="S862" s="2493"/>
      <c r="T862" s="177"/>
      <c r="U862" s="177"/>
      <c r="V862" s="2813"/>
      <c r="W862" s="909"/>
      <c r="X862" s="909"/>
      <c r="Y862" s="1014">
        <v>18000</v>
      </c>
      <c r="Z862" s="909"/>
      <c r="AA862" s="909"/>
      <c r="AB862" s="909"/>
      <c r="AC862" s="909"/>
      <c r="AD862" s="909"/>
      <c r="AE862" s="909"/>
      <c r="AF862" s="909"/>
      <c r="AG862" s="927"/>
      <c r="BB862" s="784"/>
      <c r="BC862" s="785"/>
      <c r="BD862" s="900"/>
    </row>
    <row r="863" spans="1:56" s="65" customFormat="1" hidden="1" outlineLevel="1" x14ac:dyDescent="0.25">
      <c r="A863" s="785"/>
      <c r="B863" s="332"/>
      <c r="C863" s="2029"/>
      <c r="D863" s="2803"/>
      <c r="E863" s="2807"/>
      <c r="F863" s="2798" t="str">
        <f>E810</f>
        <v>Ductless ASHP Replace Electric Resistance ER1 MF_CompE</v>
      </c>
      <c r="G863" s="2798"/>
      <c r="H863" s="2798"/>
      <c r="I863" s="1668"/>
      <c r="J863" s="1660">
        <f t="shared" si="85"/>
        <v>18000</v>
      </c>
      <c r="K863" s="1011">
        <f t="shared" si="83"/>
        <v>1.5</v>
      </c>
      <c r="L863" s="1013"/>
      <c r="M863" s="2065"/>
      <c r="N863" s="2048"/>
      <c r="O863" s="332"/>
      <c r="P863" s="2537"/>
      <c r="Q863" s="2527"/>
      <c r="R863" s="2527"/>
      <c r="S863" s="2493"/>
      <c r="T863" s="177"/>
      <c r="U863" s="177"/>
      <c r="V863" s="2813"/>
      <c r="W863" s="909"/>
      <c r="X863" s="909"/>
      <c r="Y863" s="1014">
        <v>18000</v>
      </c>
      <c r="Z863" s="909"/>
      <c r="AA863" s="909"/>
      <c r="AB863" s="909"/>
      <c r="AC863" s="909"/>
      <c r="AD863" s="909"/>
      <c r="AE863" s="909"/>
      <c r="AF863" s="909"/>
      <c r="AG863" s="927"/>
      <c r="BB863" s="784"/>
      <c r="BC863" s="785"/>
      <c r="BD863" s="900"/>
    </row>
    <row r="864" spans="1:56" s="65" customFormat="1" hidden="1" outlineLevel="1" x14ac:dyDescent="0.25">
      <c r="A864" s="785"/>
      <c r="B864" s="332"/>
      <c r="C864" s="2029"/>
      <c r="D864" s="2803"/>
      <c r="E864" s="2807"/>
      <c r="F864" s="2798" t="str">
        <f>E816</f>
        <v>Ductless ASHP Replace Electric Resistance ROF MF_CompE</v>
      </c>
      <c r="G864" s="2798"/>
      <c r="H864" s="2798"/>
      <c r="I864" s="1668"/>
      <c r="J864" s="1660">
        <f t="shared" si="85"/>
        <v>19200</v>
      </c>
      <c r="K864" s="1011">
        <f t="shared" si="83"/>
        <v>1.6</v>
      </c>
      <c r="L864" s="1013"/>
      <c r="M864" s="2065"/>
      <c r="N864" s="2048"/>
      <c r="O864" s="332"/>
      <c r="P864" s="2538"/>
      <c r="Q864" s="2527"/>
      <c r="R864" s="2527"/>
      <c r="S864" s="2493"/>
      <c r="T864" s="177"/>
      <c r="U864" s="177"/>
      <c r="V864" s="2813"/>
      <c r="W864" s="909"/>
      <c r="X864" s="909"/>
      <c r="Y864" s="1014">
        <v>19200</v>
      </c>
      <c r="Z864" s="909"/>
      <c r="AA864" s="909"/>
      <c r="AB864" s="909"/>
      <c r="AC864" s="909"/>
      <c r="AD864" s="909"/>
      <c r="AE864" s="909"/>
      <c r="AF864" s="909"/>
      <c r="AG864" s="927"/>
      <c r="BB864" s="784"/>
      <c r="BC864" s="785"/>
      <c r="BD864" s="900"/>
    </row>
    <row r="865" spans="1:56" s="65" customFormat="1" ht="15.75" hidden="1" outlineLevel="1" thickBot="1" x14ac:dyDescent="0.3">
      <c r="A865" s="785"/>
      <c r="B865" s="332"/>
      <c r="C865" s="2029"/>
      <c r="D865" s="2804"/>
      <c r="E865" s="2808"/>
      <c r="F865" s="2798" t="str">
        <f>E822</f>
        <v>Ductless ASHP ER1 MF_CompE</v>
      </c>
      <c r="G865" s="2798"/>
      <c r="H865" s="2798"/>
      <c r="I865" s="1039"/>
      <c r="J865" s="1660">
        <f t="shared" si="85"/>
        <v>18000</v>
      </c>
      <c r="K865" s="1011">
        <f t="shared" si="83"/>
        <v>1.5</v>
      </c>
      <c r="L865" s="2066"/>
      <c r="M865" s="2065"/>
      <c r="N865" s="2048"/>
      <c r="O865" s="332"/>
      <c r="P865" s="229"/>
      <c r="Q865" s="229"/>
      <c r="R865" s="229"/>
      <c r="S865" s="332"/>
      <c r="T865" s="177"/>
      <c r="U865" s="177"/>
      <c r="V865" s="2814"/>
      <c r="W865" s="909"/>
      <c r="X865" s="909"/>
      <c r="Y865" s="1014">
        <v>18000</v>
      </c>
      <c r="Z865" s="945"/>
      <c r="AA865" s="945"/>
      <c r="AB865" s="945"/>
      <c r="AC865" s="945"/>
      <c r="AD865" s="945"/>
      <c r="AE865" s="945"/>
      <c r="AF865" s="945"/>
      <c r="AG865" s="1015"/>
      <c r="BB865" s="784"/>
      <c r="BC865" s="785"/>
      <c r="BD865" s="900"/>
    </row>
    <row r="866" spans="1:56" s="65" customFormat="1" hidden="1" outlineLevel="1" x14ac:dyDescent="0.25">
      <c r="A866" s="785"/>
      <c r="B866" s="332"/>
      <c r="C866" s="455"/>
      <c r="D866" s="2801" t="s">
        <v>534</v>
      </c>
      <c r="E866" s="2805" t="s">
        <v>1347</v>
      </c>
      <c r="F866" s="2809" t="str">
        <f t="shared" ref="F866:F929" si="86">F845</f>
        <v>Ductless AC - ER1 SF</v>
      </c>
      <c r="G866" s="2809"/>
      <c r="H866" s="2809"/>
      <c r="I866" s="1669"/>
      <c r="J866" s="1016">
        <v>0</v>
      </c>
      <c r="K866" s="1008"/>
      <c r="L866" s="1009"/>
      <c r="M866" s="2065"/>
      <c r="N866" s="2048"/>
      <c r="O866" s="332"/>
      <c r="P866" s="229"/>
      <c r="Q866" s="229"/>
      <c r="R866" s="229"/>
      <c r="S866" s="332"/>
      <c r="T866" s="177"/>
      <c r="U866" s="177"/>
      <c r="V866" s="2811" t="s">
        <v>534</v>
      </c>
      <c r="W866" s="903">
        <v>0</v>
      </c>
      <c r="X866" s="903">
        <v>0</v>
      </c>
      <c r="Y866" s="1016">
        <v>0</v>
      </c>
      <c r="Z866" s="903"/>
      <c r="AA866" s="903"/>
      <c r="AB866" s="903"/>
      <c r="AC866" s="903"/>
      <c r="AD866" s="903"/>
      <c r="AE866" s="903"/>
      <c r="AF866" s="903"/>
      <c r="AG866" s="1010"/>
      <c r="BB866" s="784"/>
      <c r="BC866" s="785"/>
      <c r="BD866" s="900"/>
    </row>
    <row r="867" spans="1:56" s="65" customFormat="1" ht="15.75" hidden="1" outlineLevel="1" thickBot="1" x14ac:dyDescent="0.3">
      <c r="A867" s="785"/>
      <c r="B867" s="332"/>
      <c r="C867" s="455"/>
      <c r="D867" s="2802"/>
      <c r="E867" s="2806"/>
      <c r="F867" s="2797" t="str">
        <f t="shared" si="86"/>
        <v>Ductless AC - ROF SF</v>
      </c>
      <c r="G867" s="2797"/>
      <c r="H867" s="2797"/>
      <c r="I867" s="1668"/>
      <c r="J867" s="1017">
        <v>0</v>
      </c>
      <c r="K867" s="1011"/>
      <c r="L867" s="1012"/>
      <c r="M867" s="2065"/>
      <c r="N867" s="2048"/>
      <c r="O867" s="332"/>
      <c r="P867" s="332"/>
      <c r="Q867" s="332"/>
      <c r="R867" s="332"/>
      <c r="S867" s="332"/>
      <c r="T867" s="177"/>
      <c r="U867" s="177"/>
      <c r="V867" s="2812"/>
      <c r="W867" s="909">
        <v>0</v>
      </c>
      <c r="X867" s="909">
        <v>0</v>
      </c>
      <c r="Y867" s="1017">
        <v>0</v>
      </c>
      <c r="Z867" s="909"/>
      <c r="AA867" s="909"/>
      <c r="AB867" s="909"/>
      <c r="AC867" s="909"/>
      <c r="AD867" s="909"/>
      <c r="AE867" s="909"/>
      <c r="AF867" s="909"/>
      <c r="AG867" s="927"/>
      <c r="BB867" s="784"/>
      <c r="BC867" s="785"/>
      <c r="BD867" s="900"/>
    </row>
    <row r="868" spans="1:56" s="65" customFormat="1" hidden="1" outlineLevel="1" x14ac:dyDescent="0.25">
      <c r="A868" s="785"/>
      <c r="B868" s="332"/>
      <c r="C868" s="455"/>
      <c r="D868" s="2802"/>
      <c r="E868" s="2806"/>
      <c r="F868" s="2797" t="str">
        <f t="shared" si="86"/>
        <v>Ductless ASHP - ROF SF NC</v>
      </c>
      <c r="G868" s="2797"/>
      <c r="H868" s="2797"/>
      <c r="I868" s="1668"/>
      <c r="J868" s="1017">
        <v>1034</v>
      </c>
      <c r="K868" s="1011"/>
      <c r="L868" s="2815" t="s">
        <v>953</v>
      </c>
      <c r="M868" s="2065"/>
      <c r="N868" s="2048"/>
      <c r="O868" s="332"/>
      <c r="P868" s="332"/>
      <c r="Q868" s="332"/>
      <c r="R868" s="332"/>
      <c r="S868" s="332"/>
      <c r="T868" s="177"/>
      <c r="U868" s="177"/>
      <c r="V868" s="2812"/>
      <c r="W868" s="909">
        <v>1496</v>
      </c>
      <c r="X868" s="909">
        <v>1496</v>
      </c>
      <c r="Y868" s="1018">
        <v>1034</v>
      </c>
      <c r="Z868" s="909"/>
      <c r="AA868" s="909"/>
      <c r="AB868" s="909"/>
      <c r="AC868" s="909"/>
      <c r="AD868" s="909"/>
      <c r="AE868" s="909"/>
      <c r="AF868" s="909"/>
      <c r="AG868" s="927"/>
      <c r="BB868" s="784"/>
      <c r="BC868" s="785"/>
      <c r="BD868" s="900"/>
    </row>
    <row r="869" spans="1:56" s="65" customFormat="1" hidden="1" outlineLevel="1" x14ac:dyDescent="0.25">
      <c r="A869" s="785"/>
      <c r="B869" s="332"/>
      <c r="C869" s="455"/>
      <c r="D869" s="2802"/>
      <c r="E869" s="2806"/>
      <c r="F869" s="2797" t="str">
        <f t="shared" si="86"/>
        <v>Ductless ASHP - ROF SF</v>
      </c>
      <c r="G869" s="2797"/>
      <c r="H869" s="2797"/>
      <c r="I869" s="1668"/>
      <c r="J869" s="1017">
        <v>1034</v>
      </c>
      <c r="K869" s="1011"/>
      <c r="L869" s="2794"/>
      <c r="M869" s="2065"/>
      <c r="N869" s="2048"/>
      <c r="O869" s="332"/>
      <c r="P869" s="332"/>
      <c r="Q869" s="332"/>
      <c r="R869" s="332"/>
      <c r="S869" s="332"/>
      <c r="T869" s="177"/>
      <c r="U869" s="177"/>
      <c r="V869" s="2812"/>
      <c r="W869" s="909">
        <v>1496</v>
      </c>
      <c r="X869" s="909">
        <v>1496</v>
      </c>
      <c r="Y869" s="1018">
        <v>1034</v>
      </c>
      <c r="Z869" s="909"/>
      <c r="AA869" s="909"/>
      <c r="AB869" s="909"/>
      <c r="AC869" s="909"/>
      <c r="AD869" s="909"/>
      <c r="AE869" s="909"/>
      <c r="AF869" s="909"/>
      <c r="AG869" s="927"/>
      <c r="BB869" s="784"/>
      <c r="BC869" s="785"/>
      <c r="BD869" s="900"/>
    </row>
    <row r="870" spans="1:56" s="65" customFormat="1" hidden="1" outlineLevel="1" x14ac:dyDescent="0.25">
      <c r="A870" s="785"/>
      <c r="B870" s="332"/>
      <c r="C870" s="455"/>
      <c r="D870" s="2802"/>
      <c r="E870" s="2806"/>
      <c r="F870" s="2797" t="str">
        <f t="shared" si="86"/>
        <v>Ductless ASHP Replace Electric Resistance ER1 SF</v>
      </c>
      <c r="G870" s="2797"/>
      <c r="H870" s="2797"/>
      <c r="I870" s="1668"/>
      <c r="J870" s="1017">
        <v>1034</v>
      </c>
      <c r="K870" s="1011"/>
      <c r="L870" s="2794"/>
      <c r="M870" s="2065"/>
      <c r="N870" s="2048"/>
      <c r="O870" s="332"/>
      <c r="P870" s="332"/>
      <c r="Q870" s="332"/>
      <c r="R870" s="332"/>
      <c r="S870" s="332"/>
      <c r="T870" s="177"/>
      <c r="U870" s="177"/>
      <c r="V870" s="2812"/>
      <c r="W870" s="909">
        <v>1496</v>
      </c>
      <c r="X870" s="909">
        <v>1496</v>
      </c>
      <c r="Y870" s="1018">
        <v>1034</v>
      </c>
      <c r="Z870" s="909"/>
      <c r="AA870" s="909"/>
      <c r="AB870" s="909"/>
      <c r="AC870" s="909"/>
      <c r="AD870" s="909"/>
      <c r="AE870" s="909"/>
      <c r="AF870" s="909"/>
      <c r="AG870" s="927"/>
      <c r="BB870" s="784"/>
      <c r="BC870" s="785"/>
      <c r="BD870" s="900"/>
    </row>
    <row r="871" spans="1:56" s="65" customFormat="1" hidden="1" outlineLevel="1" x14ac:dyDescent="0.25">
      <c r="A871" s="785"/>
      <c r="B871" s="332"/>
      <c r="C871" s="455"/>
      <c r="D871" s="2802"/>
      <c r="E871" s="2806"/>
      <c r="F871" s="2797" t="str">
        <f t="shared" si="86"/>
        <v>Ductless ASHP Replace Electric Resistance ROF SF</v>
      </c>
      <c r="G871" s="2797"/>
      <c r="H871" s="2797"/>
      <c r="I871" s="1668"/>
      <c r="J871" s="1017">
        <v>1034</v>
      </c>
      <c r="K871" s="1011"/>
      <c r="L871" s="2794"/>
      <c r="M871" s="2065"/>
      <c r="N871" s="2048"/>
      <c r="O871" s="332"/>
      <c r="P871" s="332"/>
      <c r="Q871" s="332"/>
      <c r="R871" s="332"/>
      <c r="S871" s="332"/>
      <c r="T871" s="177"/>
      <c r="U871" s="177"/>
      <c r="V871" s="2812"/>
      <c r="W871" s="909">
        <v>1496</v>
      </c>
      <c r="X871" s="909">
        <v>1496</v>
      </c>
      <c r="Y871" s="1018">
        <v>1034</v>
      </c>
      <c r="Z871" s="909"/>
      <c r="AA871" s="909"/>
      <c r="AB871" s="909"/>
      <c r="AC871" s="909"/>
      <c r="AD871" s="909"/>
      <c r="AE871" s="909"/>
      <c r="AF871" s="909"/>
      <c r="AG871" s="927"/>
      <c r="BB871" s="784"/>
      <c r="BC871" s="785"/>
      <c r="BD871" s="900"/>
    </row>
    <row r="872" spans="1:56" s="65" customFormat="1" hidden="1" outlineLevel="1" x14ac:dyDescent="0.25">
      <c r="A872" s="785"/>
      <c r="B872" s="332"/>
      <c r="C872" s="455"/>
      <c r="D872" s="2802"/>
      <c r="E872" s="2806"/>
      <c r="F872" s="2797" t="str">
        <f t="shared" si="86"/>
        <v>Ductless ASHP ER1 SF</v>
      </c>
      <c r="G872" s="2797"/>
      <c r="H872" s="2797"/>
      <c r="I872" s="1668"/>
      <c r="J872" s="1017">
        <v>1034</v>
      </c>
      <c r="K872" s="1011"/>
      <c r="L872" s="2794"/>
      <c r="M872" s="2065"/>
      <c r="N872" s="2048"/>
      <c r="O872" s="332"/>
      <c r="P872" s="332"/>
      <c r="Q872" s="332"/>
      <c r="R872" s="332"/>
      <c r="S872" s="332"/>
      <c r="T872" s="177"/>
      <c r="U872" s="177"/>
      <c r="V872" s="2812"/>
      <c r="W872" s="909">
        <v>1496</v>
      </c>
      <c r="X872" s="909">
        <v>1496</v>
      </c>
      <c r="Y872" s="1018">
        <v>1034</v>
      </c>
      <c r="Z872" s="909"/>
      <c r="AA872" s="909"/>
      <c r="AB872" s="909"/>
      <c r="AC872" s="909"/>
      <c r="AD872" s="909"/>
      <c r="AE872" s="909"/>
      <c r="AF872" s="909"/>
      <c r="AG872" s="927"/>
      <c r="BB872" s="784"/>
      <c r="BC872" s="785"/>
      <c r="BD872" s="900"/>
    </row>
    <row r="873" spans="1:56" s="65" customFormat="1" hidden="1" outlineLevel="1" x14ac:dyDescent="0.25">
      <c r="A873" s="785"/>
      <c r="B873" s="332"/>
      <c r="C873" s="455"/>
      <c r="D873" s="2802"/>
      <c r="E873" s="2806"/>
      <c r="F873" s="2797" t="str">
        <f t="shared" si="86"/>
        <v>Ductless AC - ER1 MF</v>
      </c>
      <c r="G873" s="2797"/>
      <c r="H873" s="2797"/>
      <c r="I873" s="1668"/>
      <c r="J873" s="1017">
        <v>0</v>
      </c>
      <c r="K873" s="1011"/>
      <c r="L873" s="2794"/>
      <c r="M873" s="2065"/>
      <c r="N873" s="2048"/>
      <c r="O873" s="332"/>
      <c r="P873" s="332"/>
      <c r="Q873" s="332"/>
      <c r="R873" s="332"/>
      <c r="S873" s="332"/>
      <c r="T873" s="177"/>
      <c r="U873" s="177"/>
      <c r="V873" s="2812"/>
      <c r="W873" s="909"/>
      <c r="X873" s="909"/>
      <c r="Y873" s="1018">
        <v>0</v>
      </c>
      <c r="Z873" s="909"/>
      <c r="AA873" s="909"/>
      <c r="AB873" s="909"/>
      <c r="AC873" s="909"/>
      <c r="AD873" s="909"/>
      <c r="AE873" s="909"/>
      <c r="AF873" s="909"/>
      <c r="AG873" s="927"/>
      <c r="BB873" s="784"/>
      <c r="BC873" s="785"/>
      <c r="BD873" s="900"/>
    </row>
    <row r="874" spans="1:56" s="65" customFormat="1" hidden="1" outlineLevel="1" x14ac:dyDescent="0.25">
      <c r="A874" s="785"/>
      <c r="B874" s="332"/>
      <c r="C874" s="455"/>
      <c r="D874" s="2802"/>
      <c r="E874" s="2806"/>
      <c r="F874" s="2797" t="str">
        <f t="shared" si="86"/>
        <v>Ductless AC - ROF MF</v>
      </c>
      <c r="G874" s="2797"/>
      <c r="H874" s="2797"/>
      <c r="I874" s="1668"/>
      <c r="J874" s="1017">
        <v>0</v>
      </c>
      <c r="K874" s="1011"/>
      <c r="L874" s="2794"/>
      <c r="M874" s="2065"/>
      <c r="N874" s="2048"/>
      <c r="O874" s="332"/>
      <c r="P874" s="332"/>
      <c r="Q874" s="332"/>
      <c r="R874" s="332"/>
      <c r="S874" s="332"/>
      <c r="T874" s="177"/>
      <c r="U874" s="177"/>
      <c r="V874" s="2812"/>
      <c r="W874" s="909"/>
      <c r="X874" s="909"/>
      <c r="Y874" s="1018">
        <v>0</v>
      </c>
      <c r="Z874" s="909"/>
      <c r="AA874" s="909"/>
      <c r="AB874" s="909"/>
      <c r="AC874" s="909"/>
      <c r="AD874" s="909"/>
      <c r="AE874" s="909"/>
      <c r="AF874" s="909"/>
      <c r="AG874" s="927"/>
      <c r="BB874" s="784"/>
      <c r="BC874" s="785"/>
      <c r="BD874" s="900"/>
    </row>
    <row r="875" spans="1:56" s="65" customFormat="1" hidden="1" outlineLevel="1" x14ac:dyDescent="0.25">
      <c r="A875" s="785"/>
      <c r="B875" s="332"/>
      <c r="C875" s="455"/>
      <c r="D875" s="2802"/>
      <c r="E875" s="2806"/>
      <c r="F875" s="2797" t="str">
        <f t="shared" si="86"/>
        <v>Ductless ASHP - ROF MF NC</v>
      </c>
      <c r="G875" s="2797"/>
      <c r="H875" s="2797"/>
      <c r="I875" s="1668"/>
      <c r="J875" s="1017">
        <v>1034</v>
      </c>
      <c r="K875" s="1011"/>
      <c r="L875" s="2794"/>
      <c r="M875" s="2065"/>
      <c r="N875" s="2048"/>
      <c r="O875" s="332"/>
      <c r="P875" s="332"/>
      <c r="Q875" s="332"/>
      <c r="R875" s="332"/>
      <c r="S875" s="332"/>
      <c r="T875" s="177"/>
      <c r="U875" s="177"/>
      <c r="V875" s="2812"/>
      <c r="W875" s="909"/>
      <c r="X875" s="909"/>
      <c r="Y875" s="1018">
        <v>1034</v>
      </c>
      <c r="Z875" s="909"/>
      <c r="AA875" s="909"/>
      <c r="AB875" s="909"/>
      <c r="AC875" s="909"/>
      <c r="AD875" s="909"/>
      <c r="AE875" s="909"/>
      <c r="AF875" s="909"/>
      <c r="AG875" s="927"/>
      <c r="BB875" s="784"/>
      <c r="BC875" s="785"/>
      <c r="BD875" s="900"/>
    </row>
    <row r="876" spans="1:56" s="65" customFormat="1" hidden="1" outlineLevel="1" x14ac:dyDescent="0.25">
      <c r="A876" s="785"/>
      <c r="B876" s="332"/>
      <c r="C876" s="455"/>
      <c r="D876" s="2802"/>
      <c r="E876" s="2806"/>
      <c r="F876" s="2797" t="str">
        <f t="shared" si="86"/>
        <v>Ductless ASHP - ROF MF</v>
      </c>
      <c r="G876" s="2797"/>
      <c r="H876" s="2797"/>
      <c r="I876" s="1668"/>
      <c r="J876" s="1017">
        <v>1034</v>
      </c>
      <c r="K876" s="1011"/>
      <c r="L876" s="2794"/>
      <c r="M876" s="2065"/>
      <c r="N876" s="2048"/>
      <c r="O876" s="332"/>
      <c r="P876" s="332"/>
      <c r="Q876" s="332"/>
      <c r="R876" s="332"/>
      <c r="S876" s="332"/>
      <c r="T876" s="177"/>
      <c r="U876" s="177"/>
      <c r="V876" s="2812"/>
      <c r="W876" s="909"/>
      <c r="X876" s="909"/>
      <c r="Y876" s="1018">
        <v>1034</v>
      </c>
      <c r="Z876" s="909"/>
      <c r="AA876" s="909"/>
      <c r="AB876" s="909"/>
      <c r="AC876" s="909"/>
      <c r="AD876" s="909"/>
      <c r="AE876" s="909"/>
      <c r="AF876" s="909"/>
      <c r="AG876" s="927"/>
      <c r="BB876" s="784"/>
      <c r="BC876" s="785"/>
      <c r="BD876" s="900"/>
    </row>
    <row r="877" spans="1:56" s="65" customFormat="1" hidden="1" outlineLevel="1" x14ac:dyDescent="0.25">
      <c r="A877" s="785"/>
      <c r="B877" s="332"/>
      <c r="C877" s="455"/>
      <c r="D877" s="2802"/>
      <c r="E877" s="2806"/>
      <c r="F877" s="2797" t="str">
        <f t="shared" si="86"/>
        <v>Ductless ASHP Replace Electric Resistance ER1 MF</v>
      </c>
      <c r="G877" s="2797"/>
      <c r="H877" s="2797"/>
      <c r="I877" s="1668"/>
      <c r="J877" s="1017">
        <v>1034</v>
      </c>
      <c r="K877" s="1011"/>
      <c r="L877" s="2794"/>
      <c r="M877" s="2065"/>
      <c r="N877" s="2048"/>
      <c r="O877" s="332"/>
      <c r="P877" s="332"/>
      <c r="Q877" s="332"/>
      <c r="R877" s="332"/>
      <c r="S877" s="332"/>
      <c r="T877" s="177"/>
      <c r="U877" s="177"/>
      <c r="V877" s="2812"/>
      <c r="W877" s="909"/>
      <c r="X877" s="909"/>
      <c r="Y877" s="1018">
        <v>1034</v>
      </c>
      <c r="Z877" s="909"/>
      <c r="AA877" s="909"/>
      <c r="AB877" s="909"/>
      <c r="AC877" s="909"/>
      <c r="AD877" s="909"/>
      <c r="AE877" s="909"/>
      <c r="AF877" s="909"/>
      <c r="AG877" s="927"/>
      <c r="BB877" s="784"/>
      <c r="BC877" s="785"/>
      <c r="BD877" s="900"/>
    </row>
    <row r="878" spans="1:56" s="65" customFormat="1" hidden="1" outlineLevel="1" x14ac:dyDescent="0.25">
      <c r="A878" s="785"/>
      <c r="B878" s="332"/>
      <c r="C878" s="455"/>
      <c r="D878" s="2802"/>
      <c r="E878" s="2806"/>
      <c r="F878" s="2797" t="str">
        <f t="shared" si="86"/>
        <v>Ductless ASHP Replace Electric Resistance ROF MF</v>
      </c>
      <c r="G878" s="2797"/>
      <c r="H878" s="2797"/>
      <c r="I878" s="1668"/>
      <c r="J878" s="1017">
        <v>1034</v>
      </c>
      <c r="K878" s="1011"/>
      <c r="L878" s="2794"/>
      <c r="M878" s="2065"/>
      <c r="N878" s="2048"/>
      <c r="O878" s="332"/>
      <c r="P878" s="332"/>
      <c r="Q878" s="332"/>
      <c r="R878" s="332"/>
      <c r="S878" s="332"/>
      <c r="T878" s="177"/>
      <c r="U878" s="177"/>
      <c r="V878" s="2812"/>
      <c r="W878" s="909"/>
      <c r="X878" s="909"/>
      <c r="Y878" s="1018">
        <v>1034</v>
      </c>
      <c r="Z878" s="909"/>
      <c r="AA878" s="909"/>
      <c r="AB878" s="909"/>
      <c r="AC878" s="909"/>
      <c r="AD878" s="909"/>
      <c r="AE878" s="909"/>
      <c r="AF878" s="909"/>
      <c r="AG878" s="927"/>
      <c r="BB878" s="784"/>
      <c r="BC878" s="785"/>
      <c r="BD878" s="900"/>
    </row>
    <row r="879" spans="1:56" s="65" customFormat="1" hidden="1" outlineLevel="1" x14ac:dyDescent="0.25">
      <c r="A879" s="785"/>
      <c r="B879" s="332"/>
      <c r="C879" s="455"/>
      <c r="D879" s="2802"/>
      <c r="E879" s="2806"/>
      <c r="F879" s="2797" t="str">
        <f t="shared" si="86"/>
        <v>Ductless ASHP ER1 MF</v>
      </c>
      <c r="G879" s="2797"/>
      <c r="H879" s="2797"/>
      <c r="I879" s="1668"/>
      <c r="J879" s="1017">
        <v>1034</v>
      </c>
      <c r="K879" s="1011"/>
      <c r="L879" s="2794"/>
      <c r="M879" s="2065"/>
      <c r="N879" s="2048"/>
      <c r="O879" s="332"/>
      <c r="P879" s="332"/>
      <c r="Q879" s="332"/>
      <c r="R879" s="332"/>
      <c r="S879" s="332"/>
      <c r="T879" s="177"/>
      <c r="U879" s="177"/>
      <c r="V879" s="2812"/>
      <c r="W879" s="909"/>
      <c r="X879" s="909"/>
      <c r="Y879" s="1018">
        <v>1034</v>
      </c>
      <c r="Z879" s="909"/>
      <c r="AA879" s="909"/>
      <c r="AB879" s="909"/>
      <c r="AC879" s="909"/>
      <c r="AD879" s="909"/>
      <c r="AE879" s="909"/>
      <c r="AF879" s="909"/>
      <c r="AG879" s="927"/>
      <c r="BB879" s="784"/>
      <c r="BC879" s="785"/>
      <c r="BD879" s="900"/>
    </row>
    <row r="880" spans="1:56" s="65" customFormat="1" hidden="1" outlineLevel="1" x14ac:dyDescent="0.25">
      <c r="A880" s="785"/>
      <c r="B880" s="332"/>
      <c r="C880" s="455"/>
      <c r="D880" s="2803"/>
      <c r="E880" s="2807"/>
      <c r="F880" s="2797" t="str">
        <f t="shared" si="86"/>
        <v>Ductless AC - ER1 MF_CompE</v>
      </c>
      <c r="G880" s="2797"/>
      <c r="H880" s="2797"/>
      <c r="I880" s="1668"/>
      <c r="J880" s="2067">
        <v>0</v>
      </c>
      <c r="K880" s="1011"/>
      <c r="L880" s="2794"/>
      <c r="M880" s="2065"/>
      <c r="N880" s="2048"/>
      <c r="O880" s="332"/>
      <c r="P880" s="332"/>
      <c r="Q880" s="332"/>
      <c r="R880" s="332"/>
      <c r="S880" s="332"/>
      <c r="T880" s="177"/>
      <c r="U880" s="177"/>
      <c r="V880" s="2813"/>
      <c r="W880" s="909"/>
      <c r="X880" s="909"/>
      <c r="Y880" s="1019">
        <v>0</v>
      </c>
      <c r="Z880" s="909"/>
      <c r="AA880" s="909"/>
      <c r="AB880" s="909"/>
      <c r="AC880" s="909"/>
      <c r="AD880" s="909"/>
      <c r="AE880" s="909"/>
      <c r="AF880" s="909"/>
      <c r="AG880" s="927"/>
      <c r="BB880" s="784"/>
      <c r="BC880" s="785"/>
      <c r="BD880" s="900"/>
    </row>
    <row r="881" spans="1:56" s="65" customFormat="1" hidden="1" outlineLevel="1" x14ac:dyDescent="0.25">
      <c r="A881" s="785"/>
      <c r="B881" s="332"/>
      <c r="C881" s="455"/>
      <c r="D881" s="2803"/>
      <c r="E881" s="2807"/>
      <c r="F881" s="2797" t="str">
        <f t="shared" si="86"/>
        <v>Ductless AC - ROF MF_CompE</v>
      </c>
      <c r="G881" s="2797"/>
      <c r="H881" s="2797"/>
      <c r="I881" s="1668"/>
      <c r="J881" s="2067">
        <v>0</v>
      </c>
      <c r="K881" s="1011"/>
      <c r="L881" s="2794"/>
      <c r="M881" s="2065"/>
      <c r="N881" s="2048"/>
      <c r="O881" s="332"/>
      <c r="P881" s="332"/>
      <c r="Q881" s="332"/>
      <c r="R881" s="332"/>
      <c r="S881" s="332"/>
      <c r="T881" s="177"/>
      <c r="U881" s="177"/>
      <c r="V881" s="2813"/>
      <c r="W881" s="909"/>
      <c r="X881" s="909"/>
      <c r="Y881" s="1019">
        <v>0</v>
      </c>
      <c r="Z881" s="909"/>
      <c r="AA881" s="909"/>
      <c r="AB881" s="909"/>
      <c r="AC881" s="909"/>
      <c r="AD881" s="909"/>
      <c r="AE881" s="909"/>
      <c r="AF881" s="909"/>
      <c r="AG881" s="927"/>
      <c r="BB881" s="784"/>
      <c r="BC881" s="785"/>
      <c r="BD881" s="900"/>
    </row>
    <row r="882" spans="1:56" s="65" customFormat="1" hidden="1" outlineLevel="1" x14ac:dyDescent="0.25">
      <c r="A882" s="785"/>
      <c r="B882" s="332"/>
      <c r="C882" s="455"/>
      <c r="D882" s="2803"/>
      <c r="E882" s="2807"/>
      <c r="F882" s="2797" t="str">
        <f t="shared" si="86"/>
        <v>Ductless ASHP - ROF MF NC_CompE</v>
      </c>
      <c r="G882" s="2797"/>
      <c r="H882" s="2797"/>
      <c r="I882" s="1668"/>
      <c r="J882" s="2067">
        <v>393</v>
      </c>
      <c r="K882" s="1011"/>
      <c r="L882" s="2794"/>
      <c r="M882" s="2065"/>
      <c r="N882" s="2048"/>
      <c r="O882" s="332"/>
      <c r="P882" s="332"/>
      <c r="Q882" s="332"/>
      <c r="R882" s="332"/>
      <c r="S882" s="332"/>
      <c r="T882" s="177"/>
      <c r="U882" s="177"/>
      <c r="V882" s="2813"/>
      <c r="W882" s="909"/>
      <c r="X882" s="909"/>
      <c r="Y882" s="1019">
        <v>476</v>
      </c>
      <c r="Z882" s="909"/>
      <c r="AA882" s="909"/>
      <c r="AB882" s="909"/>
      <c r="AC882" s="909"/>
      <c r="AD882" s="909"/>
      <c r="AE882" s="909"/>
      <c r="AF882" s="909"/>
      <c r="AG882" s="927"/>
      <c r="BB882" s="784"/>
      <c r="BC882" s="785"/>
      <c r="BD882" s="900"/>
    </row>
    <row r="883" spans="1:56" s="65" customFormat="1" hidden="1" outlineLevel="1" x14ac:dyDescent="0.25">
      <c r="A883" s="785"/>
      <c r="B883" s="332"/>
      <c r="C883" s="455"/>
      <c r="D883" s="2803"/>
      <c r="E883" s="2807"/>
      <c r="F883" s="2797" t="str">
        <f t="shared" si="86"/>
        <v>Ductless ASHP - ROF MF_CompE</v>
      </c>
      <c r="G883" s="2797"/>
      <c r="H883" s="2797"/>
      <c r="I883" s="1668"/>
      <c r="J883" s="2067">
        <v>393</v>
      </c>
      <c r="K883" s="1011"/>
      <c r="L883" s="2794"/>
      <c r="M883" s="2065"/>
      <c r="N883" s="2048"/>
      <c r="O883" s="332"/>
      <c r="P883" s="332"/>
      <c r="Q883" s="332"/>
      <c r="R883" s="332"/>
      <c r="S883" s="332"/>
      <c r="T883" s="177"/>
      <c r="U883" s="177"/>
      <c r="V883" s="2813"/>
      <c r="W883" s="909"/>
      <c r="X883" s="909"/>
      <c r="Y883" s="1019">
        <v>476</v>
      </c>
      <c r="Z883" s="909"/>
      <c r="AA883" s="909"/>
      <c r="AB883" s="909"/>
      <c r="AC883" s="909"/>
      <c r="AD883" s="909"/>
      <c r="AE883" s="909"/>
      <c r="AF883" s="909"/>
      <c r="AG883" s="927"/>
      <c r="BB883" s="784"/>
      <c r="BC883" s="785"/>
      <c r="BD883" s="900"/>
    </row>
    <row r="884" spans="1:56" s="65" customFormat="1" hidden="1" outlineLevel="1" x14ac:dyDescent="0.25">
      <c r="A884" s="785"/>
      <c r="B884" s="332"/>
      <c r="C884" s="455"/>
      <c r="D884" s="2803"/>
      <c r="E884" s="2807"/>
      <c r="F884" s="2797" t="str">
        <f t="shared" si="86"/>
        <v>Ductless ASHP Replace Electric Resistance ER1 MF_CompE</v>
      </c>
      <c r="G884" s="2797"/>
      <c r="H884" s="2797"/>
      <c r="I884" s="1668"/>
      <c r="J884" s="2067">
        <v>393</v>
      </c>
      <c r="K884" s="1011"/>
      <c r="L884" s="2794"/>
      <c r="M884" s="2065"/>
      <c r="N884" s="2048"/>
      <c r="O884" s="332"/>
      <c r="P884" s="332"/>
      <c r="Q884" s="332"/>
      <c r="R884" s="332"/>
      <c r="S884" s="332"/>
      <c r="T884" s="177"/>
      <c r="U884" s="177"/>
      <c r="V884" s="2813"/>
      <c r="W884" s="909"/>
      <c r="X884" s="909"/>
      <c r="Y884" s="1019">
        <v>476</v>
      </c>
      <c r="Z884" s="909"/>
      <c r="AA884" s="909"/>
      <c r="AB884" s="909"/>
      <c r="AC884" s="909"/>
      <c r="AD884" s="909"/>
      <c r="AE884" s="909"/>
      <c r="AF884" s="909"/>
      <c r="AG884" s="927"/>
      <c r="BB884" s="784"/>
      <c r="BC884" s="785"/>
      <c r="BD884" s="900"/>
    </row>
    <row r="885" spans="1:56" s="65" customFormat="1" hidden="1" outlineLevel="1" x14ac:dyDescent="0.25">
      <c r="A885" s="785"/>
      <c r="B885" s="332"/>
      <c r="C885" s="455"/>
      <c r="D885" s="2803"/>
      <c r="E885" s="2807"/>
      <c r="F885" s="2797" t="str">
        <f t="shared" si="86"/>
        <v>Ductless ASHP Replace Electric Resistance ROF MF_CompE</v>
      </c>
      <c r="G885" s="2797"/>
      <c r="H885" s="2797"/>
      <c r="I885" s="1668"/>
      <c r="J885" s="2067">
        <v>393</v>
      </c>
      <c r="K885" s="1011"/>
      <c r="L885" s="2794"/>
      <c r="M885" s="2065"/>
      <c r="N885" s="2048"/>
      <c r="O885" s="332"/>
      <c r="P885" s="332"/>
      <c r="Q885" s="332"/>
      <c r="R885" s="332"/>
      <c r="S885" s="332"/>
      <c r="T885" s="177"/>
      <c r="U885" s="177"/>
      <c r="V885" s="2813"/>
      <c r="W885" s="909"/>
      <c r="X885" s="909"/>
      <c r="Y885" s="1019">
        <v>476</v>
      </c>
      <c r="Z885" s="909"/>
      <c r="AA885" s="909"/>
      <c r="AB885" s="909"/>
      <c r="AC885" s="909"/>
      <c r="AD885" s="909"/>
      <c r="AE885" s="909"/>
      <c r="AF885" s="909"/>
      <c r="AG885" s="927"/>
      <c r="BB885" s="784"/>
      <c r="BC885" s="785"/>
      <c r="BD885" s="900"/>
    </row>
    <row r="886" spans="1:56" s="65" customFormat="1" ht="15.75" hidden="1" outlineLevel="1" thickBot="1" x14ac:dyDescent="0.3">
      <c r="A886" s="785"/>
      <c r="B886" s="332"/>
      <c r="C886" s="455"/>
      <c r="D886" s="2804"/>
      <c r="E886" s="2808"/>
      <c r="F886" s="2797" t="str">
        <f t="shared" si="86"/>
        <v>Ductless ASHP ER1 MF_CompE</v>
      </c>
      <c r="G886" s="2797"/>
      <c r="H886" s="2797"/>
      <c r="I886" s="1039"/>
      <c r="J886" s="2067">
        <v>393</v>
      </c>
      <c r="K886" s="1011"/>
      <c r="L886" s="2816"/>
      <c r="M886" s="2065"/>
      <c r="N886" s="2048"/>
      <c r="O886" s="332"/>
      <c r="P886" s="332"/>
      <c r="Q886" s="332"/>
      <c r="R886" s="332"/>
      <c r="S886" s="332"/>
      <c r="T886" s="177"/>
      <c r="U886" s="177"/>
      <c r="V886" s="2814"/>
      <c r="W886" s="909"/>
      <c r="X886" s="909"/>
      <c r="Y886" s="1020">
        <v>476</v>
      </c>
      <c r="Z886" s="945"/>
      <c r="AA886" s="945"/>
      <c r="AB886" s="945"/>
      <c r="AC886" s="945"/>
      <c r="AD886" s="945"/>
      <c r="AE886" s="945"/>
      <c r="AF886" s="945"/>
      <c r="AG886" s="1015"/>
      <c r="BB886" s="784"/>
      <c r="BC886" s="785"/>
      <c r="BD886" s="900"/>
    </row>
    <row r="887" spans="1:56" s="65" customFormat="1" hidden="1" outlineLevel="1" x14ac:dyDescent="0.25">
      <c r="A887" s="785"/>
      <c r="B887" s="332"/>
      <c r="C887" s="455"/>
      <c r="D887" s="2801" t="s">
        <v>1348</v>
      </c>
      <c r="E887" s="2805" t="s">
        <v>1349</v>
      </c>
      <c r="F887" s="2809" t="str">
        <f t="shared" si="86"/>
        <v>Ductless AC - ER1 SF</v>
      </c>
      <c r="G887" s="2809"/>
      <c r="H887" s="2809"/>
      <c r="I887" s="1669"/>
      <c r="J887" s="1664">
        <v>0</v>
      </c>
      <c r="K887" s="1008"/>
      <c r="L887" s="1009"/>
      <c r="M887" s="2065"/>
      <c r="N887" s="2048"/>
      <c r="O887" s="332"/>
      <c r="P887" s="332"/>
      <c r="Q887" s="332"/>
      <c r="R887" s="332"/>
      <c r="S887" s="332"/>
      <c r="T887" s="177"/>
      <c r="U887" s="177"/>
      <c r="V887" s="2811" t="s">
        <v>1348</v>
      </c>
      <c r="W887" s="903">
        <v>0</v>
      </c>
      <c r="X887" s="902">
        <v>0</v>
      </c>
      <c r="Y887" s="903">
        <v>0</v>
      </c>
      <c r="Z887" s="903"/>
      <c r="AA887" s="903"/>
      <c r="AB887" s="903"/>
      <c r="AC887" s="903"/>
      <c r="AD887" s="903"/>
      <c r="AE887" s="903"/>
      <c r="AF887" s="903"/>
      <c r="AG887" s="1010"/>
      <c r="BB887" s="784"/>
      <c r="BC887" s="785"/>
      <c r="BD887" s="900"/>
    </row>
    <row r="888" spans="1:56" s="65" customFormat="1" hidden="1" outlineLevel="1" x14ac:dyDescent="0.25">
      <c r="A888" s="785"/>
      <c r="B888" s="332"/>
      <c r="C888" s="455"/>
      <c r="D888" s="2802"/>
      <c r="E888" s="2806"/>
      <c r="F888" s="2797" t="str">
        <f t="shared" si="86"/>
        <v>Ductless AC - ROF SF</v>
      </c>
      <c r="G888" s="2797"/>
      <c r="H888" s="2797"/>
      <c r="I888" s="1668"/>
      <c r="J888" s="1660">
        <v>0</v>
      </c>
      <c r="K888" s="1011"/>
      <c r="L888" s="1012"/>
      <c r="M888" s="2065"/>
      <c r="N888" s="2048"/>
      <c r="O888" s="332"/>
      <c r="P888" s="332"/>
      <c r="Q888" s="332"/>
      <c r="R888" s="332"/>
      <c r="S888" s="332"/>
      <c r="T888" s="177"/>
      <c r="U888" s="177"/>
      <c r="V888" s="2812"/>
      <c r="W888" s="909">
        <v>0</v>
      </c>
      <c r="X888" s="908">
        <v>0</v>
      </c>
      <c r="Y888" s="909">
        <v>0</v>
      </c>
      <c r="Z888" s="909"/>
      <c r="AA888" s="909"/>
      <c r="AB888" s="909"/>
      <c r="AC888" s="909"/>
      <c r="AD888" s="909"/>
      <c r="AE888" s="909"/>
      <c r="AF888" s="909"/>
      <c r="AG888" s="927"/>
      <c r="BB888" s="784"/>
      <c r="BC888" s="785"/>
      <c r="BD888" s="900"/>
    </row>
    <row r="889" spans="1:56" s="65" customFormat="1" hidden="1" outlineLevel="1" x14ac:dyDescent="0.25">
      <c r="A889" s="785"/>
      <c r="B889" s="332"/>
      <c r="C889" s="455"/>
      <c r="D889" s="2802"/>
      <c r="E889" s="2806"/>
      <c r="F889" s="2797" t="str">
        <f t="shared" si="86"/>
        <v>Ductless ASHP - ROF SF NC</v>
      </c>
      <c r="G889" s="2797"/>
      <c r="H889" s="2797"/>
      <c r="I889" s="1668"/>
      <c r="J889" s="1660">
        <v>8.1999999999999993</v>
      </c>
      <c r="K889" s="1011"/>
      <c r="L889" s="2817" t="s">
        <v>1603</v>
      </c>
      <c r="M889" s="2065"/>
      <c r="N889" s="2048"/>
      <c r="O889" s="332"/>
      <c r="P889" s="332"/>
      <c r="Q889" s="332"/>
      <c r="R889" s="332"/>
      <c r="S889" s="332"/>
      <c r="T889" s="177"/>
      <c r="U889" s="177"/>
      <c r="V889" s="2812"/>
      <c r="W889" s="909">
        <v>7.7</v>
      </c>
      <c r="X889" s="908">
        <v>8.1999999999999993</v>
      </c>
      <c r="Y889" s="909">
        <v>8.1999999999999993</v>
      </c>
      <c r="Z889" s="909"/>
      <c r="AA889" s="909"/>
      <c r="AB889" s="909"/>
      <c r="AC889" s="909"/>
      <c r="AD889" s="909"/>
      <c r="AE889" s="909"/>
      <c r="AF889" s="909"/>
      <c r="AG889" s="927"/>
      <c r="BB889" s="784"/>
      <c r="BC889" s="785"/>
      <c r="BD889" s="900"/>
    </row>
    <row r="890" spans="1:56" s="65" customFormat="1" hidden="1" outlineLevel="1" x14ac:dyDescent="0.25">
      <c r="A890" s="785"/>
      <c r="B890" s="332"/>
      <c r="C890" s="455"/>
      <c r="D890" s="2802"/>
      <c r="E890" s="2806"/>
      <c r="F890" s="2797" t="str">
        <f t="shared" si="86"/>
        <v>Ductless ASHP - ROF SF</v>
      </c>
      <c r="G890" s="2797"/>
      <c r="H890" s="2797"/>
      <c r="I890" s="1668"/>
      <c r="J890" s="1660">
        <v>8.1999999999999993</v>
      </c>
      <c r="K890" s="1011"/>
      <c r="L890" s="2818"/>
      <c r="M890" s="2036"/>
      <c r="N890" s="2048"/>
      <c r="O890" s="332"/>
      <c r="P890" s="332"/>
      <c r="Q890" s="332"/>
      <c r="R890" s="332"/>
      <c r="S890" s="332"/>
      <c r="T890" s="177"/>
      <c r="U890" s="177"/>
      <c r="V890" s="2812"/>
      <c r="W890" s="909">
        <v>7.7</v>
      </c>
      <c r="X890" s="908">
        <v>8.1999999999999993</v>
      </c>
      <c r="Y890" s="909">
        <v>8.1999999999999993</v>
      </c>
      <c r="Z890" s="909"/>
      <c r="AA890" s="909"/>
      <c r="AB890" s="909"/>
      <c r="AC890" s="909"/>
      <c r="AD890" s="909"/>
      <c r="AE890" s="909"/>
      <c r="AF890" s="909"/>
      <c r="AG890" s="927"/>
      <c r="BB890" s="784"/>
      <c r="BC890" s="785"/>
      <c r="BD890" s="900"/>
    </row>
    <row r="891" spans="1:56" s="65" customFormat="1" hidden="1" outlineLevel="1" x14ac:dyDescent="0.25">
      <c r="A891" s="785"/>
      <c r="B891" s="332"/>
      <c r="C891" s="455"/>
      <c r="D891" s="2802"/>
      <c r="E891" s="2806"/>
      <c r="F891" s="2797" t="str">
        <f t="shared" si="86"/>
        <v>Ductless ASHP Replace Electric Resistance ER1 SF</v>
      </c>
      <c r="G891" s="2797"/>
      <c r="H891" s="2797"/>
      <c r="I891" s="1668"/>
      <c r="J891" s="1660">
        <v>3.4119999999999999</v>
      </c>
      <c r="K891" s="1011"/>
      <c r="L891" s="2818"/>
      <c r="M891" s="2036"/>
      <c r="N891" s="2048"/>
      <c r="O891" s="332"/>
      <c r="P891" s="332"/>
      <c r="Q891" s="332"/>
      <c r="R891" s="332"/>
      <c r="S891" s="332"/>
      <c r="T891" s="177"/>
      <c r="U891" s="177"/>
      <c r="V891" s="2812"/>
      <c r="W891" s="909">
        <v>7.7</v>
      </c>
      <c r="X891" s="908">
        <v>3.41</v>
      </c>
      <c r="Y891" s="909">
        <v>3.4119999999999999</v>
      </c>
      <c r="Z891" s="909"/>
      <c r="AA891" s="909"/>
      <c r="AB891" s="909"/>
      <c r="AC891" s="909"/>
      <c r="AD891" s="909"/>
      <c r="AE891" s="909"/>
      <c r="AF891" s="909"/>
      <c r="AG891" s="927"/>
      <c r="BB891" s="784"/>
      <c r="BC891" s="785"/>
      <c r="BD891" s="900"/>
    </row>
    <row r="892" spans="1:56" s="65" customFormat="1" hidden="1" outlineLevel="1" x14ac:dyDescent="0.25">
      <c r="A892" s="785"/>
      <c r="B892" s="332"/>
      <c r="C892" s="455"/>
      <c r="D892" s="2802"/>
      <c r="E892" s="2806"/>
      <c r="F892" s="2797" t="str">
        <f t="shared" si="86"/>
        <v>Ductless ASHP Replace Electric Resistance ROF SF</v>
      </c>
      <c r="G892" s="2797"/>
      <c r="H892" s="2797"/>
      <c r="I892" s="1668"/>
      <c r="J892" s="1660">
        <v>3.4119999999999999</v>
      </c>
      <c r="K892" s="1011"/>
      <c r="L892" s="2818"/>
      <c r="M892" s="2036"/>
      <c r="N892" s="2048"/>
      <c r="O892" s="332"/>
      <c r="P892" s="332"/>
      <c r="Q892" s="332"/>
      <c r="R892" s="332"/>
      <c r="S892" s="332"/>
      <c r="T892" s="177"/>
      <c r="U892" s="177"/>
      <c r="V892" s="2812"/>
      <c r="W892" s="909">
        <v>7.7</v>
      </c>
      <c r="X892" s="908">
        <v>3.41</v>
      </c>
      <c r="Y892" s="909">
        <v>3.4119999999999999</v>
      </c>
      <c r="Z892" s="909"/>
      <c r="AA892" s="909"/>
      <c r="AB892" s="909"/>
      <c r="AC892" s="909"/>
      <c r="AD892" s="909"/>
      <c r="AE892" s="909"/>
      <c r="AF892" s="909"/>
      <c r="AG892" s="927"/>
      <c r="BB892" s="784"/>
      <c r="BC892" s="785"/>
      <c r="BD892" s="900"/>
    </row>
    <row r="893" spans="1:56" s="65" customFormat="1" hidden="1" outlineLevel="1" x14ac:dyDescent="0.25">
      <c r="A893" s="785"/>
      <c r="B893" s="332"/>
      <c r="C893" s="455"/>
      <c r="D893" s="2802"/>
      <c r="E893" s="2806"/>
      <c r="F893" s="2797" t="str">
        <f t="shared" si="86"/>
        <v>Ductless ASHP ER1 SF</v>
      </c>
      <c r="G893" s="2797"/>
      <c r="H893" s="2797"/>
      <c r="I893" s="1668"/>
      <c r="J893" s="1660">
        <v>6.58</v>
      </c>
      <c r="K893" s="1011"/>
      <c r="L893" s="2819"/>
      <c r="M893" s="2065"/>
      <c r="N893" s="2048"/>
      <c r="O893" s="332"/>
      <c r="P893" s="332"/>
      <c r="Q893" s="332"/>
      <c r="R893" s="332"/>
      <c r="S893" s="332"/>
      <c r="T893" s="177"/>
      <c r="U893" s="177"/>
      <c r="V893" s="2812"/>
      <c r="W893" s="909">
        <v>7.7</v>
      </c>
      <c r="X893" s="908">
        <v>6.58</v>
      </c>
      <c r="Y893" s="909">
        <v>6.58</v>
      </c>
      <c r="Z893" s="909"/>
      <c r="AA893" s="909"/>
      <c r="AB893" s="909"/>
      <c r="AC893" s="909"/>
      <c r="AD893" s="909"/>
      <c r="AE893" s="909"/>
      <c r="AF893" s="909"/>
      <c r="AG893" s="927"/>
      <c r="BB893" s="784"/>
      <c r="BC893" s="785"/>
      <c r="BD893" s="900"/>
    </row>
    <row r="894" spans="1:56" s="65" customFormat="1" hidden="1" outlineLevel="1" x14ac:dyDescent="0.25">
      <c r="A894" s="785"/>
      <c r="B894" s="332"/>
      <c r="C894" s="455"/>
      <c r="D894" s="2802"/>
      <c r="E894" s="2806"/>
      <c r="F894" s="2797" t="str">
        <f t="shared" si="86"/>
        <v>Ductless AC - ER1 MF</v>
      </c>
      <c r="G894" s="2797"/>
      <c r="H894" s="2797"/>
      <c r="I894" s="1668"/>
      <c r="J894" s="1660">
        <f>J887</f>
        <v>0</v>
      </c>
      <c r="K894" s="1011"/>
      <c r="L894" s="1012"/>
      <c r="M894" s="2065"/>
      <c r="N894" s="2048"/>
      <c r="O894" s="332"/>
      <c r="P894" s="332"/>
      <c r="Q894" s="332"/>
      <c r="R894" s="332"/>
      <c r="S894" s="332"/>
      <c r="T894" s="177"/>
      <c r="U894" s="177"/>
      <c r="V894" s="2812"/>
      <c r="W894" s="909"/>
      <c r="X894" s="908"/>
      <c r="Y894" s="908">
        <v>0</v>
      </c>
      <c r="Z894" s="909"/>
      <c r="AA894" s="909"/>
      <c r="AB894" s="909"/>
      <c r="AC894" s="909"/>
      <c r="AD894" s="909"/>
      <c r="AE894" s="909"/>
      <c r="AF894" s="909"/>
      <c r="AG894" s="927"/>
      <c r="BB894" s="784"/>
      <c r="BC894" s="785"/>
      <c r="BD894" s="900"/>
    </row>
    <row r="895" spans="1:56" s="65" customFormat="1" hidden="1" outlineLevel="1" x14ac:dyDescent="0.25">
      <c r="A895" s="785"/>
      <c r="B895" s="332"/>
      <c r="C895" s="455"/>
      <c r="D895" s="2802"/>
      <c r="E895" s="2806"/>
      <c r="F895" s="2797" t="str">
        <f t="shared" si="86"/>
        <v>Ductless AC - ROF MF</v>
      </c>
      <c r="G895" s="2797"/>
      <c r="H895" s="2797"/>
      <c r="I895" s="1668"/>
      <c r="J895" s="1660">
        <f t="shared" ref="J895:J900" si="87">J888</f>
        <v>0</v>
      </c>
      <c r="K895" s="1011"/>
      <c r="L895" s="1012"/>
      <c r="M895" s="2065"/>
      <c r="N895" s="2048"/>
      <c r="O895" s="332"/>
      <c r="P895" s="332"/>
      <c r="Q895" s="332"/>
      <c r="R895" s="332"/>
      <c r="S895" s="332"/>
      <c r="T895" s="177"/>
      <c r="U895" s="177"/>
      <c r="V895" s="2812"/>
      <c r="W895" s="909"/>
      <c r="X895" s="908"/>
      <c r="Y895" s="908">
        <v>0</v>
      </c>
      <c r="Z895" s="909"/>
      <c r="AA895" s="909"/>
      <c r="AB895" s="909"/>
      <c r="AC895" s="909"/>
      <c r="AD895" s="909"/>
      <c r="AE895" s="909"/>
      <c r="AF895" s="909"/>
      <c r="AG895" s="927"/>
      <c r="BB895" s="784"/>
      <c r="BC895" s="785"/>
      <c r="BD895" s="900"/>
    </row>
    <row r="896" spans="1:56" s="65" customFormat="1" hidden="1" outlineLevel="1" x14ac:dyDescent="0.25">
      <c r="A896" s="785"/>
      <c r="B896" s="332"/>
      <c r="C896" s="455"/>
      <c r="D896" s="2802"/>
      <c r="E896" s="2806"/>
      <c r="F896" s="2797" t="str">
        <f t="shared" si="86"/>
        <v>Ductless ASHP - ROF MF NC</v>
      </c>
      <c r="G896" s="2797"/>
      <c r="H896" s="2797"/>
      <c r="I896" s="1668"/>
      <c r="J896" s="1660">
        <f t="shared" si="87"/>
        <v>8.1999999999999993</v>
      </c>
      <c r="K896" s="1011"/>
      <c r="L896" s="1012"/>
      <c r="M896" s="2065"/>
      <c r="N896" s="2048"/>
      <c r="O896" s="332"/>
      <c r="P896" s="332"/>
      <c r="Q896" s="332"/>
      <c r="R896" s="332"/>
      <c r="S896" s="332"/>
      <c r="T896" s="177"/>
      <c r="U896" s="177"/>
      <c r="V896" s="2812"/>
      <c r="W896" s="909"/>
      <c r="X896" s="908"/>
      <c r="Y896" s="908">
        <v>8.1999999999999993</v>
      </c>
      <c r="Z896" s="909"/>
      <c r="AA896" s="909"/>
      <c r="AB896" s="909"/>
      <c r="AC896" s="909"/>
      <c r="AD896" s="909"/>
      <c r="AE896" s="909"/>
      <c r="AF896" s="909"/>
      <c r="AG896" s="927"/>
      <c r="BB896" s="784"/>
      <c r="BC896" s="785"/>
      <c r="BD896" s="900"/>
    </row>
    <row r="897" spans="1:56" s="65" customFormat="1" hidden="1" outlineLevel="1" x14ac:dyDescent="0.25">
      <c r="A897" s="785"/>
      <c r="B897" s="332"/>
      <c r="C897" s="455"/>
      <c r="D897" s="2802"/>
      <c r="E897" s="2806"/>
      <c r="F897" s="2797" t="str">
        <f t="shared" si="86"/>
        <v>Ductless ASHP - ROF MF</v>
      </c>
      <c r="G897" s="2797"/>
      <c r="H897" s="2797"/>
      <c r="I897" s="1668"/>
      <c r="J897" s="1660">
        <f t="shared" si="87"/>
        <v>8.1999999999999993</v>
      </c>
      <c r="K897" s="1011"/>
      <c r="L897" s="1012"/>
      <c r="M897" s="2065"/>
      <c r="N897" s="2048"/>
      <c r="O897" s="332"/>
      <c r="P897" s="332"/>
      <c r="Q897" s="332"/>
      <c r="R897" s="332"/>
      <c r="S897" s="332"/>
      <c r="T897" s="177"/>
      <c r="U897" s="177"/>
      <c r="V897" s="2812"/>
      <c r="W897" s="909"/>
      <c r="X897" s="908"/>
      <c r="Y897" s="908">
        <v>8.1999999999999993</v>
      </c>
      <c r="Z897" s="909"/>
      <c r="AA897" s="909"/>
      <c r="AB897" s="909"/>
      <c r="AC897" s="909"/>
      <c r="AD897" s="909"/>
      <c r="AE897" s="909"/>
      <c r="AF897" s="909"/>
      <c r="AG897" s="927"/>
      <c r="BB897" s="784"/>
      <c r="BC897" s="785"/>
      <c r="BD897" s="900"/>
    </row>
    <row r="898" spans="1:56" s="65" customFormat="1" hidden="1" outlineLevel="1" x14ac:dyDescent="0.25">
      <c r="A898" s="785"/>
      <c r="B898" s="332"/>
      <c r="C898" s="455"/>
      <c r="D898" s="2802"/>
      <c r="E898" s="2806"/>
      <c r="F898" s="2797" t="str">
        <f t="shared" si="86"/>
        <v>Ductless ASHP Replace Electric Resistance ER1 MF</v>
      </c>
      <c r="G898" s="2797"/>
      <c r="H898" s="2797"/>
      <c r="I898" s="1668"/>
      <c r="J898" s="1660">
        <f t="shared" si="87"/>
        <v>3.4119999999999999</v>
      </c>
      <c r="K898" s="1011"/>
      <c r="L898" s="1012"/>
      <c r="M898" s="2065"/>
      <c r="N898" s="2048"/>
      <c r="O898" s="332"/>
      <c r="P898" s="332"/>
      <c r="Q898" s="332"/>
      <c r="R898" s="332"/>
      <c r="S898" s="332"/>
      <c r="T898" s="177"/>
      <c r="U898" s="177"/>
      <c r="V898" s="2812"/>
      <c r="W898" s="909"/>
      <c r="X898" s="908"/>
      <c r="Y898" s="908">
        <v>3.4119999999999999</v>
      </c>
      <c r="Z898" s="909"/>
      <c r="AA898" s="909"/>
      <c r="AB898" s="909"/>
      <c r="AC898" s="909"/>
      <c r="AD898" s="909"/>
      <c r="AE898" s="909"/>
      <c r="AF898" s="909"/>
      <c r="AG898" s="927"/>
      <c r="BB898" s="784"/>
      <c r="BC898" s="785"/>
      <c r="BD898" s="900"/>
    </row>
    <row r="899" spans="1:56" s="65" customFormat="1" hidden="1" outlineLevel="1" x14ac:dyDescent="0.25">
      <c r="A899" s="785"/>
      <c r="B899" s="332"/>
      <c r="C899" s="455"/>
      <c r="D899" s="2802"/>
      <c r="E899" s="2806"/>
      <c r="F899" s="2797" t="str">
        <f t="shared" si="86"/>
        <v>Ductless ASHP Replace Electric Resistance ROF MF</v>
      </c>
      <c r="G899" s="2797"/>
      <c r="H899" s="2797"/>
      <c r="I899" s="1668"/>
      <c r="J899" s="1660">
        <f t="shared" si="87"/>
        <v>3.4119999999999999</v>
      </c>
      <c r="K899" s="1011"/>
      <c r="L899" s="1012"/>
      <c r="M899" s="2065"/>
      <c r="N899" s="2048"/>
      <c r="O899" s="332"/>
      <c r="P899" s="332"/>
      <c r="Q899" s="332"/>
      <c r="R899" s="332"/>
      <c r="S899" s="332"/>
      <c r="T899" s="177"/>
      <c r="U899" s="177"/>
      <c r="V899" s="2812"/>
      <c r="W899" s="909"/>
      <c r="X899" s="908"/>
      <c r="Y899" s="908">
        <v>3.4119999999999999</v>
      </c>
      <c r="Z899" s="909"/>
      <c r="AA899" s="909"/>
      <c r="AB899" s="909"/>
      <c r="AC899" s="909"/>
      <c r="AD899" s="909"/>
      <c r="AE899" s="909"/>
      <c r="AF899" s="909"/>
      <c r="AG899" s="927"/>
      <c r="BB899" s="784"/>
      <c r="BC899" s="785"/>
      <c r="BD899" s="900"/>
    </row>
    <row r="900" spans="1:56" s="65" customFormat="1" hidden="1" outlineLevel="1" x14ac:dyDescent="0.25">
      <c r="A900" s="785"/>
      <c r="B900" s="332"/>
      <c r="C900" s="455"/>
      <c r="D900" s="2802"/>
      <c r="E900" s="2806"/>
      <c r="F900" s="2797" t="str">
        <f t="shared" si="86"/>
        <v>Ductless ASHP ER1 MF</v>
      </c>
      <c r="G900" s="2797"/>
      <c r="H900" s="2797"/>
      <c r="I900" s="1668"/>
      <c r="J900" s="1660">
        <f t="shared" si="87"/>
        <v>6.58</v>
      </c>
      <c r="K900" s="1011"/>
      <c r="L900" s="1012"/>
      <c r="M900" s="2065"/>
      <c r="N900" s="2048"/>
      <c r="O900" s="332"/>
      <c r="P900" s="332"/>
      <c r="Q900" s="332"/>
      <c r="R900" s="332"/>
      <c r="S900" s="332"/>
      <c r="T900" s="177"/>
      <c r="U900" s="177"/>
      <c r="V900" s="2812"/>
      <c r="W900" s="909"/>
      <c r="X900" s="908"/>
      <c r="Y900" s="908">
        <v>6.58</v>
      </c>
      <c r="Z900" s="909"/>
      <c r="AA900" s="909"/>
      <c r="AB900" s="909"/>
      <c r="AC900" s="909"/>
      <c r="AD900" s="909"/>
      <c r="AE900" s="909"/>
      <c r="AF900" s="909"/>
      <c r="AG900" s="927"/>
      <c r="BB900" s="784"/>
      <c r="BC900" s="785"/>
      <c r="BD900" s="900"/>
    </row>
    <row r="901" spans="1:56" s="65" customFormat="1" hidden="1" outlineLevel="1" x14ac:dyDescent="0.25">
      <c r="A901" s="785"/>
      <c r="B901" s="332"/>
      <c r="C901" s="455"/>
      <c r="D901" s="2803"/>
      <c r="E901" s="2807"/>
      <c r="F901" s="2797" t="str">
        <f t="shared" si="86"/>
        <v>Ductless AC - ER1 MF_CompE</v>
      </c>
      <c r="G901" s="2797"/>
      <c r="H901" s="2797"/>
      <c r="I901" s="1668"/>
      <c r="J901" s="1660">
        <f>J887</f>
        <v>0</v>
      </c>
      <c r="K901" s="1011"/>
      <c r="L901" s="1012"/>
      <c r="M901" s="2065"/>
      <c r="N901" s="2048"/>
      <c r="O901" s="332"/>
      <c r="P901" s="332"/>
      <c r="Q901" s="332"/>
      <c r="R901" s="332"/>
      <c r="S901" s="332"/>
      <c r="T901" s="177"/>
      <c r="U901" s="177"/>
      <c r="V901" s="2813"/>
      <c r="W901" s="909"/>
      <c r="X901" s="908"/>
      <c r="Y901" s="908">
        <v>0</v>
      </c>
      <c r="Z901" s="909"/>
      <c r="AA901" s="909"/>
      <c r="AB901" s="909"/>
      <c r="AC901" s="909"/>
      <c r="AD901" s="909"/>
      <c r="AE901" s="909"/>
      <c r="AF901" s="909"/>
      <c r="AG901" s="927"/>
      <c r="BB901" s="784"/>
      <c r="BC901" s="785"/>
      <c r="BD901" s="900"/>
    </row>
    <row r="902" spans="1:56" s="65" customFormat="1" hidden="1" outlineLevel="1" x14ac:dyDescent="0.25">
      <c r="A902" s="785"/>
      <c r="B902" s="332"/>
      <c r="C902" s="455"/>
      <c r="D902" s="2803"/>
      <c r="E902" s="2807"/>
      <c r="F902" s="2797" t="str">
        <f t="shared" si="86"/>
        <v>Ductless AC - ROF MF_CompE</v>
      </c>
      <c r="G902" s="2797"/>
      <c r="H902" s="2797"/>
      <c r="I902" s="1668"/>
      <c r="J902" s="1660">
        <f t="shared" ref="J902:J907" si="88">J888</f>
        <v>0</v>
      </c>
      <c r="K902" s="1011"/>
      <c r="L902" s="1012"/>
      <c r="M902" s="2065"/>
      <c r="N902" s="2048"/>
      <c r="O902" s="332"/>
      <c r="P902" s="332"/>
      <c r="Q902" s="332"/>
      <c r="R902" s="332"/>
      <c r="S902" s="332"/>
      <c r="T902" s="177"/>
      <c r="U902" s="177"/>
      <c r="V902" s="2813"/>
      <c r="W902" s="909"/>
      <c r="X902" s="908"/>
      <c r="Y902" s="908">
        <v>0</v>
      </c>
      <c r="Z902" s="909"/>
      <c r="AA902" s="909"/>
      <c r="AB902" s="909"/>
      <c r="AC902" s="909"/>
      <c r="AD902" s="909"/>
      <c r="AE902" s="909"/>
      <c r="AF902" s="909"/>
      <c r="AG902" s="927"/>
      <c r="BB902" s="784"/>
      <c r="BC902" s="785"/>
      <c r="BD902" s="900"/>
    </row>
    <row r="903" spans="1:56" s="65" customFormat="1" hidden="1" outlineLevel="1" x14ac:dyDescent="0.25">
      <c r="A903" s="785"/>
      <c r="B903" s="332"/>
      <c r="C903" s="455"/>
      <c r="D903" s="2803"/>
      <c r="E903" s="2807"/>
      <c r="F903" s="2797" t="str">
        <f t="shared" si="86"/>
        <v>Ductless ASHP - ROF MF NC_CompE</v>
      </c>
      <c r="G903" s="2797"/>
      <c r="H903" s="2797"/>
      <c r="I903" s="1668"/>
      <c r="J903" s="1660">
        <f t="shared" si="88"/>
        <v>8.1999999999999993</v>
      </c>
      <c r="K903" s="1011"/>
      <c r="L903" s="1012"/>
      <c r="M903" s="2065"/>
      <c r="N903" s="2048"/>
      <c r="O903" s="332"/>
      <c r="P903" s="332"/>
      <c r="Q903" s="332"/>
      <c r="R903" s="332"/>
      <c r="S903" s="332"/>
      <c r="T903" s="177"/>
      <c r="U903" s="177"/>
      <c r="V903" s="2813"/>
      <c r="W903" s="909"/>
      <c r="X903" s="908"/>
      <c r="Y903" s="908">
        <v>8.1999999999999993</v>
      </c>
      <c r="Z903" s="909"/>
      <c r="AA903" s="909"/>
      <c r="AB903" s="909"/>
      <c r="AC903" s="909"/>
      <c r="AD903" s="909"/>
      <c r="AE903" s="909"/>
      <c r="AF903" s="909"/>
      <c r="AG903" s="927"/>
      <c r="BB903" s="784"/>
      <c r="BC903" s="785"/>
      <c r="BD903" s="900"/>
    </row>
    <row r="904" spans="1:56" s="65" customFormat="1" hidden="1" outlineLevel="1" x14ac:dyDescent="0.25">
      <c r="A904" s="785"/>
      <c r="B904" s="332"/>
      <c r="C904" s="455"/>
      <c r="D904" s="2803"/>
      <c r="E904" s="2807"/>
      <c r="F904" s="2797" t="str">
        <f t="shared" si="86"/>
        <v>Ductless ASHP - ROF MF_CompE</v>
      </c>
      <c r="G904" s="2797"/>
      <c r="H904" s="2797"/>
      <c r="I904" s="1668"/>
      <c r="J904" s="1660">
        <f t="shared" si="88"/>
        <v>8.1999999999999993</v>
      </c>
      <c r="K904" s="1011"/>
      <c r="L904" s="1013"/>
      <c r="M904" s="2065"/>
      <c r="N904" s="2048"/>
      <c r="O904" s="332"/>
      <c r="P904" s="332"/>
      <c r="Q904" s="332"/>
      <c r="R904" s="332"/>
      <c r="S904" s="332"/>
      <c r="T904" s="177"/>
      <c r="U904" s="177"/>
      <c r="V904" s="2813"/>
      <c r="W904" s="909"/>
      <c r="X904" s="908"/>
      <c r="Y904" s="908">
        <v>8.1999999999999993</v>
      </c>
      <c r="Z904" s="909"/>
      <c r="AA904" s="909"/>
      <c r="AB904" s="909"/>
      <c r="AC904" s="909"/>
      <c r="AD904" s="909"/>
      <c r="AE904" s="909"/>
      <c r="AF904" s="909"/>
      <c r="AG904" s="927"/>
      <c r="BB904" s="784"/>
      <c r="BC904" s="785"/>
      <c r="BD904" s="900"/>
    </row>
    <row r="905" spans="1:56" s="65" customFormat="1" hidden="1" outlineLevel="1" x14ac:dyDescent="0.25">
      <c r="A905" s="785"/>
      <c r="B905" s="332"/>
      <c r="C905" s="455"/>
      <c r="D905" s="2803"/>
      <c r="E905" s="2807"/>
      <c r="F905" s="2797" t="str">
        <f t="shared" si="86"/>
        <v>Ductless ASHP Replace Electric Resistance ER1 MF_CompE</v>
      </c>
      <c r="G905" s="2797"/>
      <c r="H905" s="2797"/>
      <c r="I905" s="1668"/>
      <c r="J905" s="1660">
        <f t="shared" si="88"/>
        <v>3.4119999999999999</v>
      </c>
      <c r="K905" s="1011"/>
      <c r="L905" s="1013"/>
      <c r="M905" s="2065"/>
      <c r="N905" s="2048"/>
      <c r="O905" s="332"/>
      <c r="P905" s="332"/>
      <c r="Q905" s="332"/>
      <c r="R905" s="332"/>
      <c r="S905" s="332"/>
      <c r="T905" s="177"/>
      <c r="U905" s="177"/>
      <c r="V905" s="2813"/>
      <c r="W905" s="909"/>
      <c r="X905" s="908"/>
      <c r="Y905" s="908">
        <v>3.4119999999999999</v>
      </c>
      <c r="Z905" s="909"/>
      <c r="AA905" s="909"/>
      <c r="AB905" s="909"/>
      <c r="AC905" s="909"/>
      <c r="AD905" s="909"/>
      <c r="AE905" s="909"/>
      <c r="AF905" s="909"/>
      <c r="AG905" s="927"/>
      <c r="BB905" s="784"/>
      <c r="BC905" s="785"/>
      <c r="BD905" s="900"/>
    </row>
    <row r="906" spans="1:56" s="65" customFormat="1" hidden="1" outlineLevel="1" x14ac:dyDescent="0.25">
      <c r="A906" s="785"/>
      <c r="B906" s="332"/>
      <c r="C906" s="455"/>
      <c r="D906" s="2803"/>
      <c r="E906" s="2807"/>
      <c r="F906" s="2797" t="str">
        <f t="shared" si="86"/>
        <v>Ductless ASHP Replace Electric Resistance ROF MF_CompE</v>
      </c>
      <c r="G906" s="2797"/>
      <c r="H906" s="2797"/>
      <c r="I906" s="1668"/>
      <c r="J906" s="1660">
        <f t="shared" si="88"/>
        <v>3.4119999999999999</v>
      </c>
      <c r="K906" s="1011"/>
      <c r="L906" s="1013"/>
      <c r="M906" s="2065"/>
      <c r="N906" s="2048"/>
      <c r="O906" s="332"/>
      <c r="P906" s="332"/>
      <c r="Q906" s="332"/>
      <c r="R906" s="332"/>
      <c r="S906" s="332"/>
      <c r="T906" s="177"/>
      <c r="U906" s="177"/>
      <c r="V906" s="2813"/>
      <c r="W906" s="909"/>
      <c r="X906" s="908"/>
      <c r="Y906" s="908">
        <v>3.4119999999999999</v>
      </c>
      <c r="Z906" s="909"/>
      <c r="AA906" s="909"/>
      <c r="AB906" s="909"/>
      <c r="AC906" s="909"/>
      <c r="AD906" s="909"/>
      <c r="AE906" s="909"/>
      <c r="AF906" s="909"/>
      <c r="AG906" s="927"/>
      <c r="BB906" s="784"/>
      <c r="BC906" s="785"/>
      <c r="BD906" s="900"/>
    </row>
    <row r="907" spans="1:56" s="65" customFormat="1" ht="15.75" hidden="1" outlineLevel="1" thickBot="1" x14ac:dyDescent="0.3">
      <c r="A907" s="785"/>
      <c r="B907" s="332"/>
      <c r="C907" s="455"/>
      <c r="D907" s="2804"/>
      <c r="E907" s="2808"/>
      <c r="F907" s="2797" t="str">
        <f t="shared" si="86"/>
        <v>Ductless ASHP ER1 MF_CompE</v>
      </c>
      <c r="G907" s="2797"/>
      <c r="H907" s="2797"/>
      <c r="I907" s="1039"/>
      <c r="J907" s="1660">
        <f t="shared" si="88"/>
        <v>6.58</v>
      </c>
      <c r="K907" s="1011"/>
      <c r="L907" s="2066"/>
      <c r="M907" s="2065"/>
      <c r="N907" s="2048"/>
      <c r="O907" s="332"/>
      <c r="P907" s="332"/>
      <c r="Q907" s="332"/>
      <c r="R907" s="332"/>
      <c r="S907" s="332"/>
      <c r="T907" s="177"/>
      <c r="U907" s="177"/>
      <c r="V907" s="2814"/>
      <c r="W907" s="945"/>
      <c r="X907" s="1021"/>
      <c r="Y907" s="1021">
        <v>6.58</v>
      </c>
      <c r="Z907" s="945"/>
      <c r="AA907" s="945"/>
      <c r="AB907" s="945"/>
      <c r="AC907" s="945"/>
      <c r="AD907" s="945"/>
      <c r="AE907" s="945"/>
      <c r="AF907" s="945"/>
      <c r="AG907" s="1015"/>
      <c r="BB907" s="784"/>
      <c r="BC907" s="785"/>
      <c r="BD907" s="900"/>
    </row>
    <row r="908" spans="1:56" s="65" customFormat="1" hidden="1" outlineLevel="1" x14ac:dyDescent="0.25">
      <c r="A908" s="785"/>
      <c r="B908" s="332"/>
      <c r="C908" s="455"/>
      <c r="D908" s="2801" t="s">
        <v>1350</v>
      </c>
      <c r="E908" s="2805" t="s">
        <v>1351</v>
      </c>
      <c r="F908" s="2809" t="str">
        <f t="shared" si="86"/>
        <v>Ductless AC - ER1 SF</v>
      </c>
      <c r="G908" s="2809"/>
      <c r="H908" s="2809"/>
      <c r="I908" s="1669"/>
      <c r="J908" s="1664">
        <v>0</v>
      </c>
      <c r="K908" s="1008"/>
      <c r="L908" s="1009"/>
      <c r="M908" s="2065"/>
      <c r="N908" s="2048"/>
      <c r="O908" s="332"/>
      <c r="P908" s="332"/>
      <c r="Q908" s="332"/>
      <c r="R908" s="332"/>
      <c r="S908" s="332"/>
      <c r="T908" s="177"/>
      <c r="U908" s="177"/>
      <c r="V908" s="2801" t="s">
        <v>1350</v>
      </c>
      <c r="W908" s="903">
        <v>0</v>
      </c>
      <c r="X908" s="903">
        <v>0</v>
      </c>
      <c r="Y908" s="903">
        <v>0</v>
      </c>
      <c r="Z908" s="903"/>
      <c r="AA908" s="903"/>
      <c r="AB908" s="903"/>
      <c r="AC908" s="903"/>
      <c r="AD908" s="903"/>
      <c r="AE908" s="903"/>
      <c r="AF908" s="903"/>
      <c r="AG908" s="1010"/>
      <c r="BB908" s="784"/>
      <c r="BC908" s="785"/>
      <c r="BD908" s="900"/>
    </row>
    <row r="909" spans="1:56" s="65" customFormat="1" hidden="1" outlineLevel="1" x14ac:dyDescent="0.25">
      <c r="A909" s="785"/>
      <c r="B909" s="332"/>
      <c r="C909" s="455"/>
      <c r="D909" s="2802"/>
      <c r="E909" s="2806"/>
      <c r="F909" s="2797" t="str">
        <f t="shared" si="86"/>
        <v>Ductless AC - ROF SF</v>
      </c>
      <c r="G909" s="2797"/>
      <c r="H909" s="2797"/>
      <c r="I909" s="1668"/>
      <c r="J909" s="1660">
        <v>0</v>
      </c>
      <c r="K909" s="1011"/>
      <c r="L909" s="1012"/>
      <c r="M909" s="2065"/>
      <c r="N909" s="2048"/>
      <c r="O909" s="332"/>
      <c r="P909" s="332"/>
      <c r="Q909" s="332"/>
      <c r="R909" s="332"/>
      <c r="S909" s="332"/>
      <c r="T909" s="177"/>
      <c r="U909" s="177"/>
      <c r="V909" s="2802"/>
      <c r="W909" s="909">
        <v>0</v>
      </c>
      <c r="X909" s="909">
        <v>0</v>
      </c>
      <c r="Y909" s="909">
        <v>0</v>
      </c>
      <c r="Z909" s="909"/>
      <c r="AA909" s="909"/>
      <c r="AB909" s="909"/>
      <c r="AC909" s="909"/>
      <c r="AD909" s="909"/>
      <c r="AE909" s="909"/>
      <c r="AF909" s="909"/>
      <c r="AG909" s="927"/>
      <c r="BB909" s="784"/>
      <c r="BC909" s="785"/>
      <c r="BD909" s="900"/>
    </row>
    <row r="910" spans="1:56" s="65" customFormat="1" hidden="1" outlineLevel="1" x14ac:dyDescent="0.25">
      <c r="A910" s="785"/>
      <c r="B910" s="332"/>
      <c r="C910" s="455"/>
      <c r="D910" s="2802"/>
      <c r="E910" s="2806"/>
      <c r="F910" s="2797" t="str">
        <f t="shared" si="86"/>
        <v>Ductless ASHP - ROF SF NC</v>
      </c>
      <c r="G910" s="2797"/>
      <c r="H910" s="2797"/>
      <c r="I910" s="1668"/>
      <c r="J910" s="1660">
        <v>5.44</v>
      </c>
      <c r="K910" s="1011"/>
      <c r="L910" s="1012" t="s">
        <v>1352</v>
      </c>
      <c r="M910" s="2065"/>
      <c r="N910" s="2048"/>
      <c r="O910" s="332"/>
      <c r="P910" s="332"/>
      <c r="Q910" s="332"/>
      <c r="R910" s="332"/>
      <c r="S910" s="332"/>
      <c r="T910" s="177"/>
      <c r="U910" s="177"/>
      <c r="V910" s="2802"/>
      <c r="W910" s="909">
        <v>5.44</v>
      </c>
      <c r="X910" s="909">
        <v>5.44</v>
      </c>
      <c r="Y910" s="909">
        <v>5.44</v>
      </c>
      <c r="Z910" s="909"/>
      <c r="AA910" s="909"/>
      <c r="AB910" s="909"/>
      <c r="AC910" s="909"/>
      <c r="AD910" s="909"/>
      <c r="AE910" s="909"/>
      <c r="AF910" s="909"/>
      <c r="AG910" s="927"/>
      <c r="BB910" s="784"/>
      <c r="BC910" s="785"/>
      <c r="BD910" s="900"/>
    </row>
    <row r="911" spans="1:56" s="65" customFormat="1" hidden="1" outlineLevel="1" x14ac:dyDescent="0.25">
      <c r="A911" s="785"/>
      <c r="B911" s="332"/>
      <c r="C911" s="455"/>
      <c r="D911" s="2802"/>
      <c r="E911" s="2806"/>
      <c r="F911" s="2797" t="str">
        <f t="shared" si="86"/>
        <v>Ductless ASHP - ROF SF</v>
      </c>
      <c r="G911" s="2797"/>
      <c r="H911" s="2797"/>
      <c r="I911" s="1668"/>
      <c r="J911" s="1660">
        <v>5.44</v>
      </c>
      <c r="K911" s="1011"/>
      <c r="L911" s="1013" t="s">
        <v>1352</v>
      </c>
      <c r="M911" s="2036"/>
      <c r="N911" s="2048"/>
      <c r="O911" s="332"/>
      <c r="P911" s="332"/>
      <c r="Q911" s="332"/>
      <c r="R911" s="332"/>
      <c r="S911" s="332"/>
      <c r="T911" s="177"/>
      <c r="U911" s="177"/>
      <c r="V911" s="2802"/>
      <c r="W911" s="909">
        <v>5.44</v>
      </c>
      <c r="X911" s="909">
        <v>5.44</v>
      </c>
      <c r="Y911" s="909">
        <v>5.44</v>
      </c>
      <c r="Z911" s="909"/>
      <c r="AA911" s="909"/>
      <c r="AB911" s="909"/>
      <c r="AC911" s="909"/>
      <c r="AD911" s="909"/>
      <c r="AE911" s="909"/>
      <c r="AF911" s="909"/>
      <c r="AG911" s="927"/>
      <c r="BB911" s="784"/>
      <c r="BC911" s="785"/>
      <c r="BD911" s="900"/>
    </row>
    <row r="912" spans="1:56" s="65" customFormat="1" hidden="1" outlineLevel="1" x14ac:dyDescent="0.25">
      <c r="A912" s="785"/>
      <c r="B912" s="332"/>
      <c r="C912" s="455"/>
      <c r="D912" s="2802"/>
      <c r="E912" s="2806"/>
      <c r="F912" s="2797" t="str">
        <f t="shared" si="86"/>
        <v>Ductless ASHP Replace Electric Resistance ER1 SF</v>
      </c>
      <c r="G912" s="2797"/>
      <c r="H912" s="2797"/>
      <c r="I912" s="1668"/>
      <c r="J912" s="1660">
        <v>3.4119999999999999</v>
      </c>
      <c r="K912" s="1011"/>
      <c r="L912" s="1013" t="s">
        <v>1352</v>
      </c>
      <c r="M912" s="2036"/>
      <c r="N912" s="2048"/>
      <c r="O912" s="332"/>
      <c r="P912" s="332"/>
      <c r="Q912" s="332"/>
      <c r="R912" s="332"/>
      <c r="S912" s="332"/>
      <c r="T912" s="177"/>
      <c r="U912" s="177"/>
      <c r="V912" s="2802"/>
      <c r="W912" s="909">
        <v>3.4119999999999999</v>
      </c>
      <c r="X912" s="909">
        <v>3.4119999999999999</v>
      </c>
      <c r="Y912" s="909">
        <v>3.4119999999999999</v>
      </c>
      <c r="Z912" s="909"/>
      <c r="AA912" s="909"/>
      <c r="AB912" s="909"/>
      <c r="AC912" s="909"/>
      <c r="AD912" s="909"/>
      <c r="AE912" s="909"/>
      <c r="AF912" s="909"/>
      <c r="AG912" s="927"/>
      <c r="BB912" s="784"/>
      <c r="BC912" s="785"/>
      <c r="BD912" s="900"/>
    </row>
    <row r="913" spans="1:56" s="65" customFormat="1" hidden="1" outlineLevel="1" x14ac:dyDescent="0.25">
      <c r="A913" s="785"/>
      <c r="B913" s="332"/>
      <c r="C913" s="455"/>
      <c r="D913" s="2802"/>
      <c r="E913" s="2806"/>
      <c r="F913" s="2797" t="str">
        <f t="shared" si="86"/>
        <v>Ductless ASHP Replace Electric Resistance ROF SF</v>
      </c>
      <c r="G913" s="2797"/>
      <c r="H913" s="2797"/>
      <c r="I913" s="1668"/>
      <c r="J913" s="1660">
        <v>3.4119999999999999</v>
      </c>
      <c r="K913" s="1011"/>
      <c r="L913" s="1013" t="s">
        <v>1352</v>
      </c>
      <c r="M913" s="2036"/>
      <c r="N913" s="2048"/>
      <c r="O913" s="332"/>
      <c r="P913" s="332"/>
      <c r="Q913" s="332"/>
      <c r="R913" s="332"/>
      <c r="S913" s="332"/>
      <c r="T913" s="177"/>
      <c r="U913" s="177"/>
      <c r="V913" s="2802"/>
      <c r="W913" s="909">
        <v>3.4119999999999999</v>
      </c>
      <c r="X913" s="909">
        <v>3.4119999999999999</v>
      </c>
      <c r="Y913" s="909">
        <v>3.4119999999999999</v>
      </c>
      <c r="Z913" s="909"/>
      <c r="AA913" s="909"/>
      <c r="AB913" s="909"/>
      <c r="AC913" s="909"/>
      <c r="AD913" s="909"/>
      <c r="AE913" s="909"/>
      <c r="AF913" s="909"/>
      <c r="AG913" s="927"/>
      <c r="BB913" s="784"/>
      <c r="BC913" s="785"/>
      <c r="BD913" s="900"/>
    </row>
    <row r="914" spans="1:56" s="65" customFormat="1" hidden="1" outlineLevel="1" x14ac:dyDescent="0.25">
      <c r="A914" s="785"/>
      <c r="B914" s="332"/>
      <c r="C914" s="455"/>
      <c r="D914" s="2802"/>
      <c r="E914" s="2806"/>
      <c r="F914" s="2797" t="str">
        <f t="shared" si="86"/>
        <v>Ductless ASHP ER1 SF</v>
      </c>
      <c r="G914" s="2797"/>
      <c r="H914" s="2797"/>
      <c r="I914" s="1668"/>
      <c r="J914" s="1660">
        <v>5.44</v>
      </c>
      <c r="K914" s="1011"/>
      <c r="L914" s="1013" t="s">
        <v>1352</v>
      </c>
      <c r="M914" s="2065"/>
      <c r="N914" s="2048"/>
      <c r="O914" s="332"/>
      <c r="P914" s="332"/>
      <c r="Q914" s="332"/>
      <c r="R914" s="332"/>
      <c r="S914" s="332"/>
      <c r="T914" s="177"/>
      <c r="U914" s="177"/>
      <c r="V914" s="2802"/>
      <c r="W914" s="909">
        <v>5.44</v>
      </c>
      <c r="X914" s="909">
        <v>5.44</v>
      </c>
      <c r="Y914" s="909">
        <v>5.44</v>
      </c>
      <c r="Z914" s="909"/>
      <c r="AA914" s="909"/>
      <c r="AB914" s="909"/>
      <c r="AC914" s="909"/>
      <c r="AD914" s="909"/>
      <c r="AE914" s="909"/>
      <c r="AF914" s="909"/>
      <c r="AG914" s="927"/>
      <c r="BB914" s="784"/>
      <c r="BC914" s="785"/>
      <c r="BD914" s="900"/>
    </row>
    <row r="915" spans="1:56" s="65" customFormat="1" hidden="1" outlineLevel="1" x14ac:dyDescent="0.25">
      <c r="A915" s="785"/>
      <c r="B915" s="332"/>
      <c r="C915" s="455"/>
      <c r="D915" s="2802"/>
      <c r="E915" s="2806"/>
      <c r="F915" s="2797" t="str">
        <f t="shared" si="86"/>
        <v>Ductless AC - ER1 MF</v>
      </c>
      <c r="G915" s="2797"/>
      <c r="H915" s="2797"/>
      <c r="I915" s="1668"/>
      <c r="J915" s="1660">
        <f>J908</f>
        <v>0</v>
      </c>
      <c r="K915" s="1011"/>
      <c r="L915" s="1012"/>
      <c r="M915" s="2065"/>
      <c r="N915" s="2048"/>
      <c r="O915" s="332"/>
      <c r="P915" s="332"/>
      <c r="Q915" s="332"/>
      <c r="R915" s="332"/>
      <c r="S915" s="332"/>
      <c r="T915" s="177"/>
      <c r="U915" s="177"/>
      <c r="V915" s="2802"/>
      <c r="W915" s="909"/>
      <c r="X915" s="908"/>
      <c r="Y915" s="908">
        <v>0</v>
      </c>
      <c r="Z915" s="909"/>
      <c r="AA915" s="909"/>
      <c r="AB915" s="909"/>
      <c r="AC915" s="909"/>
      <c r="AD915" s="909"/>
      <c r="AE915" s="909"/>
      <c r="AF915" s="909"/>
      <c r="AG915" s="927"/>
      <c r="BB915" s="784"/>
      <c r="BC915" s="785"/>
      <c r="BD915" s="900"/>
    </row>
    <row r="916" spans="1:56" s="65" customFormat="1" hidden="1" outlineLevel="1" x14ac:dyDescent="0.25">
      <c r="A916" s="785"/>
      <c r="B916" s="332"/>
      <c r="C916" s="455"/>
      <c r="D916" s="2802"/>
      <c r="E916" s="2806"/>
      <c r="F916" s="2797" t="str">
        <f t="shared" si="86"/>
        <v>Ductless AC - ROF MF</v>
      </c>
      <c r="G916" s="2797"/>
      <c r="H916" s="2797"/>
      <c r="I916" s="1668"/>
      <c r="J916" s="1660">
        <f t="shared" ref="J916:J921" si="89">J909</f>
        <v>0</v>
      </c>
      <c r="K916" s="1011"/>
      <c r="L916" s="1012"/>
      <c r="M916" s="2065"/>
      <c r="N916" s="2048"/>
      <c r="O916" s="332"/>
      <c r="P916" s="332"/>
      <c r="Q916" s="332"/>
      <c r="R916" s="332"/>
      <c r="S916" s="332"/>
      <c r="T916" s="177"/>
      <c r="U916" s="177"/>
      <c r="V916" s="2802"/>
      <c r="W916" s="909"/>
      <c r="X916" s="908"/>
      <c r="Y916" s="908">
        <v>0</v>
      </c>
      <c r="Z916" s="909"/>
      <c r="AA916" s="909"/>
      <c r="AB916" s="909"/>
      <c r="AC916" s="909"/>
      <c r="AD916" s="909"/>
      <c r="AE916" s="909"/>
      <c r="AF916" s="909"/>
      <c r="AG916" s="927"/>
      <c r="BB916" s="784"/>
      <c r="BC916" s="785"/>
      <c r="BD916" s="900"/>
    </row>
    <row r="917" spans="1:56" s="65" customFormat="1" hidden="1" outlineLevel="1" x14ac:dyDescent="0.25">
      <c r="A917" s="785"/>
      <c r="B917" s="332"/>
      <c r="C917" s="455"/>
      <c r="D917" s="2802"/>
      <c r="E917" s="2806"/>
      <c r="F917" s="2797" t="str">
        <f t="shared" si="86"/>
        <v>Ductless ASHP - ROF MF NC</v>
      </c>
      <c r="G917" s="2797"/>
      <c r="H917" s="2797"/>
      <c r="I917" s="1668"/>
      <c r="J917" s="1660">
        <f t="shared" si="89"/>
        <v>5.44</v>
      </c>
      <c r="K917" s="1011"/>
      <c r="L917" s="1012"/>
      <c r="M917" s="2065"/>
      <c r="N917" s="2048"/>
      <c r="O917" s="332"/>
      <c r="P917" s="332"/>
      <c r="Q917" s="332"/>
      <c r="R917" s="332"/>
      <c r="S917" s="332"/>
      <c r="T917" s="177"/>
      <c r="U917" s="177"/>
      <c r="V917" s="2802"/>
      <c r="W917" s="909"/>
      <c r="X917" s="908"/>
      <c r="Y917" s="908">
        <v>5.44</v>
      </c>
      <c r="Z917" s="909"/>
      <c r="AA917" s="909"/>
      <c r="AB917" s="909"/>
      <c r="AC917" s="909"/>
      <c r="AD917" s="909"/>
      <c r="AE917" s="909"/>
      <c r="AF917" s="909"/>
      <c r="AG917" s="927"/>
      <c r="BB917" s="784"/>
      <c r="BC917" s="785"/>
      <c r="BD917" s="900"/>
    </row>
    <row r="918" spans="1:56" s="65" customFormat="1" hidden="1" outlineLevel="1" x14ac:dyDescent="0.25">
      <c r="A918" s="785"/>
      <c r="B918" s="332"/>
      <c r="C918" s="455"/>
      <c r="D918" s="2802"/>
      <c r="E918" s="2806"/>
      <c r="F918" s="2797" t="str">
        <f t="shared" si="86"/>
        <v>Ductless ASHP - ROF MF</v>
      </c>
      <c r="G918" s="2797"/>
      <c r="H918" s="2797"/>
      <c r="I918" s="1668"/>
      <c r="J918" s="1660">
        <f t="shared" si="89"/>
        <v>5.44</v>
      </c>
      <c r="K918" s="1011"/>
      <c r="L918" s="1012"/>
      <c r="M918" s="2065"/>
      <c r="N918" s="2048"/>
      <c r="O918" s="332"/>
      <c r="P918" s="332"/>
      <c r="Q918" s="332"/>
      <c r="R918" s="332"/>
      <c r="S918" s="332"/>
      <c r="T918" s="177"/>
      <c r="U918" s="177"/>
      <c r="V918" s="2802"/>
      <c r="W918" s="909"/>
      <c r="X918" s="908"/>
      <c r="Y918" s="908">
        <v>5.44</v>
      </c>
      <c r="Z918" s="909"/>
      <c r="AA918" s="909"/>
      <c r="AB918" s="909"/>
      <c r="AC918" s="909"/>
      <c r="AD918" s="909"/>
      <c r="AE918" s="909"/>
      <c r="AF918" s="909"/>
      <c r="AG918" s="927"/>
      <c r="BB918" s="784"/>
      <c r="BC918" s="785"/>
      <c r="BD918" s="900"/>
    </row>
    <row r="919" spans="1:56" s="65" customFormat="1" hidden="1" outlineLevel="1" x14ac:dyDescent="0.25">
      <c r="A919" s="785"/>
      <c r="B919" s="332"/>
      <c r="C919" s="455"/>
      <c r="D919" s="2802"/>
      <c r="E919" s="2806"/>
      <c r="F919" s="2797" t="str">
        <f t="shared" si="86"/>
        <v>Ductless ASHP Replace Electric Resistance ER1 MF</v>
      </c>
      <c r="G919" s="2797"/>
      <c r="H919" s="2797"/>
      <c r="I919" s="1668"/>
      <c r="J919" s="1660">
        <f t="shared" si="89"/>
        <v>3.4119999999999999</v>
      </c>
      <c r="K919" s="1011"/>
      <c r="L919" s="1012"/>
      <c r="M919" s="2065"/>
      <c r="N919" s="2048"/>
      <c r="O919" s="332"/>
      <c r="P919" s="332"/>
      <c r="Q919" s="332"/>
      <c r="R919" s="332"/>
      <c r="S919" s="332"/>
      <c r="T919" s="177"/>
      <c r="U919" s="177"/>
      <c r="V919" s="2802"/>
      <c r="W919" s="909"/>
      <c r="X919" s="908"/>
      <c r="Y919" s="908">
        <v>3.4119999999999999</v>
      </c>
      <c r="Z919" s="909"/>
      <c r="AA919" s="909"/>
      <c r="AB919" s="909"/>
      <c r="AC919" s="909"/>
      <c r="AD919" s="909"/>
      <c r="AE919" s="909"/>
      <c r="AF919" s="909"/>
      <c r="AG919" s="927"/>
      <c r="BB919" s="784"/>
      <c r="BC919" s="785"/>
      <c r="BD919" s="900"/>
    </row>
    <row r="920" spans="1:56" s="65" customFormat="1" hidden="1" outlineLevel="1" x14ac:dyDescent="0.25">
      <c r="A920" s="785"/>
      <c r="B920" s="332"/>
      <c r="C920" s="455"/>
      <c r="D920" s="2802"/>
      <c r="E920" s="2806"/>
      <c r="F920" s="2797" t="str">
        <f t="shared" si="86"/>
        <v>Ductless ASHP Replace Electric Resistance ROF MF</v>
      </c>
      <c r="G920" s="2797"/>
      <c r="H920" s="2797"/>
      <c r="I920" s="1668"/>
      <c r="J920" s="1660">
        <f t="shared" si="89"/>
        <v>3.4119999999999999</v>
      </c>
      <c r="K920" s="1011"/>
      <c r="L920" s="1012"/>
      <c r="M920" s="2065"/>
      <c r="N920" s="2048"/>
      <c r="O920" s="332"/>
      <c r="P920" s="332"/>
      <c r="Q920" s="332"/>
      <c r="R920" s="332"/>
      <c r="S920" s="332"/>
      <c r="T920" s="177"/>
      <c r="U920" s="177"/>
      <c r="V920" s="2802"/>
      <c r="W920" s="909"/>
      <c r="X920" s="908"/>
      <c r="Y920" s="908">
        <v>3.4119999999999999</v>
      </c>
      <c r="Z920" s="909"/>
      <c r="AA920" s="909"/>
      <c r="AB920" s="909"/>
      <c r="AC920" s="909"/>
      <c r="AD920" s="909"/>
      <c r="AE920" s="909"/>
      <c r="AF920" s="909"/>
      <c r="AG920" s="927"/>
      <c r="BB920" s="784"/>
      <c r="BC920" s="785"/>
      <c r="BD920" s="900"/>
    </row>
    <row r="921" spans="1:56" s="65" customFormat="1" hidden="1" outlineLevel="1" x14ac:dyDescent="0.25">
      <c r="A921" s="785"/>
      <c r="B921" s="332"/>
      <c r="C921" s="455"/>
      <c r="D921" s="2802"/>
      <c r="E921" s="2806"/>
      <c r="F921" s="2797" t="str">
        <f t="shared" si="86"/>
        <v>Ductless ASHP ER1 MF</v>
      </c>
      <c r="G921" s="2797"/>
      <c r="H921" s="2797"/>
      <c r="I921" s="1668"/>
      <c r="J921" s="1660">
        <f t="shared" si="89"/>
        <v>5.44</v>
      </c>
      <c r="K921" s="1011"/>
      <c r="L921" s="1012"/>
      <c r="M921" s="2065"/>
      <c r="N921" s="2048"/>
      <c r="O921" s="332"/>
      <c r="P921" s="332"/>
      <c r="Q921" s="332"/>
      <c r="R921" s="332"/>
      <c r="S921" s="332"/>
      <c r="T921" s="177"/>
      <c r="U921" s="177"/>
      <c r="V921" s="2802"/>
      <c r="W921" s="909"/>
      <c r="X921" s="908"/>
      <c r="Y921" s="908">
        <v>5.44</v>
      </c>
      <c r="Z921" s="909"/>
      <c r="AA921" s="909"/>
      <c r="AB921" s="909"/>
      <c r="AC921" s="909"/>
      <c r="AD921" s="909"/>
      <c r="AE921" s="909"/>
      <c r="AF921" s="909"/>
      <c r="AG921" s="927"/>
      <c r="BB921" s="784"/>
      <c r="BC921" s="785"/>
      <c r="BD921" s="900"/>
    </row>
    <row r="922" spans="1:56" s="65" customFormat="1" hidden="1" outlineLevel="1" x14ac:dyDescent="0.25">
      <c r="A922" s="785"/>
      <c r="B922" s="332"/>
      <c r="C922" s="455"/>
      <c r="D922" s="2803"/>
      <c r="E922" s="2807"/>
      <c r="F922" s="2797" t="str">
        <f t="shared" si="86"/>
        <v>Ductless AC - ER1 MF_CompE</v>
      </c>
      <c r="G922" s="2797"/>
      <c r="H922" s="2797"/>
      <c r="I922" s="1668"/>
      <c r="J922" s="1660">
        <f>J908</f>
        <v>0</v>
      </c>
      <c r="K922" s="1011"/>
      <c r="L922" s="1012"/>
      <c r="M922" s="2065"/>
      <c r="N922" s="2048"/>
      <c r="O922" s="332"/>
      <c r="P922" s="332"/>
      <c r="Q922" s="332"/>
      <c r="R922" s="332"/>
      <c r="S922" s="332"/>
      <c r="T922" s="177"/>
      <c r="U922" s="177"/>
      <c r="V922" s="2803"/>
      <c r="W922" s="909"/>
      <c r="X922" s="909"/>
      <c r="Y922" s="908">
        <v>0</v>
      </c>
      <c r="Z922" s="909"/>
      <c r="AA922" s="909"/>
      <c r="AB922" s="909"/>
      <c r="AC922" s="909"/>
      <c r="AD922" s="909"/>
      <c r="AE922" s="909"/>
      <c r="AF922" s="909"/>
      <c r="AG922" s="927"/>
      <c r="BB922" s="784"/>
      <c r="BC922" s="785"/>
      <c r="BD922" s="900"/>
    </row>
    <row r="923" spans="1:56" s="65" customFormat="1" hidden="1" outlineLevel="1" x14ac:dyDescent="0.25">
      <c r="A923" s="785"/>
      <c r="B923" s="332"/>
      <c r="C923" s="455"/>
      <c r="D923" s="2803"/>
      <c r="E923" s="2807"/>
      <c r="F923" s="2797" t="str">
        <f t="shared" si="86"/>
        <v>Ductless AC - ROF MF_CompE</v>
      </c>
      <c r="G923" s="2797"/>
      <c r="H923" s="2797"/>
      <c r="I923" s="1668"/>
      <c r="J923" s="1660">
        <f t="shared" ref="J923:J928" si="90">J909</f>
        <v>0</v>
      </c>
      <c r="K923" s="1011"/>
      <c r="L923" s="1012"/>
      <c r="M923" s="2065"/>
      <c r="N923" s="2048"/>
      <c r="O923" s="332"/>
      <c r="P923" s="332"/>
      <c r="Q923" s="332"/>
      <c r="R923" s="332"/>
      <c r="S923" s="332"/>
      <c r="T923" s="177"/>
      <c r="U923" s="177"/>
      <c r="V923" s="2803"/>
      <c r="W923" s="909"/>
      <c r="X923" s="909"/>
      <c r="Y923" s="908">
        <v>0</v>
      </c>
      <c r="Z923" s="909"/>
      <c r="AA923" s="909"/>
      <c r="AB923" s="909"/>
      <c r="AC923" s="909"/>
      <c r="AD923" s="909"/>
      <c r="AE923" s="909"/>
      <c r="AF923" s="909"/>
      <c r="AG923" s="927"/>
      <c r="BB923" s="784"/>
      <c r="BC923" s="785"/>
      <c r="BD923" s="900"/>
    </row>
    <row r="924" spans="1:56" s="65" customFormat="1" hidden="1" outlineLevel="1" x14ac:dyDescent="0.25">
      <c r="A924" s="785"/>
      <c r="B924" s="332"/>
      <c r="C924" s="455"/>
      <c r="D924" s="2803"/>
      <c r="E924" s="2807"/>
      <c r="F924" s="2797" t="str">
        <f t="shared" si="86"/>
        <v>Ductless ASHP - ROF MF NC_CompE</v>
      </c>
      <c r="G924" s="2797"/>
      <c r="H924" s="2797"/>
      <c r="I924" s="1668"/>
      <c r="J924" s="1660">
        <f t="shared" si="90"/>
        <v>5.44</v>
      </c>
      <c r="K924" s="1011"/>
      <c r="L924" s="1012"/>
      <c r="M924" s="2065"/>
      <c r="N924" s="2048"/>
      <c r="O924" s="332"/>
      <c r="P924" s="332"/>
      <c r="Q924" s="332"/>
      <c r="R924" s="332"/>
      <c r="S924" s="332"/>
      <c r="T924" s="177"/>
      <c r="U924" s="177"/>
      <c r="V924" s="2803"/>
      <c r="W924" s="909"/>
      <c r="X924" s="909"/>
      <c r="Y924" s="908">
        <v>5.44</v>
      </c>
      <c r="Z924" s="909"/>
      <c r="AA924" s="909"/>
      <c r="AB924" s="909"/>
      <c r="AC924" s="909"/>
      <c r="AD924" s="909"/>
      <c r="AE924" s="909"/>
      <c r="AF924" s="909"/>
      <c r="AG924" s="927"/>
      <c r="BB924" s="784"/>
      <c r="BC924" s="785"/>
      <c r="BD924" s="900"/>
    </row>
    <row r="925" spans="1:56" s="65" customFormat="1" hidden="1" outlineLevel="1" x14ac:dyDescent="0.25">
      <c r="A925" s="785"/>
      <c r="B925" s="332"/>
      <c r="C925" s="455"/>
      <c r="D925" s="2803"/>
      <c r="E925" s="2807"/>
      <c r="F925" s="2797" t="str">
        <f t="shared" si="86"/>
        <v>Ductless ASHP - ROF MF_CompE</v>
      </c>
      <c r="G925" s="2797"/>
      <c r="H925" s="2797"/>
      <c r="I925" s="1668"/>
      <c r="J925" s="1660">
        <f t="shared" si="90"/>
        <v>5.44</v>
      </c>
      <c r="K925" s="1011"/>
      <c r="L925" s="1013"/>
      <c r="M925" s="2065"/>
      <c r="N925" s="2048"/>
      <c r="O925" s="332"/>
      <c r="P925" s="332"/>
      <c r="Q925" s="332"/>
      <c r="R925" s="332"/>
      <c r="S925" s="332"/>
      <c r="T925" s="177"/>
      <c r="U925" s="177"/>
      <c r="V925" s="2803"/>
      <c r="W925" s="909"/>
      <c r="X925" s="909"/>
      <c r="Y925" s="908">
        <v>5.44</v>
      </c>
      <c r="Z925" s="909"/>
      <c r="AA925" s="909"/>
      <c r="AB925" s="909"/>
      <c r="AC925" s="909"/>
      <c r="AD925" s="909"/>
      <c r="AE925" s="909"/>
      <c r="AF925" s="909"/>
      <c r="AG925" s="927"/>
      <c r="BB925" s="784"/>
      <c r="BC925" s="785"/>
      <c r="BD925" s="900"/>
    </row>
    <row r="926" spans="1:56" s="65" customFormat="1" hidden="1" outlineLevel="1" x14ac:dyDescent="0.25">
      <c r="A926" s="785"/>
      <c r="B926" s="332"/>
      <c r="C926" s="455"/>
      <c r="D926" s="2803"/>
      <c r="E926" s="2807"/>
      <c r="F926" s="2797" t="str">
        <f t="shared" si="86"/>
        <v>Ductless ASHP Replace Electric Resistance ER1 MF_CompE</v>
      </c>
      <c r="G926" s="2797"/>
      <c r="H926" s="2797"/>
      <c r="I926" s="1668"/>
      <c r="J926" s="1660">
        <f t="shared" si="90"/>
        <v>3.4119999999999999</v>
      </c>
      <c r="K926" s="1011"/>
      <c r="L926" s="1013"/>
      <c r="M926" s="2065"/>
      <c r="N926" s="2048"/>
      <c r="O926" s="332"/>
      <c r="P926" s="332"/>
      <c r="Q926" s="332"/>
      <c r="R926" s="332"/>
      <c r="S926" s="332"/>
      <c r="T926" s="177"/>
      <c r="U926" s="177"/>
      <c r="V926" s="2803"/>
      <c r="W926" s="909"/>
      <c r="X926" s="909"/>
      <c r="Y926" s="908">
        <v>3.4119999999999999</v>
      </c>
      <c r="Z926" s="909"/>
      <c r="AA926" s="909"/>
      <c r="AB926" s="909"/>
      <c r="AC926" s="909"/>
      <c r="AD926" s="909"/>
      <c r="AE926" s="909"/>
      <c r="AF926" s="909"/>
      <c r="AG926" s="927"/>
      <c r="BB926" s="784"/>
      <c r="BC926" s="785"/>
      <c r="BD926" s="900"/>
    </row>
    <row r="927" spans="1:56" s="65" customFormat="1" hidden="1" outlineLevel="1" x14ac:dyDescent="0.25">
      <c r="A927" s="785"/>
      <c r="B927" s="332"/>
      <c r="C927" s="455"/>
      <c r="D927" s="2803"/>
      <c r="E927" s="2807"/>
      <c r="F927" s="2797" t="str">
        <f t="shared" si="86"/>
        <v>Ductless ASHP Replace Electric Resistance ROF MF_CompE</v>
      </c>
      <c r="G927" s="2797"/>
      <c r="H927" s="2797"/>
      <c r="I927" s="1668"/>
      <c r="J927" s="1660">
        <f t="shared" si="90"/>
        <v>3.4119999999999999</v>
      </c>
      <c r="K927" s="1011"/>
      <c r="L927" s="1013"/>
      <c r="M927" s="2065"/>
      <c r="N927" s="2048"/>
      <c r="O927" s="332"/>
      <c r="P927" s="332"/>
      <c r="Q927" s="332"/>
      <c r="R927" s="332"/>
      <c r="S927" s="332"/>
      <c r="T927" s="177"/>
      <c r="U927" s="177"/>
      <c r="V927" s="2803"/>
      <c r="W927" s="909"/>
      <c r="X927" s="909"/>
      <c r="Y927" s="908">
        <v>3.4119999999999999</v>
      </c>
      <c r="Z927" s="909"/>
      <c r="AA927" s="909"/>
      <c r="AB927" s="909"/>
      <c r="AC927" s="909"/>
      <c r="AD927" s="909"/>
      <c r="AE927" s="909"/>
      <c r="AF927" s="909"/>
      <c r="AG927" s="927"/>
      <c r="BB927" s="784"/>
      <c r="BC927" s="785"/>
      <c r="BD927" s="900"/>
    </row>
    <row r="928" spans="1:56" s="65" customFormat="1" ht="15.75" hidden="1" outlineLevel="1" thickBot="1" x14ac:dyDescent="0.3">
      <c r="A928" s="785"/>
      <c r="B928" s="332"/>
      <c r="C928" s="455"/>
      <c r="D928" s="2804"/>
      <c r="E928" s="2808"/>
      <c r="F928" s="2797" t="str">
        <f t="shared" si="86"/>
        <v>Ductless ASHP ER1 MF_CompE</v>
      </c>
      <c r="G928" s="2797"/>
      <c r="H928" s="2797"/>
      <c r="I928" s="1039"/>
      <c r="J928" s="1660">
        <f t="shared" si="90"/>
        <v>5.44</v>
      </c>
      <c r="K928" s="1011"/>
      <c r="L928" s="2066"/>
      <c r="M928" s="2065"/>
      <c r="N928" s="2048"/>
      <c r="O928" s="332"/>
      <c r="P928" s="332"/>
      <c r="Q928" s="332"/>
      <c r="R928" s="332"/>
      <c r="S928" s="332"/>
      <c r="T928" s="177"/>
      <c r="U928" s="177"/>
      <c r="V928" s="2804"/>
      <c r="W928" s="945"/>
      <c r="X928" s="945"/>
      <c r="Y928" s="1021">
        <v>5.44</v>
      </c>
      <c r="Z928" s="945"/>
      <c r="AA928" s="945"/>
      <c r="AB928" s="945"/>
      <c r="AC928" s="945"/>
      <c r="AD928" s="945"/>
      <c r="AE928" s="945"/>
      <c r="AF928" s="945"/>
      <c r="AG928" s="1015"/>
      <c r="BB928" s="784"/>
      <c r="BC928" s="785"/>
      <c r="BD928" s="900"/>
    </row>
    <row r="929" spans="1:56" s="65" customFormat="1" hidden="1" outlineLevel="1" x14ac:dyDescent="0.25">
      <c r="A929" s="785"/>
      <c r="B929" s="332"/>
      <c r="C929" s="455"/>
      <c r="D929" s="2801" t="s">
        <v>339</v>
      </c>
      <c r="E929" s="2805" t="s">
        <v>1353</v>
      </c>
      <c r="F929" s="2820" t="str">
        <f t="shared" si="86"/>
        <v>Ductless AC - ER1 SF</v>
      </c>
      <c r="G929" s="2821"/>
      <c r="H929" s="2822"/>
      <c r="I929" s="1669"/>
      <c r="J929" s="1664">
        <v>0</v>
      </c>
      <c r="K929" s="1008"/>
      <c r="L929" s="1009"/>
      <c r="M929" s="2065"/>
      <c r="N929" s="2048"/>
      <c r="O929" s="332"/>
      <c r="P929" s="332"/>
      <c r="Q929" s="332"/>
      <c r="R929" s="332"/>
      <c r="S929" s="332"/>
      <c r="T929" s="177"/>
      <c r="U929" s="177"/>
      <c r="V929" s="2811" t="s">
        <v>339</v>
      </c>
      <c r="W929" s="903">
        <v>0</v>
      </c>
      <c r="X929" s="903">
        <v>0</v>
      </c>
      <c r="Y929" s="902">
        <v>0</v>
      </c>
      <c r="Z929" s="903"/>
      <c r="AA929" s="903"/>
      <c r="AB929" s="903"/>
      <c r="AC929" s="903"/>
      <c r="AD929" s="903"/>
      <c r="AE929" s="903"/>
      <c r="AF929" s="903"/>
      <c r="AG929" s="1010"/>
      <c r="BB929" s="784"/>
      <c r="BC929" s="785"/>
      <c r="BD929" s="900"/>
    </row>
    <row r="930" spans="1:56" s="65" customFormat="1" hidden="1" outlineLevel="1" x14ac:dyDescent="0.25">
      <c r="A930" s="785"/>
      <c r="B930" s="332"/>
      <c r="C930" s="455"/>
      <c r="D930" s="2802"/>
      <c r="E930" s="2806"/>
      <c r="F930" s="2825" t="str">
        <f t="shared" ref="F930:F993" si="91">F909</f>
        <v>Ductless AC - ROF SF</v>
      </c>
      <c r="G930" s="2826"/>
      <c r="H930" s="2827"/>
      <c r="I930" s="1668"/>
      <c r="J930" s="1660">
        <v>0</v>
      </c>
      <c r="K930" s="1011"/>
      <c r="L930" s="1012"/>
      <c r="M930" s="2065"/>
      <c r="N930" s="2048"/>
      <c r="O930" s="332"/>
      <c r="P930" s="332"/>
      <c r="Q930" s="332"/>
      <c r="R930" s="332"/>
      <c r="S930" s="332"/>
      <c r="T930" s="177"/>
      <c r="U930" s="177"/>
      <c r="V930" s="2812"/>
      <c r="W930" s="909">
        <v>0</v>
      </c>
      <c r="X930" s="909">
        <v>0</v>
      </c>
      <c r="Y930" s="908">
        <v>0</v>
      </c>
      <c r="Z930" s="909"/>
      <c r="AA930" s="909"/>
      <c r="AB930" s="909"/>
      <c r="AC930" s="909"/>
      <c r="AD930" s="909"/>
      <c r="AE930" s="909"/>
      <c r="AF930" s="909"/>
      <c r="AG930" s="927"/>
      <c r="BB930" s="784"/>
      <c r="BC930" s="785"/>
      <c r="BD930" s="900"/>
    </row>
    <row r="931" spans="1:56" s="65" customFormat="1" hidden="1" outlineLevel="1" x14ac:dyDescent="0.25">
      <c r="A931" s="785"/>
      <c r="B931" s="332"/>
      <c r="C931" s="455"/>
      <c r="D931" s="2802"/>
      <c r="E931" s="2806"/>
      <c r="F931" s="2825" t="str">
        <f t="shared" si="91"/>
        <v>Ductless ASHP - ROF SF NC</v>
      </c>
      <c r="G931" s="2826"/>
      <c r="H931" s="2827"/>
      <c r="I931" s="1668"/>
      <c r="J931" s="1660">
        <v>10.6</v>
      </c>
      <c r="K931" s="1011"/>
      <c r="L931" s="2817" t="s">
        <v>1280</v>
      </c>
      <c r="M931" s="2065"/>
      <c r="N931" s="2048"/>
      <c r="O931" s="332"/>
      <c r="P931" s="332"/>
      <c r="Q931" s="332"/>
      <c r="R931" s="332"/>
      <c r="S931" s="332"/>
      <c r="T931" s="177"/>
      <c r="U931" s="177"/>
      <c r="V931" s="2812"/>
      <c r="W931" s="909">
        <v>11.4</v>
      </c>
      <c r="X931" s="908">
        <v>11.32</v>
      </c>
      <c r="Y931" s="908">
        <v>10.6</v>
      </c>
      <c r="Z931" s="909"/>
      <c r="AA931" s="909"/>
      <c r="AB931" s="909"/>
      <c r="AC931" s="909"/>
      <c r="AD931" s="909"/>
      <c r="AE931" s="909"/>
      <c r="AF931" s="909"/>
      <c r="AG931" s="927"/>
      <c r="BB931" s="784"/>
      <c r="BC931" s="785"/>
      <c r="BD931" s="900"/>
    </row>
    <row r="932" spans="1:56" s="65" customFormat="1" hidden="1" outlineLevel="1" x14ac:dyDescent="0.25">
      <c r="A932" s="785"/>
      <c r="B932" s="332"/>
      <c r="C932" s="455"/>
      <c r="D932" s="2802"/>
      <c r="E932" s="2806"/>
      <c r="F932" s="2825" t="str">
        <f t="shared" si="91"/>
        <v>Ductless ASHP - ROF SF</v>
      </c>
      <c r="G932" s="2826"/>
      <c r="H932" s="2827"/>
      <c r="I932" s="1668"/>
      <c r="J932" s="1660">
        <v>10.6</v>
      </c>
      <c r="K932" s="1011"/>
      <c r="L932" s="2829"/>
      <c r="M932" s="2036"/>
      <c r="N932" s="2048"/>
      <c r="O932" s="332"/>
      <c r="P932" s="332"/>
      <c r="Q932" s="332"/>
      <c r="R932" s="332"/>
      <c r="S932" s="332"/>
      <c r="T932" s="177"/>
      <c r="U932" s="177"/>
      <c r="V932" s="2812"/>
      <c r="W932" s="909">
        <v>11.4</v>
      </c>
      <c r="X932" s="908">
        <v>11.32</v>
      </c>
      <c r="Y932" s="908">
        <v>10.6</v>
      </c>
      <c r="Z932" s="909"/>
      <c r="AA932" s="909"/>
      <c r="AB932" s="909"/>
      <c r="AC932" s="909"/>
      <c r="AD932" s="909"/>
      <c r="AE932" s="909"/>
      <c r="AF932" s="909"/>
      <c r="AG932" s="927"/>
      <c r="BB932" s="784"/>
      <c r="BC932" s="785"/>
      <c r="BD932" s="900"/>
    </row>
    <row r="933" spans="1:56" s="65" customFormat="1" hidden="1" outlineLevel="1" x14ac:dyDescent="0.25">
      <c r="A933" s="785"/>
      <c r="B933" s="332"/>
      <c r="C933" s="455"/>
      <c r="D933" s="2802"/>
      <c r="E933" s="2806"/>
      <c r="F933" s="2825" t="str">
        <f t="shared" si="91"/>
        <v>Ductless ASHP Replace Electric Resistance ER1 SF</v>
      </c>
      <c r="G933" s="2826"/>
      <c r="H933" s="2827"/>
      <c r="I933" s="1668"/>
      <c r="J933" s="1660">
        <v>11.4</v>
      </c>
      <c r="K933" s="1011"/>
      <c r="L933" s="2829"/>
      <c r="M933" s="2036"/>
      <c r="N933" s="2048"/>
      <c r="O933" s="332"/>
      <c r="P933" s="332"/>
      <c r="Q933" s="332"/>
      <c r="R933" s="332"/>
      <c r="S933" s="332"/>
      <c r="T933" s="177"/>
      <c r="U933" s="177"/>
      <c r="V933" s="2812"/>
      <c r="W933" s="909">
        <v>11.7</v>
      </c>
      <c r="X933" s="908">
        <v>11.32</v>
      </c>
      <c r="Y933" s="908">
        <v>11.4</v>
      </c>
      <c r="Z933" s="909"/>
      <c r="AA933" s="909"/>
      <c r="AB933" s="909"/>
      <c r="AC933" s="909"/>
      <c r="AD933" s="909"/>
      <c r="AE933" s="909"/>
      <c r="AF933" s="909"/>
      <c r="AG933" s="927"/>
      <c r="BB933" s="784"/>
      <c r="BC933" s="785"/>
      <c r="BD933" s="900"/>
    </row>
    <row r="934" spans="1:56" s="65" customFormat="1" hidden="1" outlineLevel="1" x14ac:dyDescent="0.25">
      <c r="A934" s="785"/>
      <c r="B934" s="332"/>
      <c r="C934" s="455"/>
      <c r="D934" s="2802"/>
      <c r="E934" s="2806"/>
      <c r="F934" s="2825" t="str">
        <f t="shared" si="91"/>
        <v>Ductless ASHP Replace Electric Resistance ROF SF</v>
      </c>
      <c r="G934" s="2826"/>
      <c r="H934" s="2827"/>
      <c r="I934" s="1668"/>
      <c r="J934" s="1660">
        <v>11.4</v>
      </c>
      <c r="K934" s="1011"/>
      <c r="L934" s="2829"/>
      <c r="M934" s="2036"/>
      <c r="N934" s="2048"/>
      <c r="O934" s="332"/>
      <c r="P934" s="332"/>
      <c r="Q934" s="332"/>
      <c r="R934" s="332"/>
      <c r="S934" s="332"/>
      <c r="T934" s="177"/>
      <c r="U934" s="177"/>
      <c r="V934" s="2812"/>
      <c r="W934" s="909">
        <v>10.8</v>
      </c>
      <c r="X934" s="908">
        <v>11.32</v>
      </c>
      <c r="Y934" s="908">
        <v>11.4</v>
      </c>
      <c r="Z934" s="909"/>
      <c r="AA934" s="909"/>
      <c r="AB934" s="909"/>
      <c r="AC934" s="909"/>
      <c r="AD934" s="909"/>
      <c r="AE934" s="909"/>
      <c r="AF934" s="909"/>
      <c r="AG934" s="927"/>
      <c r="BB934" s="784"/>
      <c r="BC934" s="785"/>
      <c r="BD934" s="900"/>
    </row>
    <row r="935" spans="1:56" s="65" customFormat="1" hidden="1" outlineLevel="1" x14ac:dyDescent="0.25">
      <c r="A935" s="785"/>
      <c r="B935" s="332"/>
      <c r="C935" s="455"/>
      <c r="D935" s="2802"/>
      <c r="E935" s="2806"/>
      <c r="F935" s="2825" t="str">
        <f t="shared" si="91"/>
        <v>Ductless ASHP ER1 SF</v>
      </c>
      <c r="G935" s="2826"/>
      <c r="H935" s="2827"/>
      <c r="I935" s="1668"/>
      <c r="J935" s="1660">
        <v>12.6</v>
      </c>
      <c r="K935" s="1011"/>
      <c r="L935" s="2830"/>
      <c r="M935" s="2068"/>
      <c r="N935" s="2048"/>
      <c r="O935" s="332"/>
      <c r="P935" s="332"/>
      <c r="Q935" s="332"/>
      <c r="R935" s="332"/>
      <c r="S935" s="332"/>
      <c r="T935" s="177"/>
      <c r="U935" s="177"/>
      <c r="V935" s="2812"/>
      <c r="W935" s="909">
        <v>11.4</v>
      </c>
      <c r="X935" s="908">
        <v>11.32</v>
      </c>
      <c r="Y935" s="908">
        <v>12.6</v>
      </c>
      <c r="Z935" s="909"/>
      <c r="AA935" s="909"/>
      <c r="AB935" s="909"/>
      <c r="AC935" s="909"/>
      <c r="AD935" s="909"/>
      <c r="AE935" s="909"/>
      <c r="AF935" s="909"/>
      <c r="AG935" s="927"/>
      <c r="BB935" s="784"/>
      <c r="BC935" s="785"/>
      <c r="BD935" s="900"/>
    </row>
    <row r="936" spans="1:56" s="65" customFormat="1" hidden="1" outlineLevel="1" x14ac:dyDescent="0.25">
      <c r="A936" s="785"/>
      <c r="B936" s="332"/>
      <c r="C936" s="455"/>
      <c r="D936" s="2802"/>
      <c r="E936" s="2806"/>
      <c r="F936" s="2797" t="str">
        <f t="shared" si="91"/>
        <v>Ductless AC - ER1 MF</v>
      </c>
      <c r="G936" s="2797"/>
      <c r="H936" s="2797"/>
      <c r="I936" s="1668"/>
      <c r="J936" s="1660">
        <f>J929</f>
        <v>0</v>
      </c>
      <c r="K936" s="1011"/>
      <c r="L936" s="1012"/>
      <c r="M936" s="2065"/>
      <c r="N936" s="2048"/>
      <c r="O936" s="332"/>
      <c r="P936" s="332"/>
      <c r="Q936" s="332"/>
      <c r="R936" s="332"/>
      <c r="S936" s="332"/>
      <c r="T936" s="177"/>
      <c r="U936" s="177"/>
      <c r="V936" s="2812"/>
      <c r="W936" s="909"/>
      <c r="X936" s="908"/>
      <c r="Y936" s="908">
        <v>0</v>
      </c>
      <c r="Z936" s="909"/>
      <c r="AA936" s="909"/>
      <c r="AB936" s="909"/>
      <c r="AC936" s="909"/>
      <c r="AD936" s="909"/>
      <c r="AE936" s="909"/>
      <c r="AF936" s="909"/>
      <c r="AG936" s="927"/>
      <c r="BB936" s="784"/>
      <c r="BC936" s="785"/>
      <c r="BD936" s="900"/>
    </row>
    <row r="937" spans="1:56" s="65" customFormat="1" hidden="1" outlineLevel="1" x14ac:dyDescent="0.25">
      <c r="A937" s="785"/>
      <c r="B937" s="332"/>
      <c r="C937" s="455"/>
      <c r="D937" s="2802"/>
      <c r="E937" s="2806"/>
      <c r="F937" s="2797" t="str">
        <f t="shared" si="91"/>
        <v>Ductless AC - ROF MF</v>
      </c>
      <c r="G937" s="2797"/>
      <c r="H937" s="2797"/>
      <c r="I937" s="1668"/>
      <c r="J937" s="1660">
        <f t="shared" ref="J937:J942" si="92">J930</f>
        <v>0</v>
      </c>
      <c r="K937" s="1011"/>
      <c r="L937" s="1012"/>
      <c r="M937" s="2065"/>
      <c r="N937" s="2048"/>
      <c r="O937" s="332"/>
      <c r="P937" s="332"/>
      <c r="Q937" s="332"/>
      <c r="R937" s="332"/>
      <c r="S937" s="332"/>
      <c r="T937" s="177"/>
      <c r="U937" s="177"/>
      <c r="V937" s="2812"/>
      <c r="W937" s="909"/>
      <c r="X937" s="908"/>
      <c r="Y937" s="908">
        <v>0</v>
      </c>
      <c r="Z937" s="909"/>
      <c r="AA937" s="909"/>
      <c r="AB937" s="909"/>
      <c r="AC937" s="909"/>
      <c r="AD937" s="909"/>
      <c r="AE937" s="909"/>
      <c r="AF937" s="909"/>
      <c r="AG937" s="927"/>
      <c r="BB937" s="784"/>
      <c r="BC937" s="785"/>
      <c r="BD937" s="900"/>
    </row>
    <row r="938" spans="1:56" s="65" customFormat="1" hidden="1" outlineLevel="1" x14ac:dyDescent="0.25">
      <c r="A938" s="785"/>
      <c r="B938" s="332"/>
      <c r="C938" s="455"/>
      <c r="D938" s="2802"/>
      <c r="E938" s="2806"/>
      <c r="F938" s="2797" t="str">
        <f t="shared" si="91"/>
        <v>Ductless ASHP - ROF MF NC</v>
      </c>
      <c r="G938" s="2797"/>
      <c r="H938" s="2797"/>
      <c r="I938" s="1668"/>
      <c r="J938" s="1660">
        <f t="shared" si="92"/>
        <v>10.6</v>
      </c>
      <c r="K938" s="1011"/>
      <c r="L938" s="1012"/>
      <c r="M938" s="2065"/>
      <c r="N938" s="2048"/>
      <c r="O938" s="332"/>
      <c r="P938" s="332"/>
      <c r="Q938" s="332"/>
      <c r="R938" s="332"/>
      <c r="S938" s="332"/>
      <c r="T938" s="177"/>
      <c r="U938" s="177"/>
      <c r="V938" s="2812"/>
      <c r="W938" s="909"/>
      <c r="X938" s="908"/>
      <c r="Y938" s="908">
        <v>10.6</v>
      </c>
      <c r="Z938" s="909"/>
      <c r="AA938" s="909"/>
      <c r="AB938" s="909"/>
      <c r="AC938" s="909"/>
      <c r="AD938" s="909"/>
      <c r="AE938" s="909"/>
      <c r="AF938" s="909"/>
      <c r="AG938" s="927"/>
      <c r="BB938" s="784"/>
      <c r="BC938" s="785"/>
      <c r="BD938" s="900"/>
    </row>
    <row r="939" spans="1:56" s="65" customFormat="1" hidden="1" outlineLevel="1" x14ac:dyDescent="0.25">
      <c r="A939" s="785"/>
      <c r="B939" s="332"/>
      <c r="C939" s="455"/>
      <c r="D939" s="2802"/>
      <c r="E939" s="2806"/>
      <c r="F939" s="2797" t="str">
        <f t="shared" si="91"/>
        <v>Ductless ASHP - ROF MF</v>
      </c>
      <c r="G939" s="2797"/>
      <c r="H939" s="2797"/>
      <c r="I939" s="1668"/>
      <c r="J939" s="1660">
        <f t="shared" si="92"/>
        <v>10.6</v>
      </c>
      <c r="K939" s="1011"/>
      <c r="L939" s="1012"/>
      <c r="M939" s="2065"/>
      <c r="N939" s="2048"/>
      <c r="O939" s="332"/>
      <c r="P939" s="332"/>
      <c r="Q939" s="332"/>
      <c r="R939" s="332"/>
      <c r="S939" s="332"/>
      <c r="T939" s="177"/>
      <c r="U939" s="177"/>
      <c r="V939" s="2812"/>
      <c r="W939" s="909"/>
      <c r="X939" s="908"/>
      <c r="Y939" s="908">
        <v>10.6</v>
      </c>
      <c r="Z939" s="909"/>
      <c r="AA939" s="909"/>
      <c r="AB939" s="909"/>
      <c r="AC939" s="909"/>
      <c r="AD939" s="909"/>
      <c r="AE939" s="909"/>
      <c r="AF939" s="909"/>
      <c r="AG939" s="927"/>
      <c r="BB939" s="784"/>
      <c r="BC939" s="785"/>
      <c r="BD939" s="900"/>
    </row>
    <row r="940" spans="1:56" s="65" customFormat="1" hidden="1" outlineLevel="1" x14ac:dyDescent="0.25">
      <c r="A940" s="785"/>
      <c r="B940" s="332"/>
      <c r="C940" s="455"/>
      <c r="D940" s="2802"/>
      <c r="E940" s="2806"/>
      <c r="F940" s="2797" t="str">
        <f t="shared" si="91"/>
        <v>Ductless ASHP Replace Electric Resistance ER1 MF</v>
      </c>
      <c r="G940" s="2797"/>
      <c r="H940" s="2797"/>
      <c r="I940" s="1668"/>
      <c r="J940" s="1660">
        <f t="shared" si="92"/>
        <v>11.4</v>
      </c>
      <c r="K940" s="1011"/>
      <c r="L940" s="1012"/>
      <c r="M940" s="2065"/>
      <c r="N940" s="2048"/>
      <c r="O940" s="332"/>
      <c r="P940" s="332"/>
      <c r="Q940" s="332"/>
      <c r="R940" s="332"/>
      <c r="S940" s="332"/>
      <c r="T940" s="177"/>
      <c r="U940" s="177"/>
      <c r="V940" s="2812"/>
      <c r="W940" s="909"/>
      <c r="X940" s="908"/>
      <c r="Y940" s="908">
        <v>11.4</v>
      </c>
      <c r="Z940" s="909"/>
      <c r="AA940" s="909"/>
      <c r="AB940" s="909"/>
      <c r="AC940" s="909"/>
      <c r="AD940" s="909"/>
      <c r="AE940" s="909"/>
      <c r="AF940" s="909"/>
      <c r="AG940" s="927"/>
      <c r="BB940" s="784"/>
      <c r="BC940" s="785"/>
      <c r="BD940" s="900"/>
    </row>
    <row r="941" spans="1:56" s="65" customFormat="1" hidden="1" outlineLevel="1" x14ac:dyDescent="0.25">
      <c r="A941" s="785"/>
      <c r="B941" s="332"/>
      <c r="C941" s="455"/>
      <c r="D941" s="2802"/>
      <c r="E941" s="2806"/>
      <c r="F941" s="2797" t="str">
        <f t="shared" si="91"/>
        <v>Ductless ASHP Replace Electric Resistance ROF MF</v>
      </c>
      <c r="G941" s="2797"/>
      <c r="H941" s="2797"/>
      <c r="I941" s="1668"/>
      <c r="J941" s="1660">
        <f t="shared" si="92"/>
        <v>11.4</v>
      </c>
      <c r="K941" s="1011"/>
      <c r="L941" s="1012"/>
      <c r="M941" s="2065"/>
      <c r="N941" s="2048"/>
      <c r="O941" s="332"/>
      <c r="P941" s="332"/>
      <c r="Q941" s="332"/>
      <c r="R941" s="332"/>
      <c r="S941" s="332"/>
      <c r="T941" s="177"/>
      <c r="U941" s="177"/>
      <c r="V941" s="2812"/>
      <c r="W941" s="909"/>
      <c r="X941" s="908"/>
      <c r="Y941" s="908">
        <v>11.4</v>
      </c>
      <c r="Z941" s="909"/>
      <c r="AA941" s="909"/>
      <c r="AB941" s="909"/>
      <c r="AC941" s="909"/>
      <c r="AD941" s="909"/>
      <c r="AE941" s="909"/>
      <c r="AF941" s="909"/>
      <c r="AG941" s="927"/>
      <c r="BB941" s="784"/>
      <c r="BC941" s="785"/>
      <c r="BD941" s="900"/>
    </row>
    <row r="942" spans="1:56" s="65" customFormat="1" hidden="1" outlineLevel="1" x14ac:dyDescent="0.25">
      <c r="A942" s="785"/>
      <c r="B942" s="332"/>
      <c r="C942" s="455"/>
      <c r="D942" s="2802"/>
      <c r="E942" s="2806"/>
      <c r="F942" s="2797" t="str">
        <f t="shared" si="91"/>
        <v>Ductless ASHP ER1 MF</v>
      </c>
      <c r="G942" s="2797"/>
      <c r="H942" s="2797"/>
      <c r="I942" s="1668"/>
      <c r="J942" s="1660">
        <f t="shared" si="92"/>
        <v>12.6</v>
      </c>
      <c r="K942" s="1011"/>
      <c r="L942" s="1012"/>
      <c r="M942" s="2065"/>
      <c r="N942" s="2048"/>
      <c r="O942" s="332"/>
      <c r="P942" s="332"/>
      <c r="Q942" s="332"/>
      <c r="R942" s="332"/>
      <c r="S942" s="332"/>
      <c r="T942" s="177"/>
      <c r="U942" s="177"/>
      <c r="V942" s="2812"/>
      <c r="W942" s="909"/>
      <c r="X942" s="908"/>
      <c r="Y942" s="908">
        <v>12.6</v>
      </c>
      <c r="Z942" s="909"/>
      <c r="AA942" s="909"/>
      <c r="AB942" s="909"/>
      <c r="AC942" s="909"/>
      <c r="AD942" s="909"/>
      <c r="AE942" s="909"/>
      <c r="AF942" s="909"/>
      <c r="AG942" s="927"/>
      <c r="BB942" s="784"/>
      <c r="BC942" s="785"/>
      <c r="BD942" s="900"/>
    </row>
    <row r="943" spans="1:56" s="65" customFormat="1" hidden="1" outlineLevel="1" x14ac:dyDescent="0.25">
      <c r="A943" s="785"/>
      <c r="B943" s="332"/>
      <c r="C943" s="455"/>
      <c r="D943" s="2802"/>
      <c r="E943" s="2806"/>
      <c r="F943" s="2797" t="str">
        <f t="shared" si="91"/>
        <v>Ductless AC - ER1 MF_CompE</v>
      </c>
      <c r="G943" s="2797"/>
      <c r="H943" s="2797"/>
      <c r="I943" s="1668"/>
      <c r="J943" s="1660">
        <f>J929</f>
        <v>0</v>
      </c>
      <c r="K943" s="1011"/>
      <c r="L943" s="1012"/>
      <c r="M943" s="2068"/>
      <c r="N943" s="2048"/>
      <c r="O943" s="332"/>
      <c r="P943" s="332"/>
      <c r="Q943" s="332"/>
      <c r="R943" s="332"/>
      <c r="S943" s="332"/>
      <c r="T943" s="177"/>
      <c r="U943" s="177"/>
      <c r="V943" s="2812"/>
      <c r="W943" s="909"/>
      <c r="X943" s="908"/>
      <c r="Y943" s="908">
        <v>0</v>
      </c>
      <c r="Z943" s="909"/>
      <c r="AA943" s="909"/>
      <c r="AB943" s="909"/>
      <c r="AC943" s="909"/>
      <c r="AD943" s="909"/>
      <c r="AE943" s="909"/>
      <c r="AF943" s="909"/>
      <c r="AG943" s="927"/>
      <c r="BB943" s="784"/>
      <c r="BC943" s="785"/>
      <c r="BD943" s="900"/>
    </row>
    <row r="944" spans="1:56" s="65" customFormat="1" hidden="1" outlineLevel="1" x14ac:dyDescent="0.25">
      <c r="A944" s="785"/>
      <c r="B944" s="332"/>
      <c r="C944" s="455"/>
      <c r="D944" s="2802"/>
      <c r="E944" s="2806"/>
      <c r="F944" s="2797" t="str">
        <f t="shared" si="91"/>
        <v>Ductless AC - ROF MF_CompE</v>
      </c>
      <c r="G944" s="2797"/>
      <c r="H944" s="2797"/>
      <c r="I944" s="1668"/>
      <c r="J944" s="1660">
        <f t="shared" ref="J944:J949" si="93">J930</f>
        <v>0</v>
      </c>
      <c r="K944" s="1011"/>
      <c r="L944" s="1012"/>
      <c r="M944" s="2068"/>
      <c r="N944" s="2048"/>
      <c r="O944" s="332"/>
      <c r="P944" s="332"/>
      <c r="Q944" s="332"/>
      <c r="R944" s="332"/>
      <c r="S944" s="332"/>
      <c r="T944" s="177"/>
      <c r="U944" s="177"/>
      <c r="V944" s="2812"/>
      <c r="W944" s="909"/>
      <c r="X944" s="908"/>
      <c r="Y944" s="908">
        <v>0</v>
      </c>
      <c r="Z944" s="909"/>
      <c r="AA944" s="909"/>
      <c r="AB944" s="909"/>
      <c r="AC944" s="909"/>
      <c r="AD944" s="909"/>
      <c r="AE944" s="909"/>
      <c r="AF944" s="909"/>
      <c r="AG944" s="927"/>
      <c r="BB944" s="784"/>
      <c r="BC944" s="785"/>
      <c r="BD944" s="900"/>
    </row>
    <row r="945" spans="1:56" s="65" customFormat="1" hidden="1" outlineLevel="1" x14ac:dyDescent="0.25">
      <c r="A945" s="785"/>
      <c r="B945" s="332"/>
      <c r="C945" s="455"/>
      <c r="D945" s="2802"/>
      <c r="E945" s="2806"/>
      <c r="F945" s="2797" t="str">
        <f t="shared" si="91"/>
        <v>Ductless ASHP - ROF MF NC_CompE</v>
      </c>
      <c r="G945" s="2797"/>
      <c r="H945" s="2797"/>
      <c r="I945" s="1668"/>
      <c r="J945" s="1660">
        <f t="shared" si="93"/>
        <v>10.6</v>
      </c>
      <c r="K945" s="1011"/>
      <c r="L945" s="1012"/>
      <c r="M945" s="2068"/>
      <c r="N945" s="2048"/>
      <c r="O945" s="332"/>
      <c r="P945" s="332"/>
      <c r="Q945" s="332"/>
      <c r="R945" s="332"/>
      <c r="S945" s="332"/>
      <c r="T945" s="177"/>
      <c r="U945" s="177"/>
      <c r="V945" s="2812"/>
      <c r="W945" s="909"/>
      <c r="X945" s="908"/>
      <c r="Y945" s="908">
        <v>10.6</v>
      </c>
      <c r="Z945" s="909"/>
      <c r="AA945" s="909"/>
      <c r="AB945" s="909"/>
      <c r="AC945" s="909"/>
      <c r="AD945" s="909"/>
      <c r="AE945" s="909"/>
      <c r="AF945" s="909"/>
      <c r="AG945" s="927"/>
      <c r="BB945" s="784"/>
      <c r="BC945" s="785"/>
      <c r="BD945" s="900"/>
    </row>
    <row r="946" spans="1:56" s="65" customFormat="1" hidden="1" outlineLevel="1" x14ac:dyDescent="0.25">
      <c r="A946" s="785"/>
      <c r="B946" s="332"/>
      <c r="C946" s="455"/>
      <c r="D946" s="2802"/>
      <c r="E946" s="2806"/>
      <c r="F946" s="2797" t="str">
        <f t="shared" si="91"/>
        <v>Ductless ASHP - ROF MF_CompE</v>
      </c>
      <c r="G946" s="2797"/>
      <c r="H946" s="2797"/>
      <c r="I946" s="1668"/>
      <c r="J946" s="1660">
        <f t="shared" si="93"/>
        <v>10.6</v>
      </c>
      <c r="K946" s="1011"/>
      <c r="L946" s="1013"/>
      <c r="M946" s="2068"/>
      <c r="N946" s="2048"/>
      <c r="O946" s="332"/>
      <c r="P946" s="332"/>
      <c r="Q946" s="332"/>
      <c r="R946" s="332"/>
      <c r="S946" s="332"/>
      <c r="T946" s="177"/>
      <c r="U946" s="177"/>
      <c r="V946" s="2812"/>
      <c r="W946" s="909"/>
      <c r="X946" s="908"/>
      <c r="Y946" s="908">
        <v>10.6</v>
      </c>
      <c r="Z946" s="909"/>
      <c r="AA946" s="909"/>
      <c r="AB946" s="909"/>
      <c r="AC946" s="909"/>
      <c r="AD946" s="909"/>
      <c r="AE946" s="909"/>
      <c r="AF946" s="909"/>
      <c r="AG946" s="927"/>
      <c r="BB946" s="784"/>
      <c r="BC946" s="785"/>
      <c r="BD946" s="900"/>
    </row>
    <row r="947" spans="1:56" s="65" customFormat="1" hidden="1" outlineLevel="1" x14ac:dyDescent="0.25">
      <c r="A947" s="785"/>
      <c r="B947" s="332"/>
      <c r="C947" s="455"/>
      <c r="D947" s="2802"/>
      <c r="E947" s="2806"/>
      <c r="F947" s="2797" t="str">
        <f t="shared" si="91"/>
        <v>Ductless ASHP Replace Electric Resistance ER1 MF_CompE</v>
      </c>
      <c r="G947" s="2797"/>
      <c r="H947" s="2797"/>
      <c r="I947" s="1668"/>
      <c r="J947" s="1660">
        <f t="shared" si="93"/>
        <v>11.4</v>
      </c>
      <c r="K947" s="1011"/>
      <c r="L947" s="1013"/>
      <c r="M947" s="2068"/>
      <c r="N947" s="2048"/>
      <c r="O947" s="332"/>
      <c r="P947" s="332"/>
      <c r="Q947" s="332"/>
      <c r="R947" s="332"/>
      <c r="S947" s="332"/>
      <c r="T947" s="177"/>
      <c r="U947" s="177"/>
      <c r="V947" s="2812"/>
      <c r="W947" s="909"/>
      <c r="X947" s="908"/>
      <c r="Y947" s="908">
        <v>11.4</v>
      </c>
      <c r="Z947" s="909"/>
      <c r="AA947" s="909"/>
      <c r="AB947" s="909"/>
      <c r="AC947" s="909"/>
      <c r="AD947" s="909"/>
      <c r="AE947" s="909"/>
      <c r="AF947" s="909"/>
      <c r="AG947" s="927"/>
      <c r="BB947" s="784"/>
      <c r="BC947" s="785"/>
      <c r="BD947" s="900"/>
    </row>
    <row r="948" spans="1:56" s="65" customFormat="1" hidden="1" outlineLevel="1" x14ac:dyDescent="0.25">
      <c r="A948" s="785"/>
      <c r="B948" s="332"/>
      <c r="C948" s="455"/>
      <c r="D948" s="2802"/>
      <c r="E948" s="2806"/>
      <c r="F948" s="2797" t="str">
        <f t="shared" si="91"/>
        <v>Ductless ASHP Replace Electric Resistance ROF MF_CompE</v>
      </c>
      <c r="G948" s="2797"/>
      <c r="H948" s="2797"/>
      <c r="I948" s="1668"/>
      <c r="J948" s="1660">
        <f t="shared" si="93"/>
        <v>11.4</v>
      </c>
      <c r="K948" s="1011"/>
      <c r="L948" s="1013"/>
      <c r="M948" s="2068"/>
      <c r="N948" s="2048"/>
      <c r="O948" s="332"/>
      <c r="P948" s="332"/>
      <c r="Q948" s="332"/>
      <c r="R948" s="332"/>
      <c r="S948" s="332"/>
      <c r="T948" s="177"/>
      <c r="U948" s="177"/>
      <c r="V948" s="2812"/>
      <c r="W948" s="909"/>
      <c r="X948" s="908"/>
      <c r="Y948" s="908">
        <v>11.4</v>
      </c>
      <c r="Z948" s="909"/>
      <c r="AA948" s="909"/>
      <c r="AB948" s="909"/>
      <c r="AC948" s="909"/>
      <c r="AD948" s="909"/>
      <c r="AE948" s="909"/>
      <c r="AF948" s="909"/>
      <c r="AG948" s="927"/>
      <c r="BB948" s="784"/>
      <c r="BC948" s="785"/>
      <c r="BD948" s="900"/>
    </row>
    <row r="949" spans="1:56" s="65" customFormat="1" ht="15.75" hidden="1" outlineLevel="1" thickBot="1" x14ac:dyDescent="0.3">
      <c r="A949" s="785"/>
      <c r="B949" s="332"/>
      <c r="C949" s="455"/>
      <c r="D949" s="2823"/>
      <c r="E949" s="2824"/>
      <c r="F949" s="2797" t="str">
        <f t="shared" si="91"/>
        <v>Ductless ASHP ER1 MF_CompE</v>
      </c>
      <c r="G949" s="2797"/>
      <c r="H949" s="2797"/>
      <c r="I949" s="1039"/>
      <c r="J949" s="1660">
        <f t="shared" si="93"/>
        <v>12.6</v>
      </c>
      <c r="K949" s="1011"/>
      <c r="L949" s="2066"/>
      <c r="M949" s="2068"/>
      <c r="N949" s="2048"/>
      <c r="O949" s="332"/>
      <c r="P949" s="332"/>
      <c r="Q949" s="332"/>
      <c r="R949" s="332"/>
      <c r="S949" s="332"/>
      <c r="T949" s="177"/>
      <c r="U949" s="177"/>
      <c r="V949" s="2828"/>
      <c r="W949" s="945"/>
      <c r="X949" s="1021"/>
      <c r="Y949" s="1021">
        <v>12.6</v>
      </c>
      <c r="Z949" s="945"/>
      <c r="AA949" s="945"/>
      <c r="AB949" s="945"/>
      <c r="AC949" s="945"/>
      <c r="AD949" s="945"/>
      <c r="AE949" s="945"/>
      <c r="AF949" s="945"/>
      <c r="AG949" s="1015"/>
      <c r="BB949" s="784"/>
      <c r="BC949" s="785"/>
      <c r="BD949" s="900"/>
    </row>
    <row r="950" spans="1:56" s="65" customFormat="1" hidden="1" outlineLevel="1" x14ac:dyDescent="0.25">
      <c r="A950" s="785"/>
      <c r="B950" s="332"/>
      <c r="C950" s="455"/>
      <c r="D950" s="2801" t="s">
        <v>1354</v>
      </c>
      <c r="E950" s="2805" t="s">
        <v>1355</v>
      </c>
      <c r="F950" s="2820" t="str">
        <f t="shared" si="91"/>
        <v>Ductless AC - ER1 SF</v>
      </c>
      <c r="G950" s="2821"/>
      <c r="H950" s="2822"/>
      <c r="I950" s="1669"/>
      <c r="J950" s="1664">
        <v>18000</v>
      </c>
      <c r="K950" s="1022">
        <f>J950/12000</f>
        <v>1.5</v>
      </c>
      <c r="L950" s="1009" t="s">
        <v>1356</v>
      </c>
      <c r="M950" s="2069"/>
      <c r="N950" s="2048"/>
      <c r="O950" s="332"/>
      <c r="P950" s="332"/>
      <c r="Q950" s="332"/>
      <c r="R950" s="332"/>
      <c r="S950" s="332"/>
      <c r="T950" s="177"/>
      <c r="U950" s="177"/>
      <c r="V950" s="2811" t="s">
        <v>1354</v>
      </c>
      <c r="W950" s="903">
        <v>20400</v>
      </c>
      <c r="X950" s="902">
        <f t="shared" ref="X950:X956" si="94">1.5*12000</f>
        <v>18000</v>
      </c>
      <c r="Y950" s="903">
        <v>18000</v>
      </c>
      <c r="Z950" s="903"/>
      <c r="AA950" s="903"/>
      <c r="AB950" s="903"/>
      <c r="AC950" s="903"/>
      <c r="AD950" s="903"/>
      <c r="AE950" s="903"/>
      <c r="AF950" s="903"/>
      <c r="AG950" s="1010"/>
      <c r="BB950" s="784"/>
      <c r="BC950" s="785"/>
      <c r="BD950" s="900"/>
    </row>
    <row r="951" spans="1:56" s="65" customFormat="1" hidden="1" outlineLevel="1" x14ac:dyDescent="0.25">
      <c r="A951" s="785"/>
      <c r="B951" s="332"/>
      <c r="C951" s="455"/>
      <c r="D951" s="2802"/>
      <c r="E951" s="2806"/>
      <c r="F951" s="2825" t="str">
        <f t="shared" si="91"/>
        <v>Ductless AC - ROF SF</v>
      </c>
      <c r="G951" s="2826"/>
      <c r="H951" s="2827"/>
      <c r="I951" s="1668"/>
      <c r="J951" s="1660">
        <v>18000</v>
      </c>
      <c r="K951" s="1011">
        <f t="shared" ref="K951:K970" si="95">J951/12000</f>
        <v>1.5</v>
      </c>
      <c r="L951" s="1012"/>
      <c r="M951" s="2065"/>
      <c r="N951" s="2048"/>
      <c r="O951" s="332"/>
      <c r="P951" s="332"/>
      <c r="Q951" s="332"/>
      <c r="R951" s="332"/>
      <c r="S951" s="332"/>
      <c r="T951" s="177"/>
      <c r="U951" s="177"/>
      <c r="V951" s="2812"/>
      <c r="W951" s="909">
        <v>19200</v>
      </c>
      <c r="X951" s="908">
        <f t="shared" si="94"/>
        <v>18000</v>
      </c>
      <c r="Y951" s="909">
        <v>18000</v>
      </c>
      <c r="Z951" s="909"/>
      <c r="AA951" s="909"/>
      <c r="AB951" s="909"/>
      <c r="AC951" s="909"/>
      <c r="AD951" s="909"/>
      <c r="AE951" s="909"/>
      <c r="AF951" s="909"/>
      <c r="AG951" s="927"/>
      <c r="BB951" s="784"/>
      <c r="BC951" s="785"/>
      <c r="BD951" s="900"/>
    </row>
    <row r="952" spans="1:56" s="65" customFormat="1" hidden="1" outlineLevel="1" x14ac:dyDescent="0.25">
      <c r="A952" s="785"/>
      <c r="B952" s="332"/>
      <c r="C952" s="455"/>
      <c r="D952" s="2802"/>
      <c r="E952" s="2806"/>
      <c r="F952" s="2825" t="str">
        <f t="shared" si="91"/>
        <v>Ductless ASHP - ROF SF NC</v>
      </c>
      <c r="G952" s="2826"/>
      <c r="H952" s="2827"/>
      <c r="I952" s="1668"/>
      <c r="J952" s="1660">
        <v>18000</v>
      </c>
      <c r="K952" s="1011">
        <f t="shared" si="95"/>
        <v>1.5</v>
      </c>
      <c r="L952" s="1012"/>
      <c r="M952" s="2065"/>
      <c r="N952" s="2048"/>
      <c r="O952" s="332"/>
      <c r="P952" s="332"/>
      <c r="Q952" s="332"/>
      <c r="R952" s="332"/>
      <c r="S952" s="332"/>
      <c r="T952" s="177"/>
      <c r="U952" s="177"/>
      <c r="V952" s="2812"/>
      <c r="W952" s="909">
        <v>19200</v>
      </c>
      <c r="X952" s="908">
        <f t="shared" si="94"/>
        <v>18000</v>
      </c>
      <c r="Y952" s="909">
        <v>18000</v>
      </c>
      <c r="Z952" s="909"/>
      <c r="AA952" s="909"/>
      <c r="AB952" s="909"/>
      <c r="AC952" s="909"/>
      <c r="AD952" s="909"/>
      <c r="AE952" s="909"/>
      <c r="AF952" s="909"/>
      <c r="AG952" s="927"/>
      <c r="BB952" s="784"/>
      <c r="BC952" s="785"/>
      <c r="BD952" s="900"/>
    </row>
    <row r="953" spans="1:56" s="65" customFormat="1" hidden="1" outlineLevel="1" x14ac:dyDescent="0.25">
      <c r="A953" s="785"/>
      <c r="B953" s="332"/>
      <c r="C953" s="455"/>
      <c r="D953" s="2802"/>
      <c r="E953" s="2806"/>
      <c r="F953" s="2825" t="str">
        <f t="shared" si="91"/>
        <v>Ductless ASHP - ROF SF</v>
      </c>
      <c r="G953" s="2826"/>
      <c r="H953" s="2827"/>
      <c r="I953" s="1668"/>
      <c r="J953" s="1660">
        <v>18000</v>
      </c>
      <c r="K953" s="1011">
        <f t="shared" si="95"/>
        <v>1.5</v>
      </c>
      <c r="L953" s="1013"/>
      <c r="M953" s="2036"/>
      <c r="N953" s="2048"/>
      <c r="O953" s="332"/>
      <c r="P953" s="332"/>
      <c r="Q953" s="332"/>
      <c r="R953" s="332"/>
      <c r="S953" s="332"/>
      <c r="T953" s="177"/>
      <c r="U953" s="177"/>
      <c r="V953" s="2812"/>
      <c r="W953" s="909">
        <v>19200</v>
      </c>
      <c r="X953" s="908">
        <f t="shared" si="94"/>
        <v>18000</v>
      </c>
      <c r="Y953" s="909">
        <v>18000</v>
      </c>
      <c r="Z953" s="909"/>
      <c r="AA953" s="909"/>
      <c r="AB953" s="909"/>
      <c r="AC953" s="909"/>
      <c r="AD953" s="909"/>
      <c r="AE953" s="909"/>
      <c r="AF953" s="909"/>
      <c r="AG953" s="927"/>
      <c r="BB953" s="784"/>
      <c r="BC953" s="785"/>
      <c r="BD953" s="900"/>
    </row>
    <row r="954" spans="1:56" s="65" customFormat="1" hidden="1" outlineLevel="1" x14ac:dyDescent="0.25">
      <c r="A954" s="785"/>
      <c r="B954" s="332"/>
      <c r="C954" s="455"/>
      <c r="D954" s="2802"/>
      <c r="E954" s="2806"/>
      <c r="F954" s="2825" t="str">
        <f t="shared" si="91"/>
        <v>Ductless ASHP Replace Electric Resistance ER1 SF</v>
      </c>
      <c r="G954" s="2826"/>
      <c r="H954" s="2827"/>
      <c r="I954" s="1668"/>
      <c r="J954" s="1660">
        <v>18000</v>
      </c>
      <c r="K954" s="1011">
        <f t="shared" si="95"/>
        <v>1.5</v>
      </c>
      <c r="L954" s="1013"/>
      <c r="M954" s="2036"/>
      <c r="N954" s="2048"/>
      <c r="O954" s="332"/>
      <c r="P954" s="332"/>
      <c r="Q954" s="332"/>
      <c r="R954" s="332"/>
      <c r="S954" s="332"/>
      <c r="T954" s="177"/>
      <c r="U954" s="177"/>
      <c r="V954" s="2812"/>
      <c r="W954" s="909">
        <v>16800</v>
      </c>
      <c r="X954" s="908">
        <f t="shared" si="94"/>
        <v>18000</v>
      </c>
      <c r="Y954" s="909">
        <v>18000</v>
      </c>
      <c r="Z954" s="909"/>
      <c r="AA954" s="909"/>
      <c r="AB954" s="909"/>
      <c r="AC954" s="909"/>
      <c r="AD954" s="909"/>
      <c r="AE954" s="909"/>
      <c r="AF954" s="909"/>
      <c r="AG954" s="927"/>
      <c r="BB954" s="784"/>
      <c r="BC954" s="785"/>
      <c r="BD954" s="900"/>
    </row>
    <row r="955" spans="1:56" s="65" customFormat="1" hidden="1" outlineLevel="1" x14ac:dyDescent="0.25">
      <c r="A955" s="785"/>
      <c r="B955" s="332"/>
      <c r="C955" s="455"/>
      <c r="D955" s="2802"/>
      <c r="E955" s="2806"/>
      <c r="F955" s="2825" t="str">
        <f t="shared" si="91"/>
        <v>Ductless ASHP Replace Electric Resistance ROF SF</v>
      </c>
      <c r="G955" s="2826"/>
      <c r="H955" s="2827"/>
      <c r="I955" s="1668"/>
      <c r="J955" s="1660">
        <v>19200</v>
      </c>
      <c r="K955" s="1011">
        <f t="shared" si="95"/>
        <v>1.6</v>
      </c>
      <c r="L955" s="1013" t="s">
        <v>1280</v>
      </c>
      <c r="M955" s="2036"/>
      <c r="N955" s="2048"/>
      <c r="O955" s="332"/>
      <c r="P955" s="332"/>
      <c r="Q955" s="332"/>
      <c r="R955" s="332"/>
      <c r="S955" s="332"/>
      <c r="T955" s="177"/>
      <c r="U955" s="177"/>
      <c r="V955" s="2812"/>
      <c r="W955" s="909">
        <v>16800</v>
      </c>
      <c r="X955" s="908">
        <f t="shared" si="94"/>
        <v>18000</v>
      </c>
      <c r="Y955" s="908">
        <v>19200</v>
      </c>
      <c r="Z955" s="909"/>
      <c r="AA955" s="909"/>
      <c r="AB955" s="909"/>
      <c r="AC955" s="909"/>
      <c r="AD955" s="909"/>
      <c r="AE955" s="909"/>
      <c r="AF955" s="909"/>
      <c r="AG955" s="927"/>
      <c r="BB955" s="784"/>
      <c r="BC955" s="785"/>
      <c r="BD955" s="900"/>
    </row>
    <row r="956" spans="1:56" s="65" customFormat="1" hidden="1" outlineLevel="1" x14ac:dyDescent="0.25">
      <c r="A956" s="785"/>
      <c r="B956" s="332"/>
      <c r="C956" s="455"/>
      <c r="D956" s="2802"/>
      <c r="E956" s="2806"/>
      <c r="F956" s="2825" t="str">
        <f t="shared" si="91"/>
        <v>Ductless ASHP ER1 SF</v>
      </c>
      <c r="G956" s="2826"/>
      <c r="H956" s="2827"/>
      <c r="I956" s="1668"/>
      <c r="J956" s="1660">
        <v>18000</v>
      </c>
      <c r="K956" s="1011">
        <f t="shared" si="95"/>
        <v>1.5</v>
      </c>
      <c r="L956" s="1013"/>
      <c r="M956" s="2036"/>
      <c r="N956" s="2048"/>
      <c r="O956" s="332"/>
      <c r="P956" s="332"/>
      <c r="Q956" s="332"/>
      <c r="R956" s="332"/>
      <c r="S956" s="332"/>
      <c r="T956" s="177"/>
      <c r="U956" s="177"/>
      <c r="V956" s="2812"/>
      <c r="W956" s="909">
        <v>20400</v>
      </c>
      <c r="X956" s="908">
        <f t="shared" si="94"/>
        <v>18000</v>
      </c>
      <c r="Y956" s="909">
        <v>18000</v>
      </c>
      <c r="Z956" s="909"/>
      <c r="AA956" s="909"/>
      <c r="AB956" s="909"/>
      <c r="AC956" s="909"/>
      <c r="AD956" s="909"/>
      <c r="AE956" s="909"/>
      <c r="AF956" s="909"/>
      <c r="AG956" s="927"/>
      <c r="BB956" s="784"/>
      <c r="BC956" s="785"/>
      <c r="BD956" s="900"/>
    </row>
    <row r="957" spans="1:56" s="65" customFormat="1" hidden="1" outlineLevel="1" x14ac:dyDescent="0.25">
      <c r="A957" s="785"/>
      <c r="B957" s="332"/>
      <c r="C957" s="455"/>
      <c r="D957" s="2802"/>
      <c r="E957" s="2806"/>
      <c r="F957" s="2797" t="str">
        <f t="shared" si="91"/>
        <v>Ductless AC - ER1 MF</v>
      </c>
      <c r="G957" s="2797"/>
      <c r="H957" s="2797"/>
      <c r="I957" s="1668"/>
      <c r="J957" s="1660">
        <f>J950</f>
        <v>18000</v>
      </c>
      <c r="K957" s="1011">
        <f t="shared" si="95"/>
        <v>1.5</v>
      </c>
      <c r="L957" s="1013"/>
      <c r="M957" s="2065"/>
      <c r="N957" s="2048"/>
      <c r="O957" s="332"/>
      <c r="P957" s="332"/>
      <c r="Q957" s="332"/>
      <c r="R957" s="332"/>
      <c r="S957" s="332"/>
      <c r="T957" s="177"/>
      <c r="U957" s="177"/>
      <c r="V957" s="2812"/>
      <c r="W957" s="909"/>
      <c r="X957" s="908"/>
      <c r="Y957" s="908">
        <v>18000</v>
      </c>
      <c r="Z957" s="909"/>
      <c r="AA957" s="909"/>
      <c r="AB957" s="909"/>
      <c r="AC957" s="909"/>
      <c r="AD957" s="909"/>
      <c r="AE957" s="909"/>
      <c r="AF957" s="909"/>
      <c r="AG957" s="927"/>
      <c r="BB957" s="784"/>
      <c r="BC957" s="785"/>
      <c r="BD957" s="900"/>
    </row>
    <row r="958" spans="1:56" s="65" customFormat="1" hidden="1" outlineLevel="1" x14ac:dyDescent="0.25">
      <c r="A958" s="785"/>
      <c r="B958" s="332"/>
      <c r="C958" s="455"/>
      <c r="D958" s="2802"/>
      <c r="E958" s="2806"/>
      <c r="F958" s="2797" t="str">
        <f t="shared" si="91"/>
        <v>Ductless AC - ROF MF</v>
      </c>
      <c r="G958" s="2797"/>
      <c r="H958" s="2797"/>
      <c r="I958" s="1668"/>
      <c r="J958" s="1660">
        <f t="shared" ref="J958:J963" si="96">J951</f>
        <v>18000</v>
      </c>
      <c r="K958" s="1011">
        <f t="shared" si="95"/>
        <v>1.5</v>
      </c>
      <c r="L958" s="1013"/>
      <c r="M958" s="2065"/>
      <c r="N958" s="2048"/>
      <c r="O958" s="332"/>
      <c r="P958" s="332"/>
      <c r="Q958" s="332"/>
      <c r="R958" s="332"/>
      <c r="S958" s="332"/>
      <c r="T958" s="177"/>
      <c r="U958" s="177"/>
      <c r="V958" s="2812"/>
      <c r="W958" s="909"/>
      <c r="X958" s="908"/>
      <c r="Y958" s="908">
        <v>18000</v>
      </c>
      <c r="Z958" s="909"/>
      <c r="AA958" s="909"/>
      <c r="AB958" s="909"/>
      <c r="AC958" s="909"/>
      <c r="AD958" s="909"/>
      <c r="AE958" s="909"/>
      <c r="AF958" s="909"/>
      <c r="AG958" s="927"/>
      <c r="BB958" s="784"/>
      <c r="BC958" s="785"/>
      <c r="BD958" s="900"/>
    </row>
    <row r="959" spans="1:56" s="65" customFormat="1" hidden="1" outlineLevel="1" x14ac:dyDescent="0.25">
      <c r="A959" s="785"/>
      <c r="B959" s="332"/>
      <c r="C959" s="455"/>
      <c r="D959" s="2802"/>
      <c r="E959" s="2806"/>
      <c r="F959" s="2797" t="str">
        <f t="shared" si="91"/>
        <v>Ductless ASHP - ROF MF NC</v>
      </c>
      <c r="G959" s="2797"/>
      <c r="H959" s="2797"/>
      <c r="I959" s="1668"/>
      <c r="J959" s="1660">
        <f t="shared" si="96"/>
        <v>18000</v>
      </c>
      <c r="K959" s="1011">
        <f t="shared" si="95"/>
        <v>1.5</v>
      </c>
      <c r="L959" s="2070"/>
      <c r="M959" s="2065"/>
      <c r="N959" s="2048"/>
      <c r="O959" s="332"/>
      <c r="P959" s="332"/>
      <c r="Q959" s="332"/>
      <c r="R959" s="332"/>
      <c r="S959" s="332"/>
      <c r="T959" s="177"/>
      <c r="U959" s="177"/>
      <c r="V959" s="2812"/>
      <c r="W959" s="909"/>
      <c r="X959" s="908"/>
      <c r="Y959" s="908">
        <v>18000</v>
      </c>
      <c r="Z959" s="909"/>
      <c r="AA959" s="909"/>
      <c r="AB959" s="909"/>
      <c r="AC959" s="909"/>
      <c r="AD959" s="909"/>
      <c r="AE959" s="909"/>
      <c r="AF959" s="909"/>
      <c r="AG959" s="927"/>
      <c r="BB959" s="784"/>
      <c r="BC959" s="785"/>
      <c r="BD959" s="900"/>
    </row>
    <row r="960" spans="1:56" s="65" customFormat="1" hidden="1" outlineLevel="1" x14ac:dyDescent="0.25">
      <c r="A960" s="785"/>
      <c r="B960" s="332"/>
      <c r="C960" s="455"/>
      <c r="D960" s="2802"/>
      <c r="E960" s="2806"/>
      <c r="F960" s="2797" t="str">
        <f t="shared" si="91"/>
        <v>Ductless ASHP - ROF MF</v>
      </c>
      <c r="G960" s="2797"/>
      <c r="H960" s="2797"/>
      <c r="I960" s="1668"/>
      <c r="J960" s="1660">
        <f t="shared" si="96"/>
        <v>18000</v>
      </c>
      <c r="K960" s="1011">
        <f t="shared" si="95"/>
        <v>1.5</v>
      </c>
      <c r="L960" s="1012"/>
      <c r="M960" s="2065"/>
      <c r="N960" s="2048"/>
      <c r="O960" s="332"/>
      <c r="P960" s="332"/>
      <c r="Q960" s="332"/>
      <c r="R960" s="332"/>
      <c r="S960" s="332"/>
      <c r="T960" s="177"/>
      <c r="U960" s="177"/>
      <c r="V960" s="2812"/>
      <c r="W960" s="909"/>
      <c r="X960" s="908"/>
      <c r="Y960" s="908">
        <v>18000</v>
      </c>
      <c r="Z960" s="909"/>
      <c r="AA960" s="909"/>
      <c r="AB960" s="909"/>
      <c r="AC960" s="909"/>
      <c r="AD960" s="909"/>
      <c r="AE960" s="909"/>
      <c r="AF960" s="909"/>
      <c r="AG960" s="927"/>
      <c r="BB960" s="784"/>
      <c r="BC960" s="785"/>
      <c r="BD960" s="900"/>
    </row>
    <row r="961" spans="1:56" s="65" customFormat="1" hidden="1" outlineLevel="1" x14ac:dyDescent="0.25">
      <c r="A961" s="785"/>
      <c r="B961" s="332"/>
      <c r="C961" s="455"/>
      <c r="D961" s="2802"/>
      <c r="E961" s="2806"/>
      <c r="F961" s="2797" t="str">
        <f t="shared" si="91"/>
        <v>Ductless ASHP Replace Electric Resistance ER1 MF</v>
      </c>
      <c r="G961" s="2797"/>
      <c r="H961" s="2797"/>
      <c r="I961" s="1668"/>
      <c r="J961" s="1660">
        <f t="shared" si="96"/>
        <v>18000</v>
      </c>
      <c r="K961" s="1011">
        <f t="shared" si="95"/>
        <v>1.5</v>
      </c>
      <c r="L961" s="1012"/>
      <c r="M961" s="2065"/>
      <c r="N961" s="2048"/>
      <c r="O961" s="332"/>
      <c r="P961" s="332"/>
      <c r="Q961" s="332"/>
      <c r="R961" s="332"/>
      <c r="S961" s="332"/>
      <c r="T961" s="177"/>
      <c r="U961" s="177"/>
      <c r="V961" s="2812"/>
      <c r="W961" s="909"/>
      <c r="X961" s="908"/>
      <c r="Y961" s="908">
        <v>18000</v>
      </c>
      <c r="Z961" s="909"/>
      <c r="AA961" s="909"/>
      <c r="AB961" s="909"/>
      <c r="AC961" s="909"/>
      <c r="AD961" s="909"/>
      <c r="AE961" s="909"/>
      <c r="AF961" s="909"/>
      <c r="AG961" s="927"/>
      <c r="BB961" s="784"/>
      <c r="BC961" s="785"/>
      <c r="BD961" s="900"/>
    </row>
    <row r="962" spans="1:56" s="65" customFormat="1" hidden="1" outlineLevel="1" x14ac:dyDescent="0.25">
      <c r="A962" s="785"/>
      <c r="B962" s="332"/>
      <c r="C962" s="455"/>
      <c r="D962" s="2802"/>
      <c r="E962" s="2806"/>
      <c r="F962" s="2797" t="str">
        <f t="shared" si="91"/>
        <v>Ductless ASHP Replace Electric Resistance ROF MF</v>
      </c>
      <c r="G962" s="2797"/>
      <c r="H962" s="2797"/>
      <c r="I962" s="1668"/>
      <c r="J962" s="1660">
        <f t="shared" si="96"/>
        <v>19200</v>
      </c>
      <c r="K962" s="1011">
        <f t="shared" si="95"/>
        <v>1.6</v>
      </c>
      <c r="L962" s="1012"/>
      <c r="M962" s="2065"/>
      <c r="N962" s="2048"/>
      <c r="O962" s="332"/>
      <c r="P962" s="332"/>
      <c r="Q962" s="332"/>
      <c r="R962" s="332"/>
      <c r="S962" s="332"/>
      <c r="T962" s="177"/>
      <c r="U962" s="177"/>
      <c r="V962" s="2812"/>
      <c r="W962" s="909"/>
      <c r="X962" s="908"/>
      <c r="Y962" s="908">
        <v>19200</v>
      </c>
      <c r="Z962" s="909"/>
      <c r="AA962" s="909"/>
      <c r="AB962" s="909"/>
      <c r="AC962" s="909"/>
      <c r="AD962" s="909"/>
      <c r="AE962" s="909"/>
      <c r="AF962" s="909"/>
      <c r="AG962" s="927"/>
      <c r="BB962" s="784"/>
      <c r="BC962" s="785"/>
      <c r="BD962" s="900"/>
    </row>
    <row r="963" spans="1:56" s="65" customFormat="1" hidden="1" outlineLevel="1" x14ac:dyDescent="0.25">
      <c r="A963" s="785"/>
      <c r="B963" s="332"/>
      <c r="C963" s="455"/>
      <c r="D963" s="2802"/>
      <c r="E963" s="2806"/>
      <c r="F963" s="2797" t="str">
        <f t="shared" si="91"/>
        <v>Ductless ASHP ER1 MF</v>
      </c>
      <c r="G963" s="2797"/>
      <c r="H963" s="2797"/>
      <c r="I963" s="1668"/>
      <c r="J963" s="1660">
        <f t="shared" si="96"/>
        <v>18000</v>
      </c>
      <c r="K963" s="1011">
        <f t="shared" si="95"/>
        <v>1.5</v>
      </c>
      <c r="L963" s="1012"/>
      <c r="M963" s="2065"/>
      <c r="N963" s="2048"/>
      <c r="O963" s="332"/>
      <c r="P963" s="332"/>
      <c r="Q963" s="332"/>
      <c r="R963" s="332"/>
      <c r="S963" s="332"/>
      <c r="T963" s="177"/>
      <c r="U963" s="177"/>
      <c r="V963" s="2812"/>
      <c r="W963" s="909"/>
      <c r="X963" s="908"/>
      <c r="Y963" s="908">
        <v>18000</v>
      </c>
      <c r="Z963" s="909"/>
      <c r="AA963" s="909"/>
      <c r="AB963" s="909"/>
      <c r="AC963" s="909"/>
      <c r="AD963" s="909"/>
      <c r="AE963" s="909"/>
      <c r="AF963" s="909"/>
      <c r="AG963" s="927"/>
      <c r="BB963" s="784"/>
      <c r="BC963" s="785"/>
      <c r="BD963" s="900"/>
    </row>
    <row r="964" spans="1:56" s="65" customFormat="1" hidden="1" outlineLevel="1" x14ac:dyDescent="0.25">
      <c r="A964" s="785"/>
      <c r="B964" s="332"/>
      <c r="C964" s="455"/>
      <c r="D964" s="2802"/>
      <c r="E964" s="2806"/>
      <c r="F964" s="2797" t="str">
        <f t="shared" si="91"/>
        <v>Ductless AC - ER1 MF_CompE</v>
      </c>
      <c r="G964" s="2797"/>
      <c r="H964" s="2797"/>
      <c r="I964" s="1668"/>
      <c r="J964" s="1660">
        <f>J950</f>
        <v>18000</v>
      </c>
      <c r="K964" s="1011">
        <f t="shared" si="95"/>
        <v>1.5</v>
      </c>
      <c r="L964" s="1012"/>
      <c r="M964" s="2036"/>
      <c r="N964" s="2048"/>
      <c r="O964" s="332"/>
      <c r="P964" s="332"/>
      <c r="Q964" s="332"/>
      <c r="R964" s="332"/>
      <c r="S964" s="332"/>
      <c r="T964" s="177"/>
      <c r="U964" s="177"/>
      <c r="V964" s="2812"/>
      <c r="W964" s="909"/>
      <c r="X964" s="908"/>
      <c r="Y964" s="908">
        <v>18000</v>
      </c>
      <c r="Z964" s="909"/>
      <c r="AA964" s="909"/>
      <c r="AB964" s="909"/>
      <c r="AC964" s="909"/>
      <c r="AD964" s="909"/>
      <c r="AE964" s="909"/>
      <c r="AF964" s="909"/>
      <c r="AG964" s="927"/>
      <c r="BB964" s="784"/>
      <c r="BC964" s="785"/>
      <c r="BD964" s="900"/>
    </row>
    <row r="965" spans="1:56" s="65" customFormat="1" hidden="1" outlineLevel="1" x14ac:dyDescent="0.25">
      <c r="A965" s="785"/>
      <c r="B965" s="332"/>
      <c r="C965" s="455"/>
      <c r="D965" s="2802"/>
      <c r="E965" s="2806"/>
      <c r="F965" s="2797" t="str">
        <f t="shared" si="91"/>
        <v>Ductless AC - ROF MF_CompE</v>
      </c>
      <c r="G965" s="2797"/>
      <c r="H965" s="2797"/>
      <c r="I965" s="1668"/>
      <c r="J965" s="1660">
        <f t="shared" ref="J965:J970" si="97">J951</f>
        <v>18000</v>
      </c>
      <c r="K965" s="1011">
        <f t="shared" si="95"/>
        <v>1.5</v>
      </c>
      <c r="L965" s="1012"/>
      <c r="M965" s="2036"/>
      <c r="N965" s="2048"/>
      <c r="O965" s="332"/>
      <c r="P965" s="332"/>
      <c r="Q965" s="332"/>
      <c r="R965" s="332"/>
      <c r="S965" s="332"/>
      <c r="T965" s="177"/>
      <c r="U965" s="177"/>
      <c r="V965" s="2812"/>
      <c r="W965" s="909"/>
      <c r="X965" s="908"/>
      <c r="Y965" s="908">
        <v>18000</v>
      </c>
      <c r="Z965" s="909"/>
      <c r="AA965" s="909"/>
      <c r="AB965" s="909"/>
      <c r="AC965" s="909"/>
      <c r="AD965" s="909"/>
      <c r="AE965" s="909"/>
      <c r="AF965" s="909"/>
      <c r="AG965" s="927"/>
      <c r="BB965" s="784"/>
      <c r="BC965" s="785"/>
      <c r="BD965" s="900"/>
    </row>
    <row r="966" spans="1:56" s="65" customFormat="1" hidden="1" outlineLevel="1" x14ac:dyDescent="0.25">
      <c r="A966" s="785"/>
      <c r="B966" s="332"/>
      <c r="C966" s="455"/>
      <c r="D966" s="2802"/>
      <c r="E966" s="2806"/>
      <c r="F966" s="2797" t="str">
        <f t="shared" si="91"/>
        <v>Ductless ASHP - ROF MF NC_CompE</v>
      </c>
      <c r="G966" s="2797"/>
      <c r="H966" s="2797"/>
      <c r="I966" s="1668"/>
      <c r="J966" s="1660">
        <f t="shared" si="97"/>
        <v>18000</v>
      </c>
      <c r="K966" s="1011">
        <f t="shared" si="95"/>
        <v>1.5</v>
      </c>
      <c r="L966" s="1012"/>
      <c r="M966" s="2036"/>
      <c r="N966" s="2048"/>
      <c r="O966" s="332"/>
      <c r="P966" s="332"/>
      <c r="Q966" s="332"/>
      <c r="R966" s="332"/>
      <c r="S966" s="332"/>
      <c r="T966" s="177"/>
      <c r="U966" s="177"/>
      <c r="V966" s="2812"/>
      <c r="W966" s="909"/>
      <c r="X966" s="908"/>
      <c r="Y966" s="908">
        <v>18000</v>
      </c>
      <c r="Z966" s="909"/>
      <c r="AA966" s="909"/>
      <c r="AB966" s="909"/>
      <c r="AC966" s="909"/>
      <c r="AD966" s="909"/>
      <c r="AE966" s="909"/>
      <c r="AF966" s="909"/>
      <c r="AG966" s="927"/>
      <c r="BB966" s="784"/>
      <c r="BC966" s="785"/>
      <c r="BD966" s="900"/>
    </row>
    <row r="967" spans="1:56" s="65" customFormat="1" hidden="1" outlineLevel="1" x14ac:dyDescent="0.25">
      <c r="A967" s="785"/>
      <c r="B967" s="332"/>
      <c r="C967" s="455"/>
      <c r="D967" s="2802"/>
      <c r="E967" s="2806"/>
      <c r="F967" s="2797" t="str">
        <f t="shared" si="91"/>
        <v>Ductless ASHP - ROF MF_CompE</v>
      </c>
      <c r="G967" s="2797"/>
      <c r="H967" s="2797"/>
      <c r="I967" s="1668"/>
      <c r="J967" s="1660">
        <f t="shared" si="97"/>
        <v>18000</v>
      </c>
      <c r="K967" s="1011">
        <f t="shared" si="95"/>
        <v>1.5</v>
      </c>
      <c r="L967" s="1013"/>
      <c r="M967" s="2036"/>
      <c r="N967" s="2048"/>
      <c r="O967" s="332"/>
      <c r="P967" s="332"/>
      <c r="Q967" s="332"/>
      <c r="R967" s="332"/>
      <c r="S967" s="332"/>
      <c r="T967" s="177"/>
      <c r="U967" s="177"/>
      <c r="V967" s="2812"/>
      <c r="W967" s="909"/>
      <c r="X967" s="908"/>
      <c r="Y967" s="908">
        <v>18000</v>
      </c>
      <c r="Z967" s="909"/>
      <c r="AA967" s="909"/>
      <c r="AB967" s="909"/>
      <c r="AC967" s="909"/>
      <c r="AD967" s="909"/>
      <c r="AE967" s="909"/>
      <c r="AF967" s="909"/>
      <c r="AG967" s="927"/>
      <c r="BB967" s="784"/>
      <c r="BC967" s="785"/>
      <c r="BD967" s="900"/>
    </row>
    <row r="968" spans="1:56" s="65" customFormat="1" hidden="1" outlineLevel="1" x14ac:dyDescent="0.25">
      <c r="A968" s="785"/>
      <c r="B968" s="332"/>
      <c r="C968" s="455"/>
      <c r="D968" s="2802"/>
      <c r="E968" s="2806"/>
      <c r="F968" s="2797" t="str">
        <f t="shared" si="91"/>
        <v>Ductless ASHP Replace Electric Resistance ER1 MF_CompE</v>
      </c>
      <c r="G968" s="2797"/>
      <c r="H968" s="2797"/>
      <c r="I968" s="1668"/>
      <c r="J968" s="1660">
        <f t="shared" si="97"/>
        <v>18000</v>
      </c>
      <c r="K968" s="1011">
        <f t="shared" si="95"/>
        <v>1.5</v>
      </c>
      <c r="L968" s="1013"/>
      <c r="M968" s="2036"/>
      <c r="N968" s="2048"/>
      <c r="O968" s="332"/>
      <c r="P968" s="332"/>
      <c r="Q968" s="332"/>
      <c r="R968" s="332"/>
      <c r="S968" s="332"/>
      <c r="T968" s="177"/>
      <c r="U968" s="177"/>
      <c r="V968" s="2812"/>
      <c r="W968" s="909"/>
      <c r="X968" s="908"/>
      <c r="Y968" s="908">
        <v>18000</v>
      </c>
      <c r="Z968" s="909"/>
      <c r="AA968" s="909"/>
      <c r="AB968" s="909"/>
      <c r="AC968" s="909"/>
      <c r="AD968" s="909"/>
      <c r="AE968" s="909"/>
      <c r="AF968" s="909"/>
      <c r="AG968" s="927"/>
      <c r="BB968" s="784"/>
      <c r="BC968" s="785"/>
      <c r="BD968" s="900"/>
    </row>
    <row r="969" spans="1:56" s="65" customFormat="1" hidden="1" outlineLevel="1" x14ac:dyDescent="0.25">
      <c r="A969" s="785"/>
      <c r="B969" s="332"/>
      <c r="C969" s="455"/>
      <c r="D969" s="2802"/>
      <c r="E969" s="2806"/>
      <c r="F969" s="2797" t="str">
        <f t="shared" si="91"/>
        <v>Ductless ASHP Replace Electric Resistance ROF MF_CompE</v>
      </c>
      <c r="G969" s="2797"/>
      <c r="H969" s="2797"/>
      <c r="I969" s="1668"/>
      <c r="J969" s="1660">
        <f t="shared" si="97"/>
        <v>19200</v>
      </c>
      <c r="K969" s="1011">
        <f t="shared" si="95"/>
        <v>1.6</v>
      </c>
      <c r="L969" s="1013"/>
      <c r="M969" s="2036"/>
      <c r="N969" s="2048"/>
      <c r="O969" s="332"/>
      <c r="P969" s="332"/>
      <c r="Q969" s="332"/>
      <c r="R969" s="332"/>
      <c r="S969" s="332"/>
      <c r="T969" s="177"/>
      <c r="U969" s="177"/>
      <c r="V969" s="2812"/>
      <c r="W969" s="909"/>
      <c r="X969" s="908"/>
      <c r="Y969" s="908">
        <v>19200</v>
      </c>
      <c r="Z969" s="909"/>
      <c r="AA969" s="909"/>
      <c r="AB969" s="909"/>
      <c r="AC969" s="909"/>
      <c r="AD969" s="909"/>
      <c r="AE969" s="909"/>
      <c r="AF969" s="909"/>
      <c r="AG969" s="927"/>
      <c r="BB969" s="784"/>
      <c r="BC969" s="785"/>
      <c r="BD969" s="900"/>
    </row>
    <row r="970" spans="1:56" s="65" customFormat="1" ht="15.75" hidden="1" outlineLevel="1" thickBot="1" x14ac:dyDescent="0.3">
      <c r="A970" s="785"/>
      <c r="B970" s="332"/>
      <c r="C970" s="455"/>
      <c r="D970" s="2823"/>
      <c r="E970" s="2824"/>
      <c r="F970" s="2797" t="str">
        <f t="shared" si="91"/>
        <v>Ductless ASHP ER1 MF_CompE</v>
      </c>
      <c r="G970" s="2797"/>
      <c r="H970" s="2797"/>
      <c r="I970" s="1039"/>
      <c r="J970" s="1660">
        <f t="shared" si="97"/>
        <v>18000</v>
      </c>
      <c r="K970" s="1011">
        <f t="shared" si="95"/>
        <v>1.5</v>
      </c>
      <c r="L970" s="2066"/>
      <c r="M970" s="2036"/>
      <c r="N970" s="2048"/>
      <c r="O970" s="332"/>
      <c r="P970" s="332"/>
      <c r="Q970" s="332"/>
      <c r="R970" s="332"/>
      <c r="S970" s="332"/>
      <c r="T970" s="177"/>
      <c r="U970" s="177"/>
      <c r="V970" s="2828"/>
      <c r="W970" s="945"/>
      <c r="X970" s="1021"/>
      <c r="Y970" s="1021">
        <v>18000</v>
      </c>
      <c r="Z970" s="945"/>
      <c r="AA970" s="945"/>
      <c r="AB970" s="945"/>
      <c r="AC970" s="945"/>
      <c r="AD970" s="945"/>
      <c r="AE970" s="945"/>
      <c r="AF970" s="945"/>
      <c r="AG970" s="1015"/>
      <c r="BB970" s="784"/>
      <c r="BC970" s="785"/>
      <c r="BD970" s="900"/>
    </row>
    <row r="971" spans="1:56" s="65" customFormat="1" hidden="1" outlineLevel="1" x14ac:dyDescent="0.25">
      <c r="A971" s="785"/>
      <c r="B971" s="332"/>
      <c r="C971" s="455"/>
      <c r="D971" s="2801" t="s">
        <v>533</v>
      </c>
      <c r="E971" s="2805" t="s">
        <v>1357</v>
      </c>
      <c r="F971" s="2820" t="str">
        <f t="shared" si="91"/>
        <v>Ductless AC - ER1 SF</v>
      </c>
      <c r="G971" s="2821"/>
      <c r="H971" s="2822"/>
      <c r="I971" s="1669"/>
      <c r="J971" s="1016">
        <v>635</v>
      </c>
      <c r="K971" s="1008"/>
      <c r="L971" s="2815" t="s">
        <v>953</v>
      </c>
      <c r="M971" s="2065"/>
      <c r="N971" s="2048"/>
      <c r="O971" s="332"/>
      <c r="P971" s="332"/>
      <c r="Q971" s="332"/>
      <c r="R971" s="332"/>
      <c r="S971" s="332"/>
      <c r="T971" s="177"/>
      <c r="U971" s="177"/>
      <c r="V971" s="2811" t="s">
        <v>533</v>
      </c>
      <c r="W971" s="903">
        <v>869</v>
      </c>
      <c r="X971" s="903">
        <v>869</v>
      </c>
      <c r="Y971" s="902">
        <v>635</v>
      </c>
      <c r="Z971" s="903"/>
      <c r="AA971" s="903"/>
      <c r="AB971" s="903"/>
      <c r="AC971" s="903"/>
      <c r="AD971" s="903"/>
      <c r="AE971" s="903"/>
      <c r="AF971" s="903"/>
      <c r="AG971" s="1010"/>
      <c r="BB971" s="784"/>
      <c r="BC971" s="785"/>
      <c r="BD971" s="900"/>
    </row>
    <row r="972" spans="1:56" s="65" customFormat="1" hidden="1" outlineLevel="1" x14ac:dyDescent="0.25">
      <c r="A972" s="785"/>
      <c r="B972" s="332"/>
      <c r="C972" s="455"/>
      <c r="D972" s="2802"/>
      <c r="E972" s="2806"/>
      <c r="F972" s="2825" t="str">
        <f t="shared" si="91"/>
        <v>Ductless AC - ROF SF</v>
      </c>
      <c r="G972" s="2826"/>
      <c r="H972" s="2827"/>
      <c r="I972" s="1668"/>
      <c r="J972" s="1017">
        <v>635</v>
      </c>
      <c r="K972" s="1011"/>
      <c r="L972" s="2794"/>
      <c r="M972" s="2065"/>
      <c r="N972" s="2048"/>
      <c r="O972" s="332"/>
      <c r="P972" s="332"/>
      <c r="Q972" s="332"/>
      <c r="R972" s="332"/>
      <c r="S972" s="332"/>
      <c r="T972" s="177"/>
      <c r="U972" s="177"/>
      <c r="V972" s="2812"/>
      <c r="W972" s="909">
        <v>869</v>
      </c>
      <c r="X972" s="909">
        <v>869</v>
      </c>
      <c r="Y972" s="908">
        <v>635</v>
      </c>
      <c r="Z972" s="909"/>
      <c r="AA972" s="909"/>
      <c r="AB972" s="909"/>
      <c r="AC972" s="909"/>
      <c r="AD972" s="909"/>
      <c r="AE972" s="909"/>
      <c r="AF972" s="909"/>
      <c r="AG972" s="927"/>
      <c r="BB972" s="784"/>
      <c r="BC972" s="785"/>
      <c r="BD972" s="900"/>
    </row>
    <row r="973" spans="1:56" s="65" customFormat="1" hidden="1" outlineLevel="1" x14ac:dyDescent="0.25">
      <c r="A973" s="785"/>
      <c r="B973" s="332"/>
      <c r="C973" s="455"/>
      <c r="D973" s="2802"/>
      <c r="E973" s="2806"/>
      <c r="F973" s="2825" t="str">
        <f t="shared" si="91"/>
        <v>Ductless ASHP - ROF SF NC</v>
      </c>
      <c r="G973" s="2826"/>
      <c r="H973" s="2827"/>
      <c r="I973" s="1668"/>
      <c r="J973" s="1017">
        <v>635</v>
      </c>
      <c r="K973" s="1011"/>
      <c r="L973" s="2794"/>
      <c r="M973" s="2065"/>
      <c r="N973" s="2048"/>
      <c r="O973" s="332"/>
      <c r="P973" s="332"/>
      <c r="Q973" s="332"/>
      <c r="R973" s="332"/>
      <c r="S973" s="332"/>
      <c r="T973" s="177"/>
      <c r="U973" s="177"/>
      <c r="V973" s="2812"/>
      <c r="W973" s="909">
        <v>869</v>
      </c>
      <c r="X973" s="909">
        <v>869</v>
      </c>
      <c r="Y973" s="908">
        <v>635</v>
      </c>
      <c r="Z973" s="909"/>
      <c r="AA973" s="909"/>
      <c r="AB973" s="909"/>
      <c r="AC973" s="909"/>
      <c r="AD973" s="909"/>
      <c r="AE973" s="909"/>
      <c r="AF973" s="909"/>
      <c r="AG973" s="927"/>
      <c r="BB973" s="784"/>
      <c r="BC973" s="785"/>
      <c r="BD973" s="900"/>
    </row>
    <row r="974" spans="1:56" s="65" customFormat="1" hidden="1" outlineLevel="1" x14ac:dyDescent="0.25">
      <c r="A974" s="785"/>
      <c r="B974" s="332"/>
      <c r="C974" s="455"/>
      <c r="D974" s="2802"/>
      <c r="E974" s="2806"/>
      <c r="F974" s="2825" t="str">
        <f t="shared" si="91"/>
        <v>Ductless ASHP - ROF SF</v>
      </c>
      <c r="G974" s="2826"/>
      <c r="H974" s="2827"/>
      <c r="I974" s="1668"/>
      <c r="J974" s="1017">
        <v>635</v>
      </c>
      <c r="K974" s="1011"/>
      <c r="L974" s="2794"/>
      <c r="M974" s="2065"/>
      <c r="N974" s="2048"/>
      <c r="O974" s="332"/>
      <c r="P974" s="332"/>
      <c r="Q974" s="332"/>
      <c r="R974" s="332"/>
      <c r="S974" s="332"/>
      <c r="T974" s="177"/>
      <c r="U974" s="177"/>
      <c r="V974" s="2812"/>
      <c r="W974" s="909">
        <v>869</v>
      </c>
      <c r="X974" s="909">
        <v>869</v>
      </c>
      <c r="Y974" s="908">
        <v>635</v>
      </c>
      <c r="Z974" s="909"/>
      <c r="AA974" s="909"/>
      <c r="AB974" s="909"/>
      <c r="AC974" s="909"/>
      <c r="AD974" s="909"/>
      <c r="AE974" s="909"/>
      <c r="AF974" s="909"/>
      <c r="AG974" s="927"/>
      <c r="BB974" s="784"/>
      <c r="BC974" s="785"/>
      <c r="BD974" s="900"/>
    </row>
    <row r="975" spans="1:56" s="65" customFormat="1" hidden="1" outlineLevel="1" x14ac:dyDescent="0.25">
      <c r="A975" s="785"/>
      <c r="B975" s="332"/>
      <c r="C975" s="455"/>
      <c r="D975" s="2802"/>
      <c r="E975" s="2806"/>
      <c r="F975" s="2825" t="str">
        <f t="shared" si="91"/>
        <v>Ductless ASHP Replace Electric Resistance ER1 SF</v>
      </c>
      <c r="G975" s="2826"/>
      <c r="H975" s="2827"/>
      <c r="I975" s="1668"/>
      <c r="J975" s="1017">
        <v>635</v>
      </c>
      <c r="K975" s="1011"/>
      <c r="L975" s="2794"/>
      <c r="M975" s="2065"/>
      <c r="N975" s="2048"/>
      <c r="O975" s="332"/>
      <c r="P975" s="332"/>
      <c r="Q975" s="332"/>
      <c r="R975" s="332"/>
      <c r="S975" s="332"/>
      <c r="T975" s="177"/>
      <c r="U975" s="177"/>
      <c r="V975" s="2812"/>
      <c r="W975" s="909">
        <v>869</v>
      </c>
      <c r="X975" s="909">
        <v>869</v>
      </c>
      <c r="Y975" s="908">
        <v>635</v>
      </c>
      <c r="Z975" s="909"/>
      <c r="AA975" s="909"/>
      <c r="AB975" s="909"/>
      <c r="AC975" s="909"/>
      <c r="AD975" s="909"/>
      <c r="AE975" s="909"/>
      <c r="AF975" s="909"/>
      <c r="AG975" s="927"/>
      <c r="BB975" s="784"/>
      <c r="BC975" s="785"/>
      <c r="BD975" s="900"/>
    </row>
    <row r="976" spans="1:56" s="65" customFormat="1" hidden="1" outlineLevel="1" x14ac:dyDescent="0.25">
      <c r="A976" s="785"/>
      <c r="B976" s="332"/>
      <c r="C976" s="455"/>
      <c r="D976" s="2802"/>
      <c r="E976" s="2806"/>
      <c r="F976" s="2825" t="str">
        <f t="shared" si="91"/>
        <v>Ductless ASHP Replace Electric Resistance ROF SF</v>
      </c>
      <c r="G976" s="2826"/>
      <c r="H976" s="2827"/>
      <c r="I976" s="1668"/>
      <c r="J976" s="1017">
        <v>635</v>
      </c>
      <c r="K976" s="1011"/>
      <c r="L976" s="2794"/>
      <c r="M976" s="2065"/>
      <c r="N976" s="2048"/>
      <c r="O976" s="332"/>
      <c r="P976" s="332"/>
      <c r="Q976" s="332"/>
      <c r="R976" s="332"/>
      <c r="S976" s="332"/>
      <c r="T976" s="177"/>
      <c r="U976" s="177"/>
      <c r="V976" s="2812"/>
      <c r="W976" s="909">
        <v>869</v>
      </c>
      <c r="X976" s="909">
        <v>869</v>
      </c>
      <c r="Y976" s="908">
        <v>635</v>
      </c>
      <c r="Z976" s="909"/>
      <c r="AA976" s="909"/>
      <c r="AB976" s="909"/>
      <c r="AC976" s="909"/>
      <c r="AD976" s="909"/>
      <c r="AE976" s="909"/>
      <c r="AF976" s="909"/>
      <c r="AG976" s="927"/>
      <c r="BB976" s="784"/>
      <c r="BC976" s="785"/>
      <c r="BD976" s="900"/>
    </row>
    <row r="977" spans="1:56" s="65" customFormat="1" hidden="1" outlineLevel="1" x14ac:dyDescent="0.25">
      <c r="A977" s="785"/>
      <c r="B977" s="332"/>
      <c r="C977" s="455"/>
      <c r="D977" s="2802"/>
      <c r="E977" s="2806"/>
      <c r="F977" s="2825" t="str">
        <f t="shared" si="91"/>
        <v>Ductless ASHP ER1 SF</v>
      </c>
      <c r="G977" s="2826"/>
      <c r="H977" s="2827"/>
      <c r="I977" s="1668"/>
      <c r="J977" s="1017">
        <v>635</v>
      </c>
      <c r="K977" s="1011"/>
      <c r="L977" s="2794"/>
      <c r="M977" s="2065"/>
      <c r="N977" s="2048"/>
      <c r="O977" s="332"/>
      <c r="P977" s="332"/>
      <c r="Q977" s="332"/>
      <c r="R977" s="332"/>
      <c r="S977" s="332"/>
      <c r="T977" s="177"/>
      <c r="U977" s="177"/>
      <c r="V977" s="2812"/>
      <c r="W977" s="909">
        <v>869</v>
      </c>
      <c r="X977" s="909">
        <v>869</v>
      </c>
      <c r="Y977" s="908">
        <v>635</v>
      </c>
      <c r="Z977" s="909"/>
      <c r="AA977" s="909"/>
      <c r="AB977" s="909"/>
      <c r="AC977" s="909"/>
      <c r="AD977" s="909"/>
      <c r="AE977" s="909"/>
      <c r="AF977" s="909"/>
      <c r="AG977" s="927"/>
      <c r="BB977" s="784"/>
      <c r="BC977" s="785"/>
      <c r="BD977" s="900"/>
    </row>
    <row r="978" spans="1:56" s="65" customFormat="1" hidden="1" outlineLevel="1" x14ac:dyDescent="0.25">
      <c r="A978" s="785"/>
      <c r="B978" s="332"/>
      <c r="C978" s="455"/>
      <c r="D978" s="2802"/>
      <c r="E978" s="2806"/>
      <c r="F978" s="2797" t="str">
        <f t="shared" si="91"/>
        <v>Ductless AC - ER1 MF</v>
      </c>
      <c r="G978" s="2797"/>
      <c r="H978" s="2797"/>
      <c r="I978" s="1668"/>
      <c r="J978" s="1017">
        <v>635</v>
      </c>
      <c r="K978" s="1011"/>
      <c r="L978" s="2794"/>
      <c r="M978" s="2065"/>
      <c r="N978" s="2048"/>
      <c r="O978" s="332"/>
      <c r="P978" s="332"/>
      <c r="Q978" s="332"/>
      <c r="R978" s="332"/>
      <c r="S978" s="332"/>
      <c r="T978" s="177"/>
      <c r="U978" s="177"/>
      <c r="V978" s="2812"/>
      <c r="W978" s="909"/>
      <c r="X978" s="908"/>
      <c r="Y978" s="908">
        <v>635</v>
      </c>
      <c r="Z978" s="909"/>
      <c r="AA978" s="909"/>
      <c r="AB978" s="909"/>
      <c r="AC978" s="909"/>
      <c r="AD978" s="909"/>
      <c r="AE978" s="909"/>
      <c r="AF978" s="909"/>
      <c r="AG978" s="927"/>
      <c r="BB978" s="784"/>
      <c r="BC978" s="785"/>
      <c r="BD978" s="900"/>
    </row>
    <row r="979" spans="1:56" s="65" customFormat="1" hidden="1" outlineLevel="1" x14ac:dyDescent="0.25">
      <c r="A979" s="785"/>
      <c r="B979" s="332"/>
      <c r="C979" s="455"/>
      <c r="D979" s="2802"/>
      <c r="E979" s="2806"/>
      <c r="F979" s="2797" t="str">
        <f t="shared" si="91"/>
        <v>Ductless AC - ROF MF</v>
      </c>
      <c r="G979" s="2797"/>
      <c r="H979" s="2797"/>
      <c r="I979" s="1668"/>
      <c r="J979" s="1017">
        <v>635</v>
      </c>
      <c r="K979" s="1011"/>
      <c r="L979" s="2794"/>
      <c r="M979" s="2065"/>
      <c r="N979" s="2048"/>
      <c r="O979" s="332"/>
      <c r="P979" s="332"/>
      <c r="Q979" s="332"/>
      <c r="R979" s="332"/>
      <c r="S979" s="332"/>
      <c r="T979" s="177"/>
      <c r="U979" s="177"/>
      <c r="V979" s="2812"/>
      <c r="W979" s="909"/>
      <c r="X979" s="908"/>
      <c r="Y979" s="908">
        <v>635</v>
      </c>
      <c r="Z979" s="909"/>
      <c r="AA979" s="909"/>
      <c r="AB979" s="909"/>
      <c r="AC979" s="909"/>
      <c r="AD979" s="909"/>
      <c r="AE979" s="909"/>
      <c r="AF979" s="909"/>
      <c r="AG979" s="927"/>
      <c r="BB979" s="784"/>
      <c r="BC979" s="785"/>
      <c r="BD979" s="900"/>
    </row>
    <row r="980" spans="1:56" s="65" customFormat="1" hidden="1" outlineLevel="1" x14ac:dyDescent="0.25">
      <c r="A980" s="785"/>
      <c r="B980" s="332"/>
      <c r="C980" s="455"/>
      <c r="D980" s="2802"/>
      <c r="E980" s="2806"/>
      <c r="F980" s="2797" t="str">
        <f t="shared" si="91"/>
        <v>Ductless ASHP - ROF MF NC</v>
      </c>
      <c r="G980" s="2797"/>
      <c r="H980" s="2797"/>
      <c r="I980" s="1668"/>
      <c r="J980" s="1017">
        <v>635</v>
      </c>
      <c r="K980" s="1011"/>
      <c r="L980" s="2794"/>
      <c r="M980" s="2065"/>
      <c r="N980" s="2048"/>
      <c r="O980" s="332"/>
      <c r="P980" s="332"/>
      <c r="Q980" s="332"/>
      <c r="R980" s="332"/>
      <c r="S980" s="332"/>
      <c r="T980" s="177"/>
      <c r="U980" s="177"/>
      <c r="V980" s="2812"/>
      <c r="W980" s="909"/>
      <c r="X980" s="908"/>
      <c r="Y980" s="908">
        <v>635</v>
      </c>
      <c r="Z980" s="909"/>
      <c r="AA980" s="909"/>
      <c r="AB980" s="909"/>
      <c r="AC980" s="909"/>
      <c r="AD980" s="909"/>
      <c r="AE980" s="909"/>
      <c r="AF980" s="909"/>
      <c r="AG980" s="927"/>
      <c r="BB980" s="784"/>
      <c r="BC980" s="785"/>
      <c r="BD980" s="900"/>
    </row>
    <row r="981" spans="1:56" s="65" customFormat="1" hidden="1" outlineLevel="1" x14ac:dyDescent="0.25">
      <c r="A981" s="785"/>
      <c r="B981" s="332"/>
      <c r="C981" s="455"/>
      <c r="D981" s="2802"/>
      <c r="E981" s="2806"/>
      <c r="F981" s="2797" t="str">
        <f t="shared" si="91"/>
        <v>Ductless ASHP - ROF MF</v>
      </c>
      <c r="G981" s="2797"/>
      <c r="H981" s="2797"/>
      <c r="I981" s="1668"/>
      <c r="J981" s="1017">
        <v>635</v>
      </c>
      <c r="K981" s="1011"/>
      <c r="L981" s="2794"/>
      <c r="M981" s="2065"/>
      <c r="N981" s="2048"/>
      <c r="O981" s="332"/>
      <c r="P981" s="332"/>
      <c r="Q981" s="332"/>
      <c r="R981" s="332"/>
      <c r="S981" s="332"/>
      <c r="T981" s="177"/>
      <c r="U981" s="177"/>
      <c r="V981" s="2812"/>
      <c r="W981" s="909"/>
      <c r="X981" s="908"/>
      <c r="Y981" s="908">
        <v>635</v>
      </c>
      <c r="Z981" s="909"/>
      <c r="AA981" s="909"/>
      <c r="AB981" s="909"/>
      <c r="AC981" s="909"/>
      <c r="AD981" s="909"/>
      <c r="AE981" s="909"/>
      <c r="AF981" s="909"/>
      <c r="AG981" s="927"/>
      <c r="BB981" s="784"/>
      <c r="BC981" s="785"/>
      <c r="BD981" s="900"/>
    </row>
    <row r="982" spans="1:56" s="65" customFormat="1" hidden="1" outlineLevel="1" x14ac:dyDescent="0.25">
      <c r="A982" s="785"/>
      <c r="B982" s="332"/>
      <c r="C982" s="455"/>
      <c r="D982" s="2802"/>
      <c r="E982" s="2806"/>
      <c r="F982" s="2797" t="str">
        <f t="shared" si="91"/>
        <v>Ductless ASHP Replace Electric Resistance ER1 MF</v>
      </c>
      <c r="G982" s="2797"/>
      <c r="H982" s="2797"/>
      <c r="I982" s="1668"/>
      <c r="J982" s="1017">
        <v>635</v>
      </c>
      <c r="K982" s="1011"/>
      <c r="L982" s="2794"/>
      <c r="M982" s="2065"/>
      <c r="N982" s="2048"/>
      <c r="O982" s="332"/>
      <c r="P982" s="332"/>
      <c r="Q982" s="332"/>
      <c r="R982" s="332"/>
      <c r="S982" s="332"/>
      <c r="T982" s="177"/>
      <c r="U982" s="177"/>
      <c r="V982" s="2812"/>
      <c r="W982" s="909"/>
      <c r="X982" s="908"/>
      <c r="Y982" s="908">
        <v>635</v>
      </c>
      <c r="Z982" s="909"/>
      <c r="AA982" s="909"/>
      <c r="AB982" s="909"/>
      <c r="AC982" s="909"/>
      <c r="AD982" s="909"/>
      <c r="AE982" s="909"/>
      <c r="AF982" s="909"/>
      <c r="AG982" s="927"/>
      <c r="BB982" s="784"/>
      <c r="BC982" s="785"/>
      <c r="BD982" s="900"/>
    </row>
    <row r="983" spans="1:56" s="65" customFormat="1" hidden="1" outlineLevel="1" x14ac:dyDescent="0.25">
      <c r="A983" s="785"/>
      <c r="B983" s="332"/>
      <c r="C983" s="455"/>
      <c r="D983" s="2802"/>
      <c r="E983" s="2806"/>
      <c r="F983" s="2797" t="str">
        <f t="shared" si="91"/>
        <v>Ductless ASHP Replace Electric Resistance ROF MF</v>
      </c>
      <c r="G983" s="2797"/>
      <c r="H983" s="2797"/>
      <c r="I983" s="1668"/>
      <c r="J983" s="1017">
        <v>635</v>
      </c>
      <c r="K983" s="1011"/>
      <c r="L983" s="2794"/>
      <c r="M983" s="2065"/>
      <c r="N983" s="2048"/>
      <c r="O983" s="332"/>
      <c r="P983" s="332"/>
      <c r="Q983" s="332"/>
      <c r="R983" s="332"/>
      <c r="S983" s="332"/>
      <c r="T983" s="177"/>
      <c r="U983" s="177"/>
      <c r="V983" s="2812"/>
      <c r="W983" s="909"/>
      <c r="X983" s="908"/>
      <c r="Y983" s="908">
        <v>635</v>
      </c>
      <c r="Z983" s="909"/>
      <c r="AA983" s="909"/>
      <c r="AB983" s="909"/>
      <c r="AC983" s="909"/>
      <c r="AD983" s="909"/>
      <c r="AE983" s="909"/>
      <c r="AF983" s="909"/>
      <c r="AG983" s="927"/>
      <c r="BB983" s="784"/>
      <c r="BC983" s="785"/>
      <c r="BD983" s="900"/>
    </row>
    <row r="984" spans="1:56" s="65" customFormat="1" hidden="1" outlineLevel="1" x14ac:dyDescent="0.25">
      <c r="A984" s="785"/>
      <c r="B984" s="332"/>
      <c r="C984" s="455"/>
      <c r="D984" s="2802"/>
      <c r="E984" s="2806"/>
      <c r="F984" s="2797" t="str">
        <f t="shared" si="91"/>
        <v>Ductless ASHP ER1 MF</v>
      </c>
      <c r="G984" s="2797"/>
      <c r="H984" s="2797"/>
      <c r="I984" s="1668"/>
      <c r="J984" s="1017">
        <v>635</v>
      </c>
      <c r="K984" s="1011"/>
      <c r="L984" s="2794"/>
      <c r="M984" s="2065"/>
      <c r="N984" s="2048"/>
      <c r="O984" s="332"/>
      <c r="P984" s="332"/>
      <c r="Q984" s="332"/>
      <c r="R984" s="332"/>
      <c r="S984" s="332"/>
      <c r="T984" s="177"/>
      <c r="U984" s="177"/>
      <c r="V984" s="2812"/>
      <c r="W984" s="909"/>
      <c r="X984" s="908"/>
      <c r="Y984" s="908">
        <v>635</v>
      </c>
      <c r="Z984" s="909"/>
      <c r="AA984" s="909"/>
      <c r="AB984" s="909"/>
      <c r="AC984" s="909"/>
      <c r="AD984" s="909"/>
      <c r="AE984" s="909"/>
      <c r="AF984" s="909"/>
      <c r="AG984" s="927"/>
      <c r="BB984" s="784"/>
      <c r="BC984" s="785"/>
      <c r="BD984" s="900"/>
    </row>
    <row r="985" spans="1:56" s="65" customFormat="1" hidden="1" outlineLevel="1" x14ac:dyDescent="0.25">
      <c r="A985" s="785"/>
      <c r="B985" s="332"/>
      <c r="C985" s="455"/>
      <c r="D985" s="2802"/>
      <c r="E985" s="2806"/>
      <c r="F985" s="2797" t="str">
        <f t="shared" si="91"/>
        <v>Ductless AC - ER1 MF_CompE</v>
      </c>
      <c r="G985" s="2797"/>
      <c r="H985" s="2797"/>
      <c r="I985" s="1668"/>
      <c r="J985" s="2067">
        <v>417</v>
      </c>
      <c r="K985" s="1011"/>
      <c r="L985" s="2794"/>
      <c r="M985" s="2065"/>
      <c r="N985" s="2048"/>
      <c r="O985" s="332"/>
      <c r="P985" s="332"/>
      <c r="Q985" s="332"/>
      <c r="R985" s="332"/>
      <c r="S985" s="332"/>
      <c r="T985" s="177"/>
      <c r="U985" s="177"/>
      <c r="V985" s="2812"/>
      <c r="W985" s="909"/>
      <c r="X985" s="909"/>
      <c r="Y985" s="908">
        <v>560</v>
      </c>
      <c r="Z985" s="909"/>
      <c r="AA985" s="909"/>
      <c r="AB985" s="909"/>
      <c r="AC985" s="909"/>
      <c r="AD985" s="909"/>
      <c r="AE985" s="909"/>
      <c r="AF985" s="909"/>
      <c r="AG985" s="927"/>
      <c r="BB985" s="784"/>
      <c r="BC985" s="785"/>
      <c r="BD985" s="900"/>
    </row>
    <row r="986" spans="1:56" s="65" customFormat="1" hidden="1" outlineLevel="1" x14ac:dyDescent="0.25">
      <c r="A986" s="785"/>
      <c r="B986" s="332"/>
      <c r="C986" s="455"/>
      <c r="D986" s="2802"/>
      <c r="E986" s="2806"/>
      <c r="F986" s="2797" t="str">
        <f t="shared" si="91"/>
        <v>Ductless AC - ROF MF_CompE</v>
      </c>
      <c r="G986" s="2797"/>
      <c r="H986" s="2797"/>
      <c r="I986" s="1668"/>
      <c r="J986" s="2067">
        <v>417</v>
      </c>
      <c r="K986" s="1011"/>
      <c r="L986" s="2794"/>
      <c r="M986" s="2065"/>
      <c r="N986" s="2048"/>
      <c r="O986" s="332"/>
      <c r="P986" s="332"/>
      <c r="Q986" s="332"/>
      <c r="R986" s="332"/>
      <c r="S986" s="332"/>
      <c r="T986" s="177"/>
      <c r="U986" s="177"/>
      <c r="V986" s="2812"/>
      <c r="W986" s="909"/>
      <c r="X986" s="909"/>
      <c r="Y986" s="908">
        <v>560</v>
      </c>
      <c r="Z986" s="909"/>
      <c r="AA986" s="909"/>
      <c r="AB986" s="909"/>
      <c r="AC986" s="909"/>
      <c r="AD986" s="909"/>
      <c r="AE986" s="909"/>
      <c r="AF986" s="909"/>
      <c r="AG986" s="927"/>
      <c r="BB986" s="784"/>
      <c r="BC986" s="785"/>
      <c r="BD986" s="900"/>
    </row>
    <row r="987" spans="1:56" s="65" customFormat="1" hidden="1" outlineLevel="1" x14ac:dyDescent="0.25">
      <c r="A987" s="785"/>
      <c r="B987" s="332"/>
      <c r="C987" s="455"/>
      <c r="D987" s="2802"/>
      <c r="E987" s="2806"/>
      <c r="F987" s="2797" t="str">
        <f t="shared" si="91"/>
        <v>Ductless ASHP - ROF MF NC_CompE</v>
      </c>
      <c r="G987" s="2797"/>
      <c r="H987" s="2797"/>
      <c r="I987" s="1668"/>
      <c r="J987" s="2067">
        <v>417</v>
      </c>
      <c r="K987" s="1011"/>
      <c r="L987" s="2794"/>
      <c r="M987" s="2065"/>
      <c r="N987" s="2048"/>
      <c r="O987" s="332"/>
      <c r="P987" s="332"/>
      <c r="Q987" s="332"/>
      <c r="R987" s="332"/>
      <c r="S987" s="332"/>
      <c r="T987" s="177"/>
      <c r="U987" s="177"/>
      <c r="V987" s="2812"/>
      <c r="W987" s="909"/>
      <c r="X987" s="909"/>
      <c r="Y987" s="908">
        <v>560</v>
      </c>
      <c r="Z987" s="909"/>
      <c r="AA987" s="909"/>
      <c r="AB987" s="909"/>
      <c r="AC987" s="909"/>
      <c r="AD987" s="909"/>
      <c r="AE987" s="909"/>
      <c r="AF987" s="909"/>
      <c r="AG987" s="927"/>
      <c r="BB987" s="784"/>
      <c r="BC987" s="785"/>
      <c r="BD987" s="900"/>
    </row>
    <row r="988" spans="1:56" s="65" customFormat="1" hidden="1" outlineLevel="1" x14ac:dyDescent="0.25">
      <c r="A988" s="785"/>
      <c r="B988" s="332"/>
      <c r="C988" s="455"/>
      <c r="D988" s="2802"/>
      <c r="E988" s="2806"/>
      <c r="F988" s="2797" t="str">
        <f t="shared" si="91"/>
        <v>Ductless ASHP - ROF MF_CompE</v>
      </c>
      <c r="G988" s="2797"/>
      <c r="H988" s="2797"/>
      <c r="I988" s="1668"/>
      <c r="J988" s="2067">
        <v>417</v>
      </c>
      <c r="K988" s="1011"/>
      <c r="L988" s="2794"/>
      <c r="M988" s="2065"/>
      <c r="N988" s="2048"/>
      <c r="O988" s="332"/>
      <c r="P988" s="332"/>
      <c r="Q988" s="332"/>
      <c r="R988" s="332"/>
      <c r="S988" s="332"/>
      <c r="T988" s="177"/>
      <c r="U988" s="177"/>
      <c r="V988" s="2812"/>
      <c r="W988" s="909"/>
      <c r="X988" s="909"/>
      <c r="Y988" s="908">
        <v>560</v>
      </c>
      <c r="Z988" s="909"/>
      <c r="AA988" s="909"/>
      <c r="AB988" s="909"/>
      <c r="AC988" s="909"/>
      <c r="AD988" s="909"/>
      <c r="AE988" s="909"/>
      <c r="AF988" s="909"/>
      <c r="AG988" s="927"/>
      <c r="BB988" s="784"/>
      <c r="BC988" s="785"/>
      <c r="BD988" s="900"/>
    </row>
    <row r="989" spans="1:56" s="65" customFormat="1" hidden="1" outlineLevel="1" x14ac:dyDescent="0.25">
      <c r="A989" s="785"/>
      <c r="B989" s="332"/>
      <c r="C989" s="455"/>
      <c r="D989" s="2802"/>
      <c r="E989" s="2806"/>
      <c r="F989" s="2797" t="str">
        <f t="shared" si="91"/>
        <v>Ductless ASHP Replace Electric Resistance ER1 MF_CompE</v>
      </c>
      <c r="G989" s="2797"/>
      <c r="H989" s="2797"/>
      <c r="I989" s="1668"/>
      <c r="J989" s="2067">
        <v>417</v>
      </c>
      <c r="K989" s="1011"/>
      <c r="L989" s="2794"/>
      <c r="M989" s="2065"/>
      <c r="N989" s="2048"/>
      <c r="O989" s="332"/>
      <c r="P989" s="332"/>
      <c r="Q989" s="332"/>
      <c r="R989" s="332"/>
      <c r="S989" s="332"/>
      <c r="T989" s="177"/>
      <c r="U989" s="177"/>
      <c r="V989" s="2812"/>
      <c r="W989" s="909"/>
      <c r="X989" s="909"/>
      <c r="Y989" s="908">
        <v>560</v>
      </c>
      <c r="Z989" s="909"/>
      <c r="AA989" s="909"/>
      <c r="AB989" s="909"/>
      <c r="AC989" s="909"/>
      <c r="AD989" s="909"/>
      <c r="AE989" s="909"/>
      <c r="AF989" s="909"/>
      <c r="AG989" s="927"/>
      <c r="BB989" s="784"/>
      <c r="BC989" s="785"/>
      <c r="BD989" s="900"/>
    </row>
    <row r="990" spans="1:56" s="65" customFormat="1" hidden="1" outlineLevel="1" x14ac:dyDescent="0.25">
      <c r="A990" s="785"/>
      <c r="B990" s="332"/>
      <c r="C990" s="455"/>
      <c r="D990" s="2802"/>
      <c r="E990" s="2806"/>
      <c r="F990" s="2797" t="str">
        <f t="shared" si="91"/>
        <v>Ductless ASHP Replace Electric Resistance ROF MF_CompE</v>
      </c>
      <c r="G990" s="2797"/>
      <c r="H990" s="2797"/>
      <c r="I990" s="1668"/>
      <c r="J990" s="2067">
        <v>417</v>
      </c>
      <c r="K990" s="1011"/>
      <c r="L990" s="2794"/>
      <c r="M990" s="2065"/>
      <c r="N990" s="2048"/>
      <c r="O990" s="332"/>
      <c r="P990" s="332"/>
      <c r="Q990" s="332"/>
      <c r="R990" s="332"/>
      <c r="S990" s="332"/>
      <c r="T990" s="177"/>
      <c r="U990" s="177"/>
      <c r="V990" s="2812"/>
      <c r="W990" s="909"/>
      <c r="X990" s="909"/>
      <c r="Y990" s="908">
        <v>560</v>
      </c>
      <c r="Z990" s="909"/>
      <c r="AA990" s="909"/>
      <c r="AB990" s="909"/>
      <c r="AC990" s="909"/>
      <c r="AD990" s="909"/>
      <c r="AE990" s="909"/>
      <c r="AF990" s="909"/>
      <c r="AG990" s="927"/>
      <c r="BB990" s="784"/>
      <c r="BC990" s="785"/>
      <c r="BD990" s="900"/>
    </row>
    <row r="991" spans="1:56" s="65" customFormat="1" ht="15.75" hidden="1" outlineLevel="1" thickBot="1" x14ac:dyDescent="0.3">
      <c r="A991" s="785"/>
      <c r="B991" s="332"/>
      <c r="C991" s="455"/>
      <c r="D991" s="2823"/>
      <c r="E991" s="2824"/>
      <c r="F991" s="2797" t="str">
        <f t="shared" si="91"/>
        <v>Ductless ASHP ER1 MF_CompE</v>
      </c>
      <c r="G991" s="2797"/>
      <c r="H991" s="2797"/>
      <c r="I991" s="1039"/>
      <c r="J991" s="2067">
        <v>417</v>
      </c>
      <c r="K991" s="1011"/>
      <c r="L991" s="2816"/>
      <c r="M991" s="2065"/>
      <c r="N991" s="2048"/>
      <c r="O991" s="332"/>
      <c r="P991" s="332"/>
      <c r="Q991" s="332"/>
      <c r="R991" s="332"/>
      <c r="S991" s="332"/>
      <c r="T991" s="177"/>
      <c r="U991" s="177"/>
      <c r="V991" s="2828"/>
      <c r="W991" s="945"/>
      <c r="X991" s="945"/>
      <c r="Y991" s="1021">
        <v>560</v>
      </c>
      <c r="Z991" s="945"/>
      <c r="AA991" s="945"/>
      <c r="AB991" s="945"/>
      <c r="AC991" s="945"/>
      <c r="AD991" s="945"/>
      <c r="AE991" s="945"/>
      <c r="AF991" s="945"/>
      <c r="AG991" s="1015"/>
      <c r="BB991" s="784"/>
      <c r="BC991" s="785"/>
      <c r="BD991" s="900"/>
    </row>
    <row r="992" spans="1:56" s="65" customFormat="1" hidden="1" outlineLevel="1" x14ac:dyDescent="0.25">
      <c r="A992" s="785"/>
      <c r="B992" s="332"/>
      <c r="C992" s="455"/>
      <c r="D992" s="2801" t="s">
        <v>1287</v>
      </c>
      <c r="E992" s="2805" t="s">
        <v>1358</v>
      </c>
      <c r="F992" s="2820" t="str">
        <f t="shared" si="91"/>
        <v>Ductless AC - ER1 SF</v>
      </c>
      <c r="G992" s="2821"/>
      <c r="H992" s="2822"/>
      <c r="I992" s="1669"/>
      <c r="J992" s="1664">
        <v>13</v>
      </c>
      <c r="K992" s="1008"/>
      <c r="L992" s="2831" t="s">
        <v>1359</v>
      </c>
      <c r="M992" s="2065"/>
      <c r="N992" s="2048"/>
      <c r="O992" s="332"/>
      <c r="P992" s="332"/>
      <c r="Q992" s="332"/>
      <c r="R992" s="332"/>
      <c r="S992" s="332"/>
      <c r="T992" s="177"/>
      <c r="U992" s="177"/>
      <c r="V992" s="2811" t="s">
        <v>1287</v>
      </c>
      <c r="W992" s="903">
        <v>13</v>
      </c>
      <c r="X992" s="903">
        <v>13</v>
      </c>
      <c r="Y992" s="903">
        <v>13</v>
      </c>
      <c r="Z992" s="903"/>
      <c r="AA992" s="903"/>
      <c r="AB992" s="903"/>
      <c r="AC992" s="903"/>
      <c r="AD992" s="903"/>
      <c r="AE992" s="903"/>
      <c r="AF992" s="903"/>
      <c r="AG992" s="1010"/>
      <c r="BB992" s="784"/>
      <c r="BC992" s="785"/>
      <c r="BD992" s="900"/>
    </row>
    <row r="993" spans="1:56" s="65" customFormat="1" hidden="1" outlineLevel="1" x14ac:dyDescent="0.25">
      <c r="A993" s="785"/>
      <c r="B993" s="332"/>
      <c r="C993" s="455"/>
      <c r="D993" s="2802"/>
      <c r="E993" s="2806"/>
      <c r="F993" s="2825" t="str">
        <f t="shared" si="91"/>
        <v>Ductless AC - ROF SF</v>
      </c>
      <c r="G993" s="2826"/>
      <c r="H993" s="2827"/>
      <c r="I993" s="1668"/>
      <c r="J993" s="1660">
        <v>13</v>
      </c>
      <c r="K993" s="1011"/>
      <c r="L993" s="2832"/>
      <c r="M993" s="2065"/>
      <c r="N993" s="2048"/>
      <c r="O993" s="332"/>
      <c r="P993" s="332"/>
      <c r="Q993" s="332"/>
      <c r="R993" s="332"/>
      <c r="S993" s="332"/>
      <c r="T993" s="177"/>
      <c r="U993" s="177"/>
      <c r="V993" s="2812"/>
      <c r="W993" s="909">
        <v>13</v>
      </c>
      <c r="X993" s="909">
        <v>13</v>
      </c>
      <c r="Y993" s="909">
        <v>13</v>
      </c>
      <c r="Z993" s="909"/>
      <c r="AA993" s="909"/>
      <c r="AB993" s="909"/>
      <c r="AC993" s="909"/>
      <c r="AD993" s="909"/>
      <c r="AE993" s="909"/>
      <c r="AF993" s="909"/>
      <c r="AG993" s="927"/>
      <c r="BB993" s="784"/>
      <c r="BC993" s="785"/>
      <c r="BD993" s="900"/>
    </row>
    <row r="994" spans="1:56" s="65" customFormat="1" hidden="1" outlineLevel="1" x14ac:dyDescent="0.25">
      <c r="A994" s="785"/>
      <c r="B994" s="332"/>
      <c r="C994" s="455"/>
      <c r="D994" s="2802"/>
      <c r="E994" s="2806"/>
      <c r="F994" s="2825" t="str">
        <f t="shared" ref="F994:F1054" si="98">F973</f>
        <v>Ductless ASHP - ROF SF NC</v>
      </c>
      <c r="G994" s="2826"/>
      <c r="H994" s="2827"/>
      <c r="I994" s="1668"/>
      <c r="J994" s="1660">
        <v>14</v>
      </c>
      <c r="K994" s="1011"/>
      <c r="L994" s="2832"/>
      <c r="M994" s="2065"/>
      <c r="N994" s="2048"/>
      <c r="O994" s="332"/>
      <c r="P994" s="332"/>
      <c r="Q994" s="332"/>
      <c r="R994" s="332"/>
      <c r="S994" s="332"/>
      <c r="T994" s="177"/>
      <c r="U994" s="177"/>
      <c r="V994" s="2812"/>
      <c r="W994" s="909">
        <v>13</v>
      </c>
      <c r="X994" s="909">
        <v>13</v>
      </c>
      <c r="Y994" s="908">
        <v>14</v>
      </c>
      <c r="Z994" s="909"/>
      <c r="AA994" s="909"/>
      <c r="AB994" s="909"/>
      <c r="AC994" s="909"/>
      <c r="AD994" s="909"/>
      <c r="AE994" s="909"/>
      <c r="AF994" s="909"/>
      <c r="AG994" s="927"/>
      <c r="BB994" s="784"/>
      <c r="BC994" s="785"/>
      <c r="BD994" s="900"/>
    </row>
    <row r="995" spans="1:56" s="65" customFormat="1" hidden="1" outlineLevel="1" x14ac:dyDescent="0.25">
      <c r="A995" s="785"/>
      <c r="B995" s="332"/>
      <c r="C995" s="455"/>
      <c r="D995" s="2802"/>
      <c r="E995" s="2806"/>
      <c r="F995" s="2825" t="str">
        <f t="shared" si="98"/>
        <v>Ductless ASHP - ROF SF</v>
      </c>
      <c r="G995" s="2826"/>
      <c r="H995" s="2827"/>
      <c r="I995" s="1668"/>
      <c r="J995" s="1660">
        <v>14</v>
      </c>
      <c r="K995" s="1011"/>
      <c r="L995" s="2832"/>
      <c r="M995" s="2036"/>
      <c r="N995" s="2048"/>
      <c r="O995" s="332"/>
      <c r="P995" s="332"/>
      <c r="Q995" s="332"/>
      <c r="R995" s="332"/>
      <c r="S995" s="332"/>
      <c r="T995" s="177"/>
      <c r="U995" s="177"/>
      <c r="V995" s="2812"/>
      <c r="W995" s="909">
        <v>13</v>
      </c>
      <c r="X995" s="909">
        <v>13</v>
      </c>
      <c r="Y995" s="908">
        <v>14</v>
      </c>
      <c r="Z995" s="909"/>
      <c r="AA995" s="909"/>
      <c r="AB995" s="909"/>
      <c r="AC995" s="909"/>
      <c r="AD995" s="909"/>
      <c r="AE995" s="909"/>
      <c r="AF995" s="909"/>
      <c r="AG995" s="927"/>
      <c r="BB995" s="784"/>
      <c r="BC995" s="785"/>
      <c r="BD995" s="900"/>
    </row>
    <row r="996" spans="1:56" s="65" customFormat="1" hidden="1" outlineLevel="1" x14ac:dyDescent="0.25">
      <c r="A996" s="785"/>
      <c r="B996" s="332"/>
      <c r="C996" s="455"/>
      <c r="D996" s="2802"/>
      <c r="E996" s="2806"/>
      <c r="F996" s="2825" t="str">
        <f t="shared" si="98"/>
        <v>Ductless ASHP Replace Electric Resistance ER1 SF</v>
      </c>
      <c r="G996" s="2826"/>
      <c r="H996" s="2827"/>
      <c r="I996" s="1668"/>
      <c r="J996" s="1660">
        <v>13</v>
      </c>
      <c r="K996" s="1011"/>
      <c r="L996" s="2832"/>
      <c r="M996" s="2036"/>
      <c r="N996" s="2048"/>
      <c r="O996" s="332"/>
      <c r="P996" s="332"/>
      <c r="Q996" s="332"/>
      <c r="R996" s="332"/>
      <c r="S996" s="332"/>
      <c r="T996" s="177"/>
      <c r="U996" s="177"/>
      <c r="V996" s="2812"/>
      <c r="W996" s="909">
        <v>13</v>
      </c>
      <c r="X996" s="909">
        <v>13</v>
      </c>
      <c r="Y996" s="909">
        <v>13</v>
      </c>
      <c r="Z996" s="909"/>
      <c r="AA996" s="909"/>
      <c r="AB996" s="909"/>
      <c r="AC996" s="909"/>
      <c r="AD996" s="909"/>
      <c r="AE996" s="909"/>
      <c r="AF996" s="909"/>
      <c r="AG996" s="927"/>
      <c r="BB996" s="784"/>
      <c r="BC996" s="785"/>
      <c r="BD996" s="900"/>
    </row>
    <row r="997" spans="1:56" s="65" customFormat="1" hidden="1" outlineLevel="1" x14ac:dyDescent="0.25">
      <c r="A997" s="785"/>
      <c r="B997" s="332"/>
      <c r="C997" s="455"/>
      <c r="D997" s="2802"/>
      <c r="E997" s="2806"/>
      <c r="F997" s="2825" t="str">
        <f t="shared" si="98"/>
        <v>Ductless ASHP Replace Electric Resistance ROF SF</v>
      </c>
      <c r="G997" s="2826"/>
      <c r="H997" s="2827"/>
      <c r="I997" s="1668"/>
      <c r="J997" s="1660">
        <v>14</v>
      </c>
      <c r="K997" s="1011"/>
      <c r="L997" s="2832"/>
      <c r="M997" s="2036"/>
      <c r="N997" s="2048"/>
      <c r="O997" s="332"/>
      <c r="P997" s="332"/>
      <c r="Q997" s="332"/>
      <c r="R997" s="332"/>
      <c r="S997" s="332"/>
      <c r="T997" s="177"/>
      <c r="U997" s="177"/>
      <c r="V997" s="2812"/>
      <c r="W997" s="909">
        <v>13</v>
      </c>
      <c r="X997" s="909">
        <v>13</v>
      </c>
      <c r="Y997" s="908">
        <v>14</v>
      </c>
      <c r="Z997" s="909"/>
      <c r="AA997" s="909"/>
      <c r="AB997" s="909"/>
      <c r="AC997" s="909"/>
      <c r="AD997" s="909"/>
      <c r="AE997" s="909"/>
      <c r="AF997" s="909"/>
      <c r="AG997" s="927"/>
      <c r="BB997" s="784"/>
      <c r="BC997" s="785"/>
      <c r="BD997" s="900"/>
    </row>
    <row r="998" spans="1:56" s="65" customFormat="1" hidden="1" outlineLevel="1" x14ac:dyDescent="0.25">
      <c r="A998" s="785"/>
      <c r="B998" s="332"/>
      <c r="C998" s="455"/>
      <c r="D998" s="2802"/>
      <c r="E998" s="2806"/>
      <c r="F998" s="2825" t="str">
        <f t="shared" si="98"/>
        <v>Ductless ASHP ER1 SF</v>
      </c>
      <c r="G998" s="2826"/>
      <c r="H998" s="2827"/>
      <c r="I998" s="1668"/>
      <c r="J998" s="1660">
        <v>13</v>
      </c>
      <c r="K998" s="1011"/>
      <c r="L998" s="2833"/>
      <c r="M998" s="2065"/>
      <c r="N998" s="2048"/>
      <c r="O998" s="332"/>
      <c r="P998" s="332"/>
      <c r="Q998" s="332"/>
      <c r="R998" s="332"/>
      <c r="S998" s="332"/>
      <c r="T998" s="177"/>
      <c r="U998" s="177"/>
      <c r="V998" s="2812"/>
      <c r="W998" s="909">
        <v>13</v>
      </c>
      <c r="X998" s="909">
        <v>13</v>
      </c>
      <c r="Y998" s="909">
        <v>13</v>
      </c>
      <c r="Z998" s="909"/>
      <c r="AA998" s="909"/>
      <c r="AB998" s="909"/>
      <c r="AC998" s="909"/>
      <c r="AD998" s="909"/>
      <c r="AE998" s="909"/>
      <c r="AF998" s="909"/>
      <c r="AG998" s="927"/>
      <c r="BB998" s="784"/>
      <c r="BC998" s="785"/>
      <c r="BD998" s="900"/>
    </row>
    <row r="999" spans="1:56" s="65" customFormat="1" hidden="1" outlineLevel="1" x14ac:dyDescent="0.25">
      <c r="A999" s="785"/>
      <c r="B999" s="332"/>
      <c r="C999" s="455"/>
      <c r="D999" s="2802"/>
      <c r="E999" s="2806"/>
      <c r="F999" s="2797" t="str">
        <f t="shared" si="98"/>
        <v>Ductless AC - ER1 MF</v>
      </c>
      <c r="G999" s="2797"/>
      <c r="H999" s="2797"/>
      <c r="I999" s="1668"/>
      <c r="J999" s="1660">
        <f>J992</f>
        <v>13</v>
      </c>
      <c r="K999" s="1011"/>
      <c r="L999" s="1012"/>
      <c r="M999" s="2065"/>
      <c r="N999" s="2048"/>
      <c r="O999" s="332"/>
      <c r="P999" s="332"/>
      <c r="Q999" s="332"/>
      <c r="R999" s="332"/>
      <c r="S999" s="332"/>
      <c r="T999" s="177"/>
      <c r="U999" s="177"/>
      <c r="V999" s="2812"/>
      <c r="W999" s="909"/>
      <c r="X999" s="908"/>
      <c r="Y999" s="908">
        <v>13</v>
      </c>
      <c r="Z999" s="909"/>
      <c r="AA999" s="909"/>
      <c r="AB999" s="909"/>
      <c r="AC999" s="909"/>
      <c r="AD999" s="909"/>
      <c r="AE999" s="909"/>
      <c r="AF999" s="909"/>
      <c r="AG999" s="927"/>
      <c r="BB999" s="784"/>
      <c r="BC999" s="785"/>
      <c r="BD999" s="900"/>
    </row>
    <row r="1000" spans="1:56" s="65" customFormat="1" hidden="1" outlineLevel="1" x14ac:dyDescent="0.25">
      <c r="A1000" s="785"/>
      <c r="B1000" s="332"/>
      <c r="C1000" s="455"/>
      <c r="D1000" s="2802"/>
      <c r="E1000" s="2806"/>
      <c r="F1000" s="2797" t="str">
        <f t="shared" si="98"/>
        <v>Ductless AC - ROF MF</v>
      </c>
      <c r="G1000" s="2797"/>
      <c r="H1000" s="2797"/>
      <c r="I1000" s="1668"/>
      <c r="J1000" s="1660">
        <f t="shared" ref="J1000:J1005" si="99">J993</f>
        <v>13</v>
      </c>
      <c r="K1000" s="1011"/>
      <c r="L1000" s="1012"/>
      <c r="M1000" s="2065"/>
      <c r="N1000" s="2048"/>
      <c r="O1000" s="332"/>
      <c r="P1000" s="332"/>
      <c r="Q1000" s="332"/>
      <c r="R1000" s="332"/>
      <c r="S1000" s="332"/>
      <c r="T1000" s="177"/>
      <c r="U1000" s="177"/>
      <c r="V1000" s="2812"/>
      <c r="W1000" s="909"/>
      <c r="X1000" s="908"/>
      <c r="Y1000" s="908">
        <v>13</v>
      </c>
      <c r="Z1000" s="909"/>
      <c r="AA1000" s="909"/>
      <c r="AB1000" s="909"/>
      <c r="AC1000" s="909"/>
      <c r="AD1000" s="909"/>
      <c r="AE1000" s="909"/>
      <c r="AF1000" s="909"/>
      <c r="AG1000" s="927"/>
      <c r="BB1000" s="784"/>
      <c r="BC1000" s="785"/>
      <c r="BD1000" s="900"/>
    </row>
    <row r="1001" spans="1:56" s="65" customFormat="1" hidden="1" outlineLevel="1" x14ac:dyDescent="0.25">
      <c r="A1001" s="785"/>
      <c r="B1001" s="332"/>
      <c r="C1001" s="455"/>
      <c r="D1001" s="2802"/>
      <c r="E1001" s="2806"/>
      <c r="F1001" s="2797" t="str">
        <f t="shared" si="98"/>
        <v>Ductless ASHP - ROF MF NC</v>
      </c>
      <c r="G1001" s="2797"/>
      <c r="H1001" s="2797"/>
      <c r="I1001" s="1668"/>
      <c r="J1001" s="1660">
        <f t="shared" si="99"/>
        <v>14</v>
      </c>
      <c r="K1001" s="1011"/>
      <c r="L1001" s="1012"/>
      <c r="M1001" s="2065"/>
      <c r="N1001" s="2048"/>
      <c r="O1001" s="332"/>
      <c r="P1001" s="332"/>
      <c r="Q1001" s="332"/>
      <c r="R1001" s="332"/>
      <c r="S1001" s="332"/>
      <c r="T1001" s="177"/>
      <c r="U1001" s="177"/>
      <c r="V1001" s="2812"/>
      <c r="W1001" s="909"/>
      <c r="X1001" s="908"/>
      <c r="Y1001" s="908">
        <v>14</v>
      </c>
      <c r="Z1001" s="909"/>
      <c r="AA1001" s="909"/>
      <c r="AB1001" s="909"/>
      <c r="AC1001" s="909"/>
      <c r="AD1001" s="909"/>
      <c r="AE1001" s="909"/>
      <c r="AF1001" s="909"/>
      <c r="AG1001" s="927"/>
      <c r="BB1001" s="784"/>
      <c r="BC1001" s="785"/>
      <c r="BD1001" s="900"/>
    </row>
    <row r="1002" spans="1:56" s="65" customFormat="1" hidden="1" outlineLevel="1" x14ac:dyDescent="0.25">
      <c r="A1002" s="785"/>
      <c r="B1002" s="332"/>
      <c r="C1002" s="455"/>
      <c r="D1002" s="2802"/>
      <c r="E1002" s="2806"/>
      <c r="F1002" s="2797" t="str">
        <f t="shared" si="98"/>
        <v>Ductless ASHP - ROF MF</v>
      </c>
      <c r="G1002" s="2797"/>
      <c r="H1002" s="2797"/>
      <c r="I1002" s="1668"/>
      <c r="J1002" s="1660">
        <f t="shared" si="99"/>
        <v>14</v>
      </c>
      <c r="K1002" s="1011"/>
      <c r="L1002" s="1012"/>
      <c r="M1002" s="2065"/>
      <c r="N1002" s="2048"/>
      <c r="O1002" s="332"/>
      <c r="P1002" s="332"/>
      <c r="Q1002" s="332"/>
      <c r="R1002" s="332"/>
      <c r="S1002" s="332"/>
      <c r="T1002" s="177"/>
      <c r="U1002" s="177"/>
      <c r="V1002" s="2812"/>
      <c r="W1002" s="909"/>
      <c r="X1002" s="908"/>
      <c r="Y1002" s="908">
        <v>14</v>
      </c>
      <c r="Z1002" s="909"/>
      <c r="AA1002" s="909"/>
      <c r="AB1002" s="909"/>
      <c r="AC1002" s="909"/>
      <c r="AD1002" s="909"/>
      <c r="AE1002" s="909"/>
      <c r="AF1002" s="909"/>
      <c r="AG1002" s="927"/>
      <c r="BB1002" s="784"/>
      <c r="BC1002" s="785"/>
      <c r="BD1002" s="900"/>
    </row>
    <row r="1003" spans="1:56" s="65" customFormat="1" hidden="1" outlineLevel="1" x14ac:dyDescent="0.25">
      <c r="A1003" s="785"/>
      <c r="B1003" s="332"/>
      <c r="C1003" s="455"/>
      <c r="D1003" s="2802"/>
      <c r="E1003" s="2806"/>
      <c r="F1003" s="2797" t="str">
        <f t="shared" si="98"/>
        <v>Ductless ASHP Replace Electric Resistance ER1 MF</v>
      </c>
      <c r="G1003" s="2797"/>
      <c r="H1003" s="2797"/>
      <c r="I1003" s="1668"/>
      <c r="J1003" s="1660">
        <f t="shared" si="99"/>
        <v>13</v>
      </c>
      <c r="K1003" s="1011"/>
      <c r="L1003" s="1012"/>
      <c r="M1003" s="2065"/>
      <c r="N1003" s="2048"/>
      <c r="O1003" s="332"/>
      <c r="P1003" s="332"/>
      <c r="Q1003" s="332"/>
      <c r="R1003" s="332"/>
      <c r="S1003" s="332"/>
      <c r="T1003" s="177"/>
      <c r="U1003" s="177"/>
      <c r="V1003" s="2812"/>
      <c r="W1003" s="909"/>
      <c r="X1003" s="908"/>
      <c r="Y1003" s="908">
        <v>13</v>
      </c>
      <c r="Z1003" s="909"/>
      <c r="AA1003" s="909"/>
      <c r="AB1003" s="909"/>
      <c r="AC1003" s="909"/>
      <c r="AD1003" s="909"/>
      <c r="AE1003" s="909"/>
      <c r="AF1003" s="909"/>
      <c r="AG1003" s="927"/>
      <c r="BB1003" s="784"/>
      <c r="BC1003" s="785"/>
      <c r="BD1003" s="900"/>
    </row>
    <row r="1004" spans="1:56" s="65" customFormat="1" hidden="1" outlineLevel="1" x14ac:dyDescent="0.25">
      <c r="A1004" s="785"/>
      <c r="B1004" s="332"/>
      <c r="C1004" s="455"/>
      <c r="D1004" s="2802"/>
      <c r="E1004" s="2806"/>
      <c r="F1004" s="2797" t="str">
        <f t="shared" si="98"/>
        <v>Ductless ASHP Replace Electric Resistance ROF MF</v>
      </c>
      <c r="G1004" s="2797"/>
      <c r="H1004" s="2797"/>
      <c r="I1004" s="1668"/>
      <c r="J1004" s="1660">
        <f t="shared" si="99"/>
        <v>14</v>
      </c>
      <c r="K1004" s="1011"/>
      <c r="L1004" s="1012"/>
      <c r="M1004" s="2065"/>
      <c r="N1004" s="2048"/>
      <c r="O1004" s="332"/>
      <c r="P1004" s="332"/>
      <c r="Q1004" s="332"/>
      <c r="R1004" s="332"/>
      <c r="S1004" s="332"/>
      <c r="T1004" s="177"/>
      <c r="U1004" s="177"/>
      <c r="V1004" s="2812"/>
      <c r="W1004" s="909"/>
      <c r="X1004" s="908"/>
      <c r="Y1004" s="908">
        <v>14</v>
      </c>
      <c r="Z1004" s="909"/>
      <c r="AA1004" s="909"/>
      <c r="AB1004" s="909"/>
      <c r="AC1004" s="909"/>
      <c r="AD1004" s="909"/>
      <c r="AE1004" s="909"/>
      <c r="AF1004" s="909"/>
      <c r="AG1004" s="927"/>
      <c r="BB1004" s="784"/>
      <c r="BC1004" s="785"/>
      <c r="BD1004" s="900"/>
    </row>
    <row r="1005" spans="1:56" s="65" customFormat="1" hidden="1" outlineLevel="1" x14ac:dyDescent="0.25">
      <c r="A1005" s="785"/>
      <c r="B1005" s="332"/>
      <c r="C1005" s="455"/>
      <c r="D1005" s="2802"/>
      <c r="E1005" s="2806"/>
      <c r="F1005" s="2797" t="str">
        <f t="shared" si="98"/>
        <v>Ductless ASHP ER1 MF</v>
      </c>
      <c r="G1005" s="2797"/>
      <c r="H1005" s="2797"/>
      <c r="I1005" s="1668"/>
      <c r="J1005" s="1660">
        <f t="shared" si="99"/>
        <v>13</v>
      </c>
      <c r="K1005" s="1011"/>
      <c r="L1005" s="1012"/>
      <c r="M1005" s="2065"/>
      <c r="N1005" s="2048"/>
      <c r="O1005" s="332"/>
      <c r="P1005" s="332"/>
      <c r="Q1005" s="332"/>
      <c r="R1005" s="332"/>
      <c r="S1005" s="332"/>
      <c r="T1005" s="177"/>
      <c r="U1005" s="177"/>
      <c r="V1005" s="2812"/>
      <c r="W1005" s="909"/>
      <c r="X1005" s="908"/>
      <c r="Y1005" s="908">
        <v>13</v>
      </c>
      <c r="Z1005" s="909"/>
      <c r="AA1005" s="909"/>
      <c r="AB1005" s="909"/>
      <c r="AC1005" s="909"/>
      <c r="AD1005" s="909"/>
      <c r="AE1005" s="909"/>
      <c r="AF1005" s="909"/>
      <c r="AG1005" s="927"/>
      <c r="BB1005" s="784"/>
      <c r="BC1005" s="785"/>
      <c r="BD1005" s="900"/>
    </row>
    <row r="1006" spans="1:56" s="65" customFormat="1" hidden="1" outlineLevel="1" x14ac:dyDescent="0.25">
      <c r="A1006" s="785"/>
      <c r="B1006" s="332"/>
      <c r="C1006" s="455"/>
      <c r="D1006" s="2802"/>
      <c r="E1006" s="2806"/>
      <c r="F1006" s="2797" t="str">
        <f t="shared" si="98"/>
        <v>Ductless AC - ER1 MF_CompE</v>
      </c>
      <c r="G1006" s="2797"/>
      <c r="H1006" s="2797"/>
      <c r="I1006" s="1668"/>
      <c r="J1006" s="1660">
        <f>J992</f>
        <v>13</v>
      </c>
      <c r="K1006" s="1011"/>
      <c r="L1006" s="1012"/>
      <c r="M1006" s="2065"/>
      <c r="N1006" s="2048"/>
      <c r="O1006" s="332"/>
      <c r="P1006" s="332"/>
      <c r="Q1006" s="332"/>
      <c r="R1006" s="332"/>
      <c r="S1006" s="332"/>
      <c r="T1006" s="177"/>
      <c r="U1006" s="177"/>
      <c r="V1006" s="2812"/>
      <c r="W1006" s="909"/>
      <c r="X1006" s="909"/>
      <c r="Y1006" s="908">
        <v>13</v>
      </c>
      <c r="Z1006" s="909"/>
      <c r="AA1006" s="909"/>
      <c r="AB1006" s="909"/>
      <c r="AC1006" s="909"/>
      <c r="AD1006" s="909"/>
      <c r="AE1006" s="909"/>
      <c r="AF1006" s="909"/>
      <c r="AG1006" s="927"/>
      <c r="BB1006" s="784"/>
      <c r="BC1006" s="785"/>
      <c r="BD1006" s="900"/>
    </row>
    <row r="1007" spans="1:56" s="65" customFormat="1" hidden="1" outlineLevel="1" x14ac:dyDescent="0.25">
      <c r="A1007" s="785"/>
      <c r="B1007" s="332"/>
      <c r="C1007" s="455"/>
      <c r="D1007" s="2802"/>
      <c r="E1007" s="2806"/>
      <c r="F1007" s="2797" t="str">
        <f t="shared" si="98"/>
        <v>Ductless AC - ROF MF_CompE</v>
      </c>
      <c r="G1007" s="2797"/>
      <c r="H1007" s="2797"/>
      <c r="I1007" s="1668"/>
      <c r="J1007" s="1660">
        <f t="shared" ref="J1007:J1012" si="100">J993</f>
        <v>13</v>
      </c>
      <c r="K1007" s="1011"/>
      <c r="L1007" s="1012"/>
      <c r="M1007" s="2065"/>
      <c r="N1007" s="2048"/>
      <c r="O1007" s="332"/>
      <c r="P1007" s="332"/>
      <c r="Q1007" s="332"/>
      <c r="R1007" s="332"/>
      <c r="S1007" s="332"/>
      <c r="T1007" s="177"/>
      <c r="U1007" s="177"/>
      <c r="V1007" s="2812"/>
      <c r="W1007" s="909"/>
      <c r="X1007" s="909"/>
      <c r="Y1007" s="908">
        <v>13</v>
      </c>
      <c r="Z1007" s="909"/>
      <c r="AA1007" s="909"/>
      <c r="AB1007" s="909"/>
      <c r="AC1007" s="909"/>
      <c r="AD1007" s="909"/>
      <c r="AE1007" s="909"/>
      <c r="AF1007" s="909"/>
      <c r="AG1007" s="927"/>
      <c r="BB1007" s="784"/>
      <c r="BC1007" s="785"/>
      <c r="BD1007" s="900"/>
    </row>
    <row r="1008" spans="1:56" s="65" customFormat="1" hidden="1" outlineLevel="1" x14ac:dyDescent="0.25">
      <c r="A1008" s="785"/>
      <c r="B1008" s="332"/>
      <c r="C1008" s="455"/>
      <c r="D1008" s="2802"/>
      <c r="E1008" s="2806"/>
      <c r="F1008" s="2797" t="str">
        <f t="shared" si="98"/>
        <v>Ductless ASHP - ROF MF NC_CompE</v>
      </c>
      <c r="G1008" s="2797"/>
      <c r="H1008" s="2797"/>
      <c r="I1008" s="1668"/>
      <c r="J1008" s="1660">
        <f t="shared" si="100"/>
        <v>14</v>
      </c>
      <c r="K1008" s="1011"/>
      <c r="L1008" s="1012"/>
      <c r="M1008" s="2065"/>
      <c r="N1008" s="2048"/>
      <c r="O1008" s="332"/>
      <c r="P1008" s="332"/>
      <c r="Q1008" s="332"/>
      <c r="R1008" s="332"/>
      <c r="S1008" s="332"/>
      <c r="T1008" s="177"/>
      <c r="U1008" s="177"/>
      <c r="V1008" s="2812"/>
      <c r="W1008" s="909"/>
      <c r="X1008" s="909"/>
      <c r="Y1008" s="908">
        <v>14</v>
      </c>
      <c r="Z1008" s="909"/>
      <c r="AA1008" s="909"/>
      <c r="AB1008" s="909"/>
      <c r="AC1008" s="909"/>
      <c r="AD1008" s="909"/>
      <c r="AE1008" s="909"/>
      <c r="AF1008" s="909"/>
      <c r="AG1008" s="927"/>
      <c r="BB1008" s="784"/>
      <c r="BC1008" s="785"/>
      <c r="BD1008" s="900"/>
    </row>
    <row r="1009" spans="1:56" s="65" customFormat="1" hidden="1" outlineLevel="1" x14ac:dyDescent="0.25">
      <c r="A1009" s="785"/>
      <c r="B1009" s="332"/>
      <c r="C1009" s="455"/>
      <c r="D1009" s="2802"/>
      <c r="E1009" s="2806"/>
      <c r="F1009" s="2797" t="str">
        <f t="shared" si="98"/>
        <v>Ductless ASHP - ROF MF_CompE</v>
      </c>
      <c r="G1009" s="2797"/>
      <c r="H1009" s="2797"/>
      <c r="I1009" s="1668"/>
      <c r="J1009" s="1660">
        <f t="shared" si="100"/>
        <v>14</v>
      </c>
      <c r="K1009" s="1011"/>
      <c r="L1009" s="1013"/>
      <c r="M1009" s="2065"/>
      <c r="N1009" s="2048"/>
      <c r="O1009" s="332"/>
      <c r="P1009" s="332"/>
      <c r="Q1009" s="332"/>
      <c r="R1009" s="332"/>
      <c r="S1009" s="332"/>
      <c r="T1009" s="177"/>
      <c r="U1009" s="177"/>
      <c r="V1009" s="2812"/>
      <c r="W1009" s="909"/>
      <c r="X1009" s="909"/>
      <c r="Y1009" s="908">
        <v>14</v>
      </c>
      <c r="Z1009" s="909"/>
      <c r="AA1009" s="909"/>
      <c r="AB1009" s="909"/>
      <c r="AC1009" s="909"/>
      <c r="AD1009" s="909"/>
      <c r="AE1009" s="909"/>
      <c r="AF1009" s="909"/>
      <c r="AG1009" s="927"/>
      <c r="BB1009" s="784"/>
      <c r="BC1009" s="785"/>
      <c r="BD1009" s="900"/>
    </row>
    <row r="1010" spans="1:56" s="65" customFormat="1" hidden="1" outlineLevel="1" x14ac:dyDescent="0.25">
      <c r="A1010" s="785"/>
      <c r="B1010" s="332"/>
      <c r="C1010" s="455"/>
      <c r="D1010" s="2802"/>
      <c r="E1010" s="2806"/>
      <c r="F1010" s="2797" t="str">
        <f t="shared" si="98"/>
        <v>Ductless ASHP Replace Electric Resistance ER1 MF_CompE</v>
      </c>
      <c r="G1010" s="2797"/>
      <c r="H1010" s="2797"/>
      <c r="I1010" s="1668"/>
      <c r="J1010" s="1660">
        <f t="shared" si="100"/>
        <v>13</v>
      </c>
      <c r="K1010" s="1011"/>
      <c r="L1010" s="1013"/>
      <c r="M1010" s="2065"/>
      <c r="N1010" s="2048"/>
      <c r="O1010" s="332"/>
      <c r="P1010" s="332"/>
      <c r="Q1010" s="332"/>
      <c r="R1010" s="332"/>
      <c r="S1010" s="332"/>
      <c r="T1010" s="177"/>
      <c r="U1010" s="177"/>
      <c r="V1010" s="2812"/>
      <c r="W1010" s="909"/>
      <c r="X1010" s="909"/>
      <c r="Y1010" s="908">
        <v>13</v>
      </c>
      <c r="Z1010" s="909"/>
      <c r="AA1010" s="909"/>
      <c r="AB1010" s="909"/>
      <c r="AC1010" s="909"/>
      <c r="AD1010" s="909"/>
      <c r="AE1010" s="909"/>
      <c r="AF1010" s="909"/>
      <c r="AG1010" s="927"/>
      <c r="BB1010" s="784"/>
      <c r="BC1010" s="785"/>
      <c r="BD1010" s="900"/>
    </row>
    <row r="1011" spans="1:56" s="65" customFormat="1" hidden="1" outlineLevel="1" x14ac:dyDescent="0.25">
      <c r="A1011" s="785"/>
      <c r="B1011" s="332"/>
      <c r="C1011" s="455"/>
      <c r="D1011" s="2802"/>
      <c r="E1011" s="2806"/>
      <c r="F1011" s="2797" t="str">
        <f t="shared" si="98"/>
        <v>Ductless ASHP Replace Electric Resistance ROF MF_CompE</v>
      </c>
      <c r="G1011" s="2797"/>
      <c r="H1011" s="2797"/>
      <c r="I1011" s="1668"/>
      <c r="J1011" s="1660">
        <f t="shared" si="100"/>
        <v>14</v>
      </c>
      <c r="K1011" s="1011"/>
      <c r="L1011" s="1013"/>
      <c r="M1011" s="2065"/>
      <c r="N1011" s="2048"/>
      <c r="O1011" s="332"/>
      <c r="P1011" s="332"/>
      <c r="Q1011" s="332"/>
      <c r="R1011" s="332"/>
      <c r="S1011" s="332"/>
      <c r="T1011" s="177"/>
      <c r="U1011" s="177"/>
      <c r="V1011" s="2812"/>
      <c r="W1011" s="909"/>
      <c r="X1011" s="909"/>
      <c r="Y1011" s="908">
        <v>14</v>
      </c>
      <c r="Z1011" s="909"/>
      <c r="AA1011" s="909"/>
      <c r="AB1011" s="909"/>
      <c r="AC1011" s="909"/>
      <c r="AD1011" s="909"/>
      <c r="AE1011" s="909"/>
      <c r="AF1011" s="909"/>
      <c r="AG1011" s="927"/>
      <c r="BB1011" s="784"/>
      <c r="BC1011" s="785"/>
      <c r="BD1011" s="900"/>
    </row>
    <row r="1012" spans="1:56" s="65" customFormat="1" ht="15.75" hidden="1" outlineLevel="1" thickBot="1" x14ac:dyDescent="0.3">
      <c r="A1012" s="785"/>
      <c r="B1012" s="332"/>
      <c r="C1012" s="455"/>
      <c r="D1012" s="2823"/>
      <c r="E1012" s="2824"/>
      <c r="F1012" s="2797" t="str">
        <f t="shared" si="98"/>
        <v>Ductless ASHP ER1 MF_CompE</v>
      </c>
      <c r="G1012" s="2797"/>
      <c r="H1012" s="2797"/>
      <c r="I1012" s="1039"/>
      <c r="J1012" s="1660">
        <f t="shared" si="100"/>
        <v>13</v>
      </c>
      <c r="K1012" s="1011"/>
      <c r="L1012" s="2066"/>
      <c r="M1012" s="2065"/>
      <c r="N1012" s="2048"/>
      <c r="O1012" s="332"/>
      <c r="P1012" s="332"/>
      <c r="Q1012" s="332"/>
      <c r="R1012" s="332"/>
      <c r="S1012" s="332"/>
      <c r="T1012" s="177"/>
      <c r="U1012" s="177"/>
      <c r="V1012" s="2828"/>
      <c r="W1012" s="945"/>
      <c r="X1012" s="945"/>
      <c r="Y1012" s="908">
        <v>13</v>
      </c>
      <c r="Z1012" s="945"/>
      <c r="AA1012" s="945"/>
      <c r="AB1012" s="945"/>
      <c r="AC1012" s="945"/>
      <c r="AD1012" s="945"/>
      <c r="AE1012" s="945"/>
      <c r="AF1012" s="945"/>
      <c r="AG1012" s="1015"/>
      <c r="BB1012" s="784"/>
      <c r="BC1012" s="785"/>
      <c r="BD1012" s="900"/>
    </row>
    <row r="1013" spans="1:56" s="65" customFormat="1" hidden="1" outlineLevel="1" x14ac:dyDescent="0.25">
      <c r="A1013" s="785"/>
      <c r="B1013" s="332"/>
      <c r="C1013" s="455"/>
      <c r="D1013" s="2801" t="s">
        <v>1294</v>
      </c>
      <c r="E1013" s="2805" t="s">
        <v>1360</v>
      </c>
      <c r="F1013" s="2820" t="str">
        <f t="shared" si="98"/>
        <v>Ductless AC - ER1 SF</v>
      </c>
      <c r="G1013" s="2821"/>
      <c r="H1013" s="2822"/>
      <c r="I1013" s="1669"/>
      <c r="J1013" s="1664">
        <v>6.3</v>
      </c>
      <c r="K1013" s="1008"/>
      <c r="L1013" s="1009" t="s">
        <v>1289</v>
      </c>
      <c r="M1013" s="2065"/>
      <c r="N1013" s="2048"/>
      <c r="O1013" s="332"/>
      <c r="P1013" s="332"/>
      <c r="Q1013" s="332"/>
      <c r="R1013" s="332"/>
      <c r="S1013" s="332"/>
      <c r="T1013" s="177"/>
      <c r="U1013" s="177"/>
      <c r="V1013" s="2811" t="s">
        <v>1294</v>
      </c>
      <c r="W1013" s="903">
        <v>6.3</v>
      </c>
      <c r="X1013" s="903">
        <v>6.3</v>
      </c>
      <c r="Y1013" s="903">
        <v>6.3</v>
      </c>
      <c r="Z1013" s="903"/>
      <c r="AA1013" s="903"/>
      <c r="AB1013" s="903"/>
      <c r="AC1013" s="903"/>
      <c r="AD1013" s="903"/>
      <c r="AE1013" s="903"/>
      <c r="AF1013" s="903"/>
      <c r="AG1013" s="1010"/>
      <c r="BB1013" s="784"/>
      <c r="BC1013" s="785"/>
      <c r="BD1013" s="900"/>
    </row>
    <row r="1014" spans="1:56" s="65" customFormat="1" hidden="1" outlineLevel="1" x14ac:dyDescent="0.25">
      <c r="A1014" s="785"/>
      <c r="B1014" s="332"/>
      <c r="C1014" s="455"/>
      <c r="D1014" s="2802"/>
      <c r="E1014" s="2806"/>
      <c r="F1014" s="2825" t="str">
        <f t="shared" si="98"/>
        <v>Ductless AC - ROF SF</v>
      </c>
      <c r="G1014" s="2826"/>
      <c r="H1014" s="2827"/>
      <c r="I1014" s="1668"/>
      <c r="J1014" s="1660">
        <v>6.3</v>
      </c>
      <c r="K1014" s="1011"/>
      <c r="L1014" s="1012" t="s">
        <v>1289</v>
      </c>
      <c r="M1014" s="2065"/>
      <c r="N1014" s="2048"/>
      <c r="O1014" s="332"/>
      <c r="P1014" s="332"/>
      <c r="Q1014" s="332"/>
      <c r="R1014" s="332"/>
      <c r="S1014" s="332"/>
      <c r="T1014" s="177"/>
      <c r="U1014" s="177"/>
      <c r="V1014" s="2812"/>
      <c r="W1014" s="909">
        <v>6.3</v>
      </c>
      <c r="X1014" s="909">
        <v>6.3</v>
      </c>
      <c r="Y1014" s="909">
        <v>6.3</v>
      </c>
      <c r="Z1014" s="909"/>
      <c r="AA1014" s="909"/>
      <c r="AB1014" s="909"/>
      <c r="AC1014" s="909"/>
      <c r="AD1014" s="909"/>
      <c r="AE1014" s="909"/>
      <c r="AF1014" s="909"/>
      <c r="AG1014" s="927"/>
      <c r="BB1014" s="784"/>
      <c r="BC1014" s="785"/>
      <c r="BD1014" s="900"/>
    </row>
    <row r="1015" spans="1:56" s="65" customFormat="1" hidden="1" outlineLevel="1" x14ac:dyDescent="0.25">
      <c r="A1015" s="785"/>
      <c r="B1015" s="332"/>
      <c r="C1015" s="455"/>
      <c r="D1015" s="2802"/>
      <c r="E1015" s="2806"/>
      <c r="F1015" s="2825" t="str">
        <f t="shared" si="98"/>
        <v>Ductless ASHP - ROF SF NC</v>
      </c>
      <c r="G1015" s="2826"/>
      <c r="H1015" s="2827"/>
      <c r="I1015" s="1668"/>
      <c r="J1015" s="1660">
        <v>7.2</v>
      </c>
      <c r="K1015" s="1011"/>
      <c r="L1015" s="1012" t="s">
        <v>1289</v>
      </c>
      <c r="M1015" s="2065"/>
      <c r="N1015" s="2048"/>
      <c r="O1015" s="332"/>
      <c r="P1015" s="332"/>
      <c r="Q1015" s="332"/>
      <c r="R1015" s="332"/>
      <c r="S1015" s="332"/>
      <c r="T1015" s="177"/>
      <c r="U1015" s="177"/>
      <c r="V1015" s="2812"/>
      <c r="W1015" s="909">
        <v>7.2</v>
      </c>
      <c r="X1015" s="909">
        <v>7.2</v>
      </c>
      <c r="Y1015" s="909">
        <v>7.2</v>
      </c>
      <c r="Z1015" s="909"/>
      <c r="AA1015" s="909"/>
      <c r="AB1015" s="909"/>
      <c r="AC1015" s="909"/>
      <c r="AD1015" s="909"/>
      <c r="AE1015" s="909"/>
      <c r="AF1015" s="909"/>
      <c r="AG1015" s="927"/>
      <c r="BB1015" s="784"/>
      <c r="BC1015" s="785"/>
      <c r="BD1015" s="900"/>
    </row>
    <row r="1016" spans="1:56" s="65" customFormat="1" hidden="1" outlineLevel="1" x14ac:dyDescent="0.25">
      <c r="A1016" s="785"/>
      <c r="B1016" s="332"/>
      <c r="C1016" s="455"/>
      <c r="D1016" s="2802"/>
      <c r="E1016" s="2806"/>
      <c r="F1016" s="2825" t="str">
        <f t="shared" si="98"/>
        <v>Ductless ASHP - ROF SF</v>
      </c>
      <c r="G1016" s="2826"/>
      <c r="H1016" s="2827"/>
      <c r="I1016" s="1668"/>
      <c r="J1016" s="1660">
        <v>7.2</v>
      </c>
      <c r="K1016" s="1011"/>
      <c r="L1016" s="1013" t="s">
        <v>1289</v>
      </c>
      <c r="M1016" s="2036"/>
      <c r="N1016" s="2048"/>
      <c r="O1016" s="332"/>
      <c r="P1016" s="332"/>
      <c r="Q1016" s="332"/>
      <c r="R1016" s="332"/>
      <c r="S1016" s="332"/>
      <c r="T1016" s="177"/>
      <c r="U1016" s="177"/>
      <c r="V1016" s="2812"/>
      <c r="W1016" s="909">
        <v>7.2</v>
      </c>
      <c r="X1016" s="909">
        <v>7.2</v>
      </c>
      <c r="Y1016" s="909">
        <v>7.2</v>
      </c>
      <c r="Z1016" s="909"/>
      <c r="AA1016" s="909"/>
      <c r="AB1016" s="909"/>
      <c r="AC1016" s="909"/>
      <c r="AD1016" s="909"/>
      <c r="AE1016" s="909"/>
      <c r="AF1016" s="909"/>
      <c r="AG1016" s="927"/>
      <c r="BB1016" s="784"/>
      <c r="BC1016" s="785"/>
      <c r="BD1016" s="900"/>
    </row>
    <row r="1017" spans="1:56" s="65" customFormat="1" hidden="1" outlineLevel="1" x14ac:dyDescent="0.25">
      <c r="A1017" s="785"/>
      <c r="B1017" s="332"/>
      <c r="C1017" s="455"/>
      <c r="D1017" s="2802"/>
      <c r="E1017" s="2806"/>
      <c r="F1017" s="2825" t="str">
        <f t="shared" si="98"/>
        <v>Ductless ASHP Replace Electric Resistance ER1 SF</v>
      </c>
      <c r="G1017" s="2826"/>
      <c r="H1017" s="2827"/>
      <c r="I1017" s="1668"/>
      <c r="J1017" s="1660">
        <v>6.8</v>
      </c>
      <c r="K1017" s="1011"/>
      <c r="L1017" s="1013" t="s">
        <v>1289</v>
      </c>
      <c r="M1017" s="2036"/>
      <c r="N1017" s="2048"/>
      <c r="O1017" s="332"/>
      <c r="P1017" s="332"/>
      <c r="Q1017" s="332"/>
      <c r="R1017" s="332"/>
      <c r="S1017" s="332"/>
      <c r="T1017" s="177"/>
      <c r="U1017" s="177"/>
      <c r="V1017" s="2812"/>
      <c r="W1017" s="909">
        <v>6.8</v>
      </c>
      <c r="X1017" s="909">
        <v>6.8</v>
      </c>
      <c r="Y1017" s="909">
        <v>6.8</v>
      </c>
      <c r="Z1017" s="909"/>
      <c r="AA1017" s="909"/>
      <c r="AB1017" s="909"/>
      <c r="AC1017" s="909"/>
      <c r="AD1017" s="909"/>
      <c r="AE1017" s="909"/>
      <c r="AF1017" s="909"/>
      <c r="AG1017" s="927"/>
      <c r="BB1017" s="784"/>
      <c r="BC1017" s="785"/>
      <c r="BD1017" s="900"/>
    </row>
    <row r="1018" spans="1:56" s="65" customFormat="1" hidden="1" outlineLevel="1" x14ac:dyDescent="0.25">
      <c r="A1018" s="785"/>
      <c r="B1018" s="332"/>
      <c r="C1018" s="455"/>
      <c r="D1018" s="2802"/>
      <c r="E1018" s="2806"/>
      <c r="F1018" s="2825" t="str">
        <f t="shared" si="98"/>
        <v>Ductless ASHP Replace Electric Resistance ROF SF</v>
      </c>
      <c r="G1018" s="2826"/>
      <c r="H1018" s="2827"/>
      <c r="I1018" s="1668"/>
      <c r="J1018" s="1660">
        <v>6.8</v>
      </c>
      <c r="K1018" s="1011"/>
      <c r="L1018" s="1013" t="s">
        <v>1289</v>
      </c>
      <c r="M1018" s="2036"/>
      <c r="N1018" s="2048"/>
      <c r="O1018" s="332"/>
      <c r="P1018" s="332"/>
      <c r="Q1018" s="332"/>
      <c r="R1018" s="332"/>
      <c r="S1018" s="332"/>
      <c r="T1018" s="177"/>
      <c r="U1018" s="177"/>
      <c r="V1018" s="2812"/>
      <c r="W1018" s="909">
        <v>6.8</v>
      </c>
      <c r="X1018" s="909">
        <v>6.8</v>
      </c>
      <c r="Y1018" s="909">
        <v>6.8</v>
      </c>
      <c r="Z1018" s="909"/>
      <c r="AA1018" s="909"/>
      <c r="AB1018" s="909"/>
      <c r="AC1018" s="909"/>
      <c r="AD1018" s="909"/>
      <c r="AE1018" s="909"/>
      <c r="AF1018" s="909"/>
      <c r="AG1018" s="927"/>
      <c r="BB1018" s="784"/>
      <c r="BC1018" s="785"/>
      <c r="BD1018" s="900"/>
    </row>
    <row r="1019" spans="1:56" s="65" customFormat="1" hidden="1" outlineLevel="1" x14ac:dyDescent="0.25">
      <c r="A1019" s="785"/>
      <c r="B1019" s="332"/>
      <c r="C1019" s="455"/>
      <c r="D1019" s="2802"/>
      <c r="E1019" s="2806"/>
      <c r="F1019" s="2825" t="str">
        <f t="shared" si="98"/>
        <v>Ductless ASHP ER1 SF</v>
      </c>
      <c r="G1019" s="2826"/>
      <c r="H1019" s="2827"/>
      <c r="I1019" s="1668"/>
      <c r="J1019" s="1660">
        <v>7.2</v>
      </c>
      <c r="K1019" s="1011"/>
      <c r="L1019" s="1013" t="s">
        <v>1289</v>
      </c>
      <c r="M1019" s="2065"/>
      <c r="N1019" s="2048"/>
      <c r="O1019" s="332"/>
      <c r="P1019" s="332"/>
      <c r="Q1019" s="332"/>
      <c r="R1019" s="332"/>
      <c r="S1019" s="332"/>
      <c r="T1019" s="177"/>
      <c r="U1019" s="177"/>
      <c r="V1019" s="2812"/>
      <c r="W1019" s="909">
        <v>7.2</v>
      </c>
      <c r="X1019" s="909">
        <v>7.2</v>
      </c>
      <c r="Y1019" s="909">
        <v>7.2</v>
      </c>
      <c r="Z1019" s="909"/>
      <c r="AA1019" s="909"/>
      <c r="AB1019" s="909"/>
      <c r="AC1019" s="909"/>
      <c r="AD1019" s="909"/>
      <c r="AE1019" s="909"/>
      <c r="AF1019" s="909"/>
      <c r="AG1019" s="927"/>
      <c r="BB1019" s="784"/>
      <c r="BC1019" s="785"/>
      <c r="BD1019" s="900"/>
    </row>
    <row r="1020" spans="1:56" s="65" customFormat="1" hidden="1" outlineLevel="1" x14ac:dyDescent="0.25">
      <c r="A1020" s="785"/>
      <c r="B1020" s="332"/>
      <c r="C1020" s="455"/>
      <c r="D1020" s="2802"/>
      <c r="E1020" s="2806"/>
      <c r="F1020" s="2797" t="str">
        <f t="shared" si="98"/>
        <v>Ductless AC - ER1 MF</v>
      </c>
      <c r="G1020" s="2797"/>
      <c r="H1020" s="2797"/>
      <c r="I1020" s="1668"/>
      <c r="J1020" s="1660">
        <f>J1013</f>
        <v>6.3</v>
      </c>
      <c r="K1020" s="1011"/>
      <c r="L1020" s="1012"/>
      <c r="M1020" s="2065"/>
      <c r="N1020" s="2048"/>
      <c r="O1020" s="332"/>
      <c r="P1020" s="332"/>
      <c r="Q1020" s="332"/>
      <c r="R1020" s="332"/>
      <c r="S1020" s="332"/>
      <c r="T1020" s="177"/>
      <c r="U1020" s="177"/>
      <c r="V1020" s="2812"/>
      <c r="W1020" s="909"/>
      <c r="X1020" s="908"/>
      <c r="Y1020" s="908">
        <v>6.3</v>
      </c>
      <c r="Z1020" s="909"/>
      <c r="AA1020" s="909"/>
      <c r="AB1020" s="909"/>
      <c r="AC1020" s="909"/>
      <c r="AD1020" s="909"/>
      <c r="AE1020" s="909"/>
      <c r="AF1020" s="909"/>
      <c r="AG1020" s="927"/>
      <c r="BB1020" s="784"/>
      <c r="BC1020" s="785"/>
      <c r="BD1020" s="900"/>
    </row>
    <row r="1021" spans="1:56" s="65" customFormat="1" hidden="1" outlineLevel="1" x14ac:dyDescent="0.25">
      <c r="A1021" s="785"/>
      <c r="B1021" s="332"/>
      <c r="C1021" s="455"/>
      <c r="D1021" s="2802"/>
      <c r="E1021" s="2806"/>
      <c r="F1021" s="2797" t="str">
        <f t="shared" si="98"/>
        <v>Ductless AC - ROF MF</v>
      </c>
      <c r="G1021" s="2797"/>
      <c r="H1021" s="2797"/>
      <c r="I1021" s="1668"/>
      <c r="J1021" s="1660">
        <f t="shared" ref="J1021:J1026" si="101">J1014</f>
        <v>6.3</v>
      </c>
      <c r="K1021" s="1011"/>
      <c r="L1021" s="1012"/>
      <c r="M1021" s="2065"/>
      <c r="N1021" s="2048"/>
      <c r="O1021" s="332"/>
      <c r="P1021" s="332"/>
      <c r="Q1021" s="332"/>
      <c r="R1021" s="332"/>
      <c r="S1021" s="332"/>
      <c r="T1021" s="177"/>
      <c r="U1021" s="177"/>
      <c r="V1021" s="2812"/>
      <c r="W1021" s="909"/>
      <c r="X1021" s="908"/>
      <c r="Y1021" s="908">
        <v>6.3</v>
      </c>
      <c r="Z1021" s="909"/>
      <c r="AA1021" s="909"/>
      <c r="AB1021" s="909"/>
      <c r="AC1021" s="909"/>
      <c r="AD1021" s="909"/>
      <c r="AE1021" s="909"/>
      <c r="AF1021" s="909"/>
      <c r="AG1021" s="927"/>
      <c r="BB1021" s="784"/>
      <c r="BC1021" s="785"/>
      <c r="BD1021" s="900"/>
    </row>
    <row r="1022" spans="1:56" s="65" customFormat="1" hidden="1" outlineLevel="1" x14ac:dyDescent="0.25">
      <c r="A1022" s="785"/>
      <c r="B1022" s="332"/>
      <c r="C1022" s="455"/>
      <c r="D1022" s="2802"/>
      <c r="E1022" s="2806"/>
      <c r="F1022" s="2797" t="str">
        <f t="shared" si="98"/>
        <v>Ductless ASHP - ROF MF NC</v>
      </c>
      <c r="G1022" s="2797"/>
      <c r="H1022" s="2797"/>
      <c r="I1022" s="1668"/>
      <c r="J1022" s="1660">
        <f t="shared" si="101"/>
        <v>7.2</v>
      </c>
      <c r="K1022" s="1011"/>
      <c r="L1022" s="1012"/>
      <c r="M1022" s="2065"/>
      <c r="N1022" s="2048"/>
      <c r="O1022" s="332"/>
      <c r="P1022" s="332"/>
      <c r="Q1022" s="332"/>
      <c r="R1022" s="332"/>
      <c r="S1022" s="332"/>
      <c r="T1022" s="177"/>
      <c r="U1022" s="177"/>
      <c r="V1022" s="2812"/>
      <c r="W1022" s="909"/>
      <c r="X1022" s="908"/>
      <c r="Y1022" s="908">
        <v>7.2</v>
      </c>
      <c r="Z1022" s="909"/>
      <c r="AA1022" s="909"/>
      <c r="AB1022" s="909"/>
      <c r="AC1022" s="909"/>
      <c r="AD1022" s="909"/>
      <c r="AE1022" s="909"/>
      <c r="AF1022" s="909"/>
      <c r="AG1022" s="927"/>
      <c r="BB1022" s="784"/>
      <c r="BC1022" s="785"/>
      <c r="BD1022" s="900"/>
    </row>
    <row r="1023" spans="1:56" s="65" customFormat="1" hidden="1" outlineLevel="1" x14ac:dyDescent="0.25">
      <c r="A1023" s="785"/>
      <c r="B1023" s="332"/>
      <c r="C1023" s="455"/>
      <c r="D1023" s="2802"/>
      <c r="E1023" s="2806"/>
      <c r="F1023" s="2797" t="str">
        <f t="shared" si="98"/>
        <v>Ductless ASHP - ROF MF</v>
      </c>
      <c r="G1023" s="2797"/>
      <c r="H1023" s="2797"/>
      <c r="I1023" s="1668"/>
      <c r="J1023" s="1660">
        <f t="shared" si="101"/>
        <v>7.2</v>
      </c>
      <c r="K1023" s="1011"/>
      <c r="L1023" s="1012"/>
      <c r="M1023" s="2065"/>
      <c r="N1023" s="2048"/>
      <c r="O1023" s="332"/>
      <c r="P1023" s="332"/>
      <c r="Q1023" s="332"/>
      <c r="R1023" s="332"/>
      <c r="S1023" s="332"/>
      <c r="T1023" s="177"/>
      <c r="U1023" s="177"/>
      <c r="V1023" s="2812"/>
      <c r="W1023" s="909"/>
      <c r="X1023" s="908"/>
      <c r="Y1023" s="908">
        <v>7.2</v>
      </c>
      <c r="Z1023" s="909"/>
      <c r="AA1023" s="909"/>
      <c r="AB1023" s="909"/>
      <c r="AC1023" s="909"/>
      <c r="AD1023" s="909"/>
      <c r="AE1023" s="909"/>
      <c r="AF1023" s="909"/>
      <c r="AG1023" s="927"/>
      <c r="BB1023" s="784"/>
      <c r="BC1023" s="785"/>
      <c r="BD1023" s="900"/>
    </row>
    <row r="1024" spans="1:56" s="65" customFormat="1" hidden="1" outlineLevel="1" x14ac:dyDescent="0.25">
      <c r="A1024" s="785"/>
      <c r="B1024" s="332"/>
      <c r="C1024" s="455"/>
      <c r="D1024" s="2802"/>
      <c r="E1024" s="2806"/>
      <c r="F1024" s="2797" t="str">
        <f t="shared" si="98"/>
        <v>Ductless ASHP Replace Electric Resistance ER1 MF</v>
      </c>
      <c r="G1024" s="2797"/>
      <c r="H1024" s="2797"/>
      <c r="I1024" s="1668"/>
      <c r="J1024" s="1660">
        <f t="shared" si="101"/>
        <v>6.8</v>
      </c>
      <c r="K1024" s="1011"/>
      <c r="L1024" s="1012"/>
      <c r="M1024" s="2065"/>
      <c r="N1024" s="2048"/>
      <c r="O1024" s="332"/>
      <c r="P1024" s="332"/>
      <c r="Q1024" s="332"/>
      <c r="R1024" s="332"/>
      <c r="S1024" s="332"/>
      <c r="T1024" s="177"/>
      <c r="U1024" s="177"/>
      <c r="V1024" s="2812"/>
      <c r="W1024" s="909"/>
      <c r="X1024" s="908"/>
      <c r="Y1024" s="908">
        <v>6.8</v>
      </c>
      <c r="Z1024" s="909"/>
      <c r="AA1024" s="909"/>
      <c r="AB1024" s="909"/>
      <c r="AC1024" s="909"/>
      <c r="AD1024" s="909"/>
      <c r="AE1024" s="909"/>
      <c r="AF1024" s="909"/>
      <c r="AG1024" s="927"/>
      <c r="BB1024" s="784"/>
      <c r="BC1024" s="785"/>
      <c r="BD1024" s="900"/>
    </row>
    <row r="1025" spans="1:56" s="65" customFormat="1" hidden="1" outlineLevel="1" x14ac:dyDescent="0.25">
      <c r="A1025" s="785"/>
      <c r="B1025" s="332"/>
      <c r="C1025" s="455"/>
      <c r="D1025" s="2802"/>
      <c r="E1025" s="2806"/>
      <c r="F1025" s="2797" t="str">
        <f t="shared" si="98"/>
        <v>Ductless ASHP Replace Electric Resistance ROF MF</v>
      </c>
      <c r="G1025" s="2797"/>
      <c r="H1025" s="2797"/>
      <c r="I1025" s="1668"/>
      <c r="J1025" s="1660">
        <f t="shared" si="101"/>
        <v>6.8</v>
      </c>
      <c r="K1025" s="1011"/>
      <c r="L1025" s="1012"/>
      <c r="M1025" s="2065"/>
      <c r="N1025" s="2048"/>
      <c r="O1025" s="332"/>
      <c r="P1025" s="332"/>
      <c r="Q1025" s="332"/>
      <c r="R1025" s="332"/>
      <c r="S1025" s="332"/>
      <c r="T1025" s="177"/>
      <c r="U1025" s="177"/>
      <c r="V1025" s="2812"/>
      <c r="W1025" s="909"/>
      <c r="X1025" s="908"/>
      <c r="Y1025" s="908">
        <v>6.8</v>
      </c>
      <c r="Z1025" s="909"/>
      <c r="AA1025" s="909"/>
      <c r="AB1025" s="909"/>
      <c r="AC1025" s="909"/>
      <c r="AD1025" s="909"/>
      <c r="AE1025" s="909"/>
      <c r="AF1025" s="909"/>
      <c r="AG1025" s="927"/>
      <c r="BB1025" s="784"/>
      <c r="BC1025" s="785"/>
      <c r="BD1025" s="900"/>
    </row>
    <row r="1026" spans="1:56" s="65" customFormat="1" hidden="1" outlineLevel="1" x14ac:dyDescent="0.25">
      <c r="A1026" s="785"/>
      <c r="B1026" s="332"/>
      <c r="C1026" s="455"/>
      <c r="D1026" s="2802"/>
      <c r="E1026" s="2806"/>
      <c r="F1026" s="2797" t="str">
        <f t="shared" si="98"/>
        <v>Ductless ASHP ER1 MF</v>
      </c>
      <c r="G1026" s="2797"/>
      <c r="H1026" s="2797"/>
      <c r="I1026" s="1668"/>
      <c r="J1026" s="1660">
        <f t="shared" si="101"/>
        <v>7.2</v>
      </c>
      <c r="K1026" s="1011"/>
      <c r="L1026" s="1012"/>
      <c r="M1026" s="2065"/>
      <c r="N1026" s="2048"/>
      <c r="O1026" s="332"/>
      <c r="P1026" s="332"/>
      <c r="Q1026" s="332"/>
      <c r="R1026" s="332"/>
      <c r="S1026" s="332"/>
      <c r="T1026" s="177"/>
      <c r="U1026" s="177"/>
      <c r="V1026" s="2812"/>
      <c r="W1026" s="909"/>
      <c r="X1026" s="908"/>
      <c r="Y1026" s="908">
        <v>7.2</v>
      </c>
      <c r="Z1026" s="909"/>
      <c r="AA1026" s="909"/>
      <c r="AB1026" s="909"/>
      <c r="AC1026" s="909"/>
      <c r="AD1026" s="909"/>
      <c r="AE1026" s="909"/>
      <c r="AF1026" s="909"/>
      <c r="AG1026" s="927"/>
      <c r="BB1026" s="784"/>
      <c r="BC1026" s="785"/>
      <c r="BD1026" s="900"/>
    </row>
    <row r="1027" spans="1:56" s="65" customFormat="1" hidden="1" outlineLevel="1" x14ac:dyDescent="0.25">
      <c r="A1027" s="785"/>
      <c r="B1027" s="332"/>
      <c r="C1027" s="455"/>
      <c r="D1027" s="2802"/>
      <c r="E1027" s="2806"/>
      <c r="F1027" s="2797" t="str">
        <f t="shared" si="98"/>
        <v>Ductless AC - ER1 MF_CompE</v>
      </c>
      <c r="G1027" s="2797"/>
      <c r="H1027" s="2797"/>
      <c r="I1027" s="1668"/>
      <c r="J1027" s="1660">
        <f>J1013</f>
        <v>6.3</v>
      </c>
      <c r="K1027" s="1011"/>
      <c r="L1027" s="1012"/>
      <c r="M1027" s="2065"/>
      <c r="N1027" s="2048"/>
      <c r="O1027" s="332"/>
      <c r="P1027" s="332"/>
      <c r="Q1027" s="332"/>
      <c r="R1027" s="332"/>
      <c r="S1027" s="332"/>
      <c r="T1027" s="177"/>
      <c r="U1027" s="177"/>
      <c r="V1027" s="2812"/>
      <c r="W1027" s="909"/>
      <c r="X1027" s="909"/>
      <c r="Y1027" s="908">
        <v>6.3</v>
      </c>
      <c r="Z1027" s="909"/>
      <c r="AA1027" s="909"/>
      <c r="AB1027" s="909"/>
      <c r="AC1027" s="909"/>
      <c r="AD1027" s="909"/>
      <c r="AE1027" s="909"/>
      <c r="AF1027" s="909"/>
      <c r="AG1027" s="927"/>
      <c r="BB1027" s="784"/>
      <c r="BC1027" s="785"/>
      <c r="BD1027" s="900"/>
    </row>
    <row r="1028" spans="1:56" s="65" customFormat="1" hidden="1" outlineLevel="1" x14ac:dyDescent="0.25">
      <c r="A1028" s="785"/>
      <c r="B1028" s="332"/>
      <c r="C1028" s="455"/>
      <c r="D1028" s="2802"/>
      <c r="E1028" s="2806"/>
      <c r="F1028" s="2797" t="str">
        <f t="shared" si="98"/>
        <v>Ductless AC - ROF MF_CompE</v>
      </c>
      <c r="G1028" s="2797"/>
      <c r="H1028" s="2797"/>
      <c r="I1028" s="1668"/>
      <c r="J1028" s="1660">
        <f t="shared" ref="J1028:J1033" si="102">J1014</f>
        <v>6.3</v>
      </c>
      <c r="K1028" s="1011"/>
      <c r="L1028" s="1012"/>
      <c r="M1028" s="2065"/>
      <c r="N1028" s="2048"/>
      <c r="O1028" s="332"/>
      <c r="P1028" s="332"/>
      <c r="Q1028" s="332"/>
      <c r="R1028" s="332"/>
      <c r="S1028" s="332"/>
      <c r="T1028" s="177"/>
      <c r="U1028" s="177"/>
      <c r="V1028" s="2812"/>
      <c r="W1028" s="909"/>
      <c r="X1028" s="909"/>
      <c r="Y1028" s="908">
        <v>6.3</v>
      </c>
      <c r="Z1028" s="909"/>
      <c r="AA1028" s="909"/>
      <c r="AB1028" s="909"/>
      <c r="AC1028" s="909"/>
      <c r="AD1028" s="909"/>
      <c r="AE1028" s="909"/>
      <c r="AF1028" s="909"/>
      <c r="AG1028" s="927"/>
      <c r="BB1028" s="784"/>
      <c r="BC1028" s="785"/>
      <c r="BD1028" s="900"/>
    </row>
    <row r="1029" spans="1:56" s="65" customFormat="1" hidden="1" outlineLevel="1" x14ac:dyDescent="0.25">
      <c r="A1029" s="785"/>
      <c r="B1029" s="332"/>
      <c r="C1029" s="455"/>
      <c r="D1029" s="2802"/>
      <c r="E1029" s="2806"/>
      <c r="F1029" s="2797" t="str">
        <f t="shared" si="98"/>
        <v>Ductless ASHP - ROF MF NC_CompE</v>
      </c>
      <c r="G1029" s="2797"/>
      <c r="H1029" s="2797"/>
      <c r="I1029" s="1668"/>
      <c r="J1029" s="1660">
        <f t="shared" si="102"/>
        <v>7.2</v>
      </c>
      <c r="K1029" s="1011"/>
      <c r="L1029" s="1012"/>
      <c r="M1029" s="2065"/>
      <c r="N1029" s="2048"/>
      <c r="O1029" s="332"/>
      <c r="P1029" s="332"/>
      <c r="Q1029" s="332"/>
      <c r="R1029" s="332"/>
      <c r="S1029" s="332"/>
      <c r="T1029" s="177"/>
      <c r="U1029" s="177"/>
      <c r="V1029" s="2812"/>
      <c r="W1029" s="909"/>
      <c r="X1029" s="909"/>
      <c r="Y1029" s="908">
        <v>7.2</v>
      </c>
      <c r="Z1029" s="909"/>
      <c r="AA1029" s="909"/>
      <c r="AB1029" s="909"/>
      <c r="AC1029" s="909"/>
      <c r="AD1029" s="909"/>
      <c r="AE1029" s="909"/>
      <c r="AF1029" s="909"/>
      <c r="AG1029" s="927"/>
      <c r="BB1029" s="784"/>
      <c r="BC1029" s="785"/>
      <c r="BD1029" s="900"/>
    </row>
    <row r="1030" spans="1:56" s="65" customFormat="1" hidden="1" outlineLevel="1" x14ac:dyDescent="0.25">
      <c r="A1030" s="785"/>
      <c r="B1030" s="332"/>
      <c r="C1030" s="455"/>
      <c r="D1030" s="2802"/>
      <c r="E1030" s="2806"/>
      <c r="F1030" s="2797" t="str">
        <f t="shared" si="98"/>
        <v>Ductless ASHP - ROF MF_CompE</v>
      </c>
      <c r="G1030" s="2797"/>
      <c r="H1030" s="2797"/>
      <c r="I1030" s="1668"/>
      <c r="J1030" s="1660">
        <f t="shared" si="102"/>
        <v>7.2</v>
      </c>
      <c r="K1030" s="1011"/>
      <c r="L1030" s="1013"/>
      <c r="M1030" s="2065"/>
      <c r="N1030" s="2048"/>
      <c r="O1030" s="332"/>
      <c r="P1030" s="332"/>
      <c r="Q1030" s="332"/>
      <c r="R1030" s="332"/>
      <c r="S1030" s="332"/>
      <c r="T1030" s="177"/>
      <c r="U1030" s="177"/>
      <c r="V1030" s="2812"/>
      <c r="W1030" s="909"/>
      <c r="X1030" s="909"/>
      <c r="Y1030" s="908">
        <v>7.2</v>
      </c>
      <c r="Z1030" s="909"/>
      <c r="AA1030" s="909"/>
      <c r="AB1030" s="909"/>
      <c r="AC1030" s="909"/>
      <c r="AD1030" s="909"/>
      <c r="AE1030" s="909"/>
      <c r="AF1030" s="909"/>
      <c r="AG1030" s="927"/>
      <c r="BB1030" s="784"/>
      <c r="BC1030" s="785"/>
      <c r="BD1030" s="900"/>
    </row>
    <row r="1031" spans="1:56" s="65" customFormat="1" hidden="1" outlineLevel="1" x14ac:dyDescent="0.25">
      <c r="A1031" s="785"/>
      <c r="B1031" s="332"/>
      <c r="C1031" s="455"/>
      <c r="D1031" s="2802"/>
      <c r="E1031" s="2806"/>
      <c r="F1031" s="2797" t="str">
        <f t="shared" si="98"/>
        <v>Ductless ASHP Replace Electric Resistance ER1 MF_CompE</v>
      </c>
      <c r="G1031" s="2797"/>
      <c r="H1031" s="2797"/>
      <c r="I1031" s="1668"/>
      <c r="J1031" s="1660">
        <f t="shared" si="102"/>
        <v>6.8</v>
      </c>
      <c r="K1031" s="1011"/>
      <c r="L1031" s="1013"/>
      <c r="M1031" s="2065"/>
      <c r="N1031" s="2048"/>
      <c r="O1031" s="332"/>
      <c r="P1031" s="332"/>
      <c r="Q1031" s="332"/>
      <c r="R1031" s="332"/>
      <c r="S1031" s="332"/>
      <c r="T1031" s="177"/>
      <c r="U1031" s="177"/>
      <c r="V1031" s="2812"/>
      <c r="W1031" s="909"/>
      <c r="X1031" s="909"/>
      <c r="Y1031" s="908">
        <v>6.8</v>
      </c>
      <c r="Z1031" s="909"/>
      <c r="AA1031" s="909"/>
      <c r="AB1031" s="909"/>
      <c r="AC1031" s="909"/>
      <c r="AD1031" s="909"/>
      <c r="AE1031" s="909"/>
      <c r="AF1031" s="909"/>
      <c r="AG1031" s="927"/>
      <c r="BB1031" s="784"/>
      <c r="BC1031" s="785"/>
      <c r="BD1031" s="900"/>
    </row>
    <row r="1032" spans="1:56" s="65" customFormat="1" hidden="1" outlineLevel="1" x14ac:dyDescent="0.25">
      <c r="A1032" s="785"/>
      <c r="B1032" s="332"/>
      <c r="C1032" s="455"/>
      <c r="D1032" s="2802"/>
      <c r="E1032" s="2806"/>
      <c r="F1032" s="2797" t="str">
        <f t="shared" si="98"/>
        <v>Ductless ASHP Replace Electric Resistance ROF MF_CompE</v>
      </c>
      <c r="G1032" s="2797"/>
      <c r="H1032" s="2797"/>
      <c r="I1032" s="1668"/>
      <c r="J1032" s="1660">
        <f t="shared" si="102"/>
        <v>6.8</v>
      </c>
      <c r="K1032" s="1011"/>
      <c r="L1032" s="1013"/>
      <c r="M1032" s="2065"/>
      <c r="N1032" s="2048"/>
      <c r="O1032" s="332"/>
      <c r="P1032" s="332"/>
      <c r="Q1032" s="332"/>
      <c r="R1032" s="332"/>
      <c r="S1032" s="332"/>
      <c r="T1032" s="177"/>
      <c r="U1032" s="177"/>
      <c r="V1032" s="2812"/>
      <c r="W1032" s="909"/>
      <c r="X1032" s="909"/>
      <c r="Y1032" s="908">
        <v>6.8</v>
      </c>
      <c r="Z1032" s="909"/>
      <c r="AA1032" s="909"/>
      <c r="AB1032" s="909"/>
      <c r="AC1032" s="909"/>
      <c r="AD1032" s="909"/>
      <c r="AE1032" s="909"/>
      <c r="AF1032" s="909"/>
      <c r="AG1032" s="927"/>
      <c r="BB1032" s="784"/>
      <c r="BC1032" s="785"/>
      <c r="BD1032" s="900"/>
    </row>
    <row r="1033" spans="1:56" s="65" customFormat="1" ht="15.75" hidden="1" outlineLevel="1" thickBot="1" x14ac:dyDescent="0.3">
      <c r="A1033" s="785"/>
      <c r="B1033" s="332"/>
      <c r="C1033" s="455"/>
      <c r="D1033" s="2823"/>
      <c r="E1033" s="2824"/>
      <c r="F1033" s="2797" t="str">
        <f t="shared" si="98"/>
        <v>Ductless ASHP ER1 MF_CompE</v>
      </c>
      <c r="G1033" s="2797"/>
      <c r="H1033" s="2797"/>
      <c r="I1033" s="1039"/>
      <c r="J1033" s="1660">
        <f t="shared" si="102"/>
        <v>7.2</v>
      </c>
      <c r="K1033" s="1011"/>
      <c r="L1033" s="2066"/>
      <c r="M1033" s="2065"/>
      <c r="N1033" s="2048"/>
      <c r="O1033" s="332"/>
      <c r="P1033" s="332"/>
      <c r="Q1033" s="332"/>
      <c r="R1033" s="332"/>
      <c r="S1033" s="332"/>
      <c r="T1033" s="177"/>
      <c r="U1033" s="177"/>
      <c r="V1033" s="2828"/>
      <c r="W1033" s="945"/>
      <c r="X1033" s="945"/>
      <c r="Y1033" s="1021">
        <v>7.2</v>
      </c>
      <c r="Z1033" s="945"/>
      <c r="AA1033" s="945"/>
      <c r="AB1033" s="945"/>
      <c r="AC1033" s="945"/>
      <c r="AD1033" s="945"/>
      <c r="AE1033" s="945"/>
      <c r="AF1033" s="945"/>
      <c r="AG1033" s="1015"/>
      <c r="BB1033" s="784"/>
      <c r="BC1033" s="785"/>
      <c r="BD1033" s="900"/>
    </row>
    <row r="1034" spans="1:56" s="65" customFormat="1" hidden="1" outlineLevel="1" x14ac:dyDescent="0.25">
      <c r="A1034" s="785"/>
      <c r="B1034" s="332"/>
      <c r="C1034" s="455"/>
      <c r="D1034" s="2801" t="s">
        <v>320</v>
      </c>
      <c r="E1034" s="2805" t="s">
        <v>1361</v>
      </c>
      <c r="F1034" s="2820" t="str">
        <f t="shared" si="98"/>
        <v>Ductless AC - ER1 SF</v>
      </c>
      <c r="G1034" s="2821"/>
      <c r="H1034" s="2822"/>
      <c r="I1034" s="1669"/>
      <c r="J1034" s="1664">
        <v>23.17</v>
      </c>
      <c r="K1034" s="1008"/>
      <c r="L1034" s="1009" t="s">
        <v>1356</v>
      </c>
      <c r="M1034" s="2065"/>
      <c r="N1034" s="2048"/>
      <c r="O1034" s="332"/>
      <c r="P1034" s="332"/>
      <c r="Q1034" s="332"/>
      <c r="R1034" s="332"/>
      <c r="S1034" s="332"/>
      <c r="T1034" s="177"/>
      <c r="U1034" s="177"/>
      <c r="V1034" s="2811" t="s">
        <v>320</v>
      </c>
      <c r="W1034" s="903">
        <v>22.4</v>
      </c>
      <c r="X1034" s="902">
        <v>23.17</v>
      </c>
      <c r="Y1034" s="903">
        <v>23.17</v>
      </c>
      <c r="Z1034" s="903"/>
      <c r="AA1034" s="903"/>
      <c r="AB1034" s="903"/>
      <c r="AC1034" s="903"/>
      <c r="AD1034" s="903"/>
      <c r="AE1034" s="903"/>
      <c r="AF1034" s="903"/>
      <c r="AG1034" s="1010"/>
      <c r="BB1034" s="784"/>
      <c r="BC1034" s="785"/>
      <c r="BD1034" s="900"/>
    </row>
    <row r="1035" spans="1:56" s="65" customFormat="1" hidden="1" outlineLevel="1" x14ac:dyDescent="0.25">
      <c r="A1035" s="785"/>
      <c r="B1035" s="332"/>
      <c r="C1035" s="455"/>
      <c r="D1035" s="2802"/>
      <c r="E1035" s="2806"/>
      <c r="F1035" s="2825" t="str">
        <f t="shared" si="98"/>
        <v>Ductless AC - ROF SF</v>
      </c>
      <c r="G1035" s="2826"/>
      <c r="H1035" s="2827"/>
      <c r="I1035" s="1668"/>
      <c r="J1035" s="1660">
        <v>23.17</v>
      </c>
      <c r="K1035" s="1011"/>
      <c r="L1035" s="1012"/>
      <c r="M1035" s="2065"/>
      <c r="N1035" s="2048"/>
      <c r="O1035" s="332"/>
      <c r="P1035" s="332"/>
      <c r="Q1035" s="332"/>
      <c r="R1035" s="332"/>
      <c r="S1035" s="332"/>
      <c r="T1035" s="177"/>
      <c r="U1035" s="177"/>
      <c r="V1035" s="2812"/>
      <c r="W1035" s="909">
        <v>21.6</v>
      </c>
      <c r="X1035" s="908">
        <v>23.17</v>
      </c>
      <c r="Y1035" s="909">
        <v>23.17</v>
      </c>
      <c r="Z1035" s="909"/>
      <c r="AA1035" s="909"/>
      <c r="AB1035" s="909"/>
      <c r="AC1035" s="909"/>
      <c r="AD1035" s="909"/>
      <c r="AE1035" s="909"/>
      <c r="AF1035" s="909"/>
      <c r="AG1035" s="927"/>
      <c r="BB1035" s="784"/>
      <c r="BC1035" s="785"/>
      <c r="BD1035" s="900"/>
    </row>
    <row r="1036" spans="1:56" s="65" customFormat="1" hidden="1" outlineLevel="1" x14ac:dyDescent="0.25">
      <c r="A1036" s="785"/>
      <c r="B1036" s="332"/>
      <c r="C1036" s="455"/>
      <c r="D1036" s="2802"/>
      <c r="E1036" s="2806"/>
      <c r="F1036" s="2825" t="str">
        <f t="shared" si="98"/>
        <v>Ductless ASHP - ROF SF NC</v>
      </c>
      <c r="G1036" s="2826"/>
      <c r="H1036" s="2827"/>
      <c r="I1036" s="1668"/>
      <c r="J1036" s="1660">
        <v>19</v>
      </c>
      <c r="K1036" s="1011"/>
      <c r="L1036" s="1012"/>
      <c r="M1036" s="2065"/>
      <c r="N1036" s="2048"/>
      <c r="O1036" s="332"/>
      <c r="P1036" s="332"/>
      <c r="Q1036" s="332"/>
      <c r="R1036" s="332"/>
      <c r="S1036" s="332"/>
      <c r="T1036" s="177"/>
      <c r="U1036" s="177"/>
      <c r="V1036" s="2812"/>
      <c r="W1036" s="909">
        <v>22.7</v>
      </c>
      <c r="X1036" s="908">
        <v>23.17</v>
      </c>
      <c r="Y1036" s="908">
        <v>19</v>
      </c>
      <c r="Z1036" s="909"/>
      <c r="AA1036" s="909"/>
      <c r="AB1036" s="909"/>
      <c r="AC1036" s="909"/>
      <c r="AD1036" s="909"/>
      <c r="AE1036" s="909"/>
      <c r="AF1036" s="909"/>
      <c r="AG1036" s="927"/>
      <c r="BB1036" s="784"/>
      <c r="BC1036" s="785"/>
      <c r="BD1036" s="900"/>
    </row>
    <row r="1037" spans="1:56" s="65" customFormat="1" hidden="1" outlineLevel="1" x14ac:dyDescent="0.25">
      <c r="A1037" s="785"/>
      <c r="B1037" s="332"/>
      <c r="C1037" s="455"/>
      <c r="D1037" s="2802"/>
      <c r="E1037" s="2806"/>
      <c r="F1037" s="2825" t="str">
        <f t="shared" si="98"/>
        <v>Ductless ASHP - ROF SF</v>
      </c>
      <c r="G1037" s="2826"/>
      <c r="H1037" s="2827"/>
      <c r="I1037" s="1668"/>
      <c r="J1037" s="1660">
        <v>19</v>
      </c>
      <c r="K1037" s="1011"/>
      <c r="L1037" s="1013"/>
      <c r="M1037" s="2036"/>
      <c r="N1037" s="2048"/>
      <c r="O1037" s="332"/>
      <c r="P1037" s="332"/>
      <c r="Q1037" s="332"/>
      <c r="R1037" s="332"/>
      <c r="S1037" s="332"/>
      <c r="T1037" s="177"/>
      <c r="U1037" s="177"/>
      <c r="V1037" s="2812"/>
      <c r="W1037" s="909">
        <v>22.7</v>
      </c>
      <c r="X1037" s="908">
        <v>23.17</v>
      </c>
      <c r="Y1037" s="908">
        <v>19</v>
      </c>
      <c r="Z1037" s="909"/>
      <c r="AA1037" s="909"/>
      <c r="AB1037" s="909"/>
      <c r="AC1037" s="909"/>
      <c r="AD1037" s="909"/>
      <c r="AE1037" s="909"/>
      <c r="AF1037" s="909"/>
      <c r="AG1037" s="927"/>
      <c r="BB1037" s="784"/>
      <c r="BC1037" s="785"/>
      <c r="BD1037" s="900"/>
    </row>
    <row r="1038" spans="1:56" s="65" customFormat="1" hidden="1" outlineLevel="1" x14ac:dyDescent="0.25">
      <c r="A1038" s="785"/>
      <c r="B1038" s="332"/>
      <c r="C1038" s="455"/>
      <c r="D1038" s="2802"/>
      <c r="E1038" s="2806"/>
      <c r="F1038" s="2825" t="str">
        <f t="shared" si="98"/>
        <v>Ductless ASHP Replace Electric Resistance ER1 SF</v>
      </c>
      <c r="G1038" s="2826"/>
      <c r="H1038" s="2827"/>
      <c r="I1038" s="1668"/>
      <c r="J1038" s="1660">
        <v>22.63</v>
      </c>
      <c r="K1038" s="1011"/>
      <c r="L1038" s="1013"/>
      <c r="M1038" s="2036"/>
      <c r="N1038" s="2048"/>
      <c r="O1038" s="332"/>
      <c r="P1038" s="332"/>
      <c r="Q1038" s="332"/>
      <c r="R1038" s="332"/>
      <c r="S1038" s="332"/>
      <c r="T1038" s="177"/>
      <c r="U1038" s="177"/>
      <c r="V1038" s="2812"/>
      <c r="W1038" s="909">
        <v>22.4</v>
      </c>
      <c r="X1038" s="908">
        <v>23.17</v>
      </c>
      <c r="Y1038" s="908">
        <v>22.63</v>
      </c>
      <c r="Z1038" s="909"/>
      <c r="AA1038" s="909"/>
      <c r="AB1038" s="909"/>
      <c r="AC1038" s="909"/>
      <c r="AD1038" s="909"/>
      <c r="AE1038" s="909"/>
      <c r="AF1038" s="909"/>
      <c r="AG1038" s="927"/>
      <c r="BB1038" s="784"/>
      <c r="BC1038" s="785"/>
      <c r="BD1038" s="900"/>
    </row>
    <row r="1039" spans="1:56" s="65" customFormat="1" hidden="1" outlineLevel="1" x14ac:dyDescent="0.25">
      <c r="A1039" s="785"/>
      <c r="B1039" s="332"/>
      <c r="C1039" s="455"/>
      <c r="D1039" s="2802"/>
      <c r="E1039" s="2806"/>
      <c r="F1039" s="2825" t="str">
        <f t="shared" si="98"/>
        <v>Ductless ASHP Replace Electric Resistance ROF SF</v>
      </c>
      <c r="G1039" s="2826"/>
      <c r="H1039" s="2827"/>
      <c r="I1039" s="1668"/>
      <c r="J1039" s="1660">
        <v>22.77</v>
      </c>
      <c r="K1039" s="1011"/>
      <c r="L1039" s="1013"/>
      <c r="M1039" s="2036"/>
      <c r="N1039" s="2048"/>
      <c r="O1039" s="332"/>
      <c r="P1039" s="332"/>
      <c r="Q1039" s="332"/>
      <c r="R1039" s="332"/>
      <c r="S1039" s="332"/>
      <c r="T1039" s="177"/>
      <c r="U1039" s="177"/>
      <c r="V1039" s="2812"/>
      <c r="W1039" s="909">
        <v>21.6</v>
      </c>
      <c r="X1039" s="908">
        <v>23.17</v>
      </c>
      <c r="Y1039" s="908">
        <v>22.77</v>
      </c>
      <c r="Z1039" s="909"/>
      <c r="AA1039" s="909"/>
      <c r="AB1039" s="909"/>
      <c r="AC1039" s="909"/>
      <c r="AD1039" s="909"/>
      <c r="AE1039" s="909"/>
      <c r="AF1039" s="909"/>
      <c r="AG1039" s="927"/>
      <c r="BB1039" s="784"/>
      <c r="BC1039" s="785"/>
      <c r="BD1039" s="900"/>
    </row>
    <row r="1040" spans="1:56" s="65" customFormat="1" hidden="1" outlineLevel="1" x14ac:dyDescent="0.25">
      <c r="A1040" s="785"/>
      <c r="B1040" s="332"/>
      <c r="C1040" s="455"/>
      <c r="D1040" s="2802"/>
      <c r="E1040" s="2806"/>
      <c r="F1040" s="2825" t="str">
        <f t="shared" si="98"/>
        <v>Ductless ASHP ER1 SF</v>
      </c>
      <c r="G1040" s="2826"/>
      <c r="H1040" s="2827"/>
      <c r="I1040" s="1668"/>
      <c r="J1040" s="1660">
        <v>27.01</v>
      </c>
      <c r="K1040" s="1011"/>
      <c r="L1040" s="1013"/>
      <c r="M1040" s="2065"/>
      <c r="N1040" s="2048"/>
      <c r="O1040" s="332"/>
      <c r="P1040" s="332"/>
      <c r="Q1040" s="332"/>
      <c r="R1040" s="332"/>
      <c r="S1040" s="332"/>
      <c r="T1040" s="177"/>
      <c r="U1040" s="177"/>
      <c r="V1040" s="2812"/>
      <c r="W1040" s="909">
        <v>21.2</v>
      </c>
      <c r="X1040" s="908">
        <v>23.17</v>
      </c>
      <c r="Y1040" s="908">
        <v>27.01</v>
      </c>
      <c r="Z1040" s="909"/>
      <c r="AA1040" s="909"/>
      <c r="AB1040" s="909"/>
      <c r="AC1040" s="909"/>
      <c r="AD1040" s="909"/>
      <c r="AE1040" s="909"/>
      <c r="AF1040" s="909"/>
      <c r="AG1040" s="927"/>
      <c r="BB1040" s="784"/>
      <c r="BC1040" s="785"/>
      <c r="BD1040" s="900"/>
    </row>
    <row r="1041" spans="1:56" s="65" customFormat="1" hidden="1" outlineLevel="1" x14ac:dyDescent="0.25">
      <c r="A1041" s="785"/>
      <c r="B1041" s="332"/>
      <c r="C1041" s="455"/>
      <c r="D1041" s="2802"/>
      <c r="E1041" s="2806"/>
      <c r="F1041" s="2797" t="str">
        <f t="shared" si="98"/>
        <v>Ductless AC - ER1 MF</v>
      </c>
      <c r="G1041" s="2797"/>
      <c r="H1041" s="2797"/>
      <c r="I1041" s="1668"/>
      <c r="J1041" s="1660">
        <f>J1034</f>
        <v>23.17</v>
      </c>
      <c r="K1041" s="1011"/>
      <c r="L1041" s="1012"/>
      <c r="M1041" s="2065"/>
      <c r="N1041" s="2048"/>
      <c r="O1041" s="332"/>
      <c r="P1041" s="332"/>
      <c r="Q1041" s="332"/>
      <c r="R1041" s="332"/>
      <c r="S1041" s="332"/>
      <c r="T1041" s="177"/>
      <c r="U1041" s="177"/>
      <c r="V1041" s="2812"/>
      <c r="W1041" s="909"/>
      <c r="X1041" s="908"/>
      <c r="Y1041" s="908">
        <v>23.17</v>
      </c>
      <c r="Z1041" s="909"/>
      <c r="AA1041" s="909"/>
      <c r="AB1041" s="909"/>
      <c r="AC1041" s="909"/>
      <c r="AD1041" s="909"/>
      <c r="AE1041" s="909"/>
      <c r="AF1041" s="909"/>
      <c r="AG1041" s="927"/>
      <c r="BB1041" s="784"/>
      <c r="BC1041" s="785"/>
      <c r="BD1041" s="900"/>
    </row>
    <row r="1042" spans="1:56" s="65" customFormat="1" hidden="1" outlineLevel="1" x14ac:dyDescent="0.25">
      <c r="A1042" s="785"/>
      <c r="B1042" s="332"/>
      <c r="C1042" s="455"/>
      <c r="D1042" s="2802"/>
      <c r="E1042" s="2806"/>
      <c r="F1042" s="2797" t="str">
        <f t="shared" si="98"/>
        <v>Ductless AC - ROF MF</v>
      </c>
      <c r="G1042" s="2797"/>
      <c r="H1042" s="2797"/>
      <c r="I1042" s="1668"/>
      <c r="J1042" s="1660">
        <f t="shared" ref="J1042:J1047" si="103">J1035</f>
        <v>23.17</v>
      </c>
      <c r="K1042" s="1011"/>
      <c r="L1042" s="1012"/>
      <c r="M1042" s="2065"/>
      <c r="N1042" s="2048"/>
      <c r="O1042" s="332"/>
      <c r="P1042" s="332"/>
      <c r="Q1042" s="332"/>
      <c r="R1042" s="332"/>
      <c r="S1042" s="332"/>
      <c r="T1042" s="177"/>
      <c r="U1042" s="177"/>
      <c r="V1042" s="2812"/>
      <c r="W1042" s="909"/>
      <c r="X1042" s="908"/>
      <c r="Y1042" s="908">
        <v>23.17</v>
      </c>
      <c r="Z1042" s="909"/>
      <c r="AA1042" s="909"/>
      <c r="AB1042" s="909"/>
      <c r="AC1042" s="909"/>
      <c r="AD1042" s="909"/>
      <c r="AE1042" s="909"/>
      <c r="AF1042" s="909"/>
      <c r="AG1042" s="927"/>
      <c r="BB1042" s="784"/>
      <c r="BC1042" s="785"/>
      <c r="BD1042" s="900"/>
    </row>
    <row r="1043" spans="1:56" s="65" customFormat="1" hidden="1" outlineLevel="1" x14ac:dyDescent="0.25">
      <c r="A1043" s="785"/>
      <c r="B1043" s="332"/>
      <c r="C1043" s="455"/>
      <c r="D1043" s="2802"/>
      <c r="E1043" s="2806"/>
      <c r="F1043" s="2797" t="str">
        <f t="shared" si="98"/>
        <v>Ductless ASHP - ROF MF NC</v>
      </c>
      <c r="G1043" s="2797"/>
      <c r="H1043" s="2797"/>
      <c r="I1043" s="1668"/>
      <c r="J1043" s="1660">
        <f t="shared" si="103"/>
        <v>19</v>
      </c>
      <c r="K1043" s="1011"/>
      <c r="L1043" s="1012"/>
      <c r="M1043" s="2065"/>
      <c r="N1043" s="2048"/>
      <c r="O1043" s="332"/>
      <c r="P1043" s="332"/>
      <c r="Q1043" s="332"/>
      <c r="R1043" s="332"/>
      <c r="S1043" s="332"/>
      <c r="T1043" s="177"/>
      <c r="U1043" s="177"/>
      <c r="V1043" s="2812"/>
      <c r="W1043" s="909"/>
      <c r="X1043" s="908"/>
      <c r="Y1043" s="908">
        <v>19</v>
      </c>
      <c r="Z1043" s="909"/>
      <c r="AA1043" s="909"/>
      <c r="AB1043" s="909"/>
      <c r="AC1043" s="909"/>
      <c r="AD1043" s="909"/>
      <c r="AE1043" s="909"/>
      <c r="AF1043" s="909"/>
      <c r="AG1043" s="927"/>
      <c r="BB1043" s="784"/>
      <c r="BC1043" s="785"/>
      <c r="BD1043" s="900"/>
    </row>
    <row r="1044" spans="1:56" s="65" customFormat="1" hidden="1" outlineLevel="1" x14ac:dyDescent="0.25">
      <c r="A1044" s="785"/>
      <c r="B1044" s="332"/>
      <c r="C1044" s="455"/>
      <c r="D1044" s="2802"/>
      <c r="E1044" s="2806"/>
      <c r="F1044" s="2797" t="str">
        <f t="shared" si="98"/>
        <v>Ductless ASHP - ROF MF</v>
      </c>
      <c r="G1044" s="2797"/>
      <c r="H1044" s="2797"/>
      <c r="I1044" s="1668"/>
      <c r="J1044" s="1660">
        <f t="shared" si="103"/>
        <v>19</v>
      </c>
      <c r="K1044" s="1011"/>
      <c r="L1044" s="1012"/>
      <c r="M1044" s="2065"/>
      <c r="N1044" s="2048"/>
      <c r="O1044" s="332"/>
      <c r="P1044" s="332"/>
      <c r="Q1044" s="332"/>
      <c r="R1044" s="332"/>
      <c r="S1044" s="332"/>
      <c r="T1044" s="177"/>
      <c r="U1044" s="177"/>
      <c r="V1044" s="2812"/>
      <c r="W1044" s="909"/>
      <c r="X1044" s="908"/>
      <c r="Y1044" s="908">
        <v>19</v>
      </c>
      <c r="Z1044" s="909"/>
      <c r="AA1044" s="909"/>
      <c r="AB1044" s="909"/>
      <c r="AC1044" s="909"/>
      <c r="AD1044" s="909"/>
      <c r="AE1044" s="909"/>
      <c r="AF1044" s="909"/>
      <c r="AG1044" s="927"/>
      <c r="BB1044" s="784"/>
      <c r="BC1044" s="785"/>
      <c r="BD1044" s="900"/>
    </row>
    <row r="1045" spans="1:56" s="65" customFormat="1" hidden="1" outlineLevel="1" x14ac:dyDescent="0.25">
      <c r="A1045" s="785"/>
      <c r="B1045" s="332"/>
      <c r="C1045" s="455"/>
      <c r="D1045" s="2802"/>
      <c r="E1045" s="2806"/>
      <c r="F1045" s="2797" t="str">
        <f t="shared" si="98"/>
        <v>Ductless ASHP Replace Electric Resistance ER1 MF</v>
      </c>
      <c r="G1045" s="2797"/>
      <c r="H1045" s="2797"/>
      <c r="I1045" s="1668"/>
      <c r="J1045" s="1660">
        <f t="shared" si="103"/>
        <v>22.63</v>
      </c>
      <c r="K1045" s="1011"/>
      <c r="L1045" s="1012"/>
      <c r="M1045" s="2065"/>
      <c r="N1045" s="2048"/>
      <c r="O1045" s="332"/>
      <c r="P1045" s="332"/>
      <c r="Q1045" s="332"/>
      <c r="R1045" s="332"/>
      <c r="S1045" s="332"/>
      <c r="T1045" s="177"/>
      <c r="U1045" s="177"/>
      <c r="V1045" s="2812"/>
      <c r="W1045" s="909"/>
      <c r="X1045" s="908"/>
      <c r="Y1045" s="908">
        <v>22.63</v>
      </c>
      <c r="Z1045" s="909"/>
      <c r="AA1045" s="909"/>
      <c r="AB1045" s="909"/>
      <c r="AC1045" s="909"/>
      <c r="AD1045" s="909"/>
      <c r="AE1045" s="909"/>
      <c r="AF1045" s="909"/>
      <c r="AG1045" s="927"/>
      <c r="BB1045" s="784"/>
      <c r="BC1045" s="785"/>
      <c r="BD1045" s="900"/>
    </row>
    <row r="1046" spans="1:56" s="65" customFormat="1" hidden="1" outlineLevel="1" x14ac:dyDescent="0.25">
      <c r="A1046" s="785"/>
      <c r="B1046" s="332"/>
      <c r="C1046" s="455"/>
      <c r="D1046" s="2802"/>
      <c r="E1046" s="2806"/>
      <c r="F1046" s="2797" t="str">
        <f t="shared" si="98"/>
        <v>Ductless ASHP Replace Electric Resistance ROF MF</v>
      </c>
      <c r="G1046" s="2797"/>
      <c r="H1046" s="2797"/>
      <c r="I1046" s="1668"/>
      <c r="J1046" s="1660">
        <f t="shared" si="103"/>
        <v>22.77</v>
      </c>
      <c r="K1046" s="1011"/>
      <c r="L1046" s="1012"/>
      <c r="M1046" s="2065"/>
      <c r="N1046" s="2048"/>
      <c r="O1046" s="332"/>
      <c r="P1046" s="332"/>
      <c r="Q1046" s="332"/>
      <c r="R1046" s="332"/>
      <c r="S1046" s="332"/>
      <c r="T1046" s="177"/>
      <c r="U1046" s="177"/>
      <c r="V1046" s="2812"/>
      <c r="W1046" s="909"/>
      <c r="X1046" s="908"/>
      <c r="Y1046" s="908">
        <v>22.77</v>
      </c>
      <c r="Z1046" s="909"/>
      <c r="AA1046" s="909"/>
      <c r="AB1046" s="909"/>
      <c r="AC1046" s="909"/>
      <c r="AD1046" s="909"/>
      <c r="AE1046" s="909"/>
      <c r="AF1046" s="909"/>
      <c r="AG1046" s="927"/>
      <c r="BB1046" s="784"/>
      <c r="BC1046" s="785"/>
      <c r="BD1046" s="900"/>
    </row>
    <row r="1047" spans="1:56" s="65" customFormat="1" hidden="1" outlineLevel="1" x14ac:dyDescent="0.25">
      <c r="A1047" s="785"/>
      <c r="B1047" s="332"/>
      <c r="C1047" s="455"/>
      <c r="D1047" s="2802"/>
      <c r="E1047" s="2806"/>
      <c r="F1047" s="2797" t="str">
        <f t="shared" si="98"/>
        <v>Ductless ASHP ER1 MF</v>
      </c>
      <c r="G1047" s="2797"/>
      <c r="H1047" s="2797"/>
      <c r="I1047" s="1668"/>
      <c r="J1047" s="1660">
        <f t="shared" si="103"/>
        <v>27.01</v>
      </c>
      <c r="K1047" s="1011"/>
      <c r="L1047" s="1012"/>
      <c r="M1047" s="2065"/>
      <c r="N1047" s="2048"/>
      <c r="O1047" s="332"/>
      <c r="P1047" s="332"/>
      <c r="Q1047" s="332"/>
      <c r="R1047" s="332"/>
      <c r="S1047" s="332"/>
      <c r="T1047" s="177"/>
      <c r="U1047" s="177"/>
      <c r="V1047" s="2812"/>
      <c r="W1047" s="909"/>
      <c r="X1047" s="908"/>
      <c r="Y1047" s="908">
        <v>27.01</v>
      </c>
      <c r="Z1047" s="909"/>
      <c r="AA1047" s="909"/>
      <c r="AB1047" s="909"/>
      <c r="AC1047" s="909"/>
      <c r="AD1047" s="909"/>
      <c r="AE1047" s="909"/>
      <c r="AF1047" s="909"/>
      <c r="AG1047" s="927"/>
      <c r="BB1047" s="784"/>
      <c r="BC1047" s="785"/>
      <c r="BD1047" s="900"/>
    </row>
    <row r="1048" spans="1:56" s="65" customFormat="1" hidden="1" outlineLevel="1" x14ac:dyDescent="0.25">
      <c r="A1048" s="785"/>
      <c r="B1048" s="332"/>
      <c r="C1048" s="455"/>
      <c r="D1048" s="2802"/>
      <c r="E1048" s="2806"/>
      <c r="F1048" s="2797" t="str">
        <f t="shared" si="98"/>
        <v>Ductless AC - ER1 MF_CompE</v>
      </c>
      <c r="G1048" s="2797"/>
      <c r="H1048" s="2797"/>
      <c r="I1048" s="1668"/>
      <c r="J1048" s="1660">
        <f>J1034</f>
        <v>23.17</v>
      </c>
      <c r="K1048" s="1011"/>
      <c r="L1048" s="1012"/>
      <c r="M1048" s="2065"/>
      <c r="N1048" s="2048"/>
      <c r="O1048" s="332"/>
      <c r="P1048" s="332"/>
      <c r="Q1048" s="332"/>
      <c r="R1048" s="332"/>
      <c r="S1048" s="332"/>
      <c r="T1048" s="177"/>
      <c r="U1048" s="177"/>
      <c r="V1048" s="2812"/>
      <c r="W1048" s="909"/>
      <c r="X1048" s="909"/>
      <c r="Y1048" s="908">
        <v>23.17</v>
      </c>
      <c r="Z1048" s="909"/>
      <c r="AA1048" s="909"/>
      <c r="AB1048" s="909"/>
      <c r="AC1048" s="909"/>
      <c r="AD1048" s="909"/>
      <c r="AE1048" s="909"/>
      <c r="AF1048" s="909"/>
      <c r="AG1048" s="927"/>
      <c r="BB1048" s="784"/>
      <c r="BC1048" s="785"/>
      <c r="BD1048" s="900"/>
    </row>
    <row r="1049" spans="1:56" s="65" customFormat="1" hidden="1" outlineLevel="1" x14ac:dyDescent="0.25">
      <c r="A1049" s="785"/>
      <c r="B1049" s="332"/>
      <c r="C1049" s="455"/>
      <c r="D1049" s="2802"/>
      <c r="E1049" s="2806"/>
      <c r="F1049" s="2797" t="str">
        <f t="shared" si="98"/>
        <v>Ductless AC - ROF MF_CompE</v>
      </c>
      <c r="G1049" s="2797"/>
      <c r="H1049" s="2797"/>
      <c r="I1049" s="1668"/>
      <c r="J1049" s="1660">
        <f t="shared" ref="J1049:J1054" si="104">J1035</f>
        <v>23.17</v>
      </c>
      <c r="K1049" s="1011"/>
      <c r="L1049" s="1012"/>
      <c r="M1049" s="2065"/>
      <c r="N1049" s="2048"/>
      <c r="O1049" s="332"/>
      <c r="P1049" s="332"/>
      <c r="Q1049" s="332"/>
      <c r="R1049" s="332"/>
      <c r="S1049" s="332"/>
      <c r="T1049" s="177"/>
      <c r="U1049" s="177"/>
      <c r="V1049" s="2812"/>
      <c r="W1049" s="909"/>
      <c r="X1049" s="909"/>
      <c r="Y1049" s="908">
        <v>23.17</v>
      </c>
      <c r="Z1049" s="909"/>
      <c r="AA1049" s="909"/>
      <c r="AB1049" s="909"/>
      <c r="AC1049" s="909"/>
      <c r="AD1049" s="909"/>
      <c r="AE1049" s="909"/>
      <c r="AF1049" s="909"/>
      <c r="AG1049" s="927"/>
      <c r="BB1049" s="784"/>
      <c r="BC1049" s="785"/>
      <c r="BD1049" s="900"/>
    </row>
    <row r="1050" spans="1:56" s="65" customFormat="1" hidden="1" outlineLevel="1" x14ac:dyDescent="0.25">
      <c r="A1050" s="785"/>
      <c r="B1050" s="332"/>
      <c r="C1050" s="455"/>
      <c r="D1050" s="2802"/>
      <c r="E1050" s="2806"/>
      <c r="F1050" s="2797" t="str">
        <f t="shared" si="98"/>
        <v>Ductless ASHP - ROF MF NC_CompE</v>
      </c>
      <c r="G1050" s="2797"/>
      <c r="H1050" s="2797"/>
      <c r="I1050" s="1668"/>
      <c r="J1050" s="1660">
        <f t="shared" si="104"/>
        <v>19</v>
      </c>
      <c r="K1050" s="1011"/>
      <c r="L1050" s="1012"/>
      <c r="M1050" s="2065"/>
      <c r="N1050" s="2048"/>
      <c r="O1050" s="332"/>
      <c r="P1050" s="332"/>
      <c r="Q1050" s="332"/>
      <c r="R1050" s="332"/>
      <c r="S1050" s="332"/>
      <c r="T1050" s="177"/>
      <c r="U1050" s="177"/>
      <c r="V1050" s="2812"/>
      <c r="W1050" s="909"/>
      <c r="X1050" s="909"/>
      <c r="Y1050" s="908">
        <v>19</v>
      </c>
      <c r="Z1050" s="909"/>
      <c r="AA1050" s="909"/>
      <c r="AB1050" s="909"/>
      <c r="AC1050" s="909"/>
      <c r="AD1050" s="909"/>
      <c r="AE1050" s="909"/>
      <c r="AF1050" s="909"/>
      <c r="AG1050" s="927"/>
      <c r="BB1050" s="784"/>
      <c r="BC1050" s="785"/>
      <c r="BD1050" s="900"/>
    </row>
    <row r="1051" spans="1:56" s="65" customFormat="1" hidden="1" outlineLevel="1" x14ac:dyDescent="0.25">
      <c r="A1051" s="785"/>
      <c r="B1051" s="332"/>
      <c r="C1051" s="455"/>
      <c r="D1051" s="2802"/>
      <c r="E1051" s="2806"/>
      <c r="F1051" s="2797" t="str">
        <f t="shared" si="98"/>
        <v>Ductless ASHP - ROF MF_CompE</v>
      </c>
      <c r="G1051" s="2797"/>
      <c r="H1051" s="2797"/>
      <c r="I1051" s="1668"/>
      <c r="J1051" s="1660">
        <f t="shared" si="104"/>
        <v>19</v>
      </c>
      <c r="K1051" s="1011"/>
      <c r="L1051" s="1013"/>
      <c r="M1051" s="2065"/>
      <c r="N1051" s="2048"/>
      <c r="O1051" s="332"/>
      <c r="P1051" s="332"/>
      <c r="Q1051" s="332"/>
      <c r="R1051" s="332"/>
      <c r="S1051" s="332"/>
      <c r="T1051" s="177"/>
      <c r="U1051" s="177"/>
      <c r="V1051" s="2812"/>
      <c r="W1051" s="909"/>
      <c r="X1051" s="909"/>
      <c r="Y1051" s="908">
        <v>19</v>
      </c>
      <c r="Z1051" s="909"/>
      <c r="AA1051" s="909"/>
      <c r="AB1051" s="909"/>
      <c r="AC1051" s="909"/>
      <c r="AD1051" s="909"/>
      <c r="AE1051" s="909"/>
      <c r="AF1051" s="909"/>
      <c r="AG1051" s="927"/>
      <c r="BB1051" s="784"/>
      <c r="BC1051" s="785"/>
      <c r="BD1051" s="900"/>
    </row>
    <row r="1052" spans="1:56" s="65" customFormat="1" hidden="1" outlineLevel="1" x14ac:dyDescent="0.25">
      <c r="A1052" s="785"/>
      <c r="B1052" s="332"/>
      <c r="C1052" s="455"/>
      <c r="D1052" s="2802"/>
      <c r="E1052" s="2806"/>
      <c r="F1052" s="2797" t="str">
        <f t="shared" si="98"/>
        <v>Ductless ASHP Replace Electric Resistance ER1 MF_CompE</v>
      </c>
      <c r="G1052" s="2797"/>
      <c r="H1052" s="2797"/>
      <c r="I1052" s="1668"/>
      <c r="J1052" s="1660">
        <f t="shared" si="104"/>
        <v>22.63</v>
      </c>
      <c r="K1052" s="1011"/>
      <c r="L1052" s="1013"/>
      <c r="M1052" s="2065"/>
      <c r="N1052" s="2048"/>
      <c r="O1052" s="332"/>
      <c r="P1052" s="332"/>
      <c r="Q1052" s="332"/>
      <c r="R1052" s="332"/>
      <c r="S1052" s="332"/>
      <c r="T1052" s="177"/>
      <c r="U1052" s="177"/>
      <c r="V1052" s="2812"/>
      <c r="W1052" s="909"/>
      <c r="X1052" s="909"/>
      <c r="Y1052" s="908">
        <v>22.63</v>
      </c>
      <c r="Z1052" s="909"/>
      <c r="AA1052" s="909"/>
      <c r="AB1052" s="909"/>
      <c r="AC1052" s="909"/>
      <c r="AD1052" s="909"/>
      <c r="AE1052" s="909"/>
      <c r="AF1052" s="909"/>
      <c r="AG1052" s="927"/>
      <c r="BB1052" s="784"/>
      <c r="BC1052" s="785"/>
      <c r="BD1052" s="900"/>
    </row>
    <row r="1053" spans="1:56" s="65" customFormat="1" hidden="1" outlineLevel="1" x14ac:dyDescent="0.25">
      <c r="A1053" s="785"/>
      <c r="B1053" s="332"/>
      <c r="C1053" s="455"/>
      <c r="D1053" s="2802"/>
      <c r="E1053" s="2806"/>
      <c r="F1053" s="2797" t="str">
        <f t="shared" si="98"/>
        <v>Ductless ASHP Replace Electric Resistance ROF MF_CompE</v>
      </c>
      <c r="G1053" s="2797"/>
      <c r="H1053" s="2797"/>
      <c r="I1053" s="1668"/>
      <c r="J1053" s="1660">
        <f t="shared" si="104"/>
        <v>22.77</v>
      </c>
      <c r="K1053" s="1011"/>
      <c r="L1053" s="1013"/>
      <c r="M1053" s="2065"/>
      <c r="N1053" s="2048"/>
      <c r="O1053" s="332"/>
      <c r="P1053" s="332"/>
      <c r="Q1053" s="332"/>
      <c r="R1053" s="332"/>
      <c r="S1053" s="332"/>
      <c r="T1053" s="177"/>
      <c r="U1053" s="177"/>
      <c r="V1053" s="2812"/>
      <c r="W1053" s="909"/>
      <c r="X1053" s="909"/>
      <c r="Y1053" s="908">
        <v>22.77</v>
      </c>
      <c r="Z1053" s="909"/>
      <c r="AA1053" s="909"/>
      <c r="AB1053" s="909"/>
      <c r="AC1053" s="909"/>
      <c r="AD1053" s="909"/>
      <c r="AE1053" s="909"/>
      <c r="AF1053" s="909"/>
      <c r="AG1053" s="927"/>
      <c r="BB1053" s="784"/>
      <c r="BC1053" s="785"/>
      <c r="BD1053" s="900"/>
    </row>
    <row r="1054" spans="1:56" s="65" customFormat="1" ht="15.75" hidden="1" outlineLevel="1" thickBot="1" x14ac:dyDescent="0.3">
      <c r="A1054" s="785"/>
      <c r="B1054" s="332"/>
      <c r="C1054" s="455"/>
      <c r="D1054" s="2823"/>
      <c r="E1054" s="2824"/>
      <c r="F1054" s="2797" t="str">
        <f t="shared" si="98"/>
        <v>Ductless ASHP ER1 MF_CompE</v>
      </c>
      <c r="G1054" s="2797"/>
      <c r="H1054" s="2797"/>
      <c r="I1054" s="1039"/>
      <c r="J1054" s="945">
        <f t="shared" si="104"/>
        <v>27.01</v>
      </c>
      <c r="K1054" s="1011"/>
      <c r="L1054" s="2066"/>
      <c r="M1054" s="2065"/>
      <c r="N1054" s="2048"/>
      <c r="O1054" s="332"/>
      <c r="P1054" s="332"/>
      <c r="Q1054" s="332"/>
      <c r="R1054" s="332"/>
      <c r="S1054" s="332"/>
      <c r="T1054" s="177"/>
      <c r="U1054" s="177"/>
      <c r="V1054" s="2828"/>
      <c r="W1054" s="945"/>
      <c r="X1054" s="945"/>
      <c r="Y1054" s="1021">
        <v>27.01</v>
      </c>
      <c r="Z1054" s="945"/>
      <c r="AA1054" s="945"/>
      <c r="AB1054" s="945"/>
      <c r="AC1054" s="945"/>
      <c r="AD1054" s="945"/>
      <c r="AE1054" s="945"/>
      <c r="AF1054" s="945"/>
      <c r="AG1054" s="1015"/>
      <c r="BB1054" s="784"/>
      <c r="BC1054" s="785"/>
      <c r="BD1054" s="900"/>
    </row>
    <row r="1055" spans="1:56" s="65" customFormat="1" hidden="1" outlineLevel="1" x14ac:dyDescent="0.25">
      <c r="A1055" s="785"/>
      <c r="B1055" s="332"/>
      <c r="C1055" s="455"/>
      <c r="D1055" s="2805" t="s">
        <v>775</v>
      </c>
      <c r="E1055" s="2855" t="s">
        <v>1362</v>
      </c>
      <c r="F1055" s="2849" t="str">
        <f t="shared" ref="F1055:F1073" si="105">E775</f>
        <v>Ductless AC - ER1 SF</v>
      </c>
      <c r="G1055" s="2850"/>
      <c r="H1055" s="2851"/>
      <c r="I1055" s="1669"/>
      <c r="J1055" s="1023">
        <v>1</v>
      </c>
      <c r="K1055" s="1024"/>
      <c r="L1055" s="2852"/>
      <c r="M1055" s="2065"/>
      <c r="N1055" s="2048"/>
      <c r="O1055" s="332"/>
      <c r="P1055" s="332"/>
      <c r="Q1055" s="332"/>
      <c r="R1055" s="332"/>
      <c r="S1055" s="332"/>
      <c r="T1055" s="177"/>
      <c r="U1055" s="177"/>
      <c r="V1055" s="2805" t="s">
        <v>775</v>
      </c>
      <c r="W1055" s="1025">
        <v>1</v>
      </c>
      <c r="X1055" s="1025">
        <v>1</v>
      </c>
      <c r="Y1055" s="1025">
        <v>1</v>
      </c>
      <c r="Z1055" s="1025"/>
      <c r="AA1055" s="1025"/>
      <c r="AB1055" s="1025"/>
      <c r="AC1055" s="1025"/>
      <c r="AD1055" s="1025"/>
      <c r="AE1055" s="1025"/>
      <c r="AF1055" s="1025"/>
      <c r="AG1055" s="1026"/>
      <c r="BB1055" s="784"/>
      <c r="BC1055" s="785"/>
      <c r="BD1055" s="900"/>
    </row>
    <row r="1056" spans="1:56" s="65" customFormat="1" hidden="1" outlineLevel="1" x14ac:dyDescent="0.25">
      <c r="A1056" s="785"/>
      <c r="B1056" s="332"/>
      <c r="C1056" s="455"/>
      <c r="D1056" s="2806"/>
      <c r="E1056" s="2856"/>
      <c r="F1056" s="2837" t="str">
        <f t="shared" si="105"/>
        <v>Ductless AC - ER2 SF</v>
      </c>
      <c r="G1056" s="2838"/>
      <c r="H1056" s="2839"/>
      <c r="I1056" s="1668"/>
      <c r="J1056" s="1027">
        <v>1</v>
      </c>
      <c r="K1056" s="1028"/>
      <c r="L1056" s="2853"/>
      <c r="M1056" s="2065"/>
      <c r="N1056" s="2048"/>
      <c r="O1056" s="332"/>
      <c r="P1056" s="332"/>
      <c r="Q1056" s="332"/>
      <c r="R1056" s="332"/>
      <c r="S1056" s="332"/>
      <c r="T1056" s="177"/>
      <c r="U1056" s="177"/>
      <c r="V1056" s="2806"/>
      <c r="W1056" s="1027">
        <v>1</v>
      </c>
      <c r="X1056" s="1027">
        <v>1</v>
      </c>
      <c r="Y1056" s="1027">
        <v>1</v>
      </c>
      <c r="Z1056" s="1027"/>
      <c r="AA1056" s="1027"/>
      <c r="AB1056" s="1027"/>
      <c r="AC1056" s="1027"/>
      <c r="AD1056" s="1027"/>
      <c r="AE1056" s="1027"/>
      <c r="AF1056" s="1027"/>
      <c r="AG1056" s="1029"/>
      <c r="BB1056" s="784"/>
      <c r="BC1056" s="785"/>
      <c r="BD1056" s="900"/>
    </row>
    <row r="1057" spans="1:56" s="65" customFormat="1" hidden="1" outlineLevel="1" x14ac:dyDescent="0.25">
      <c r="A1057" s="785"/>
      <c r="B1057" s="332"/>
      <c r="C1057" s="455"/>
      <c r="D1057" s="2806"/>
      <c r="E1057" s="2856"/>
      <c r="F1057" s="2844" t="str">
        <f t="shared" si="105"/>
        <v>Ductless AC - ROF SF</v>
      </c>
      <c r="G1057" s="2845"/>
      <c r="H1057" s="2846"/>
      <c r="I1057" s="1668"/>
      <c r="J1057" s="1027">
        <v>1</v>
      </c>
      <c r="K1057" s="1028"/>
      <c r="L1057" s="2853"/>
      <c r="M1057" s="2065"/>
      <c r="N1057" s="2048"/>
      <c r="O1057" s="332"/>
      <c r="P1057" s="332"/>
      <c r="Q1057" s="332"/>
      <c r="R1057" s="332"/>
      <c r="S1057" s="332"/>
      <c r="T1057" s="177"/>
      <c r="U1057" s="177"/>
      <c r="V1057" s="2806"/>
      <c r="W1057" s="1027">
        <v>1</v>
      </c>
      <c r="X1057" s="1027">
        <v>1</v>
      </c>
      <c r="Y1057" s="1027">
        <v>1</v>
      </c>
      <c r="Z1057" s="1027"/>
      <c r="AA1057" s="1027"/>
      <c r="AB1057" s="1027"/>
      <c r="AC1057" s="1027"/>
      <c r="AD1057" s="1027"/>
      <c r="AE1057" s="1027"/>
      <c r="AF1057" s="1027"/>
      <c r="AG1057" s="1029"/>
      <c r="BB1057" s="784"/>
      <c r="BC1057" s="785"/>
      <c r="BD1057" s="900"/>
    </row>
    <row r="1058" spans="1:56" s="65" customFormat="1" hidden="1" outlineLevel="1" x14ac:dyDescent="0.25">
      <c r="A1058" s="785"/>
      <c r="B1058" s="332"/>
      <c r="C1058" s="455"/>
      <c r="D1058" s="2806"/>
      <c r="E1058" s="2856"/>
      <c r="F1058" s="2840" t="str">
        <f t="shared" si="105"/>
        <v>Ductless ASHP - ROF SF NC</v>
      </c>
      <c r="G1058" s="2841"/>
      <c r="H1058" s="2842"/>
      <c r="I1058" s="1668"/>
      <c r="J1058" s="1027">
        <v>1</v>
      </c>
      <c r="K1058" s="1028"/>
      <c r="L1058" s="2853"/>
      <c r="M1058" s="2065"/>
      <c r="N1058" s="2048"/>
      <c r="O1058" s="332"/>
      <c r="P1058" s="332"/>
      <c r="Q1058" s="332"/>
      <c r="R1058" s="332"/>
      <c r="S1058" s="332"/>
      <c r="T1058" s="177"/>
      <c r="U1058" s="177"/>
      <c r="V1058" s="2806"/>
      <c r="W1058" s="1027">
        <v>1</v>
      </c>
      <c r="X1058" s="1027">
        <v>1</v>
      </c>
      <c r="Y1058" s="1027">
        <v>1</v>
      </c>
      <c r="Z1058" s="1027"/>
      <c r="AA1058" s="1027"/>
      <c r="AB1058" s="1027"/>
      <c r="AC1058" s="1027"/>
      <c r="AD1058" s="1027"/>
      <c r="AE1058" s="1027"/>
      <c r="AF1058" s="1027"/>
      <c r="AG1058" s="1029"/>
      <c r="BB1058" s="784"/>
      <c r="BC1058" s="785"/>
      <c r="BD1058" s="900"/>
    </row>
    <row r="1059" spans="1:56" s="65" customFormat="1" hidden="1" outlineLevel="1" x14ac:dyDescent="0.25">
      <c r="A1059" s="785"/>
      <c r="B1059" s="332"/>
      <c r="C1059" s="455"/>
      <c r="D1059" s="2806"/>
      <c r="E1059" s="2856"/>
      <c r="F1059" s="2837" t="str">
        <f t="shared" si="105"/>
        <v>Ductless ASHP - ROF SF NC</v>
      </c>
      <c r="G1059" s="2838"/>
      <c r="H1059" s="2839"/>
      <c r="I1059" s="1668"/>
      <c r="J1059" s="1027">
        <v>1</v>
      </c>
      <c r="K1059" s="1028"/>
      <c r="L1059" s="2853"/>
      <c r="M1059" s="2065"/>
      <c r="N1059" s="2048"/>
      <c r="O1059" s="332"/>
      <c r="P1059" s="332"/>
      <c r="Q1059" s="332"/>
      <c r="R1059" s="332"/>
      <c r="S1059" s="332"/>
      <c r="T1059" s="177"/>
      <c r="U1059" s="177"/>
      <c r="V1059" s="2806"/>
      <c r="W1059" s="1027">
        <v>1</v>
      </c>
      <c r="X1059" s="1027">
        <v>1</v>
      </c>
      <c r="Y1059" s="1027">
        <v>1</v>
      </c>
      <c r="Z1059" s="1027"/>
      <c r="AA1059" s="1027"/>
      <c r="AB1059" s="1027"/>
      <c r="AC1059" s="1027"/>
      <c r="AD1059" s="1027"/>
      <c r="AE1059" s="1027"/>
      <c r="AF1059" s="1027"/>
      <c r="AG1059" s="1029"/>
      <c r="BB1059" s="784"/>
      <c r="BC1059" s="785"/>
      <c r="BD1059" s="900"/>
    </row>
    <row r="1060" spans="1:56" s="65" customFormat="1" hidden="1" outlineLevel="1" x14ac:dyDescent="0.25">
      <c r="A1060" s="785"/>
      <c r="B1060" s="332"/>
      <c r="C1060" s="455"/>
      <c r="D1060" s="2806"/>
      <c r="E1060" s="2856"/>
      <c r="F1060" s="2840" t="str">
        <f t="shared" si="105"/>
        <v>Ductless ASHP - ROF SF</v>
      </c>
      <c r="G1060" s="2841"/>
      <c r="H1060" s="2842"/>
      <c r="I1060" s="1668"/>
      <c r="J1060" s="1027">
        <v>1</v>
      </c>
      <c r="K1060" s="1028"/>
      <c r="L1060" s="2853"/>
      <c r="M1060" s="2065"/>
      <c r="N1060" s="2048"/>
      <c r="O1060" s="332"/>
      <c r="P1060" s="332"/>
      <c r="Q1060" s="332"/>
      <c r="R1060" s="332"/>
      <c r="S1060" s="332"/>
      <c r="T1060" s="177"/>
      <c r="U1060" s="177"/>
      <c r="V1060" s="2806"/>
      <c r="W1060" s="1027">
        <v>1</v>
      </c>
      <c r="X1060" s="1027">
        <v>1</v>
      </c>
      <c r="Y1060" s="1027">
        <v>1</v>
      </c>
      <c r="Z1060" s="1027"/>
      <c r="AA1060" s="1027"/>
      <c r="AB1060" s="1027"/>
      <c r="AC1060" s="1027"/>
      <c r="AD1060" s="1027"/>
      <c r="AE1060" s="1027"/>
      <c r="AF1060" s="1027"/>
      <c r="AG1060" s="1029"/>
      <c r="BB1060" s="784"/>
      <c r="BC1060" s="785"/>
      <c r="BD1060" s="900"/>
    </row>
    <row r="1061" spans="1:56" s="65" customFormat="1" hidden="1" outlineLevel="1" x14ac:dyDescent="0.25">
      <c r="A1061" s="785"/>
      <c r="B1061" s="332"/>
      <c r="C1061" s="455"/>
      <c r="D1061" s="2806"/>
      <c r="E1061" s="2856"/>
      <c r="F1061" s="2837" t="str">
        <f t="shared" si="105"/>
        <v>Ductless ASHP - ROF SF</v>
      </c>
      <c r="G1061" s="2838"/>
      <c r="H1061" s="2839"/>
      <c r="I1061" s="1668"/>
      <c r="J1061" s="1027">
        <v>1</v>
      </c>
      <c r="K1061" s="1028"/>
      <c r="L1061" s="2853"/>
      <c r="M1061" s="2065"/>
      <c r="N1061" s="2048"/>
      <c r="O1061" s="332"/>
      <c r="P1061" s="332"/>
      <c r="Q1061" s="332"/>
      <c r="R1061" s="332"/>
      <c r="S1061" s="332"/>
      <c r="T1061" s="177"/>
      <c r="U1061" s="177"/>
      <c r="V1061" s="2806"/>
      <c r="W1061" s="1027">
        <v>1</v>
      </c>
      <c r="X1061" s="1027">
        <v>1</v>
      </c>
      <c r="Y1061" s="1027">
        <v>1</v>
      </c>
      <c r="Z1061" s="1027"/>
      <c r="AA1061" s="1027"/>
      <c r="AB1061" s="1027"/>
      <c r="AC1061" s="1027"/>
      <c r="AD1061" s="1027"/>
      <c r="AE1061" s="1027"/>
      <c r="AF1061" s="1027"/>
      <c r="AG1061" s="1029"/>
      <c r="BB1061" s="784"/>
      <c r="BC1061" s="785"/>
      <c r="BD1061" s="900"/>
    </row>
    <row r="1062" spans="1:56" s="65" customFormat="1" hidden="1" outlineLevel="1" x14ac:dyDescent="0.25">
      <c r="A1062" s="785"/>
      <c r="B1062" s="332"/>
      <c r="C1062" s="455"/>
      <c r="D1062" s="2806"/>
      <c r="E1062" s="2856"/>
      <c r="F1062" s="2840" t="str">
        <f t="shared" si="105"/>
        <v>Ductless ASHP Replace Electric Resistance ER1 SF</v>
      </c>
      <c r="G1062" s="2841"/>
      <c r="H1062" s="2842"/>
      <c r="I1062" s="1668"/>
      <c r="J1062" s="1027">
        <v>1</v>
      </c>
      <c r="K1062" s="1028"/>
      <c r="L1062" s="2853"/>
      <c r="M1062" s="2065"/>
      <c r="N1062" s="2048"/>
      <c r="O1062" s="332"/>
      <c r="P1062" s="332"/>
      <c r="Q1062" s="332"/>
      <c r="R1062" s="332"/>
      <c r="S1062" s="332"/>
      <c r="T1062" s="177"/>
      <c r="U1062" s="177"/>
      <c r="V1062" s="2806"/>
      <c r="W1062" s="1027">
        <v>1</v>
      </c>
      <c r="X1062" s="1027">
        <v>1</v>
      </c>
      <c r="Y1062" s="1027">
        <v>1</v>
      </c>
      <c r="Z1062" s="1027"/>
      <c r="AA1062" s="1027"/>
      <c r="AB1062" s="1027"/>
      <c r="AC1062" s="1027"/>
      <c r="AD1062" s="1027"/>
      <c r="AE1062" s="1027"/>
      <c r="AF1062" s="1027"/>
      <c r="AG1062" s="1029"/>
      <c r="BB1062" s="784"/>
      <c r="BC1062" s="785"/>
      <c r="BD1062" s="900"/>
    </row>
    <row r="1063" spans="1:56" s="65" customFormat="1" hidden="1" outlineLevel="1" x14ac:dyDescent="0.25">
      <c r="A1063" s="785"/>
      <c r="B1063" s="332"/>
      <c r="C1063" s="455"/>
      <c r="D1063" s="2806"/>
      <c r="E1063" s="2856"/>
      <c r="F1063" s="2834" t="str">
        <f t="shared" si="105"/>
        <v>Ductless ASHP Replace Electric Resistance ER1 SF</v>
      </c>
      <c r="G1063" s="2835"/>
      <c r="H1063" s="2836"/>
      <c r="I1063" s="1668"/>
      <c r="J1063" s="1027">
        <v>1</v>
      </c>
      <c r="K1063" s="1028"/>
      <c r="L1063" s="2853"/>
      <c r="M1063" s="2065"/>
      <c r="N1063" s="2048"/>
      <c r="O1063" s="332"/>
      <c r="P1063" s="332"/>
      <c r="Q1063" s="332"/>
      <c r="R1063" s="332"/>
      <c r="S1063" s="332"/>
      <c r="T1063" s="177"/>
      <c r="U1063" s="177"/>
      <c r="V1063" s="2806"/>
      <c r="W1063" s="1027">
        <v>1</v>
      </c>
      <c r="X1063" s="1027">
        <v>1</v>
      </c>
      <c r="Y1063" s="1027">
        <v>1</v>
      </c>
      <c r="Z1063" s="1027"/>
      <c r="AA1063" s="1027"/>
      <c r="AB1063" s="1027"/>
      <c r="AC1063" s="1027"/>
      <c r="AD1063" s="1027"/>
      <c r="AE1063" s="1027"/>
      <c r="AF1063" s="1027"/>
      <c r="AG1063" s="1029"/>
      <c r="BB1063" s="784"/>
      <c r="BC1063" s="785"/>
      <c r="BD1063" s="900"/>
    </row>
    <row r="1064" spans="1:56" s="65" customFormat="1" hidden="1" outlineLevel="1" x14ac:dyDescent="0.25">
      <c r="A1064" s="785"/>
      <c r="B1064" s="332"/>
      <c r="C1064" s="455"/>
      <c r="D1064" s="2806"/>
      <c r="E1064" s="2856"/>
      <c r="F1064" s="2834" t="str">
        <f t="shared" si="105"/>
        <v>Ductless ASHP Replace Electric Resistance ER2 SF</v>
      </c>
      <c r="G1064" s="2835"/>
      <c r="H1064" s="2836"/>
      <c r="I1064" s="1668"/>
      <c r="J1064" s="1027">
        <v>1</v>
      </c>
      <c r="K1064" s="1028"/>
      <c r="L1064" s="2853"/>
      <c r="M1064" s="2065"/>
      <c r="N1064" s="2048"/>
      <c r="O1064" s="332"/>
      <c r="P1064" s="332"/>
      <c r="Q1064" s="332"/>
      <c r="R1064" s="332"/>
      <c r="S1064" s="332"/>
      <c r="T1064" s="177"/>
      <c r="U1064" s="177"/>
      <c r="V1064" s="2806"/>
      <c r="W1064" s="1027">
        <v>1</v>
      </c>
      <c r="X1064" s="1027">
        <v>1</v>
      </c>
      <c r="Y1064" s="1027">
        <v>1</v>
      </c>
      <c r="Z1064" s="1027"/>
      <c r="AA1064" s="1027"/>
      <c r="AB1064" s="1027"/>
      <c r="AC1064" s="1027"/>
      <c r="AD1064" s="1027"/>
      <c r="AE1064" s="1027"/>
      <c r="AF1064" s="1027"/>
      <c r="AG1064" s="1029"/>
      <c r="BB1064" s="784"/>
      <c r="BC1064" s="785"/>
      <c r="BD1064" s="900"/>
    </row>
    <row r="1065" spans="1:56" s="65" customFormat="1" hidden="1" outlineLevel="1" x14ac:dyDescent="0.25">
      <c r="A1065" s="785"/>
      <c r="B1065" s="332"/>
      <c r="C1065" s="455"/>
      <c r="D1065" s="2806"/>
      <c r="E1065" s="2856"/>
      <c r="F1065" s="2837" t="str">
        <f t="shared" si="105"/>
        <v>Ductless ASHP Replace Electric Resistance ER2 SF</v>
      </c>
      <c r="G1065" s="2838"/>
      <c r="H1065" s="2839"/>
      <c r="I1065" s="1668"/>
      <c r="J1065" s="1027">
        <v>1</v>
      </c>
      <c r="K1065" s="1028"/>
      <c r="L1065" s="2853"/>
      <c r="M1065" s="2065"/>
      <c r="N1065" s="2048"/>
      <c r="O1065" s="332"/>
      <c r="P1065" s="332"/>
      <c r="Q1065" s="332"/>
      <c r="R1065" s="332"/>
      <c r="S1065" s="332"/>
      <c r="T1065" s="177"/>
      <c r="U1065" s="177"/>
      <c r="V1065" s="2806"/>
      <c r="W1065" s="1027">
        <v>1</v>
      </c>
      <c r="X1065" s="1027">
        <v>1</v>
      </c>
      <c r="Y1065" s="1027">
        <v>1</v>
      </c>
      <c r="Z1065" s="1027"/>
      <c r="AA1065" s="1027"/>
      <c r="AB1065" s="1027"/>
      <c r="AC1065" s="1027"/>
      <c r="AD1065" s="1027"/>
      <c r="AE1065" s="1027"/>
      <c r="AF1065" s="1027"/>
      <c r="AG1065" s="1029"/>
      <c r="BB1065" s="784"/>
      <c r="BC1065" s="785"/>
      <c r="BD1065" s="900"/>
    </row>
    <row r="1066" spans="1:56" s="65" customFormat="1" hidden="1" outlineLevel="1" x14ac:dyDescent="0.25">
      <c r="A1066" s="785"/>
      <c r="B1066" s="332"/>
      <c r="C1066" s="455"/>
      <c r="D1066" s="2806"/>
      <c r="E1066" s="2856"/>
      <c r="F1066" s="2840" t="str">
        <f t="shared" si="105"/>
        <v>Ductless ASHP Replace Electric Resistance ROF SF</v>
      </c>
      <c r="G1066" s="2841"/>
      <c r="H1066" s="2842"/>
      <c r="I1066" s="1668"/>
      <c r="J1066" s="1027">
        <v>1</v>
      </c>
      <c r="K1066" s="1028"/>
      <c r="L1066" s="2853"/>
      <c r="M1066" s="2065"/>
      <c r="N1066" s="2048"/>
      <c r="O1066" s="332"/>
      <c r="P1066" s="332"/>
      <c r="Q1066" s="332"/>
      <c r="R1066" s="332"/>
      <c r="S1066" s="332"/>
      <c r="T1066" s="177"/>
      <c r="U1066" s="177"/>
      <c r="V1066" s="2806"/>
      <c r="W1066" s="1027">
        <v>1</v>
      </c>
      <c r="X1066" s="1027">
        <v>1</v>
      </c>
      <c r="Y1066" s="1027">
        <v>1</v>
      </c>
      <c r="Z1066" s="1027"/>
      <c r="AA1066" s="1027"/>
      <c r="AB1066" s="1027"/>
      <c r="AC1066" s="1027"/>
      <c r="AD1066" s="1027"/>
      <c r="AE1066" s="1027"/>
      <c r="AF1066" s="1027"/>
      <c r="AG1066" s="1029"/>
      <c r="BB1066" s="784"/>
      <c r="BC1066" s="785"/>
      <c r="BD1066" s="900"/>
    </row>
    <row r="1067" spans="1:56" s="65" customFormat="1" hidden="1" outlineLevel="1" x14ac:dyDescent="0.25">
      <c r="A1067" s="785"/>
      <c r="B1067" s="332"/>
      <c r="C1067" s="455"/>
      <c r="D1067" s="2806"/>
      <c r="E1067" s="2856"/>
      <c r="F1067" s="2837" t="str">
        <f t="shared" si="105"/>
        <v>Ductless ASHP Replace Electric Resistance ROF SF</v>
      </c>
      <c r="G1067" s="2838"/>
      <c r="H1067" s="2839"/>
      <c r="I1067" s="1668"/>
      <c r="J1067" s="1027">
        <v>1</v>
      </c>
      <c r="K1067" s="1028"/>
      <c r="L1067" s="2853"/>
      <c r="M1067" s="2065"/>
      <c r="N1067" s="2048"/>
      <c r="O1067" s="332"/>
      <c r="P1067" s="332"/>
      <c r="Q1067" s="332"/>
      <c r="R1067" s="332"/>
      <c r="S1067" s="332"/>
      <c r="T1067" s="177"/>
      <c r="U1067" s="177"/>
      <c r="V1067" s="2806"/>
      <c r="W1067" s="1027">
        <v>1</v>
      </c>
      <c r="X1067" s="1027">
        <v>1</v>
      </c>
      <c r="Y1067" s="1027">
        <v>1</v>
      </c>
      <c r="Z1067" s="1027"/>
      <c r="AA1067" s="1027"/>
      <c r="AB1067" s="1027"/>
      <c r="AC1067" s="1027"/>
      <c r="AD1067" s="1027"/>
      <c r="AE1067" s="1027"/>
      <c r="AF1067" s="1027"/>
      <c r="AG1067" s="1029"/>
      <c r="BB1067" s="784"/>
      <c r="BC1067" s="785"/>
      <c r="BD1067" s="900"/>
    </row>
    <row r="1068" spans="1:56" s="65" customFormat="1" hidden="1" outlineLevel="1" x14ac:dyDescent="0.25">
      <c r="A1068" s="785"/>
      <c r="B1068" s="332"/>
      <c r="C1068" s="455"/>
      <c r="D1068" s="2806"/>
      <c r="E1068" s="2856"/>
      <c r="F1068" s="2840" t="str">
        <f t="shared" si="105"/>
        <v>Ductless ASHP ER1 SF</v>
      </c>
      <c r="G1068" s="2841"/>
      <c r="H1068" s="2842"/>
      <c r="I1068" s="1668"/>
      <c r="J1068" s="1027">
        <v>1</v>
      </c>
      <c r="K1068" s="1028"/>
      <c r="L1068" s="2853"/>
      <c r="M1068" s="2065"/>
      <c r="N1068" s="2048"/>
      <c r="O1068" s="332"/>
      <c r="P1068" s="332"/>
      <c r="Q1068" s="332"/>
      <c r="R1068" s="332"/>
      <c r="S1068" s="332"/>
      <c r="T1068" s="177"/>
      <c r="U1068" s="177"/>
      <c r="V1068" s="2806"/>
      <c r="W1068" s="1027">
        <v>1</v>
      </c>
      <c r="X1068" s="1027">
        <v>1</v>
      </c>
      <c r="Y1068" s="1027">
        <v>1</v>
      </c>
      <c r="Z1068" s="1027"/>
      <c r="AA1068" s="1027"/>
      <c r="AB1068" s="1027"/>
      <c r="AC1068" s="1027"/>
      <c r="AD1068" s="1027"/>
      <c r="AE1068" s="1027"/>
      <c r="AF1068" s="1027"/>
      <c r="AG1068" s="1029"/>
      <c r="BB1068" s="784"/>
      <c r="BC1068" s="785"/>
      <c r="BD1068" s="900"/>
    </row>
    <row r="1069" spans="1:56" s="65" customFormat="1" hidden="1" outlineLevel="1" x14ac:dyDescent="0.25">
      <c r="A1069" s="785"/>
      <c r="B1069" s="332"/>
      <c r="C1069" s="455"/>
      <c r="D1069" s="2806"/>
      <c r="E1069" s="2856"/>
      <c r="F1069" s="2834" t="str">
        <f t="shared" si="105"/>
        <v>Ductless ASHP ER1 SF</v>
      </c>
      <c r="G1069" s="2835"/>
      <c r="H1069" s="2836"/>
      <c r="I1069" s="1668"/>
      <c r="J1069" s="1027">
        <v>1</v>
      </c>
      <c r="K1069" s="1028"/>
      <c r="L1069" s="2853"/>
      <c r="M1069" s="2065"/>
      <c r="N1069" s="2048"/>
      <c r="O1069" s="332"/>
      <c r="P1069" s="332"/>
      <c r="Q1069" s="332"/>
      <c r="R1069" s="332"/>
      <c r="S1069" s="332"/>
      <c r="T1069" s="177"/>
      <c r="U1069" s="177"/>
      <c r="V1069" s="2806"/>
      <c r="W1069" s="1027">
        <v>1</v>
      </c>
      <c r="X1069" s="1027">
        <v>1</v>
      </c>
      <c r="Y1069" s="1027">
        <v>1</v>
      </c>
      <c r="Z1069" s="1027"/>
      <c r="AA1069" s="1027"/>
      <c r="AB1069" s="1027"/>
      <c r="AC1069" s="1027"/>
      <c r="AD1069" s="1027"/>
      <c r="AE1069" s="1027"/>
      <c r="AF1069" s="1027"/>
      <c r="AG1069" s="1029"/>
      <c r="BB1069" s="784"/>
      <c r="BC1069" s="785"/>
      <c r="BD1069" s="900"/>
    </row>
    <row r="1070" spans="1:56" s="65" customFormat="1" hidden="1" outlineLevel="1" x14ac:dyDescent="0.25">
      <c r="A1070" s="785"/>
      <c r="B1070" s="332"/>
      <c r="C1070" s="455"/>
      <c r="D1070" s="2806"/>
      <c r="E1070" s="2856"/>
      <c r="F1070" s="2834" t="str">
        <f t="shared" si="105"/>
        <v>Ductless ASHP ER2 SF</v>
      </c>
      <c r="G1070" s="2835"/>
      <c r="H1070" s="2836"/>
      <c r="I1070" s="1668"/>
      <c r="J1070" s="1027">
        <v>1</v>
      </c>
      <c r="K1070" s="1028"/>
      <c r="L1070" s="2853"/>
      <c r="M1070" s="2065"/>
      <c r="N1070" s="2048"/>
      <c r="O1070" s="332"/>
      <c r="P1070" s="332"/>
      <c r="Q1070" s="332"/>
      <c r="R1070" s="332"/>
      <c r="S1070" s="332"/>
      <c r="T1070" s="177"/>
      <c r="U1070" s="177"/>
      <c r="V1070" s="2806"/>
      <c r="W1070" s="1027">
        <v>1</v>
      </c>
      <c r="X1070" s="1027">
        <v>1</v>
      </c>
      <c r="Y1070" s="1027">
        <v>1</v>
      </c>
      <c r="Z1070" s="1027"/>
      <c r="AA1070" s="1027"/>
      <c r="AB1070" s="1027"/>
      <c r="AC1070" s="1027"/>
      <c r="AD1070" s="1027"/>
      <c r="AE1070" s="1027"/>
      <c r="AF1070" s="1027"/>
      <c r="AG1070" s="1029"/>
      <c r="BB1070" s="784"/>
      <c r="BC1070" s="785"/>
      <c r="BD1070" s="900"/>
    </row>
    <row r="1071" spans="1:56" s="65" customFormat="1" hidden="1" outlineLevel="1" x14ac:dyDescent="0.25">
      <c r="A1071" s="785"/>
      <c r="B1071" s="332"/>
      <c r="C1071" s="455"/>
      <c r="D1071" s="2806"/>
      <c r="E1071" s="2856"/>
      <c r="F1071" s="2837" t="str">
        <f t="shared" si="105"/>
        <v>Ductless ASHP ER2 SF</v>
      </c>
      <c r="G1071" s="2838"/>
      <c r="H1071" s="2839"/>
      <c r="I1071" s="1668"/>
      <c r="J1071" s="1027">
        <v>1</v>
      </c>
      <c r="K1071" s="1028"/>
      <c r="L1071" s="2854"/>
      <c r="M1071" s="2065"/>
      <c r="N1071" s="2048"/>
      <c r="O1071" s="332"/>
      <c r="P1071" s="332"/>
      <c r="Q1071" s="332"/>
      <c r="R1071" s="332"/>
      <c r="S1071" s="332"/>
      <c r="T1071" s="177"/>
      <c r="U1071" s="177"/>
      <c r="V1071" s="2806"/>
      <c r="W1071" s="1027">
        <v>1</v>
      </c>
      <c r="X1071" s="1027">
        <v>1</v>
      </c>
      <c r="Y1071" s="1027">
        <v>1</v>
      </c>
      <c r="Z1071" s="1027"/>
      <c r="AA1071" s="1027"/>
      <c r="AB1071" s="1027"/>
      <c r="AC1071" s="1027"/>
      <c r="AD1071" s="1027"/>
      <c r="AE1071" s="1027"/>
      <c r="AF1071" s="1027"/>
      <c r="AG1071" s="1029"/>
      <c r="BB1071" s="784"/>
      <c r="BC1071" s="785"/>
      <c r="BD1071" s="900"/>
    </row>
    <row r="1072" spans="1:56" s="65" customFormat="1" hidden="1" outlineLevel="1" x14ac:dyDescent="0.25">
      <c r="A1072" s="785"/>
      <c r="B1072" s="332"/>
      <c r="C1072" s="455"/>
      <c r="D1072" s="2806"/>
      <c r="E1072" s="2856"/>
      <c r="F1072" s="2840" t="str">
        <f t="shared" si="105"/>
        <v>Ductless AC - ER1 MF</v>
      </c>
      <c r="G1072" s="2841"/>
      <c r="H1072" s="2842"/>
      <c r="I1072" s="1668"/>
      <c r="J1072" s="1027">
        <v>1</v>
      </c>
      <c r="K1072" s="1028"/>
      <c r="L1072" s="2817" t="s">
        <v>1363</v>
      </c>
      <c r="M1072" s="2065"/>
      <c r="N1072" s="2048"/>
      <c r="O1072" s="332"/>
      <c r="P1072" s="332"/>
      <c r="Q1072" s="332"/>
      <c r="R1072" s="332"/>
      <c r="S1072" s="332"/>
      <c r="T1072" s="177"/>
      <c r="U1072" s="177"/>
      <c r="V1072" s="2806"/>
      <c r="W1072" s="1027">
        <v>0.65</v>
      </c>
      <c r="X1072" s="1027">
        <v>0.65</v>
      </c>
      <c r="Y1072" s="1030">
        <v>1</v>
      </c>
      <c r="Z1072" s="1027"/>
      <c r="AA1072" s="1027"/>
      <c r="AB1072" s="1027"/>
      <c r="AC1072" s="1027"/>
      <c r="AD1072" s="1027"/>
      <c r="AE1072" s="1027"/>
      <c r="AF1072" s="1027"/>
      <c r="AG1072" s="1029"/>
      <c r="BB1072" s="784"/>
      <c r="BC1072" s="785"/>
      <c r="BD1072" s="900"/>
    </row>
    <row r="1073" spans="1:56" s="65" customFormat="1" hidden="1" outlineLevel="1" x14ac:dyDescent="0.25">
      <c r="A1073" s="785"/>
      <c r="B1073" s="332"/>
      <c r="C1073" s="455"/>
      <c r="D1073" s="2806"/>
      <c r="E1073" s="2856"/>
      <c r="F1073" s="2837" t="str">
        <f t="shared" si="105"/>
        <v>Ductless AC - ER2 MF</v>
      </c>
      <c r="G1073" s="2838"/>
      <c r="H1073" s="2839"/>
      <c r="I1073" s="1668"/>
      <c r="J1073" s="1027">
        <f>J1072</f>
        <v>1</v>
      </c>
      <c r="K1073" s="1028"/>
      <c r="L1073" s="2818"/>
      <c r="M1073" s="2065"/>
      <c r="N1073" s="2048"/>
      <c r="O1073" s="332"/>
      <c r="P1073" s="332"/>
      <c r="Q1073" s="332"/>
      <c r="R1073" s="332"/>
      <c r="S1073" s="332"/>
      <c r="T1073" s="177"/>
      <c r="U1073" s="177"/>
      <c r="V1073" s="2806"/>
      <c r="W1073" s="1027">
        <v>0.65</v>
      </c>
      <c r="X1073" s="1027">
        <v>0.65</v>
      </c>
      <c r="Y1073" s="1030">
        <f>Y1072</f>
        <v>1</v>
      </c>
      <c r="Z1073" s="1027"/>
      <c r="AA1073" s="1027"/>
      <c r="AB1073" s="1027"/>
      <c r="AC1073" s="1027"/>
      <c r="AD1073" s="1027"/>
      <c r="AE1073" s="1027"/>
      <c r="AF1073" s="1027"/>
      <c r="AG1073" s="1029"/>
      <c r="BB1073" s="784"/>
      <c r="BC1073" s="785"/>
      <c r="BD1073" s="900"/>
    </row>
    <row r="1074" spans="1:56" s="65" customFormat="1" hidden="1" outlineLevel="1" x14ac:dyDescent="0.25">
      <c r="A1074" s="785"/>
      <c r="B1074" s="332"/>
      <c r="C1074" s="455"/>
      <c r="D1074" s="2806"/>
      <c r="E1074" s="2856"/>
      <c r="F1074" s="2844" t="str">
        <f>E796</f>
        <v>Ductless AC - ROF MF</v>
      </c>
      <c r="G1074" s="2845"/>
      <c r="H1074" s="2846"/>
      <c r="I1074" s="1668"/>
      <c r="J1074" s="1027">
        <f t="shared" ref="J1074:J1105" si="106">J1073</f>
        <v>1</v>
      </c>
      <c r="K1074" s="1028"/>
      <c r="L1074" s="2818"/>
      <c r="M1074" s="2065"/>
      <c r="N1074" s="2048"/>
      <c r="O1074" s="332"/>
      <c r="P1074" s="332"/>
      <c r="Q1074" s="332"/>
      <c r="R1074" s="332"/>
      <c r="S1074" s="332"/>
      <c r="T1074" s="177"/>
      <c r="U1074" s="177"/>
      <c r="V1074" s="2806"/>
      <c r="W1074" s="1027">
        <v>0.65</v>
      </c>
      <c r="X1074" s="1027">
        <v>0.65</v>
      </c>
      <c r="Y1074" s="1030">
        <f t="shared" ref="Y1074:Y1105" si="107">Y1073</f>
        <v>1</v>
      </c>
      <c r="Z1074" s="1027"/>
      <c r="AA1074" s="1027"/>
      <c r="AB1074" s="1027"/>
      <c r="AC1074" s="1027"/>
      <c r="AD1074" s="1027"/>
      <c r="AE1074" s="1027"/>
      <c r="AF1074" s="1027"/>
      <c r="AG1074" s="1029"/>
      <c r="BB1074" s="784"/>
      <c r="BC1074" s="785"/>
      <c r="BD1074" s="900"/>
    </row>
    <row r="1075" spans="1:56" s="65" customFormat="1" hidden="1" outlineLevel="1" x14ac:dyDescent="0.25">
      <c r="A1075" s="785"/>
      <c r="B1075" s="332"/>
      <c r="C1075" s="455"/>
      <c r="D1075" s="2806"/>
      <c r="E1075" s="2856"/>
      <c r="F1075" s="2840" t="str">
        <f>E798</f>
        <v>Ductless ASHP - ROF MF NC</v>
      </c>
      <c r="G1075" s="2841"/>
      <c r="H1075" s="2842"/>
      <c r="I1075" s="1668"/>
      <c r="J1075" s="1027">
        <f t="shared" si="106"/>
        <v>1</v>
      </c>
      <c r="K1075" s="1028"/>
      <c r="L1075" s="2818"/>
      <c r="M1075" s="2065"/>
      <c r="N1075" s="2048"/>
      <c r="O1075" s="332"/>
      <c r="P1075" s="332"/>
      <c r="Q1075" s="332"/>
      <c r="R1075" s="332"/>
      <c r="S1075" s="332"/>
      <c r="T1075" s="177"/>
      <c r="U1075" s="177"/>
      <c r="V1075" s="2806"/>
      <c r="W1075" s="1027">
        <v>0.65</v>
      </c>
      <c r="X1075" s="1027">
        <v>0.65</v>
      </c>
      <c r="Y1075" s="1030">
        <f t="shared" si="107"/>
        <v>1</v>
      </c>
      <c r="Z1075" s="1027"/>
      <c r="AA1075" s="1027"/>
      <c r="AB1075" s="1027"/>
      <c r="AC1075" s="1027"/>
      <c r="AD1075" s="1027"/>
      <c r="AE1075" s="1027"/>
      <c r="AF1075" s="1027"/>
      <c r="AG1075" s="1029"/>
      <c r="BB1075" s="784"/>
      <c r="BC1075" s="785"/>
      <c r="BD1075" s="900"/>
    </row>
    <row r="1076" spans="1:56" s="65" customFormat="1" hidden="1" outlineLevel="1" x14ac:dyDescent="0.25">
      <c r="A1076" s="785"/>
      <c r="B1076" s="332"/>
      <c r="C1076" s="455"/>
      <c r="D1076" s="2806"/>
      <c r="E1076" s="2856"/>
      <c r="F1076" s="2837" t="str">
        <f>E799</f>
        <v>Ductless ASHP - ROF MF NC</v>
      </c>
      <c r="G1076" s="2838"/>
      <c r="H1076" s="2839"/>
      <c r="I1076" s="1668"/>
      <c r="J1076" s="1027">
        <f t="shared" si="106"/>
        <v>1</v>
      </c>
      <c r="K1076" s="1028"/>
      <c r="L1076" s="2818"/>
      <c r="M1076" s="2065"/>
      <c r="N1076" s="2048"/>
      <c r="O1076" s="332"/>
      <c r="P1076" s="332"/>
      <c r="Q1076" s="332"/>
      <c r="R1076" s="332"/>
      <c r="S1076" s="332"/>
      <c r="T1076" s="177"/>
      <c r="U1076" s="177"/>
      <c r="V1076" s="2806"/>
      <c r="W1076" s="1027">
        <v>0.65</v>
      </c>
      <c r="X1076" s="1027">
        <v>0.65</v>
      </c>
      <c r="Y1076" s="1030">
        <f t="shared" si="107"/>
        <v>1</v>
      </c>
      <c r="Z1076" s="1027"/>
      <c r="AA1076" s="1027"/>
      <c r="AB1076" s="1027"/>
      <c r="AC1076" s="1027"/>
      <c r="AD1076" s="1027"/>
      <c r="AE1076" s="1027"/>
      <c r="AF1076" s="1027"/>
      <c r="AG1076" s="1029"/>
      <c r="BB1076" s="784"/>
      <c r="BC1076" s="785"/>
      <c r="BD1076" s="900"/>
    </row>
    <row r="1077" spans="1:56" s="65" customFormat="1" hidden="1" outlineLevel="1" x14ac:dyDescent="0.25">
      <c r="A1077" s="785"/>
      <c r="B1077" s="332"/>
      <c r="C1077" s="455"/>
      <c r="D1077" s="2806"/>
      <c r="E1077" s="2856"/>
      <c r="F1077" s="2840" t="str">
        <f>E802</f>
        <v>Ductless ASHP - ROF MF</v>
      </c>
      <c r="G1077" s="2841"/>
      <c r="H1077" s="2842"/>
      <c r="I1077" s="1668"/>
      <c r="J1077" s="1027">
        <f t="shared" si="106"/>
        <v>1</v>
      </c>
      <c r="K1077" s="1028"/>
      <c r="L1077" s="2818"/>
      <c r="M1077" s="2065"/>
      <c r="N1077" s="2048"/>
      <c r="O1077" s="332"/>
      <c r="P1077" s="332"/>
      <c r="Q1077" s="332"/>
      <c r="R1077" s="332"/>
      <c r="S1077" s="332"/>
      <c r="T1077" s="177"/>
      <c r="U1077" s="177"/>
      <c r="V1077" s="2806"/>
      <c r="W1077" s="1027">
        <v>0.65</v>
      </c>
      <c r="X1077" s="1027">
        <v>0.65</v>
      </c>
      <c r="Y1077" s="1030">
        <f t="shared" si="107"/>
        <v>1</v>
      </c>
      <c r="Z1077" s="1027"/>
      <c r="AA1077" s="1027"/>
      <c r="AB1077" s="1027"/>
      <c r="AC1077" s="1027"/>
      <c r="AD1077" s="1027"/>
      <c r="AE1077" s="1027"/>
      <c r="AF1077" s="1027"/>
      <c r="AG1077" s="1029"/>
      <c r="BB1077" s="784"/>
      <c r="BC1077" s="785"/>
      <c r="BD1077" s="900"/>
    </row>
    <row r="1078" spans="1:56" s="65" customFormat="1" hidden="1" outlineLevel="1" x14ac:dyDescent="0.25">
      <c r="A1078" s="785"/>
      <c r="B1078" s="332"/>
      <c r="C1078" s="455"/>
      <c r="D1078" s="2806"/>
      <c r="E1078" s="2856"/>
      <c r="F1078" s="2837" t="str">
        <f>E803</f>
        <v>Ductless ASHP - ROF MF</v>
      </c>
      <c r="G1078" s="2838"/>
      <c r="H1078" s="2839"/>
      <c r="I1078" s="1668"/>
      <c r="J1078" s="1027">
        <f t="shared" si="106"/>
        <v>1</v>
      </c>
      <c r="K1078" s="1028"/>
      <c r="L1078" s="2818"/>
      <c r="M1078" s="2065"/>
      <c r="N1078" s="2048"/>
      <c r="O1078" s="332"/>
      <c r="P1078" s="332"/>
      <c r="Q1078" s="332"/>
      <c r="R1078" s="332"/>
      <c r="S1078" s="332"/>
      <c r="T1078" s="177"/>
      <c r="U1078" s="177"/>
      <c r="V1078" s="2806"/>
      <c r="W1078" s="1027">
        <v>0.65</v>
      </c>
      <c r="X1078" s="1027">
        <v>0.65</v>
      </c>
      <c r="Y1078" s="1030">
        <f t="shared" si="107"/>
        <v>1</v>
      </c>
      <c r="Z1078" s="1027"/>
      <c r="AA1078" s="1027"/>
      <c r="AB1078" s="1027"/>
      <c r="AC1078" s="1027"/>
      <c r="AD1078" s="1027"/>
      <c r="AE1078" s="1027"/>
      <c r="AF1078" s="1027"/>
      <c r="AG1078" s="1029"/>
      <c r="BB1078" s="784"/>
      <c r="BC1078" s="785"/>
      <c r="BD1078" s="900"/>
    </row>
    <row r="1079" spans="1:56" s="65" customFormat="1" hidden="1" outlineLevel="1" x14ac:dyDescent="0.25">
      <c r="A1079" s="785"/>
      <c r="B1079" s="332"/>
      <c r="C1079" s="455"/>
      <c r="D1079" s="2806"/>
      <c r="E1079" s="2856"/>
      <c r="F1079" s="2840" t="str">
        <f>E806</f>
        <v>Ductless ASHP Replace Electric Resistance ER1 MF</v>
      </c>
      <c r="G1079" s="2841"/>
      <c r="H1079" s="2842"/>
      <c r="I1079" s="1668"/>
      <c r="J1079" s="1027">
        <f t="shared" si="106"/>
        <v>1</v>
      </c>
      <c r="K1079" s="1028"/>
      <c r="L1079" s="2818"/>
      <c r="M1079" s="2065"/>
      <c r="N1079" s="2048"/>
      <c r="O1079" s="332"/>
      <c r="P1079" s="332"/>
      <c r="Q1079" s="332"/>
      <c r="R1079" s="332"/>
      <c r="S1079" s="332"/>
      <c r="T1079" s="177"/>
      <c r="U1079" s="177"/>
      <c r="V1079" s="2806"/>
      <c r="W1079" s="1027">
        <v>0.65</v>
      </c>
      <c r="X1079" s="1027">
        <v>0.65</v>
      </c>
      <c r="Y1079" s="1030">
        <f t="shared" si="107"/>
        <v>1</v>
      </c>
      <c r="Z1079" s="1027"/>
      <c r="AA1079" s="1027"/>
      <c r="AB1079" s="1027"/>
      <c r="AC1079" s="1027"/>
      <c r="AD1079" s="1027"/>
      <c r="AE1079" s="1027"/>
      <c r="AF1079" s="1027"/>
      <c r="AG1079" s="1029"/>
      <c r="BB1079" s="784"/>
      <c r="BC1079" s="785"/>
      <c r="BD1079" s="900"/>
    </row>
    <row r="1080" spans="1:56" s="65" customFormat="1" hidden="1" outlineLevel="1" x14ac:dyDescent="0.25">
      <c r="A1080" s="785"/>
      <c r="B1080" s="332"/>
      <c r="C1080" s="455"/>
      <c r="D1080" s="2806"/>
      <c r="E1080" s="2856"/>
      <c r="F1080" s="2834" t="str">
        <f>E807</f>
        <v>Ductless ASHP Replace Electric Resistance ER1 MF</v>
      </c>
      <c r="G1080" s="2835"/>
      <c r="H1080" s="2836"/>
      <c r="I1080" s="1668"/>
      <c r="J1080" s="1027">
        <f t="shared" si="106"/>
        <v>1</v>
      </c>
      <c r="K1080" s="1028"/>
      <c r="L1080" s="2818"/>
      <c r="M1080" s="2065"/>
      <c r="N1080" s="2048"/>
      <c r="O1080" s="332"/>
      <c r="P1080" s="332"/>
      <c r="Q1080" s="332"/>
      <c r="R1080" s="332"/>
      <c r="S1080" s="332"/>
      <c r="T1080" s="177"/>
      <c r="U1080" s="177"/>
      <c r="V1080" s="2806"/>
      <c r="W1080" s="1027">
        <v>0.65</v>
      </c>
      <c r="X1080" s="1027">
        <v>0.65</v>
      </c>
      <c r="Y1080" s="1030">
        <f t="shared" si="107"/>
        <v>1</v>
      </c>
      <c r="Z1080" s="1027"/>
      <c r="AA1080" s="1027"/>
      <c r="AB1080" s="1027"/>
      <c r="AC1080" s="1027"/>
      <c r="AD1080" s="1027"/>
      <c r="AE1080" s="1027"/>
      <c r="AF1080" s="1027"/>
      <c r="AG1080" s="1029"/>
      <c r="BB1080" s="784"/>
      <c r="BC1080" s="785"/>
      <c r="BD1080" s="900"/>
    </row>
    <row r="1081" spans="1:56" s="65" customFormat="1" hidden="1" outlineLevel="1" x14ac:dyDescent="0.25">
      <c r="A1081" s="785"/>
      <c r="B1081" s="332"/>
      <c r="C1081" s="455"/>
      <c r="D1081" s="2806"/>
      <c r="E1081" s="2856"/>
      <c r="F1081" s="2834" t="str">
        <f>E808</f>
        <v>Ductless ASHP Replace Electric Resistance ER2 MF</v>
      </c>
      <c r="G1081" s="2835"/>
      <c r="H1081" s="2836"/>
      <c r="I1081" s="1668"/>
      <c r="J1081" s="1027">
        <f t="shared" si="106"/>
        <v>1</v>
      </c>
      <c r="K1081" s="1028"/>
      <c r="L1081" s="2818"/>
      <c r="M1081" s="2065"/>
      <c r="N1081" s="2048"/>
      <c r="O1081" s="332"/>
      <c r="P1081" s="332"/>
      <c r="Q1081" s="332"/>
      <c r="R1081" s="332"/>
      <c r="S1081" s="332"/>
      <c r="T1081" s="177"/>
      <c r="U1081" s="177"/>
      <c r="V1081" s="2806"/>
      <c r="W1081" s="1027">
        <v>0.65</v>
      </c>
      <c r="X1081" s="1027">
        <v>0.65</v>
      </c>
      <c r="Y1081" s="1030">
        <f t="shared" si="107"/>
        <v>1</v>
      </c>
      <c r="Z1081" s="1027"/>
      <c r="AA1081" s="1027"/>
      <c r="AB1081" s="1027"/>
      <c r="AC1081" s="1027"/>
      <c r="AD1081" s="1027"/>
      <c r="AE1081" s="1027"/>
      <c r="AF1081" s="1027"/>
      <c r="AG1081" s="1029"/>
      <c r="BB1081" s="784"/>
      <c r="BC1081" s="785"/>
      <c r="BD1081" s="900"/>
    </row>
    <row r="1082" spans="1:56" s="65" customFormat="1" hidden="1" outlineLevel="1" x14ac:dyDescent="0.25">
      <c r="A1082" s="785"/>
      <c r="B1082" s="332"/>
      <c r="C1082" s="455"/>
      <c r="D1082" s="2806"/>
      <c r="E1082" s="2856"/>
      <c r="F1082" s="2837" t="str">
        <f>E809</f>
        <v>Ductless ASHP Replace Electric Resistance ER2 MF</v>
      </c>
      <c r="G1082" s="2838"/>
      <c r="H1082" s="2839"/>
      <c r="I1082" s="1668"/>
      <c r="J1082" s="1027">
        <f t="shared" si="106"/>
        <v>1</v>
      </c>
      <c r="K1082" s="1028"/>
      <c r="L1082" s="2818"/>
      <c r="M1082" s="2065"/>
      <c r="N1082" s="2048"/>
      <c r="O1082" s="332"/>
      <c r="P1082" s="332"/>
      <c r="Q1082" s="332"/>
      <c r="R1082" s="332"/>
      <c r="S1082" s="332"/>
      <c r="T1082" s="177"/>
      <c r="U1082" s="177"/>
      <c r="V1082" s="2806"/>
      <c r="W1082" s="1027">
        <v>0.65</v>
      </c>
      <c r="X1082" s="1027">
        <v>0.65</v>
      </c>
      <c r="Y1082" s="1030">
        <f t="shared" si="107"/>
        <v>1</v>
      </c>
      <c r="Z1082" s="1027"/>
      <c r="AA1082" s="1027"/>
      <c r="AB1082" s="1027"/>
      <c r="AC1082" s="1027"/>
      <c r="AD1082" s="1027"/>
      <c r="AE1082" s="1027"/>
      <c r="AF1082" s="1027"/>
      <c r="AG1082" s="1029"/>
      <c r="BB1082" s="784"/>
      <c r="BC1082" s="785"/>
      <c r="BD1082" s="900"/>
    </row>
    <row r="1083" spans="1:56" s="65" customFormat="1" hidden="1" outlineLevel="1" x14ac:dyDescent="0.25">
      <c r="A1083" s="785"/>
      <c r="B1083" s="332"/>
      <c r="C1083" s="455"/>
      <c r="D1083" s="2806"/>
      <c r="E1083" s="2856"/>
      <c r="F1083" s="2840" t="str">
        <f>E814</f>
        <v>Ductless ASHP Replace Electric Resistance ROF MF</v>
      </c>
      <c r="G1083" s="2841"/>
      <c r="H1083" s="2842"/>
      <c r="I1083" s="1668"/>
      <c r="J1083" s="1027">
        <f t="shared" si="106"/>
        <v>1</v>
      </c>
      <c r="K1083" s="1028"/>
      <c r="L1083" s="2818"/>
      <c r="M1083" s="2065"/>
      <c r="N1083" s="2048"/>
      <c r="O1083" s="332"/>
      <c r="P1083" s="332"/>
      <c r="Q1083" s="332"/>
      <c r="R1083" s="332"/>
      <c r="S1083" s="332"/>
      <c r="T1083" s="177"/>
      <c r="U1083" s="177"/>
      <c r="V1083" s="2806"/>
      <c r="W1083" s="1027">
        <v>0.65</v>
      </c>
      <c r="X1083" s="1027">
        <v>0.65</v>
      </c>
      <c r="Y1083" s="1030">
        <f t="shared" si="107"/>
        <v>1</v>
      </c>
      <c r="Z1083" s="1027"/>
      <c r="AA1083" s="1027"/>
      <c r="AB1083" s="1027"/>
      <c r="AC1083" s="1027"/>
      <c r="AD1083" s="1027"/>
      <c r="AE1083" s="1027"/>
      <c r="AF1083" s="1027"/>
      <c r="AG1083" s="1029"/>
      <c r="BB1083" s="784"/>
      <c r="BC1083" s="785"/>
      <c r="BD1083" s="900"/>
    </row>
    <row r="1084" spans="1:56" s="65" customFormat="1" hidden="1" outlineLevel="1" x14ac:dyDescent="0.25">
      <c r="A1084" s="785"/>
      <c r="B1084" s="332"/>
      <c r="C1084" s="455"/>
      <c r="D1084" s="2806"/>
      <c r="E1084" s="2856"/>
      <c r="F1084" s="2837" t="str">
        <f>E815</f>
        <v>Ductless ASHP Replace Electric Resistance ROF MF</v>
      </c>
      <c r="G1084" s="2838"/>
      <c r="H1084" s="2839"/>
      <c r="I1084" s="1668"/>
      <c r="J1084" s="1027">
        <f t="shared" si="106"/>
        <v>1</v>
      </c>
      <c r="K1084" s="1028"/>
      <c r="L1084" s="2818"/>
      <c r="M1084" s="2065"/>
      <c r="N1084" s="2048"/>
      <c r="O1084" s="332"/>
      <c r="P1084" s="332"/>
      <c r="Q1084" s="332"/>
      <c r="R1084" s="332"/>
      <c r="S1084" s="332"/>
      <c r="T1084" s="177"/>
      <c r="U1084" s="177"/>
      <c r="V1084" s="2806"/>
      <c r="W1084" s="1027">
        <v>0.65</v>
      </c>
      <c r="X1084" s="1027">
        <v>0.65</v>
      </c>
      <c r="Y1084" s="1030">
        <f t="shared" si="107"/>
        <v>1</v>
      </c>
      <c r="Z1084" s="1027"/>
      <c r="AA1084" s="1027"/>
      <c r="AB1084" s="1027"/>
      <c r="AC1084" s="1027"/>
      <c r="AD1084" s="1027"/>
      <c r="AE1084" s="1027"/>
      <c r="AF1084" s="1027"/>
      <c r="AG1084" s="1029"/>
      <c r="BB1084" s="784"/>
      <c r="BC1084" s="785"/>
      <c r="BD1084" s="900"/>
    </row>
    <row r="1085" spans="1:56" s="65" customFormat="1" hidden="1" outlineLevel="1" x14ac:dyDescent="0.25">
      <c r="A1085" s="785"/>
      <c r="B1085" s="332"/>
      <c r="C1085" s="455"/>
      <c r="D1085" s="2806"/>
      <c r="E1085" s="2856"/>
      <c r="F1085" s="2840" t="str">
        <f>E818</f>
        <v>Ductless ASHP ER1 MF</v>
      </c>
      <c r="G1085" s="2841"/>
      <c r="H1085" s="2842"/>
      <c r="I1085" s="1668"/>
      <c r="J1085" s="1027">
        <f t="shared" si="106"/>
        <v>1</v>
      </c>
      <c r="K1085" s="1028"/>
      <c r="L1085" s="2818"/>
      <c r="M1085" s="2065"/>
      <c r="N1085" s="2048"/>
      <c r="O1085" s="332"/>
      <c r="P1085" s="332"/>
      <c r="Q1085" s="332"/>
      <c r="R1085" s="332"/>
      <c r="S1085" s="332"/>
      <c r="T1085" s="177"/>
      <c r="U1085" s="177"/>
      <c r="V1085" s="2806"/>
      <c r="W1085" s="1027">
        <v>0.65</v>
      </c>
      <c r="X1085" s="1027">
        <v>0.65</v>
      </c>
      <c r="Y1085" s="1030">
        <f t="shared" si="107"/>
        <v>1</v>
      </c>
      <c r="Z1085" s="1027"/>
      <c r="AA1085" s="1027"/>
      <c r="AB1085" s="1027"/>
      <c r="AC1085" s="1027"/>
      <c r="AD1085" s="1027"/>
      <c r="AE1085" s="1027"/>
      <c r="AF1085" s="1027"/>
      <c r="AG1085" s="1029"/>
      <c r="BB1085" s="784"/>
      <c r="BC1085" s="785"/>
      <c r="BD1085" s="900"/>
    </row>
    <row r="1086" spans="1:56" s="65" customFormat="1" hidden="1" outlineLevel="1" x14ac:dyDescent="0.25">
      <c r="A1086" s="785"/>
      <c r="B1086" s="332"/>
      <c r="C1086" s="455"/>
      <c r="D1086" s="2806"/>
      <c r="E1086" s="2856"/>
      <c r="F1086" s="2834" t="str">
        <f>E819</f>
        <v>Ductless ASHP ER1 MF</v>
      </c>
      <c r="G1086" s="2835"/>
      <c r="H1086" s="2836"/>
      <c r="I1086" s="1668"/>
      <c r="J1086" s="1027">
        <f t="shared" si="106"/>
        <v>1</v>
      </c>
      <c r="K1086" s="1028"/>
      <c r="L1086" s="2818"/>
      <c r="M1086" s="2065"/>
      <c r="N1086" s="2048"/>
      <c r="O1086" s="332"/>
      <c r="P1086" s="332"/>
      <c r="Q1086" s="332"/>
      <c r="R1086" s="332"/>
      <c r="S1086" s="332"/>
      <c r="T1086" s="177"/>
      <c r="U1086" s="177"/>
      <c r="V1086" s="2806"/>
      <c r="W1086" s="1027">
        <v>0.65</v>
      </c>
      <c r="X1086" s="1027">
        <v>0.65</v>
      </c>
      <c r="Y1086" s="1030">
        <f t="shared" si="107"/>
        <v>1</v>
      </c>
      <c r="Z1086" s="1027"/>
      <c r="AA1086" s="1027"/>
      <c r="AB1086" s="1027"/>
      <c r="AC1086" s="1027"/>
      <c r="AD1086" s="1027"/>
      <c r="AE1086" s="1027"/>
      <c r="AF1086" s="1027"/>
      <c r="AG1086" s="1029"/>
      <c r="BB1086" s="784"/>
      <c r="BC1086" s="785"/>
      <c r="BD1086" s="900"/>
    </row>
    <row r="1087" spans="1:56" s="65" customFormat="1" hidden="1" outlineLevel="1" x14ac:dyDescent="0.25">
      <c r="A1087" s="785"/>
      <c r="B1087" s="332"/>
      <c r="C1087" s="455"/>
      <c r="D1087" s="2806"/>
      <c r="E1087" s="2856"/>
      <c r="F1087" s="2834" t="str">
        <f>E820</f>
        <v>Ductless ASHP ER2 MF</v>
      </c>
      <c r="G1087" s="2835"/>
      <c r="H1087" s="2836"/>
      <c r="I1087" s="1668"/>
      <c r="J1087" s="1027">
        <f t="shared" si="106"/>
        <v>1</v>
      </c>
      <c r="K1087" s="1028"/>
      <c r="L1087" s="2818"/>
      <c r="M1087" s="2065"/>
      <c r="N1087" s="2048"/>
      <c r="O1087" s="332"/>
      <c r="P1087" s="332"/>
      <c r="Q1087" s="332"/>
      <c r="R1087" s="332"/>
      <c r="S1087" s="332"/>
      <c r="T1087" s="177"/>
      <c r="U1087" s="177"/>
      <c r="V1087" s="2806"/>
      <c r="W1087" s="1027">
        <v>0.65</v>
      </c>
      <c r="X1087" s="1027">
        <v>0.65</v>
      </c>
      <c r="Y1087" s="1030">
        <f t="shared" si="107"/>
        <v>1</v>
      </c>
      <c r="Z1087" s="1027"/>
      <c r="AA1087" s="1027"/>
      <c r="AB1087" s="1027"/>
      <c r="AC1087" s="1027"/>
      <c r="AD1087" s="1027"/>
      <c r="AE1087" s="1027"/>
      <c r="AF1087" s="1027"/>
      <c r="AG1087" s="1029"/>
      <c r="BB1087" s="784"/>
      <c r="BC1087" s="785"/>
      <c r="BD1087" s="900"/>
    </row>
    <row r="1088" spans="1:56" s="65" customFormat="1" hidden="1" outlineLevel="1" x14ac:dyDescent="0.25">
      <c r="A1088" s="785"/>
      <c r="B1088" s="332"/>
      <c r="C1088" s="455"/>
      <c r="D1088" s="2806"/>
      <c r="E1088" s="2856"/>
      <c r="F1088" s="2837" t="str">
        <f>E821</f>
        <v>Ductless ASHP ER2 MF</v>
      </c>
      <c r="G1088" s="2838"/>
      <c r="H1088" s="2839"/>
      <c r="I1088" s="1668"/>
      <c r="J1088" s="1027">
        <f t="shared" si="106"/>
        <v>1</v>
      </c>
      <c r="K1088" s="1028"/>
      <c r="L1088" s="2818"/>
      <c r="M1088" s="2065"/>
      <c r="N1088" s="2048"/>
      <c r="O1088" s="332"/>
      <c r="P1088" s="332"/>
      <c r="Q1088" s="332"/>
      <c r="R1088" s="332"/>
      <c r="S1088" s="332"/>
      <c r="T1088" s="177"/>
      <c r="U1088" s="177"/>
      <c r="V1088" s="2806"/>
      <c r="W1088" s="1027">
        <v>0.65</v>
      </c>
      <c r="X1088" s="1027">
        <v>0.65</v>
      </c>
      <c r="Y1088" s="1030">
        <f t="shared" si="107"/>
        <v>1</v>
      </c>
      <c r="Z1088" s="1027"/>
      <c r="AA1088" s="1027"/>
      <c r="AB1088" s="1027"/>
      <c r="AC1088" s="1027"/>
      <c r="AD1088" s="1027"/>
      <c r="AE1088" s="1027"/>
      <c r="AF1088" s="1027"/>
      <c r="AG1088" s="1029"/>
      <c r="BB1088" s="784"/>
      <c r="BC1088" s="785"/>
      <c r="BD1088" s="900"/>
    </row>
    <row r="1089" spans="1:56" s="65" customFormat="1" hidden="1" outlineLevel="1" x14ac:dyDescent="0.25">
      <c r="A1089" s="785"/>
      <c r="B1089" s="332"/>
      <c r="C1089" s="455"/>
      <c r="D1089" s="2807"/>
      <c r="E1089" s="2857"/>
      <c r="F1089" s="2840" t="str">
        <f>E794</f>
        <v>Ductless AC - ER1 MF_CompE</v>
      </c>
      <c r="G1089" s="2841"/>
      <c r="H1089" s="2842"/>
      <c r="I1089" s="1668"/>
      <c r="J1089" s="1027">
        <f t="shared" si="106"/>
        <v>1</v>
      </c>
      <c r="K1089" s="1028"/>
      <c r="L1089" s="2818"/>
      <c r="M1089" s="2065"/>
      <c r="N1089" s="2048"/>
      <c r="O1089" s="332"/>
      <c r="P1089" s="332"/>
      <c r="Q1089" s="332"/>
      <c r="R1089" s="332"/>
      <c r="S1089" s="332"/>
      <c r="T1089" s="177"/>
      <c r="U1089" s="177"/>
      <c r="V1089" s="2847"/>
      <c r="W1089" s="1023"/>
      <c r="X1089" s="1023"/>
      <c r="Y1089" s="1030">
        <f t="shared" si="107"/>
        <v>1</v>
      </c>
      <c r="Z1089" s="1023"/>
      <c r="AA1089" s="1023"/>
      <c r="AB1089" s="1023"/>
      <c r="AC1089" s="1023"/>
      <c r="AD1089" s="1023"/>
      <c r="AE1089" s="1023"/>
      <c r="AF1089" s="1023"/>
      <c r="AG1089" s="1031"/>
      <c r="BB1089" s="784"/>
      <c r="BC1089" s="785"/>
      <c r="BD1089" s="900"/>
    </row>
    <row r="1090" spans="1:56" s="65" customFormat="1" hidden="1" outlineLevel="1" x14ac:dyDescent="0.25">
      <c r="A1090" s="785"/>
      <c r="B1090" s="332"/>
      <c r="C1090" s="455"/>
      <c r="D1090" s="2807"/>
      <c r="E1090" s="2857"/>
      <c r="F1090" s="2837" t="str">
        <f>E795</f>
        <v>Ductless AC - ER2 MF_CompE</v>
      </c>
      <c r="G1090" s="2838"/>
      <c r="H1090" s="2839"/>
      <c r="I1090" s="1668"/>
      <c r="J1090" s="1027">
        <f t="shared" si="106"/>
        <v>1</v>
      </c>
      <c r="K1090" s="1028"/>
      <c r="L1090" s="2818"/>
      <c r="M1090" s="2065"/>
      <c r="N1090" s="2048"/>
      <c r="O1090" s="332"/>
      <c r="P1090" s="332"/>
      <c r="Q1090" s="332"/>
      <c r="R1090" s="332"/>
      <c r="S1090" s="332"/>
      <c r="T1090" s="177"/>
      <c r="U1090" s="177"/>
      <c r="V1090" s="2847"/>
      <c r="W1090" s="1027"/>
      <c r="X1090" s="1027"/>
      <c r="Y1090" s="1030">
        <f t="shared" si="107"/>
        <v>1</v>
      </c>
      <c r="Z1090" s="1027"/>
      <c r="AA1090" s="1027"/>
      <c r="AB1090" s="1027"/>
      <c r="AC1090" s="1027"/>
      <c r="AD1090" s="1027"/>
      <c r="AE1090" s="1027"/>
      <c r="AF1090" s="1027"/>
      <c r="AG1090" s="1029"/>
      <c r="BB1090" s="784"/>
      <c r="BC1090" s="785"/>
      <c r="BD1090" s="900"/>
    </row>
    <row r="1091" spans="1:56" s="65" customFormat="1" hidden="1" outlineLevel="1" x14ac:dyDescent="0.25">
      <c r="A1091" s="785"/>
      <c r="B1091" s="332"/>
      <c r="C1091" s="455"/>
      <c r="D1091" s="2807"/>
      <c r="E1091" s="2857"/>
      <c r="F1091" s="2844" t="str">
        <f>E797</f>
        <v>Ductless AC - ROF MF_CompE</v>
      </c>
      <c r="G1091" s="2845"/>
      <c r="H1091" s="2846"/>
      <c r="I1091" s="1668"/>
      <c r="J1091" s="1027">
        <f t="shared" si="106"/>
        <v>1</v>
      </c>
      <c r="K1091" s="1028"/>
      <c r="L1091" s="2818"/>
      <c r="M1091" s="2065"/>
      <c r="N1091" s="2048"/>
      <c r="O1091" s="332"/>
      <c r="P1091" s="332"/>
      <c r="Q1091" s="332"/>
      <c r="R1091" s="332"/>
      <c r="S1091" s="332"/>
      <c r="T1091" s="177"/>
      <c r="U1091" s="177"/>
      <c r="V1091" s="2847"/>
      <c r="W1091" s="1027"/>
      <c r="X1091" s="1027"/>
      <c r="Y1091" s="1030">
        <f t="shared" si="107"/>
        <v>1</v>
      </c>
      <c r="Z1091" s="1027"/>
      <c r="AA1091" s="1027"/>
      <c r="AB1091" s="1027"/>
      <c r="AC1091" s="1027"/>
      <c r="AD1091" s="1027"/>
      <c r="AE1091" s="1027"/>
      <c r="AF1091" s="1027"/>
      <c r="AG1091" s="1029"/>
      <c r="BB1091" s="784"/>
      <c r="BC1091" s="785"/>
      <c r="BD1091" s="900"/>
    </row>
    <row r="1092" spans="1:56" s="65" customFormat="1" hidden="1" outlineLevel="1" x14ac:dyDescent="0.25">
      <c r="A1092" s="785"/>
      <c r="B1092" s="332"/>
      <c r="C1092" s="455"/>
      <c r="D1092" s="2807"/>
      <c r="E1092" s="2857"/>
      <c r="F1092" s="2840" t="str">
        <f>E800</f>
        <v>Ductless ASHP - ROF MF NC_CompE</v>
      </c>
      <c r="G1092" s="2841"/>
      <c r="H1092" s="2842"/>
      <c r="I1092" s="1668"/>
      <c r="J1092" s="1027">
        <f t="shared" si="106"/>
        <v>1</v>
      </c>
      <c r="K1092" s="1028"/>
      <c r="L1092" s="2818"/>
      <c r="M1092" s="2065"/>
      <c r="N1092" s="2048"/>
      <c r="O1092" s="332"/>
      <c r="P1092" s="332"/>
      <c r="Q1092" s="332"/>
      <c r="R1092" s="332"/>
      <c r="S1092" s="332"/>
      <c r="T1092" s="177"/>
      <c r="U1092" s="177"/>
      <c r="V1092" s="2847"/>
      <c r="W1092" s="1027"/>
      <c r="X1092" s="1027"/>
      <c r="Y1092" s="1030">
        <f t="shared" si="107"/>
        <v>1</v>
      </c>
      <c r="Z1092" s="1027"/>
      <c r="AA1092" s="1027"/>
      <c r="AB1092" s="1027"/>
      <c r="AC1092" s="1027"/>
      <c r="AD1092" s="1027"/>
      <c r="AE1092" s="1027"/>
      <c r="AF1092" s="1027"/>
      <c r="AG1092" s="1029"/>
      <c r="BB1092" s="784"/>
      <c r="BC1092" s="785"/>
      <c r="BD1092" s="900"/>
    </row>
    <row r="1093" spans="1:56" s="65" customFormat="1" hidden="1" outlineLevel="1" x14ac:dyDescent="0.25">
      <c r="A1093" s="785"/>
      <c r="B1093" s="332"/>
      <c r="C1093" s="455"/>
      <c r="D1093" s="2807"/>
      <c r="E1093" s="2857"/>
      <c r="F1093" s="2837" t="str">
        <f>E801</f>
        <v>Ductless ASHP - ROF MF NC_CompE</v>
      </c>
      <c r="G1093" s="2838"/>
      <c r="H1093" s="2839"/>
      <c r="I1093" s="1668"/>
      <c r="J1093" s="1027">
        <f t="shared" si="106"/>
        <v>1</v>
      </c>
      <c r="K1093" s="1028"/>
      <c r="L1093" s="2818"/>
      <c r="M1093" s="2065"/>
      <c r="N1093" s="2048"/>
      <c r="O1093" s="332"/>
      <c r="P1093" s="332"/>
      <c r="Q1093" s="332"/>
      <c r="R1093" s="332"/>
      <c r="S1093" s="332"/>
      <c r="T1093" s="177"/>
      <c r="U1093" s="177"/>
      <c r="V1093" s="2847"/>
      <c r="W1093" s="1027"/>
      <c r="X1093" s="1027"/>
      <c r="Y1093" s="1030">
        <f t="shared" si="107"/>
        <v>1</v>
      </c>
      <c r="Z1093" s="1027"/>
      <c r="AA1093" s="1027"/>
      <c r="AB1093" s="1027"/>
      <c r="AC1093" s="1027"/>
      <c r="AD1093" s="1027"/>
      <c r="AE1093" s="1027"/>
      <c r="AF1093" s="1027"/>
      <c r="AG1093" s="1029"/>
      <c r="BB1093" s="784"/>
      <c r="BC1093" s="785"/>
      <c r="BD1093" s="900"/>
    </row>
    <row r="1094" spans="1:56" s="65" customFormat="1" hidden="1" outlineLevel="1" x14ac:dyDescent="0.25">
      <c r="A1094" s="785"/>
      <c r="B1094" s="332"/>
      <c r="C1094" s="455"/>
      <c r="D1094" s="2807"/>
      <c r="E1094" s="2857"/>
      <c r="F1094" s="2840" t="str">
        <f>E804</f>
        <v>Ductless ASHP - ROF MF_CompE</v>
      </c>
      <c r="G1094" s="2841"/>
      <c r="H1094" s="2842"/>
      <c r="I1094" s="1668"/>
      <c r="J1094" s="1027">
        <f t="shared" si="106"/>
        <v>1</v>
      </c>
      <c r="K1094" s="1028"/>
      <c r="L1094" s="2818"/>
      <c r="M1094" s="2065"/>
      <c r="N1094" s="2048"/>
      <c r="O1094" s="332"/>
      <c r="P1094" s="332"/>
      <c r="Q1094" s="332"/>
      <c r="R1094" s="332"/>
      <c r="S1094" s="332"/>
      <c r="T1094" s="177"/>
      <c r="U1094" s="177"/>
      <c r="V1094" s="2847"/>
      <c r="W1094" s="1027"/>
      <c r="X1094" s="1027"/>
      <c r="Y1094" s="1030">
        <f t="shared" si="107"/>
        <v>1</v>
      </c>
      <c r="Z1094" s="1027"/>
      <c r="AA1094" s="1027"/>
      <c r="AB1094" s="1027"/>
      <c r="AC1094" s="1027"/>
      <c r="AD1094" s="1027"/>
      <c r="AE1094" s="1027"/>
      <c r="AF1094" s="1027"/>
      <c r="AG1094" s="1029"/>
      <c r="BB1094" s="784"/>
      <c r="BC1094" s="785"/>
      <c r="BD1094" s="900"/>
    </row>
    <row r="1095" spans="1:56" s="65" customFormat="1" hidden="1" outlineLevel="1" x14ac:dyDescent="0.25">
      <c r="A1095" s="785"/>
      <c r="B1095" s="332"/>
      <c r="C1095" s="455"/>
      <c r="D1095" s="2807"/>
      <c r="E1095" s="2857"/>
      <c r="F1095" s="2837" t="str">
        <f>E805</f>
        <v>Ductless ASHP - ROF MF_CompE</v>
      </c>
      <c r="G1095" s="2838"/>
      <c r="H1095" s="2839"/>
      <c r="I1095" s="1668"/>
      <c r="J1095" s="1027">
        <f t="shared" si="106"/>
        <v>1</v>
      </c>
      <c r="K1095" s="1028"/>
      <c r="L1095" s="2818"/>
      <c r="M1095" s="2065"/>
      <c r="N1095" s="2048"/>
      <c r="O1095" s="332"/>
      <c r="P1095" s="332"/>
      <c r="Q1095" s="332"/>
      <c r="R1095" s="332"/>
      <c r="S1095" s="332"/>
      <c r="T1095" s="177"/>
      <c r="U1095" s="177"/>
      <c r="V1095" s="2847"/>
      <c r="W1095" s="1027"/>
      <c r="X1095" s="1027"/>
      <c r="Y1095" s="1030">
        <f t="shared" si="107"/>
        <v>1</v>
      </c>
      <c r="Z1095" s="1027"/>
      <c r="AA1095" s="1027"/>
      <c r="AB1095" s="1027"/>
      <c r="AC1095" s="1027"/>
      <c r="AD1095" s="1027"/>
      <c r="AE1095" s="1027"/>
      <c r="AF1095" s="1027"/>
      <c r="AG1095" s="1029"/>
      <c r="BB1095" s="784"/>
      <c r="BC1095" s="785"/>
      <c r="BD1095" s="900"/>
    </row>
    <row r="1096" spans="1:56" s="65" customFormat="1" hidden="1" outlineLevel="1" x14ac:dyDescent="0.25">
      <c r="A1096" s="785"/>
      <c r="B1096" s="332"/>
      <c r="C1096" s="455"/>
      <c r="D1096" s="2807"/>
      <c r="E1096" s="2857"/>
      <c r="F1096" s="2840" t="str">
        <f>E810</f>
        <v>Ductless ASHP Replace Electric Resistance ER1 MF_CompE</v>
      </c>
      <c r="G1096" s="2841"/>
      <c r="H1096" s="2842"/>
      <c r="I1096" s="1668"/>
      <c r="J1096" s="1027">
        <f t="shared" si="106"/>
        <v>1</v>
      </c>
      <c r="K1096" s="1028"/>
      <c r="L1096" s="2818"/>
      <c r="M1096" s="2065"/>
      <c r="N1096" s="2048"/>
      <c r="O1096" s="332"/>
      <c r="P1096" s="332"/>
      <c r="Q1096" s="332"/>
      <c r="R1096" s="332"/>
      <c r="S1096" s="332"/>
      <c r="T1096" s="177"/>
      <c r="U1096" s="177"/>
      <c r="V1096" s="2847"/>
      <c r="W1096" s="1027"/>
      <c r="X1096" s="1027"/>
      <c r="Y1096" s="1030">
        <f t="shared" si="107"/>
        <v>1</v>
      </c>
      <c r="Z1096" s="1027"/>
      <c r="AA1096" s="1027"/>
      <c r="AB1096" s="1027"/>
      <c r="AC1096" s="1027"/>
      <c r="AD1096" s="1027"/>
      <c r="AE1096" s="1027"/>
      <c r="AF1096" s="1027"/>
      <c r="AG1096" s="1029"/>
      <c r="BB1096" s="784"/>
      <c r="BC1096" s="785"/>
      <c r="BD1096" s="900"/>
    </row>
    <row r="1097" spans="1:56" s="65" customFormat="1" hidden="1" outlineLevel="1" x14ac:dyDescent="0.25">
      <c r="A1097" s="785"/>
      <c r="B1097" s="332"/>
      <c r="C1097" s="455"/>
      <c r="D1097" s="2807"/>
      <c r="E1097" s="2857"/>
      <c r="F1097" s="2834" t="str">
        <f>E811</f>
        <v>Ductless ASHP Replace Electric Resistance ER1 MF_CompE</v>
      </c>
      <c r="G1097" s="2835"/>
      <c r="H1097" s="2836"/>
      <c r="I1097" s="1668"/>
      <c r="J1097" s="1027">
        <f t="shared" si="106"/>
        <v>1</v>
      </c>
      <c r="K1097" s="1028"/>
      <c r="L1097" s="2818"/>
      <c r="M1097" s="2065"/>
      <c r="N1097" s="2048"/>
      <c r="O1097" s="332"/>
      <c r="P1097" s="332"/>
      <c r="Q1097" s="332"/>
      <c r="R1097" s="332"/>
      <c r="S1097" s="332"/>
      <c r="T1097" s="177"/>
      <c r="U1097" s="177"/>
      <c r="V1097" s="2847"/>
      <c r="W1097" s="1027"/>
      <c r="X1097" s="1027"/>
      <c r="Y1097" s="1030">
        <f t="shared" si="107"/>
        <v>1</v>
      </c>
      <c r="Z1097" s="1027"/>
      <c r="AA1097" s="1027"/>
      <c r="AB1097" s="1027"/>
      <c r="AC1097" s="1027"/>
      <c r="AD1097" s="1027"/>
      <c r="AE1097" s="1027"/>
      <c r="AF1097" s="1027"/>
      <c r="AG1097" s="1029"/>
      <c r="BB1097" s="784"/>
      <c r="BC1097" s="785"/>
      <c r="BD1097" s="900"/>
    </row>
    <row r="1098" spans="1:56" s="65" customFormat="1" hidden="1" outlineLevel="1" x14ac:dyDescent="0.25">
      <c r="A1098" s="785"/>
      <c r="B1098" s="332"/>
      <c r="C1098" s="455"/>
      <c r="D1098" s="2807"/>
      <c r="E1098" s="2857"/>
      <c r="F1098" s="2834" t="str">
        <f>E812</f>
        <v>Ductless ASHP Replace Electric Resistance ER2 MF_CompE</v>
      </c>
      <c r="G1098" s="2835"/>
      <c r="H1098" s="2836"/>
      <c r="I1098" s="1668"/>
      <c r="J1098" s="1027">
        <f t="shared" si="106"/>
        <v>1</v>
      </c>
      <c r="K1098" s="1028"/>
      <c r="L1098" s="2818"/>
      <c r="M1098" s="2065"/>
      <c r="N1098" s="2048"/>
      <c r="O1098" s="332"/>
      <c r="P1098" s="332"/>
      <c r="Q1098" s="332"/>
      <c r="R1098" s="332"/>
      <c r="S1098" s="332"/>
      <c r="T1098" s="177"/>
      <c r="U1098" s="177"/>
      <c r="V1098" s="2847"/>
      <c r="W1098" s="1027"/>
      <c r="X1098" s="1027"/>
      <c r="Y1098" s="1030">
        <f t="shared" si="107"/>
        <v>1</v>
      </c>
      <c r="Z1098" s="1027"/>
      <c r="AA1098" s="1027"/>
      <c r="AB1098" s="1027"/>
      <c r="AC1098" s="1027"/>
      <c r="AD1098" s="1027"/>
      <c r="AE1098" s="1027"/>
      <c r="AF1098" s="1027"/>
      <c r="AG1098" s="1029"/>
      <c r="BB1098" s="784"/>
      <c r="BC1098" s="785"/>
      <c r="BD1098" s="900"/>
    </row>
    <row r="1099" spans="1:56" s="65" customFormat="1" hidden="1" outlineLevel="1" x14ac:dyDescent="0.25">
      <c r="A1099" s="785"/>
      <c r="B1099" s="332"/>
      <c r="C1099" s="455"/>
      <c r="D1099" s="2807"/>
      <c r="E1099" s="2857"/>
      <c r="F1099" s="2837" t="str">
        <f>E813</f>
        <v>Ductless ASHP Replace Electric Resistance ER2 MF_CompE</v>
      </c>
      <c r="G1099" s="2838"/>
      <c r="H1099" s="2839"/>
      <c r="I1099" s="1668"/>
      <c r="J1099" s="1027">
        <f t="shared" si="106"/>
        <v>1</v>
      </c>
      <c r="K1099" s="1028"/>
      <c r="L1099" s="2818"/>
      <c r="M1099" s="2065"/>
      <c r="N1099" s="2048"/>
      <c r="O1099" s="332"/>
      <c r="P1099" s="332"/>
      <c r="Q1099" s="332"/>
      <c r="R1099" s="332"/>
      <c r="S1099" s="332"/>
      <c r="T1099" s="177"/>
      <c r="U1099" s="177"/>
      <c r="V1099" s="2847"/>
      <c r="W1099" s="1027"/>
      <c r="X1099" s="1027"/>
      <c r="Y1099" s="1030">
        <f t="shared" si="107"/>
        <v>1</v>
      </c>
      <c r="Z1099" s="1027"/>
      <c r="AA1099" s="1027"/>
      <c r="AB1099" s="1027"/>
      <c r="AC1099" s="1027"/>
      <c r="AD1099" s="1027"/>
      <c r="AE1099" s="1027"/>
      <c r="AF1099" s="1027"/>
      <c r="AG1099" s="1029"/>
      <c r="BB1099" s="784"/>
      <c r="BC1099" s="785"/>
      <c r="BD1099" s="900"/>
    </row>
    <row r="1100" spans="1:56" s="65" customFormat="1" hidden="1" outlineLevel="1" x14ac:dyDescent="0.25">
      <c r="A1100" s="785"/>
      <c r="B1100" s="332"/>
      <c r="C1100" s="455"/>
      <c r="D1100" s="2807"/>
      <c r="E1100" s="2857"/>
      <c r="F1100" s="2840" t="str">
        <f>E816</f>
        <v>Ductless ASHP Replace Electric Resistance ROF MF_CompE</v>
      </c>
      <c r="G1100" s="2841"/>
      <c r="H1100" s="2842"/>
      <c r="I1100" s="1668"/>
      <c r="J1100" s="1027">
        <f t="shared" si="106"/>
        <v>1</v>
      </c>
      <c r="K1100" s="1028"/>
      <c r="L1100" s="2818"/>
      <c r="M1100" s="2065"/>
      <c r="N1100" s="2048"/>
      <c r="O1100" s="332"/>
      <c r="P1100" s="332"/>
      <c r="Q1100" s="332"/>
      <c r="R1100" s="332"/>
      <c r="S1100" s="332"/>
      <c r="T1100" s="177"/>
      <c r="U1100" s="177"/>
      <c r="V1100" s="2847"/>
      <c r="W1100" s="1027"/>
      <c r="X1100" s="1027"/>
      <c r="Y1100" s="1030">
        <f t="shared" si="107"/>
        <v>1</v>
      </c>
      <c r="Z1100" s="1027"/>
      <c r="AA1100" s="1027"/>
      <c r="AB1100" s="1027"/>
      <c r="AC1100" s="1027"/>
      <c r="AD1100" s="1027"/>
      <c r="AE1100" s="1027"/>
      <c r="AF1100" s="1027"/>
      <c r="AG1100" s="1029"/>
      <c r="BB1100" s="784"/>
      <c r="BC1100" s="785"/>
      <c r="BD1100" s="900"/>
    </row>
    <row r="1101" spans="1:56" s="65" customFormat="1" hidden="1" outlineLevel="1" x14ac:dyDescent="0.25">
      <c r="A1101" s="785"/>
      <c r="B1101" s="332"/>
      <c r="C1101" s="455"/>
      <c r="D1101" s="2807"/>
      <c r="E1101" s="2857"/>
      <c r="F1101" s="2837" t="str">
        <f>E817</f>
        <v>Ductless ASHP Replace Electric Resistance ROF MF_CompE</v>
      </c>
      <c r="G1101" s="2838"/>
      <c r="H1101" s="2839"/>
      <c r="I1101" s="1668"/>
      <c r="J1101" s="1027">
        <f t="shared" si="106"/>
        <v>1</v>
      </c>
      <c r="K1101" s="1028"/>
      <c r="L1101" s="2818"/>
      <c r="M1101" s="2065"/>
      <c r="N1101" s="2048"/>
      <c r="O1101" s="332"/>
      <c r="P1101" s="332"/>
      <c r="Q1101" s="332"/>
      <c r="R1101" s="332"/>
      <c r="S1101" s="332"/>
      <c r="T1101" s="177"/>
      <c r="U1101" s="177"/>
      <c r="V1101" s="2847"/>
      <c r="W1101" s="1027"/>
      <c r="X1101" s="1027"/>
      <c r="Y1101" s="1030">
        <f t="shared" si="107"/>
        <v>1</v>
      </c>
      <c r="Z1101" s="1027"/>
      <c r="AA1101" s="1027"/>
      <c r="AB1101" s="1027"/>
      <c r="AC1101" s="1027"/>
      <c r="AD1101" s="1027"/>
      <c r="AE1101" s="1027"/>
      <c r="AF1101" s="1027"/>
      <c r="AG1101" s="1029"/>
      <c r="BB1101" s="784"/>
      <c r="BC1101" s="785"/>
      <c r="BD1101" s="900"/>
    </row>
    <row r="1102" spans="1:56" s="65" customFormat="1" hidden="1" outlineLevel="1" x14ac:dyDescent="0.25">
      <c r="A1102" s="785"/>
      <c r="B1102" s="332"/>
      <c r="C1102" s="455"/>
      <c r="D1102" s="2807"/>
      <c r="E1102" s="2857"/>
      <c r="F1102" s="2840" t="str">
        <f t="shared" ref="F1102:F1105" si="108">E822</f>
        <v>Ductless ASHP ER1 MF_CompE</v>
      </c>
      <c r="G1102" s="2841"/>
      <c r="H1102" s="2842"/>
      <c r="I1102" s="1668"/>
      <c r="J1102" s="1027">
        <f t="shared" si="106"/>
        <v>1</v>
      </c>
      <c r="K1102" s="1028"/>
      <c r="L1102" s="2818"/>
      <c r="M1102" s="2065"/>
      <c r="N1102" s="2048"/>
      <c r="O1102" s="332"/>
      <c r="P1102" s="332"/>
      <c r="Q1102" s="332"/>
      <c r="R1102" s="332"/>
      <c r="S1102" s="332"/>
      <c r="T1102" s="177"/>
      <c r="U1102" s="177"/>
      <c r="V1102" s="2847"/>
      <c r="W1102" s="1027"/>
      <c r="X1102" s="1027"/>
      <c r="Y1102" s="1030">
        <f t="shared" si="107"/>
        <v>1</v>
      </c>
      <c r="Z1102" s="1027"/>
      <c r="AA1102" s="1027"/>
      <c r="AB1102" s="1027"/>
      <c r="AC1102" s="1027"/>
      <c r="AD1102" s="1027"/>
      <c r="AE1102" s="1027"/>
      <c r="AF1102" s="1027"/>
      <c r="AG1102" s="1029"/>
      <c r="BB1102" s="784"/>
      <c r="BC1102" s="785"/>
      <c r="BD1102" s="900"/>
    </row>
    <row r="1103" spans="1:56" s="65" customFormat="1" hidden="1" outlineLevel="1" x14ac:dyDescent="0.25">
      <c r="A1103" s="785"/>
      <c r="B1103" s="332"/>
      <c r="C1103" s="455"/>
      <c r="D1103" s="2807"/>
      <c r="E1103" s="2857"/>
      <c r="F1103" s="2834" t="str">
        <f t="shared" si="108"/>
        <v>Ductless ASHP ER1 MF_CompE</v>
      </c>
      <c r="G1103" s="2835"/>
      <c r="H1103" s="2836"/>
      <c r="I1103" s="1668"/>
      <c r="J1103" s="1027">
        <f t="shared" si="106"/>
        <v>1</v>
      </c>
      <c r="K1103" s="1028"/>
      <c r="L1103" s="2818"/>
      <c r="M1103" s="2065"/>
      <c r="N1103" s="2048"/>
      <c r="O1103" s="332"/>
      <c r="P1103" s="332"/>
      <c r="Q1103" s="332"/>
      <c r="R1103" s="332"/>
      <c r="S1103" s="332"/>
      <c r="T1103" s="177"/>
      <c r="U1103" s="177"/>
      <c r="V1103" s="2847"/>
      <c r="W1103" s="1027"/>
      <c r="X1103" s="1027"/>
      <c r="Y1103" s="1030">
        <f t="shared" si="107"/>
        <v>1</v>
      </c>
      <c r="Z1103" s="1027"/>
      <c r="AA1103" s="1027"/>
      <c r="AB1103" s="1027"/>
      <c r="AC1103" s="1027"/>
      <c r="AD1103" s="1027"/>
      <c r="AE1103" s="1027"/>
      <c r="AF1103" s="1027"/>
      <c r="AG1103" s="1029"/>
      <c r="BB1103" s="784"/>
      <c r="BC1103" s="785"/>
      <c r="BD1103" s="900"/>
    </row>
    <row r="1104" spans="1:56" s="65" customFormat="1" hidden="1" outlineLevel="1" x14ac:dyDescent="0.25">
      <c r="A1104" s="785"/>
      <c r="B1104" s="332"/>
      <c r="C1104" s="455"/>
      <c r="D1104" s="2807"/>
      <c r="E1104" s="2857"/>
      <c r="F1104" s="2834" t="str">
        <f t="shared" si="108"/>
        <v>Ductless ASHP ER2 MF_CompE</v>
      </c>
      <c r="G1104" s="2835"/>
      <c r="H1104" s="2836"/>
      <c r="I1104" s="1668"/>
      <c r="J1104" s="1027">
        <f t="shared" si="106"/>
        <v>1</v>
      </c>
      <c r="K1104" s="1028"/>
      <c r="L1104" s="2818"/>
      <c r="M1104" s="2065"/>
      <c r="N1104" s="2048"/>
      <c r="O1104" s="332"/>
      <c r="P1104" s="332"/>
      <c r="Q1104" s="332"/>
      <c r="R1104" s="332"/>
      <c r="S1104" s="332"/>
      <c r="T1104" s="177"/>
      <c r="U1104" s="177"/>
      <c r="V1104" s="2847"/>
      <c r="W1104" s="1027"/>
      <c r="X1104" s="1027"/>
      <c r="Y1104" s="1030">
        <f t="shared" si="107"/>
        <v>1</v>
      </c>
      <c r="Z1104" s="1027"/>
      <c r="AA1104" s="1027"/>
      <c r="AB1104" s="1027"/>
      <c r="AC1104" s="1027"/>
      <c r="AD1104" s="1027"/>
      <c r="AE1104" s="1027"/>
      <c r="AF1104" s="1027"/>
      <c r="AG1104" s="1029"/>
      <c r="BB1104" s="784"/>
      <c r="BC1104" s="785"/>
      <c r="BD1104" s="900"/>
    </row>
    <row r="1105" spans="1:56" s="65" customFormat="1" ht="15.75" hidden="1" outlineLevel="1" thickBot="1" x14ac:dyDescent="0.3">
      <c r="A1105" s="785"/>
      <c r="B1105" s="332"/>
      <c r="C1105" s="455"/>
      <c r="D1105" s="2808"/>
      <c r="E1105" s="2858"/>
      <c r="F1105" s="2837" t="str">
        <f t="shared" si="108"/>
        <v>Ductless ASHP ER2 MF_CompE</v>
      </c>
      <c r="G1105" s="2838"/>
      <c r="H1105" s="2839"/>
      <c r="I1105" s="1039"/>
      <c r="J1105" s="1034">
        <f t="shared" si="106"/>
        <v>1</v>
      </c>
      <c r="K1105" s="1033"/>
      <c r="L1105" s="2843"/>
      <c r="M1105" s="2065"/>
      <c r="N1105" s="2048"/>
      <c r="O1105" s="332"/>
      <c r="P1105" s="332"/>
      <c r="Q1105" s="332"/>
      <c r="R1105" s="332"/>
      <c r="S1105" s="332"/>
      <c r="T1105" s="177"/>
      <c r="U1105" s="177"/>
      <c r="V1105" s="2848"/>
      <c r="W1105" s="1034"/>
      <c r="X1105" s="1034"/>
      <c r="Y1105" s="1032">
        <f t="shared" si="107"/>
        <v>1</v>
      </c>
      <c r="Z1105" s="1034"/>
      <c r="AA1105" s="1034"/>
      <c r="AB1105" s="1034"/>
      <c r="AC1105" s="1034"/>
      <c r="AD1105" s="1034"/>
      <c r="AE1105" s="1034"/>
      <c r="AF1105" s="1034"/>
      <c r="AG1105" s="1035"/>
      <c r="BB1105" s="784"/>
      <c r="BC1105" s="785"/>
      <c r="BD1105" s="900"/>
    </row>
    <row r="1106" spans="1:56" s="65" customFormat="1" ht="15" hidden="1" customHeight="1" outlineLevel="1" x14ac:dyDescent="0.25">
      <c r="A1106" s="785"/>
      <c r="B1106" s="332"/>
      <c r="C1106" s="455"/>
      <c r="D1106" s="2805" t="str">
        <f>D626</f>
        <v>EUL</v>
      </c>
      <c r="E1106" s="2805" t="str">
        <f>E626</f>
        <v>End Useful Life</v>
      </c>
      <c r="F1106" s="2849" t="str">
        <f t="shared" ref="F1106:F1139" si="109">F1055</f>
        <v>Ductless AC - ER1 SF</v>
      </c>
      <c r="G1106" s="2850"/>
      <c r="H1106" s="2851"/>
      <c r="I1106" s="1669"/>
      <c r="J1106" s="1036">
        <v>6</v>
      </c>
      <c r="K1106" s="1024"/>
      <c r="L1106" s="1009"/>
      <c r="M1106" s="2065"/>
      <c r="N1106" s="2048"/>
      <c r="O1106" s="332"/>
      <c r="P1106" s="332"/>
      <c r="Q1106" s="332"/>
      <c r="R1106" s="332"/>
      <c r="S1106" s="332"/>
      <c r="T1106" s="177"/>
      <c r="U1106" s="177"/>
      <c r="V1106" s="2805" t="str">
        <f>D1106</f>
        <v>EUL</v>
      </c>
      <c r="W1106" s="1037">
        <v>6</v>
      </c>
      <c r="X1106" s="1037">
        <v>6</v>
      </c>
      <c r="Y1106" s="1037">
        <v>6</v>
      </c>
      <c r="Z1106" s="1025"/>
      <c r="AA1106" s="1025"/>
      <c r="AB1106" s="1025"/>
      <c r="AC1106" s="1025"/>
      <c r="AD1106" s="1025"/>
      <c r="AE1106" s="1025"/>
      <c r="AF1106" s="1025"/>
      <c r="AG1106" s="1026"/>
      <c r="BB1106" s="784"/>
      <c r="BC1106" s="785"/>
      <c r="BD1106" s="900"/>
    </row>
    <row r="1107" spans="1:56" s="65" customFormat="1" hidden="1" outlineLevel="1" x14ac:dyDescent="0.25">
      <c r="A1107" s="785"/>
      <c r="B1107" s="332"/>
      <c r="C1107" s="455"/>
      <c r="D1107" s="2806"/>
      <c r="E1107" s="2806"/>
      <c r="F1107" s="2837" t="str">
        <f t="shared" si="109"/>
        <v>Ductless AC - ER2 SF</v>
      </c>
      <c r="G1107" s="2838"/>
      <c r="H1107" s="2839"/>
      <c r="I1107" s="1668"/>
      <c r="J1107" s="1038">
        <v>12</v>
      </c>
      <c r="K1107" s="1028"/>
      <c r="L1107" s="1012"/>
      <c r="M1107" s="2065"/>
      <c r="N1107" s="2048"/>
      <c r="O1107" s="332"/>
      <c r="P1107" s="332"/>
      <c r="Q1107" s="332"/>
      <c r="R1107" s="332"/>
      <c r="S1107" s="332"/>
      <c r="T1107" s="177"/>
      <c r="U1107" s="177"/>
      <c r="V1107" s="2806"/>
      <c r="W1107" s="1038">
        <v>12</v>
      </c>
      <c r="X1107" s="1038">
        <v>12</v>
      </c>
      <c r="Y1107" s="1038">
        <v>12</v>
      </c>
      <c r="Z1107" s="1027"/>
      <c r="AA1107" s="1027"/>
      <c r="AB1107" s="1027"/>
      <c r="AC1107" s="1027"/>
      <c r="AD1107" s="1027"/>
      <c r="AE1107" s="1027"/>
      <c r="AF1107" s="1027"/>
      <c r="AG1107" s="1029"/>
      <c r="BB1107" s="784"/>
      <c r="BC1107" s="785"/>
      <c r="BD1107" s="900"/>
    </row>
    <row r="1108" spans="1:56" s="65" customFormat="1" hidden="1" outlineLevel="1" x14ac:dyDescent="0.25">
      <c r="A1108" s="785"/>
      <c r="B1108" s="332"/>
      <c r="C1108" s="455"/>
      <c r="D1108" s="2806"/>
      <c r="E1108" s="2806"/>
      <c r="F1108" s="2844" t="str">
        <f t="shared" si="109"/>
        <v>Ductless AC - ROF SF</v>
      </c>
      <c r="G1108" s="2845"/>
      <c r="H1108" s="2846"/>
      <c r="I1108" s="1668"/>
      <c r="J1108" s="1038">
        <v>18</v>
      </c>
      <c r="K1108" s="1028"/>
      <c r="L1108" s="1012"/>
      <c r="M1108" s="2065"/>
      <c r="N1108" s="2048"/>
      <c r="O1108" s="332"/>
      <c r="P1108" s="332"/>
      <c r="Q1108" s="332"/>
      <c r="R1108" s="332"/>
      <c r="S1108" s="332"/>
      <c r="T1108" s="177"/>
      <c r="U1108" s="177"/>
      <c r="V1108" s="2806"/>
      <c r="W1108" s="1038">
        <v>18</v>
      </c>
      <c r="X1108" s="1038">
        <v>18</v>
      </c>
      <c r="Y1108" s="1038">
        <v>18</v>
      </c>
      <c r="Z1108" s="1027"/>
      <c r="AA1108" s="1027"/>
      <c r="AB1108" s="1027"/>
      <c r="AC1108" s="1027"/>
      <c r="AD1108" s="1027"/>
      <c r="AE1108" s="1027"/>
      <c r="AF1108" s="1027"/>
      <c r="AG1108" s="1029"/>
      <c r="BB1108" s="784"/>
      <c r="BC1108" s="785"/>
      <c r="BD1108" s="900"/>
    </row>
    <row r="1109" spans="1:56" s="65" customFormat="1" hidden="1" outlineLevel="1" x14ac:dyDescent="0.25">
      <c r="A1109" s="785"/>
      <c r="B1109" s="332"/>
      <c r="C1109" s="455"/>
      <c r="D1109" s="2806"/>
      <c r="E1109" s="2806"/>
      <c r="F1109" s="2840" t="str">
        <f t="shared" si="109"/>
        <v>Ductless ASHP - ROF SF NC</v>
      </c>
      <c r="G1109" s="2841"/>
      <c r="H1109" s="2842"/>
      <c r="I1109" s="1668"/>
      <c r="J1109" s="1038">
        <v>18</v>
      </c>
      <c r="K1109" s="1028"/>
      <c r="L1109" s="1012"/>
      <c r="M1109" s="2065"/>
      <c r="N1109" s="2048"/>
      <c r="O1109" s="332"/>
      <c r="P1109" s="332"/>
      <c r="Q1109" s="332"/>
      <c r="R1109" s="332"/>
      <c r="S1109" s="332"/>
      <c r="T1109" s="177"/>
      <c r="U1109" s="177"/>
      <c r="V1109" s="2806"/>
      <c r="W1109" s="1038">
        <v>18</v>
      </c>
      <c r="X1109" s="1038">
        <v>18</v>
      </c>
      <c r="Y1109" s="1038">
        <v>18</v>
      </c>
      <c r="Z1109" s="1027"/>
      <c r="AA1109" s="1027"/>
      <c r="AB1109" s="1027"/>
      <c r="AC1109" s="1027"/>
      <c r="AD1109" s="1027"/>
      <c r="AE1109" s="1027"/>
      <c r="AF1109" s="1027"/>
      <c r="AG1109" s="1029"/>
      <c r="BB1109" s="784"/>
      <c r="BC1109" s="785"/>
      <c r="BD1109" s="900"/>
    </row>
    <row r="1110" spans="1:56" s="65" customFormat="1" hidden="1" outlineLevel="1" x14ac:dyDescent="0.25">
      <c r="A1110" s="785"/>
      <c r="B1110" s="332"/>
      <c r="C1110" s="455"/>
      <c r="D1110" s="2806"/>
      <c r="E1110" s="2806"/>
      <c r="F1110" s="2837" t="str">
        <f t="shared" si="109"/>
        <v>Ductless ASHP - ROF SF NC</v>
      </c>
      <c r="G1110" s="2838"/>
      <c r="H1110" s="2839"/>
      <c r="I1110" s="1668"/>
      <c r="J1110" s="1038">
        <v>18</v>
      </c>
      <c r="K1110" s="1028"/>
      <c r="L1110" s="1012"/>
      <c r="M1110" s="2065"/>
      <c r="N1110" s="2048"/>
      <c r="O1110" s="332"/>
      <c r="P1110" s="332"/>
      <c r="Q1110" s="332"/>
      <c r="R1110" s="332"/>
      <c r="S1110" s="332"/>
      <c r="T1110" s="177"/>
      <c r="U1110" s="177"/>
      <c r="V1110" s="2806"/>
      <c r="W1110" s="1038">
        <v>18</v>
      </c>
      <c r="X1110" s="1038">
        <v>18</v>
      </c>
      <c r="Y1110" s="1038">
        <v>18</v>
      </c>
      <c r="Z1110" s="1027"/>
      <c r="AA1110" s="1027"/>
      <c r="AB1110" s="1027"/>
      <c r="AC1110" s="1027"/>
      <c r="AD1110" s="1027"/>
      <c r="AE1110" s="1027"/>
      <c r="AF1110" s="1027"/>
      <c r="AG1110" s="1029"/>
      <c r="BB1110" s="784"/>
      <c r="BC1110" s="785"/>
      <c r="BD1110" s="900"/>
    </row>
    <row r="1111" spans="1:56" s="65" customFormat="1" hidden="1" outlineLevel="1" x14ac:dyDescent="0.25">
      <c r="A1111" s="785"/>
      <c r="B1111" s="332"/>
      <c r="C1111" s="455"/>
      <c r="D1111" s="2806"/>
      <c r="E1111" s="2806"/>
      <c r="F1111" s="2840" t="str">
        <f t="shared" si="109"/>
        <v>Ductless ASHP - ROF SF</v>
      </c>
      <c r="G1111" s="2841"/>
      <c r="H1111" s="2842"/>
      <c r="I1111" s="1668"/>
      <c r="J1111" s="1038">
        <v>18</v>
      </c>
      <c r="K1111" s="1028"/>
      <c r="L1111" s="1012"/>
      <c r="M1111" s="2065"/>
      <c r="N1111" s="2048"/>
      <c r="O1111" s="332"/>
      <c r="P1111" s="332"/>
      <c r="Q1111" s="332"/>
      <c r="R1111" s="332"/>
      <c r="S1111" s="332"/>
      <c r="T1111" s="177"/>
      <c r="U1111" s="177"/>
      <c r="V1111" s="2806"/>
      <c r="W1111" s="1038">
        <v>18</v>
      </c>
      <c r="X1111" s="1038">
        <v>18</v>
      </c>
      <c r="Y1111" s="1038">
        <v>18</v>
      </c>
      <c r="Z1111" s="1027"/>
      <c r="AA1111" s="1027"/>
      <c r="AB1111" s="1027"/>
      <c r="AC1111" s="1027"/>
      <c r="AD1111" s="1027"/>
      <c r="AE1111" s="1027"/>
      <c r="AF1111" s="1027"/>
      <c r="AG1111" s="1029"/>
      <c r="BB1111" s="784"/>
      <c r="BC1111" s="785"/>
      <c r="BD1111" s="900"/>
    </row>
    <row r="1112" spans="1:56" s="65" customFormat="1" hidden="1" outlineLevel="1" x14ac:dyDescent="0.25">
      <c r="A1112" s="785"/>
      <c r="B1112" s="332"/>
      <c r="C1112" s="455"/>
      <c r="D1112" s="2806"/>
      <c r="E1112" s="2806"/>
      <c r="F1112" s="2837" t="str">
        <f t="shared" si="109"/>
        <v>Ductless ASHP - ROF SF</v>
      </c>
      <c r="G1112" s="2838"/>
      <c r="H1112" s="2839"/>
      <c r="I1112" s="1668"/>
      <c r="J1112" s="1038">
        <v>18</v>
      </c>
      <c r="K1112" s="1028"/>
      <c r="L1112" s="1012"/>
      <c r="M1112" s="2065"/>
      <c r="N1112" s="2048"/>
      <c r="O1112" s="332"/>
      <c r="P1112" s="332"/>
      <c r="Q1112" s="332"/>
      <c r="R1112" s="332"/>
      <c r="S1112" s="332"/>
      <c r="T1112" s="177"/>
      <c r="U1112" s="177"/>
      <c r="V1112" s="2806"/>
      <c r="W1112" s="1038">
        <v>18</v>
      </c>
      <c r="X1112" s="1038">
        <v>18</v>
      </c>
      <c r="Y1112" s="1038">
        <v>18</v>
      </c>
      <c r="Z1112" s="1027"/>
      <c r="AA1112" s="1027"/>
      <c r="AB1112" s="1027"/>
      <c r="AC1112" s="1027"/>
      <c r="AD1112" s="1027"/>
      <c r="AE1112" s="1027"/>
      <c r="AF1112" s="1027"/>
      <c r="AG1112" s="1029"/>
      <c r="BB1112" s="784"/>
      <c r="BC1112" s="785"/>
      <c r="BD1112" s="900"/>
    </row>
    <row r="1113" spans="1:56" s="65" customFormat="1" hidden="1" outlineLevel="1" x14ac:dyDescent="0.25">
      <c r="A1113" s="785"/>
      <c r="B1113" s="332"/>
      <c r="C1113" s="455"/>
      <c r="D1113" s="2806"/>
      <c r="E1113" s="2806"/>
      <c r="F1113" s="2840" t="str">
        <f t="shared" si="109"/>
        <v>Ductless ASHP Replace Electric Resistance ER1 SF</v>
      </c>
      <c r="G1113" s="2841"/>
      <c r="H1113" s="2842"/>
      <c r="I1113" s="1668"/>
      <c r="J1113" s="1038">
        <v>6</v>
      </c>
      <c r="K1113" s="1028"/>
      <c r="L1113" s="1012"/>
      <c r="M1113" s="2065"/>
      <c r="N1113" s="2048"/>
      <c r="O1113" s="332"/>
      <c r="P1113" s="332"/>
      <c r="Q1113" s="332"/>
      <c r="R1113" s="332"/>
      <c r="S1113" s="332"/>
      <c r="T1113" s="177"/>
      <c r="U1113" s="177"/>
      <c r="V1113" s="2806"/>
      <c r="W1113" s="1038">
        <v>6</v>
      </c>
      <c r="X1113" s="1038">
        <v>6</v>
      </c>
      <c r="Y1113" s="1038">
        <v>6</v>
      </c>
      <c r="Z1113" s="1027"/>
      <c r="AA1113" s="1027"/>
      <c r="AB1113" s="1027"/>
      <c r="AC1113" s="1027"/>
      <c r="AD1113" s="1027"/>
      <c r="AE1113" s="1027"/>
      <c r="AF1113" s="1027"/>
      <c r="AG1113" s="1029"/>
      <c r="BB1113" s="784"/>
      <c r="BC1113" s="785"/>
      <c r="BD1113" s="900"/>
    </row>
    <row r="1114" spans="1:56" s="65" customFormat="1" hidden="1" outlineLevel="1" x14ac:dyDescent="0.25">
      <c r="A1114" s="785"/>
      <c r="B1114" s="332"/>
      <c r="C1114" s="455"/>
      <c r="D1114" s="2806"/>
      <c r="E1114" s="2806"/>
      <c r="F1114" s="2834" t="str">
        <f t="shared" si="109"/>
        <v>Ductless ASHP Replace Electric Resistance ER1 SF</v>
      </c>
      <c r="G1114" s="2835"/>
      <c r="H1114" s="2836"/>
      <c r="I1114" s="1668"/>
      <c r="J1114" s="1038">
        <v>6</v>
      </c>
      <c r="K1114" s="1028"/>
      <c r="L1114" s="1012"/>
      <c r="M1114" s="2065"/>
      <c r="N1114" s="2048"/>
      <c r="O1114" s="332"/>
      <c r="P1114" s="332"/>
      <c r="Q1114" s="332"/>
      <c r="R1114" s="332"/>
      <c r="S1114" s="332"/>
      <c r="T1114" s="177"/>
      <c r="U1114" s="177"/>
      <c r="V1114" s="2806"/>
      <c r="W1114" s="1038">
        <v>6</v>
      </c>
      <c r="X1114" s="1038">
        <v>6</v>
      </c>
      <c r="Y1114" s="1038">
        <v>6</v>
      </c>
      <c r="Z1114" s="1027"/>
      <c r="AA1114" s="1027"/>
      <c r="AB1114" s="1027"/>
      <c r="AC1114" s="1027"/>
      <c r="AD1114" s="1027"/>
      <c r="AE1114" s="1027"/>
      <c r="AF1114" s="1027"/>
      <c r="AG1114" s="1029"/>
      <c r="BB1114" s="784"/>
      <c r="BC1114" s="785"/>
      <c r="BD1114" s="900"/>
    </row>
    <row r="1115" spans="1:56" s="65" customFormat="1" hidden="1" outlineLevel="1" x14ac:dyDescent="0.25">
      <c r="A1115" s="785"/>
      <c r="B1115" s="332"/>
      <c r="C1115" s="455"/>
      <c r="D1115" s="2806"/>
      <c r="E1115" s="2806"/>
      <c r="F1115" s="2834" t="str">
        <f t="shared" si="109"/>
        <v>Ductless ASHP Replace Electric Resistance ER2 SF</v>
      </c>
      <c r="G1115" s="2835"/>
      <c r="H1115" s="2836"/>
      <c r="I1115" s="1668"/>
      <c r="J1115" s="1038">
        <v>12</v>
      </c>
      <c r="K1115" s="1028"/>
      <c r="L1115" s="1012"/>
      <c r="M1115" s="2065"/>
      <c r="N1115" s="2048"/>
      <c r="O1115" s="332"/>
      <c r="P1115" s="332"/>
      <c r="Q1115" s="332"/>
      <c r="R1115" s="332"/>
      <c r="S1115" s="332"/>
      <c r="T1115" s="177"/>
      <c r="U1115" s="177"/>
      <c r="V1115" s="2806"/>
      <c r="W1115" s="1038">
        <v>12</v>
      </c>
      <c r="X1115" s="1038">
        <v>12</v>
      </c>
      <c r="Y1115" s="1038">
        <v>12</v>
      </c>
      <c r="Z1115" s="1027"/>
      <c r="AA1115" s="1027"/>
      <c r="AB1115" s="1027"/>
      <c r="AC1115" s="1027"/>
      <c r="AD1115" s="1027"/>
      <c r="AE1115" s="1027"/>
      <c r="AF1115" s="1027"/>
      <c r="AG1115" s="1029"/>
      <c r="BB1115" s="784"/>
      <c r="BC1115" s="785"/>
      <c r="BD1115" s="900"/>
    </row>
    <row r="1116" spans="1:56" s="65" customFormat="1" hidden="1" outlineLevel="1" x14ac:dyDescent="0.25">
      <c r="A1116" s="785"/>
      <c r="B1116" s="332"/>
      <c r="C1116" s="455"/>
      <c r="D1116" s="2806"/>
      <c r="E1116" s="2806"/>
      <c r="F1116" s="2837" t="str">
        <f t="shared" si="109"/>
        <v>Ductless ASHP Replace Electric Resistance ER2 SF</v>
      </c>
      <c r="G1116" s="2838"/>
      <c r="H1116" s="2839"/>
      <c r="I1116" s="1668"/>
      <c r="J1116" s="1038">
        <v>12</v>
      </c>
      <c r="K1116" s="1028"/>
      <c r="L1116" s="1012"/>
      <c r="M1116" s="2065"/>
      <c r="N1116" s="2048"/>
      <c r="O1116" s="332"/>
      <c r="P1116" s="332"/>
      <c r="Q1116" s="332"/>
      <c r="R1116" s="332"/>
      <c r="S1116" s="332"/>
      <c r="T1116" s="177"/>
      <c r="U1116" s="177"/>
      <c r="V1116" s="2806"/>
      <c r="W1116" s="1038">
        <v>12</v>
      </c>
      <c r="X1116" s="1038">
        <v>12</v>
      </c>
      <c r="Y1116" s="1038">
        <v>12</v>
      </c>
      <c r="Z1116" s="1027"/>
      <c r="AA1116" s="1027"/>
      <c r="AB1116" s="1027"/>
      <c r="AC1116" s="1027"/>
      <c r="AD1116" s="1027"/>
      <c r="AE1116" s="1027"/>
      <c r="AF1116" s="1027"/>
      <c r="AG1116" s="1029"/>
      <c r="BB1116" s="784"/>
      <c r="BC1116" s="785"/>
      <c r="BD1116" s="900"/>
    </row>
    <row r="1117" spans="1:56" s="65" customFormat="1" hidden="1" outlineLevel="1" x14ac:dyDescent="0.25">
      <c r="A1117" s="785"/>
      <c r="B1117" s="332"/>
      <c r="C1117" s="455"/>
      <c r="D1117" s="2806"/>
      <c r="E1117" s="2806"/>
      <c r="F1117" s="2840" t="str">
        <f t="shared" si="109"/>
        <v>Ductless ASHP Replace Electric Resistance ROF SF</v>
      </c>
      <c r="G1117" s="2841"/>
      <c r="H1117" s="2842"/>
      <c r="I1117" s="1668"/>
      <c r="J1117" s="1038">
        <v>18</v>
      </c>
      <c r="K1117" s="1028"/>
      <c r="L1117" s="1012"/>
      <c r="M1117" s="2065"/>
      <c r="N1117" s="2048"/>
      <c r="O1117" s="332"/>
      <c r="P1117" s="332"/>
      <c r="Q1117" s="332"/>
      <c r="R1117" s="332"/>
      <c r="S1117" s="332"/>
      <c r="T1117" s="177"/>
      <c r="U1117" s="177"/>
      <c r="V1117" s="2806"/>
      <c r="W1117" s="1038">
        <v>18</v>
      </c>
      <c r="X1117" s="1038">
        <v>18</v>
      </c>
      <c r="Y1117" s="1038">
        <v>18</v>
      </c>
      <c r="Z1117" s="1027"/>
      <c r="AA1117" s="1027"/>
      <c r="AB1117" s="1027"/>
      <c r="AC1117" s="1027"/>
      <c r="AD1117" s="1027"/>
      <c r="AE1117" s="1027"/>
      <c r="AF1117" s="1027"/>
      <c r="AG1117" s="1029"/>
      <c r="BB1117" s="784"/>
      <c r="BC1117" s="785"/>
      <c r="BD1117" s="900"/>
    </row>
    <row r="1118" spans="1:56" s="65" customFormat="1" hidden="1" outlineLevel="1" x14ac:dyDescent="0.25">
      <c r="A1118" s="785"/>
      <c r="B1118" s="332"/>
      <c r="C1118" s="455"/>
      <c r="D1118" s="2806"/>
      <c r="E1118" s="2806"/>
      <c r="F1118" s="2837" t="str">
        <f t="shared" si="109"/>
        <v>Ductless ASHP Replace Electric Resistance ROF SF</v>
      </c>
      <c r="G1118" s="2838"/>
      <c r="H1118" s="2839"/>
      <c r="I1118" s="1668"/>
      <c r="J1118" s="1038">
        <v>18</v>
      </c>
      <c r="K1118" s="1028"/>
      <c r="L1118" s="1012"/>
      <c r="M1118" s="2065"/>
      <c r="N1118" s="2048"/>
      <c r="O1118" s="332"/>
      <c r="P1118" s="332"/>
      <c r="Q1118" s="332"/>
      <c r="R1118" s="332"/>
      <c r="S1118" s="332"/>
      <c r="T1118" s="177"/>
      <c r="U1118" s="177"/>
      <c r="V1118" s="2806"/>
      <c r="W1118" s="1038">
        <v>18</v>
      </c>
      <c r="X1118" s="1038">
        <v>18</v>
      </c>
      <c r="Y1118" s="1038">
        <v>18</v>
      </c>
      <c r="Z1118" s="1027"/>
      <c r="AA1118" s="1027"/>
      <c r="AB1118" s="1027"/>
      <c r="AC1118" s="1027"/>
      <c r="AD1118" s="1027"/>
      <c r="AE1118" s="1027"/>
      <c r="AF1118" s="1027"/>
      <c r="AG1118" s="1029"/>
      <c r="BB1118" s="784"/>
      <c r="BC1118" s="785"/>
      <c r="BD1118" s="900"/>
    </row>
    <row r="1119" spans="1:56" s="65" customFormat="1" hidden="1" outlineLevel="1" x14ac:dyDescent="0.25">
      <c r="A1119" s="785"/>
      <c r="B1119" s="332"/>
      <c r="C1119" s="455"/>
      <c r="D1119" s="2806"/>
      <c r="E1119" s="2806"/>
      <c r="F1119" s="2840" t="str">
        <f t="shared" si="109"/>
        <v>Ductless ASHP ER1 SF</v>
      </c>
      <c r="G1119" s="2841"/>
      <c r="H1119" s="2842"/>
      <c r="I1119" s="1668"/>
      <c r="J1119" s="1038">
        <v>6</v>
      </c>
      <c r="K1119" s="1028"/>
      <c r="L1119" s="1012"/>
      <c r="M1119" s="2065"/>
      <c r="N1119" s="2048"/>
      <c r="O1119" s="332"/>
      <c r="P1119" s="332"/>
      <c r="Q1119" s="332"/>
      <c r="R1119" s="332"/>
      <c r="S1119" s="332"/>
      <c r="T1119" s="177"/>
      <c r="U1119" s="177"/>
      <c r="V1119" s="2806"/>
      <c r="W1119" s="1038">
        <v>6</v>
      </c>
      <c r="X1119" s="1038">
        <v>6</v>
      </c>
      <c r="Y1119" s="1038">
        <v>6</v>
      </c>
      <c r="Z1119" s="1027"/>
      <c r="AA1119" s="1027"/>
      <c r="AB1119" s="1027"/>
      <c r="AC1119" s="1027"/>
      <c r="AD1119" s="1027"/>
      <c r="AE1119" s="1027"/>
      <c r="AF1119" s="1027"/>
      <c r="AG1119" s="1029"/>
      <c r="BB1119" s="784"/>
      <c r="BC1119" s="785"/>
      <c r="BD1119" s="900"/>
    </row>
    <row r="1120" spans="1:56" s="65" customFormat="1" hidden="1" outlineLevel="1" x14ac:dyDescent="0.25">
      <c r="A1120" s="785"/>
      <c r="B1120" s="332"/>
      <c r="C1120" s="455"/>
      <c r="D1120" s="2806"/>
      <c r="E1120" s="2806"/>
      <c r="F1120" s="2834" t="str">
        <f t="shared" si="109"/>
        <v>Ductless ASHP ER1 SF</v>
      </c>
      <c r="G1120" s="2835"/>
      <c r="H1120" s="2836"/>
      <c r="I1120" s="1668"/>
      <c r="J1120" s="1038">
        <v>6</v>
      </c>
      <c r="K1120" s="1028"/>
      <c r="L1120" s="1012"/>
      <c r="M1120" s="2065"/>
      <c r="N1120" s="2048"/>
      <c r="O1120" s="332"/>
      <c r="P1120" s="332"/>
      <c r="Q1120" s="332"/>
      <c r="R1120" s="332"/>
      <c r="S1120" s="332"/>
      <c r="T1120" s="177"/>
      <c r="U1120" s="177"/>
      <c r="V1120" s="2806"/>
      <c r="W1120" s="1038">
        <v>6</v>
      </c>
      <c r="X1120" s="1038">
        <v>6</v>
      </c>
      <c r="Y1120" s="1038">
        <v>6</v>
      </c>
      <c r="Z1120" s="1027"/>
      <c r="AA1120" s="1027"/>
      <c r="AB1120" s="1027"/>
      <c r="AC1120" s="1027"/>
      <c r="AD1120" s="1027"/>
      <c r="AE1120" s="1027"/>
      <c r="AF1120" s="1027"/>
      <c r="AG1120" s="1029"/>
      <c r="BB1120" s="784"/>
      <c r="BC1120" s="785"/>
      <c r="BD1120" s="900"/>
    </row>
    <row r="1121" spans="1:56" s="65" customFormat="1" hidden="1" outlineLevel="1" x14ac:dyDescent="0.25">
      <c r="A1121" s="785"/>
      <c r="B1121" s="332"/>
      <c r="C1121" s="455"/>
      <c r="D1121" s="2806"/>
      <c r="E1121" s="2806"/>
      <c r="F1121" s="2834" t="str">
        <f t="shared" si="109"/>
        <v>Ductless ASHP ER2 SF</v>
      </c>
      <c r="G1121" s="2835"/>
      <c r="H1121" s="2836"/>
      <c r="I1121" s="1668"/>
      <c r="J1121" s="1038">
        <v>12</v>
      </c>
      <c r="K1121" s="1028"/>
      <c r="L1121" s="1012"/>
      <c r="M1121" s="2065"/>
      <c r="N1121" s="2048"/>
      <c r="O1121" s="332"/>
      <c r="P1121" s="332"/>
      <c r="Q1121" s="332"/>
      <c r="R1121" s="332"/>
      <c r="S1121" s="332"/>
      <c r="T1121" s="177"/>
      <c r="U1121" s="177"/>
      <c r="V1121" s="2806"/>
      <c r="W1121" s="1038">
        <v>12</v>
      </c>
      <c r="X1121" s="1038">
        <v>12</v>
      </c>
      <c r="Y1121" s="1038">
        <v>12</v>
      </c>
      <c r="Z1121" s="1027"/>
      <c r="AA1121" s="1027"/>
      <c r="AB1121" s="1027"/>
      <c r="AC1121" s="1027"/>
      <c r="AD1121" s="1027"/>
      <c r="AE1121" s="1027"/>
      <c r="AF1121" s="1027"/>
      <c r="AG1121" s="1029"/>
      <c r="BB1121" s="784"/>
      <c r="BC1121" s="785"/>
      <c r="BD1121" s="900"/>
    </row>
    <row r="1122" spans="1:56" s="65" customFormat="1" hidden="1" outlineLevel="1" x14ac:dyDescent="0.25">
      <c r="A1122" s="785"/>
      <c r="B1122" s="332"/>
      <c r="C1122" s="455"/>
      <c r="D1122" s="2806"/>
      <c r="E1122" s="2806"/>
      <c r="F1122" s="2837" t="str">
        <f t="shared" si="109"/>
        <v>Ductless ASHP ER2 SF</v>
      </c>
      <c r="G1122" s="2838"/>
      <c r="H1122" s="2839"/>
      <c r="I1122" s="1668"/>
      <c r="J1122" s="1038">
        <v>12</v>
      </c>
      <c r="K1122" s="1028"/>
      <c r="L1122" s="1012"/>
      <c r="M1122" s="2065"/>
      <c r="N1122" s="2048"/>
      <c r="O1122" s="332"/>
      <c r="P1122" s="332"/>
      <c r="Q1122" s="332"/>
      <c r="R1122" s="332"/>
      <c r="S1122" s="332"/>
      <c r="T1122" s="177"/>
      <c r="U1122" s="177"/>
      <c r="V1122" s="2806"/>
      <c r="W1122" s="1038">
        <v>12</v>
      </c>
      <c r="X1122" s="1038">
        <v>12</v>
      </c>
      <c r="Y1122" s="1038">
        <v>12</v>
      </c>
      <c r="Z1122" s="1027"/>
      <c r="AA1122" s="1027"/>
      <c r="AB1122" s="1027"/>
      <c r="AC1122" s="1027"/>
      <c r="AD1122" s="1027"/>
      <c r="AE1122" s="1027"/>
      <c r="AF1122" s="1027"/>
      <c r="AG1122" s="1029"/>
      <c r="BB1122" s="784"/>
      <c r="BC1122" s="785"/>
      <c r="BD1122" s="900"/>
    </row>
    <row r="1123" spans="1:56" s="65" customFormat="1" hidden="1" outlineLevel="1" x14ac:dyDescent="0.25">
      <c r="A1123" s="785"/>
      <c r="B1123" s="332"/>
      <c r="C1123" s="455"/>
      <c r="D1123" s="2806"/>
      <c r="E1123" s="2806"/>
      <c r="F1123" s="2840" t="str">
        <f t="shared" si="109"/>
        <v>Ductless AC - ER1 MF</v>
      </c>
      <c r="G1123" s="2841"/>
      <c r="H1123" s="2842"/>
      <c r="I1123" s="1668"/>
      <c r="J1123" s="1038">
        <v>6</v>
      </c>
      <c r="K1123" s="1028"/>
      <c r="L1123" s="1012"/>
      <c r="M1123" s="2065"/>
      <c r="N1123" s="2048"/>
      <c r="O1123" s="332"/>
      <c r="P1123" s="332"/>
      <c r="Q1123" s="332"/>
      <c r="R1123" s="332"/>
      <c r="S1123" s="332"/>
      <c r="T1123" s="177"/>
      <c r="U1123" s="177"/>
      <c r="V1123" s="2806"/>
      <c r="W1123" s="1038">
        <v>6</v>
      </c>
      <c r="X1123" s="1038">
        <v>6</v>
      </c>
      <c r="Y1123" s="1038">
        <v>6</v>
      </c>
      <c r="Z1123" s="1027"/>
      <c r="AA1123" s="1027"/>
      <c r="AB1123" s="1027"/>
      <c r="AC1123" s="1027"/>
      <c r="AD1123" s="1027"/>
      <c r="AE1123" s="1027"/>
      <c r="AF1123" s="1027"/>
      <c r="AG1123" s="1029"/>
      <c r="BB1123" s="784"/>
      <c r="BC1123" s="785"/>
      <c r="BD1123" s="900"/>
    </row>
    <row r="1124" spans="1:56" s="65" customFormat="1" hidden="1" outlineLevel="1" x14ac:dyDescent="0.25">
      <c r="A1124" s="785"/>
      <c r="B1124" s="332"/>
      <c r="C1124" s="455"/>
      <c r="D1124" s="2806"/>
      <c r="E1124" s="2806"/>
      <c r="F1124" s="2837" t="str">
        <f t="shared" si="109"/>
        <v>Ductless AC - ER2 MF</v>
      </c>
      <c r="G1124" s="2838"/>
      <c r="H1124" s="2839"/>
      <c r="I1124" s="1668"/>
      <c r="J1124" s="1038">
        <v>12</v>
      </c>
      <c r="K1124" s="1028"/>
      <c r="L1124" s="1012"/>
      <c r="M1124" s="2065"/>
      <c r="N1124" s="2048"/>
      <c r="O1124" s="332"/>
      <c r="P1124" s="332"/>
      <c r="Q1124" s="332"/>
      <c r="R1124" s="332"/>
      <c r="S1124" s="332"/>
      <c r="T1124" s="177"/>
      <c r="U1124" s="177"/>
      <c r="V1124" s="2806"/>
      <c r="W1124" s="1038">
        <v>12</v>
      </c>
      <c r="X1124" s="1038">
        <v>12</v>
      </c>
      <c r="Y1124" s="1038">
        <v>12</v>
      </c>
      <c r="Z1124" s="1027"/>
      <c r="AA1124" s="1027"/>
      <c r="AB1124" s="1027"/>
      <c r="AC1124" s="1027"/>
      <c r="AD1124" s="1027"/>
      <c r="AE1124" s="1027"/>
      <c r="AF1124" s="1027"/>
      <c r="AG1124" s="1029"/>
      <c r="BB1124" s="784"/>
      <c r="BC1124" s="785"/>
      <c r="BD1124" s="900"/>
    </row>
    <row r="1125" spans="1:56" s="65" customFormat="1" hidden="1" outlineLevel="1" x14ac:dyDescent="0.25">
      <c r="A1125" s="785"/>
      <c r="B1125" s="332"/>
      <c r="C1125" s="455"/>
      <c r="D1125" s="2806"/>
      <c r="E1125" s="2806"/>
      <c r="F1125" s="2844" t="str">
        <f t="shared" si="109"/>
        <v>Ductless AC - ROF MF</v>
      </c>
      <c r="G1125" s="2845"/>
      <c r="H1125" s="2846"/>
      <c r="I1125" s="1668"/>
      <c r="J1125" s="1038">
        <v>18</v>
      </c>
      <c r="K1125" s="1028"/>
      <c r="L1125" s="1012"/>
      <c r="M1125" s="2065"/>
      <c r="N1125" s="2048"/>
      <c r="O1125" s="332"/>
      <c r="P1125" s="332"/>
      <c r="Q1125" s="332"/>
      <c r="R1125" s="332"/>
      <c r="S1125" s="332"/>
      <c r="T1125" s="177"/>
      <c r="U1125" s="177"/>
      <c r="V1125" s="2806"/>
      <c r="W1125" s="1038">
        <v>18</v>
      </c>
      <c r="X1125" s="1038">
        <v>18</v>
      </c>
      <c r="Y1125" s="1038">
        <v>18</v>
      </c>
      <c r="Z1125" s="1027"/>
      <c r="AA1125" s="1027"/>
      <c r="AB1125" s="1027"/>
      <c r="AC1125" s="1027"/>
      <c r="AD1125" s="1027"/>
      <c r="AE1125" s="1027"/>
      <c r="AF1125" s="1027"/>
      <c r="AG1125" s="1029"/>
      <c r="BB1125" s="784"/>
      <c r="BC1125" s="785"/>
      <c r="BD1125" s="900"/>
    </row>
    <row r="1126" spans="1:56" s="65" customFormat="1" hidden="1" outlineLevel="1" x14ac:dyDescent="0.25">
      <c r="A1126" s="785"/>
      <c r="B1126" s="332"/>
      <c r="C1126" s="455"/>
      <c r="D1126" s="2806"/>
      <c r="E1126" s="2806"/>
      <c r="F1126" s="2840" t="str">
        <f t="shared" si="109"/>
        <v>Ductless ASHP - ROF MF NC</v>
      </c>
      <c r="G1126" s="2841"/>
      <c r="H1126" s="2842"/>
      <c r="I1126" s="1668"/>
      <c r="J1126" s="1038">
        <v>18</v>
      </c>
      <c r="K1126" s="1028"/>
      <c r="L1126" s="1012"/>
      <c r="M1126" s="2065"/>
      <c r="N1126" s="2048"/>
      <c r="O1126" s="332"/>
      <c r="P1126" s="332"/>
      <c r="Q1126" s="332"/>
      <c r="R1126" s="332"/>
      <c r="S1126" s="332"/>
      <c r="T1126" s="177"/>
      <c r="U1126" s="177"/>
      <c r="V1126" s="2806"/>
      <c r="W1126" s="1038">
        <v>18</v>
      </c>
      <c r="X1126" s="1038">
        <v>18</v>
      </c>
      <c r="Y1126" s="1038">
        <v>18</v>
      </c>
      <c r="Z1126" s="1027"/>
      <c r="AA1126" s="1027"/>
      <c r="AB1126" s="1027"/>
      <c r="AC1126" s="1027"/>
      <c r="AD1126" s="1027"/>
      <c r="AE1126" s="1027"/>
      <c r="AF1126" s="1027"/>
      <c r="AG1126" s="1029"/>
      <c r="BB1126" s="784"/>
      <c r="BC1126" s="785"/>
      <c r="BD1126" s="900"/>
    </row>
    <row r="1127" spans="1:56" s="65" customFormat="1" hidden="1" outlineLevel="1" x14ac:dyDescent="0.25">
      <c r="A1127" s="785"/>
      <c r="B1127" s="332"/>
      <c r="C1127" s="455"/>
      <c r="D1127" s="2806"/>
      <c r="E1127" s="2806"/>
      <c r="F1127" s="2837" t="str">
        <f t="shared" si="109"/>
        <v>Ductless ASHP - ROF MF NC</v>
      </c>
      <c r="G1127" s="2838"/>
      <c r="H1127" s="2839"/>
      <c r="I1127" s="1668"/>
      <c r="J1127" s="1038">
        <v>18</v>
      </c>
      <c r="K1127" s="1028"/>
      <c r="L1127" s="1012"/>
      <c r="M1127" s="2065"/>
      <c r="N1127" s="2048"/>
      <c r="O1127" s="332"/>
      <c r="P1127" s="332"/>
      <c r="Q1127" s="332"/>
      <c r="R1127" s="332"/>
      <c r="S1127" s="332"/>
      <c r="T1127" s="177"/>
      <c r="U1127" s="177"/>
      <c r="V1127" s="2806"/>
      <c r="W1127" s="1038">
        <v>18</v>
      </c>
      <c r="X1127" s="1038">
        <v>18</v>
      </c>
      <c r="Y1127" s="1038">
        <v>18</v>
      </c>
      <c r="Z1127" s="1027"/>
      <c r="AA1127" s="1027"/>
      <c r="AB1127" s="1027"/>
      <c r="AC1127" s="1027"/>
      <c r="AD1127" s="1027"/>
      <c r="AE1127" s="1027"/>
      <c r="AF1127" s="1027"/>
      <c r="AG1127" s="1029"/>
      <c r="BB1127" s="784"/>
      <c r="BC1127" s="785"/>
      <c r="BD1127" s="900"/>
    </row>
    <row r="1128" spans="1:56" s="65" customFormat="1" hidden="1" outlineLevel="1" x14ac:dyDescent="0.25">
      <c r="A1128" s="785"/>
      <c r="B1128" s="332"/>
      <c r="C1128" s="455"/>
      <c r="D1128" s="2806"/>
      <c r="E1128" s="2806"/>
      <c r="F1128" s="2840" t="str">
        <f t="shared" si="109"/>
        <v>Ductless ASHP - ROF MF</v>
      </c>
      <c r="G1128" s="2841"/>
      <c r="H1128" s="2842"/>
      <c r="I1128" s="1668"/>
      <c r="J1128" s="1038">
        <v>18</v>
      </c>
      <c r="K1128" s="1028"/>
      <c r="L1128" s="1012"/>
      <c r="M1128" s="2065"/>
      <c r="N1128" s="2048"/>
      <c r="O1128" s="332"/>
      <c r="P1128" s="332"/>
      <c r="Q1128" s="332"/>
      <c r="R1128" s="332"/>
      <c r="S1128" s="332"/>
      <c r="T1128" s="177"/>
      <c r="U1128" s="177"/>
      <c r="V1128" s="2806"/>
      <c r="W1128" s="1038">
        <v>18</v>
      </c>
      <c r="X1128" s="1038">
        <v>18</v>
      </c>
      <c r="Y1128" s="1038">
        <v>18</v>
      </c>
      <c r="Z1128" s="1027"/>
      <c r="AA1128" s="1027"/>
      <c r="AB1128" s="1027"/>
      <c r="AC1128" s="1027"/>
      <c r="AD1128" s="1027"/>
      <c r="AE1128" s="1027"/>
      <c r="AF1128" s="1027"/>
      <c r="AG1128" s="1029"/>
      <c r="BB1128" s="784"/>
      <c r="BC1128" s="785"/>
      <c r="BD1128" s="900"/>
    </row>
    <row r="1129" spans="1:56" s="65" customFormat="1" hidden="1" outlineLevel="1" x14ac:dyDescent="0.25">
      <c r="A1129" s="785"/>
      <c r="B1129" s="332"/>
      <c r="C1129" s="455"/>
      <c r="D1129" s="2806"/>
      <c r="E1129" s="2806"/>
      <c r="F1129" s="2837" t="str">
        <f t="shared" si="109"/>
        <v>Ductless ASHP - ROF MF</v>
      </c>
      <c r="G1129" s="2838"/>
      <c r="H1129" s="2839"/>
      <c r="I1129" s="1668"/>
      <c r="J1129" s="1038">
        <v>18</v>
      </c>
      <c r="K1129" s="1028"/>
      <c r="L1129" s="1012"/>
      <c r="M1129" s="2065"/>
      <c r="N1129" s="2048"/>
      <c r="O1129" s="332"/>
      <c r="P1129" s="332"/>
      <c r="Q1129" s="332"/>
      <c r="R1129" s="332"/>
      <c r="S1129" s="332"/>
      <c r="T1129" s="177"/>
      <c r="U1129" s="177"/>
      <c r="V1129" s="2806"/>
      <c r="W1129" s="1038">
        <v>18</v>
      </c>
      <c r="X1129" s="1038">
        <v>18</v>
      </c>
      <c r="Y1129" s="1038">
        <v>18</v>
      </c>
      <c r="Z1129" s="1027"/>
      <c r="AA1129" s="1027"/>
      <c r="AB1129" s="1027"/>
      <c r="AC1129" s="1027"/>
      <c r="AD1129" s="1027"/>
      <c r="AE1129" s="1027"/>
      <c r="AF1129" s="1027"/>
      <c r="AG1129" s="1029"/>
      <c r="BB1129" s="784"/>
      <c r="BC1129" s="785"/>
      <c r="BD1129" s="900"/>
    </row>
    <row r="1130" spans="1:56" s="65" customFormat="1" hidden="1" outlineLevel="1" x14ac:dyDescent="0.25">
      <c r="A1130" s="785"/>
      <c r="B1130" s="332"/>
      <c r="C1130" s="455"/>
      <c r="D1130" s="2806"/>
      <c r="E1130" s="2806"/>
      <c r="F1130" s="2840" t="str">
        <f t="shared" si="109"/>
        <v>Ductless ASHP Replace Electric Resistance ER1 MF</v>
      </c>
      <c r="G1130" s="2841"/>
      <c r="H1130" s="2842"/>
      <c r="I1130" s="1668"/>
      <c r="J1130" s="1038">
        <v>6</v>
      </c>
      <c r="K1130" s="1028"/>
      <c r="L1130" s="1012"/>
      <c r="M1130" s="2065"/>
      <c r="N1130" s="2048"/>
      <c r="O1130" s="332"/>
      <c r="P1130" s="332"/>
      <c r="Q1130" s="332"/>
      <c r="R1130" s="332"/>
      <c r="S1130" s="332"/>
      <c r="T1130" s="177"/>
      <c r="U1130" s="177"/>
      <c r="V1130" s="2806"/>
      <c r="W1130" s="1038">
        <v>6</v>
      </c>
      <c r="X1130" s="1038">
        <v>6</v>
      </c>
      <c r="Y1130" s="1038">
        <v>6</v>
      </c>
      <c r="Z1130" s="1027"/>
      <c r="AA1130" s="1027"/>
      <c r="AB1130" s="1027"/>
      <c r="AC1130" s="1027"/>
      <c r="AD1130" s="1027"/>
      <c r="AE1130" s="1027"/>
      <c r="AF1130" s="1027"/>
      <c r="AG1130" s="1029"/>
      <c r="BB1130" s="784"/>
      <c r="BC1130" s="785"/>
      <c r="BD1130" s="900"/>
    </row>
    <row r="1131" spans="1:56" s="65" customFormat="1" hidden="1" outlineLevel="1" x14ac:dyDescent="0.25">
      <c r="A1131" s="785"/>
      <c r="B1131" s="332"/>
      <c r="C1131" s="455"/>
      <c r="D1131" s="2806"/>
      <c r="E1131" s="2806"/>
      <c r="F1131" s="2834" t="str">
        <f t="shared" si="109"/>
        <v>Ductless ASHP Replace Electric Resistance ER1 MF</v>
      </c>
      <c r="G1131" s="2835"/>
      <c r="H1131" s="2836"/>
      <c r="I1131" s="1668"/>
      <c r="J1131" s="1038">
        <v>6</v>
      </c>
      <c r="K1131" s="1028"/>
      <c r="L1131" s="1012"/>
      <c r="M1131" s="2065"/>
      <c r="N1131" s="2048"/>
      <c r="O1131" s="332"/>
      <c r="P1131" s="332"/>
      <c r="Q1131" s="332"/>
      <c r="R1131" s="332"/>
      <c r="S1131" s="332"/>
      <c r="T1131" s="177"/>
      <c r="U1131" s="177"/>
      <c r="V1131" s="2806"/>
      <c r="W1131" s="1038">
        <v>6</v>
      </c>
      <c r="X1131" s="1038">
        <v>6</v>
      </c>
      <c r="Y1131" s="1038">
        <v>6</v>
      </c>
      <c r="Z1131" s="1027"/>
      <c r="AA1131" s="1027"/>
      <c r="AB1131" s="1027"/>
      <c r="AC1131" s="1027"/>
      <c r="AD1131" s="1027"/>
      <c r="AE1131" s="1027"/>
      <c r="AF1131" s="1027"/>
      <c r="AG1131" s="1029"/>
      <c r="BB1131" s="784"/>
      <c r="BC1131" s="785"/>
      <c r="BD1131" s="900"/>
    </row>
    <row r="1132" spans="1:56" s="65" customFormat="1" hidden="1" outlineLevel="1" x14ac:dyDescent="0.25">
      <c r="A1132" s="785"/>
      <c r="B1132" s="332"/>
      <c r="C1132" s="455"/>
      <c r="D1132" s="2806"/>
      <c r="E1132" s="2806"/>
      <c r="F1132" s="2834" t="str">
        <f t="shared" si="109"/>
        <v>Ductless ASHP Replace Electric Resistance ER2 MF</v>
      </c>
      <c r="G1132" s="2835"/>
      <c r="H1132" s="2836"/>
      <c r="I1132" s="1668"/>
      <c r="J1132" s="1038">
        <v>12</v>
      </c>
      <c r="K1132" s="1028"/>
      <c r="L1132" s="1012"/>
      <c r="M1132" s="2065"/>
      <c r="N1132" s="2048"/>
      <c r="O1132" s="332"/>
      <c r="P1132" s="332"/>
      <c r="Q1132" s="332"/>
      <c r="R1132" s="332"/>
      <c r="S1132" s="332"/>
      <c r="T1132" s="177"/>
      <c r="U1132" s="177"/>
      <c r="V1132" s="2806"/>
      <c r="W1132" s="1038">
        <v>12</v>
      </c>
      <c r="X1132" s="1038">
        <v>12</v>
      </c>
      <c r="Y1132" s="1038">
        <v>12</v>
      </c>
      <c r="Z1132" s="1027"/>
      <c r="AA1132" s="1027"/>
      <c r="AB1132" s="1027"/>
      <c r="AC1132" s="1027"/>
      <c r="AD1132" s="1027"/>
      <c r="AE1132" s="1027"/>
      <c r="AF1132" s="1027"/>
      <c r="AG1132" s="1029"/>
      <c r="BB1132" s="784"/>
      <c r="BC1132" s="785"/>
      <c r="BD1132" s="900"/>
    </row>
    <row r="1133" spans="1:56" s="65" customFormat="1" hidden="1" outlineLevel="1" x14ac:dyDescent="0.25">
      <c r="A1133" s="785"/>
      <c r="B1133" s="332"/>
      <c r="C1133" s="455"/>
      <c r="D1133" s="2806"/>
      <c r="E1133" s="2806"/>
      <c r="F1133" s="2837" t="str">
        <f t="shared" si="109"/>
        <v>Ductless ASHP Replace Electric Resistance ER2 MF</v>
      </c>
      <c r="G1133" s="2838"/>
      <c r="H1133" s="2839"/>
      <c r="I1133" s="1668"/>
      <c r="J1133" s="1038">
        <v>12</v>
      </c>
      <c r="K1133" s="1028"/>
      <c r="L1133" s="1012"/>
      <c r="M1133" s="2065"/>
      <c r="N1133" s="2048"/>
      <c r="O1133" s="332"/>
      <c r="P1133" s="332"/>
      <c r="Q1133" s="332"/>
      <c r="R1133" s="332"/>
      <c r="S1133" s="332"/>
      <c r="T1133" s="177"/>
      <c r="U1133" s="177"/>
      <c r="V1133" s="2806"/>
      <c r="W1133" s="1038">
        <v>12</v>
      </c>
      <c r="X1133" s="1038">
        <v>12</v>
      </c>
      <c r="Y1133" s="1038">
        <v>12</v>
      </c>
      <c r="Z1133" s="1027"/>
      <c r="AA1133" s="1027"/>
      <c r="AB1133" s="1027"/>
      <c r="AC1133" s="1027"/>
      <c r="AD1133" s="1027"/>
      <c r="AE1133" s="1027"/>
      <c r="AF1133" s="1027"/>
      <c r="AG1133" s="1029"/>
      <c r="BB1133" s="784"/>
      <c r="BC1133" s="785"/>
      <c r="BD1133" s="900"/>
    </row>
    <row r="1134" spans="1:56" s="65" customFormat="1" hidden="1" outlineLevel="1" x14ac:dyDescent="0.25">
      <c r="A1134" s="785"/>
      <c r="B1134" s="332"/>
      <c r="C1134" s="455"/>
      <c r="D1134" s="2806"/>
      <c r="E1134" s="2806"/>
      <c r="F1134" s="2840" t="str">
        <f t="shared" si="109"/>
        <v>Ductless ASHP Replace Electric Resistance ROF MF</v>
      </c>
      <c r="G1134" s="2841"/>
      <c r="H1134" s="2842"/>
      <c r="I1134" s="1668"/>
      <c r="J1134" s="1038">
        <v>18</v>
      </c>
      <c r="K1134" s="1028"/>
      <c r="L1134" s="1012"/>
      <c r="M1134" s="2065"/>
      <c r="N1134" s="2048"/>
      <c r="O1134" s="332"/>
      <c r="P1134" s="332"/>
      <c r="Q1134" s="332"/>
      <c r="R1134" s="332"/>
      <c r="S1134" s="332"/>
      <c r="T1134" s="177"/>
      <c r="U1134" s="177"/>
      <c r="V1134" s="2806"/>
      <c r="W1134" s="1038">
        <v>18</v>
      </c>
      <c r="X1134" s="1038">
        <v>18</v>
      </c>
      <c r="Y1134" s="1038">
        <v>18</v>
      </c>
      <c r="Z1134" s="1027"/>
      <c r="AA1134" s="1027"/>
      <c r="AB1134" s="1027"/>
      <c r="AC1134" s="1027"/>
      <c r="AD1134" s="1027"/>
      <c r="AE1134" s="1027"/>
      <c r="AF1134" s="1027"/>
      <c r="AG1134" s="1029"/>
      <c r="BB1134" s="784"/>
      <c r="BC1134" s="785"/>
      <c r="BD1134" s="900"/>
    </row>
    <row r="1135" spans="1:56" s="65" customFormat="1" hidden="1" outlineLevel="1" x14ac:dyDescent="0.25">
      <c r="A1135" s="785"/>
      <c r="B1135" s="332"/>
      <c r="C1135" s="455"/>
      <c r="D1135" s="2806"/>
      <c r="E1135" s="2806"/>
      <c r="F1135" s="2837" t="str">
        <f t="shared" si="109"/>
        <v>Ductless ASHP Replace Electric Resistance ROF MF</v>
      </c>
      <c r="G1135" s="2838"/>
      <c r="H1135" s="2839"/>
      <c r="I1135" s="1668"/>
      <c r="J1135" s="1038">
        <v>18</v>
      </c>
      <c r="K1135" s="1028"/>
      <c r="L1135" s="1012"/>
      <c r="M1135" s="2065"/>
      <c r="N1135" s="2048"/>
      <c r="O1135" s="332"/>
      <c r="P1135" s="332"/>
      <c r="Q1135" s="332"/>
      <c r="R1135" s="332"/>
      <c r="S1135" s="332"/>
      <c r="T1135" s="177"/>
      <c r="U1135" s="177"/>
      <c r="V1135" s="2806"/>
      <c r="W1135" s="1038">
        <v>18</v>
      </c>
      <c r="X1135" s="1038">
        <v>18</v>
      </c>
      <c r="Y1135" s="1038">
        <v>18</v>
      </c>
      <c r="Z1135" s="1027"/>
      <c r="AA1135" s="1027"/>
      <c r="AB1135" s="1027"/>
      <c r="AC1135" s="1027"/>
      <c r="AD1135" s="1027"/>
      <c r="AE1135" s="1027"/>
      <c r="AF1135" s="1027"/>
      <c r="AG1135" s="1029"/>
      <c r="BB1135" s="784"/>
      <c r="BC1135" s="785"/>
      <c r="BD1135" s="900"/>
    </row>
    <row r="1136" spans="1:56" s="65" customFormat="1" hidden="1" outlineLevel="1" x14ac:dyDescent="0.25">
      <c r="A1136" s="785"/>
      <c r="B1136" s="332"/>
      <c r="C1136" s="455"/>
      <c r="D1136" s="2806"/>
      <c r="E1136" s="2806"/>
      <c r="F1136" s="2840" t="str">
        <f t="shared" si="109"/>
        <v>Ductless ASHP ER1 MF</v>
      </c>
      <c r="G1136" s="2841"/>
      <c r="H1136" s="2842"/>
      <c r="I1136" s="1668"/>
      <c r="J1136" s="1038">
        <v>6</v>
      </c>
      <c r="K1136" s="1028"/>
      <c r="L1136" s="1012"/>
      <c r="M1136" s="2065"/>
      <c r="N1136" s="2048"/>
      <c r="O1136" s="332"/>
      <c r="P1136" s="332"/>
      <c r="Q1136" s="332"/>
      <c r="R1136" s="332"/>
      <c r="S1136" s="332"/>
      <c r="T1136" s="177"/>
      <c r="U1136" s="177"/>
      <c r="V1136" s="2806"/>
      <c r="W1136" s="1038">
        <v>6</v>
      </c>
      <c r="X1136" s="1038">
        <v>6</v>
      </c>
      <c r="Y1136" s="1038">
        <v>6</v>
      </c>
      <c r="Z1136" s="1027"/>
      <c r="AA1136" s="1027"/>
      <c r="AB1136" s="1027"/>
      <c r="AC1136" s="1027"/>
      <c r="AD1136" s="1027"/>
      <c r="AE1136" s="1027"/>
      <c r="AF1136" s="1027"/>
      <c r="AG1136" s="1029"/>
      <c r="BB1136" s="784"/>
      <c r="BC1136" s="785"/>
      <c r="BD1136" s="900"/>
    </row>
    <row r="1137" spans="1:56" s="65" customFormat="1" hidden="1" outlineLevel="1" x14ac:dyDescent="0.25">
      <c r="A1137" s="785"/>
      <c r="B1137" s="332"/>
      <c r="C1137" s="455"/>
      <c r="D1137" s="2806"/>
      <c r="E1137" s="2806"/>
      <c r="F1137" s="2834" t="str">
        <f t="shared" si="109"/>
        <v>Ductless ASHP ER1 MF</v>
      </c>
      <c r="G1137" s="2835"/>
      <c r="H1137" s="2836"/>
      <c r="I1137" s="1668"/>
      <c r="J1137" s="1038">
        <v>6</v>
      </c>
      <c r="K1137" s="1028"/>
      <c r="L1137" s="1012"/>
      <c r="M1137" s="2065"/>
      <c r="N1137" s="2048"/>
      <c r="O1137" s="332"/>
      <c r="P1137" s="332"/>
      <c r="Q1137" s="332"/>
      <c r="R1137" s="332"/>
      <c r="S1137" s="332"/>
      <c r="T1137" s="177"/>
      <c r="U1137" s="177"/>
      <c r="V1137" s="2806"/>
      <c r="W1137" s="1038">
        <v>6</v>
      </c>
      <c r="X1137" s="1038">
        <v>6</v>
      </c>
      <c r="Y1137" s="1038">
        <v>6</v>
      </c>
      <c r="Z1137" s="1027"/>
      <c r="AA1137" s="1027"/>
      <c r="AB1137" s="1027"/>
      <c r="AC1137" s="1027"/>
      <c r="AD1137" s="1027"/>
      <c r="AE1137" s="1027"/>
      <c r="AF1137" s="1027"/>
      <c r="AG1137" s="1029"/>
      <c r="BB1137" s="784"/>
      <c r="BC1137" s="785"/>
      <c r="BD1137" s="900"/>
    </row>
    <row r="1138" spans="1:56" s="65" customFormat="1" hidden="1" outlineLevel="1" x14ac:dyDescent="0.25">
      <c r="A1138" s="785"/>
      <c r="B1138" s="332"/>
      <c r="C1138" s="455"/>
      <c r="D1138" s="2806"/>
      <c r="E1138" s="2806"/>
      <c r="F1138" s="2834" t="str">
        <f t="shared" si="109"/>
        <v>Ductless ASHP ER2 MF</v>
      </c>
      <c r="G1138" s="2835"/>
      <c r="H1138" s="2836"/>
      <c r="I1138" s="1668"/>
      <c r="J1138" s="1038">
        <v>12</v>
      </c>
      <c r="K1138" s="1028"/>
      <c r="L1138" s="1012"/>
      <c r="M1138" s="2065"/>
      <c r="N1138" s="2048"/>
      <c r="O1138" s="332"/>
      <c r="P1138" s="332"/>
      <c r="Q1138" s="332"/>
      <c r="R1138" s="332"/>
      <c r="S1138" s="332"/>
      <c r="T1138" s="177"/>
      <c r="U1138" s="177"/>
      <c r="V1138" s="2806"/>
      <c r="W1138" s="1038">
        <v>12</v>
      </c>
      <c r="X1138" s="1038">
        <v>12</v>
      </c>
      <c r="Y1138" s="1038">
        <v>12</v>
      </c>
      <c r="Z1138" s="1027"/>
      <c r="AA1138" s="1027"/>
      <c r="AB1138" s="1027"/>
      <c r="AC1138" s="1027"/>
      <c r="AD1138" s="1027"/>
      <c r="AE1138" s="1027"/>
      <c r="AF1138" s="1027"/>
      <c r="AG1138" s="1029"/>
      <c r="BB1138" s="784"/>
      <c r="BC1138" s="785"/>
      <c r="BD1138" s="900"/>
    </row>
    <row r="1139" spans="1:56" s="65" customFormat="1" ht="15.75" hidden="1" outlineLevel="1" thickBot="1" x14ac:dyDescent="0.3">
      <c r="A1139" s="785"/>
      <c r="B1139" s="332"/>
      <c r="C1139" s="455"/>
      <c r="D1139" s="2824"/>
      <c r="E1139" s="2824"/>
      <c r="F1139" s="2837" t="str">
        <f t="shared" si="109"/>
        <v>Ductless ASHP ER2 MF</v>
      </c>
      <c r="G1139" s="2838"/>
      <c r="H1139" s="2839"/>
      <c r="I1139" s="1039"/>
      <c r="J1139" s="1040">
        <v>12</v>
      </c>
      <c r="K1139" s="1033"/>
      <c r="L1139" s="1041"/>
      <c r="M1139" s="2065"/>
      <c r="N1139" s="2048"/>
      <c r="O1139" s="332"/>
      <c r="P1139" s="332"/>
      <c r="Q1139" s="332"/>
      <c r="R1139" s="332"/>
      <c r="S1139" s="332"/>
      <c r="T1139" s="177"/>
      <c r="U1139" s="177"/>
      <c r="V1139" s="2824"/>
      <c r="W1139" s="1040">
        <v>12</v>
      </c>
      <c r="X1139" s="1040">
        <v>12</v>
      </c>
      <c r="Y1139" s="1040">
        <v>12</v>
      </c>
      <c r="Z1139" s="1034"/>
      <c r="AA1139" s="1034"/>
      <c r="AB1139" s="1034"/>
      <c r="AC1139" s="1034"/>
      <c r="AD1139" s="1034"/>
      <c r="AE1139" s="1034"/>
      <c r="AF1139" s="1034"/>
      <c r="AG1139" s="1035"/>
      <c r="BB1139" s="784"/>
      <c r="BC1139" s="785"/>
      <c r="BD1139" s="900"/>
    </row>
    <row r="1140" spans="1:56" s="65" customFormat="1" ht="15" hidden="1" customHeight="1" outlineLevel="1" x14ac:dyDescent="0.25">
      <c r="A1140" s="785"/>
      <c r="B1140" s="332"/>
      <c r="C1140" s="455"/>
      <c r="D1140" s="2805" t="str">
        <f>D698</f>
        <v>Inc. Cost</v>
      </c>
      <c r="E1140" s="2805" t="str">
        <f>E698</f>
        <v>Incremental Cost ($)</v>
      </c>
      <c r="F1140" s="2849" t="str">
        <f>F1106</f>
        <v>Ductless AC - ER1 SF</v>
      </c>
      <c r="G1140" s="2850"/>
      <c r="H1140" s="2851"/>
      <c r="I1140" s="1669"/>
      <c r="J1140" s="1045">
        <f>(2108*(J$950/12000)/1.5)*J$1055</f>
        <v>2108</v>
      </c>
      <c r="K1140" s="1024"/>
      <c r="L1140" s="1009"/>
      <c r="M1140" s="2065"/>
      <c r="N1140" s="2048"/>
      <c r="O1140" s="332"/>
      <c r="P1140" s="332"/>
      <c r="Q1140" s="332"/>
      <c r="R1140" s="332"/>
      <c r="S1140" s="332"/>
      <c r="T1140" s="177"/>
      <c r="U1140" s="177"/>
      <c r="V1140" s="2805" t="str">
        <f>D1140</f>
        <v>Inc. Cost</v>
      </c>
      <c r="W1140" s="1043">
        <v>2389.0666666666666</v>
      </c>
      <c r="X1140" s="1044">
        <f>(2108*(X$950/12000)/1.5)*X$1055</f>
        <v>2108</v>
      </c>
      <c r="Y1140" s="1044">
        <f>(2108*(Y$950/12000)/1.5)*Y$1055</f>
        <v>2108</v>
      </c>
      <c r="Z1140" s="1025"/>
      <c r="AA1140" s="1025"/>
      <c r="AB1140" s="1025"/>
      <c r="AC1140" s="1025"/>
      <c r="AD1140" s="1025"/>
      <c r="AE1140" s="1025"/>
      <c r="AF1140" s="1025"/>
      <c r="AG1140" s="1026"/>
      <c r="BB1140" s="784"/>
      <c r="BC1140" s="785"/>
      <c r="BD1140" s="900"/>
    </row>
    <row r="1141" spans="1:56" s="65" customFormat="1" hidden="1" outlineLevel="1" x14ac:dyDescent="0.25">
      <c r="A1141" s="785"/>
      <c r="B1141" s="332"/>
      <c r="C1141" s="455"/>
      <c r="D1141" s="2806"/>
      <c r="E1141" s="2806"/>
      <c r="F1141" s="2837" t="str">
        <f t="shared" ref="F1141:F1173" si="110">F1107</f>
        <v>Ductless AC - ER2 SF</v>
      </c>
      <c r="G1141" s="2838"/>
      <c r="H1141" s="2839"/>
      <c r="I1141" s="1668"/>
      <c r="J1141" s="1045"/>
      <c r="K1141" s="1028"/>
      <c r="L1141" s="1012"/>
      <c r="M1141" s="2065"/>
      <c r="N1141" s="2048"/>
      <c r="O1141" s="332"/>
      <c r="P1141" s="332"/>
      <c r="Q1141" s="332"/>
      <c r="R1141" s="332"/>
      <c r="S1141" s="332"/>
      <c r="T1141" s="177"/>
      <c r="U1141" s="177"/>
      <c r="V1141" s="2806"/>
      <c r="W1141" s="1045"/>
      <c r="X1141" s="1042"/>
      <c r="Y1141" s="1042"/>
      <c r="Z1141" s="1027"/>
      <c r="AA1141" s="1027"/>
      <c r="AB1141" s="1027"/>
      <c r="AC1141" s="1027"/>
      <c r="AD1141" s="1027"/>
      <c r="AE1141" s="1027"/>
      <c r="AF1141" s="1027"/>
      <c r="AG1141" s="1029"/>
      <c r="BB1141" s="784"/>
      <c r="BC1141" s="785"/>
      <c r="BD1141" s="900"/>
    </row>
    <row r="1142" spans="1:56" s="65" customFormat="1" hidden="1" outlineLevel="1" x14ac:dyDescent="0.25">
      <c r="A1142" s="785"/>
      <c r="B1142" s="332"/>
      <c r="C1142" s="455"/>
      <c r="D1142" s="2806"/>
      <c r="E1142" s="2806"/>
      <c r="F1142" s="2844" t="str">
        <f t="shared" si="110"/>
        <v>Ductless AC - ROF SF</v>
      </c>
      <c r="G1142" s="2845"/>
      <c r="H1142" s="2846"/>
      <c r="I1142" s="1668"/>
      <c r="J1142" s="1045">
        <f>(1545*(J$951/12000)/1.5)*J$1057</f>
        <v>1545</v>
      </c>
      <c r="K1142" s="1028"/>
      <c r="L1142" s="1012"/>
      <c r="M1142" s="2065"/>
      <c r="N1142" s="2048"/>
      <c r="O1142" s="332"/>
      <c r="P1142" s="332"/>
      <c r="Q1142" s="332"/>
      <c r="R1142" s="332"/>
      <c r="S1142" s="332"/>
      <c r="T1142" s="177"/>
      <c r="U1142" s="177"/>
      <c r="V1142" s="2806"/>
      <c r="W1142" s="1045">
        <v>1648</v>
      </c>
      <c r="X1142" s="1042">
        <f>(1545*(X$951/12000)/1.5)*X$1057</f>
        <v>1545</v>
      </c>
      <c r="Y1142" s="1042">
        <f>(1545*(Y$951/12000)/1.5)*Y$1057</f>
        <v>1545</v>
      </c>
      <c r="Z1142" s="1027"/>
      <c r="AA1142" s="1027"/>
      <c r="AB1142" s="1027"/>
      <c r="AC1142" s="1027"/>
      <c r="AD1142" s="1027"/>
      <c r="AE1142" s="1027"/>
      <c r="AF1142" s="1027"/>
      <c r="AG1142" s="1029"/>
      <c r="BB1142" s="784"/>
      <c r="BC1142" s="785"/>
      <c r="BD1142" s="900"/>
    </row>
    <row r="1143" spans="1:56" s="65" customFormat="1" hidden="1" outlineLevel="1" x14ac:dyDescent="0.25">
      <c r="A1143" s="785"/>
      <c r="B1143" s="332"/>
      <c r="C1143" s="455"/>
      <c r="D1143" s="2806"/>
      <c r="E1143" s="2806"/>
      <c r="F1143" s="2840" t="str">
        <f t="shared" si="110"/>
        <v>Ductless ASHP - ROF SF NC</v>
      </c>
      <c r="G1143" s="2841"/>
      <c r="H1143" s="2842"/>
      <c r="I1143" s="1668"/>
      <c r="J1143" s="1045">
        <f>(888*(J$952/12000)/1.5)*J$1058</f>
        <v>888</v>
      </c>
      <c r="K1143" s="1028"/>
      <c r="L1143" s="1012"/>
      <c r="M1143" s="2065"/>
      <c r="N1143" s="2048"/>
      <c r="O1143" s="332"/>
      <c r="P1143" s="332"/>
      <c r="Q1143" s="332"/>
      <c r="R1143" s="332"/>
      <c r="S1143" s="332"/>
      <c r="T1143" s="177"/>
      <c r="U1143" s="177"/>
      <c r="V1143" s="2806"/>
      <c r="W1143" s="1045">
        <v>828.79999999999984</v>
      </c>
      <c r="X1143" s="1042">
        <f>(888*(X$952/12000)/1.5)*X$1058</f>
        <v>888</v>
      </c>
      <c r="Y1143" s="1042">
        <f>(888*(Y$952/12000)/1.5)*Y$1058</f>
        <v>888</v>
      </c>
      <c r="Z1143" s="1027"/>
      <c r="AA1143" s="1027"/>
      <c r="AB1143" s="1027"/>
      <c r="AC1143" s="1027"/>
      <c r="AD1143" s="1027"/>
      <c r="AE1143" s="1027"/>
      <c r="AF1143" s="1027"/>
      <c r="AG1143" s="1029"/>
      <c r="BB1143" s="784"/>
      <c r="BC1143" s="785"/>
      <c r="BD1143" s="900"/>
    </row>
    <row r="1144" spans="1:56" s="65" customFormat="1" hidden="1" outlineLevel="1" x14ac:dyDescent="0.25">
      <c r="A1144" s="785"/>
      <c r="B1144" s="332"/>
      <c r="C1144" s="455"/>
      <c r="D1144" s="2806"/>
      <c r="E1144" s="2806"/>
      <c r="F1144" s="2837" t="str">
        <f t="shared" si="110"/>
        <v>Ductless ASHP - ROF SF NC</v>
      </c>
      <c r="G1144" s="2838"/>
      <c r="H1144" s="2839"/>
      <c r="I1144" s="1668"/>
      <c r="J1144" s="1045"/>
      <c r="K1144" s="1028"/>
      <c r="L1144" s="1012"/>
      <c r="M1144" s="2065"/>
      <c r="N1144" s="2048"/>
      <c r="O1144" s="332"/>
      <c r="P1144" s="332"/>
      <c r="Q1144" s="332"/>
      <c r="R1144" s="332"/>
      <c r="S1144" s="332"/>
      <c r="T1144" s="177"/>
      <c r="U1144" s="177"/>
      <c r="V1144" s="2806"/>
      <c r="W1144" s="1045"/>
      <c r="X1144" s="1042"/>
      <c r="Y1144" s="1042"/>
      <c r="Z1144" s="1027"/>
      <c r="AA1144" s="1027"/>
      <c r="AB1144" s="1027"/>
      <c r="AC1144" s="1027"/>
      <c r="AD1144" s="1027"/>
      <c r="AE1144" s="1027"/>
      <c r="AF1144" s="1027"/>
      <c r="AG1144" s="1029"/>
      <c r="BB1144" s="784"/>
      <c r="BC1144" s="785"/>
      <c r="BD1144" s="900"/>
    </row>
    <row r="1145" spans="1:56" s="65" customFormat="1" hidden="1" outlineLevel="1" x14ac:dyDescent="0.25">
      <c r="A1145" s="785"/>
      <c r="B1145" s="332"/>
      <c r="C1145" s="455"/>
      <c r="D1145" s="2806"/>
      <c r="E1145" s="2806"/>
      <c r="F1145" s="2840" t="str">
        <f t="shared" si="110"/>
        <v>Ductless ASHP - ROF SF</v>
      </c>
      <c r="G1145" s="2841"/>
      <c r="H1145" s="2842"/>
      <c r="I1145" s="1668"/>
      <c r="J1145" s="1045">
        <f>(888*(J$950/12000)/1.5)*J$1060</f>
        <v>888</v>
      </c>
      <c r="K1145" s="1028"/>
      <c r="L1145" s="1012"/>
      <c r="M1145" s="2065"/>
      <c r="N1145" s="2048"/>
      <c r="O1145" s="332"/>
      <c r="P1145" s="332"/>
      <c r="Q1145" s="332"/>
      <c r="R1145" s="332"/>
      <c r="S1145" s="332"/>
      <c r="T1145" s="177"/>
      <c r="U1145" s="177"/>
      <c r="V1145" s="2806"/>
      <c r="W1145" s="1045">
        <v>1006.4</v>
      </c>
      <c r="X1145" s="1042">
        <f>(888*(X$950/12000)/1.5)*X$1060</f>
        <v>888</v>
      </c>
      <c r="Y1145" s="1042">
        <f>(888*(Y$950/12000)/1.5)*Y$1060</f>
        <v>888</v>
      </c>
      <c r="Z1145" s="1027"/>
      <c r="AA1145" s="1027"/>
      <c r="AB1145" s="1027"/>
      <c r="AC1145" s="1027"/>
      <c r="AD1145" s="1027"/>
      <c r="AE1145" s="1027"/>
      <c r="AF1145" s="1027"/>
      <c r="AG1145" s="1029"/>
      <c r="BB1145" s="784"/>
      <c r="BC1145" s="785"/>
      <c r="BD1145" s="900"/>
    </row>
    <row r="1146" spans="1:56" s="65" customFormat="1" hidden="1" outlineLevel="1" x14ac:dyDescent="0.25">
      <c r="A1146" s="785"/>
      <c r="B1146" s="332"/>
      <c r="C1146" s="455"/>
      <c r="D1146" s="2806"/>
      <c r="E1146" s="2806"/>
      <c r="F1146" s="2837" t="str">
        <f t="shared" si="110"/>
        <v>Ductless ASHP - ROF SF</v>
      </c>
      <c r="G1146" s="2838"/>
      <c r="H1146" s="2839"/>
      <c r="I1146" s="1668"/>
      <c r="J1146" s="1045"/>
      <c r="K1146" s="1028"/>
      <c r="L1146" s="1012"/>
      <c r="M1146" s="2065"/>
      <c r="N1146" s="2048"/>
      <c r="O1146" s="332"/>
      <c r="P1146" s="332"/>
      <c r="Q1146" s="332"/>
      <c r="R1146" s="332"/>
      <c r="S1146" s="332"/>
      <c r="T1146" s="177"/>
      <c r="U1146" s="177"/>
      <c r="V1146" s="2806"/>
      <c r="W1146" s="1045"/>
      <c r="X1146" s="1042"/>
      <c r="Y1146" s="1042"/>
      <c r="Z1146" s="1027"/>
      <c r="AA1146" s="1027"/>
      <c r="AB1146" s="1027"/>
      <c r="AC1146" s="1027"/>
      <c r="AD1146" s="1027"/>
      <c r="AE1146" s="1027"/>
      <c r="AF1146" s="1027"/>
      <c r="AG1146" s="1029"/>
      <c r="BB1146" s="784"/>
      <c r="BC1146" s="785"/>
      <c r="BD1146" s="900"/>
    </row>
    <row r="1147" spans="1:56" s="65" customFormat="1" hidden="1" outlineLevel="1" x14ac:dyDescent="0.25">
      <c r="A1147" s="785"/>
      <c r="B1147" s="332"/>
      <c r="C1147" s="455"/>
      <c r="D1147" s="2806"/>
      <c r="E1147" s="2806"/>
      <c r="F1147" s="2840" t="str">
        <f t="shared" si="110"/>
        <v>Ductless ASHP Replace Electric Resistance ER1 SF</v>
      </c>
      <c r="G1147" s="2841"/>
      <c r="H1147" s="2842"/>
      <c r="I1147" s="1668"/>
      <c r="J1147" s="1045">
        <f>(2108*(J$954/12000)/1.5)*J$1062</f>
        <v>2108</v>
      </c>
      <c r="K1147" s="1028"/>
      <c r="L1147" s="1012"/>
      <c r="M1147" s="2065"/>
      <c r="N1147" s="2048"/>
      <c r="O1147" s="332"/>
      <c r="P1147" s="332"/>
      <c r="Q1147" s="332"/>
      <c r="R1147" s="332"/>
      <c r="S1147" s="332"/>
      <c r="T1147" s="177"/>
      <c r="U1147" s="177"/>
      <c r="V1147" s="2806"/>
      <c r="W1147" s="1045">
        <v>1967.4666666666665</v>
      </c>
      <c r="X1147" s="1042">
        <f>(2108*(X$954/12000)/1.5)*X$1062</f>
        <v>2108</v>
      </c>
      <c r="Y1147" s="1042">
        <f>(2108*(Y$954/12000)/1.5)*Y$1062</f>
        <v>2108</v>
      </c>
      <c r="Z1147" s="1027"/>
      <c r="AA1147" s="1027"/>
      <c r="AB1147" s="1027"/>
      <c r="AC1147" s="1027"/>
      <c r="AD1147" s="1027"/>
      <c r="AE1147" s="1027"/>
      <c r="AF1147" s="1027"/>
      <c r="AG1147" s="1029"/>
      <c r="BB1147" s="784"/>
      <c r="BC1147" s="785"/>
      <c r="BD1147" s="900"/>
    </row>
    <row r="1148" spans="1:56" s="65" customFormat="1" hidden="1" outlineLevel="1" x14ac:dyDescent="0.25">
      <c r="A1148" s="785"/>
      <c r="B1148" s="332"/>
      <c r="C1148" s="455"/>
      <c r="D1148" s="2806"/>
      <c r="E1148" s="2806"/>
      <c r="F1148" s="2834" t="str">
        <f t="shared" si="110"/>
        <v>Ductless ASHP Replace Electric Resistance ER1 SF</v>
      </c>
      <c r="G1148" s="2835"/>
      <c r="H1148" s="2836"/>
      <c r="I1148" s="1668"/>
      <c r="J1148" s="1045"/>
      <c r="K1148" s="1028"/>
      <c r="L1148" s="1012"/>
      <c r="M1148" s="2065"/>
      <c r="N1148" s="2048"/>
      <c r="O1148" s="332"/>
      <c r="P1148" s="332"/>
      <c r="Q1148" s="332"/>
      <c r="R1148" s="332"/>
      <c r="S1148" s="332"/>
      <c r="T1148" s="177"/>
      <c r="U1148" s="177"/>
      <c r="V1148" s="2806"/>
      <c r="W1148" s="1045"/>
      <c r="X1148" s="1042"/>
      <c r="Y1148" s="1042"/>
      <c r="Z1148" s="1027"/>
      <c r="AA1148" s="1027"/>
      <c r="AB1148" s="1027"/>
      <c r="AC1148" s="1027"/>
      <c r="AD1148" s="1027"/>
      <c r="AE1148" s="1027"/>
      <c r="AF1148" s="1027"/>
      <c r="AG1148" s="1029"/>
      <c r="BB1148" s="784"/>
      <c r="BC1148" s="785"/>
      <c r="BD1148" s="900"/>
    </row>
    <row r="1149" spans="1:56" s="65" customFormat="1" hidden="1" outlineLevel="1" x14ac:dyDescent="0.25">
      <c r="A1149" s="785"/>
      <c r="B1149" s="332"/>
      <c r="C1149" s="455"/>
      <c r="D1149" s="2806"/>
      <c r="E1149" s="2806"/>
      <c r="F1149" s="2834" t="str">
        <f t="shared" si="110"/>
        <v>Ductless ASHP Replace Electric Resistance ER2 SF</v>
      </c>
      <c r="G1149" s="2835"/>
      <c r="H1149" s="2836"/>
      <c r="I1149" s="1668"/>
      <c r="J1149" s="1045"/>
      <c r="K1149" s="1028"/>
      <c r="L1149" s="1012"/>
      <c r="M1149" s="2065"/>
      <c r="N1149" s="2048"/>
      <c r="O1149" s="332"/>
      <c r="P1149" s="332"/>
      <c r="Q1149" s="332"/>
      <c r="R1149" s="332"/>
      <c r="S1149" s="332"/>
      <c r="T1149" s="177"/>
      <c r="U1149" s="177"/>
      <c r="V1149" s="2806"/>
      <c r="W1149" s="1045"/>
      <c r="X1149" s="1042"/>
      <c r="Y1149" s="1042"/>
      <c r="Z1149" s="1027"/>
      <c r="AA1149" s="1027"/>
      <c r="AB1149" s="1027"/>
      <c r="AC1149" s="1027"/>
      <c r="AD1149" s="1027"/>
      <c r="AE1149" s="1027"/>
      <c r="AF1149" s="1027"/>
      <c r="AG1149" s="1029"/>
      <c r="BB1149" s="784"/>
      <c r="BC1149" s="785"/>
      <c r="BD1149" s="900"/>
    </row>
    <row r="1150" spans="1:56" s="65" customFormat="1" hidden="1" outlineLevel="1" x14ac:dyDescent="0.25">
      <c r="A1150" s="785"/>
      <c r="B1150" s="332"/>
      <c r="C1150" s="455"/>
      <c r="D1150" s="2806"/>
      <c r="E1150" s="2806"/>
      <c r="F1150" s="2837" t="str">
        <f t="shared" si="110"/>
        <v>Ductless ASHP Replace Electric Resistance ER2 SF</v>
      </c>
      <c r="G1150" s="2838"/>
      <c r="H1150" s="2839"/>
      <c r="I1150" s="1668"/>
      <c r="J1150" s="1045"/>
      <c r="K1150" s="1028"/>
      <c r="L1150" s="1012"/>
      <c r="M1150" s="2065"/>
      <c r="N1150" s="2048"/>
      <c r="O1150" s="332"/>
      <c r="P1150" s="332"/>
      <c r="Q1150" s="332"/>
      <c r="R1150" s="332"/>
      <c r="S1150" s="332"/>
      <c r="T1150" s="177"/>
      <c r="U1150" s="177"/>
      <c r="V1150" s="2806"/>
      <c r="W1150" s="1045"/>
      <c r="X1150" s="1042"/>
      <c r="Y1150" s="1042"/>
      <c r="Z1150" s="1027"/>
      <c r="AA1150" s="1027"/>
      <c r="AB1150" s="1027"/>
      <c r="AC1150" s="1027"/>
      <c r="AD1150" s="1027"/>
      <c r="AE1150" s="1027"/>
      <c r="AF1150" s="1027"/>
      <c r="AG1150" s="1029"/>
      <c r="BB1150" s="784"/>
      <c r="BC1150" s="785"/>
      <c r="BD1150" s="900"/>
    </row>
    <row r="1151" spans="1:56" s="65" customFormat="1" hidden="1" outlineLevel="1" x14ac:dyDescent="0.25">
      <c r="A1151" s="785"/>
      <c r="B1151" s="332"/>
      <c r="C1151" s="455"/>
      <c r="D1151" s="2806"/>
      <c r="E1151" s="2806"/>
      <c r="F1151" s="2840" t="str">
        <f t="shared" si="110"/>
        <v>Ductless ASHP Replace Electric Resistance ROF SF</v>
      </c>
      <c r="G1151" s="2841"/>
      <c r="H1151" s="2842"/>
      <c r="I1151" s="1668"/>
      <c r="J1151" s="1045">
        <f>(1051*(J$955/12000)/1.5)*J$1066</f>
        <v>1121.0666666666668</v>
      </c>
      <c r="K1151" s="1028"/>
      <c r="L1151" s="1012"/>
      <c r="M1151" s="2065"/>
      <c r="N1151" s="2048"/>
      <c r="O1151" s="332"/>
      <c r="P1151" s="332"/>
      <c r="Q1151" s="332"/>
      <c r="R1151" s="332"/>
      <c r="S1151" s="332"/>
      <c r="T1151" s="177"/>
      <c r="U1151" s="177"/>
      <c r="V1151" s="2806"/>
      <c r="W1151" s="1045">
        <v>1121.0666666666668</v>
      </c>
      <c r="X1151" s="1042">
        <f>(1051*(X$955/12000)/1.5)*X$1066</f>
        <v>1051</v>
      </c>
      <c r="Y1151" s="1042">
        <f>(1051*(Y$955/12000)/1.5)*Y$1066</f>
        <v>1121.0666666666668</v>
      </c>
      <c r="Z1151" s="1027"/>
      <c r="AA1151" s="1027"/>
      <c r="AB1151" s="1027"/>
      <c r="AC1151" s="1027"/>
      <c r="AD1151" s="1027"/>
      <c r="AE1151" s="1027"/>
      <c r="AF1151" s="1027"/>
      <c r="AG1151" s="1029"/>
      <c r="BB1151" s="784"/>
      <c r="BC1151" s="785"/>
      <c r="BD1151" s="900"/>
    </row>
    <row r="1152" spans="1:56" s="65" customFormat="1" hidden="1" outlineLevel="1" x14ac:dyDescent="0.25">
      <c r="A1152" s="785"/>
      <c r="B1152" s="332"/>
      <c r="C1152" s="455"/>
      <c r="D1152" s="2806"/>
      <c r="E1152" s="2806"/>
      <c r="F1152" s="2837" t="str">
        <f t="shared" si="110"/>
        <v>Ductless ASHP Replace Electric Resistance ROF SF</v>
      </c>
      <c r="G1152" s="2838"/>
      <c r="H1152" s="2839"/>
      <c r="I1152" s="1668"/>
      <c r="J1152" s="1045"/>
      <c r="K1152" s="1028"/>
      <c r="L1152" s="1012"/>
      <c r="M1152" s="2065"/>
      <c r="N1152" s="2048"/>
      <c r="O1152" s="332"/>
      <c r="P1152" s="332"/>
      <c r="Q1152" s="332"/>
      <c r="R1152" s="332"/>
      <c r="S1152" s="332"/>
      <c r="T1152" s="177"/>
      <c r="U1152" s="177"/>
      <c r="V1152" s="2806"/>
      <c r="W1152" s="1045"/>
      <c r="X1152" s="1042"/>
      <c r="Y1152" s="1042"/>
      <c r="Z1152" s="1027"/>
      <c r="AA1152" s="1027"/>
      <c r="AB1152" s="1027"/>
      <c r="AC1152" s="1027"/>
      <c r="AD1152" s="1027"/>
      <c r="AE1152" s="1027"/>
      <c r="AF1152" s="1027"/>
      <c r="AG1152" s="1029"/>
      <c r="BB1152" s="784"/>
      <c r="BC1152" s="785"/>
      <c r="BD1152" s="900"/>
    </row>
    <row r="1153" spans="1:56" s="65" customFormat="1" hidden="1" outlineLevel="1" x14ac:dyDescent="0.25">
      <c r="A1153" s="785"/>
      <c r="B1153" s="332"/>
      <c r="C1153" s="455"/>
      <c r="D1153" s="2806"/>
      <c r="E1153" s="2806"/>
      <c r="F1153" s="2840" t="str">
        <f t="shared" si="110"/>
        <v>Ductless ASHP ER1 SF</v>
      </c>
      <c r="G1153" s="2841"/>
      <c r="H1153" s="2842"/>
      <c r="I1153" s="1668"/>
      <c r="J1153" s="1045">
        <f>(1982*(J$956/12000)/1.5)*J$1068</f>
        <v>1982</v>
      </c>
      <c r="K1153" s="1028"/>
      <c r="L1153" s="1012"/>
      <c r="M1153" s="2065"/>
      <c r="N1153" s="2048"/>
      <c r="O1153" s="332"/>
      <c r="P1153" s="332"/>
      <c r="Q1153" s="332"/>
      <c r="R1153" s="332"/>
      <c r="S1153" s="332"/>
      <c r="T1153" s="177"/>
      <c r="U1153" s="177"/>
      <c r="V1153" s="2806"/>
      <c r="W1153" s="1045">
        <v>2246.2666666666669</v>
      </c>
      <c r="X1153" s="1042">
        <f>(1982*(X$956/12000)/1.5)*X$1068</f>
        <v>1982</v>
      </c>
      <c r="Y1153" s="1042">
        <f>(1982*(Y$956/12000)/1.5)*Y$1068</f>
        <v>1982</v>
      </c>
      <c r="Z1153" s="1027"/>
      <c r="AA1153" s="1027"/>
      <c r="AB1153" s="1027"/>
      <c r="AC1153" s="1027"/>
      <c r="AD1153" s="1027"/>
      <c r="AE1153" s="1027"/>
      <c r="AF1153" s="1027"/>
      <c r="AG1153" s="1029"/>
      <c r="BB1153" s="784"/>
      <c r="BC1153" s="785"/>
      <c r="BD1153" s="900"/>
    </row>
    <row r="1154" spans="1:56" s="65" customFormat="1" hidden="1" outlineLevel="1" x14ac:dyDescent="0.25">
      <c r="A1154" s="785"/>
      <c r="B1154" s="332"/>
      <c r="C1154" s="455"/>
      <c r="D1154" s="2806"/>
      <c r="E1154" s="2806"/>
      <c r="F1154" s="2834" t="str">
        <f t="shared" si="110"/>
        <v>Ductless ASHP ER1 SF</v>
      </c>
      <c r="G1154" s="2835"/>
      <c r="H1154" s="2836"/>
      <c r="I1154" s="1668"/>
      <c r="J1154" s="1047"/>
      <c r="K1154" s="1028"/>
      <c r="L1154" s="1012"/>
      <c r="M1154" s="2065"/>
      <c r="N1154" s="2048"/>
      <c r="O1154" s="332"/>
      <c r="P1154" s="332"/>
      <c r="Q1154" s="332"/>
      <c r="R1154" s="332"/>
      <c r="S1154" s="332"/>
      <c r="T1154" s="177"/>
      <c r="U1154" s="177"/>
      <c r="V1154" s="2806"/>
      <c r="W1154" s="1047"/>
      <c r="X1154" s="1046"/>
      <c r="Y1154" s="1046"/>
      <c r="Z1154" s="1027"/>
      <c r="AA1154" s="1027"/>
      <c r="AB1154" s="1027"/>
      <c r="AC1154" s="1027"/>
      <c r="AD1154" s="1027"/>
      <c r="AE1154" s="1027"/>
      <c r="AF1154" s="1027"/>
      <c r="AG1154" s="1029"/>
      <c r="BB1154" s="784"/>
      <c r="BC1154" s="785"/>
      <c r="BD1154" s="900"/>
    </row>
    <row r="1155" spans="1:56" s="65" customFormat="1" hidden="1" outlineLevel="1" x14ac:dyDescent="0.25">
      <c r="A1155" s="785"/>
      <c r="B1155" s="332"/>
      <c r="C1155" s="455"/>
      <c r="D1155" s="2806"/>
      <c r="E1155" s="2806"/>
      <c r="F1155" s="2834" t="str">
        <f t="shared" si="110"/>
        <v>Ductless ASHP ER2 SF</v>
      </c>
      <c r="G1155" s="2835"/>
      <c r="H1155" s="2836"/>
      <c r="I1155" s="1668"/>
      <c r="J1155" s="1047"/>
      <c r="K1155" s="1028"/>
      <c r="L1155" s="1012"/>
      <c r="M1155" s="2065"/>
      <c r="N1155" s="2048"/>
      <c r="O1155" s="332"/>
      <c r="P1155" s="332"/>
      <c r="Q1155" s="332"/>
      <c r="R1155" s="332"/>
      <c r="S1155" s="332"/>
      <c r="T1155" s="177"/>
      <c r="U1155" s="177"/>
      <c r="V1155" s="2806"/>
      <c r="W1155" s="1047"/>
      <c r="X1155" s="1046"/>
      <c r="Y1155" s="1046"/>
      <c r="Z1155" s="1027"/>
      <c r="AA1155" s="1027"/>
      <c r="AB1155" s="1027"/>
      <c r="AC1155" s="1027"/>
      <c r="AD1155" s="1027"/>
      <c r="AE1155" s="1027"/>
      <c r="AF1155" s="1027"/>
      <c r="AG1155" s="1029"/>
      <c r="BB1155" s="784"/>
      <c r="BC1155" s="785"/>
      <c r="BD1155" s="900"/>
    </row>
    <row r="1156" spans="1:56" s="65" customFormat="1" hidden="1" outlineLevel="1" x14ac:dyDescent="0.25">
      <c r="A1156" s="785"/>
      <c r="B1156" s="332"/>
      <c r="C1156" s="455"/>
      <c r="D1156" s="2806"/>
      <c r="E1156" s="2806"/>
      <c r="F1156" s="2837" t="str">
        <f t="shared" si="110"/>
        <v>Ductless ASHP ER2 SF</v>
      </c>
      <c r="G1156" s="2838"/>
      <c r="H1156" s="2839"/>
      <c r="I1156" s="1668"/>
      <c r="J1156" s="1047"/>
      <c r="K1156" s="1028"/>
      <c r="L1156" s="1012"/>
      <c r="M1156" s="2065"/>
      <c r="N1156" s="2048"/>
      <c r="O1156" s="332"/>
      <c r="P1156" s="332"/>
      <c r="Q1156" s="332"/>
      <c r="R1156" s="332"/>
      <c r="S1156" s="332"/>
      <c r="T1156" s="177"/>
      <c r="U1156" s="177"/>
      <c r="V1156" s="2806"/>
      <c r="W1156" s="1047"/>
      <c r="X1156" s="1046"/>
      <c r="Y1156" s="1046"/>
      <c r="Z1156" s="1027"/>
      <c r="AA1156" s="1027"/>
      <c r="AB1156" s="1027"/>
      <c r="AC1156" s="1027"/>
      <c r="AD1156" s="1027"/>
      <c r="AE1156" s="1027"/>
      <c r="AF1156" s="1027"/>
      <c r="AG1156" s="1029"/>
      <c r="BB1156" s="784"/>
      <c r="BC1156" s="785"/>
      <c r="BD1156" s="900"/>
    </row>
    <row r="1157" spans="1:56" s="65" customFormat="1" hidden="1" outlineLevel="1" x14ac:dyDescent="0.25">
      <c r="A1157" s="785"/>
      <c r="B1157" s="332"/>
      <c r="C1157" s="455"/>
      <c r="D1157" s="2806"/>
      <c r="E1157" s="2806"/>
      <c r="F1157" s="2840" t="str">
        <f t="shared" si="110"/>
        <v>Ductless AC - ER1 MF</v>
      </c>
      <c r="G1157" s="2841"/>
      <c r="H1157" s="2842"/>
      <c r="I1157" s="1668"/>
      <c r="J1157" s="1047">
        <f>(1413*(J$950/12000)/1.5*J$1072)</f>
        <v>1413</v>
      </c>
      <c r="K1157" s="1028"/>
      <c r="L1157" s="1012"/>
      <c r="M1157" s="2065"/>
      <c r="N1157" s="2048"/>
      <c r="O1157" s="332"/>
      <c r="P1157" s="332"/>
      <c r="Q1157" s="332"/>
      <c r="R1157" s="332"/>
      <c r="S1157" s="332"/>
      <c r="T1157" s="177"/>
      <c r="U1157" s="177"/>
      <c r="V1157" s="2806"/>
      <c r="W1157" s="1047">
        <v>1601.3999999999999</v>
      </c>
      <c r="X1157" s="1046">
        <f>(1413*(X$950/12000)/1.5*X$1072)</f>
        <v>918.45</v>
      </c>
      <c r="Y1157" s="1046">
        <f>(1413*(Y$950/12000)/1.5*Y$1072)</f>
        <v>1413</v>
      </c>
      <c r="Z1157" s="1027"/>
      <c r="AA1157" s="1027"/>
      <c r="AB1157" s="1027"/>
      <c r="AC1157" s="1027"/>
      <c r="AD1157" s="1027"/>
      <c r="AE1157" s="1027"/>
      <c r="AF1157" s="1027"/>
      <c r="AG1157" s="1029"/>
      <c r="BB1157" s="784"/>
      <c r="BC1157" s="785"/>
      <c r="BD1157" s="900"/>
    </row>
    <row r="1158" spans="1:56" s="65" customFormat="1" hidden="1" outlineLevel="1" x14ac:dyDescent="0.25">
      <c r="A1158" s="785"/>
      <c r="B1158" s="332"/>
      <c r="C1158" s="455"/>
      <c r="D1158" s="2806"/>
      <c r="E1158" s="2806"/>
      <c r="F1158" s="2837" t="str">
        <f t="shared" si="110"/>
        <v>Ductless AC - ER2 MF</v>
      </c>
      <c r="G1158" s="2838"/>
      <c r="H1158" s="2839"/>
      <c r="I1158" s="1668"/>
      <c r="J1158" s="1047"/>
      <c r="K1158" s="1028"/>
      <c r="L1158" s="1012"/>
      <c r="M1158" s="2065"/>
      <c r="N1158" s="2048"/>
      <c r="O1158" s="332"/>
      <c r="P1158" s="332"/>
      <c r="Q1158" s="332"/>
      <c r="R1158" s="332"/>
      <c r="S1158" s="332"/>
      <c r="T1158" s="177"/>
      <c r="U1158" s="177"/>
      <c r="V1158" s="2806"/>
      <c r="W1158" s="1047"/>
      <c r="X1158" s="1046"/>
      <c r="Y1158" s="1046"/>
      <c r="Z1158" s="1027"/>
      <c r="AA1158" s="1027"/>
      <c r="AB1158" s="1027"/>
      <c r="AC1158" s="1027"/>
      <c r="AD1158" s="1027"/>
      <c r="AE1158" s="1027"/>
      <c r="AF1158" s="1027"/>
      <c r="AG1158" s="1029"/>
      <c r="BB1158" s="784"/>
      <c r="BC1158" s="785"/>
      <c r="BD1158" s="900"/>
    </row>
    <row r="1159" spans="1:56" s="65" customFormat="1" hidden="1" outlineLevel="1" x14ac:dyDescent="0.25">
      <c r="A1159" s="785"/>
      <c r="B1159" s="332"/>
      <c r="C1159" s="455"/>
      <c r="D1159" s="2806"/>
      <c r="E1159" s="2806"/>
      <c r="F1159" s="2844" t="str">
        <f t="shared" si="110"/>
        <v>Ductless AC - ROF MF</v>
      </c>
      <c r="G1159" s="2845"/>
      <c r="H1159" s="2846"/>
      <c r="I1159" s="1668"/>
      <c r="J1159" s="1047">
        <f>(978.5/1.5*(J$951/12000))*J$1074</f>
        <v>978.5</v>
      </c>
      <c r="K1159" s="1028"/>
      <c r="L1159" s="1012"/>
      <c r="M1159" s="2065"/>
      <c r="N1159" s="2048"/>
      <c r="O1159" s="332"/>
      <c r="P1159" s="332"/>
      <c r="Q1159" s="332"/>
      <c r="R1159" s="332"/>
      <c r="S1159" s="332"/>
      <c r="T1159" s="177"/>
      <c r="U1159" s="177"/>
      <c r="V1159" s="2806"/>
      <c r="W1159" s="1047">
        <v>1043.7333333333333</v>
      </c>
      <c r="X1159" s="1046">
        <f>(978.5/1.5*(X$951/12000))*X$1074</f>
        <v>636.02499999999998</v>
      </c>
      <c r="Y1159" s="1046">
        <f>(978.5/1.5*(Y$951/12000))*Y$1074</f>
        <v>978.5</v>
      </c>
      <c r="Z1159" s="1027"/>
      <c r="AA1159" s="1027"/>
      <c r="AB1159" s="1027"/>
      <c r="AC1159" s="1027"/>
      <c r="AD1159" s="1027"/>
      <c r="AE1159" s="1027"/>
      <c r="AF1159" s="1027"/>
      <c r="AG1159" s="1029"/>
      <c r="BB1159" s="784"/>
      <c r="BC1159" s="785"/>
      <c r="BD1159" s="900"/>
    </row>
    <row r="1160" spans="1:56" s="65" customFormat="1" hidden="1" outlineLevel="1" x14ac:dyDescent="0.25">
      <c r="A1160" s="785"/>
      <c r="B1160" s="332"/>
      <c r="C1160" s="455"/>
      <c r="D1160" s="2806"/>
      <c r="E1160" s="2806"/>
      <c r="F1160" s="2840" t="str">
        <f t="shared" si="110"/>
        <v>Ductless ASHP - ROF MF NC</v>
      </c>
      <c r="G1160" s="2841"/>
      <c r="H1160" s="2842"/>
      <c r="I1160" s="1668"/>
      <c r="J1160" s="1047">
        <f>(705/1.5*(J$952/12000)*J$1075)</f>
        <v>705</v>
      </c>
      <c r="K1160" s="1028"/>
      <c r="L1160" s="1012"/>
      <c r="M1160" s="2065"/>
      <c r="N1160" s="2048"/>
      <c r="O1160" s="332"/>
      <c r="P1160" s="332"/>
      <c r="Q1160" s="332"/>
      <c r="R1160" s="332"/>
      <c r="S1160" s="332"/>
      <c r="T1160" s="177"/>
      <c r="U1160" s="177"/>
      <c r="V1160" s="2806"/>
      <c r="W1160" s="1047">
        <v>658</v>
      </c>
      <c r="X1160" s="1046">
        <f>(705/1.5*(X$952/12000)*X$1075)</f>
        <v>458.25</v>
      </c>
      <c r="Y1160" s="1046">
        <f>(705/1.5*(Y$952/12000)*Y$1075)</f>
        <v>705</v>
      </c>
      <c r="Z1160" s="1027"/>
      <c r="AA1160" s="1027"/>
      <c r="AB1160" s="1027"/>
      <c r="AC1160" s="1027"/>
      <c r="AD1160" s="1027"/>
      <c r="AE1160" s="1027"/>
      <c r="AF1160" s="1027"/>
      <c r="AG1160" s="1029"/>
      <c r="BB1160" s="784"/>
      <c r="BC1160" s="785"/>
      <c r="BD1160" s="900"/>
    </row>
    <row r="1161" spans="1:56" s="65" customFormat="1" hidden="1" outlineLevel="1" x14ac:dyDescent="0.25">
      <c r="A1161" s="785"/>
      <c r="B1161" s="332"/>
      <c r="C1161" s="455"/>
      <c r="D1161" s="2806"/>
      <c r="E1161" s="2806"/>
      <c r="F1161" s="2837" t="str">
        <f t="shared" si="110"/>
        <v>Ductless ASHP - ROF MF NC</v>
      </c>
      <c r="G1161" s="2838"/>
      <c r="H1161" s="2839"/>
      <c r="I1161" s="1668"/>
      <c r="J1161" s="1045"/>
      <c r="K1161" s="1028"/>
      <c r="L1161" s="1012"/>
      <c r="M1161" s="2065"/>
      <c r="N1161" s="2048"/>
      <c r="O1161" s="332"/>
      <c r="P1161" s="332"/>
      <c r="Q1161" s="332"/>
      <c r="R1161" s="332"/>
      <c r="S1161" s="332"/>
      <c r="T1161" s="177"/>
      <c r="U1161" s="177"/>
      <c r="V1161" s="2806"/>
      <c r="W1161" s="1045"/>
      <c r="X1161" s="1042"/>
      <c r="Y1161" s="1042"/>
      <c r="Z1161" s="1027"/>
      <c r="AA1161" s="1027"/>
      <c r="AB1161" s="1027"/>
      <c r="AC1161" s="1027"/>
      <c r="AD1161" s="1027"/>
      <c r="AE1161" s="1027"/>
      <c r="AF1161" s="1027"/>
      <c r="AG1161" s="1029"/>
      <c r="BB1161" s="784"/>
      <c r="BC1161" s="785"/>
      <c r="BD1161" s="900"/>
    </row>
    <row r="1162" spans="1:56" s="65" customFormat="1" hidden="1" outlineLevel="1" x14ac:dyDescent="0.25">
      <c r="A1162" s="785"/>
      <c r="B1162" s="332"/>
      <c r="C1162" s="455"/>
      <c r="D1162" s="2806"/>
      <c r="E1162" s="2806"/>
      <c r="F1162" s="2840" t="str">
        <f t="shared" si="110"/>
        <v>Ductless ASHP - ROF MF</v>
      </c>
      <c r="G1162" s="2841"/>
      <c r="H1162" s="2842"/>
      <c r="I1162" s="1668"/>
      <c r="J1162" s="1047">
        <f>(705*(J$953/12000)/1.5*J$1077)</f>
        <v>705</v>
      </c>
      <c r="K1162" s="1028"/>
      <c r="L1162" s="1012"/>
      <c r="M1162" s="2065"/>
      <c r="N1162" s="2048"/>
      <c r="O1162" s="332"/>
      <c r="P1162" s="332"/>
      <c r="Q1162" s="332"/>
      <c r="R1162" s="332"/>
      <c r="S1162" s="332"/>
      <c r="T1162" s="177"/>
      <c r="U1162" s="177"/>
      <c r="V1162" s="2806"/>
      <c r="W1162" s="1047">
        <v>658</v>
      </c>
      <c r="X1162" s="1046">
        <f>(705*(X$953/12000)/1.5*X$1077)</f>
        <v>458.25</v>
      </c>
      <c r="Y1162" s="1046">
        <f>(705*(Y$953/12000)/1.5*Y$1077)</f>
        <v>705</v>
      </c>
      <c r="Z1162" s="1027"/>
      <c r="AA1162" s="1027"/>
      <c r="AB1162" s="1027"/>
      <c r="AC1162" s="1027"/>
      <c r="AD1162" s="1027"/>
      <c r="AE1162" s="1027"/>
      <c r="AF1162" s="1027"/>
      <c r="AG1162" s="1029"/>
      <c r="BB1162" s="784"/>
      <c r="BC1162" s="785"/>
      <c r="BD1162" s="900"/>
    </row>
    <row r="1163" spans="1:56" s="65" customFormat="1" hidden="1" outlineLevel="1" x14ac:dyDescent="0.25">
      <c r="A1163" s="785"/>
      <c r="B1163" s="332"/>
      <c r="C1163" s="455"/>
      <c r="D1163" s="2806"/>
      <c r="E1163" s="2806"/>
      <c r="F1163" s="2837" t="str">
        <f t="shared" si="110"/>
        <v>Ductless ASHP - ROF MF</v>
      </c>
      <c r="G1163" s="2838"/>
      <c r="H1163" s="2839"/>
      <c r="I1163" s="1668"/>
      <c r="J1163" s="1045"/>
      <c r="K1163" s="1028"/>
      <c r="L1163" s="1012"/>
      <c r="M1163" s="2065"/>
      <c r="N1163" s="2048"/>
      <c r="O1163" s="332"/>
      <c r="P1163" s="332"/>
      <c r="Q1163" s="332"/>
      <c r="R1163" s="332"/>
      <c r="S1163" s="332"/>
      <c r="T1163" s="177"/>
      <c r="U1163" s="177"/>
      <c r="V1163" s="2806"/>
      <c r="W1163" s="1045"/>
      <c r="X1163" s="1042"/>
      <c r="Y1163" s="1042"/>
      <c r="Z1163" s="1027"/>
      <c r="AA1163" s="1027"/>
      <c r="AB1163" s="1027"/>
      <c r="AC1163" s="1027"/>
      <c r="AD1163" s="1027"/>
      <c r="AE1163" s="1027"/>
      <c r="AF1163" s="1027"/>
      <c r="AG1163" s="1029"/>
      <c r="BB1163" s="784"/>
      <c r="BC1163" s="785"/>
      <c r="BD1163" s="900"/>
    </row>
    <row r="1164" spans="1:56" s="65" customFormat="1" hidden="1" outlineLevel="1" x14ac:dyDescent="0.25">
      <c r="A1164" s="785"/>
      <c r="B1164" s="332"/>
      <c r="C1164" s="455"/>
      <c r="D1164" s="2806"/>
      <c r="E1164" s="2806"/>
      <c r="F1164" s="2840" t="str">
        <f t="shared" si="110"/>
        <v>Ductless ASHP Replace Electric Resistance ER1 MF</v>
      </c>
      <c r="G1164" s="2841"/>
      <c r="H1164" s="2842"/>
      <c r="I1164" s="1668"/>
      <c r="J1164" s="1047">
        <f>(1590*(J$954/12000)/1.5*$J$1079)</f>
        <v>1590</v>
      </c>
      <c r="K1164" s="1028"/>
      <c r="L1164" s="1012"/>
      <c r="M1164" s="2065"/>
      <c r="N1164" s="2048"/>
      <c r="O1164" s="332"/>
      <c r="P1164" s="332"/>
      <c r="Q1164" s="332"/>
      <c r="R1164" s="332"/>
      <c r="S1164" s="332"/>
      <c r="T1164" s="177"/>
      <c r="U1164" s="177"/>
      <c r="V1164" s="2806"/>
      <c r="W1164" s="1047">
        <v>1484</v>
      </c>
      <c r="X1164" s="1046">
        <f>(1590*(X$954/12000)/1.5*$J$1079)</f>
        <v>1590</v>
      </c>
      <c r="Y1164" s="1046">
        <f>(1590*(Y$954/12000)/1.5*$J$1079)</f>
        <v>1590</v>
      </c>
      <c r="Z1164" s="1027"/>
      <c r="AA1164" s="1027"/>
      <c r="AB1164" s="1027"/>
      <c r="AC1164" s="1027"/>
      <c r="AD1164" s="1027"/>
      <c r="AE1164" s="1027"/>
      <c r="AF1164" s="1027"/>
      <c r="AG1164" s="1029"/>
      <c r="BB1164" s="784"/>
      <c r="BC1164" s="785"/>
      <c r="BD1164" s="900"/>
    </row>
    <row r="1165" spans="1:56" s="65" customFormat="1" hidden="1" outlineLevel="1" x14ac:dyDescent="0.25">
      <c r="A1165" s="785"/>
      <c r="B1165" s="332"/>
      <c r="C1165" s="455"/>
      <c r="D1165" s="2806"/>
      <c r="E1165" s="2806"/>
      <c r="F1165" s="2834" t="str">
        <f t="shared" si="110"/>
        <v>Ductless ASHP Replace Electric Resistance ER1 MF</v>
      </c>
      <c r="G1165" s="2835"/>
      <c r="H1165" s="2836"/>
      <c r="I1165" s="1668"/>
      <c r="J1165" s="1047"/>
      <c r="K1165" s="1028"/>
      <c r="L1165" s="1012"/>
      <c r="M1165" s="2065"/>
      <c r="N1165" s="2048"/>
      <c r="O1165" s="332"/>
      <c r="P1165" s="332"/>
      <c r="Q1165" s="332"/>
      <c r="R1165" s="332"/>
      <c r="S1165" s="332"/>
      <c r="T1165" s="177"/>
      <c r="U1165" s="177"/>
      <c r="V1165" s="2806"/>
      <c r="W1165" s="1047"/>
      <c r="X1165" s="1046"/>
      <c r="Y1165" s="1046"/>
      <c r="Z1165" s="1027"/>
      <c r="AA1165" s="1027"/>
      <c r="AB1165" s="1027"/>
      <c r="AC1165" s="1027"/>
      <c r="AD1165" s="1027"/>
      <c r="AE1165" s="1027"/>
      <c r="AF1165" s="1027"/>
      <c r="AG1165" s="1029"/>
      <c r="BB1165" s="784"/>
      <c r="BC1165" s="785"/>
      <c r="BD1165" s="900"/>
    </row>
    <row r="1166" spans="1:56" s="65" customFormat="1" hidden="1" outlineLevel="1" x14ac:dyDescent="0.25">
      <c r="A1166" s="785"/>
      <c r="B1166" s="332"/>
      <c r="C1166" s="455"/>
      <c r="D1166" s="2806"/>
      <c r="E1166" s="2806"/>
      <c r="F1166" s="2834" t="str">
        <f t="shared" si="110"/>
        <v>Ductless ASHP Replace Electric Resistance ER2 MF</v>
      </c>
      <c r="G1166" s="2835"/>
      <c r="H1166" s="2836"/>
      <c r="I1166" s="1668"/>
      <c r="J1166" s="1047"/>
      <c r="K1166" s="1028"/>
      <c r="L1166" s="1012"/>
      <c r="M1166" s="2065"/>
      <c r="N1166" s="2048"/>
      <c r="O1166" s="332"/>
      <c r="P1166" s="332"/>
      <c r="Q1166" s="332"/>
      <c r="R1166" s="332"/>
      <c r="S1166" s="332"/>
      <c r="T1166" s="177"/>
      <c r="U1166" s="177"/>
      <c r="V1166" s="2806"/>
      <c r="W1166" s="1047"/>
      <c r="X1166" s="1046"/>
      <c r="Y1166" s="1046"/>
      <c r="Z1166" s="1027"/>
      <c r="AA1166" s="1027"/>
      <c r="AB1166" s="1027"/>
      <c r="AC1166" s="1027"/>
      <c r="AD1166" s="1027"/>
      <c r="AE1166" s="1027"/>
      <c r="AF1166" s="1027"/>
      <c r="AG1166" s="1029"/>
      <c r="BB1166" s="784"/>
      <c r="BC1166" s="785"/>
      <c r="BD1166" s="900"/>
    </row>
    <row r="1167" spans="1:56" s="65" customFormat="1" hidden="1" outlineLevel="1" x14ac:dyDescent="0.25">
      <c r="A1167" s="785"/>
      <c r="B1167" s="332"/>
      <c r="C1167" s="455"/>
      <c r="D1167" s="2806"/>
      <c r="E1167" s="2806"/>
      <c r="F1167" s="2837" t="str">
        <f t="shared" si="110"/>
        <v>Ductless ASHP Replace Electric Resistance ER2 MF</v>
      </c>
      <c r="G1167" s="2838"/>
      <c r="H1167" s="2839"/>
      <c r="I1167" s="1668"/>
      <c r="J1167" s="1047"/>
      <c r="K1167" s="1028"/>
      <c r="L1167" s="1012"/>
      <c r="M1167" s="2065"/>
      <c r="N1167" s="2048"/>
      <c r="O1167" s="332"/>
      <c r="P1167" s="332"/>
      <c r="Q1167" s="332"/>
      <c r="R1167" s="332"/>
      <c r="S1167" s="332"/>
      <c r="T1167" s="177"/>
      <c r="U1167" s="177"/>
      <c r="V1167" s="2806"/>
      <c r="W1167" s="1047"/>
      <c r="X1167" s="1046"/>
      <c r="Y1167" s="1046"/>
      <c r="Z1167" s="1027"/>
      <c r="AA1167" s="1027"/>
      <c r="AB1167" s="1027"/>
      <c r="AC1167" s="1027"/>
      <c r="AD1167" s="1027"/>
      <c r="AE1167" s="1027"/>
      <c r="AF1167" s="1027"/>
      <c r="AG1167" s="1029"/>
      <c r="BB1167" s="784"/>
      <c r="BC1167" s="785"/>
      <c r="BD1167" s="900"/>
    </row>
    <row r="1168" spans="1:56" s="65" customFormat="1" hidden="1" outlineLevel="1" x14ac:dyDescent="0.25">
      <c r="A1168" s="785"/>
      <c r="B1168" s="332"/>
      <c r="C1168" s="455"/>
      <c r="D1168" s="2806"/>
      <c r="E1168" s="2806"/>
      <c r="F1168" s="2840" t="str">
        <f t="shared" si="110"/>
        <v>Ductless ASHP Replace Electric Resistance ROF MF</v>
      </c>
      <c r="G1168" s="2841"/>
      <c r="H1168" s="2842"/>
      <c r="I1168" s="1668"/>
      <c r="J1168" s="1047">
        <f>(705*(J$955/12000))/1.5*$J$1083</f>
        <v>752</v>
      </c>
      <c r="K1168" s="1028"/>
      <c r="L1168" s="1012"/>
      <c r="M1168" s="2065"/>
      <c r="N1168" s="2048"/>
      <c r="O1168" s="332"/>
      <c r="P1168" s="332"/>
      <c r="Q1168" s="332"/>
      <c r="R1168" s="332"/>
      <c r="S1168" s="332"/>
      <c r="T1168" s="177"/>
      <c r="U1168" s="177"/>
      <c r="V1168" s="2806"/>
      <c r="W1168" s="1047">
        <v>752</v>
      </c>
      <c r="X1168" s="1046">
        <f>(705*(X$955/12000))/1.5*$J$1083</f>
        <v>705</v>
      </c>
      <c r="Y1168" s="1046">
        <f>(705*(Y$955/12000))/1.5*$J$1083</f>
        <v>752</v>
      </c>
      <c r="Z1168" s="1027"/>
      <c r="AA1168" s="1027"/>
      <c r="AB1168" s="1027"/>
      <c r="AC1168" s="1027"/>
      <c r="AD1168" s="1027"/>
      <c r="AE1168" s="1027"/>
      <c r="AF1168" s="1027"/>
      <c r="AG1168" s="1029"/>
      <c r="BB1168" s="784"/>
      <c r="BC1168" s="785"/>
      <c r="BD1168" s="900"/>
    </row>
    <row r="1169" spans="1:57" s="65" customFormat="1" hidden="1" outlineLevel="1" x14ac:dyDescent="0.25">
      <c r="A1169" s="785"/>
      <c r="B1169" s="332"/>
      <c r="C1169" s="455"/>
      <c r="D1169" s="2806"/>
      <c r="E1169" s="2806"/>
      <c r="F1169" s="2837" t="str">
        <f t="shared" si="110"/>
        <v>Ductless ASHP Replace Electric Resistance ROF MF</v>
      </c>
      <c r="G1169" s="2838"/>
      <c r="H1169" s="2839"/>
      <c r="I1169" s="1668"/>
      <c r="J1169" s="1047"/>
      <c r="K1169" s="1028"/>
      <c r="L1169" s="1012"/>
      <c r="M1169" s="2065"/>
      <c r="N1169" s="2048"/>
      <c r="O1169" s="332"/>
      <c r="P1169" s="332"/>
      <c r="Q1169" s="332"/>
      <c r="R1169" s="332"/>
      <c r="S1169" s="332"/>
      <c r="T1169" s="177"/>
      <c r="U1169" s="177"/>
      <c r="V1169" s="2806"/>
      <c r="W1169" s="1047"/>
      <c r="X1169" s="1046"/>
      <c r="Y1169" s="1046"/>
      <c r="Z1169" s="1027"/>
      <c r="AA1169" s="1027"/>
      <c r="AB1169" s="1027"/>
      <c r="AC1169" s="1027"/>
      <c r="AD1169" s="1027"/>
      <c r="AE1169" s="1027"/>
      <c r="AF1169" s="1027"/>
      <c r="AG1169" s="1029"/>
      <c r="BB1169" s="784"/>
      <c r="BC1169" s="785"/>
      <c r="BD1169" s="900"/>
    </row>
    <row r="1170" spans="1:57" s="65" customFormat="1" hidden="1" outlineLevel="1" x14ac:dyDescent="0.25">
      <c r="A1170" s="785"/>
      <c r="B1170" s="332"/>
      <c r="C1170" s="455"/>
      <c r="D1170" s="2806"/>
      <c r="E1170" s="2806"/>
      <c r="F1170" s="2840" t="str">
        <f t="shared" si="110"/>
        <v>Ductless ASHP ER1 MF</v>
      </c>
      <c r="G1170" s="2841"/>
      <c r="H1170" s="2842"/>
      <c r="I1170" s="1668"/>
      <c r="J1170" s="1047">
        <f>(1440*(J$956/12000)/1.5)*$J$1085</f>
        <v>1440</v>
      </c>
      <c r="K1170" s="1028"/>
      <c r="L1170" s="1012"/>
      <c r="M1170" s="2065"/>
      <c r="N1170" s="2048"/>
      <c r="O1170" s="332"/>
      <c r="P1170" s="332"/>
      <c r="Q1170" s="332"/>
      <c r="R1170" s="332"/>
      <c r="S1170" s="332"/>
      <c r="T1170" s="177"/>
      <c r="U1170" s="177"/>
      <c r="V1170" s="2806"/>
      <c r="W1170" s="1047">
        <v>1632</v>
      </c>
      <c r="X1170" s="1046">
        <f>(1440*(X$956/12000)/1.5)*$J$1085</f>
        <v>1440</v>
      </c>
      <c r="Y1170" s="1046">
        <f>(1440*(Y$956/12000)/1.5)*$J$1085</f>
        <v>1440</v>
      </c>
      <c r="Z1170" s="1027"/>
      <c r="AA1170" s="1027"/>
      <c r="AB1170" s="1027"/>
      <c r="AC1170" s="1027"/>
      <c r="AD1170" s="1027"/>
      <c r="AE1170" s="1027"/>
      <c r="AF1170" s="1027"/>
      <c r="AG1170" s="1029"/>
      <c r="BB1170" s="784"/>
      <c r="BC1170" s="785"/>
      <c r="BD1170" s="900"/>
    </row>
    <row r="1171" spans="1:57" s="65" customFormat="1" hidden="1" outlineLevel="1" x14ac:dyDescent="0.25">
      <c r="A1171" s="785"/>
      <c r="B1171" s="332"/>
      <c r="C1171" s="455"/>
      <c r="D1171" s="2806"/>
      <c r="E1171" s="2806"/>
      <c r="F1171" s="2834" t="str">
        <f t="shared" si="110"/>
        <v>Ductless ASHP ER1 MF</v>
      </c>
      <c r="G1171" s="2835"/>
      <c r="H1171" s="2836"/>
      <c r="I1171" s="1668"/>
      <c r="J1171" s="1048"/>
      <c r="K1171" s="1028"/>
      <c r="L1171" s="1012"/>
      <c r="M1171" s="2065"/>
      <c r="N1171" s="2048"/>
      <c r="O1171" s="332"/>
      <c r="P1171" s="332"/>
      <c r="Q1171" s="332"/>
      <c r="R1171" s="332"/>
      <c r="S1171" s="332"/>
      <c r="T1171" s="177"/>
      <c r="U1171" s="177"/>
      <c r="V1171" s="2806"/>
      <c r="W1171" s="1048"/>
      <c r="X1171" s="1048"/>
      <c r="Y1171" s="1047"/>
      <c r="Z1171" s="1027"/>
      <c r="AA1171" s="1027"/>
      <c r="AB1171" s="1027"/>
      <c r="AC1171" s="1027"/>
      <c r="AD1171" s="1027"/>
      <c r="AE1171" s="1027"/>
      <c r="AF1171" s="1027"/>
      <c r="AG1171" s="1029"/>
      <c r="BB1171" s="784"/>
      <c r="BC1171" s="785"/>
      <c r="BD1171" s="900"/>
    </row>
    <row r="1172" spans="1:57" s="65" customFormat="1" hidden="1" outlineLevel="1" x14ac:dyDescent="0.25">
      <c r="A1172" s="785"/>
      <c r="B1172" s="332"/>
      <c r="C1172" s="455"/>
      <c r="D1172" s="2806"/>
      <c r="E1172" s="2806"/>
      <c r="F1172" s="2834" t="str">
        <f t="shared" si="110"/>
        <v>Ductless ASHP ER2 MF</v>
      </c>
      <c r="G1172" s="2835"/>
      <c r="H1172" s="2836"/>
      <c r="I1172" s="1668"/>
      <c r="J1172" s="1048"/>
      <c r="K1172" s="1028"/>
      <c r="L1172" s="1012"/>
      <c r="M1172" s="2065"/>
      <c r="N1172" s="2048"/>
      <c r="O1172" s="332"/>
      <c r="P1172" s="332"/>
      <c r="Q1172" s="332"/>
      <c r="R1172" s="332"/>
      <c r="S1172" s="332"/>
      <c r="T1172" s="177"/>
      <c r="U1172" s="177"/>
      <c r="V1172" s="2806"/>
      <c r="W1172" s="1048"/>
      <c r="X1172" s="1048"/>
      <c r="Y1172" s="1047"/>
      <c r="Z1172" s="1027"/>
      <c r="AA1172" s="1027"/>
      <c r="AB1172" s="1027"/>
      <c r="AC1172" s="1027"/>
      <c r="AD1172" s="1027"/>
      <c r="AE1172" s="1027"/>
      <c r="AF1172" s="1027"/>
      <c r="AG1172" s="1029"/>
      <c r="BB1172" s="784"/>
      <c r="BC1172" s="785"/>
      <c r="BD1172" s="900"/>
    </row>
    <row r="1173" spans="1:57" s="65" customFormat="1" ht="15.75" hidden="1" outlineLevel="1" thickBot="1" x14ac:dyDescent="0.3">
      <c r="A1173" s="785"/>
      <c r="B1173" s="332"/>
      <c r="C1173" s="455"/>
      <c r="D1173" s="2824"/>
      <c r="E1173" s="2824"/>
      <c r="F1173" s="2863" t="str">
        <f t="shared" si="110"/>
        <v>Ductless ASHP ER2 MF</v>
      </c>
      <c r="G1173" s="2864"/>
      <c r="H1173" s="2865"/>
      <c r="I1173" s="1039"/>
      <c r="J1173" s="1034"/>
      <c r="K1173" s="1033"/>
      <c r="L1173" s="1041"/>
      <c r="M1173" s="2065"/>
      <c r="N1173" s="2048"/>
      <c r="O1173" s="332"/>
      <c r="P1173" s="332"/>
      <c r="Q1173" s="332"/>
      <c r="R1173" s="332"/>
      <c r="S1173" s="332"/>
      <c r="T1173" s="177"/>
      <c r="U1173" s="177"/>
      <c r="V1173" s="2824"/>
      <c r="W1173" s="1034"/>
      <c r="X1173" s="1034"/>
      <c r="Y1173" s="1034"/>
      <c r="Z1173" s="1034"/>
      <c r="AA1173" s="1034"/>
      <c r="AB1173" s="1034"/>
      <c r="AC1173" s="1034"/>
      <c r="AD1173" s="1034"/>
      <c r="AE1173" s="1034"/>
      <c r="AF1173" s="1034"/>
      <c r="AG1173" s="1035"/>
      <c r="BB1173" s="784"/>
      <c r="BC1173" s="785"/>
      <c r="BD1173" s="900"/>
    </row>
    <row r="1174" spans="1:57" collapsed="1" x14ac:dyDescent="0.25">
      <c r="N1174" s="2048"/>
    </row>
    <row r="1176" spans="1:57" s="65" customFormat="1" x14ac:dyDescent="0.25">
      <c r="A1176" s="785"/>
      <c r="B1176" s="1636" t="s">
        <v>1364</v>
      </c>
      <c r="C1176" s="987"/>
      <c r="D1176" s="1637"/>
      <c r="E1176" s="1637"/>
      <c r="F1176" s="1637"/>
      <c r="G1176" s="1637"/>
      <c r="H1176" s="1637"/>
      <c r="I1176" s="1637"/>
      <c r="J1176" s="1637"/>
      <c r="K1176" s="1637"/>
      <c r="L1176" s="1637"/>
      <c r="M1176" s="1637"/>
      <c r="N1176" s="1637"/>
      <c r="O1176" s="1637"/>
      <c r="P1176" s="1637"/>
      <c r="Q1176" s="1671"/>
      <c r="R1176" s="177"/>
      <c r="S1176" s="177"/>
      <c r="T1176" s="177"/>
      <c r="U1176" s="177"/>
      <c r="V1176" s="2639" t="str">
        <f>B1176</f>
        <v>Dual Fuel Heat Pumps</v>
      </c>
      <c r="W1176" s="2640"/>
      <c r="X1176" s="2640"/>
      <c r="Y1176" s="2640"/>
      <c r="Z1176" s="2640"/>
      <c r="AA1176" s="2640"/>
      <c r="AB1176" s="2640"/>
      <c r="AC1176" s="2615"/>
      <c r="AD1176" s="2615"/>
      <c r="AE1176" s="2615"/>
      <c r="AF1176" s="2615"/>
      <c r="AG1176" s="2615"/>
      <c r="AH1176" s="2616"/>
      <c r="BB1176" s="784"/>
      <c r="BC1176" s="785"/>
      <c r="BD1176" s="900"/>
    </row>
    <row r="1177" spans="1:57" x14ac:dyDescent="0.25">
      <c r="H1177" s="455"/>
      <c r="I1177" s="455"/>
      <c r="J1177" s="455"/>
      <c r="K1177" s="455"/>
      <c r="L1177" s="455"/>
      <c r="M1177" s="455"/>
      <c r="Q1177" s="456"/>
    </row>
    <row r="1178" spans="1:57" x14ac:dyDescent="0.25">
      <c r="D1178" s="456" t="s">
        <v>1209</v>
      </c>
      <c r="I1178" s="455"/>
      <c r="J1178" s="455"/>
      <c r="K1178" s="455"/>
      <c r="L1178" s="455"/>
      <c r="M1178" s="455"/>
      <c r="Q1178" s="456"/>
    </row>
    <row r="1179" spans="1:57" s="65" customFormat="1" ht="30" x14ac:dyDescent="0.25">
      <c r="A1179" s="785"/>
      <c r="B1179" s="177"/>
      <c r="C1179" s="1641" t="s">
        <v>17</v>
      </c>
      <c r="D1179" s="1659" t="s">
        <v>662</v>
      </c>
      <c r="E1179" s="1641" t="s">
        <v>19</v>
      </c>
      <c r="F1179" s="1641" t="s">
        <v>20</v>
      </c>
      <c r="G1179" s="1641" t="s">
        <v>21</v>
      </c>
      <c r="H1179" s="1641" t="s">
        <v>22</v>
      </c>
      <c r="I1179" s="1641" t="s">
        <v>23</v>
      </c>
      <c r="J1179" s="1646" t="s">
        <v>24</v>
      </c>
      <c r="K1179" s="1641" t="s">
        <v>25</v>
      </c>
      <c r="L1179" s="1641" t="s">
        <v>1210</v>
      </c>
      <c r="M1179" s="177"/>
      <c r="N1179" s="177"/>
      <c r="O1179" s="177"/>
      <c r="P1179" s="177"/>
      <c r="Q1179" s="177"/>
      <c r="R1179" s="177"/>
      <c r="S1179" s="177"/>
      <c r="T1179" s="177"/>
      <c r="U1179" s="177"/>
      <c r="V1179" s="55" t="s">
        <v>27</v>
      </c>
      <c r="W1179" s="56">
        <v>43252</v>
      </c>
      <c r="X1179" s="56">
        <f>$X$6</f>
        <v>43465</v>
      </c>
      <c r="Y1179" s="56">
        <f>$Y$6</f>
        <v>43800</v>
      </c>
      <c r="Z1179" s="56">
        <f>$Z$6</f>
        <v>43862</v>
      </c>
      <c r="AA1179" s="56" t="str">
        <f>$AA$6</f>
        <v>-</v>
      </c>
      <c r="AB1179" s="56" t="str">
        <f>$AB$6</f>
        <v>-</v>
      </c>
      <c r="AC1179" s="56" t="str">
        <f>$AC$6</f>
        <v>-</v>
      </c>
      <c r="AD1179" s="56" t="str">
        <f>$AD$6</f>
        <v>-</v>
      </c>
      <c r="AE1179" s="56" t="str">
        <f>$AE$6</f>
        <v>-</v>
      </c>
      <c r="AF1179" s="56" t="str">
        <f>$AF$6</f>
        <v>-</v>
      </c>
      <c r="AG1179" s="56" t="str">
        <f>$AG$6</f>
        <v>-</v>
      </c>
      <c r="BB1179" s="103" t="str">
        <f>$BB$6</f>
        <v>TRC (2020)</v>
      </c>
      <c r="BC1179" s="103" t="str">
        <f>$BC$6</f>
        <v>Benefit Lookup</v>
      </c>
      <c r="BD1179" s="883" t="str">
        <f>$BD$6</f>
        <v>Benefits (2019 $)</v>
      </c>
      <c r="BE1179" s="334" t="str">
        <f>$BE$6</f>
        <v>Incremental Cost (2019 $)</v>
      </c>
    </row>
    <row r="1180" spans="1:57" s="65" customFormat="1" x14ac:dyDescent="0.25">
      <c r="A1180" s="785"/>
      <c r="B1180" s="177"/>
      <c r="C1180" s="1572" t="s">
        <v>1365</v>
      </c>
      <c r="D1180" s="1927" t="s">
        <v>797</v>
      </c>
      <c r="E1180" s="884" t="s">
        <v>1366</v>
      </c>
      <c r="F1180" s="999">
        <f>ROUND(((J1237*J1243*(1/J1249-1/J1255))/1000)*J1261,2)</f>
        <v>433.19</v>
      </c>
      <c r="G1180" s="318" t="s">
        <v>1367</v>
      </c>
      <c r="H1180" s="239">
        <f>VLOOKUP(G1180,'CP FACTORS'!$A$3:$B$38, 2, FALSE)</f>
        <v>9.4741810000000004E-4</v>
      </c>
      <c r="I1180" s="2046">
        <f t="shared" ref="I1180:I1191" si="111">ROUND(F1180*H1180,6)</f>
        <v>0.410412</v>
      </c>
      <c r="J1180" s="156">
        <f>J1267</f>
        <v>18</v>
      </c>
      <c r="K1180" s="700">
        <f>J1273</f>
        <v>2936.6</v>
      </c>
      <c r="L1180" s="2071">
        <f>K1237</f>
        <v>3.4</v>
      </c>
      <c r="M1180" s="1050"/>
      <c r="N1180" s="177"/>
      <c r="O1180" s="177"/>
      <c r="P1180" s="177"/>
      <c r="Q1180" s="177"/>
      <c r="R1180" s="1894"/>
      <c r="S1180" s="177"/>
      <c r="T1180" s="177"/>
      <c r="U1180" s="177"/>
      <c r="V1180" s="245" t="s">
        <v>20</v>
      </c>
      <c r="W1180" s="1051">
        <v>433.19323308270674</v>
      </c>
      <c r="X1180" s="1051">
        <v>433.19323308270674</v>
      </c>
      <c r="Y1180" s="1049">
        <v>433.19</v>
      </c>
      <c r="Z1180" s="999"/>
      <c r="AA1180" s="64"/>
      <c r="AB1180" s="64"/>
      <c r="AC1180" s="64"/>
      <c r="AD1180" s="64"/>
      <c r="AE1180" s="64"/>
      <c r="AF1180" s="64"/>
      <c r="AG1180" s="64"/>
      <c r="BB1180" s="345">
        <f>(BD1180+BD1181)/(BE1180+BE1181)</f>
        <v>0.38425379181416769</v>
      </c>
      <c r="BC1180" s="884" t="str">
        <f t="shared" ref="BC1180:BC1191" si="112">CONCATENATE(G1180," ",J1180," Year EUL")</f>
        <v>Cooling Res 18 Year EUL</v>
      </c>
      <c r="BD1180" s="891">
        <f>(INDEX('Avoided Cost Benefits'!$C$4:$C$857,MATCH(BC1180,'Avoided Cost Benefits'!$A$4:$A$857,0)))*F1180</f>
        <v>764.06384728832995</v>
      </c>
      <c r="BE1180" s="70">
        <f t="shared" ref="BE1180:BE1191" si="113">K1180/(1.0595^(2020-2019))</f>
        <v>2771.6847569608303</v>
      </c>
    </row>
    <row r="1181" spans="1:57" s="65" customFormat="1" x14ac:dyDescent="0.25">
      <c r="A1181" s="785"/>
      <c r="B1181" s="177"/>
      <c r="C1181" s="1572" t="s">
        <v>1365</v>
      </c>
      <c r="D1181" s="2045" t="s">
        <v>797</v>
      </c>
      <c r="E1181" s="892" t="s">
        <v>1368</v>
      </c>
      <c r="F1181" s="999">
        <f>ROUND(((J1213*J1219*(1/J1225-1/J1231))/1000)*J1261,2)</f>
        <v>651.41999999999996</v>
      </c>
      <c r="G1181" s="318" t="s">
        <v>1369</v>
      </c>
      <c r="H1181" s="239">
        <f>VLOOKUP(G1181,'CP FACTORS'!$A$3:$B$38, 2, FALSE)</f>
        <v>0</v>
      </c>
      <c r="I1181" s="2046">
        <f t="shared" si="111"/>
        <v>0</v>
      </c>
      <c r="J1181" s="156">
        <f>J1180</f>
        <v>18</v>
      </c>
      <c r="K1181" s="700"/>
      <c r="L1181" s="2071"/>
      <c r="M1181" s="1050"/>
      <c r="N1181" s="177"/>
      <c r="O1181" s="177"/>
      <c r="P1181" s="177"/>
      <c r="Q1181" s="177"/>
      <c r="R1181" s="1894"/>
      <c r="S1181" s="177"/>
      <c r="T1181" s="177"/>
      <c r="U1181" s="177"/>
      <c r="V1181" s="245" t="s">
        <v>20</v>
      </c>
      <c r="W1181" s="1051">
        <v>651.42175609756123</v>
      </c>
      <c r="X1181" s="1051">
        <v>651.42175609756123</v>
      </c>
      <c r="Y1181" s="1049">
        <v>651.41999999999996</v>
      </c>
      <c r="Z1181" s="999"/>
      <c r="AA1181" s="64"/>
      <c r="AB1181" s="64"/>
      <c r="AC1181" s="64"/>
      <c r="AD1181" s="64"/>
      <c r="AE1181" s="64"/>
      <c r="AF1181" s="64"/>
      <c r="AG1181" s="64"/>
      <c r="BB1181" s="348"/>
      <c r="BC1181" s="892" t="str">
        <f t="shared" si="112"/>
        <v>Heating Res 18 Year EUL</v>
      </c>
      <c r="BD1181" s="894">
        <f>(INDEX('Avoided Cost Benefits'!$C$4:$C$857,MATCH(BC1181,'Avoided Cost Benefits'!$A$4:$A$857,0)))*F1181</f>
        <v>300.96653028739888</v>
      </c>
      <c r="BE1181" s="74">
        <f t="shared" si="113"/>
        <v>0</v>
      </c>
    </row>
    <row r="1182" spans="1:57" s="65" customFormat="1" x14ac:dyDescent="0.25">
      <c r="A1182" s="785"/>
      <c r="B1182" s="177"/>
      <c r="C1182" s="1572" t="s">
        <v>1370</v>
      </c>
      <c r="D1182" s="2016" t="s">
        <v>792</v>
      </c>
      <c r="E1182" s="884" t="str">
        <f>CONCATENATE(E1180,"_CompE")</f>
        <v>DFHP - SEER 19 MF heat pump base _CompE</v>
      </c>
      <c r="F1182" s="999">
        <f>ROUND((($J$1238*$J$1244*(1/$J$1250-1/$J$1256))/1000)*$J$1262,2)</f>
        <v>315.05</v>
      </c>
      <c r="G1182" s="318" t="s">
        <v>1367</v>
      </c>
      <c r="H1182" s="239">
        <f>VLOOKUP(G1182,'CP FACTORS'!$A$3:$B$38, 2, FALSE)</f>
        <v>9.4741810000000004E-4</v>
      </c>
      <c r="I1182" s="2046">
        <f t="shared" si="111"/>
        <v>0.29848400000000003</v>
      </c>
      <c r="J1182" s="156">
        <f>J1268</f>
        <v>18</v>
      </c>
      <c r="K1182" s="700">
        <f>J1274</f>
        <v>2936.6</v>
      </c>
      <c r="L1182" s="2071">
        <f>K1238</f>
        <v>3.4</v>
      </c>
      <c r="M1182" s="1050"/>
      <c r="N1182" s="177"/>
      <c r="O1182" s="177"/>
      <c r="P1182" s="177"/>
      <c r="Q1182" s="177"/>
      <c r="R1182" s="1894"/>
      <c r="S1182" s="177"/>
      <c r="T1182" s="177"/>
      <c r="U1182" s="177"/>
      <c r="V1182" s="245" t="s">
        <v>20</v>
      </c>
      <c r="W1182" s="1051"/>
      <c r="X1182" s="1051"/>
      <c r="Y1182" s="1005">
        <v>315.05</v>
      </c>
      <c r="Z1182" s="999"/>
      <c r="AA1182" s="64"/>
      <c r="AB1182" s="64"/>
      <c r="AC1182" s="64"/>
      <c r="AD1182" s="64"/>
      <c r="AE1182" s="64"/>
      <c r="AF1182" s="64"/>
      <c r="AG1182" s="64"/>
      <c r="BB1182" s="350">
        <f>(BD1182+BD1183)/(BE1182+BE1183)</f>
        <v>0.2499763249434484</v>
      </c>
      <c r="BC1182" s="884" t="str">
        <f t="shared" si="112"/>
        <v>Cooling Res 18 Year EUL</v>
      </c>
      <c r="BD1182" s="894">
        <f>(INDEX('Avoided Cost Benefits'!$C$4:$C$857,MATCH(BC1182,'Avoided Cost Benefits'!$A$4:$A$857,0)))*F1182</f>
        <v>555.68760841244796</v>
      </c>
      <c r="BE1182" s="74">
        <f t="shared" si="113"/>
        <v>2771.6847569608303</v>
      </c>
    </row>
    <row r="1183" spans="1:57" s="65" customFormat="1" x14ac:dyDescent="0.25">
      <c r="A1183" s="785"/>
      <c r="B1183" s="177"/>
      <c r="C1183" s="1572" t="s">
        <v>1370</v>
      </c>
      <c r="D1183" s="2016" t="s">
        <v>792</v>
      </c>
      <c r="E1183" s="892" t="str">
        <f>CONCATENATE(E1181,"_CompE")</f>
        <v>DFHP - SEER 19 MF heat pump base_CompE</v>
      </c>
      <c r="F1183" s="999">
        <f>ROUND((($J$1214*$J$1220*(1/$J$1226-1/$J$1232))/1000)*$J$1262,2)</f>
        <v>296.89</v>
      </c>
      <c r="G1183" s="318" t="s">
        <v>1369</v>
      </c>
      <c r="H1183" s="239">
        <f>VLOOKUP(G1183,'CP FACTORS'!$A$3:$B$38, 2, FALSE)</f>
        <v>0</v>
      </c>
      <c r="I1183" s="2046">
        <f t="shared" si="111"/>
        <v>0</v>
      </c>
      <c r="J1183" s="156">
        <f>J1182</f>
        <v>18</v>
      </c>
      <c r="K1183" s="700"/>
      <c r="L1183" s="2071"/>
      <c r="M1183" s="1050"/>
      <c r="N1183" s="177"/>
      <c r="O1183" s="177"/>
      <c r="P1183" s="177"/>
      <c r="Q1183" s="177"/>
      <c r="R1183" s="1894"/>
      <c r="S1183" s="177"/>
      <c r="T1183" s="177"/>
      <c r="U1183" s="177"/>
      <c r="V1183" s="245" t="s">
        <v>20</v>
      </c>
      <c r="W1183" s="1051"/>
      <c r="X1183" s="1051"/>
      <c r="Y1183" s="1005">
        <v>296.89</v>
      </c>
      <c r="Z1183" s="999"/>
      <c r="AA1183" s="64"/>
      <c r="AB1183" s="64"/>
      <c r="AC1183" s="64"/>
      <c r="AD1183" s="64"/>
      <c r="AE1183" s="64"/>
      <c r="AF1183" s="64"/>
      <c r="AG1183" s="64"/>
      <c r="BB1183" s="348"/>
      <c r="BC1183" s="892" t="str">
        <f t="shared" si="112"/>
        <v>Heating Res 18 Year EUL</v>
      </c>
      <c r="BD1183" s="894">
        <f>(INDEX('Avoided Cost Benefits'!$C$4:$C$857,MATCH(BC1183,'Avoided Cost Benefits'!$A$4:$A$857,0)))*F1183</f>
        <v>137.1679610343954</v>
      </c>
      <c r="BE1183" s="74">
        <f t="shared" si="113"/>
        <v>0</v>
      </c>
    </row>
    <row r="1184" spans="1:57" s="65" customFormat="1" x14ac:dyDescent="0.25">
      <c r="A1184" s="785"/>
      <c r="B1184" s="177"/>
      <c r="C1184" s="1572" t="s">
        <v>1371</v>
      </c>
      <c r="D1184" s="2045" t="s">
        <v>797</v>
      </c>
      <c r="E1184" s="884" t="s">
        <v>1372</v>
      </c>
      <c r="F1184" s="999">
        <f>ROUND(((J1239*J1245*(1/J1251-1/J1257))/1000)*J1263,2)</f>
        <v>639.09</v>
      </c>
      <c r="G1184" s="318" t="s">
        <v>1367</v>
      </c>
      <c r="H1184" s="239">
        <f>VLOOKUP(G1184,'CP FACTORS'!$A$3:$B$38, 2, FALSE)</f>
        <v>9.4741810000000004E-4</v>
      </c>
      <c r="I1184" s="2046">
        <f t="shared" si="111"/>
        <v>0.60548500000000005</v>
      </c>
      <c r="J1184" s="156">
        <f>J1269</f>
        <v>18</v>
      </c>
      <c r="K1184" s="700">
        <f>J1275</f>
        <v>3176.6</v>
      </c>
      <c r="L1184" s="2071">
        <f>K1239</f>
        <v>4.4000000000000004</v>
      </c>
      <c r="M1184" s="1050"/>
      <c r="N1184" s="177"/>
      <c r="O1184" s="177"/>
      <c r="P1184" s="177"/>
      <c r="Q1184" s="177"/>
      <c r="R1184" s="1894"/>
      <c r="S1184" s="177"/>
      <c r="T1184" s="177"/>
      <c r="U1184" s="177"/>
      <c r="V1184" s="245" t="s">
        <v>20</v>
      </c>
      <c r="W1184" s="1051">
        <v>639.08742857142852</v>
      </c>
      <c r="X1184" s="1051">
        <v>639.08742857142852</v>
      </c>
      <c r="Y1184" s="1049">
        <v>639.09</v>
      </c>
      <c r="Z1184" s="999"/>
      <c r="AA1184" s="64"/>
      <c r="AB1184" s="64"/>
      <c r="AC1184" s="64"/>
      <c r="AD1184" s="64"/>
      <c r="AE1184" s="64"/>
      <c r="AF1184" s="64"/>
      <c r="AG1184" s="64"/>
      <c r="BB1184" s="350">
        <f>(BD1184+BD1185)/(BE1184+BE1185)</f>
        <v>0.52863614821545901</v>
      </c>
      <c r="BC1184" s="884" t="str">
        <f t="shared" si="112"/>
        <v>Cooling Res 18 Year EUL</v>
      </c>
      <c r="BD1184" s="894">
        <f>(INDEX('Avoided Cost Benefits'!$C$4:$C$857,MATCH(BC1184,'Avoided Cost Benefits'!$A$4:$A$857,0)))*F1184</f>
        <v>1127.2318478346656</v>
      </c>
      <c r="BE1184" s="74">
        <f t="shared" si="113"/>
        <v>2998.2067012741854</v>
      </c>
    </row>
    <row r="1185" spans="1:57" s="65" customFormat="1" x14ac:dyDescent="0.25">
      <c r="A1185" s="785"/>
      <c r="B1185" s="177"/>
      <c r="C1185" s="1572" t="s">
        <v>1371</v>
      </c>
      <c r="D1185" s="2045" t="s">
        <v>797</v>
      </c>
      <c r="E1185" s="892" t="s">
        <v>1372</v>
      </c>
      <c r="F1185" s="999">
        <f>ROUND(((J1215*J1221*(1/J1227-1/J1233))/1000)*J1263,2)</f>
        <v>990.72</v>
      </c>
      <c r="G1185" s="318" t="s">
        <v>1369</v>
      </c>
      <c r="H1185" s="239">
        <f>VLOOKUP(G1185,'CP FACTORS'!$A$3:$B$38, 2, FALSE)</f>
        <v>0</v>
      </c>
      <c r="I1185" s="2046">
        <f t="shared" si="111"/>
        <v>0</v>
      </c>
      <c r="J1185" s="156">
        <f>J1184</f>
        <v>18</v>
      </c>
      <c r="K1185" s="700"/>
      <c r="L1185" s="2071"/>
      <c r="M1185" s="1050"/>
      <c r="N1185" s="177"/>
      <c r="O1185" s="177"/>
      <c r="P1185" s="177"/>
      <c r="Q1185" s="177"/>
      <c r="R1185" s="1894"/>
      <c r="S1185" s="177"/>
      <c r="T1185" s="177"/>
      <c r="U1185" s="177"/>
      <c r="V1185" s="245" t="s">
        <v>20</v>
      </c>
      <c r="W1185" s="1051">
        <v>990.72439024390337</v>
      </c>
      <c r="X1185" s="1051">
        <v>990.72439024390337</v>
      </c>
      <c r="Y1185" s="1049">
        <v>990.72</v>
      </c>
      <c r="Z1185" s="999"/>
      <c r="AA1185" s="64"/>
      <c r="AB1185" s="64"/>
      <c r="AC1185" s="64"/>
      <c r="AD1185" s="64"/>
      <c r="AE1185" s="64"/>
      <c r="AF1185" s="64"/>
      <c r="AG1185" s="64"/>
      <c r="BB1185" s="348"/>
      <c r="BC1185" s="892" t="str">
        <f t="shared" si="112"/>
        <v>Heating Res 18 Year EUL</v>
      </c>
      <c r="BD1185" s="894">
        <f>(INDEX('Avoided Cost Benefits'!$C$4:$C$857,MATCH(BC1185,'Avoided Cost Benefits'!$A$4:$A$857,0)))*F1185</f>
        <v>457.72859428069728</v>
      </c>
      <c r="BE1185" s="74">
        <f t="shared" si="113"/>
        <v>0</v>
      </c>
    </row>
    <row r="1186" spans="1:57" s="65" customFormat="1" x14ac:dyDescent="0.25">
      <c r="A1186" s="785"/>
      <c r="B1186" s="177"/>
      <c r="C1186" s="1572" t="s">
        <v>1373</v>
      </c>
      <c r="D1186" s="2016" t="s">
        <v>792</v>
      </c>
      <c r="E1186" s="884" t="str">
        <f>CONCATENATE(E1184,"_CompE")</f>
        <v>DFHP - SEER 20 MF heat pump base_CompE</v>
      </c>
      <c r="F1186" s="999">
        <f>ROUND((($J$1240*$J$1246*(1/$J$1252-1/$J$1258))/1000)*$J$1264,2)</f>
        <v>464.79</v>
      </c>
      <c r="G1186" s="318" t="s">
        <v>1367</v>
      </c>
      <c r="H1186" s="239">
        <f>VLOOKUP(G1186,'CP FACTORS'!$A$3:$B$38, 2, FALSE)</f>
        <v>9.4741810000000004E-4</v>
      </c>
      <c r="I1186" s="2046">
        <f t="shared" si="111"/>
        <v>0.44035000000000002</v>
      </c>
      <c r="J1186" s="156">
        <f>J1270</f>
        <v>18</v>
      </c>
      <c r="K1186" s="700">
        <f>J1276</f>
        <v>3176.6</v>
      </c>
      <c r="L1186" s="2071">
        <f>K1240</f>
        <v>4.4000000000000004</v>
      </c>
      <c r="M1186" s="1050"/>
      <c r="N1186" s="177"/>
      <c r="O1186" s="177"/>
      <c r="P1186" s="177"/>
      <c r="Q1186" s="177"/>
      <c r="R1186" s="1894"/>
      <c r="S1186" s="177"/>
      <c r="T1186" s="177"/>
      <c r="U1186" s="177"/>
      <c r="V1186" s="245" t="s">
        <v>20</v>
      </c>
      <c r="W1186" s="1051"/>
      <c r="X1186" s="1051"/>
      <c r="Y1186" s="1005">
        <v>464.79</v>
      </c>
      <c r="Z1186" s="999"/>
      <c r="AA1186" s="64"/>
      <c r="AB1186" s="64"/>
      <c r="AC1186" s="64"/>
      <c r="AD1186" s="64"/>
      <c r="AE1186" s="64"/>
      <c r="AF1186" s="64"/>
      <c r="AG1186" s="64"/>
      <c r="BB1186" s="350">
        <f>(BD1186+BD1187)/(BE1186+BE1187)</f>
        <v>0.34301134771560521</v>
      </c>
      <c r="BC1186" s="884" t="str">
        <f t="shared" si="112"/>
        <v>Cooling Res 18 Year EUL</v>
      </c>
      <c r="BD1186" s="894">
        <f>(INDEX('Avoided Cost Benefits'!$C$4:$C$857,MATCH(BC1186,'Avoided Cost Benefits'!$A$4:$A$857,0)))*F1186</f>
        <v>819.8001698588215</v>
      </c>
      <c r="BE1186" s="74">
        <f t="shared" si="113"/>
        <v>2998.2067012741854</v>
      </c>
    </row>
    <row r="1187" spans="1:57" s="65" customFormat="1" x14ac:dyDescent="0.25">
      <c r="A1187" s="785"/>
      <c r="B1187" s="177"/>
      <c r="C1187" s="1572" t="s">
        <v>1373</v>
      </c>
      <c r="D1187" s="2016" t="s">
        <v>792</v>
      </c>
      <c r="E1187" s="892" t="str">
        <f>CONCATENATE(E1185,"_CompE")</f>
        <v>DFHP - SEER 20 MF heat pump base_CompE</v>
      </c>
      <c r="F1187" s="999">
        <f>ROUND((($J$1216*$J$1222*(1/$J$1228-1/$J$1234))/1000)*$J$1264,2)</f>
        <v>451.54</v>
      </c>
      <c r="G1187" s="318" t="s">
        <v>1369</v>
      </c>
      <c r="H1187" s="239">
        <f>VLOOKUP(G1187,'CP FACTORS'!$A$3:$B$38, 2, FALSE)</f>
        <v>0</v>
      </c>
      <c r="I1187" s="2046">
        <f t="shared" si="111"/>
        <v>0</v>
      </c>
      <c r="J1187" s="156">
        <f>J1186</f>
        <v>18</v>
      </c>
      <c r="K1187" s="700"/>
      <c r="L1187" s="2071"/>
      <c r="M1187" s="1050"/>
      <c r="N1187" s="177"/>
      <c r="O1187" s="177"/>
      <c r="P1187" s="177"/>
      <c r="Q1187" s="177"/>
      <c r="R1187" s="1894"/>
      <c r="S1187" s="177"/>
      <c r="T1187" s="177"/>
      <c r="U1187" s="177"/>
      <c r="V1187" s="245" t="s">
        <v>20</v>
      </c>
      <c r="W1187" s="1051"/>
      <c r="X1187" s="1051"/>
      <c r="Y1187" s="1005">
        <v>451.54</v>
      </c>
      <c r="Z1187" s="999"/>
      <c r="AA1187" s="64"/>
      <c r="AB1187" s="64"/>
      <c r="AC1187" s="64"/>
      <c r="AD1187" s="64"/>
      <c r="AE1187" s="64"/>
      <c r="AF1187" s="64"/>
      <c r="AG1187" s="64"/>
      <c r="BB1187" s="348"/>
      <c r="BC1187" s="892" t="str">
        <f t="shared" si="112"/>
        <v>Heating Res 18 Year EUL</v>
      </c>
      <c r="BD1187" s="894">
        <f>(INDEX('Avoided Cost Benefits'!$C$4:$C$857,MATCH(BC1187,'Avoided Cost Benefits'!$A$4:$A$857,0)))*F1187</f>
        <v>208.61875147519586</v>
      </c>
      <c r="BE1187" s="74">
        <f t="shared" si="113"/>
        <v>0</v>
      </c>
    </row>
    <row r="1188" spans="1:57" s="65" customFormat="1" x14ac:dyDescent="0.25">
      <c r="A1188" s="785"/>
      <c r="B1188" s="177"/>
      <c r="C1188" s="1572" t="s">
        <v>1374</v>
      </c>
      <c r="D1188" s="2045" t="s">
        <v>797</v>
      </c>
      <c r="E1188" s="884" t="s">
        <v>1375</v>
      </c>
      <c r="F1188" s="999">
        <f>ROUND(((J1241*J1247*(1/J1253-1/J1259))/1000)*J1265,2)</f>
        <v>871.48</v>
      </c>
      <c r="G1188" s="318" t="s">
        <v>1367</v>
      </c>
      <c r="H1188" s="239">
        <f>VLOOKUP(G1188,'CP FACTORS'!$A$3:$B$38, 2, FALSE)</f>
        <v>9.4741810000000004E-4</v>
      </c>
      <c r="I1188" s="2046">
        <f t="shared" si="111"/>
        <v>0.82565599999999995</v>
      </c>
      <c r="J1188" s="156">
        <f>J1271</f>
        <v>18</v>
      </c>
      <c r="K1188" s="700">
        <f>J1277</f>
        <v>3626.6</v>
      </c>
      <c r="L1188" s="2071">
        <f>K1241</f>
        <v>5.4</v>
      </c>
      <c r="M1188" s="1050"/>
      <c r="N1188" s="177"/>
      <c r="O1188" s="177"/>
      <c r="P1188" s="177"/>
      <c r="Q1188" s="177"/>
      <c r="R1188" s="1894"/>
      <c r="S1188" s="177"/>
      <c r="T1188" s="177"/>
      <c r="U1188" s="177"/>
      <c r="V1188" s="245" t="s">
        <v>20</v>
      </c>
      <c r="W1188" s="1051">
        <v>871.48285714285726</v>
      </c>
      <c r="X1188" s="1051">
        <v>871.48285714285726</v>
      </c>
      <c r="Y1188" s="1049">
        <v>871.48</v>
      </c>
      <c r="Z1188" s="999"/>
      <c r="AA1188" s="64"/>
      <c r="AB1188" s="64"/>
      <c r="AC1188" s="64"/>
      <c r="AD1188" s="64"/>
      <c r="AE1188" s="64"/>
      <c r="AF1188" s="64"/>
      <c r="AG1188" s="64"/>
      <c r="BB1188" s="350">
        <f>(BD1188+BD1189)/(BE1188+BE1189)</f>
        <v>0.63583826644202834</v>
      </c>
      <c r="BC1188" s="884" t="str">
        <f t="shared" si="112"/>
        <v>Cooling Res 18 Year EUL</v>
      </c>
      <c r="BD1188" s="894">
        <f>(INDEX('Avoided Cost Benefits'!$C$4:$C$857,MATCH(BC1188,'Avoided Cost Benefits'!$A$4:$A$857,0)))*F1188</f>
        <v>1537.1231137256948</v>
      </c>
      <c r="BE1188" s="74">
        <f t="shared" si="113"/>
        <v>3422.9353468617269</v>
      </c>
    </row>
    <row r="1189" spans="1:57" s="65" customFormat="1" x14ac:dyDescent="0.25">
      <c r="A1189" s="785"/>
      <c r="B1189" s="177"/>
      <c r="C1189" s="1572" t="s">
        <v>1374</v>
      </c>
      <c r="D1189" s="2045" t="s">
        <v>797</v>
      </c>
      <c r="E1189" s="892" t="s">
        <v>1375</v>
      </c>
      <c r="F1189" s="999">
        <f>ROUND(((J1217*J1223*(1/J1229-1/J1235))/1000)*J1265,2)</f>
        <v>1383.74</v>
      </c>
      <c r="G1189" s="318" t="s">
        <v>1369</v>
      </c>
      <c r="H1189" s="239">
        <f>VLOOKUP(G1189,'CP FACTORS'!$A$3:$B$38, 2, FALSE)</f>
        <v>0</v>
      </c>
      <c r="I1189" s="2046">
        <f t="shared" si="111"/>
        <v>0</v>
      </c>
      <c r="J1189" s="156">
        <f>J1188</f>
        <v>18</v>
      </c>
      <c r="K1189" s="700"/>
      <c r="L1189" s="2071"/>
      <c r="M1189" s="1050"/>
      <c r="N1189" s="177"/>
      <c r="O1189" s="177"/>
      <c r="P1189" s="177"/>
      <c r="Q1189" s="177"/>
      <c r="R1189" s="1894"/>
      <c r="S1189" s="177"/>
      <c r="T1189" s="177"/>
      <c r="U1189" s="177"/>
      <c r="V1189" s="245" t="s">
        <v>20</v>
      </c>
      <c r="W1189" s="1051">
        <v>1383.739024390245</v>
      </c>
      <c r="X1189" s="1051">
        <v>1383.739024390245</v>
      </c>
      <c r="Y1189" s="1049">
        <v>1383.74</v>
      </c>
      <c r="Z1189" s="999"/>
      <c r="AA1189" s="64"/>
      <c r="AB1189" s="64"/>
      <c r="AC1189" s="64"/>
      <c r="AD1189" s="64"/>
      <c r="AE1189" s="64"/>
      <c r="AF1189" s="64"/>
      <c r="AG1189" s="64"/>
      <c r="BB1189" s="348"/>
      <c r="BC1189" s="892" t="str">
        <f t="shared" si="112"/>
        <v>Heating Res 18 Year EUL</v>
      </c>
      <c r="BD1189" s="894">
        <f>(INDEX('Avoided Cost Benefits'!$C$4:$C$857,MATCH(BC1189,'Avoided Cost Benefits'!$A$4:$A$857,0)))*F1189</f>
        <v>639.31016336600862</v>
      </c>
      <c r="BE1189" s="74">
        <f t="shared" si="113"/>
        <v>0</v>
      </c>
    </row>
    <row r="1190" spans="1:57" s="65" customFormat="1" x14ac:dyDescent="0.25">
      <c r="A1190" s="785"/>
      <c r="B1190" s="177"/>
      <c r="C1190" s="1572" t="s">
        <v>1376</v>
      </c>
      <c r="D1190" s="2016" t="s">
        <v>792</v>
      </c>
      <c r="E1190" s="884" t="str">
        <f>CONCATENATE(E1188,"_CompE")</f>
        <v>DFHP - SEER 21 MF heat pump base_CompE</v>
      </c>
      <c r="F1190" s="999">
        <f>ROUND((($J$1242*$J$1248*(1/$J$1254-1/$J$1260))/1000)*$J$1266,2)</f>
        <v>633.80999999999995</v>
      </c>
      <c r="G1190" s="318" t="s">
        <v>1367</v>
      </c>
      <c r="H1190" s="239">
        <f>VLOOKUP(G1190,'CP FACTORS'!$A$3:$B$38, 2, FALSE)</f>
        <v>9.4741810000000004E-4</v>
      </c>
      <c r="I1190" s="2046">
        <f t="shared" si="111"/>
        <v>0.60048299999999999</v>
      </c>
      <c r="J1190" s="156">
        <f>J1272</f>
        <v>18</v>
      </c>
      <c r="K1190" s="700">
        <f>J1278</f>
        <v>3626.6</v>
      </c>
      <c r="L1190" s="2071">
        <f>K1242</f>
        <v>5.4</v>
      </c>
      <c r="M1190" s="1050"/>
      <c r="N1190" s="177"/>
      <c r="O1190" s="177"/>
      <c r="P1190" s="177"/>
      <c r="Q1190" s="177"/>
      <c r="R1190" s="1894"/>
      <c r="S1190" s="177"/>
      <c r="T1190" s="177"/>
      <c r="U1190" s="177"/>
      <c r="V1190" s="245" t="s">
        <v>20</v>
      </c>
      <c r="W1190" s="1051"/>
      <c r="X1190" s="1051"/>
      <c r="Y1190" s="1005">
        <v>633.80999999999995</v>
      </c>
      <c r="Z1190" s="999"/>
      <c r="AA1190" s="64"/>
      <c r="AB1190" s="64"/>
      <c r="AC1190" s="64"/>
      <c r="AD1190" s="64"/>
      <c r="AE1190" s="64"/>
      <c r="AF1190" s="64"/>
      <c r="AG1190" s="64"/>
      <c r="BB1190" s="350">
        <f>(BD1190+BD1191)/(BE1190+BE1191)</f>
        <v>0.4117208993065255</v>
      </c>
      <c r="BC1190" s="884" t="str">
        <f t="shared" si="112"/>
        <v>Cooling Res 18 Year EUL</v>
      </c>
      <c r="BD1190" s="894">
        <f>(INDEX('Avoided Cost Benefits'!$C$4:$C$857,MATCH(BC1190,'Avoided Cost Benefits'!$A$4:$A$857,0)))*F1190</f>
        <v>1117.9189433038998</v>
      </c>
      <c r="BE1190" s="74">
        <f t="shared" si="113"/>
        <v>3422.9353468617269</v>
      </c>
    </row>
    <row r="1191" spans="1:57" s="65" customFormat="1" x14ac:dyDescent="0.25">
      <c r="A1191" s="785"/>
      <c r="B1191" s="177"/>
      <c r="C1191" s="1572" t="s">
        <v>1376</v>
      </c>
      <c r="D1191" s="2016" t="s">
        <v>792</v>
      </c>
      <c r="E1191" s="892" t="str">
        <f>CONCATENATE(E1189,"_CompE")</f>
        <v>DFHP - SEER 21 MF heat pump base_CompE</v>
      </c>
      <c r="F1191" s="999">
        <f>ROUND((($J$1218*$J$1224*(1/$J$1230-1/$J$1236))/1000)*$J$1266,2)</f>
        <v>630.66</v>
      </c>
      <c r="G1191" s="318" t="s">
        <v>1369</v>
      </c>
      <c r="H1191" s="239">
        <f>VLOOKUP(G1191,'CP FACTORS'!$A$3:$B$38, 2, FALSE)</f>
        <v>0</v>
      </c>
      <c r="I1191" s="2046">
        <f t="shared" si="111"/>
        <v>0</v>
      </c>
      <c r="J1191" s="156">
        <f>J1190</f>
        <v>18</v>
      </c>
      <c r="K1191" s="700"/>
      <c r="L1191" s="2071"/>
      <c r="M1191" s="332"/>
      <c r="N1191" s="177"/>
      <c r="O1191" s="177"/>
      <c r="P1191" s="177"/>
      <c r="Q1191" s="177"/>
      <c r="R1191" s="1894"/>
      <c r="S1191" s="177"/>
      <c r="T1191" s="177"/>
      <c r="U1191" s="177"/>
      <c r="V1191" s="245" t="s">
        <v>20</v>
      </c>
      <c r="W1191" s="1051"/>
      <c r="X1191" s="1051"/>
      <c r="Y1191" s="1005">
        <v>630.66</v>
      </c>
      <c r="Z1191" s="999"/>
      <c r="AA1191" s="64"/>
      <c r="AB1191" s="64"/>
      <c r="AC1191" s="64"/>
      <c r="AD1191" s="64"/>
      <c r="AE1191" s="64"/>
      <c r="AF1191" s="64"/>
      <c r="AG1191" s="64"/>
      <c r="BB1191" s="352"/>
      <c r="BC1191" s="892" t="str">
        <f t="shared" si="112"/>
        <v>Heating Res 18 Year EUL</v>
      </c>
      <c r="BD1191" s="899">
        <f>(INDEX('Avoided Cost Benefits'!$C$4:$C$857,MATCH(BC1191,'Avoided Cost Benefits'!$A$4:$A$857,0)))*F1191</f>
        <v>291.37507597410422</v>
      </c>
      <c r="BE1191" s="76">
        <f t="shared" si="113"/>
        <v>0</v>
      </c>
    </row>
    <row r="1192" spans="1:57" s="65" customFormat="1" hidden="1" outlineLevel="1" x14ac:dyDescent="0.25">
      <c r="A1192" s="785"/>
      <c r="B1192" s="177"/>
      <c r="C1192" s="455"/>
      <c r="D1192" s="456"/>
      <c r="E1192" s="177"/>
      <c r="F1192" s="1965"/>
      <c r="G1192" s="2072"/>
      <c r="H1192" s="455"/>
      <c r="I1192" s="455"/>
      <c r="J1192" s="455"/>
      <c r="K1192" s="456" t="s">
        <v>1377</v>
      </c>
      <c r="L1192" s="455"/>
      <c r="M1192" s="455"/>
      <c r="N1192" s="177"/>
      <c r="O1192" s="177"/>
      <c r="P1192" s="177"/>
      <c r="Q1192" s="456"/>
      <c r="R1192" s="177"/>
      <c r="S1192" s="177"/>
      <c r="T1192" s="177"/>
      <c r="U1192" s="177"/>
      <c r="BB1192" s="784"/>
      <c r="BC1192" s="785"/>
      <c r="BD1192" s="900"/>
    </row>
    <row r="1193" spans="1:57" s="65" customFormat="1" hidden="1" outlineLevel="1" x14ac:dyDescent="0.25">
      <c r="A1193" s="785"/>
      <c r="B1193" s="177"/>
      <c r="C1193" s="455"/>
      <c r="D1193" s="456"/>
      <c r="E1193" s="456"/>
      <c r="F1193" s="1965"/>
      <c r="G1193" s="2072"/>
      <c r="H1193" s="455"/>
      <c r="I1193" s="455"/>
      <c r="J1193" s="455"/>
      <c r="K1193" s="455"/>
      <c r="L1193" s="455"/>
      <c r="M1193" s="455"/>
      <c r="N1193" s="177"/>
      <c r="O1193" s="177"/>
      <c r="P1193" s="177"/>
      <c r="Q1193" s="456"/>
      <c r="R1193" s="177"/>
      <c r="S1193" s="177"/>
      <c r="T1193" s="177"/>
      <c r="U1193" s="177"/>
      <c r="BB1193" s="784"/>
      <c r="BC1193" s="785"/>
      <c r="BD1193" s="900"/>
    </row>
    <row r="1194" spans="1:57" s="65" customFormat="1" hidden="1" outlineLevel="1" x14ac:dyDescent="0.25">
      <c r="A1194" s="785"/>
      <c r="B1194" s="177"/>
      <c r="C1194" s="455"/>
      <c r="D1194" s="259" t="s">
        <v>617</v>
      </c>
      <c r="E1194" s="901"/>
      <c r="F1194" s="177"/>
      <c r="G1194" s="456"/>
      <c r="H1194" s="177"/>
      <c r="I1194" s="493"/>
      <c r="J1194" s="177"/>
      <c r="K1194" s="177"/>
      <c r="L1194" s="177"/>
      <c r="M1194" s="177"/>
      <c r="N1194" s="177"/>
      <c r="O1194" s="177"/>
      <c r="P1194" s="177"/>
      <c r="Q1194" s="177"/>
      <c r="R1194" s="177"/>
      <c r="S1194" s="177"/>
      <c r="T1194" s="177"/>
      <c r="U1194" s="177"/>
      <c r="BB1194" s="784"/>
      <c r="BC1194" s="785"/>
      <c r="BD1194" s="900"/>
    </row>
    <row r="1195" spans="1:57" s="65" customFormat="1" hidden="1" outlineLevel="1" x14ac:dyDescent="0.25">
      <c r="A1195" s="785"/>
      <c r="B1195" s="177"/>
      <c r="C1195" s="455"/>
      <c r="D1195" s="456"/>
      <c r="E1195" s="456"/>
      <c r="F1195" s="177"/>
      <c r="G1195" s="711"/>
      <c r="H1195" s="455"/>
      <c r="I1195" s="493"/>
      <c r="J1195" s="177"/>
      <c r="K1195" s="177"/>
      <c r="L1195" s="177"/>
      <c r="M1195" s="177"/>
      <c r="N1195" s="177"/>
      <c r="O1195" s="177"/>
      <c r="P1195" s="177"/>
      <c r="Q1195" s="177"/>
      <c r="R1195" s="177"/>
      <c r="S1195" s="177"/>
      <c r="T1195" s="177"/>
      <c r="U1195" s="177"/>
      <c r="BB1195" s="784"/>
      <c r="BC1195" s="785"/>
      <c r="BD1195" s="900"/>
    </row>
    <row r="1196" spans="1:57" s="65" customFormat="1" hidden="1" outlineLevel="1" x14ac:dyDescent="0.25">
      <c r="A1196" s="785"/>
      <c r="B1196" s="177"/>
      <c r="C1196" s="455"/>
      <c r="D1196" s="456"/>
      <c r="E1196" s="901"/>
      <c r="F1196" s="911"/>
      <c r="G1196" s="711"/>
      <c r="H1196" s="455"/>
      <c r="I1196" s="493"/>
      <c r="J1196" s="177"/>
      <c r="K1196" s="177"/>
      <c r="L1196" s="177"/>
      <c r="M1196" s="177"/>
      <c r="N1196" s="177"/>
      <c r="O1196" s="177"/>
      <c r="P1196" s="177"/>
      <c r="Q1196" s="177"/>
      <c r="R1196" s="177"/>
      <c r="S1196" s="177"/>
      <c r="T1196" s="177"/>
      <c r="U1196" s="177"/>
      <c r="BB1196" s="784"/>
      <c r="BC1196" s="785"/>
      <c r="BD1196" s="900"/>
    </row>
    <row r="1197" spans="1:57" s="65" customFormat="1" hidden="1" outlineLevel="1" x14ac:dyDescent="0.25">
      <c r="A1197" s="785"/>
      <c r="B1197" s="177"/>
      <c r="C1197" s="455"/>
      <c r="D1197" s="456"/>
      <c r="E1197" s="901"/>
      <c r="F1197" s="911"/>
      <c r="G1197" s="711"/>
      <c r="H1197" s="455"/>
      <c r="I1197" s="493"/>
      <c r="J1197" s="177"/>
      <c r="K1197" s="177"/>
      <c r="L1197" s="177"/>
      <c r="M1197" s="177"/>
      <c r="N1197" s="177"/>
      <c r="O1197" s="177"/>
      <c r="P1197" s="177"/>
      <c r="Q1197" s="177"/>
      <c r="R1197" s="177"/>
      <c r="S1197" s="177"/>
      <c r="T1197" s="177"/>
      <c r="U1197" s="177"/>
      <c r="BB1197" s="784"/>
      <c r="BC1197" s="785"/>
      <c r="BD1197" s="900"/>
    </row>
    <row r="1198" spans="1:57" s="65" customFormat="1" hidden="1" outlineLevel="1" x14ac:dyDescent="0.25">
      <c r="A1198" s="785"/>
      <c r="B1198" s="177"/>
      <c r="C1198" s="455"/>
      <c r="D1198" s="456"/>
      <c r="E1198" s="901"/>
      <c r="F1198" s="911"/>
      <c r="G1198" s="711"/>
      <c r="H1198" s="455"/>
      <c r="I1198" s="493"/>
      <c r="J1198" s="177"/>
      <c r="K1198" s="177"/>
      <c r="L1198" s="177"/>
      <c r="M1198" s="177"/>
      <c r="N1198" s="177"/>
      <c r="O1198" s="177"/>
      <c r="P1198" s="177"/>
      <c r="Q1198" s="177"/>
      <c r="R1198" s="177"/>
      <c r="S1198" s="177"/>
      <c r="T1198" s="177"/>
      <c r="U1198" s="177"/>
      <c r="BB1198" s="784"/>
      <c r="BC1198" s="785"/>
      <c r="BD1198" s="900"/>
    </row>
    <row r="1199" spans="1:57" s="65" customFormat="1" hidden="1" outlineLevel="1" x14ac:dyDescent="0.25">
      <c r="A1199" s="785"/>
      <c r="B1199" s="177"/>
      <c r="C1199" s="455"/>
      <c r="D1199" s="456"/>
      <c r="E1199" s="901"/>
      <c r="F1199" s="911"/>
      <c r="G1199" s="711"/>
      <c r="H1199" s="455"/>
      <c r="I1199" s="493"/>
      <c r="J1199" s="177"/>
      <c r="K1199" s="177"/>
      <c r="L1199" s="177"/>
      <c r="M1199" s="177"/>
      <c r="N1199" s="177"/>
      <c r="O1199" s="177"/>
      <c r="P1199" s="177"/>
      <c r="Q1199" s="177"/>
      <c r="R1199" s="177"/>
      <c r="S1199" s="177"/>
      <c r="T1199" s="177"/>
      <c r="U1199" s="177"/>
      <c r="BB1199" s="784"/>
      <c r="BC1199" s="785"/>
      <c r="BD1199" s="900"/>
    </row>
    <row r="1200" spans="1:57" s="65" customFormat="1" hidden="1" outlineLevel="1" x14ac:dyDescent="0.25">
      <c r="A1200" s="785"/>
      <c r="B1200" s="177"/>
      <c r="C1200" s="455"/>
      <c r="D1200" s="456" t="s">
        <v>1254</v>
      </c>
      <c r="E1200" s="901"/>
      <c r="F1200" s="911"/>
      <c r="G1200" s="711"/>
      <c r="H1200" s="455"/>
      <c r="I1200" s="493"/>
      <c r="J1200" s="177"/>
      <c r="K1200" s="177"/>
      <c r="L1200" s="177"/>
      <c r="M1200" s="177"/>
      <c r="N1200" s="177"/>
      <c r="O1200" s="177"/>
      <c r="P1200" s="177"/>
      <c r="Q1200" s="177"/>
      <c r="R1200" s="177"/>
      <c r="S1200" s="177"/>
      <c r="T1200" s="177"/>
      <c r="U1200" s="177"/>
      <c r="BB1200" s="784"/>
      <c r="BC1200" s="785"/>
      <c r="BD1200" s="900"/>
    </row>
    <row r="1201" spans="1:56" s="65" customFormat="1" hidden="1" outlineLevel="1" x14ac:dyDescent="0.25">
      <c r="A1201" s="785"/>
      <c r="B1201" s="177"/>
      <c r="C1201" s="455"/>
      <c r="D1201" s="456"/>
      <c r="E1201" s="901"/>
      <c r="F1201" s="911"/>
      <c r="G1201" s="711"/>
      <c r="H1201" s="455"/>
      <c r="I1201" s="493"/>
      <c r="J1201" s="177"/>
      <c r="K1201" s="177"/>
      <c r="L1201" s="177"/>
      <c r="M1201" s="177"/>
      <c r="N1201" s="177"/>
      <c r="O1201" s="177"/>
      <c r="P1201" s="177"/>
      <c r="Q1201" s="177"/>
      <c r="R1201" s="177"/>
      <c r="S1201" s="177"/>
      <c r="T1201" s="177"/>
      <c r="U1201" s="177"/>
      <c r="BB1201" s="784"/>
      <c r="BC1201" s="785"/>
      <c r="BD1201" s="900"/>
    </row>
    <row r="1202" spans="1:56" s="65" customFormat="1" hidden="1" outlineLevel="1" x14ac:dyDescent="0.25">
      <c r="A1202" s="785"/>
      <c r="B1202" s="177"/>
      <c r="C1202" s="455"/>
      <c r="D1202" s="456"/>
      <c r="E1202" s="901"/>
      <c r="F1202" s="911"/>
      <c r="G1202" s="711"/>
      <c r="H1202" s="455"/>
      <c r="I1202" s="493"/>
      <c r="J1202" s="177"/>
      <c r="K1202" s="177"/>
      <c r="L1202" s="177"/>
      <c r="M1202" s="177"/>
      <c r="N1202" s="177"/>
      <c r="O1202" s="177"/>
      <c r="P1202" s="177"/>
      <c r="Q1202" s="177"/>
      <c r="R1202" s="177"/>
      <c r="S1202" s="177"/>
      <c r="T1202" s="177"/>
      <c r="U1202" s="177"/>
      <c r="BB1202" s="784"/>
      <c r="BC1202" s="785"/>
      <c r="BD1202" s="900"/>
    </row>
    <row r="1203" spans="1:56" s="65" customFormat="1" hidden="1" outlineLevel="1" x14ac:dyDescent="0.25">
      <c r="A1203" s="785"/>
      <c r="B1203" s="177"/>
      <c r="C1203" s="455"/>
      <c r="D1203" s="456"/>
      <c r="E1203" s="901"/>
      <c r="F1203" s="911"/>
      <c r="G1203" s="711"/>
      <c r="H1203" s="455"/>
      <c r="I1203" s="493"/>
      <c r="J1203" s="177"/>
      <c r="K1203" s="177"/>
      <c r="L1203" s="177"/>
      <c r="M1203" s="177"/>
      <c r="N1203" s="177"/>
      <c r="O1203" s="177"/>
      <c r="P1203" s="177"/>
      <c r="Q1203" s="177"/>
      <c r="R1203" s="177"/>
      <c r="S1203" s="177"/>
      <c r="T1203" s="177"/>
      <c r="U1203" s="177"/>
      <c r="BB1203" s="784"/>
      <c r="BC1203" s="785"/>
      <c r="BD1203" s="900"/>
    </row>
    <row r="1204" spans="1:56" s="65" customFormat="1" hidden="1" outlineLevel="1" x14ac:dyDescent="0.25">
      <c r="A1204" s="785"/>
      <c r="B1204" s="177"/>
      <c r="C1204" s="455"/>
      <c r="D1204" s="456"/>
      <c r="E1204" s="901"/>
      <c r="F1204" s="911"/>
      <c r="G1204" s="711"/>
      <c r="H1204" s="455"/>
      <c r="I1204" s="493"/>
      <c r="J1204" s="177"/>
      <c r="K1204" s="177"/>
      <c r="L1204" s="177"/>
      <c r="M1204" s="177"/>
      <c r="N1204" s="177"/>
      <c r="O1204" s="177"/>
      <c r="P1204" s="177"/>
      <c r="Q1204" s="177"/>
      <c r="R1204" s="177"/>
      <c r="S1204" s="177"/>
      <c r="T1204" s="177"/>
      <c r="U1204" s="177"/>
      <c r="BB1204" s="784"/>
      <c r="BC1204" s="785"/>
      <c r="BD1204" s="900"/>
    </row>
    <row r="1205" spans="1:56" s="65" customFormat="1" hidden="1" outlineLevel="1" x14ac:dyDescent="0.25">
      <c r="A1205" s="785"/>
      <c r="B1205" s="177"/>
      <c r="C1205" s="455"/>
      <c r="D1205" s="456"/>
      <c r="E1205" s="456"/>
      <c r="F1205" s="911"/>
      <c r="G1205" s="711"/>
      <c r="H1205" s="455"/>
      <c r="I1205" s="493"/>
      <c r="J1205" s="177"/>
      <c r="K1205" s="177"/>
      <c r="L1205" s="177"/>
      <c r="M1205" s="177"/>
      <c r="N1205" s="177"/>
      <c r="O1205" s="177"/>
      <c r="P1205" s="177"/>
      <c r="Q1205" s="177"/>
      <c r="R1205" s="177"/>
      <c r="S1205" s="177"/>
      <c r="T1205" s="177"/>
      <c r="U1205" s="177"/>
      <c r="BB1205" s="784"/>
      <c r="BC1205" s="785"/>
      <c r="BD1205" s="900"/>
    </row>
    <row r="1206" spans="1:56" s="65" customFormat="1" hidden="1" outlineLevel="1" x14ac:dyDescent="0.25">
      <c r="A1206" s="785"/>
      <c r="B1206" s="177"/>
      <c r="C1206" s="455"/>
      <c r="D1206" s="456" t="s">
        <v>1341</v>
      </c>
      <c r="E1206" s="456"/>
      <c r="F1206" s="911"/>
      <c r="G1206" s="711"/>
      <c r="H1206" s="455"/>
      <c r="I1206" s="493"/>
      <c r="J1206" s="177"/>
      <c r="K1206" s="177"/>
      <c r="L1206" s="177"/>
      <c r="M1206" s="177"/>
      <c r="N1206" s="177"/>
      <c r="O1206" s="177"/>
      <c r="P1206" s="177"/>
      <c r="Q1206" s="177"/>
      <c r="R1206" s="177"/>
      <c r="S1206" s="177"/>
      <c r="T1206" s="177"/>
      <c r="U1206" s="177"/>
      <c r="BB1206" s="784"/>
      <c r="BC1206" s="785"/>
      <c r="BD1206" s="900"/>
    </row>
    <row r="1207" spans="1:56" s="65" customFormat="1" hidden="1" outlineLevel="1" x14ac:dyDescent="0.25">
      <c r="A1207" s="785"/>
      <c r="B1207" s="177"/>
      <c r="C1207" s="455"/>
      <c r="D1207" s="456"/>
      <c r="E1207" s="456"/>
      <c r="F1207" s="911"/>
      <c r="G1207" s="711"/>
      <c r="H1207" s="455"/>
      <c r="I1207" s="493"/>
      <c r="J1207" s="177"/>
      <c r="K1207" s="177"/>
      <c r="L1207" s="177"/>
      <c r="M1207" s="177"/>
      <c r="N1207" s="177"/>
      <c r="O1207" s="177"/>
      <c r="P1207" s="177"/>
      <c r="Q1207" s="177"/>
      <c r="R1207" s="177"/>
      <c r="S1207" s="177"/>
      <c r="T1207" s="177"/>
      <c r="U1207" s="177"/>
      <c r="BB1207" s="784"/>
      <c r="BC1207" s="785"/>
      <c r="BD1207" s="900"/>
    </row>
    <row r="1208" spans="1:56" s="65" customFormat="1" hidden="1" outlineLevel="1" x14ac:dyDescent="0.25">
      <c r="A1208" s="785"/>
      <c r="B1208" s="177"/>
      <c r="C1208" s="455"/>
      <c r="D1208" s="456"/>
      <c r="E1208" s="456"/>
      <c r="F1208" s="911"/>
      <c r="G1208" s="711"/>
      <c r="H1208" s="455"/>
      <c r="I1208" s="177"/>
      <c r="J1208" s="177"/>
      <c r="K1208" s="177"/>
      <c r="L1208" s="177"/>
      <c r="M1208" s="177"/>
      <c r="N1208" s="177"/>
      <c r="O1208" s="177"/>
      <c r="P1208" s="177"/>
      <c r="Q1208" s="177"/>
      <c r="R1208" s="177"/>
      <c r="S1208" s="177"/>
      <c r="T1208" s="177"/>
      <c r="U1208" s="177"/>
      <c r="BB1208" s="784"/>
      <c r="BC1208" s="785"/>
      <c r="BD1208" s="900"/>
    </row>
    <row r="1209" spans="1:56" s="65" customFormat="1" hidden="1" outlineLevel="1" x14ac:dyDescent="0.25">
      <c r="A1209" s="785"/>
      <c r="B1209" s="177"/>
      <c r="C1209" s="455"/>
      <c r="D1209" s="456"/>
      <c r="E1209" s="456"/>
      <c r="F1209" s="177"/>
      <c r="G1209" s="456"/>
      <c r="H1209" s="455"/>
      <c r="I1209" s="177"/>
      <c r="J1209" s="177"/>
      <c r="K1209" s="177"/>
      <c r="L1209" s="177"/>
      <c r="M1209" s="177"/>
      <c r="N1209" s="177"/>
      <c r="O1209" s="177"/>
      <c r="P1209" s="177"/>
      <c r="Q1209" s="177"/>
      <c r="R1209" s="177"/>
      <c r="S1209" s="177"/>
      <c r="T1209" s="177"/>
      <c r="U1209" s="177"/>
      <c r="BB1209" s="784"/>
      <c r="BC1209" s="785"/>
      <c r="BD1209" s="900"/>
    </row>
    <row r="1210" spans="1:56" s="65" customFormat="1" hidden="1" outlineLevel="1" x14ac:dyDescent="0.25">
      <c r="A1210" s="785"/>
      <c r="B1210" s="177"/>
      <c r="C1210" s="455"/>
      <c r="D1210" s="456"/>
      <c r="E1210" s="456"/>
      <c r="F1210" s="177"/>
      <c r="G1210" s="456"/>
      <c r="H1210" s="455"/>
      <c r="I1210" s="455"/>
      <c r="J1210" s="455"/>
      <c r="K1210" s="455"/>
      <c r="L1210" s="455"/>
      <c r="M1210" s="455"/>
      <c r="N1210" s="177"/>
      <c r="O1210" s="177"/>
      <c r="P1210" s="177"/>
      <c r="Q1210" s="177"/>
      <c r="R1210" s="177"/>
      <c r="S1210" s="177"/>
      <c r="T1210" s="177"/>
      <c r="U1210" s="177"/>
      <c r="BB1210" s="784"/>
      <c r="BC1210" s="785"/>
      <c r="BD1210" s="900"/>
    </row>
    <row r="1211" spans="1:56" s="65" customFormat="1" ht="60" hidden="1" customHeight="1" outlineLevel="1" x14ac:dyDescent="0.25">
      <c r="A1211" s="785"/>
      <c r="B1211" s="177"/>
      <c r="C1211" s="455"/>
      <c r="D1211" s="520" t="s">
        <v>618</v>
      </c>
      <c r="E1211" s="520" t="s">
        <v>619</v>
      </c>
      <c r="F1211" s="2735" t="s">
        <v>669</v>
      </c>
      <c r="G1211" s="2735"/>
      <c r="H1211" s="2735"/>
      <c r="I1211" s="1659" t="s">
        <v>17</v>
      </c>
      <c r="J1211" s="1659" t="s">
        <v>620</v>
      </c>
      <c r="K1211" s="1659" t="s">
        <v>1257</v>
      </c>
      <c r="L1211" s="1659" t="s">
        <v>863</v>
      </c>
      <c r="M1211" s="177"/>
      <c r="N1211" s="177"/>
      <c r="O1211" s="177"/>
      <c r="P1211" s="177"/>
      <c r="Q1211" s="177"/>
      <c r="R1211" s="177"/>
      <c r="S1211" s="177"/>
      <c r="T1211" s="177"/>
      <c r="U1211" s="177"/>
      <c r="V1211" s="55" t="s">
        <v>27</v>
      </c>
      <c r="W1211" s="56">
        <v>43252</v>
      </c>
      <c r="X1211" s="56">
        <f>$X$6</f>
        <v>43465</v>
      </c>
      <c r="Y1211" s="56">
        <f>$Y$6</f>
        <v>43800</v>
      </c>
      <c r="Z1211" s="56">
        <f>$Z$6</f>
        <v>43862</v>
      </c>
      <c r="AA1211" s="56" t="str">
        <f>$AA$6</f>
        <v>-</v>
      </c>
      <c r="AB1211" s="56" t="str">
        <f>$AB$6</f>
        <v>-</v>
      </c>
      <c r="AC1211" s="56" t="str">
        <f>$AC$6</f>
        <v>-</v>
      </c>
      <c r="AD1211" s="56" t="str">
        <f>$AD$6</f>
        <v>-</v>
      </c>
      <c r="AE1211" s="56" t="str">
        <f>$AE$6</f>
        <v>-</v>
      </c>
      <c r="AF1211" s="56" t="str">
        <f>$AF$6</f>
        <v>-</v>
      </c>
      <c r="AG1211" s="56" t="str">
        <f>$AG$6</f>
        <v>-</v>
      </c>
      <c r="BB1211" s="784"/>
      <c r="BC1211" s="785"/>
      <c r="BD1211" s="900"/>
    </row>
    <row r="1212" spans="1:56" s="65" customFormat="1" ht="60" hidden="1" customHeight="1" outlineLevel="1" thickBot="1" x14ac:dyDescent="0.3">
      <c r="A1212" s="785"/>
      <c r="B1212" s="177"/>
      <c r="C1212" s="455"/>
      <c r="D1212" s="2499"/>
      <c r="E1212" s="2500"/>
      <c r="F1212" s="2501"/>
      <c r="G1212" s="2502"/>
      <c r="H1212" s="2503"/>
      <c r="I1212" s="2504"/>
      <c r="J1212" s="2504"/>
      <c r="K1212" s="2501"/>
      <c r="L1212" s="2501"/>
      <c r="M1212" s="177"/>
      <c r="N1212" s="177"/>
      <c r="O1212" s="177"/>
      <c r="P1212" s="177"/>
      <c r="Q1212" s="177"/>
      <c r="R1212" s="177"/>
      <c r="S1212" s="177"/>
      <c r="T1212" s="177"/>
      <c r="U1212" s="177"/>
      <c r="V1212" s="55"/>
      <c r="W1212" s="56"/>
      <c r="X1212" s="56"/>
      <c r="Y1212" s="56"/>
      <c r="Z1212" s="56"/>
      <c r="AA1212" s="56"/>
      <c r="AB1212" s="56"/>
      <c r="AC1212" s="56"/>
      <c r="AD1212" s="56"/>
      <c r="AE1212" s="56"/>
      <c r="AF1212" s="56"/>
      <c r="AG1212" s="56"/>
      <c r="BB1212" s="784"/>
      <c r="BC1212" s="785"/>
      <c r="BD1212" s="900"/>
    </row>
    <row r="1213" spans="1:56" s="65" customFormat="1" hidden="1" outlineLevel="1" x14ac:dyDescent="0.25">
      <c r="A1213" s="785"/>
      <c r="B1213" s="177"/>
      <c r="C1213" s="455"/>
      <c r="D1213" s="2466" t="s">
        <v>1378</v>
      </c>
      <c r="E1213" s="2476" t="s">
        <v>1379</v>
      </c>
      <c r="F1213" s="2826" t="str">
        <f>E1180</f>
        <v xml:space="preserve">DFHP - SEER 19 MF heat pump base </v>
      </c>
      <c r="G1213" s="2826"/>
      <c r="H1213" s="2827"/>
      <c r="I1213" s="1057"/>
      <c r="J1213" s="2470">
        <v>40800</v>
      </c>
      <c r="K1213" s="1075">
        <f>J1213/12000</f>
        <v>3.4</v>
      </c>
      <c r="L1213" s="1053" t="s">
        <v>1380</v>
      </c>
      <c r="M1213" s="177"/>
      <c r="N1213" s="177"/>
      <c r="O1213" s="177"/>
      <c r="P1213" s="177"/>
      <c r="Q1213" s="177"/>
      <c r="R1213" s="177"/>
      <c r="S1213" s="177"/>
      <c r="T1213" s="177"/>
      <c r="U1213" s="177"/>
      <c r="V1213" s="2866"/>
      <c r="W1213" s="926">
        <f>$K1220*12000</f>
        <v>0</v>
      </c>
      <c r="X1213" s="926">
        <v>40800</v>
      </c>
      <c r="Y1213" s="926">
        <v>40800</v>
      </c>
      <c r="Z1213" s="926"/>
      <c r="AA1213" s="926"/>
      <c r="AB1213" s="926"/>
      <c r="AC1213" s="926"/>
      <c r="AD1213" s="926"/>
      <c r="AE1213" s="926"/>
      <c r="AF1213" s="926"/>
      <c r="AG1213" s="926"/>
      <c r="BB1213" s="784"/>
      <c r="BC1213" s="785"/>
      <c r="BD1213" s="900"/>
    </row>
    <row r="1214" spans="1:56" s="65" customFormat="1" hidden="1" outlineLevel="1" x14ac:dyDescent="0.25">
      <c r="A1214" s="785"/>
      <c r="B1214" s="177"/>
      <c r="C1214" s="455"/>
      <c r="D1214" s="2467"/>
      <c r="E1214" s="2505"/>
      <c r="F1214" s="2826" t="str">
        <f>E1182</f>
        <v>DFHP - SEER 19 MF heat pump base _CompE</v>
      </c>
      <c r="G1214" s="2826"/>
      <c r="H1214" s="2827"/>
      <c r="I1214" s="1057"/>
      <c r="J1214" s="2470">
        <v>40800</v>
      </c>
      <c r="K1214" s="1075">
        <f t="shared" ref="K1214:K1218" si="114">J1214/12000</f>
        <v>3.4</v>
      </c>
      <c r="L1214" s="1053"/>
      <c r="M1214" s="177"/>
      <c r="N1214" s="177"/>
      <c r="O1214" s="177"/>
      <c r="P1214" s="177"/>
      <c r="Q1214" s="177"/>
      <c r="R1214" s="177"/>
      <c r="S1214" s="177"/>
      <c r="T1214" s="177"/>
      <c r="U1214" s="177"/>
      <c r="V1214" s="2866"/>
      <c r="W1214" s="926"/>
      <c r="X1214" s="926"/>
      <c r="Y1214" s="909">
        <v>40800</v>
      </c>
      <c r="Z1214" s="926"/>
      <c r="AA1214" s="926"/>
      <c r="AB1214" s="926"/>
      <c r="AC1214" s="926"/>
      <c r="AD1214" s="926"/>
      <c r="AE1214" s="926"/>
      <c r="AF1214" s="926"/>
      <c r="AG1214" s="926"/>
      <c r="BB1214" s="784"/>
      <c r="BC1214" s="785"/>
      <c r="BD1214" s="900"/>
    </row>
    <row r="1215" spans="1:56" s="65" customFormat="1" hidden="1" outlineLevel="1" x14ac:dyDescent="0.25">
      <c r="A1215" s="785"/>
      <c r="B1215" s="177"/>
      <c r="C1215" s="455"/>
      <c r="D1215" s="2467"/>
      <c r="E1215" s="2505"/>
      <c r="F1215" s="2826" t="str">
        <f>E1184</f>
        <v>DFHP - SEER 20 MF heat pump base</v>
      </c>
      <c r="G1215" s="2826"/>
      <c r="H1215" s="2827"/>
      <c r="I1215" s="2475"/>
      <c r="J1215" s="2470">
        <v>52800.000000000007</v>
      </c>
      <c r="K1215" s="1075">
        <f t="shared" si="114"/>
        <v>4.4000000000000004</v>
      </c>
      <c r="L1215" s="1054" t="s">
        <v>1380</v>
      </c>
      <c r="M1215" s="177"/>
      <c r="N1215" s="177"/>
      <c r="O1215" s="177"/>
      <c r="P1215" s="177"/>
      <c r="Q1215" s="177"/>
      <c r="R1215" s="177"/>
      <c r="S1215" s="177"/>
      <c r="T1215" s="177"/>
      <c r="U1215" s="177"/>
      <c r="V1215" s="2866"/>
      <c r="W1215" s="909">
        <f>$K1215*12000</f>
        <v>52800.000000000007</v>
      </c>
      <c r="X1215" s="909">
        <v>52800.000000000007</v>
      </c>
      <c r="Y1215" s="909">
        <v>52800.000000000007</v>
      </c>
      <c r="Z1215" s="909"/>
      <c r="AA1215" s="909"/>
      <c r="AB1215" s="909"/>
      <c r="AC1215" s="909"/>
      <c r="AD1215" s="909"/>
      <c r="AE1215" s="909"/>
      <c r="AF1215" s="909"/>
      <c r="AG1215" s="909"/>
      <c r="BB1215" s="784"/>
      <c r="BC1215" s="785"/>
      <c r="BD1215" s="900"/>
    </row>
    <row r="1216" spans="1:56" s="65" customFormat="1" hidden="1" outlineLevel="1" x14ac:dyDescent="0.25">
      <c r="A1216" s="785"/>
      <c r="B1216" s="177"/>
      <c r="C1216" s="455"/>
      <c r="D1216" s="2467"/>
      <c r="E1216" s="2505"/>
      <c r="F1216" s="2826" t="str">
        <f>E1186</f>
        <v>DFHP - SEER 20 MF heat pump base_CompE</v>
      </c>
      <c r="G1216" s="2826"/>
      <c r="H1216" s="2827"/>
      <c r="I1216" s="2475"/>
      <c r="J1216" s="2470">
        <v>52800.000000000007</v>
      </c>
      <c r="K1216" s="1075">
        <f t="shared" si="114"/>
        <v>4.4000000000000004</v>
      </c>
      <c r="L1216" s="1054"/>
      <c r="M1216" s="177"/>
      <c r="N1216" s="177"/>
      <c r="O1216" s="177"/>
      <c r="P1216" s="177"/>
      <c r="Q1216" s="177"/>
      <c r="R1216" s="177"/>
      <c r="S1216" s="177"/>
      <c r="T1216" s="177"/>
      <c r="U1216" s="177"/>
      <c r="V1216" s="2866"/>
      <c r="W1216" s="909"/>
      <c r="X1216" s="909"/>
      <c r="Y1216" s="909">
        <v>52800.000000000007</v>
      </c>
      <c r="Z1216" s="909"/>
      <c r="AA1216" s="909"/>
      <c r="AB1216" s="909"/>
      <c r="AC1216" s="909"/>
      <c r="AD1216" s="909"/>
      <c r="AE1216" s="909"/>
      <c r="AF1216" s="909"/>
      <c r="AG1216" s="909"/>
      <c r="BB1216" s="784"/>
      <c r="BC1216" s="785"/>
      <c r="BD1216" s="900"/>
    </row>
    <row r="1217" spans="1:56" s="65" customFormat="1" hidden="1" outlineLevel="1" x14ac:dyDescent="0.25">
      <c r="A1217" s="785"/>
      <c r="B1217" s="177"/>
      <c r="C1217" s="455"/>
      <c r="D1217" s="2467"/>
      <c r="E1217" s="2505"/>
      <c r="F1217" s="2826" t="str">
        <f>E1188</f>
        <v>DFHP - SEER 21 MF heat pump base</v>
      </c>
      <c r="G1217" s="2826"/>
      <c r="H1217" s="2827"/>
      <c r="I1217" s="2475"/>
      <c r="J1217" s="2470">
        <v>64800.000000000007</v>
      </c>
      <c r="K1217" s="1075">
        <f t="shared" si="114"/>
        <v>5.4</v>
      </c>
      <c r="L1217" s="1054" t="s">
        <v>1380</v>
      </c>
      <c r="M1217" s="177"/>
      <c r="N1217" s="177"/>
      <c r="O1217" s="177"/>
      <c r="P1217" s="177"/>
      <c r="Q1217" s="177"/>
      <c r="R1217" s="177"/>
      <c r="S1217" s="177"/>
      <c r="T1217" s="177"/>
      <c r="U1217" s="177"/>
      <c r="V1217" s="2866"/>
      <c r="W1217" s="909">
        <f>$K1217*12000</f>
        <v>64800.000000000007</v>
      </c>
      <c r="X1217" s="909">
        <v>64800.000000000007</v>
      </c>
      <c r="Y1217" s="909">
        <v>64800.000000000007</v>
      </c>
      <c r="Z1217" s="909"/>
      <c r="AA1217" s="909"/>
      <c r="AB1217" s="909"/>
      <c r="AC1217" s="909"/>
      <c r="AD1217" s="909"/>
      <c r="AE1217" s="909"/>
      <c r="AF1217" s="909"/>
      <c r="AG1217" s="909"/>
      <c r="BB1217" s="784"/>
      <c r="BC1217" s="785"/>
      <c r="BD1217" s="900"/>
    </row>
    <row r="1218" spans="1:56" s="65" customFormat="1" ht="15.75" hidden="1" outlineLevel="1" thickBot="1" x14ac:dyDescent="0.3">
      <c r="A1218" s="785"/>
      <c r="B1218" s="177"/>
      <c r="C1218" s="455"/>
      <c r="D1218" s="2468"/>
      <c r="E1218" s="2506"/>
      <c r="F1218" s="2860" t="str">
        <f>E1190</f>
        <v>DFHP - SEER 21 MF heat pump base_CompE</v>
      </c>
      <c r="G1218" s="2860"/>
      <c r="H1218" s="2861"/>
      <c r="I1218" s="1039"/>
      <c r="J1218" s="2472">
        <v>64800.000000000007</v>
      </c>
      <c r="K1218" s="2080">
        <f t="shared" si="114"/>
        <v>5.4</v>
      </c>
      <c r="L1218" s="1066"/>
      <c r="M1218" s="177"/>
      <c r="N1218" s="177"/>
      <c r="O1218" s="177"/>
      <c r="P1218" s="177"/>
      <c r="Q1218" s="177"/>
      <c r="R1218" s="177"/>
      <c r="S1218" s="177"/>
      <c r="T1218" s="177"/>
      <c r="U1218" s="177"/>
      <c r="V1218" s="2866"/>
      <c r="W1218" s="909"/>
      <c r="X1218" s="909"/>
      <c r="Y1218" s="909">
        <v>64800.000000000007</v>
      </c>
      <c r="Z1218" s="909"/>
      <c r="AA1218" s="909"/>
      <c r="AB1218" s="909"/>
      <c r="AC1218" s="909"/>
      <c r="AD1218" s="909"/>
      <c r="AE1218" s="909"/>
      <c r="AF1218" s="909"/>
      <c r="AG1218" s="909"/>
      <c r="BB1218" s="784"/>
      <c r="BC1218" s="785"/>
      <c r="BD1218" s="900"/>
    </row>
    <row r="1219" spans="1:56" s="65" customFormat="1" ht="15" hidden="1" customHeight="1" outlineLevel="1" x14ac:dyDescent="0.25">
      <c r="A1219" s="785"/>
      <c r="B1219" s="177"/>
      <c r="C1219" s="455"/>
      <c r="D1219" s="2466" t="s">
        <v>1381</v>
      </c>
      <c r="E1219" s="2549" t="s">
        <v>1382</v>
      </c>
      <c r="F1219" s="2862" t="str">
        <f>$F$1213</f>
        <v xml:space="preserve">DFHP - SEER 19 MF heat pump base </v>
      </c>
      <c r="G1219" s="2826"/>
      <c r="H1219" s="2827"/>
      <c r="I1219" s="2475"/>
      <c r="J1219" s="2470">
        <v>1119</v>
      </c>
      <c r="K1219" s="1075"/>
      <c r="L1219" s="1054" t="s">
        <v>1383</v>
      </c>
      <c r="M1219" s="177"/>
      <c r="N1219" s="177"/>
      <c r="O1219" s="177"/>
      <c r="P1219" s="177"/>
      <c r="Q1219" s="177"/>
      <c r="R1219" s="177"/>
      <c r="S1219" s="177"/>
      <c r="T1219" s="177"/>
      <c r="U1219" s="177"/>
      <c r="V1219" s="2867" t="s">
        <v>1381</v>
      </c>
      <c r="W1219" s="903">
        <v>1119</v>
      </c>
      <c r="X1219" s="903">
        <v>1119</v>
      </c>
      <c r="Y1219" s="903">
        <v>1119</v>
      </c>
      <c r="Z1219" s="903"/>
      <c r="AA1219" s="903"/>
      <c r="AB1219" s="903"/>
      <c r="AC1219" s="903"/>
      <c r="AD1219" s="903"/>
      <c r="AE1219" s="903"/>
      <c r="AF1219" s="903"/>
      <c r="AG1219" s="903"/>
      <c r="BB1219" s="784"/>
      <c r="BC1219" s="785"/>
      <c r="BD1219" s="900"/>
    </row>
    <row r="1220" spans="1:56" s="65" customFormat="1" hidden="1" outlineLevel="1" x14ac:dyDescent="0.25">
      <c r="A1220" s="785"/>
      <c r="B1220" s="177"/>
      <c r="C1220" s="455"/>
      <c r="D1220" s="2473"/>
      <c r="E1220" s="2547"/>
      <c r="F1220" s="2862" t="str">
        <f>$F$1214</f>
        <v>DFHP - SEER 19 MF heat pump base _CompE</v>
      </c>
      <c r="G1220" s="2826"/>
      <c r="H1220" s="2827"/>
      <c r="I1220" s="2475"/>
      <c r="J1220" s="2470">
        <v>510</v>
      </c>
      <c r="K1220" s="1075"/>
      <c r="L1220" s="1054" t="s">
        <v>1384</v>
      </c>
      <c r="M1220" s="177"/>
      <c r="N1220" s="177"/>
      <c r="O1220" s="177"/>
      <c r="P1220" s="177"/>
      <c r="Q1220" s="177"/>
      <c r="R1220" s="177"/>
      <c r="S1220" s="177"/>
      <c r="T1220" s="177"/>
      <c r="U1220" s="177"/>
      <c r="V1220" s="2866"/>
      <c r="W1220" s="926"/>
      <c r="X1220" s="926"/>
      <c r="Y1220" s="933">
        <v>510</v>
      </c>
      <c r="Z1220" s="926"/>
      <c r="AA1220" s="926"/>
      <c r="AB1220" s="926"/>
      <c r="AC1220" s="926"/>
      <c r="AD1220" s="926"/>
      <c r="AE1220" s="926"/>
      <c r="AF1220" s="926"/>
      <c r="AG1220" s="926"/>
      <c r="BB1220" s="784"/>
      <c r="BC1220" s="785"/>
      <c r="BD1220" s="900"/>
    </row>
    <row r="1221" spans="1:56" s="65" customFormat="1" hidden="1" outlineLevel="1" x14ac:dyDescent="0.25">
      <c r="A1221" s="785"/>
      <c r="B1221" s="177"/>
      <c r="C1221" s="455"/>
      <c r="D1221" s="2473"/>
      <c r="E1221" s="2547"/>
      <c r="F1221" s="2862" t="str">
        <f>$F$1215</f>
        <v>DFHP - SEER 20 MF heat pump base</v>
      </c>
      <c r="G1221" s="2826"/>
      <c r="H1221" s="2827"/>
      <c r="I1221" s="2475"/>
      <c r="J1221" s="2470">
        <v>1119</v>
      </c>
      <c r="K1221" s="1075"/>
      <c r="L1221" s="1054"/>
      <c r="M1221" s="177"/>
      <c r="N1221" s="177"/>
      <c r="O1221" s="177"/>
      <c r="P1221" s="177"/>
      <c r="Q1221" s="177"/>
      <c r="R1221" s="177"/>
      <c r="S1221" s="177"/>
      <c r="T1221" s="177"/>
      <c r="U1221" s="177"/>
      <c r="V1221" s="2866"/>
      <c r="W1221" s="909">
        <v>1119</v>
      </c>
      <c r="X1221" s="909">
        <v>1119</v>
      </c>
      <c r="Y1221" s="909">
        <v>1119</v>
      </c>
      <c r="Z1221" s="909"/>
      <c r="AA1221" s="909"/>
      <c r="AB1221" s="909"/>
      <c r="AC1221" s="909"/>
      <c r="AD1221" s="909"/>
      <c r="AE1221" s="909"/>
      <c r="AF1221" s="909"/>
      <c r="AG1221" s="909"/>
      <c r="BB1221" s="784"/>
      <c r="BC1221" s="785"/>
      <c r="BD1221" s="900"/>
    </row>
    <row r="1222" spans="1:56" s="65" customFormat="1" hidden="1" outlineLevel="1" x14ac:dyDescent="0.25">
      <c r="A1222" s="785"/>
      <c r="B1222" s="177"/>
      <c r="C1222" s="455"/>
      <c r="D1222" s="2473"/>
      <c r="E1222" s="2547"/>
      <c r="F1222" s="2862" t="str">
        <f>$F$1216</f>
        <v>DFHP - SEER 20 MF heat pump base_CompE</v>
      </c>
      <c r="G1222" s="2826"/>
      <c r="H1222" s="2827"/>
      <c r="I1222" s="2475"/>
      <c r="J1222" s="2470">
        <v>510</v>
      </c>
      <c r="K1222" s="1075"/>
      <c r="L1222" s="1054" t="s">
        <v>1384</v>
      </c>
      <c r="M1222" s="177"/>
      <c r="N1222" s="177"/>
      <c r="O1222" s="177"/>
      <c r="P1222" s="177"/>
      <c r="Q1222" s="177"/>
      <c r="R1222" s="177"/>
      <c r="S1222" s="177"/>
      <c r="T1222" s="177"/>
      <c r="U1222" s="177"/>
      <c r="V1222" s="2866"/>
      <c r="W1222" s="909"/>
      <c r="X1222" s="909"/>
      <c r="Y1222" s="933">
        <v>510</v>
      </c>
      <c r="Z1222" s="909"/>
      <c r="AA1222" s="909"/>
      <c r="AB1222" s="909"/>
      <c r="AC1222" s="909"/>
      <c r="AD1222" s="909"/>
      <c r="AE1222" s="909"/>
      <c r="AF1222" s="909"/>
      <c r="AG1222" s="909"/>
      <c r="BB1222" s="784"/>
      <c r="BC1222" s="785"/>
      <c r="BD1222" s="900"/>
    </row>
    <row r="1223" spans="1:56" s="65" customFormat="1" hidden="1" outlineLevel="1" x14ac:dyDescent="0.25">
      <c r="A1223" s="785"/>
      <c r="B1223" s="177"/>
      <c r="C1223" s="455"/>
      <c r="D1223" s="2473"/>
      <c r="E1223" s="2547"/>
      <c r="F1223" s="2862" t="str">
        <f>$F$1217</f>
        <v>DFHP - SEER 21 MF heat pump base</v>
      </c>
      <c r="G1223" s="2826"/>
      <c r="H1223" s="2827"/>
      <c r="I1223" s="2475"/>
      <c r="J1223" s="2470">
        <v>1119</v>
      </c>
      <c r="K1223" s="1075"/>
      <c r="L1223" s="1054"/>
      <c r="M1223" s="177"/>
      <c r="N1223" s="177"/>
      <c r="O1223" s="177"/>
      <c r="P1223" s="177"/>
      <c r="Q1223" s="177"/>
      <c r="R1223" s="177"/>
      <c r="S1223" s="177"/>
      <c r="T1223" s="177"/>
      <c r="U1223" s="177"/>
      <c r="V1223" s="2866"/>
      <c r="W1223" s="909">
        <v>1119</v>
      </c>
      <c r="X1223" s="909">
        <v>1119</v>
      </c>
      <c r="Y1223" s="909">
        <v>1119</v>
      </c>
      <c r="Z1223" s="909"/>
      <c r="AA1223" s="909"/>
      <c r="AB1223" s="909"/>
      <c r="AC1223" s="909"/>
      <c r="AD1223" s="909"/>
      <c r="AE1223" s="909"/>
      <c r="AF1223" s="909"/>
      <c r="AG1223" s="909"/>
      <c r="BB1223" s="784"/>
      <c r="BC1223" s="785"/>
      <c r="BD1223" s="900"/>
    </row>
    <row r="1224" spans="1:56" s="65" customFormat="1" ht="15" hidden="1" customHeight="1" outlineLevel="1" thickBot="1" x14ac:dyDescent="0.3">
      <c r="A1224" s="785"/>
      <c r="B1224" s="177"/>
      <c r="C1224" s="455"/>
      <c r="D1224" s="2469"/>
      <c r="E1224" s="2548"/>
      <c r="F1224" s="2859" t="str">
        <f>$F$1218</f>
        <v>DFHP - SEER 21 MF heat pump base_CompE</v>
      </c>
      <c r="G1224" s="2860"/>
      <c r="H1224" s="2861"/>
      <c r="I1224" s="1039"/>
      <c r="J1224" s="2472">
        <v>510</v>
      </c>
      <c r="K1224" s="2080"/>
      <c r="L1224" s="1066" t="s">
        <v>1384</v>
      </c>
      <c r="M1224" s="177"/>
      <c r="N1224" s="177"/>
      <c r="O1224" s="177"/>
      <c r="P1224" s="177"/>
      <c r="Q1224" s="177"/>
      <c r="R1224" s="177"/>
      <c r="S1224" s="177"/>
      <c r="T1224" s="177"/>
      <c r="U1224" s="177"/>
      <c r="V1224" s="2866"/>
      <c r="W1224" s="909">
        <v>1119</v>
      </c>
      <c r="X1224" s="909">
        <v>1119</v>
      </c>
      <c r="Y1224" s="933">
        <v>510</v>
      </c>
      <c r="Z1224" s="909"/>
      <c r="AA1224" s="909"/>
      <c r="AB1224" s="909"/>
      <c r="AC1224" s="909"/>
      <c r="AD1224" s="909"/>
      <c r="AE1224" s="909"/>
      <c r="AF1224" s="909"/>
      <c r="AG1224" s="909"/>
      <c r="BB1224" s="784"/>
      <c r="BC1224" s="785"/>
      <c r="BD1224" s="900"/>
    </row>
    <row r="1225" spans="1:56" s="65" customFormat="1" hidden="1" outlineLevel="1" x14ac:dyDescent="0.25">
      <c r="A1225" s="785"/>
      <c r="B1225" s="177"/>
      <c r="C1225" s="455"/>
      <c r="D1225" s="2466" t="s">
        <v>1385</v>
      </c>
      <c r="E1225" s="2476" t="s">
        <v>1386</v>
      </c>
      <c r="F1225" s="2862" t="str">
        <f>$F$1213</f>
        <v xml:space="preserve">DFHP - SEER 19 MF heat pump base </v>
      </c>
      <c r="G1225" s="2826"/>
      <c r="H1225" s="2827"/>
      <c r="I1225" s="2475"/>
      <c r="J1225" s="2470">
        <v>8.1999999999999993</v>
      </c>
      <c r="K1225" s="1075"/>
      <c r="L1225" s="1054" t="s">
        <v>1289</v>
      </c>
      <c r="M1225" s="177"/>
      <c r="N1225" s="177"/>
      <c r="O1225" s="177"/>
      <c r="P1225" s="177"/>
      <c r="Q1225" s="177"/>
      <c r="R1225" s="177"/>
      <c r="S1225" s="177"/>
      <c r="T1225" s="177"/>
      <c r="U1225" s="177"/>
      <c r="V1225" s="2867" t="s">
        <v>1385</v>
      </c>
      <c r="W1225" s="903">
        <v>8.1999999999999993</v>
      </c>
      <c r="X1225" s="903">
        <v>8.1999999999999993</v>
      </c>
      <c r="Y1225" s="903">
        <v>8.1999999999999993</v>
      </c>
      <c r="Z1225" s="903"/>
      <c r="AA1225" s="903"/>
      <c r="AB1225" s="903"/>
      <c r="AC1225" s="903"/>
      <c r="AD1225" s="903"/>
      <c r="AE1225" s="903"/>
      <c r="AF1225" s="903"/>
      <c r="AG1225" s="903"/>
      <c r="BB1225" s="784"/>
      <c r="BC1225" s="785"/>
      <c r="BD1225" s="900"/>
    </row>
    <row r="1226" spans="1:56" s="65" customFormat="1" hidden="1" outlineLevel="1" x14ac:dyDescent="0.25">
      <c r="A1226" s="785"/>
      <c r="B1226" s="177"/>
      <c r="C1226" s="455"/>
      <c r="D1226" s="2473"/>
      <c r="E1226" s="2505"/>
      <c r="F1226" s="2826" t="str">
        <f>$F$1214</f>
        <v>DFHP - SEER 19 MF heat pump base _CompE</v>
      </c>
      <c r="G1226" s="2826"/>
      <c r="H1226" s="2827"/>
      <c r="I1226" s="1057"/>
      <c r="J1226" s="1663">
        <v>8.1999999999999993</v>
      </c>
      <c r="K1226" s="1075"/>
      <c r="L1226" s="1053"/>
      <c r="M1226" s="177"/>
      <c r="N1226" s="177"/>
      <c r="O1226" s="177"/>
      <c r="P1226" s="177"/>
      <c r="Q1226" s="177"/>
      <c r="R1226" s="177"/>
      <c r="S1226" s="177"/>
      <c r="T1226" s="177"/>
      <c r="U1226" s="177"/>
      <c r="V1226" s="2866"/>
      <c r="W1226" s="926"/>
      <c r="X1226" s="926"/>
      <c r="Y1226" s="933">
        <v>8.1999999999999993</v>
      </c>
      <c r="Z1226" s="926"/>
      <c r="AA1226" s="926"/>
      <c r="AB1226" s="926"/>
      <c r="AC1226" s="926"/>
      <c r="AD1226" s="926"/>
      <c r="AE1226" s="926"/>
      <c r="AF1226" s="926"/>
      <c r="AG1226" s="926"/>
      <c r="BB1226" s="784"/>
      <c r="BC1226" s="785"/>
      <c r="BD1226" s="900"/>
    </row>
    <row r="1227" spans="1:56" s="65" customFormat="1" ht="15" hidden="1" customHeight="1" outlineLevel="1" x14ac:dyDescent="0.25">
      <c r="A1227" s="785"/>
      <c r="B1227" s="177"/>
      <c r="C1227" s="455"/>
      <c r="D1227" s="2473"/>
      <c r="E1227" s="2505"/>
      <c r="F1227" s="2826" t="str">
        <f>$F$1215</f>
        <v>DFHP - SEER 20 MF heat pump base</v>
      </c>
      <c r="G1227" s="2826"/>
      <c r="H1227" s="2827"/>
      <c r="I1227" s="1668"/>
      <c r="J1227" s="1663">
        <v>8.1999999999999993</v>
      </c>
      <c r="K1227" s="1075"/>
      <c r="L1227" s="1054" t="s">
        <v>1289</v>
      </c>
      <c r="M1227" s="177"/>
      <c r="N1227" s="177"/>
      <c r="O1227" s="177"/>
      <c r="P1227" s="177"/>
      <c r="Q1227" s="177"/>
      <c r="R1227" s="177"/>
      <c r="S1227" s="177"/>
      <c r="T1227" s="177"/>
      <c r="U1227" s="177"/>
      <c r="V1227" s="2866"/>
      <c r="W1227" s="909">
        <v>8.1999999999999993</v>
      </c>
      <c r="X1227" s="909">
        <v>8.1999999999999993</v>
      </c>
      <c r="Y1227" s="909">
        <v>8.1999999999999993</v>
      </c>
      <c r="Z1227" s="909"/>
      <c r="AA1227" s="909"/>
      <c r="AB1227" s="909"/>
      <c r="AC1227" s="909"/>
      <c r="AD1227" s="909"/>
      <c r="AE1227" s="909"/>
      <c r="AF1227" s="909"/>
      <c r="AG1227" s="909"/>
      <c r="BB1227" s="784"/>
      <c r="BC1227" s="785"/>
      <c r="BD1227" s="900"/>
    </row>
    <row r="1228" spans="1:56" s="65" customFormat="1" ht="15" hidden="1" customHeight="1" outlineLevel="1" x14ac:dyDescent="0.25">
      <c r="A1228" s="785"/>
      <c r="B1228" s="177"/>
      <c r="C1228" s="455"/>
      <c r="D1228" s="2473"/>
      <c r="E1228" s="2505"/>
      <c r="F1228" s="2826" t="str">
        <f>$F$1216</f>
        <v>DFHP - SEER 20 MF heat pump base_CompE</v>
      </c>
      <c r="G1228" s="2826"/>
      <c r="H1228" s="2827"/>
      <c r="I1228" s="1668"/>
      <c r="J1228" s="1663">
        <v>8.1999999999999993</v>
      </c>
      <c r="K1228" s="1075"/>
      <c r="L1228" s="1054"/>
      <c r="M1228" s="177"/>
      <c r="N1228" s="177"/>
      <c r="O1228" s="177"/>
      <c r="P1228" s="177"/>
      <c r="Q1228" s="177"/>
      <c r="R1228" s="177"/>
      <c r="S1228" s="177"/>
      <c r="T1228" s="177"/>
      <c r="U1228" s="177"/>
      <c r="V1228" s="2866"/>
      <c r="W1228" s="909"/>
      <c r="X1228" s="909"/>
      <c r="Y1228" s="908">
        <v>8.1999999999999993</v>
      </c>
      <c r="Z1228" s="909"/>
      <c r="AA1228" s="909"/>
      <c r="AB1228" s="909"/>
      <c r="AC1228" s="909"/>
      <c r="AD1228" s="909"/>
      <c r="AE1228" s="909"/>
      <c r="AF1228" s="909"/>
      <c r="AG1228" s="909"/>
      <c r="BB1228" s="784"/>
      <c r="BC1228" s="785"/>
      <c r="BD1228" s="900"/>
    </row>
    <row r="1229" spans="1:56" s="65" customFormat="1" hidden="1" outlineLevel="1" x14ac:dyDescent="0.25">
      <c r="A1229" s="785"/>
      <c r="B1229" s="177"/>
      <c r="C1229" s="455"/>
      <c r="D1229" s="2473"/>
      <c r="E1229" s="2505"/>
      <c r="F1229" s="2826" t="str">
        <f>$F$1217</f>
        <v>DFHP - SEER 21 MF heat pump base</v>
      </c>
      <c r="G1229" s="2826"/>
      <c r="H1229" s="2827"/>
      <c r="I1229" s="1668"/>
      <c r="J1229" s="1663">
        <v>8.1999999999999993</v>
      </c>
      <c r="K1229" s="1075"/>
      <c r="L1229" s="1054" t="s">
        <v>1289</v>
      </c>
      <c r="M1229" s="177"/>
      <c r="N1229" s="177"/>
      <c r="O1229" s="177"/>
      <c r="P1229" s="177"/>
      <c r="Q1229" s="1103"/>
      <c r="R1229" s="1639"/>
      <c r="S1229" s="177"/>
      <c r="T1229" s="177"/>
      <c r="U1229" s="177"/>
      <c r="V1229" s="2866"/>
      <c r="W1229" s="909">
        <v>8.1999999999999993</v>
      </c>
      <c r="X1229" s="909">
        <v>8.1999999999999993</v>
      </c>
      <c r="Y1229" s="909">
        <v>8.1999999999999993</v>
      </c>
      <c r="Z1229" s="909"/>
      <c r="AA1229" s="909"/>
      <c r="AB1229" s="909"/>
      <c r="AC1229" s="909"/>
      <c r="AD1229" s="909"/>
      <c r="AE1229" s="909"/>
      <c r="AF1229" s="909"/>
      <c r="AG1229" s="909"/>
      <c r="BB1229" s="784"/>
      <c r="BC1229" s="785"/>
      <c r="BD1229" s="900"/>
    </row>
    <row r="1230" spans="1:56" s="65" customFormat="1" ht="15.75" hidden="1" outlineLevel="1" thickBot="1" x14ac:dyDescent="0.3">
      <c r="A1230" s="785"/>
      <c r="B1230" s="177"/>
      <c r="C1230" s="455"/>
      <c r="D1230" s="2469"/>
      <c r="E1230" s="2506"/>
      <c r="F1230" s="2869" t="str">
        <f>$F$1218</f>
        <v>DFHP - SEER 21 MF heat pump base_CompE</v>
      </c>
      <c r="G1230" s="2869"/>
      <c r="H1230" s="2870"/>
      <c r="I1230" s="2555"/>
      <c r="J1230" s="921">
        <v>8.1999999999999993</v>
      </c>
      <c r="K1230" s="2556"/>
      <c r="L1230" s="2474"/>
      <c r="M1230" s="177"/>
      <c r="N1230" s="177"/>
      <c r="O1230" s="177"/>
      <c r="P1230" s="177"/>
      <c r="Q1230" s="1103"/>
      <c r="R1230" s="1639"/>
      <c r="S1230" s="177"/>
      <c r="T1230" s="177"/>
      <c r="U1230" s="177"/>
      <c r="V1230" s="2866"/>
      <c r="W1230" s="909"/>
      <c r="X1230" s="909"/>
      <c r="Y1230" s="908">
        <v>8.1999999999999993</v>
      </c>
      <c r="Z1230" s="909"/>
      <c r="AA1230" s="909"/>
      <c r="AB1230" s="909"/>
      <c r="AC1230" s="909"/>
      <c r="AD1230" s="909"/>
      <c r="AE1230" s="909"/>
      <c r="AF1230" s="909"/>
      <c r="AG1230" s="909"/>
      <c r="BB1230" s="784"/>
      <c r="BC1230" s="785"/>
      <c r="BD1230" s="900"/>
    </row>
    <row r="1231" spans="1:56" s="65" customFormat="1" ht="15" hidden="1" customHeight="1" outlineLevel="1" x14ac:dyDescent="0.25">
      <c r="A1231" s="785"/>
      <c r="B1231" s="177"/>
      <c r="C1231" s="455"/>
      <c r="D1231" s="2466" t="s">
        <v>1387</v>
      </c>
      <c r="E1231" s="2476" t="s">
        <v>1388</v>
      </c>
      <c r="F1231" s="2868" t="str">
        <f>$F$1213</f>
        <v xml:space="preserve">DFHP - SEER 19 MF heat pump base </v>
      </c>
      <c r="G1231" s="2821"/>
      <c r="H1231" s="2822"/>
      <c r="I1231" s="2477"/>
      <c r="J1231" s="2471">
        <v>10</v>
      </c>
      <c r="K1231" s="1080"/>
      <c r="L1231" s="1009" t="s">
        <v>1389</v>
      </c>
      <c r="M1231" s="177"/>
      <c r="N1231" s="177"/>
      <c r="O1231" s="177"/>
      <c r="P1231" s="177"/>
      <c r="Q1231" s="1103"/>
      <c r="R1231" s="1639"/>
      <c r="S1231" s="177"/>
      <c r="T1231" s="177"/>
      <c r="U1231" s="177"/>
      <c r="V1231" s="2867" t="s">
        <v>1387</v>
      </c>
      <c r="W1231" s="903">
        <v>10</v>
      </c>
      <c r="X1231" s="903">
        <v>10</v>
      </c>
      <c r="Y1231" s="903">
        <v>10</v>
      </c>
      <c r="Z1231" s="903"/>
      <c r="AA1231" s="903"/>
      <c r="AB1231" s="903"/>
      <c r="AC1231" s="903"/>
      <c r="AD1231" s="903"/>
      <c r="AE1231" s="903"/>
      <c r="AF1231" s="903"/>
      <c r="AG1231" s="903"/>
      <c r="BB1231" s="784"/>
      <c r="BC1231" s="785"/>
      <c r="BD1231" s="900"/>
    </row>
    <row r="1232" spans="1:56" s="65" customFormat="1" hidden="1" outlineLevel="1" x14ac:dyDescent="0.25">
      <c r="A1232" s="785"/>
      <c r="B1232" s="177"/>
      <c r="C1232" s="455"/>
      <c r="D1232" s="2473"/>
      <c r="E1232" s="2550"/>
      <c r="F1232" s="2862" t="str">
        <f>$F$1214</f>
        <v>DFHP - SEER 19 MF heat pump base _CompE</v>
      </c>
      <c r="G1232" s="2826"/>
      <c r="H1232" s="2827"/>
      <c r="I1232" s="1057"/>
      <c r="J1232" s="2470">
        <v>10</v>
      </c>
      <c r="K1232" s="1075"/>
      <c r="L1232" s="1055"/>
      <c r="M1232" s="177"/>
      <c r="N1232" s="177"/>
      <c r="O1232" s="177"/>
      <c r="P1232" s="177"/>
      <c r="Q1232" s="1103"/>
      <c r="R1232" s="1639"/>
      <c r="S1232" s="177"/>
      <c r="T1232" s="177"/>
      <c r="U1232" s="177"/>
      <c r="V1232" s="2866"/>
      <c r="W1232" s="926"/>
      <c r="X1232" s="926"/>
      <c r="Y1232" s="908">
        <v>10</v>
      </c>
      <c r="Z1232" s="926"/>
      <c r="AA1232" s="926"/>
      <c r="AB1232" s="926"/>
      <c r="AC1232" s="926"/>
      <c r="AD1232" s="926"/>
      <c r="AE1232" s="926"/>
      <c r="AF1232" s="926"/>
      <c r="AG1232" s="926"/>
      <c r="BB1232" s="784"/>
      <c r="BC1232" s="785"/>
      <c r="BD1232" s="900"/>
    </row>
    <row r="1233" spans="1:56" s="65" customFormat="1" hidden="1" outlineLevel="1" x14ac:dyDescent="0.25">
      <c r="A1233" s="785"/>
      <c r="B1233" s="177"/>
      <c r="C1233" s="455"/>
      <c r="D1233" s="2473"/>
      <c r="E1233" s="2550"/>
      <c r="F1233" s="2862" t="str">
        <f>$F$1215</f>
        <v>DFHP - SEER 20 MF heat pump base</v>
      </c>
      <c r="G1233" s="2826"/>
      <c r="H1233" s="2827"/>
      <c r="I1233" s="2475"/>
      <c r="J1233" s="2470">
        <v>10.4</v>
      </c>
      <c r="K1233" s="1075"/>
      <c r="L1233" s="1012" t="s">
        <v>1389</v>
      </c>
      <c r="M1233" s="177"/>
      <c r="N1233" s="177"/>
      <c r="O1233" s="177"/>
      <c r="P1233" s="177"/>
      <c r="Q1233" s="1103"/>
      <c r="R1233" s="1639"/>
      <c r="S1233" s="177"/>
      <c r="T1233" s="177"/>
      <c r="U1233" s="177"/>
      <c r="V1233" s="2866"/>
      <c r="W1233" s="909">
        <v>10.4</v>
      </c>
      <c r="X1233" s="909">
        <v>10.4</v>
      </c>
      <c r="Y1233" s="909">
        <v>10.4</v>
      </c>
      <c r="Z1233" s="909"/>
      <c r="AA1233" s="909"/>
      <c r="AB1233" s="909"/>
      <c r="AC1233" s="909"/>
      <c r="AD1233" s="909"/>
      <c r="AE1233" s="909"/>
      <c r="AF1233" s="909"/>
      <c r="AG1233" s="909"/>
      <c r="BB1233" s="784"/>
      <c r="BC1233" s="785"/>
      <c r="BD1233" s="900"/>
    </row>
    <row r="1234" spans="1:56" s="65" customFormat="1" hidden="1" outlineLevel="1" x14ac:dyDescent="0.25">
      <c r="A1234" s="785"/>
      <c r="B1234" s="177"/>
      <c r="C1234" s="455"/>
      <c r="D1234" s="2473"/>
      <c r="E1234" s="2550"/>
      <c r="F1234" s="2862" t="str">
        <f>$F$1216</f>
        <v>DFHP - SEER 20 MF heat pump base_CompE</v>
      </c>
      <c r="G1234" s="2826"/>
      <c r="H1234" s="2827"/>
      <c r="I1234" s="2475"/>
      <c r="J1234" s="2470">
        <v>10.4</v>
      </c>
      <c r="K1234" s="1075"/>
      <c r="L1234" s="1012"/>
      <c r="M1234" s="177"/>
      <c r="N1234" s="177"/>
      <c r="O1234" s="177"/>
      <c r="P1234" s="177"/>
      <c r="Q1234" s="1103"/>
      <c r="R1234" s="1639"/>
      <c r="S1234" s="177"/>
      <c r="T1234" s="177"/>
      <c r="U1234" s="177"/>
      <c r="V1234" s="2866"/>
      <c r="W1234" s="909"/>
      <c r="X1234" s="909"/>
      <c r="Y1234" s="908">
        <v>10.4</v>
      </c>
      <c r="Z1234" s="909"/>
      <c r="AA1234" s="909"/>
      <c r="AB1234" s="909"/>
      <c r="AC1234" s="909"/>
      <c r="AD1234" s="909"/>
      <c r="AE1234" s="909"/>
      <c r="AF1234" s="909"/>
      <c r="AG1234" s="909"/>
      <c r="BB1234" s="784"/>
      <c r="BC1234" s="785"/>
      <c r="BD1234" s="900"/>
    </row>
    <row r="1235" spans="1:56" s="65" customFormat="1" hidden="1" outlineLevel="1" x14ac:dyDescent="0.25">
      <c r="A1235" s="785"/>
      <c r="B1235" s="177"/>
      <c r="C1235" s="455"/>
      <c r="D1235" s="2473"/>
      <c r="E1235" s="2550"/>
      <c r="F1235" s="2862" t="str">
        <f>$F$1217</f>
        <v>DFHP - SEER 21 MF heat pump base</v>
      </c>
      <c r="G1235" s="2826"/>
      <c r="H1235" s="2827"/>
      <c r="I1235" s="2475"/>
      <c r="J1235" s="2470">
        <v>10.8</v>
      </c>
      <c r="K1235" s="1075"/>
      <c r="L1235" s="1012" t="s">
        <v>1389</v>
      </c>
      <c r="M1235" s="177"/>
      <c r="N1235" s="177"/>
      <c r="O1235" s="177"/>
      <c r="P1235" s="177"/>
      <c r="Q1235" s="1103"/>
      <c r="R1235" s="1639"/>
      <c r="S1235" s="177"/>
      <c r="T1235" s="177"/>
      <c r="U1235" s="177"/>
      <c r="V1235" s="2866"/>
      <c r="W1235" s="909">
        <v>10.8</v>
      </c>
      <c r="X1235" s="909">
        <v>10.8</v>
      </c>
      <c r="Y1235" s="909">
        <v>10.8</v>
      </c>
      <c r="Z1235" s="909"/>
      <c r="AA1235" s="909"/>
      <c r="AB1235" s="909"/>
      <c r="AC1235" s="909"/>
      <c r="AD1235" s="909"/>
      <c r="AE1235" s="909"/>
      <c r="AF1235" s="909"/>
      <c r="AG1235" s="909"/>
      <c r="BB1235" s="784"/>
      <c r="BC1235" s="785"/>
      <c r="BD1235" s="900"/>
    </row>
    <row r="1236" spans="1:56" s="65" customFormat="1" ht="15.75" hidden="1" outlineLevel="1" thickBot="1" x14ac:dyDescent="0.3">
      <c r="A1236" s="785"/>
      <c r="B1236" s="177"/>
      <c r="C1236" s="455"/>
      <c r="D1236" s="2469"/>
      <c r="E1236" s="2551"/>
      <c r="F1236" s="2859" t="str">
        <f>$F$1218</f>
        <v>DFHP - SEER 21 MF heat pump base_CompE</v>
      </c>
      <c r="G1236" s="2860"/>
      <c r="H1236" s="2861"/>
      <c r="I1236" s="1039"/>
      <c r="J1236" s="2472">
        <v>10.8</v>
      </c>
      <c r="K1236" s="2080"/>
      <c r="L1236" s="1041"/>
      <c r="M1236" s="177"/>
      <c r="N1236" s="177"/>
      <c r="O1236" s="177"/>
      <c r="P1236" s="177"/>
      <c r="Q1236" s="1103"/>
      <c r="R1236" s="1639"/>
      <c r="S1236" s="177"/>
      <c r="T1236" s="177"/>
      <c r="U1236" s="177"/>
      <c r="V1236" s="2866"/>
      <c r="W1236" s="909"/>
      <c r="X1236" s="909"/>
      <c r="Y1236" s="908">
        <v>10.8</v>
      </c>
      <c r="Z1236" s="909"/>
      <c r="AA1236" s="909"/>
      <c r="AB1236" s="909"/>
      <c r="AC1236" s="909"/>
      <c r="AD1236" s="909"/>
      <c r="AE1236" s="909"/>
      <c r="AF1236" s="909"/>
      <c r="AG1236" s="909"/>
      <c r="BB1236" s="784"/>
      <c r="BC1236" s="785"/>
      <c r="BD1236" s="900"/>
    </row>
    <row r="1237" spans="1:56" s="65" customFormat="1" hidden="1" outlineLevel="1" x14ac:dyDescent="0.25">
      <c r="A1237" s="785"/>
      <c r="B1237" s="177"/>
      <c r="C1237" s="455"/>
      <c r="D1237" s="2466" t="s">
        <v>1390</v>
      </c>
      <c r="E1237" s="2476" t="s">
        <v>1391</v>
      </c>
      <c r="F1237" s="2862" t="str">
        <f>$F$1213</f>
        <v xml:space="preserve">DFHP - SEER 19 MF heat pump base </v>
      </c>
      <c r="G1237" s="2826"/>
      <c r="H1237" s="2827"/>
      <c r="I1237" s="2475"/>
      <c r="J1237" s="2470">
        <v>40800</v>
      </c>
      <c r="K1237" s="1075">
        <f>J1237/12000</f>
        <v>3.4</v>
      </c>
      <c r="L1237" s="1054" t="s">
        <v>1380</v>
      </c>
      <c r="M1237" s="177"/>
      <c r="N1237" s="177"/>
      <c r="O1237" s="177"/>
      <c r="P1237" s="177"/>
      <c r="Q1237" s="1103"/>
      <c r="R1237" s="1639"/>
      <c r="S1237" s="177"/>
      <c r="T1237" s="177"/>
      <c r="U1237" s="177"/>
      <c r="V1237" s="2867" t="s">
        <v>1390</v>
      </c>
      <c r="W1237" s="903">
        <f>$K1237*12000</f>
        <v>40800</v>
      </c>
      <c r="X1237" s="903">
        <f>$K1237*12000</f>
        <v>40800</v>
      </c>
      <c r="Y1237" s="903">
        <v>40800</v>
      </c>
      <c r="Z1237" s="903"/>
      <c r="AA1237" s="903"/>
      <c r="AB1237" s="903"/>
      <c r="AC1237" s="903"/>
      <c r="AD1237" s="903"/>
      <c r="AE1237" s="903"/>
      <c r="AF1237" s="903"/>
      <c r="AG1237" s="903"/>
      <c r="BB1237" s="784"/>
      <c r="BC1237" s="785"/>
      <c r="BD1237" s="900"/>
    </row>
    <row r="1238" spans="1:56" s="65" customFormat="1" hidden="1" outlineLevel="1" x14ac:dyDescent="0.25">
      <c r="A1238" s="785"/>
      <c r="B1238" s="177"/>
      <c r="C1238" s="455"/>
      <c r="D1238" s="2473"/>
      <c r="E1238" s="2550"/>
      <c r="F1238" s="2862" t="str">
        <f>$F$1214</f>
        <v>DFHP - SEER 19 MF heat pump base _CompE</v>
      </c>
      <c r="G1238" s="2826"/>
      <c r="H1238" s="2827"/>
      <c r="I1238" s="1057"/>
      <c r="J1238" s="2470">
        <v>40800</v>
      </c>
      <c r="K1238" s="1075">
        <f t="shared" ref="K1238:K1242" si="115">J1238/12000</f>
        <v>3.4</v>
      </c>
      <c r="L1238" s="1053"/>
      <c r="M1238" s="177"/>
      <c r="N1238" s="177"/>
      <c r="O1238" s="177"/>
      <c r="P1238" s="177"/>
      <c r="Q1238" s="1103"/>
      <c r="R1238" s="1639"/>
      <c r="S1238" s="177"/>
      <c r="T1238" s="177"/>
      <c r="U1238" s="177"/>
      <c r="V1238" s="2866"/>
      <c r="W1238" s="926"/>
      <c r="X1238" s="926"/>
      <c r="Y1238" s="909">
        <v>40800</v>
      </c>
      <c r="Z1238" s="926"/>
      <c r="AA1238" s="926"/>
      <c r="AB1238" s="926"/>
      <c r="AC1238" s="926"/>
      <c r="AD1238" s="926"/>
      <c r="AE1238" s="926"/>
      <c r="AF1238" s="926"/>
      <c r="AG1238" s="926"/>
      <c r="BB1238" s="784"/>
      <c r="BC1238" s="785"/>
      <c r="BD1238" s="900"/>
    </row>
    <row r="1239" spans="1:56" s="65" customFormat="1" hidden="1" outlineLevel="1" x14ac:dyDescent="0.25">
      <c r="A1239" s="785"/>
      <c r="B1239" s="177"/>
      <c r="C1239" s="455"/>
      <c r="D1239" s="2473"/>
      <c r="E1239" s="2550"/>
      <c r="F1239" s="2862" t="str">
        <f>$F$1215</f>
        <v>DFHP - SEER 20 MF heat pump base</v>
      </c>
      <c r="G1239" s="2826"/>
      <c r="H1239" s="2827"/>
      <c r="I1239" s="2475"/>
      <c r="J1239" s="2470">
        <v>52800.000000000007</v>
      </c>
      <c r="K1239" s="1075">
        <f t="shared" si="115"/>
        <v>4.4000000000000004</v>
      </c>
      <c r="L1239" s="1054" t="s">
        <v>1380</v>
      </c>
      <c r="M1239" s="177"/>
      <c r="N1239" s="177"/>
      <c r="O1239" s="177"/>
      <c r="P1239" s="177"/>
      <c r="Q1239" s="1103"/>
      <c r="R1239" s="1639"/>
      <c r="S1239" s="177"/>
      <c r="T1239" s="177"/>
      <c r="U1239" s="177"/>
      <c r="V1239" s="2866"/>
      <c r="W1239" s="909">
        <f t="shared" ref="W1239:X1241" si="116">$K1239*12000</f>
        <v>52800.000000000007</v>
      </c>
      <c r="X1239" s="909">
        <f t="shared" si="116"/>
        <v>52800.000000000007</v>
      </c>
      <c r="Y1239" s="909">
        <v>52800.000000000007</v>
      </c>
      <c r="Z1239" s="909"/>
      <c r="AA1239" s="909"/>
      <c r="AB1239" s="909"/>
      <c r="AC1239" s="909"/>
      <c r="AD1239" s="909"/>
      <c r="AE1239" s="909"/>
      <c r="AF1239" s="909"/>
      <c r="AG1239" s="909"/>
      <c r="BB1239" s="784"/>
      <c r="BC1239" s="785"/>
      <c r="BD1239" s="900"/>
    </row>
    <row r="1240" spans="1:56" s="65" customFormat="1" hidden="1" outlineLevel="1" x14ac:dyDescent="0.25">
      <c r="A1240" s="785"/>
      <c r="B1240" s="177"/>
      <c r="C1240" s="455"/>
      <c r="D1240" s="2473"/>
      <c r="E1240" s="2550"/>
      <c r="F1240" s="2862" t="str">
        <f>$F$1216</f>
        <v>DFHP - SEER 20 MF heat pump base_CompE</v>
      </c>
      <c r="G1240" s="2826"/>
      <c r="H1240" s="2827"/>
      <c r="I1240" s="2475"/>
      <c r="J1240" s="2470">
        <v>52800.000000000007</v>
      </c>
      <c r="K1240" s="1075">
        <f t="shared" si="115"/>
        <v>4.4000000000000004</v>
      </c>
      <c r="L1240" s="1054"/>
      <c r="M1240" s="177"/>
      <c r="N1240" s="177"/>
      <c r="O1240" s="177"/>
      <c r="P1240" s="177"/>
      <c r="Q1240" s="1103"/>
      <c r="R1240" s="1639"/>
      <c r="S1240" s="177"/>
      <c r="T1240" s="177"/>
      <c r="U1240" s="177"/>
      <c r="V1240" s="2866"/>
      <c r="W1240" s="909"/>
      <c r="X1240" s="909"/>
      <c r="Y1240" s="909">
        <v>52800.000000000007</v>
      </c>
      <c r="Z1240" s="909"/>
      <c r="AA1240" s="909"/>
      <c r="AB1240" s="909"/>
      <c r="AC1240" s="909"/>
      <c r="AD1240" s="909"/>
      <c r="AE1240" s="909"/>
      <c r="AF1240" s="909"/>
      <c r="AG1240" s="909"/>
      <c r="BB1240" s="784"/>
      <c r="BC1240" s="785"/>
      <c r="BD1240" s="900"/>
    </row>
    <row r="1241" spans="1:56" s="65" customFormat="1" hidden="1" outlineLevel="1" x14ac:dyDescent="0.25">
      <c r="A1241" s="785"/>
      <c r="B1241" s="177"/>
      <c r="C1241" s="455"/>
      <c r="D1241" s="2473"/>
      <c r="E1241" s="2550"/>
      <c r="F1241" s="2862" t="str">
        <f>$F$1217</f>
        <v>DFHP - SEER 21 MF heat pump base</v>
      </c>
      <c r="G1241" s="2826"/>
      <c r="H1241" s="2827"/>
      <c r="I1241" s="2475"/>
      <c r="J1241" s="2470">
        <v>64800.000000000007</v>
      </c>
      <c r="K1241" s="1075">
        <f t="shared" si="115"/>
        <v>5.4</v>
      </c>
      <c r="L1241" s="1054" t="s">
        <v>1380</v>
      </c>
      <c r="M1241" s="177"/>
      <c r="N1241" s="177"/>
      <c r="O1241" s="177"/>
      <c r="P1241" s="177"/>
      <c r="Q1241" s="1103"/>
      <c r="R1241" s="1639"/>
      <c r="S1241" s="177"/>
      <c r="T1241" s="177"/>
      <c r="U1241" s="177"/>
      <c r="V1241" s="2866"/>
      <c r="W1241" s="909">
        <f t="shared" si="116"/>
        <v>64800.000000000007</v>
      </c>
      <c r="X1241" s="909">
        <f t="shared" si="116"/>
        <v>64800.000000000007</v>
      </c>
      <c r="Y1241" s="909">
        <v>64800.000000000007</v>
      </c>
      <c r="Z1241" s="909"/>
      <c r="AA1241" s="909"/>
      <c r="AB1241" s="909"/>
      <c r="AC1241" s="909"/>
      <c r="AD1241" s="909"/>
      <c r="AE1241" s="909"/>
      <c r="AF1241" s="909"/>
      <c r="AG1241" s="909"/>
      <c r="BB1241" s="784"/>
      <c r="BC1241" s="785"/>
      <c r="BD1241" s="900"/>
    </row>
    <row r="1242" spans="1:56" s="65" customFormat="1" ht="15.75" hidden="1" outlineLevel="1" thickBot="1" x14ac:dyDescent="0.3">
      <c r="A1242" s="785"/>
      <c r="B1242" s="177"/>
      <c r="C1242" s="455"/>
      <c r="D1242" s="2469"/>
      <c r="E1242" s="2551"/>
      <c r="F1242" s="2859" t="str">
        <f>$F$1218</f>
        <v>DFHP - SEER 21 MF heat pump base_CompE</v>
      </c>
      <c r="G1242" s="2860"/>
      <c r="H1242" s="2861"/>
      <c r="I1242" s="1039"/>
      <c r="J1242" s="2472">
        <v>64800.000000000007</v>
      </c>
      <c r="K1242" s="2080">
        <f t="shared" si="115"/>
        <v>5.4</v>
      </c>
      <c r="L1242" s="1066"/>
      <c r="M1242" s="177"/>
      <c r="N1242" s="177"/>
      <c r="O1242" s="177"/>
      <c r="P1242" s="177"/>
      <c r="Q1242" s="1103"/>
      <c r="R1242" s="1639"/>
      <c r="S1242" s="177"/>
      <c r="T1242" s="177"/>
      <c r="U1242" s="177"/>
      <c r="V1242" s="2866"/>
      <c r="W1242" s="909"/>
      <c r="X1242" s="909"/>
      <c r="Y1242" s="909">
        <v>64800.000000000007</v>
      </c>
      <c r="Z1242" s="909"/>
      <c r="AA1242" s="909"/>
      <c r="AB1242" s="909"/>
      <c r="AC1242" s="909"/>
      <c r="AD1242" s="909"/>
      <c r="AE1242" s="909"/>
      <c r="AF1242" s="909"/>
      <c r="AG1242" s="909"/>
      <c r="BB1242" s="784"/>
      <c r="BC1242" s="785"/>
      <c r="BD1242" s="900"/>
    </row>
    <row r="1243" spans="1:56" s="65" customFormat="1" hidden="1" outlineLevel="1" x14ac:dyDescent="0.25">
      <c r="A1243" s="785"/>
      <c r="B1243" s="177"/>
      <c r="C1243" s="455"/>
      <c r="D1243" s="2466" t="s">
        <v>1392</v>
      </c>
      <c r="E1243" s="2476" t="s">
        <v>1393</v>
      </c>
      <c r="F1243" s="2868" t="str">
        <f>$F$1213</f>
        <v xml:space="preserve">DFHP - SEER 19 MF heat pump base </v>
      </c>
      <c r="G1243" s="2821"/>
      <c r="H1243" s="2822"/>
      <c r="I1243" s="2477"/>
      <c r="J1243" s="2471">
        <v>869</v>
      </c>
      <c r="K1243" s="1080"/>
      <c r="L1243" s="1052" t="s">
        <v>1289</v>
      </c>
      <c r="M1243" s="177"/>
      <c r="N1243" s="177"/>
      <c r="O1243" s="177"/>
      <c r="P1243" s="177"/>
      <c r="Q1243" s="1103"/>
      <c r="R1243" s="1639"/>
      <c r="S1243" s="177"/>
      <c r="T1243" s="177"/>
      <c r="U1243" s="177"/>
      <c r="V1243" s="2867" t="s">
        <v>1392</v>
      </c>
      <c r="W1243" s="903">
        <v>869</v>
      </c>
      <c r="X1243" s="903">
        <v>869</v>
      </c>
      <c r="Y1243" s="903">
        <v>869</v>
      </c>
      <c r="Z1243" s="903"/>
      <c r="AA1243" s="903"/>
      <c r="AB1243" s="903"/>
      <c r="AC1243" s="903"/>
      <c r="AD1243" s="903"/>
      <c r="AE1243" s="903"/>
      <c r="AF1243" s="903"/>
      <c r="AG1243" s="903"/>
      <c r="BB1243" s="784"/>
      <c r="BC1243" s="785"/>
      <c r="BD1243" s="900"/>
    </row>
    <row r="1244" spans="1:56" s="65" customFormat="1" hidden="1" outlineLevel="1" x14ac:dyDescent="0.25">
      <c r="A1244" s="785"/>
      <c r="B1244" s="177"/>
      <c r="C1244" s="455"/>
      <c r="D1244" s="2473"/>
      <c r="E1244" s="2550"/>
      <c r="F1244" s="2862" t="str">
        <f>$F$1214</f>
        <v>DFHP - SEER 19 MF heat pump base _CompE</v>
      </c>
      <c r="G1244" s="2826"/>
      <c r="H1244" s="2827"/>
      <c r="I1244" s="1057"/>
      <c r="J1244" s="2470">
        <v>632</v>
      </c>
      <c r="K1244" s="1075"/>
      <c r="L1244" s="1053" t="s">
        <v>1384</v>
      </c>
      <c r="M1244" s="177"/>
      <c r="N1244" s="177"/>
      <c r="O1244" s="177"/>
      <c r="P1244" s="177"/>
      <c r="Q1244" s="1103"/>
      <c r="R1244" s="1639"/>
      <c r="S1244" s="177"/>
      <c r="T1244" s="177"/>
      <c r="U1244" s="177"/>
      <c r="V1244" s="2866"/>
      <c r="W1244" s="926"/>
      <c r="X1244" s="926"/>
      <c r="Y1244" s="933">
        <v>632</v>
      </c>
      <c r="Z1244" s="926"/>
      <c r="AA1244" s="926"/>
      <c r="AB1244" s="926"/>
      <c r="AC1244" s="926"/>
      <c r="AD1244" s="926"/>
      <c r="AE1244" s="926"/>
      <c r="AF1244" s="926"/>
      <c r="AG1244" s="926"/>
      <c r="BB1244" s="784"/>
      <c r="BC1244" s="785"/>
      <c r="BD1244" s="900"/>
    </row>
    <row r="1245" spans="1:56" s="65" customFormat="1" hidden="1" outlineLevel="1" x14ac:dyDescent="0.25">
      <c r="A1245" s="785"/>
      <c r="B1245" s="177"/>
      <c r="C1245" s="455"/>
      <c r="D1245" s="2473"/>
      <c r="E1245" s="2550"/>
      <c r="F1245" s="2862" t="str">
        <f>$F$1215</f>
        <v>DFHP - SEER 20 MF heat pump base</v>
      </c>
      <c r="G1245" s="2826"/>
      <c r="H1245" s="2827"/>
      <c r="I1245" s="2475"/>
      <c r="J1245" s="2470">
        <v>869</v>
      </c>
      <c r="K1245" s="1075"/>
      <c r="L1245" s="1054" t="s">
        <v>1289</v>
      </c>
      <c r="M1245" s="177"/>
      <c r="N1245" s="177"/>
      <c r="O1245" s="177"/>
      <c r="P1245" s="177"/>
      <c r="Q1245" s="1103"/>
      <c r="R1245" s="1639"/>
      <c r="S1245" s="177"/>
      <c r="T1245" s="177"/>
      <c r="U1245" s="177"/>
      <c r="V1245" s="2866"/>
      <c r="W1245" s="909">
        <v>869</v>
      </c>
      <c r="X1245" s="909">
        <v>869</v>
      </c>
      <c r="Y1245" s="909">
        <v>869</v>
      </c>
      <c r="Z1245" s="909"/>
      <c r="AA1245" s="909"/>
      <c r="AB1245" s="909"/>
      <c r="AC1245" s="909"/>
      <c r="AD1245" s="909"/>
      <c r="AE1245" s="909"/>
      <c r="AF1245" s="909"/>
      <c r="AG1245" s="909"/>
      <c r="BB1245" s="784"/>
      <c r="BC1245" s="785"/>
      <c r="BD1245" s="900"/>
    </row>
    <row r="1246" spans="1:56" s="65" customFormat="1" hidden="1" outlineLevel="1" x14ac:dyDescent="0.25">
      <c r="A1246" s="785"/>
      <c r="B1246" s="177"/>
      <c r="C1246" s="455"/>
      <c r="D1246" s="2473"/>
      <c r="E1246" s="2550"/>
      <c r="F1246" s="2862" t="str">
        <f>$F$1216</f>
        <v>DFHP - SEER 20 MF heat pump base_CompE</v>
      </c>
      <c r="G1246" s="2826"/>
      <c r="H1246" s="2827"/>
      <c r="I1246" s="2475"/>
      <c r="J1246" s="2470">
        <v>632</v>
      </c>
      <c r="K1246" s="1075"/>
      <c r="L1246" s="1054" t="s">
        <v>1384</v>
      </c>
      <c r="M1246" s="177"/>
      <c r="N1246" s="177"/>
      <c r="O1246" s="177"/>
      <c r="P1246" s="177"/>
      <c r="Q1246" s="1103"/>
      <c r="R1246" s="1639"/>
      <c r="S1246" s="177"/>
      <c r="T1246" s="177"/>
      <c r="U1246" s="177"/>
      <c r="V1246" s="2866"/>
      <c r="W1246" s="909"/>
      <c r="X1246" s="909"/>
      <c r="Y1246" s="933">
        <v>632</v>
      </c>
      <c r="Z1246" s="909"/>
      <c r="AA1246" s="909"/>
      <c r="AB1246" s="909"/>
      <c r="AC1246" s="909"/>
      <c r="AD1246" s="909"/>
      <c r="AE1246" s="909"/>
      <c r="AF1246" s="909"/>
      <c r="AG1246" s="909"/>
      <c r="BB1246" s="784"/>
      <c r="BC1246" s="785"/>
      <c r="BD1246" s="900"/>
    </row>
    <row r="1247" spans="1:56" s="65" customFormat="1" hidden="1" outlineLevel="1" x14ac:dyDescent="0.25">
      <c r="A1247" s="785"/>
      <c r="B1247" s="177"/>
      <c r="C1247" s="455"/>
      <c r="D1247" s="2473"/>
      <c r="E1247" s="2550"/>
      <c r="F1247" s="2862" t="str">
        <f>$F$1217</f>
        <v>DFHP - SEER 21 MF heat pump base</v>
      </c>
      <c r="G1247" s="2826"/>
      <c r="H1247" s="2827"/>
      <c r="I1247" s="2475"/>
      <c r="J1247" s="2470">
        <v>869</v>
      </c>
      <c r="K1247" s="1075"/>
      <c r="L1247" s="1054" t="s">
        <v>1289</v>
      </c>
      <c r="M1247" s="177"/>
      <c r="N1247" s="177"/>
      <c r="O1247" s="177"/>
      <c r="P1247" s="177"/>
      <c r="Q1247" s="1103"/>
      <c r="R1247" s="1639"/>
      <c r="S1247" s="177"/>
      <c r="T1247" s="177"/>
      <c r="U1247" s="177"/>
      <c r="V1247" s="2866"/>
      <c r="W1247" s="909">
        <v>869</v>
      </c>
      <c r="X1247" s="909">
        <v>869</v>
      </c>
      <c r="Y1247" s="909">
        <v>869</v>
      </c>
      <c r="Z1247" s="909"/>
      <c r="AA1247" s="909"/>
      <c r="AB1247" s="909"/>
      <c r="AC1247" s="909"/>
      <c r="AD1247" s="909"/>
      <c r="AE1247" s="909"/>
      <c r="AF1247" s="909"/>
      <c r="AG1247" s="909"/>
      <c r="BB1247" s="784"/>
      <c r="BC1247" s="785"/>
      <c r="BD1247" s="900"/>
    </row>
    <row r="1248" spans="1:56" s="65" customFormat="1" ht="15.75" hidden="1" outlineLevel="1" thickBot="1" x14ac:dyDescent="0.3">
      <c r="A1248" s="785"/>
      <c r="B1248" s="177"/>
      <c r="C1248" s="455"/>
      <c r="D1248" s="2469"/>
      <c r="E1248" s="2551"/>
      <c r="F1248" s="2859" t="str">
        <f>$F$1218</f>
        <v>DFHP - SEER 21 MF heat pump base_CompE</v>
      </c>
      <c r="G1248" s="2860"/>
      <c r="H1248" s="2861"/>
      <c r="I1248" s="1039"/>
      <c r="J1248" s="2472">
        <v>632</v>
      </c>
      <c r="K1248" s="2080"/>
      <c r="L1248" s="1066" t="s">
        <v>1384</v>
      </c>
      <c r="M1248" s="177"/>
      <c r="N1248" s="177"/>
      <c r="O1248" s="177"/>
      <c r="P1248" s="177"/>
      <c r="Q1248" s="1103"/>
      <c r="R1248" s="1639"/>
      <c r="S1248" s="177"/>
      <c r="T1248" s="177"/>
      <c r="U1248" s="177"/>
      <c r="V1248" s="2866"/>
      <c r="W1248" s="909"/>
      <c r="X1248" s="909"/>
      <c r="Y1248" s="933">
        <v>632</v>
      </c>
      <c r="Z1248" s="909"/>
      <c r="AA1248" s="909"/>
      <c r="AB1248" s="909"/>
      <c r="AC1248" s="909"/>
      <c r="AD1248" s="909"/>
      <c r="AE1248" s="909"/>
      <c r="AF1248" s="909"/>
      <c r="AG1248" s="909"/>
      <c r="BB1248" s="784"/>
      <c r="BC1248" s="785"/>
      <c r="BD1248" s="900"/>
    </row>
    <row r="1249" spans="1:56" s="65" customFormat="1" ht="15" hidden="1" customHeight="1" outlineLevel="1" x14ac:dyDescent="0.25">
      <c r="A1249" s="785"/>
      <c r="B1249" s="177"/>
      <c r="C1249" s="455"/>
      <c r="D1249" s="2466" t="s">
        <v>1394</v>
      </c>
      <c r="E1249" s="2476" t="s">
        <v>1395</v>
      </c>
      <c r="F1249" s="2871" t="str">
        <f>$F$1213</f>
        <v xml:space="preserve">DFHP - SEER 19 MF heat pump base </v>
      </c>
      <c r="G1249" s="2872"/>
      <c r="H1249" s="2873"/>
      <c r="I1249" s="1057"/>
      <c r="J1249" s="926">
        <v>14</v>
      </c>
      <c r="K1249" s="2083"/>
      <c r="L1249" s="1053" t="s">
        <v>1289</v>
      </c>
      <c r="M1249" s="177"/>
      <c r="N1249" s="177"/>
      <c r="O1249" s="177"/>
      <c r="P1249" s="177"/>
      <c r="Q1249" s="1103"/>
      <c r="R1249" s="1639"/>
      <c r="S1249" s="177"/>
      <c r="T1249" s="177"/>
      <c r="U1249" s="177"/>
      <c r="V1249" s="2867" t="s">
        <v>1394</v>
      </c>
      <c r="W1249" s="903">
        <v>14</v>
      </c>
      <c r="X1249" s="903">
        <v>14</v>
      </c>
      <c r="Y1249" s="903">
        <v>14</v>
      </c>
      <c r="Z1249" s="903"/>
      <c r="AA1249" s="903"/>
      <c r="AB1249" s="903"/>
      <c r="AC1249" s="903"/>
      <c r="AD1249" s="903"/>
      <c r="AE1249" s="903"/>
      <c r="AF1249" s="903"/>
      <c r="AG1249" s="903"/>
      <c r="BB1249" s="784"/>
      <c r="BC1249" s="785"/>
      <c r="BD1249" s="900"/>
    </row>
    <row r="1250" spans="1:56" s="65" customFormat="1" ht="15" hidden="1" customHeight="1" outlineLevel="1" x14ac:dyDescent="0.25">
      <c r="A1250" s="785"/>
      <c r="B1250" s="177"/>
      <c r="C1250" s="455"/>
      <c r="D1250" s="2473"/>
      <c r="E1250" s="2550"/>
      <c r="F1250" s="2826" t="str">
        <f>$F$1214</f>
        <v>DFHP - SEER 19 MF heat pump base _CompE</v>
      </c>
      <c r="G1250" s="2826"/>
      <c r="H1250" s="2827"/>
      <c r="I1250" s="1057"/>
      <c r="J1250" s="1663">
        <v>14</v>
      </c>
      <c r="K1250" s="1075"/>
      <c r="L1250" s="1053"/>
      <c r="M1250" s="177"/>
      <c r="N1250" s="177"/>
      <c r="O1250" s="177"/>
      <c r="P1250" s="177"/>
      <c r="Q1250" s="1103"/>
      <c r="R1250" s="1639"/>
      <c r="S1250" s="177"/>
      <c r="T1250" s="177"/>
      <c r="U1250" s="177"/>
      <c r="V1250" s="2866"/>
      <c r="W1250" s="926"/>
      <c r="X1250" s="926"/>
      <c r="Y1250" s="908">
        <v>14</v>
      </c>
      <c r="Z1250" s="926"/>
      <c r="AA1250" s="926"/>
      <c r="AB1250" s="926"/>
      <c r="AC1250" s="926"/>
      <c r="AD1250" s="926"/>
      <c r="AE1250" s="926"/>
      <c r="AF1250" s="926"/>
      <c r="AG1250" s="926"/>
      <c r="BB1250" s="784"/>
      <c r="BC1250" s="785"/>
      <c r="BD1250" s="900"/>
    </row>
    <row r="1251" spans="1:56" s="65" customFormat="1" ht="15" hidden="1" customHeight="1" outlineLevel="1" x14ac:dyDescent="0.25">
      <c r="A1251" s="785"/>
      <c r="B1251" s="177"/>
      <c r="C1251" s="455"/>
      <c r="D1251" s="2473"/>
      <c r="E1251" s="2550"/>
      <c r="F1251" s="2826" t="str">
        <f>$F$1215</f>
        <v>DFHP - SEER 20 MF heat pump base</v>
      </c>
      <c r="G1251" s="2826"/>
      <c r="H1251" s="2827"/>
      <c r="I1251" s="1668"/>
      <c r="J1251" s="1663">
        <v>14</v>
      </c>
      <c r="K1251" s="1075"/>
      <c r="L1251" s="1054" t="s">
        <v>1289</v>
      </c>
      <c r="M1251" s="177"/>
      <c r="N1251" s="177"/>
      <c r="O1251" s="177"/>
      <c r="P1251" s="177"/>
      <c r="Q1251" s="1103"/>
      <c r="R1251" s="1639"/>
      <c r="S1251" s="177"/>
      <c r="T1251" s="177"/>
      <c r="U1251" s="177"/>
      <c r="V1251" s="2866"/>
      <c r="W1251" s="909">
        <v>14</v>
      </c>
      <c r="X1251" s="909">
        <v>14</v>
      </c>
      <c r="Y1251" s="909">
        <v>14</v>
      </c>
      <c r="Z1251" s="909"/>
      <c r="AA1251" s="909"/>
      <c r="AB1251" s="909"/>
      <c r="AC1251" s="909"/>
      <c r="AD1251" s="909"/>
      <c r="AE1251" s="909"/>
      <c r="AF1251" s="909"/>
      <c r="AG1251" s="909"/>
      <c r="BB1251" s="784"/>
      <c r="BC1251" s="785"/>
      <c r="BD1251" s="900"/>
    </row>
    <row r="1252" spans="1:56" s="65" customFormat="1" ht="15" hidden="1" customHeight="1" outlineLevel="1" x14ac:dyDescent="0.25">
      <c r="A1252" s="785"/>
      <c r="B1252" s="177"/>
      <c r="C1252" s="455"/>
      <c r="D1252" s="2473"/>
      <c r="E1252" s="2550"/>
      <c r="F1252" s="2826" t="str">
        <f>$F$1216</f>
        <v>DFHP - SEER 20 MF heat pump base_CompE</v>
      </c>
      <c r="G1252" s="2826"/>
      <c r="H1252" s="2827"/>
      <c r="I1252" s="1668"/>
      <c r="J1252" s="1663">
        <v>14</v>
      </c>
      <c r="K1252" s="1075"/>
      <c r="L1252" s="1054"/>
      <c r="M1252" s="177"/>
      <c r="N1252" s="177"/>
      <c r="O1252" s="177"/>
      <c r="P1252" s="177"/>
      <c r="Q1252" s="1103"/>
      <c r="R1252" s="1639"/>
      <c r="S1252" s="177"/>
      <c r="T1252" s="177"/>
      <c r="U1252" s="177"/>
      <c r="V1252" s="2866"/>
      <c r="W1252" s="909"/>
      <c r="X1252" s="909"/>
      <c r="Y1252" s="908">
        <v>14</v>
      </c>
      <c r="Z1252" s="909"/>
      <c r="AA1252" s="909"/>
      <c r="AB1252" s="909"/>
      <c r="AC1252" s="909"/>
      <c r="AD1252" s="909"/>
      <c r="AE1252" s="909"/>
      <c r="AF1252" s="909"/>
      <c r="AG1252" s="909"/>
      <c r="BB1252" s="784"/>
      <c r="BC1252" s="785"/>
      <c r="BD1252" s="900"/>
    </row>
    <row r="1253" spans="1:56" s="65" customFormat="1" hidden="1" outlineLevel="1" x14ac:dyDescent="0.25">
      <c r="A1253" s="785"/>
      <c r="B1253" s="177"/>
      <c r="C1253" s="455"/>
      <c r="D1253" s="2473"/>
      <c r="E1253" s="2550"/>
      <c r="F1253" s="2826" t="str">
        <f>$F$1217</f>
        <v>DFHP - SEER 21 MF heat pump base</v>
      </c>
      <c r="G1253" s="2826"/>
      <c r="H1253" s="2827"/>
      <c r="I1253" s="1668"/>
      <c r="J1253" s="1663">
        <v>14</v>
      </c>
      <c r="K1253" s="1075"/>
      <c r="L1253" s="1054" t="s">
        <v>1289</v>
      </c>
      <c r="M1253" s="177"/>
      <c r="N1253" s="177"/>
      <c r="O1253" s="177"/>
      <c r="P1253" s="177"/>
      <c r="Q1253" s="1103"/>
      <c r="R1253" s="1639"/>
      <c r="S1253" s="177"/>
      <c r="T1253" s="177"/>
      <c r="U1253" s="177"/>
      <c r="V1253" s="2866"/>
      <c r="W1253" s="909">
        <v>14</v>
      </c>
      <c r="X1253" s="909">
        <v>14</v>
      </c>
      <c r="Y1253" s="909">
        <v>14</v>
      </c>
      <c r="Z1253" s="909"/>
      <c r="AA1253" s="909"/>
      <c r="AB1253" s="909"/>
      <c r="AC1253" s="909"/>
      <c r="AD1253" s="909"/>
      <c r="AE1253" s="909"/>
      <c r="AF1253" s="909"/>
      <c r="AG1253" s="909"/>
      <c r="BB1253" s="784"/>
      <c r="BC1253" s="785"/>
      <c r="BD1253" s="900"/>
    </row>
    <row r="1254" spans="1:56" s="65" customFormat="1" ht="15.75" hidden="1" outlineLevel="1" thickBot="1" x14ac:dyDescent="0.3">
      <c r="A1254" s="785"/>
      <c r="B1254" s="177"/>
      <c r="C1254" s="455"/>
      <c r="D1254" s="2469"/>
      <c r="E1254" s="2551"/>
      <c r="F1254" s="2869" t="str">
        <f>$F$1218</f>
        <v>DFHP - SEER 21 MF heat pump base_CompE</v>
      </c>
      <c r="G1254" s="2869"/>
      <c r="H1254" s="2870"/>
      <c r="I1254" s="2555"/>
      <c r="J1254" s="921">
        <v>14</v>
      </c>
      <c r="K1254" s="2556"/>
      <c r="L1254" s="2474"/>
      <c r="M1254" s="177"/>
      <c r="N1254" s="177"/>
      <c r="O1254" s="177"/>
      <c r="P1254" s="177"/>
      <c r="Q1254" s="1103"/>
      <c r="R1254" s="1639"/>
      <c r="S1254" s="177"/>
      <c r="T1254" s="177"/>
      <c r="U1254" s="177"/>
      <c r="V1254" s="2866"/>
      <c r="W1254" s="909"/>
      <c r="X1254" s="909"/>
      <c r="Y1254" s="908">
        <v>14</v>
      </c>
      <c r="Z1254" s="909"/>
      <c r="AA1254" s="909"/>
      <c r="AB1254" s="909"/>
      <c r="AC1254" s="909"/>
      <c r="AD1254" s="909"/>
      <c r="AE1254" s="909"/>
      <c r="AF1254" s="909"/>
      <c r="AG1254" s="909"/>
      <c r="BB1254" s="784"/>
      <c r="BC1254" s="785"/>
      <c r="BD1254" s="900"/>
    </row>
    <row r="1255" spans="1:56" s="65" customFormat="1" hidden="1" outlineLevel="1" x14ac:dyDescent="0.25">
      <c r="A1255" s="785"/>
      <c r="B1255" s="177"/>
      <c r="C1255" s="455"/>
      <c r="D1255" s="2466" t="s">
        <v>1396</v>
      </c>
      <c r="E1255" s="2476" t="s">
        <v>1397</v>
      </c>
      <c r="F1255" s="2868" t="str">
        <f>$F$1213</f>
        <v xml:space="preserve">DFHP - SEER 19 MF heat pump base </v>
      </c>
      <c r="G1255" s="2821"/>
      <c r="H1255" s="2822"/>
      <c r="I1255" s="2477"/>
      <c r="J1255" s="2471">
        <v>19</v>
      </c>
      <c r="K1255" s="1080"/>
      <c r="L1255" s="1052" t="s">
        <v>1398</v>
      </c>
      <c r="M1255" s="177"/>
      <c r="N1255" s="177"/>
      <c r="O1255" s="177"/>
      <c r="P1255" s="177"/>
      <c r="Q1255" s="1103"/>
      <c r="R1255" s="1639"/>
      <c r="S1255" s="177"/>
      <c r="T1255" s="177"/>
      <c r="U1255" s="177"/>
      <c r="V1255" s="2867" t="s">
        <v>1396</v>
      </c>
      <c r="W1255" s="903">
        <v>19</v>
      </c>
      <c r="X1255" s="903">
        <v>19</v>
      </c>
      <c r="Y1255" s="903">
        <v>19</v>
      </c>
      <c r="Z1255" s="903"/>
      <c r="AA1255" s="903"/>
      <c r="AB1255" s="903"/>
      <c r="AC1255" s="903"/>
      <c r="AD1255" s="903"/>
      <c r="AE1255" s="903"/>
      <c r="AF1255" s="903"/>
      <c r="AG1255" s="903"/>
      <c r="BB1255" s="784"/>
      <c r="BC1255" s="785"/>
      <c r="BD1255" s="900"/>
    </row>
    <row r="1256" spans="1:56" s="65" customFormat="1" hidden="1" outlineLevel="1" x14ac:dyDescent="0.25">
      <c r="A1256" s="785"/>
      <c r="B1256" s="177"/>
      <c r="C1256" s="455"/>
      <c r="D1256" s="2473"/>
      <c r="E1256" s="2550"/>
      <c r="F1256" s="2862" t="str">
        <f>$F$1214</f>
        <v>DFHP - SEER 19 MF heat pump base _CompE</v>
      </c>
      <c r="G1256" s="2826"/>
      <c r="H1256" s="2827"/>
      <c r="I1256" s="1057"/>
      <c r="J1256" s="2470">
        <v>19</v>
      </c>
      <c r="K1256" s="1075"/>
      <c r="L1256" s="1055"/>
      <c r="M1256" s="177"/>
      <c r="N1256" s="177"/>
      <c r="O1256" s="177"/>
      <c r="P1256" s="177"/>
      <c r="Q1256" s="1103"/>
      <c r="R1256" s="1639"/>
      <c r="S1256" s="177"/>
      <c r="T1256" s="177"/>
      <c r="U1256" s="177"/>
      <c r="V1256" s="2866"/>
      <c r="W1256" s="926"/>
      <c r="X1256" s="926"/>
      <c r="Y1256" s="933">
        <v>19</v>
      </c>
      <c r="Z1256" s="926"/>
      <c r="AA1256" s="926"/>
      <c r="AB1256" s="926"/>
      <c r="AC1256" s="926"/>
      <c r="AD1256" s="926"/>
      <c r="AE1256" s="926"/>
      <c r="AF1256" s="926"/>
      <c r="AG1256" s="926"/>
      <c r="BB1256" s="784"/>
      <c r="BC1256" s="785"/>
      <c r="BD1256" s="900"/>
    </row>
    <row r="1257" spans="1:56" s="65" customFormat="1" hidden="1" outlineLevel="1" x14ac:dyDescent="0.25">
      <c r="A1257" s="785"/>
      <c r="B1257" s="177"/>
      <c r="C1257" s="455"/>
      <c r="D1257" s="2473"/>
      <c r="E1257" s="2550"/>
      <c r="F1257" s="2862" t="str">
        <f>$F$1215</f>
        <v>DFHP - SEER 20 MF heat pump base</v>
      </c>
      <c r="G1257" s="2826"/>
      <c r="H1257" s="2827"/>
      <c r="I1257" s="2475"/>
      <c r="J1257" s="2470">
        <v>20</v>
      </c>
      <c r="K1257" s="1075"/>
      <c r="L1257" s="1012" t="s">
        <v>1398</v>
      </c>
      <c r="M1257" s="177"/>
      <c r="N1257" s="177"/>
      <c r="O1257" s="177"/>
      <c r="P1257" s="177"/>
      <c r="Q1257" s="1103"/>
      <c r="R1257" s="1639"/>
      <c r="S1257" s="177"/>
      <c r="T1257" s="177"/>
      <c r="U1257" s="177"/>
      <c r="V1257" s="2866"/>
      <c r="W1257" s="909">
        <v>20</v>
      </c>
      <c r="X1257" s="909">
        <v>20</v>
      </c>
      <c r="Y1257" s="909">
        <v>20</v>
      </c>
      <c r="Z1257" s="909"/>
      <c r="AA1257" s="909"/>
      <c r="AB1257" s="909"/>
      <c r="AC1257" s="909"/>
      <c r="AD1257" s="909"/>
      <c r="AE1257" s="909"/>
      <c r="AF1257" s="909"/>
      <c r="AG1257" s="909"/>
      <c r="BB1257" s="784"/>
      <c r="BC1257" s="785"/>
      <c r="BD1257" s="900"/>
    </row>
    <row r="1258" spans="1:56" s="65" customFormat="1" hidden="1" outlineLevel="1" x14ac:dyDescent="0.25">
      <c r="A1258" s="785"/>
      <c r="B1258" s="177"/>
      <c r="C1258" s="455"/>
      <c r="D1258" s="2473"/>
      <c r="E1258" s="2550"/>
      <c r="F1258" s="2862" t="str">
        <f>$F$1216</f>
        <v>DFHP - SEER 20 MF heat pump base_CompE</v>
      </c>
      <c r="G1258" s="2826"/>
      <c r="H1258" s="2827"/>
      <c r="I1258" s="2475"/>
      <c r="J1258" s="2470">
        <v>20</v>
      </c>
      <c r="K1258" s="1075"/>
      <c r="L1258" s="1012"/>
      <c r="M1258" s="177"/>
      <c r="N1258" s="177"/>
      <c r="O1258" s="177"/>
      <c r="P1258" s="177"/>
      <c r="Q1258" s="1103"/>
      <c r="R1258" s="1639"/>
      <c r="S1258" s="177"/>
      <c r="T1258" s="177"/>
      <c r="U1258" s="177"/>
      <c r="V1258" s="2866"/>
      <c r="W1258" s="909"/>
      <c r="X1258" s="909"/>
      <c r="Y1258" s="908">
        <v>20</v>
      </c>
      <c r="Z1258" s="909"/>
      <c r="AA1258" s="909"/>
      <c r="AB1258" s="909"/>
      <c r="AC1258" s="909"/>
      <c r="AD1258" s="909"/>
      <c r="AE1258" s="909"/>
      <c r="AF1258" s="909"/>
      <c r="AG1258" s="909"/>
      <c r="BB1258" s="784"/>
      <c r="BC1258" s="785"/>
      <c r="BD1258" s="900"/>
    </row>
    <row r="1259" spans="1:56" s="65" customFormat="1" hidden="1" outlineLevel="1" x14ac:dyDescent="0.25">
      <c r="A1259" s="785"/>
      <c r="B1259" s="177"/>
      <c r="C1259" s="455"/>
      <c r="D1259" s="2473"/>
      <c r="E1259" s="2550"/>
      <c r="F1259" s="2862" t="str">
        <f>$F$1217</f>
        <v>DFHP - SEER 21 MF heat pump base</v>
      </c>
      <c r="G1259" s="2826"/>
      <c r="H1259" s="2827"/>
      <c r="I1259" s="2475"/>
      <c r="J1259" s="2470">
        <v>21</v>
      </c>
      <c r="K1259" s="1075"/>
      <c r="L1259" s="1012" t="s">
        <v>1398</v>
      </c>
      <c r="M1259" s="177"/>
      <c r="N1259" s="177"/>
      <c r="O1259" s="177"/>
      <c r="P1259" s="177"/>
      <c r="Q1259" s="1103"/>
      <c r="R1259" s="1639"/>
      <c r="S1259" s="177"/>
      <c r="T1259" s="177"/>
      <c r="U1259" s="177"/>
      <c r="V1259" s="2866"/>
      <c r="W1259" s="909">
        <v>21</v>
      </c>
      <c r="X1259" s="909">
        <v>21</v>
      </c>
      <c r="Y1259" s="909">
        <v>21</v>
      </c>
      <c r="Z1259" s="909"/>
      <c r="AA1259" s="909"/>
      <c r="AB1259" s="909"/>
      <c r="AC1259" s="909"/>
      <c r="AD1259" s="909"/>
      <c r="AE1259" s="909"/>
      <c r="AF1259" s="909"/>
      <c r="AG1259" s="909"/>
      <c r="BB1259" s="784"/>
      <c r="BC1259" s="785"/>
      <c r="BD1259" s="900"/>
    </row>
    <row r="1260" spans="1:56" s="65" customFormat="1" ht="15.75" hidden="1" outlineLevel="1" thickBot="1" x14ac:dyDescent="0.3">
      <c r="A1260" s="785"/>
      <c r="B1260" s="177"/>
      <c r="C1260" s="455"/>
      <c r="D1260" s="2469"/>
      <c r="E1260" s="2551"/>
      <c r="F1260" s="2859" t="str">
        <f>$F$1218</f>
        <v>DFHP - SEER 21 MF heat pump base_CompE</v>
      </c>
      <c r="G1260" s="2860"/>
      <c r="H1260" s="2861"/>
      <c r="I1260" s="1039"/>
      <c r="J1260" s="2472">
        <v>21</v>
      </c>
      <c r="K1260" s="2080"/>
      <c r="L1260" s="1041"/>
      <c r="M1260" s="177"/>
      <c r="N1260" s="177"/>
      <c r="O1260" s="177"/>
      <c r="P1260" s="177"/>
      <c r="Q1260" s="1103"/>
      <c r="R1260" s="1639"/>
      <c r="S1260" s="177"/>
      <c r="T1260" s="177"/>
      <c r="U1260" s="177"/>
      <c r="V1260" s="2866"/>
      <c r="W1260" s="909"/>
      <c r="X1260" s="909"/>
      <c r="Y1260" s="908">
        <v>21</v>
      </c>
      <c r="Z1260" s="909"/>
      <c r="AA1260" s="909"/>
      <c r="AB1260" s="909"/>
      <c r="AC1260" s="909"/>
      <c r="AD1260" s="909"/>
      <c r="AE1260" s="909"/>
      <c r="AF1260" s="909"/>
      <c r="AG1260" s="909"/>
      <c r="BB1260" s="784"/>
      <c r="BC1260" s="785"/>
      <c r="BD1260" s="900"/>
    </row>
    <row r="1261" spans="1:56" s="65" customFormat="1" ht="15" hidden="1" customHeight="1" outlineLevel="1" x14ac:dyDescent="0.25">
      <c r="A1261" s="785"/>
      <c r="B1261" s="177"/>
      <c r="C1261" s="455"/>
      <c r="D1261" s="2466" t="s">
        <v>775</v>
      </c>
      <c r="E1261" s="2476" t="s">
        <v>1399</v>
      </c>
      <c r="F1261" s="2871" t="str">
        <f>$F$1213</f>
        <v xml:space="preserve">DFHP - SEER 19 MF heat pump base </v>
      </c>
      <c r="G1261" s="2872"/>
      <c r="H1261" s="2873"/>
      <c r="I1261" s="1057"/>
      <c r="J1261" s="926">
        <v>0.65</v>
      </c>
      <c r="K1261" s="2083"/>
      <c r="L1261" s="1053" t="s">
        <v>1289</v>
      </c>
      <c r="M1261" s="177"/>
      <c r="N1261" s="177"/>
      <c r="O1261" s="177"/>
      <c r="P1261" s="177"/>
      <c r="Q1261" s="1103"/>
      <c r="R1261" s="1639"/>
      <c r="S1261" s="177"/>
      <c r="T1261" s="177"/>
      <c r="U1261" s="177"/>
      <c r="V1261" s="2805" t="s">
        <v>775</v>
      </c>
      <c r="W1261" s="1056">
        <v>0.65</v>
      </c>
      <c r="X1261" s="1056">
        <v>0.65</v>
      </c>
      <c r="Y1261" s="1056">
        <v>0.65</v>
      </c>
      <c r="Z1261" s="1056"/>
      <c r="AA1261" s="1056"/>
      <c r="AB1261" s="1056"/>
      <c r="AC1261" s="1056"/>
      <c r="AD1261" s="1056"/>
      <c r="AE1261" s="1056"/>
      <c r="AF1261" s="1056"/>
      <c r="AG1261" s="1056"/>
      <c r="BB1261" s="784"/>
      <c r="BC1261" s="785"/>
      <c r="BD1261" s="900"/>
    </row>
    <row r="1262" spans="1:56" s="65" customFormat="1" hidden="1" outlineLevel="1" x14ac:dyDescent="0.25">
      <c r="A1262" s="785"/>
      <c r="B1262" s="177"/>
      <c r="C1262" s="455"/>
      <c r="D1262" s="2473"/>
      <c r="E1262" s="2550"/>
      <c r="F1262" s="2826" t="str">
        <f>$F$1214</f>
        <v>DFHP - SEER 19 MF heat pump base _CompE</v>
      </c>
      <c r="G1262" s="2826"/>
      <c r="H1262" s="2827"/>
      <c r="I1262" s="1057"/>
      <c r="J1262" s="1060">
        <v>0.65</v>
      </c>
      <c r="K1262" s="1075"/>
      <c r="L1262" s="1054"/>
      <c r="M1262" s="177"/>
      <c r="N1262" s="177"/>
      <c r="O1262" s="177"/>
      <c r="P1262" s="177"/>
      <c r="Q1262" s="1103"/>
      <c r="R1262" s="1639"/>
      <c r="S1262" s="177"/>
      <c r="T1262" s="177"/>
      <c r="U1262" s="177"/>
      <c r="V1262" s="2806"/>
      <c r="W1262" s="1059"/>
      <c r="X1262" s="1059"/>
      <c r="Y1262" s="1058">
        <v>0.65</v>
      </c>
      <c r="Z1262" s="1059"/>
      <c r="AA1262" s="1059"/>
      <c r="AB1262" s="1059"/>
      <c r="AC1262" s="1059"/>
      <c r="AD1262" s="1059"/>
      <c r="AE1262" s="1059"/>
      <c r="AF1262" s="1059"/>
      <c r="AG1262" s="1059"/>
      <c r="BB1262" s="784"/>
      <c r="BC1262" s="785"/>
      <c r="BD1262" s="900"/>
    </row>
    <row r="1263" spans="1:56" s="65" customFormat="1" hidden="1" outlineLevel="1" x14ac:dyDescent="0.25">
      <c r="A1263" s="785"/>
      <c r="B1263" s="177"/>
      <c r="C1263" s="455"/>
      <c r="D1263" s="2473"/>
      <c r="E1263" s="2550"/>
      <c r="F1263" s="2826" t="str">
        <f>$F$1215</f>
        <v>DFHP - SEER 20 MF heat pump base</v>
      </c>
      <c r="G1263" s="2826"/>
      <c r="H1263" s="2827"/>
      <c r="I1263" s="1668"/>
      <c r="J1263" s="1060">
        <v>0.65</v>
      </c>
      <c r="K1263" s="1075"/>
      <c r="L1263" s="1054" t="s">
        <v>1289</v>
      </c>
      <c r="M1263" s="177"/>
      <c r="N1263" s="177"/>
      <c r="O1263" s="177"/>
      <c r="P1263" s="177"/>
      <c r="Q1263" s="1103"/>
      <c r="R1263" s="1639"/>
      <c r="S1263" s="177"/>
      <c r="T1263" s="177"/>
      <c r="U1263" s="177"/>
      <c r="V1263" s="2806"/>
      <c r="W1263" s="1060">
        <v>0.65</v>
      </c>
      <c r="X1263" s="1060">
        <v>0.65</v>
      </c>
      <c r="Y1263" s="1060">
        <v>0.65</v>
      </c>
      <c r="Z1263" s="1060"/>
      <c r="AA1263" s="1060"/>
      <c r="AB1263" s="1060"/>
      <c r="AC1263" s="1060"/>
      <c r="AD1263" s="1060"/>
      <c r="AE1263" s="1060"/>
      <c r="AF1263" s="1060"/>
      <c r="AG1263" s="1060"/>
      <c r="BB1263" s="784"/>
      <c r="BC1263" s="785"/>
      <c r="BD1263" s="900"/>
    </row>
    <row r="1264" spans="1:56" s="65" customFormat="1" hidden="1" outlineLevel="1" x14ac:dyDescent="0.25">
      <c r="A1264" s="785"/>
      <c r="B1264" s="177"/>
      <c r="C1264" s="455"/>
      <c r="D1264" s="2473"/>
      <c r="E1264" s="2550"/>
      <c r="F1264" s="2826" t="str">
        <f>$F$1216</f>
        <v>DFHP - SEER 20 MF heat pump base_CompE</v>
      </c>
      <c r="G1264" s="2826"/>
      <c r="H1264" s="2827"/>
      <c r="I1264" s="1668"/>
      <c r="J1264" s="1060">
        <v>0.65</v>
      </c>
      <c r="K1264" s="1075"/>
      <c r="L1264" s="1054"/>
      <c r="M1264" s="177"/>
      <c r="N1264" s="177"/>
      <c r="O1264" s="177"/>
      <c r="P1264" s="177"/>
      <c r="Q1264" s="1103"/>
      <c r="R1264" s="1639"/>
      <c r="S1264" s="177"/>
      <c r="T1264" s="177"/>
      <c r="U1264" s="177"/>
      <c r="V1264" s="2806"/>
      <c r="W1264" s="1060"/>
      <c r="X1264" s="1060"/>
      <c r="Y1264" s="1058">
        <v>0.65</v>
      </c>
      <c r="Z1264" s="1060"/>
      <c r="AA1264" s="1060"/>
      <c r="AB1264" s="1060"/>
      <c r="AC1264" s="1060"/>
      <c r="AD1264" s="1060"/>
      <c r="AE1264" s="1060"/>
      <c r="AF1264" s="1060"/>
      <c r="AG1264" s="1060"/>
      <c r="BB1264" s="784"/>
      <c r="BC1264" s="785"/>
      <c r="BD1264" s="900"/>
    </row>
    <row r="1265" spans="1:56" s="65" customFormat="1" hidden="1" outlineLevel="1" x14ac:dyDescent="0.25">
      <c r="A1265" s="785"/>
      <c r="B1265" s="177"/>
      <c r="C1265" s="455"/>
      <c r="D1265" s="2473"/>
      <c r="E1265" s="2550"/>
      <c r="F1265" s="2826" t="str">
        <f>$F$1217</f>
        <v>DFHP - SEER 21 MF heat pump base</v>
      </c>
      <c r="G1265" s="2826"/>
      <c r="H1265" s="2827"/>
      <c r="I1265" s="1668"/>
      <c r="J1265" s="1060">
        <v>0.65</v>
      </c>
      <c r="K1265" s="1075"/>
      <c r="L1265" s="1054" t="s">
        <v>1289</v>
      </c>
      <c r="M1265" s="177"/>
      <c r="N1265" s="177"/>
      <c r="O1265" s="177"/>
      <c r="P1265" s="177"/>
      <c r="Q1265" s="1103"/>
      <c r="R1265" s="1639"/>
      <c r="S1265" s="177"/>
      <c r="T1265" s="177"/>
      <c r="U1265" s="177"/>
      <c r="V1265" s="2806"/>
      <c r="W1265" s="1060">
        <v>0.65</v>
      </c>
      <c r="X1265" s="1060">
        <v>0.65</v>
      </c>
      <c r="Y1265" s="1060">
        <v>0.65</v>
      </c>
      <c r="Z1265" s="1060"/>
      <c r="AA1265" s="1060"/>
      <c r="AB1265" s="1060"/>
      <c r="AC1265" s="1060"/>
      <c r="AD1265" s="1060"/>
      <c r="AE1265" s="1060"/>
      <c r="AF1265" s="1060"/>
      <c r="AG1265" s="1060"/>
      <c r="BB1265" s="784"/>
      <c r="BC1265" s="785"/>
      <c r="BD1265" s="900"/>
    </row>
    <row r="1266" spans="1:56" s="65" customFormat="1" ht="15.75" hidden="1" outlineLevel="1" thickBot="1" x14ac:dyDescent="0.3">
      <c r="A1266" s="785"/>
      <c r="B1266" s="177"/>
      <c r="C1266" s="455"/>
      <c r="D1266" s="2469"/>
      <c r="E1266" s="2551"/>
      <c r="F1266" s="2869" t="str">
        <f>$F$1218</f>
        <v>DFHP - SEER 21 MF heat pump base_CompE</v>
      </c>
      <c r="G1266" s="2869"/>
      <c r="H1266" s="2870"/>
      <c r="I1266" s="2555"/>
      <c r="J1266" s="1138">
        <v>0.65</v>
      </c>
      <c r="K1266" s="2556"/>
      <c r="L1266" s="2474"/>
      <c r="M1266" s="177"/>
      <c r="N1266" s="177"/>
      <c r="O1266" s="177"/>
      <c r="P1266" s="177"/>
      <c r="Q1266" s="1103"/>
      <c r="R1266" s="1639"/>
      <c r="S1266" s="177"/>
      <c r="T1266" s="177"/>
      <c r="U1266" s="177"/>
      <c r="V1266" s="2806"/>
      <c r="W1266" s="1060"/>
      <c r="X1266" s="1060"/>
      <c r="Y1266" s="1058">
        <v>0.65</v>
      </c>
      <c r="Z1266" s="1060"/>
      <c r="AA1266" s="1060"/>
      <c r="AB1266" s="1060"/>
      <c r="AC1266" s="1060"/>
      <c r="AD1266" s="1060"/>
      <c r="AE1266" s="1060"/>
      <c r="AF1266" s="1060"/>
      <c r="AG1266" s="1060"/>
      <c r="BB1266" s="784"/>
      <c r="BC1266" s="785"/>
      <c r="BD1266" s="900"/>
    </row>
    <row r="1267" spans="1:56" s="65" customFormat="1" ht="15" hidden="1" customHeight="1" outlineLevel="1" x14ac:dyDescent="0.25">
      <c r="A1267" s="785"/>
      <c r="B1267" s="177"/>
      <c r="C1267" s="455"/>
      <c r="D1267" s="2466" t="s">
        <v>24</v>
      </c>
      <c r="E1267" s="2552" t="s">
        <v>1200</v>
      </c>
      <c r="F1267" s="2868" t="str">
        <f>$F$1213</f>
        <v xml:space="preserve">DFHP - SEER 19 MF heat pump base </v>
      </c>
      <c r="G1267" s="2821"/>
      <c r="H1267" s="2822"/>
      <c r="I1267" s="2477"/>
      <c r="J1267" s="2471">
        <v>18</v>
      </c>
      <c r="K1267" s="1080"/>
      <c r="L1267" s="1052"/>
      <c r="M1267" s="177"/>
      <c r="N1267" s="177"/>
      <c r="O1267" s="177"/>
      <c r="P1267" s="177"/>
      <c r="Q1267" s="1103"/>
      <c r="R1267" s="1639"/>
      <c r="S1267" s="177"/>
      <c r="T1267" s="177"/>
      <c r="U1267" s="177"/>
      <c r="V1267" s="2805" t="e">
        <f>#REF!</f>
        <v>#REF!</v>
      </c>
      <c r="W1267" s="1037">
        <v>18</v>
      </c>
      <c r="X1267" s="1037">
        <v>18</v>
      </c>
      <c r="Y1267" s="1037">
        <v>18</v>
      </c>
      <c r="Z1267" s="1037"/>
      <c r="AA1267" s="1037"/>
      <c r="AB1267" s="1037"/>
      <c r="AC1267" s="1037"/>
      <c r="AD1267" s="1037"/>
      <c r="AE1267" s="1037"/>
      <c r="AF1267" s="1037"/>
      <c r="AG1267" s="1037"/>
      <c r="BB1267" s="784"/>
      <c r="BC1267" s="785"/>
      <c r="BD1267" s="900"/>
    </row>
    <row r="1268" spans="1:56" s="65" customFormat="1" ht="15" hidden="1" customHeight="1" outlineLevel="1" x14ac:dyDescent="0.25">
      <c r="A1268" s="785"/>
      <c r="B1268" s="177"/>
      <c r="C1268" s="455"/>
      <c r="D1268" s="2473"/>
      <c r="E1268" s="2553"/>
      <c r="F1268" s="2862" t="str">
        <f>$F$1214</f>
        <v>DFHP - SEER 19 MF heat pump base _CompE</v>
      </c>
      <c r="G1268" s="2826"/>
      <c r="H1268" s="2827"/>
      <c r="I1268" s="1057"/>
      <c r="J1268" s="2470">
        <v>18</v>
      </c>
      <c r="K1268" s="1075"/>
      <c r="L1268" s="1054"/>
      <c r="M1268" s="177"/>
      <c r="N1268" s="177"/>
      <c r="O1268" s="177"/>
      <c r="P1268" s="177"/>
      <c r="Q1268" s="1103"/>
      <c r="R1268" s="1639"/>
      <c r="S1268" s="177"/>
      <c r="T1268" s="177"/>
      <c r="U1268" s="177"/>
      <c r="V1268" s="2806"/>
      <c r="W1268" s="1036"/>
      <c r="X1268" s="1036"/>
      <c r="Y1268" s="1061">
        <v>18</v>
      </c>
      <c r="Z1268" s="1036"/>
      <c r="AA1268" s="1036"/>
      <c r="AB1268" s="1036"/>
      <c r="AC1268" s="1036"/>
      <c r="AD1268" s="1036"/>
      <c r="AE1268" s="1036"/>
      <c r="AF1268" s="1036"/>
      <c r="AG1268" s="1036"/>
      <c r="BB1268" s="784"/>
      <c r="BC1268" s="785"/>
      <c r="BD1268" s="900"/>
    </row>
    <row r="1269" spans="1:56" s="65" customFormat="1" ht="15" hidden="1" customHeight="1" outlineLevel="1" x14ac:dyDescent="0.25">
      <c r="A1269" s="785"/>
      <c r="B1269" s="177"/>
      <c r="C1269" s="455"/>
      <c r="D1269" s="2473"/>
      <c r="E1269" s="2553"/>
      <c r="F1269" s="2862" t="str">
        <f>$F$1215</f>
        <v>DFHP - SEER 20 MF heat pump base</v>
      </c>
      <c r="G1269" s="2826"/>
      <c r="H1269" s="2827"/>
      <c r="I1269" s="2475"/>
      <c r="J1269" s="2470">
        <v>18</v>
      </c>
      <c r="K1269" s="1075"/>
      <c r="L1269" s="1054"/>
      <c r="M1269" s="177"/>
      <c r="N1269" s="177"/>
      <c r="O1269" s="177"/>
      <c r="P1269" s="177"/>
      <c r="Q1269" s="1103"/>
      <c r="R1269" s="1639"/>
      <c r="S1269" s="177"/>
      <c r="T1269" s="177"/>
      <c r="U1269" s="177"/>
      <c r="V1269" s="2806"/>
      <c r="W1269" s="1038">
        <v>18</v>
      </c>
      <c r="X1269" s="1038">
        <v>18</v>
      </c>
      <c r="Y1269" s="1038">
        <v>18</v>
      </c>
      <c r="Z1269" s="1038"/>
      <c r="AA1269" s="1038"/>
      <c r="AB1269" s="1038"/>
      <c r="AC1269" s="1038"/>
      <c r="AD1269" s="1038"/>
      <c r="AE1269" s="1038"/>
      <c r="AF1269" s="1038"/>
      <c r="AG1269" s="1038"/>
      <c r="BB1269" s="784"/>
      <c r="BC1269" s="785"/>
      <c r="BD1269" s="900"/>
    </row>
    <row r="1270" spans="1:56" s="65" customFormat="1" ht="15" hidden="1" customHeight="1" outlineLevel="1" x14ac:dyDescent="0.25">
      <c r="A1270" s="785"/>
      <c r="B1270" s="177"/>
      <c r="C1270" s="455"/>
      <c r="D1270" s="2473"/>
      <c r="E1270" s="2553"/>
      <c r="F1270" s="2862" t="str">
        <f>$F$1216</f>
        <v>DFHP - SEER 20 MF heat pump base_CompE</v>
      </c>
      <c r="G1270" s="2826"/>
      <c r="H1270" s="2827"/>
      <c r="I1270" s="2475"/>
      <c r="J1270" s="2470">
        <v>18</v>
      </c>
      <c r="K1270" s="1075"/>
      <c r="L1270" s="1054"/>
      <c r="M1270" s="177"/>
      <c r="N1270" s="177"/>
      <c r="O1270" s="177"/>
      <c r="P1270" s="177"/>
      <c r="Q1270" s="1103"/>
      <c r="R1270" s="1639"/>
      <c r="S1270" s="177"/>
      <c r="T1270" s="177"/>
      <c r="U1270" s="177"/>
      <c r="V1270" s="2806"/>
      <c r="W1270" s="1038"/>
      <c r="X1270" s="1038"/>
      <c r="Y1270" s="1061">
        <v>18</v>
      </c>
      <c r="Z1270" s="1038"/>
      <c r="AA1270" s="1038"/>
      <c r="AB1270" s="1038"/>
      <c r="AC1270" s="1038"/>
      <c r="AD1270" s="1038"/>
      <c r="AE1270" s="1038"/>
      <c r="AF1270" s="1038"/>
      <c r="AG1270" s="1038"/>
      <c r="BB1270" s="784"/>
      <c r="BC1270" s="785"/>
      <c r="BD1270" s="900"/>
    </row>
    <row r="1271" spans="1:56" s="65" customFormat="1" ht="15" hidden="1" customHeight="1" outlineLevel="1" x14ac:dyDescent="0.25">
      <c r="A1271" s="785"/>
      <c r="B1271" s="177"/>
      <c r="C1271" s="455"/>
      <c r="D1271" s="2473"/>
      <c r="E1271" s="2553"/>
      <c r="F1271" s="2862" t="str">
        <f>$F$1217</f>
        <v>DFHP - SEER 21 MF heat pump base</v>
      </c>
      <c r="G1271" s="2826"/>
      <c r="H1271" s="2827"/>
      <c r="I1271" s="2475"/>
      <c r="J1271" s="2470">
        <v>18</v>
      </c>
      <c r="K1271" s="1075"/>
      <c r="L1271" s="1054"/>
      <c r="M1271" s="177"/>
      <c r="N1271" s="177"/>
      <c r="O1271" s="177"/>
      <c r="P1271" s="177"/>
      <c r="Q1271" s="1103"/>
      <c r="R1271" s="1639"/>
      <c r="S1271" s="177"/>
      <c r="T1271" s="177"/>
      <c r="U1271" s="177"/>
      <c r="V1271" s="2806"/>
      <c r="W1271" s="1038">
        <v>18</v>
      </c>
      <c r="X1271" s="1038">
        <v>18</v>
      </c>
      <c r="Y1271" s="1038">
        <v>18</v>
      </c>
      <c r="Z1271" s="1038"/>
      <c r="AA1271" s="1038"/>
      <c r="AB1271" s="1038"/>
      <c r="AC1271" s="1038"/>
      <c r="AD1271" s="1038"/>
      <c r="AE1271" s="1038"/>
      <c r="AF1271" s="1038"/>
      <c r="AG1271" s="1038"/>
      <c r="BB1271" s="784"/>
      <c r="BC1271" s="785"/>
      <c r="BD1271" s="900"/>
    </row>
    <row r="1272" spans="1:56" s="65" customFormat="1" ht="15" hidden="1" customHeight="1" outlineLevel="1" thickBot="1" x14ac:dyDescent="0.3">
      <c r="A1272" s="785"/>
      <c r="B1272" s="177"/>
      <c r="C1272" s="455"/>
      <c r="D1272" s="2469"/>
      <c r="E1272" s="2554"/>
      <c r="F1272" s="2859" t="str">
        <f>$F$1218</f>
        <v>DFHP - SEER 21 MF heat pump base_CompE</v>
      </c>
      <c r="G1272" s="2860"/>
      <c r="H1272" s="2861"/>
      <c r="I1272" s="1039"/>
      <c r="J1272" s="2472">
        <v>18</v>
      </c>
      <c r="K1272" s="2080"/>
      <c r="L1272" s="1066"/>
      <c r="M1272" s="177"/>
      <c r="N1272" s="177"/>
      <c r="O1272" s="177"/>
      <c r="P1272" s="177"/>
      <c r="Q1272" s="1103"/>
      <c r="R1272" s="1639"/>
      <c r="S1272" s="177"/>
      <c r="T1272" s="177"/>
      <c r="U1272" s="177"/>
      <c r="V1272" s="2806"/>
      <c r="W1272" s="1038"/>
      <c r="X1272" s="1038"/>
      <c r="Y1272" s="1061">
        <v>18</v>
      </c>
      <c r="Z1272" s="1038"/>
      <c r="AA1272" s="1038"/>
      <c r="AB1272" s="1038"/>
      <c r="AC1272" s="1038"/>
      <c r="AD1272" s="1038"/>
      <c r="AE1272" s="1038"/>
      <c r="AF1272" s="1038"/>
      <c r="AG1272" s="1038"/>
      <c r="BB1272" s="784"/>
      <c r="BC1272" s="785"/>
      <c r="BD1272" s="900"/>
    </row>
    <row r="1273" spans="1:56" s="65" customFormat="1" ht="15" hidden="1" customHeight="1" outlineLevel="1" x14ac:dyDescent="0.25">
      <c r="A1273" s="785"/>
      <c r="B1273" s="177"/>
      <c r="C1273" s="455"/>
      <c r="D1273" s="2466" t="s">
        <v>25</v>
      </c>
      <c r="E1273" s="2557" t="s">
        <v>962</v>
      </c>
      <c r="F1273" s="2868" t="str">
        <f>$F$1213</f>
        <v xml:space="preserve">DFHP - SEER 19 MF heat pump base </v>
      </c>
      <c r="G1273" s="2821"/>
      <c r="H1273" s="2822"/>
      <c r="I1273" s="2477"/>
      <c r="J1273" s="1062">
        <v>2936.6</v>
      </c>
      <c r="K1273" s="1080"/>
      <c r="L1273" s="1052"/>
      <c r="M1273" s="177"/>
      <c r="N1273" s="177"/>
      <c r="O1273" s="177"/>
      <c r="P1273" s="177"/>
      <c r="Q1273" s="1103"/>
      <c r="R1273" s="1639"/>
      <c r="S1273" s="177"/>
      <c r="T1273" s="177"/>
      <c r="U1273" s="177"/>
      <c r="V1273" s="2805" t="e">
        <f>#REF!</f>
        <v>#REF!</v>
      </c>
      <c r="W1273" s="1062">
        <v>2936.6</v>
      </c>
      <c r="X1273" s="1062">
        <v>2936.6</v>
      </c>
      <c r="Y1273" s="1062">
        <v>2936.6</v>
      </c>
      <c r="Z1273" s="1062"/>
      <c r="AA1273" s="1062"/>
      <c r="AB1273" s="1062"/>
      <c r="AC1273" s="1062"/>
      <c r="AD1273" s="1062"/>
      <c r="AE1273" s="1062"/>
      <c r="AF1273" s="1062"/>
      <c r="AG1273" s="1062"/>
      <c r="BB1273" s="784"/>
      <c r="BC1273" s="785"/>
      <c r="BD1273" s="900"/>
    </row>
    <row r="1274" spans="1:56" s="65" customFormat="1" ht="15" hidden="1" customHeight="1" outlineLevel="1" x14ac:dyDescent="0.25">
      <c r="A1274" s="785"/>
      <c r="B1274" s="177"/>
      <c r="C1274" s="455"/>
      <c r="D1274" s="2473"/>
      <c r="E1274" s="2516"/>
      <c r="F1274" s="2862" t="str">
        <f>$F$1214</f>
        <v>DFHP - SEER 19 MF heat pump base _CompE</v>
      </c>
      <c r="G1274" s="2826"/>
      <c r="H1274" s="2827"/>
      <c r="I1274" s="1057"/>
      <c r="J1274" s="1065">
        <v>2936.6</v>
      </c>
      <c r="K1274" s="1075"/>
      <c r="L1274" s="1053"/>
      <c r="M1274" s="177"/>
      <c r="N1274" s="177"/>
      <c r="O1274" s="177"/>
      <c r="P1274" s="177"/>
      <c r="Q1274" s="1103"/>
      <c r="R1274" s="1639"/>
      <c r="S1274" s="177"/>
      <c r="T1274" s="177"/>
      <c r="U1274" s="177"/>
      <c r="V1274" s="2806"/>
      <c r="W1274" s="1064"/>
      <c r="X1274" s="1064"/>
      <c r="Y1274" s="1063">
        <v>2936.6</v>
      </c>
      <c r="Z1274" s="1064"/>
      <c r="AA1274" s="1064"/>
      <c r="AB1274" s="1064"/>
      <c r="AC1274" s="1064"/>
      <c r="AD1274" s="1064"/>
      <c r="AE1274" s="1064"/>
      <c r="AF1274" s="1064"/>
      <c r="AG1274" s="1064"/>
      <c r="BB1274" s="784"/>
      <c r="BC1274" s="785"/>
      <c r="BD1274" s="900"/>
    </row>
    <row r="1275" spans="1:56" s="65" customFormat="1" hidden="1" outlineLevel="1" x14ac:dyDescent="0.25">
      <c r="A1275" s="785"/>
      <c r="B1275" s="177"/>
      <c r="C1275" s="455"/>
      <c r="D1275" s="2473"/>
      <c r="E1275" s="2516"/>
      <c r="F1275" s="2862" t="str">
        <f>$F$1215</f>
        <v>DFHP - SEER 20 MF heat pump base</v>
      </c>
      <c r="G1275" s="2826"/>
      <c r="H1275" s="2827"/>
      <c r="I1275" s="2475"/>
      <c r="J1275" s="1065">
        <v>3176.6</v>
      </c>
      <c r="K1275" s="1075"/>
      <c r="L1275" s="1053"/>
      <c r="M1275" s="177"/>
      <c r="N1275" s="177"/>
      <c r="O1275" s="177"/>
      <c r="P1275" s="177"/>
      <c r="Q1275" s="1103"/>
      <c r="R1275" s="1639"/>
      <c r="S1275" s="177"/>
      <c r="T1275" s="177"/>
      <c r="U1275" s="177"/>
      <c r="V1275" s="2806"/>
      <c r="W1275" s="1065">
        <v>3176.6</v>
      </c>
      <c r="X1275" s="1065">
        <v>3176.6</v>
      </c>
      <c r="Y1275" s="1065">
        <v>3176.6</v>
      </c>
      <c r="Z1275" s="1065"/>
      <c r="AA1275" s="1065"/>
      <c r="AB1275" s="1065"/>
      <c r="AC1275" s="1065"/>
      <c r="AD1275" s="1065"/>
      <c r="AE1275" s="1065"/>
      <c r="AF1275" s="1065"/>
      <c r="AG1275" s="1065"/>
      <c r="BB1275" s="784"/>
      <c r="BC1275" s="785"/>
      <c r="BD1275" s="900"/>
    </row>
    <row r="1276" spans="1:56" s="65" customFormat="1" hidden="1" outlineLevel="1" x14ac:dyDescent="0.25">
      <c r="A1276" s="785"/>
      <c r="B1276" s="177"/>
      <c r="C1276" s="455"/>
      <c r="D1276" s="2473"/>
      <c r="E1276" s="2516"/>
      <c r="F1276" s="2862" t="str">
        <f>$F$1216</f>
        <v>DFHP - SEER 20 MF heat pump base_CompE</v>
      </c>
      <c r="G1276" s="2826"/>
      <c r="H1276" s="2827"/>
      <c r="I1276" s="2475"/>
      <c r="J1276" s="1065">
        <v>3176.6</v>
      </c>
      <c r="K1276" s="1075"/>
      <c r="L1276" s="1053"/>
      <c r="M1276" s="177"/>
      <c r="N1276" s="177"/>
      <c r="O1276" s="177"/>
      <c r="P1276" s="177"/>
      <c r="Q1276" s="1103"/>
      <c r="R1276" s="1639"/>
      <c r="S1276" s="177"/>
      <c r="T1276" s="177"/>
      <c r="U1276" s="177"/>
      <c r="V1276" s="2806"/>
      <c r="W1276" s="1065"/>
      <c r="X1276" s="1065"/>
      <c r="Y1276" s="1063">
        <v>3176.6</v>
      </c>
      <c r="Z1276" s="1065"/>
      <c r="AA1276" s="1065"/>
      <c r="AB1276" s="1065"/>
      <c r="AC1276" s="1065"/>
      <c r="AD1276" s="1065"/>
      <c r="AE1276" s="1065"/>
      <c r="AF1276" s="1065"/>
      <c r="AG1276" s="1065"/>
      <c r="BB1276" s="784"/>
      <c r="BC1276" s="785"/>
      <c r="BD1276" s="900"/>
    </row>
    <row r="1277" spans="1:56" s="65" customFormat="1" hidden="1" outlineLevel="1" x14ac:dyDescent="0.25">
      <c r="A1277" s="785"/>
      <c r="B1277" s="177"/>
      <c r="C1277" s="455"/>
      <c r="D1277" s="2473"/>
      <c r="E1277" s="2516"/>
      <c r="F1277" s="2862" t="str">
        <f>$F$1217</f>
        <v>DFHP - SEER 21 MF heat pump base</v>
      </c>
      <c r="G1277" s="2826"/>
      <c r="H1277" s="2827"/>
      <c r="I1277" s="2475"/>
      <c r="J1277" s="1065">
        <v>3626.6</v>
      </c>
      <c r="K1277" s="1075"/>
      <c r="L1277" s="1053"/>
      <c r="M1277" s="177"/>
      <c r="N1277" s="177"/>
      <c r="O1277" s="177"/>
      <c r="P1277" s="177"/>
      <c r="Q1277" s="1103"/>
      <c r="R1277" s="1639"/>
      <c r="S1277" s="177"/>
      <c r="T1277" s="177"/>
      <c r="U1277" s="177"/>
      <c r="V1277" s="2806"/>
      <c r="W1277" s="1065">
        <v>3626.6</v>
      </c>
      <c r="X1277" s="1065">
        <v>3626.6</v>
      </c>
      <c r="Y1277" s="1065">
        <v>3626.6</v>
      </c>
      <c r="Z1277" s="1065"/>
      <c r="AA1277" s="1065"/>
      <c r="AB1277" s="1065"/>
      <c r="AC1277" s="1065"/>
      <c r="AD1277" s="1065"/>
      <c r="AE1277" s="1065"/>
      <c r="AF1277" s="1065"/>
      <c r="AG1277" s="1065"/>
      <c r="BB1277" s="784"/>
      <c r="BC1277" s="785"/>
      <c r="BD1277" s="900"/>
    </row>
    <row r="1278" spans="1:56" s="65" customFormat="1" ht="15.75" hidden="1" outlineLevel="1" thickBot="1" x14ac:dyDescent="0.3">
      <c r="A1278" s="785"/>
      <c r="B1278" s="177"/>
      <c r="C1278" s="455"/>
      <c r="D1278" s="2469"/>
      <c r="E1278" s="2558"/>
      <c r="F1278" s="2859" t="str">
        <f>$F$1218</f>
        <v>DFHP - SEER 21 MF heat pump base_CompE</v>
      </c>
      <c r="G1278" s="2860"/>
      <c r="H1278" s="2861"/>
      <c r="I1278" s="1039"/>
      <c r="J1278" s="1083">
        <v>3626.6</v>
      </c>
      <c r="K1278" s="2080"/>
      <c r="L1278" s="2551"/>
      <c r="M1278" s="177"/>
      <c r="N1278" s="177"/>
      <c r="O1278" s="177"/>
      <c r="P1278" s="177"/>
      <c r="Q1278" s="1103"/>
      <c r="R1278" s="1639"/>
      <c r="S1278" s="177"/>
      <c r="T1278" s="177"/>
      <c r="U1278" s="177"/>
      <c r="V1278" s="2824"/>
      <c r="W1278" s="1065"/>
      <c r="X1278" s="1065"/>
      <c r="Y1278" s="1063">
        <v>3626.6</v>
      </c>
      <c r="Z1278" s="1065"/>
      <c r="AA1278" s="1065"/>
      <c r="AB1278" s="1065"/>
      <c r="AC1278" s="1065"/>
      <c r="AD1278" s="1065"/>
      <c r="AE1278" s="1065"/>
      <c r="AF1278" s="1065"/>
      <c r="AG1278" s="1065"/>
      <c r="BB1278" s="784"/>
      <c r="BC1278" s="785"/>
      <c r="BD1278" s="900"/>
    </row>
    <row r="1279" spans="1:56" collapsed="1" x14ac:dyDescent="0.25">
      <c r="D1279" s="2073"/>
      <c r="E1279" s="2073"/>
      <c r="F1279" s="1068"/>
      <c r="G1279" s="1068"/>
      <c r="H1279" s="1068"/>
      <c r="I1279" s="1068"/>
      <c r="J1279" s="1067"/>
      <c r="K1279" s="2074"/>
      <c r="L1279" s="1068"/>
      <c r="Q1279" s="1103"/>
      <c r="R1279" s="1639"/>
      <c r="V1279" s="65"/>
      <c r="W1279" s="65"/>
      <c r="X1279" s="65"/>
      <c r="Y1279" s="65"/>
      <c r="Z1279" s="65"/>
      <c r="AA1279" s="65"/>
      <c r="AB1279" s="65"/>
      <c r="AC1279" s="65"/>
      <c r="AD1279" s="65"/>
      <c r="AE1279" s="65"/>
      <c r="AF1279" s="65"/>
      <c r="AG1279" s="65"/>
    </row>
    <row r="1281" spans="1:57" s="65" customFormat="1" x14ac:dyDescent="0.25">
      <c r="A1281" s="785"/>
      <c r="B1281" s="1636" t="s">
        <v>1400</v>
      </c>
      <c r="C1281" s="987"/>
      <c r="D1281" s="1637"/>
      <c r="E1281" s="1637"/>
      <c r="F1281" s="1637"/>
      <c r="G1281" s="1637"/>
      <c r="H1281" s="1637"/>
      <c r="I1281" s="1637"/>
      <c r="J1281" s="1637"/>
      <c r="K1281" s="1637"/>
      <c r="L1281" s="1637"/>
      <c r="M1281" s="1637"/>
      <c r="N1281" s="1637"/>
      <c r="O1281" s="1637"/>
      <c r="P1281" s="1637"/>
      <c r="Q1281" s="1671"/>
      <c r="R1281" s="177"/>
      <c r="S1281" s="177"/>
      <c r="T1281" s="177"/>
      <c r="U1281" s="177"/>
      <c r="V1281" s="2639" t="str">
        <f>B1281</f>
        <v>Ground Source Heat Pumps</v>
      </c>
      <c r="W1281" s="2640"/>
      <c r="X1281" s="2640"/>
      <c r="Y1281" s="2640"/>
      <c r="Z1281" s="2640"/>
      <c r="AA1281" s="2640"/>
      <c r="AB1281" s="2640"/>
      <c r="AC1281" s="2615"/>
      <c r="AD1281" s="2615"/>
      <c r="AE1281" s="2615"/>
      <c r="AF1281" s="2615"/>
      <c r="AG1281" s="2615"/>
      <c r="AH1281" s="2616"/>
      <c r="BB1281" s="784"/>
      <c r="BC1281" s="785"/>
      <c r="BD1281" s="900"/>
    </row>
    <row r="1282" spans="1:57" s="65" customFormat="1" x14ac:dyDescent="0.25">
      <c r="A1282" s="785"/>
      <c r="B1282" s="177"/>
      <c r="C1282" s="455"/>
      <c r="D1282" s="456"/>
      <c r="E1282" s="456"/>
      <c r="F1282" s="177"/>
      <c r="G1282" s="456"/>
      <c r="H1282" s="455"/>
      <c r="I1282" s="455"/>
      <c r="J1282" s="455"/>
      <c r="K1282" s="455"/>
      <c r="L1282" s="455"/>
      <c r="M1282" s="455"/>
      <c r="N1282" s="177"/>
      <c r="O1282" s="177"/>
      <c r="P1282" s="177"/>
      <c r="Q1282" s="456"/>
      <c r="R1282" s="177"/>
      <c r="S1282" s="177"/>
      <c r="T1282" s="177"/>
      <c r="U1282" s="177"/>
      <c r="BB1282" s="784"/>
      <c r="BC1282" s="785"/>
      <c r="BD1282" s="900"/>
    </row>
    <row r="1283" spans="1:57" s="65" customFormat="1" x14ac:dyDescent="0.25">
      <c r="A1283" s="785"/>
      <c r="B1283" s="177"/>
      <c r="C1283" s="455"/>
      <c r="D1283" s="456"/>
      <c r="E1283" s="456"/>
      <c r="F1283" s="177"/>
      <c r="G1283" s="456"/>
      <c r="H1283" s="177"/>
      <c r="I1283" s="455"/>
      <c r="J1283" s="455"/>
      <c r="K1283" s="455"/>
      <c r="L1283" s="455"/>
      <c r="M1283" s="455"/>
      <c r="N1283" s="177"/>
      <c r="O1283" s="177"/>
      <c r="P1283" s="177"/>
      <c r="Q1283" s="456"/>
      <c r="R1283" s="177"/>
      <c r="S1283" s="177"/>
      <c r="T1283" s="177"/>
      <c r="U1283" s="177"/>
      <c r="BB1283" s="784"/>
      <c r="BC1283" s="785"/>
      <c r="BD1283" s="900"/>
    </row>
    <row r="1284" spans="1:57" s="65" customFormat="1" ht="30" x14ac:dyDescent="0.25">
      <c r="A1284" s="785"/>
      <c r="B1284" s="177"/>
      <c r="C1284" s="1641" t="s">
        <v>17</v>
      </c>
      <c r="D1284" s="1641" t="s">
        <v>662</v>
      </c>
      <c r="E1284" s="1641" t="s">
        <v>19</v>
      </c>
      <c r="F1284" s="1641" t="s">
        <v>20</v>
      </c>
      <c r="G1284" s="1641" t="s">
        <v>21</v>
      </c>
      <c r="H1284" s="1641" t="s">
        <v>22</v>
      </c>
      <c r="I1284" s="1641" t="s">
        <v>23</v>
      </c>
      <c r="J1284" s="1646" t="s">
        <v>24</v>
      </c>
      <c r="K1284" s="1641" t="s">
        <v>25</v>
      </c>
      <c r="L1284" s="1641" t="s">
        <v>1210</v>
      </c>
      <c r="M1284" s="177"/>
      <c r="N1284" s="177"/>
      <c r="O1284" s="177"/>
      <c r="P1284" s="177"/>
      <c r="Q1284" s="177"/>
      <c r="R1284" s="177"/>
      <c r="S1284" s="177"/>
      <c r="T1284" s="177"/>
      <c r="U1284" s="177"/>
      <c r="V1284" s="55" t="s">
        <v>27</v>
      </c>
      <c r="W1284" s="56">
        <v>43252</v>
      </c>
      <c r="X1284" s="56">
        <f>$X$6</f>
        <v>43465</v>
      </c>
      <c r="Y1284" s="56">
        <f>$Y$6</f>
        <v>43800</v>
      </c>
      <c r="Z1284" s="56">
        <f>$Z$6</f>
        <v>43862</v>
      </c>
      <c r="AA1284" s="56" t="str">
        <f>$AA$6</f>
        <v>-</v>
      </c>
      <c r="AB1284" s="56" t="str">
        <f>$AB$6</f>
        <v>-</v>
      </c>
      <c r="AC1284" s="56" t="str">
        <f>$AC$6</f>
        <v>-</v>
      </c>
      <c r="AD1284" s="56" t="str">
        <f>$AD$6</f>
        <v>-</v>
      </c>
      <c r="AE1284" s="56" t="str">
        <f>$AE$6</f>
        <v>-</v>
      </c>
      <c r="AF1284" s="56" t="str">
        <f>$AF$6</f>
        <v>-</v>
      </c>
      <c r="AG1284" s="56" t="str">
        <f>$AG$6</f>
        <v>-</v>
      </c>
      <c r="BB1284" s="103" t="str">
        <f>$BB$6</f>
        <v>TRC (2020)</v>
      </c>
      <c r="BC1284" s="103" t="str">
        <f>$BC$6</f>
        <v>Benefit Lookup</v>
      </c>
      <c r="BD1284" s="883" t="str">
        <f>$BD$6</f>
        <v>Benefits (2019 $)</v>
      </c>
      <c r="BE1284" s="334" t="str">
        <f>$BE$6</f>
        <v>Incremental Cost (2019 $)</v>
      </c>
    </row>
    <row r="1285" spans="1:57" s="65" customFormat="1" x14ac:dyDescent="0.25">
      <c r="A1285" s="785"/>
      <c r="B1285" s="177"/>
      <c r="C1285" s="1572" t="s">
        <v>1401</v>
      </c>
      <c r="D1285" s="1927" t="s">
        <v>795</v>
      </c>
      <c r="E1285" s="884" t="s">
        <v>1402</v>
      </c>
      <c r="F1285" s="999">
        <f>ROUND((($J$1338*$J$1343*(1/$J$1348-1/$J$1353))/1000),2)</f>
        <v>1417.18</v>
      </c>
      <c r="G1285" s="318" t="s">
        <v>1367</v>
      </c>
      <c r="H1285" s="239">
        <f>VLOOKUP(G1285,'CP FACTORS'!$A$3:$B$38, 2, FALSE)</f>
        <v>9.4741810000000004E-4</v>
      </c>
      <c r="I1285" s="2046">
        <f t="shared" ref="I1285:I1296" si="117">ROUND(F1285*H1285,6)</f>
        <v>1.342662</v>
      </c>
      <c r="J1285" s="219">
        <v>18</v>
      </c>
      <c r="K1285" s="2075">
        <v>4717</v>
      </c>
      <c r="L1285" s="92">
        <f>K1338</f>
        <v>3.86</v>
      </c>
      <c r="M1285" s="177"/>
      <c r="N1285" s="177"/>
      <c r="O1285" s="177"/>
      <c r="P1285" s="177"/>
      <c r="Q1285" s="177"/>
      <c r="R1285" s="1894"/>
      <c r="S1285" s="177"/>
      <c r="T1285" s="177"/>
      <c r="U1285" s="177"/>
      <c r="V1285" s="245" t="s">
        <v>20</v>
      </c>
      <c r="W1285" s="1070">
        <v>1811.005012964564</v>
      </c>
      <c r="X1285" s="1070">
        <v>1413.8603840319427</v>
      </c>
      <c r="Y1285" s="1071">
        <v>1413.86</v>
      </c>
      <c r="Z1285" s="64"/>
      <c r="AA1285" s="64"/>
      <c r="AB1285" s="64"/>
      <c r="AC1285" s="64"/>
      <c r="AD1285" s="64"/>
      <c r="AE1285" s="64"/>
      <c r="AF1285" s="64"/>
      <c r="AG1285" s="64"/>
      <c r="AH1285" s="248"/>
      <c r="AI1285" s="248"/>
      <c r="BB1285" s="345">
        <f>(BD1285+BD1286)/(BE1285+BE1286)</f>
        <v>2.2460983444586695</v>
      </c>
      <c r="BC1285" s="884" t="str">
        <f t="shared" ref="BC1285:BC1296" si="118">CONCATENATE(G1285," ",J1285," Year EUL")</f>
        <v>Cooling Res 18 Year EUL</v>
      </c>
      <c r="BD1285" s="891">
        <f>(INDEX('Avoided Cost Benefits'!$C$4:$C$857,MATCH(BC1285,'Avoided Cost Benefits'!$A$4:$A$857,0)))*F1285</f>
        <v>2499.6329626724428</v>
      </c>
      <c r="BE1285" s="70">
        <f t="shared" ref="BE1285:BE1296" si="119">K1285/(1.0595^(2020-2019))</f>
        <v>4452.1000471920715</v>
      </c>
    </row>
    <row r="1286" spans="1:57" s="65" customFormat="1" x14ac:dyDescent="0.25">
      <c r="A1286" s="785"/>
      <c r="B1286" s="177"/>
      <c r="C1286" s="1572" t="s">
        <v>1401</v>
      </c>
      <c r="D1286" s="2076" t="s">
        <v>795</v>
      </c>
      <c r="E1286" s="892" t="s">
        <v>1403</v>
      </c>
      <c r="F1286" s="999">
        <f>ROUND((($J$1319*$J$1324*(1/$J$1329-1/$J$1335))/1000),2)</f>
        <v>16233.68</v>
      </c>
      <c r="G1286" s="318" t="s">
        <v>738</v>
      </c>
      <c r="H1286" s="239">
        <f>VLOOKUP(G1286,'CP FACTORS'!$A$3:$B$38, 2, FALSE)</f>
        <v>0</v>
      </c>
      <c r="I1286" s="2046">
        <f t="shared" si="117"/>
        <v>0</v>
      </c>
      <c r="J1286" s="219">
        <v>18</v>
      </c>
      <c r="K1286" s="2077"/>
      <c r="L1286" s="92"/>
      <c r="M1286" s="785"/>
      <c r="N1286" s="177"/>
      <c r="O1286" s="177"/>
      <c r="P1286" s="177"/>
      <c r="Q1286" s="177"/>
      <c r="R1286" s="1894"/>
      <c r="S1286" s="177"/>
      <c r="T1286" s="177"/>
      <c r="U1286" s="177"/>
      <c r="V1286" s="245" t="s">
        <v>20</v>
      </c>
      <c r="W1286" s="1070">
        <v>6530.865353107697</v>
      </c>
      <c r="X1286" s="1072">
        <v>21786.888829533</v>
      </c>
      <c r="Y1286" s="1071">
        <v>16223.59</v>
      </c>
      <c r="Z1286" s="64"/>
      <c r="AA1286" s="64"/>
      <c r="AB1286" s="64"/>
      <c r="AC1286" s="64"/>
      <c r="AD1286" s="64"/>
      <c r="AE1286" s="64"/>
      <c r="AF1286" s="64"/>
      <c r="AG1286" s="64"/>
      <c r="AH1286" s="248"/>
      <c r="AI1286" s="248"/>
      <c r="BB1286" s="348"/>
      <c r="BC1286" s="892" t="str">
        <f t="shared" si="118"/>
        <v>Heating RES 18 Year EUL</v>
      </c>
      <c r="BD1286" s="894">
        <f>(INDEX('Avoided Cost Benefits'!$C$4:$C$857,MATCH(BC1286,'Avoided Cost Benefits'!$A$4:$A$857,0)))*F1286</f>
        <v>7500.2215826900338</v>
      </c>
      <c r="BE1286" s="74">
        <f t="shared" si="119"/>
        <v>0</v>
      </c>
    </row>
    <row r="1287" spans="1:57" s="65" customFormat="1" x14ac:dyDescent="0.25">
      <c r="A1287" s="785"/>
      <c r="B1287" s="177"/>
      <c r="C1287" s="1572" t="s">
        <v>1404</v>
      </c>
      <c r="D1287" s="2076" t="s">
        <v>795</v>
      </c>
      <c r="E1287" s="884" t="s">
        <v>1405</v>
      </c>
      <c r="F1287" s="999">
        <f>ROUND((($J$1339*$J$1344*(1/$J$1349-1/$J$1354))/1000),2)</f>
        <v>4722.29</v>
      </c>
      <c r="G1287" s="318" t="s">
        <v>1367</v>
      </c>
      <c r="H1287" s="239">
        <f>VLOOKUP(G1287,'CP FACTORS'!$A$3:$B$38, 2, FALSE)</f>
        <v>9.4741810000000004E-4</v>
      </c>
      <c r="I1287" s="2046">
        <f t="shared" si="117"/>
        <v>4.4739829999999996</v>
      </c>
      <c r="J1287" s="219">
        <v>6</v>
      </c>
      <c r="K1287" s="2075">
        <v>5250</v>
      </c>
      <c r="L1287" s="92">
        <f>K1339</f>
        <v>3.86</v>
      </c>
      <c r="M1287" s="177"/>
      <c r="N1287" s="177"/>
      <c r="O1287" s="177"/>
      <c r="P1287" s="177"/>
      <c r="Q1287" s="177"/>
      <c r="R1287" s="1894"/>
      <c r="S1287" s="177"/>
      <c r="T1287" s="177"/>
      <c r="U1287" s="177"/>
      <c r="V1287" s="245" t="s">
        <v>20</v>
      </c>
      <c r="W1287" s="1070">
        <v>4715.6029411764694</v>
      </c>
      <c r="X1287" s="1070">
        <v>4824.9949536200738</v>
      </c>
      <c r="Y1287" s="1071">
        <v>4824.99</v>
      </c>
      <c r="Z1287" s="64"/>
      <c r="AA1287" s="64"/>
      <c r="AB1287" s="64"/>
      <c r="AC1287" s="64"/>
      <c r="AD1287" s="64"/>
      <c r="AE1287" s="64"/>
      <c r="AF1287" s="64"/>
      <c r="AG1287" s="64"/>
      <c r="AH1287" s="248"/>
      <c r="AI1287" s="248"/>
      <c r="BB1287" s="350">
        <f>(BD1287+BD1288+BD1289+BD1290)/(BE1287+BE1288+BE1289+BE1290)</f>
        <v>2.3720532215267811</v>
      </c>
      <c r="BC1287" s="884" t="str">
        <f t="shared" si="118"/>
        <v>Cooling Res 6 Year EUL</v>
      </c>
      <c r="BD1287" s="894">
        <f>(INDEX('Avoided Cost Benefits'!$C$4:$C$857,MATCH(BC1287,'Avoided Cost Benefits'!$A$4:$A$857,0)))*F1287</f>
        <v>2745.9368477863559</v>
      </c>
      <c r="BE1287" s="74">
        <f t="shared" si="119"/>
        <v>4955.1675318546477</v>
      </c>
    </row>
    <row r="1288" spans="1:57" s="65" customFormat="1" x14ac:dyDescent="0.25">
      <c r="A1288" s="785"/>
      <c r="B1288" s="177"/>
      <c r="C1288" s="1572" t="s">
        <v>1404</v>
      </c>
      <c r="D1288" s="2076" t="s">
        <v>795</v>
      </c>
      <c r="E1288" s="994" t="s">
        <v>1406</v>
      </c>
      <c r="F1288" s="999">
        <f>ROUND((($J$1317*$J$1322*(1/$J$1327-1/$J$1333))/1000),2)</f>
        <v>15744.22</v>
      </c>
      <c r="G1288" s="318" t="s">
        <v>738</v>
      </c>
      <c r="H1288" s="239">
        <f>VLOOKUP(G1288,'CP FACTORS'!$A$3:$B$38, 2, FALSE)</f>
        <v>0</v>
      </c>
      <c r="I1288" s="2046">
        <f t="shared" si="117"/>
        <v>0</v>
      </c>
      <c r="J1288" s="219">
        <v>6</v>
      </c>
      <c r="K1288" s="2077"/>
      <c r="L1288" s="92"/>
      <c r="M1288" s="177"/>
      <c r="N1288" s="177"/>
      <c r="O1288" s="177"/>
      <c r="P1288" s="177"/>
      <c r="Q1288" s="177"/>
      <c r="R1288" s="1894"/>
      <c r="S1288" s="177"/>
      <c r="T1288" s="177"/>
      <c r="U1288" s="177"/>
      <c r="V1288" s="245" t="s">
        <v>20</v>
      </c>
      <c r="W1288" s="1070">
        <v>6530.865353107697</v>
      </c>
      <c r="X1288" s="1072">
        <v>21786.888829533</v>
      </c>
      <c r="Y1288" s="1071">
        <v>16223.59</v>
      </c>
      <c r="Z1288" s="64"/>
      <c r="AA1288" s="64"/>
      <c r="AB1288" s="64"/>
      <c r="AC1288" s="64"/>
      <c r="AD1288" s="64"/>
      <c r="AE1288" s="64"/>
      <c r="AF1288" s="64"/>
      <c r="AG1288" s="64"/>
      <c r="AH1288" s="248"/>
      <c r="AI1288" s="248"/>
      <c r="BB1288" s="995"/>
      <c r="BC1288" s="994" t="str">
        <f t="shared" si="118"/>
        <v>Heating RES 6 Year EUL</v>
      </c>
      <c r="BD1288" s="894">
        <f>(INDEX('Avoided Cost Benefits'!$C$4:$C$857,MATCH(BC1288,'Avoided Cost Benefits'!$A$4:$A$857,0)))*F1288</f>
        <v>2618.7912837876092</v>
      </c>
      <c r="BE1288" s="74">
        <f t="shared" si="119"/>
        <v>0</v>
      </c>
    </row>
    <row r="1289" spans="1:57" s="65" customFormat="1" x14ac:dyDescent="0.25">
      <c r="A1289" s="785"/>
      <c r="B1289" s="177"/>
      <c r="C1289" s="1572" t="s">
        <v>1404</v>
      </c>
      <c r="D1289" s="2076" t="s">
        <v>795</v>
      </c>
      <c r="E1289" s="994" t="s">
        <v>1407</v>
      </c>
      <c r="F1289" s="999">
        <f>ROUND((($J$1340*$J$1345*(1/$J$1350-1/$J$1355))/1000),2)</f>
        <v>1466.52</v>
      </c>
      <c r="G1289" s="2078" t="s">
        <v>1408</v>
      </c>
      <c r="H1289" s="239">
        <f>VLOOKUP(G1289,'CP FACTORS'!$A$3:$B$38, 2, FALSE)</f>
        <v>9.4741810000000004E-4</v>
      </c>
      <c r="I1289" s="2046">
        <f t="shared" si="117"/>
        <v>1.389408</v>
      </c>
      <c r="J1289" s="219">
        <v>12</v>
      </c>
      <c r="K1289" s="2077"/>
      <c r="L1289" s="92"/>
      <c r="M1289" s="177"/>
      <c r="N1289" s="177"/>
      <c r="O1289" s="177"/>
      <c r="P1289" s="177"/>
      <c r="Q1289" s="177"/>
      <c r="R1289" s="1894"/>
      <c r="S1289" s="177"/>
      <c r="T1289" s="177"/>
      <c r="U1289" s="177"/>
      <c r="V1289" s="245" t="s">
        <v>20</v>
      </c>
      <c r="W1289" s="1070">
        <v>1716.9631221719455</v>
      </c>
      <c r="X1289" s="1070">
        <v>1413.8603840319427</v>
      </c>
      <c r="Y1289" s="1071">
        <v>1413.86</v>
      </c>
      <c r="Z1289" s="64"/>
      <c r="AA1289" s="64"/>
      <c r="AB1289" s="64"/>
      <c r="AC1289" s="64"/>
      <c r="AD1289" s="64"/>
      <c r="AE1289" s="64"/>
      <c r="AF1289" s="64"/>
      <c r="AG1289" s="64"/>
      <c r="AH1289" s="248"/>
      <c r="AI1289" s="248"/>
      <c r="BB1289" s="995"/>
      <c r="BC1289" s="994" t="str">
        <f t="shared" si="118"/>
        <v>Cooling Res ER2 12 Year EUL</v>
      </c>
      <c r="BD1289" s="894">
        <f>(INDEX('Avoided Cost Benefits'!$C$4:$C$857,MATCH(BC1289,'Avoided Cost Benefits'!$A$4:$A$857,0)))*F1289</f>
        <v>1733.9010787927189</v>
      </c>
      <c r="BE1289" s="74">
        <f t="shared" si="119"/>
        <v>0</v>
      </c>
    </row>
    <row r="1290" spans="1:57" s="65" customFormat="1" x14ac:dyDescent="0.25">
      <c r="A1290" s="785"/>
      <c r="B1290" s="177"/>
      <c r="C1290" s="1572" t="s">
        <v>1404</v>
      </c>
      <c r="D1290" s="2076" t="s">
        <v>795</v>
      </c>
      <c r="E1290" s="892" t="s">
        <v>1409</v>
      </c>
      <c r="F1290" s="999">
        <f>ROUND((($J$1318*$J$1323*(1/$J$1328-1/$J$1334))/1000),2)</f>
        <v>15744.22</v>
      </c>
      <c r="G1290" s="2078" t="s">
        <v>1310</v>
      </c>
      <c r="H1290" s="239">
        <f>VLOOKUP(G1290,'CP FACTORS'!$A$3:$B$38, 2, FALSE)</f>
        <v>0</v>
      </c>
      <c r="I1290" s="2046">
        <f t="shared" si="117"/>
        <v>0</v>
      </c>
      <c r="J1290" s="219">
        <v>12</v>
      </c>
      <c r="K1290" s="2077"/>
      <c r="L1290" s="92"/>
      <c r="M1290" s="177"/>
      <c r="N1290" s="177"/>
      <c r="O1290" s="177"/>
      <c r="P1290" s="177"/>
      <c r="Q1290" s="177"/>
      <c r="R1290" s="1894"/>
      <c r="S1290" s="177"/>
      <c r="T1290" s="177"/>
      <c r="U1290" s="177"/>
      <c r="V1290" s="245" t="s">
        <v>20</v>
      </c>
      <c r="W1290" s="1070">
        <v>6530.865353107697</v>
      </c>
      <c r="X1290" s="1072">
        <v>21786.888829533</v>
      </c>
      <c r="Y1290" s="1071">
        <v>16223.59</v>
      </c>
      <c r="Z1290" s="64"/>
      <c r="AA1290" s="64"/>
      <c r="AB1290" s="64"/>
      <c r="AC1290" s="64"/>
      <c r="AD1290" s="64"/>
      <c r="AE1290" s="64"/>
      <c r="AF1290" s="64"/>
      <c r="AG1290" s="64"/>
      <c r="AH1290" s="248"/>
      <c r="AI1290" s="248"/>
      <c r="BB1290" s="995"/>
      <c r="BC1290" s="892" t="str">
        <f t="shared" si="118"/>
        <v>Heating RES ER2 12 Year EUL</v>
      </c>
      <c r="BD1290" s="894">
        <f>(INDEX('Avoided Cost Benefits'!$C$4:$C$857,MATCH(BC1290,'Avoided Cost Benefits'!$A$4:$A$857,0)))*F1290</f>
        <v>4655.2918967740425</v>
      </c>
      <c r="BE1290" s="74">
        <f t="shared" si="119"/>
        <v>0</v>
      </c>
    </row>
    <row r="1291" spans="1:57" s="65" customFormat="1" x14ac:dyDescent="0.25">
      <c r="A1291" s="785"/>
      <c r="B1291" s="177"/>
      <c r="C1291" s="1572" t="s">
        <v>1410</v>
      </c>
      <c r="D1291" s="2076" t="s">
        <v>795</v>
      </c>
      <c r="E1291" s="884" t="s">
        <v>1411</v>
      </c>
      <c r="F1291" s="999">
        <f>ROUND(((J1341*J1346*(1/J1351-1/J1356))/1000),2)</f>
        <v>2085.6</v>
      </c>
      <c r="G1291" s="318" t="s">
        <v>1367</v>
      </c>
      <c r="H1291" s="239">
        <f>VLOOKUP(G1291,'CP FACTORS'!$A$3:$B$38, 2, FALSE)</f>
        <v>9.4741810000000004E-4</v>
      </c>
      <c r="I1291" s="2046">
        <f t="shared" si="117"/>
        <v>1.975935</v>
      </c>
      <c r="J1291" s="219">
        <v>6</v>
      </c>
      <c r="K1291" s="2075">
        <v>4859</v>
      </c>
      <c r="L1291" s="92">
        <f>K1341</f>
        <v>4.2</v>
      </c>
      <c r="M1291" s="177"/>
      <c r="N1291" s="177"/>
      <c r="O1291" s="177"/>
      <c r="P1291" s="177"/>
      <c r="Q1291" s="177"/>
      <c r="R1291" s="1894"/>
      <c r="S1291" s="177"/>
      <c r="T1291" s="177"/>
      <c r="U1291" s="177"/>
      <c r="V1291" s="245" t="s">
        <v>20</v>
      </c>
      <c r="W1291" s="1070">
        <v>4715.6029411764694</v>
      </c>
      <c r="X1291" s="1070">
        <v>1930.2682563723677</v>
      </c>
      <c r="Y1291" s="1071">
        <v>1930.27</v>
      </c>
      <c r="Z1291" s="64"/>
      <c r="AA1291" s="64"/>
      <c r="AB1291" s="64"/>
      <c r="AC1291" s="64"/>
      <c r="AD1291" s="64"/>
      <c r="AE1291" s="64"/>
      <c r="AF1291" s="64"/>
      <c r="AG1291" s="64"/>
      <c r="AH1291" s="248"/>
      <c r="AI1291" s="248"/>
      <c r="BB1291" s="350">
        <f>(BD1291+BD1292+BD1293+BD1294)/(BE1291+BE1292+BE1293+BE1294)</f>
        <v>0.90610012859652256</v>
      </c>
      <c r="BC1291" s="884" t="str">
        <f t="shared" si="118"/>
        <v>Cooling Res 6 Year EUL</v>
      </c>
      <c r="BD1291" s="894">
        <f>(INDEX('Avoided Cost Benefits'!$C$4:$C$857,MATCH(BC1291,'Avoided Cost Benefits'!$A$4:$A$857,0)))*F1291</f>
        <v>1212.7433702172514</v>
      </c>
      <c r="BE1291" s="74">
        <f t="shared" si="119"/>
        <v>4586.1255309108064</v>
      </c>
    </row>
    <row r="1292" spans="1:57" s="65" customFormat="1" x14ac:dyDescent="0.25">
      <c r="A1292" s="785"/>
      <c r="B1292" s="177"/>
      <c r="C1292" s="1572" t="s">
        <v>1410</v>
      </c>
      <c r="D1292" s="2076" t="s">
        <v>795</v>
      </c>
      <c r="E1292" s="994" t="s">
        <v>1412</v>
      </c>
      <c r="F1292" s="999">
        <f>ROUND(((J1320*J1325*(1/J1330-1/J1336))/1000),2)</f>
        <v>2915.17</v>
      </c>
      <c r="G1292" s="318" t="s">
        <v>738</v>
      </c>
      <c r="H1292" s="239">
        <f>VLOOKUP(G1292,'CP FACTORS'!$A$3:$B$38, 2, FALSE)</f>
        <v>0</v>
      </c>
      <c r="I1292" s="2046">
        <f t="shared" si="117"/>
        <v>0</v>
      </c>
      <c r="J1292" s="219">
        <v>6</v>
      </c>
      <c r="K1292" s="2077"/>
      <c r="L1292" s="92"/>
      <c r="M1292" s="177"/>
      <c r="N1292" s="177"/>
      <c r="O1292" s="177"/>
      <c r="P1292" s="177"/>
      <c r="Q1292" s="177"/>
      <c r="R1292" s="1894"/>
      <c r="S1292" s="177"/>
      <c r="T1292" s="177"/>
      <c r="U1292" s="177"/>
      <c r="V1292" s="245" t="s">
        <v>20</v>
      </c>
      <c r="W1292" s="1070">
        <v>6530.865353107697</v>
      </c>
      <c r="X1292" s="1072">
        <v>3650.7555350956377</v>
      </c>
      <c r="Y1292" s="1071">
        <v>2718.53</v>
      </c>
      <c r="Z1292" s="64"/>
      <c r="AA1292" s="64"/>
      <c r="AB1292" s="64"/>
      <c r="AC1292" s="64"/>
      <c r="AD1292" s="64"/>
      <c r="AE1292" s="64"/>
      <c r="AF1292" s="64"/>
      <c r="AG1292" s="64"/>
      <c r="AH1292" s="248"/>
      <c r="AI1292" s="248"/>
      <c r="BB1292" s="995"/>
      <c r="BC1292" s="994" t="str">
        <f t="shared" si="118"/>
        <v>Heating RES 6 Year EUL</v>
      </c>
      <c r="BD1292" s="894">
        <f>(INDEX('Avoided Cost Benefits'!$C$4:$C$857,MATCH(BC1292,'Avoided Cost Benefits'!$A$4:$A$857,0)))*F1292</f>
        <v>484.89044149275895</v>
      </c>
      <c r="BE1292" s="74">
        <f t="shared" si="119"/>
        <v>0</v>
      </c>
    </row>
    <row r="1293" spans="1:57" s="65" customFormat="1" x14ac:dyDescent="0.25">
      <c r="A1293" s="785"/>
      <c r="B1293" s="177"/>
      <c r="C1293" s="1572" t="s">
        <v>1410</v>
      </c>
      <c r="D1293" s="2076" t="s">
        <v>795</v>
      </c>
      <c r="E1293" s="994" t="s">
        <v>1413</v>
      </c>
      <c r="F1293" s="1165">
        <f>ROUND(((J1341*J1346*(1/J1352-1/J1356))/1000),2)</f>
        <v>1542.01</v>
      </c>
      <c r="G1293" s="2078" t="s">
        <v>1408</v>
      </c>
      <c r="H1293" s="239">
        <f>VLOOKUP(G1293,'CP FACTORS'!$A$3:$B$38, 2, FALSE)</f>
        <v>9.4741810000000004E-4</v>
      </c>
      <c r="I1293" s="2046">
        <f t="shared" si="117"/>
        <v>1.460928</v>
      </c>
      <c r="J1293" s="219">
        <v>12</v>
      </c>
      <c r="K1293" s="2077"/>
      <c r="L1293" s="92"/>
      <c r="M1293" s="177"/>
      <c r="N1293" s="177"/>
      <c r="O1293" s="177"/>
      <c r="P1293" s="177"/>
      <c r="Q1293" s="177"/>
      <c r="R1293" s="1894"/>
      <c r="S1293" s="177"/>
      <c r="T1293" s="177"/>
      <c r="U1293" s="177"/>
      <c r="V1293" s="245" t="s">
        <v>20</v>
      </c>
      <c r="W1293" s="579">
        <v>1460.3876720901126</v>
      </c>
      <c r="X1293" s="579">
        <v>1413.8603840319427</v>
      </c>
      <c r="Y1293" s="1071">
        <v>1413.86</v>
      </c>
      <c r="Z1293" s="64"/>
      <c r="AA1293" s="64"/>
      <c r="AB1293" s="64"/>
      <c r="AC1293" s="64"/>
      <c r="AD1293" s="64"/>
      <c r="AE1293" s="64"/>
      <c r="AF1293" s="64"/>
      <c r="AG1293" s="64"/>
      <c r="AH1293" s="248"/>
      <c r="AI1293" s="248"/>
      <c r="BB1293" s="995"/>
      <c r="BC1293" s="994" t="str">
        <f t="shared" si="118"/>
        <v>Cooling Res ER2 12 Year EUL</v>
      </c>
      <c r="BD1293" s="894">
        <f>(INDEX('Avoided Cost Benefits'!$C$4:$C$857,MATCH(BC1293,'Avoided Cost Benefits'!$A$4:$A$857,0)))*F1293</f>
        <v>1823.1546808152366</v>
      </c>
      <c r="BE1293" s="74">
        <f t="shared" si="119"/>
        <v>0</v>
      </c>
    </row>
    <row r="1294" spans="1:57" s="65" customFormat="1" x14ac:dyDescent="0.25">
      <c r="A1294" s="785"/>
      <c r="B1294" s="177"/>
      <c r="C1294" s="1572" t="s">
        <v>1410</v>
      </c>
      <c r="D1294" s="2076" t="s">
        <v>795</v>
      </c>
      <c r="E1294" s="892" t="s">
        <v>1414</v>
      </c>
      <c r="F1294" s="1165">
        <f>ROUND(((J1320*J1325*(1/J1331-1/J1336))/1000),2)</f>
        <v>2146.56</v>
      </c>
      <c r="G1294" s="2078" t="s">
        <v>1310</v>
      </c>
      <c r="H1294" s="239">
        <f>VLOOKUP(G1294,'CP FACTORS'!$A$3:$B$38, 2, FALSE)</f>
        <v>0</v>
      </c>
      <c r="I1294" s="2046">
        <f t="shared" si="117"/>
        <v>0</v>
      </c>
      <c r="J1294" s="219">
        <v>12</v>
      </c>
      <c r="K1294" s="2077"/>
      <c r="L1294" s="92"/>
      <c r="M1294" s="177"/>
      <c r="N1294" s="177"/>
      <c r="O1294" s="177"/>
      <c r="P1294" s="177"/>
      <c r="Q1294" s="177"/>
      <c r="R1294" s="1894"/>
      <c r="S1294" s="177"/>
      <c r="T1294" s="177"/>
      <c r="U1294" s="177"/>
      <c r="V1294" s="245" t="s">
        <v>20</v>
      </c>
      <c r="W1294" s="579">
        <v>6530.865353107697</v>
      </c>
      <c r="X1294" s="1073">
        <v>2670.177267298056</v>
      </c>
      <c r="Y1294" s="1071">
        <v>1988.35</v>
      </c>
      <c r="Z1294" s="64"/>
      <c r="AA1294" s="64"/>
      <c r="AB1294" s="64"/>
      <c r="AC1294" s="64"/>
      <c r="AD1294" s="64"/>
      <c r="AE1294" s="64"/>
      <c r="AF1294" s="64"/>
      <c r="AG1294" s="64"/>
      <c r="AH1294" s="248"/>
      <c r="AI1294" s="248"/>
      <c r="BB1294" s="995"/>
      <c r="BC1294" s="892" t="str">
        <f t="shared" si="118"/>
        <v>Heating RES ER2 12 Year EUL</v>
      </c>
      <c r="BD1294" s="894">
        <f>(INDEX('Avoided Cost Benefits'!$C$4:$C$857,MATCH(BC1294,'Avoided Cost Benefits'!$A$4:$A$857,0)))*F1294</f>
        <v>634.70044079282991</v>
      </c>
      <c r="BE1294" s="74">
        <f t="shared" si="119"/>
        <v>0</v>
      </c>
    </row>
    <row r="1295" spans="1:57" s="65" customFormat="1" x14ac:dyDescent="0.25">
      <c r="A1295" s="785"/>
      <c r="B1295" s="177"/>
      <c r="C1295" s="1572" t="s">
        <v>1415</v>
      </c>
      <c r="D1295" s="2076" t="s">
        <v>795</v>
      </c>
      <c r="E1295" s="884" t="s">
        <v>1416</v>
      </c>
      <c r="F1295" s="999">
        <f>ROUND(((J1342*J1347*(1/J1352-1/J1357))/1000),2)</f>
        <v>1442.88</v>
      </c>
      <c r="G1295" s="318" t="s">
        <v>1367</v>
      </c>
      <c r="H1295" s="239">
        <f>VLOOKUP(G1295,'CP FACTORS'!$A$3:$B$38, 2, FALSE)</f>
        <v>9.4741810000000004E-4</v>
      </c>
      <c r="I1295" s="2046">
        <f t="shared" si="117"/>
        <v>1.367011</v>
      </c>
      <c r="J1295" s="219">
        <v>18</v>
      </c>
      <c r="K1295" s="2075">
        <v>3200</v>
      </c>
      <c r="L1295" s="87">
        <f>K1342</f>
        <v>3.93</v>
      </c>
      <c r="M1295" s="177"/>
      <c r="N1295" s="177"/>
      <c r="O1295" s="177"/>
      <c r="P1295" s="177"/>
      <c r="Q1295" s="177"/>
      <c r="R1295" s="1894"/>
      <c r="S1295" s="177"/>
      <c r="T1295" s="177"/>
      <c r="U1295" s="177"/>
      <c r="V1295" s="245" t="s">
        <v>20</v>
      </c>
      <c r="W1295" s="1070">
        <v>1535.655749462109</v>
      </c>
      <c r="X1295" s="1070">
        <v>1413.8603840319427</v>
      </c>
      <c r="Y1295" s="1071">
        <v>1413.86</v>
      </c>
      <c r="Z1295" s="64"/>
      <c r="AA1295" s="64"/>
      <c r="AB1295" s="64"/>
      <c r="AC1295" s="64"/>
      <c r="AD1295" s="64"/>
      <c r="AE1295" s="64"/>
      <c r="AF1295" s="64"/>
      <c r="AG1295" s="64"/>
      <c r="AH1295" s="248"/>
      <c r="AI1295" s="248"/>
      <c r="BB1295" s="350">
        <f>(BD1295+BD1296)/(BE1295+BE1296)</f>
        <v>1.1498720010685797</v>
      </c>
      <c r="BC1295" s="884" t="str">
        <f t="shared" si="118"/>
        <v>Cooling Res 18 Year EUL</v>
      </c>
      <c r="BD1295" s="894">
        <f>(INDEX('Avoided Cost Benefits'!$C$4:$C$857,MATCH(BC1295,'Avoided Cost Benefits'!$A$4:$A$857,0)))*F1295</f>
        <v>2544.9628199528743</v>
      </c>
      <c r="BE1295" s="74">
        <f t="shared" si="119"/>
        <v>3020.2925908447378</v>
      </c>
    </row>
    <row r="1296" spans="1:57" s="65" customFormat="1" x14ac:dyDescent="0.25">
      <c r="A1296" s="785"/>
      <c r="B1296" s="177"/>
      <c r="C1296" s="1572" t="s">
        <v>1415</v>
      </c>
      <c r="D1296" s="2076" t="s">
        <v>795</v>
      </c>
      <c r="E1296" s="892" t="s">
        <v>1416</v>
      </c>
      <c r="F1296" s="999">
        <f>ROUND(((J1321*J1326*(1/J1332-1/J1337))/1000),2)</f>
        <v>2008.56</v>
      </c>
      <c r="G1296" s="318" t="s">
        <v>738</v>
      </c>
      <c r="H1296" s="239">
        <f>VLOOKUP(G1296,'CP FACTORS'!$A$3:$B$38, 2, FALSE)</f>
        <v>0</v>
      </c>
      <c r="I1296" s="2046">
        <f t="shared" si="117"/>
        <v>0</v>
      </c>
      <c r="J1296" s="219">
        <v>18</v>
      </c>
      <c r="K1296" s="1572"/>
      <c r="L1296" s="92"/>
      <c r="M1296" s="177"/>
      <c r="N1296" s="177"/>
      <c r="O1296" s="177"/>
      <c r="P1296" s="177"/>
      <c r="Q1296" s="177"/>
      <c r="R1296" s="1894"/>
      <c r="S1296" s="177"/>
      <c r="T1296" s="177"/>
      <c r="U1296" s="177"/>
      <c r="V1296" s="245" t="s">
        <v>20</v>
      </c>
      <c r="W1296" s="1070">
        <v>7008.7335496765554</v>
      </c>
      <c r="X1296" s="1072">
        <v>2670.177267298056</v>
      </c>
      <c r="Y1296" s="1071">
        <v>1988.35</v>
      </c>
      <c r="Z1296" s="64"/>
      <c r="AA1296" s="64"/>
      <c r="AB1296" s="64"/>
      <c r="AC1296" s="64"/>
      <c r="AD1296" s="64"/>
      <c r="AE1296" s="64"/>
      <c r="AF1296" s="64"/>
      <c r="AG1296" s="64"/>
      <c r="AH1296" s="248"/>
      <c r="AI1296" s="248"/>
      <c r="BB1296" s="352"/>
      <c r="BC1296" s="892" t="str">
        <f t="shared" si="118"/>
        <v>Heating RES 18 Year EUL</v>
      </c>
      <c r="BD1296" s="899">
        <f>(INDEX('Avoided Cost Benefits'!$C$4:$C$857,MATCH(BC1296,'Avoided Cost Benefits'!$A$4:$A$857,0)))*F1296</f>
        <v>927.98706529436902</v>
      </c>
      <c r="BE1296" s="76">
        <f t="shared" si="119"/>
        <v>0</v>
      </c>
    </row>
    <row r="1297" spans="1:57" s="65" customFormat="1" hidden="1" outlineLevel="1" x14ac:dyDescent="0.25">
      <c r="A1297" s="785"/>
      <c r="B1297" s="177"/>
      <c r="C1297" s="455"/>
      <c r="D1297" s="456"/>
      <c r="E1297" s="456" t="s">
        <v>1362</v>
      </c>
      <c r="F1297" s="1965"/>
      <c r="G1297" s="2072"/>
      <c r="H1297" s="455"/>
      <c r="I1297" s="455"/>
      <c r="J1297" s="455"/>
      <c r="K1297" s="455"/>
      <c r="L1297" s="455"/>
      <c r="M1297" s="455"/>
      <c r="N1297" s="177"/>
      <c r="O1297" s="177"/>
      <c r="P1297" s="177"/>
      <c r="Q1297" s="177"/>
      <c r="R1297" s="177"/>
      <c r="S1297" s="177"/>
      <c r="T1297" s="177"/>
      <c r="U1297" s="177"/>
      <c r="BB1297" s="784"/>
      <c r="BC1297" s="796"/>
      <c r="BD1297" s="900"/>
      <c r="BE1297" s="797"/>
    </row>
    <row r="1298" spans="1:57" s="65" customFormat="1" hidden="1" outlineLevel="1" x14ac:dyDescent="0.25">
      <c r="A1298" s="785"/>
      <c r="B1298" s="177"/>
      <c r="C1298" s="455"/>
      <c r="D1298" s="456"/>
      <c r="E1298" s="456"/>
      <c r="F1298" s="1965"/>
      <c r="G1298" s="2072"/>
      <c r="H1298" s="455"/>
      <c r="I1298" s="455"/>
      <c r="J1298" s="455"/>
      <c r="K1298" s="455"/>
      <c r="L1298" s="455"/>
      <c r="M1298" s="455"/>
      <c r="N1298" s="177"/>
      <c r="O1298" s="177"/>
      <c r="P1298" s="177"/>
      <c r="Q1298" s="177"/>
      <c r="R1298" s="177"/>
      <c r="S1298" s="177"/>
      <c r="T1298" s="177"/>
      <c r="U1298" s="177"/>
      <c r="BB1298" s="784"/>
      <c r="BC1298" s="796"/>
      <c r="BD1298" s="900"/>
      <c r="BE1298" s="797"/>
    </row>
    <row r="1299" spans="1:57" s="65" customFormat="1" ht="15" hidden="1" customHeight="1" outlineLevel="1" x14ac:dyDescent="0.25">
      <c r="A1299" s="785"/>
      <c r="B1299" s="177"/>
      <c r="C1299" s="455"/>
      <c r="D1299" s="259" t="s">
        <v>617</v>
      </c>
      <c r="E1299" s="901"/>
      <c r="F1299" s="177"/>
      <c r="G1299" s="456"/>
      <c r="H1299" s="177"/>
      <c r="I1299" s="493"/>
      <c r="J1299" s="177"/>
      <c r="K1299" s="177"/>
      <c r="L1299" s="177"/>
      <c r="M1299" s="177"/>
      <c r="N1299" s="177"/>
      <c r="O1299" s="177"/>
      <c r="P1299" s="177"/>
      <c r="Q1299" s="177"/>
      <c r="R1299" s="177"/>
      <c r="S1299" s="177"/>
      <c r="T1299" s="177"/>
      <c r="U1299" s="177"/>
      <c r="BB1299" s="784"/>
      <c r="BC1299" s="796"/>
      <c r="BD1299" s="900"/>
      <c r="BE1299" s="797"/>
    </row>
    <row r="1300" spans="1:57" s="65" customFormat="1" hidden="1" outlineLevel="1" x14ac:dyDescent="0.25">
      <c r="A1300" s="785"/>
      <c r="B1300" s="177"/>
      <c r="C1300" s="455"/>
      <c r="D1300" s="456"/>
      <c r="E1300" s="456"/>
      <c r="F1300" s="177"/>
      <c r="G1300" s="711"/>
      <c r="H1300" s="455"/>
      <c r="I1300" s="493"/>
      <c r="J1300" s="177"/>
      <c r="K1300" s="177"/>
      <c r="L1300" s="177"/>
      <c r="M1300" s="177"/>
      <c r="N1300" s="177"/>
      <c r="O1300" s="177"/>
      <c r="P1300" s="177"/>
      <c r="Q1300" s="177"/>
      <c r="R1300" s="177"/>
      <c r="S1300" s="177"/>
      <c r="T1300" s="177"/>
      <c r="U1300" s="177"/>
      <c r="BB1300" s="784"/>
      <c r="BC1300" s="796"/>
      <c r="BD1300" s="900"/>
      <c r="BE1300" s="797"/>
    </row>
    <row r="1301" spans="1:57" s="65" customFormat="1" hidden="1" outlineLevel="1" x14ac:dyDescent="0.25">
      <c r="A1301" s="785"/>
      <c r="B1301" s="177"/>
      <c r="C1301" s="455"/>
      <c r="D1301" s="456"/>
      <c r="E1301" s="901"/>
      <c r="F1301" s="911"/>
      <c r="G1301" s="711"/>
      <c r="H1301" s="455"/>
      <c r="I1301" s="493"/>
      <c r="J1301" s="177"/>
      <c r="K1301" s="177"/>
      <c r="L1301" s="177"/>
      <c r="M1301" s="177"/>
      <c r="N1301" s="177"/>
      <c r="O1301" s="177"/>
      <c r="P1301" s="177"/>
      <c r="Q1301" s="177"/>
      <c r="R1301" s="177"/>
      <c r="S1301" s="177"/>
      <c r="T1301" s="177"/>
      <c r="U1301" s="177"/>
      <c r="BB1301" s="784"/>
      <c r="BC1301" s="796"/>
      <c r="BD1301" s="900"/>
      <c r="BE1301" s="797"/>
    </row>
    <row r="1302" spans="1:57" s="65" customFormat="1" ht="15" hidden="1" customHeight="1" outlineLevel="1" x14ac:dyDescent="0.25">
      <c r="A1302" s="785"/>
      <c r="B1302" s="177"/>
      <c r="C1302" s="455"/>
      <c r="D1302" s="456"/>
      <c r="E1302" s="901"/>
      <c r="F1302" s="911"/>
      <c r="G1302" s="711"/>
      <c r="H1302" s="455"/>
      <c r="I1302" s="493"/>
      <c r="J1302" s="177"/>
      <c r="K1302" s="177"/>
      <c r="L1302" s="177"/>
      <c r="M1302" s="177"/>
      <c r="N1302" s="177"/>
      <c r="O1302" s="177"/>
      <c r="P1302" s="177"/>
      <c r="Q1302" s="177"/>
      <c r="R1302" s="177"/>
      <c r="S1302" s="177"/>
      <c r="T1302" s="177"/>
      <c r="U1302" s="177"/>
      <c r="BB1302" s="784"/>
      <c r="BC1302" s="796"/>
      <c r="BD1302" s="900"/>
      <c r="BE1302" s="797"/>
    </row>
    <row r="1303" spans="1:57" s="65" customFormat="1" hidden="1" outlineLevel="1" x14ac:dyDescent="0.25">
      <c r="A1303" s="785"/>
      <c r="B1303" s="177"/>
      <c r="C1303" s="455"/>
      <c r="D1303" s="456"/>
      <c r="E1303" s="901"/>
      <c r="F1303" s="911"/>
      <c r="G1303" s="711"/>
      <c r="H1303" s="455"/>
      <c r="I1303" s="493"/>
      <c r="J1303" s="177"/>
      <c r="K1303" s="177"/>
      <c r="L1303" s="177"/>
      <c r="M1303" s="177"/>
      <c r="N1303" s="177"/>
      <c r="O1303" s="177"/>
      <c r="P1303" s="177"/>
      <c r="Q1303" s="177"/>
      <c r="R1303" s="177"/>
      <c r="S1303" s="177"/>
      <c r="T1303" s="177"/>
      <c r="U1303" s="177"/>
      <c r="BB1303" s="784"/>
      <c r="BC1303" s="796"/>
      <c r="BD1303" s="900"/>
      <c r="BE1303" s="797"/>
    </row>
    <row r="1304" spans="1:57" s="65" customFormat="1" hidden="1" outlineLevel="1" x14ac:dyDescent="0.25">
      <c r="A1304" s="785"/>
      <c r="B1304" s="177"/>
      <c r="C1304" s="455"/>
      <c r="D1304" s="456"/>
      <c r="E1304" s="901"/>
      <c r="F1304" s="911"/>
      <c r="G1304" s="711"/>
      <c r="H1304" s="455"/>
      <c r="I1304" s="493"/>
      <c r="J1304" s="177"/>
      <c r="K1304" s="177"/>
      <c r="L1304" s="177"/>
      <c r="M1304" s="177"/>
      <c r="N1304" s="177"/>
      <c r="O1304" s="177"/>
      <c r="P1304" s="177"/>
      <c r="Q1304" s="177"/>
      <c r="R1304" s="177"/>
      <c r="S1304" s="177"/>
      <c r="T1304" s="177"/>
      <c r="U1304" s="177"/>
      <c r="BB1304" s="784"/>
      <c r="BC1304" s="796"/>
      <c r="BD1304" s="900"/>
      <c r="BE1304" s="797"/>
    </row>
    <row r="1305" spans="1:57" s="65" customFormat="1" hidden="1" outlineLevel="1" x14ac:dyDescent="0.25">
      <c r="A1305" s="785"/>
      <c r="B1305" s="177"/>
      <c r="C1305" s="455"/>
      <c r="D1305" s="456" t="s">
        <v>1254</v>
      </c>
      <c r="E1305" s="901"/>
      <c r="F1305" s="911"/>
      <c r="G1305" s="711"/>
      <c r="H1305" s="455"/>
      <c r="I1305" s="493"/>
      <c r="J1305" s="177"/>
      <c r="K1305" s="177"/>
      <c r="L1305" s="177"/>
      <c r="M1305" s="177"/>
      <c r="N1305" s="177"/>
      <c r="O1305" s="177"/>
      <c r="P1305" s="177"/>
      <c r="Q1305" s="177"/>
      <c r="R1305" s="177"/>
      <c r="S1305" s="177"/>
      <c r="T1305" s="177"/>
      <c r="U1305" s="177"/>
      <c r="BB1305" s="784"/>
      <c r="BC1305" s="796"/>
      <c r="BD1305" s="900"/>
      <c r="BE1305" s="797"/>
    </row>
    <row r="1306" spans="1:57" s="65" customFormat="1" ht="15" hidden="1" customHeight="1" outlineLevel="1" x14ac:dyDescent="0.25">
      <c r="A1306" s="785"/>
      <c r="B1306" s="177"/>
      <c r="C1306" s="455"/>
      <c r="D1306" s="456"/>
      <c r="E1306" s="901"/>
      <c r="F1306" s="911"/>
      <c r="G1306" s="711"/>
      <c r="H1306" s="455"/>
      <c r="I1306" s="493"/>
      <c r="J1306" s="177"/>
      <c r="K1306" s="177"/>
      <c r="L1306" s="177"/>
      <c r="M1306" s="177"/>
      <c r="N1306" s="177"/>
      <c r="O1306" s="177"/>
      <c r="P1306" s="177"/>
      <c r="Q1306" s="177"/>
      <c r="R1306" s="177"/>
      <c r="S1306" s="177"/>
      <c r="T1306" s="177"/>
      <c r="U1306" s="177"/>
      <c r="BB1306" s="784"/>
      <c r="BC1306" s="796"/>
      <c r="BD1306" s="900"/>
      <c r="BE1306" s="797"/>
    </row>
    <row r="1307" spans="1:57" s="65" customFormat="1" hidden="1" outlineLevel="1" x14ac:dyDescent="0.25">
      <c r="A1307" s="785"/>
      <c r="B1307" s="177"/>
      <c r="C1307" s="455"/>
      <c r="D1307" s="456"/>
      <c r="E1307" s="901"/>
      <c r="F1307" s="911"/>
      <c r="G1307" s="711"/>
      <c r="H1307" s="455"/>
      <c r="I1307" s="493"/>
      <c r="J1307" s="177"/>
      <c r="K1307" s="177"/>
      <c r="L1307" s="177"/>
      <c r="M1307" s="177"/>
      <c r="N1307" s="177"/>
      <c r="O1307" s="177"/>
      <c r="P1307" s="177"/>
      <c r="Q1307" s="177"/>
      <c r="R1307" s="177"/>
      <c r="S1307" s="177"/>
      <c r="T1307" s="177"/>
      <c r="U1307" s="177"/>
      <c r="BB1307" s="784"/>
      <c r="BC1307" s="796"/>
      <c r="BD1307" s="900"/>
      <c r="BE1307" s="797"/>
    </row>
    <row r="1308" spans="1:57" s="65" customFormat="1" hidden="1" outlineLevel="1" x14ac:dyDescent="0.25">
      <c r="A1308" s="785"/>
      <c r="B1308" s="177"/>
      <c r="C1308" s="455"/>
      <c r="D1308" s="456"/>
      <c r="E1308" s="901"/>
      <c r="F1308" s="911"/>
      <c r="G1308" s="711"/>
      <c r="H1308" s="455"/>
      <c r="I1308" s="493"/>
      <c r="J1308" s="177"/>
      <c r="K1308" s="177"/>
      <c r="L1308" s="177"/>
      <c r="M1308" s="177"/>
      <c r="N1308" s="177"/>
      <c r="O1308" s="177"/>
      <c r="P1308" s="177"/>
      <c r="Q1308" s="177"/>
      <c r="R1308" s="177"/>
      <c r="S1308" s="177"/>
      <c r="T1308" s="177"/>
      <c r="U1308" s="177"/>
      <c r="BB1308" s="784"/>
      <c r="BC1308" s="796"/>
      <c r="BD1308" s="900"/>
      <c r="BE1308" s="797"/>
    </row>
    <row r="1309" spans="1:57" s="65" customFormat="1" hidden="1" outlineLevel="1" x14ac:dyDescent="0.25">
      <c r="A1309" s="785"/>
      <c r="B1309" s="177"/>
      <c r="C1309" s="455"/>
      <c r="D1309" s="456"/>
      <c r="E1309" s="901"/>
      <c r="F1309" s="911"/>
      <c r="G1309" s="711"/>
      <c r="H1309" s="455"/>
      <c r="I1309" s="493"/>
      <c r="J1309" s="177"/>
      <c r="K1309" s="177"/>
      <c r="L1309" s="177"/>
      <c r="M1309" s="177"/>
      <c r="N1309" s="177"/>
      <c r="O1309" s="177"/>
      <c r="P1309" s="177"/>
      <c r="Q1309" s="177"/>
      <c r="R1309" s="177"/>
      <c r="S1309" s="177"/>
      <c r="T1309" s="177"/>
      <c r="U1309" s="177"/>
      <c r="BB1309" s="784"/>
      <c r="BC1309" s="796"/>
      <c r="BD1309" s="900"/>
      <c r="BE1309" s="797"/>
    </row>
    <row r="1310" spans="1:57" s="65" customFormat="1" hidden="1" outlineLevel="1" x14ac:dyDescent="0.25">
      <c r="A1310" s="785"/>
      <c r="B1310" s="177"/>
      <c r="C1310" s="455"/>
      <c r="D1310" s="456"/>
      <c r="E1310" s="456"/>
      <c r="F1310" s="911"/>
      <c r="G1310" s="711"/>
      <c r="H1310" s="455"/>
      <c r="I1310" s="493"/>
      <c r="J1310" s="177"/>
      <c r="K1310" s="177"/>
      <c r="L1310" s="177"/>
      <c r="M1310" s="177"/>
      <c r="N1310" s="177"/>
      <c r="O1310" s="177"/>
      <c r="P1310" s="177"/>
      <c r="Q1310" s="177"/>
      <c r="R1310" s="177"/>
      <c r="S1310" s="177"/>
      <c r="T1310" s="177"/>
      <c r="U1310" s="177"/>
      <c r="BB1310" s="784"/>
      <c r="BC1310" s="796"/>
      <c r="BD1310" s="900"/>
      <c r="BE1310" s="797"/>
    </row>
    <row r="1311" spans="1:57" s="65" customFormat="1" hidden="1" outlineLevel="1" x14ac:dyDescent="0.25">
      <c r="A1311" s="785"/>
      <c r="B1311" s="177"/>
      <c r="C1311" s="455"/>
      <c r="D1311" s="456" t="s">
        <v>1341</v>
      </c>
      <c r="E1311" s="456"/>
      <c r="F1311" s="911"/>
      <c r="G1311" s="711"/>
      <c r="H1311" s="455"/>
      <c r="I1311" s="493"/>
      <c r="J1311" s="177"/>
      <c r="K1311" s="177"/>
      <c r="L1311" s="177"/>
      <c r="M1311" s="177"/>
      <c r="N1311" s="177"/>
      <c r="O1311" s="177"/>
      <c r="P1311" s="177"/>
      <c r="Q1311" s="177"/>
      <c r="R1311" s="177"/>
      <c r="S1311" s="177"/>
      <c r="T1311" s="177"/>
      <c r="U1311" s="177"/>
      <c r="BB1311" s="784"/>
      <c r="BC1311" s="796"/>
      <c r="BD1311" s="900"/>
      <c r="BE1311" s="797"/>
    </row>
    <row r="1312" spans="1:57" s="65" customFormat="1" hidden="1" outlineLevel="1" x14ac:dyDescent="0.25">
      <c r="A1312" s="785"/>
      <c r="B1312" s="177"/>
      <c r="C1312" s="455"/>
      <c r="D1312" s="456"/>
      <c r="E1312" s="456"/>
      <c r="F1312" s="911"/>
      <c r="G1312" s="711"/>
      <c r="H1312" s="455"/>
      <c r="I1312" s="493"/>
      <c r="J1312" s="177"/>
      <c r="K1312" s="177"/>
      <c r="L1312" s="177"/>
      <c r="M1312" s="177"/>
      <c r="N1312" s="177"/>
      <c r="O1312" s="177"/>
      <c r="P1312" s="177"/>
      <c r="Q1312" s="177"/>
      <c r="R1312" s="177"/>
      <c r="S1312" s="177"/>
      <c r="T1312" s="177"/>
      <c r="U1312" s="177"/>
      <c r="BB1312" s="784"/>
      <c r="BC1312" s="796"/>
      <c r="BD1312" s="900"/>
      <c r="BE1312" s="797"/>
    </row>
    <row r="1313" spans="1:57" s="65" customFormat="1" hidden="1" outlineLevel="1" x14ac:dyDescent="0.25">
      <c r="A1313" s="785"/>
      <c r="B1313" s="177"/>
      <c r="C1313" s="455"/>
      <c r="D1313" s="456"/>
      <c r="E1313" s="456"/>
      <c r="F1313" s="911"/>
      <c r="G1313" s="711"/>
      <c r="H1313" s="455"/>
      <c r="I1313" s="177"/>
      <c r="J1313" s="177"/>
      <c r="K1313" s="177"/>
      <c r="L1313" s="177"/>
      <c r="M1313" s="177"/>
      <c r="N1313" s="177"/>
      <c r="O1313" s="177"/>
      <c r="P1313" s="177"/>
      <c r="Q1313" s="177"/>
      <c r="R1313" s="177"/>
      <c r="S1313" s="177"/>
      <c r="T1313" s="177"/>
      <c r="U1313" s="177"/>
      <c r="BB1313" s="784"/>
      <c r="BC1313" s="796"/>
      <c r="BD1313" s="900"/>
      <c r="BE1313" s="797"/>
    </row>
    <row r="1314" spans="1:57" s="65" customFormat="1" hidden="1" outlineLevel="1" x14ac:dyDescent="0.25">
      <c r="A1314" s="785"/>
      <c r="B1314" s="177"/>
      <c r="C1314" s="455"/>
      <c r="D1314" s="456"/>
      <c r="E1314" s="456"/>
      <c r="F1314" s="177"/>
      <c r="G1314" s="456"/>
      <c r="H1314" s="455"/>
      <c r="I1314" s="177"/>
      <c r="J1314" s="177"/>
      <c r="K1314" s="177"/>
      <c r="L1314" s="177"/>
      <c r="M1314" s="177"/>
      <c r="N1314" s="177"/>
      <c r="O1314" s="177"/>
      <c r="P1314" s="2079"/>
      <c r="Q1314" s="177"/>
      <c r="R1314" s="177"/>
      <c r="S1314" s="177"/>
      <c r="T1314" s="177"/>
      <c r="U1314" s="177"/>
      <c r="BB1314" s="784"/>
      <c r="BC1314" s="796"/>
      <c r="BD1314" s="900"/>
      <c r="BE1314" s="797"/>
    </row>
    <row r="1315" spans="1:57" s="65" customFormat="1" hidden="1" outlineLevel="1" x14ac:dyDescent="0.25">
      <c r="A1315" s="785"/>
      <c r="B1315" s="177"/>
      <c r="C1315" s="455"/>
      <c r="D1315" s="456"/>
      <c r="E1315" s="456"/>
      <c r="F1315" s="177"/>
      <c r="G1315" s="456"/>
      <c r="H1315" s="455"/>
      <c r="I1315" s="455"/>
      <c r="J1315" s="455"/>
      <c r="K1315" s="455"/>
      <c r="L1315" s="455"/>
      <c r="M1315" s="455"/>
      <c r="N1315" s="177"/>
      <c r="O1315" s="177"/>
      <c r="P1315" s="485"/>
      <c r="Q1315" s="229"/>
      <c r="R1315" s="229"/>
      <c r="S1315" s="229"/>
      <c r="T1315" s="177"/>
      <c r="U1315" s="177"/>
      <c r="BB1315" s="784"/>
      <c r="BC1315" s="796"/>
      <c r="BD1315" s="900"/>
      <c r="BE1315" s="797"/>
    </row>
    <row r="1316" spans="1:57" s="65" customFormat="1" ht="30.75" hidden="1" outlineLevel="1" thickBot="1" x14ac:dyDescent="0.3">
      <c r="A1316" s="785"/>
      <c r="B1316" s="177"/>
      <c r="C1316" s="455"/>
      <c r="D1316" s="520" t="s">
        <v>618</v>
      </c>
      <c r="E1316" s="520" t="s">
        <v>619</v>
      </c>
      <c r="F1316" s="2735" t="s">
        <v>669</v>
      </c>
      <c r="G1316" s="2735"/>
      <c r="H1316" s="2735"/>
      <c r="I1316" s="1659" t="s">
        <v>17</v>
      </c>
      <c r="J1316" s="1659" t="s">
        <v>620</v>
      </c>
      <c r="K1316" s="1659" t="s">
        <v>1257</v>
      </c>
      <c r="L1316" s="1659" t="s">
        <v>863</v>
      </c>
      <c r="M1316" s="177"/>
      <c r="N1316" s="177"/>
      <c r="O1316" s="177"/>
      <c r="P1316" s="229"/>
      <c r="Q1316" s="229"/>
      <c r="R1316" s="229"/>
      <c r="S1316" s="229"/>
      <c r="T1316" s="177"/>
      <c r="U1316" s="177"/>
      <c r="V1316" s="55" t="s">
        <v>27</v>
      </c>
      <c r="W1316" s="56">
        <v>43252</v>
      </c>
      <c r="X1316" s="56">
        <f>$X$6</f>
        <v>43465</v>
      </c>
      <c r="Y1316" s="56">
        <f>$Y$6</f>
        <v>43800</v>
      </c>
      <c r="Z1316" s="56">
        <f>$Z$6</f>
        <v>43862</v>
      </c>
      <c r="AA1316" s="56" t="str">
        <f>$AA$6</f>
        <v>-</v>
      </c>
      <c r="AB1316" s="56" t="str">
        <f>$AB$6</f>
        <v>-</v>
      </c>
      <c r="AC1316" s="56" t="str">
        <f>$AC$6</f>
        <v>-</v>
      </c>
      <c r="AD1316" s="56" t="str">
        <f>$AD$6</f>
        <v>-</v>
      </c>
      <c r="AE1316" s="56" t="str">
        <f>$AE$6</f>
        <v>-</v>
      </c>
      <c r="AF1316" s="56" t="str">
        <f>$AF$6</f>
        <v>-</v>
      </c>
      <c r="AG1316" s="56" t="str">
        <f>$AG$6</f>
        <v>-</v>
      </c>
      <c r="BB1316" s="784"/>
      <c r="BC1316" s="796"/>
      <c r="BD1316" s="900"/>
      <c r="BE1316" s="797"/>
    </row>
    <row r="1317" spans="1:57" s="65" customFormat="1" ht="15" hidden="1" customHeight="1" outlineLevel="1" x14ac:dyDescent="0.25">
      <c r="A1317" s="785"/>
      <c r="B1317" s="177"/>
      <c r="C1317" s="455"/>
      <c r="D1317" s="2805" t="s">
        <v>1378</v>
      </c>
      <c r="E1317" s="2855" t="s">
        <v>1417</v>
      </c>
      <c r="F1317" s="2891" t="str">
        <f>$E$1288</f>
        <v>GSHP - EER 23 - replace electric furnace / CAC ER1 - Heating</v>
      </c>
      <c r="G1317" s="2891"/>
      <c r="H1317" s="2891"/>
      <c r="I1317" s="1667"/>
      <c r="J1317" s="1667">
        <v>46320</v>
      </c>
      <c r="K1317" s="1080">
        <f>J1317/12000</f>
        <v>3.86</v>
      </c>
      <c r="L1317" s="2881" t="s">
        <v>1280</v>
      </c>
      <c r="M1317" s="177"/>
      <c r="N1317" s="177"/>
      <c r="O1317" s="177"/>
      <c r="P1317" s="2892"/>
      <c r="Q1317" s="2893"/>
      <c r="R1317" s="2893"/>
      <c r="S1317" s="229"/>
      <c r="T1317" s="911"/>
      <c r="U1317" s="177"/>
      <c r="V1317" s="2867" t="s">
        <v>1378</v>
      </c>
      <c r="W1317" s="903">
        <v>49199.999999999993</v>
      </c>
      <c r="X1317" s="902">
        <f>3.99*12000</f>
        <v>47880</v>
      </c>
      <c r="Y1317" s="902">
        <f>3.86*12000</f>
        <v>46320</v>
      </c>
      <c r="Z1317" s="903"/>
      <c r="AA1317" s="903"/>
      <c r="AB1317" s="903"/>
      <c r="AC1317" s="903"/>
      <c r="AD1317" s="903"/>
      <c r="AE1317" s="903"/>
      <c r="AF1317" s="903"/>
      <c r="AG1317" s="903"/>
      <c r="BB1317" s="784"/>
      <c r="BC1317" s="796"/>
      <c r="BD1317" s="900"/>
      <c r="BE1317" s="797"/>
    </row>
    <row r="1318" spans="1:57" s="65" customFormat="1" ht="15" hidden="1" customHeight="1" outlineLevel="1" x14ac:dyDescent="0.25">
      <c r="A1318" s="785"/>
      <c r="B1318" s="177"/>
      <c r="C1318" s="455"/>
      <c r="D1318" s="2806"/>
      <c r="E1318" s="2856"/>
      <c r="F1318" s="2798" t="str">
        <f>$E$1290</f>
        <v>GSHP - EER 23 - replace electric furnace / CAC ER2 - Heating</v>
      </c>
      <c r="G1318" s="2798"/>
      <c r="H1318" s="2798"/>
      <c r="I1318" s="1663"/>
      <c r="J1318" s="1663">
        <v>46320</v>
      </c>
      <c r="K1318" s="1075">
        <f>J1318/12000</f>
        <v>3.86</v>
      </c>
      <c r="L1318" s="2832"/>
      <c r="M1318" s="177"/>
      <c r="N1318" s="177"/>
      <c r="O1318" s="177"/>
      <c r="P1318" s="443"/>
      <c r="Q1318" s="443"/>
      <c r="R1318" s="443"/>
      <c r="S1318" s="229"/>
      <c r="T1318" s="2753"/>
      <c r="U1318" s="177"/>
      <c r="V1318" s="2866"/>
      <c r="W1318" s="909">
        <v>49199.999999999993</v>
      </c>
      <c r="X1318" s="908">
        <f>3.99*12000</f>
        <v>47880</v>
      </c>
      <c r="Y1318" s="908">
        <f>3.86*12000</f>
        <v>46320</v>
      </c>
      <c r="Z1318" s="909"/>
      <c r="AA1318" s="909"/>
      <c r="AB1318" s="909"/>
      <c r="AC1318" s="909"/>
      <c r="AD1318" s="909"/>
      <c r="AE1318" s="909"/>
      <c r="AF1318" s="909"/>
      <c r="AG1318" s="909"/>
      <c r="BB1318" s="784"/>
      <c r="BC1318" s="796"/>
      <c r="BD1318" s="900"/>
      <c r="BE1318" s="797"/>
    </row>
    <row r="1319" spans="1:57" s="65" customFormat="1" ht="15" hidden="1" customHeight="1" outlineLevel="1" x14ac:dyDescent="0.25">
      <c r="A1319" s="785"/>
      <c r="B1319" s="177"/>
      <c r="C1319" s="455"/>
      <c r="D1319" s="2806"/>
      <c r="E1319" s="2856"/>
      <c r="F1319" s="2798" t="str">
        <f>$E$1286</f>
        <v>GSHP - EER 23 - replace electric furnace / CAC - Heating</v>
      </c>
      <c r="G1319" s="2798"/>
      <c r="H1319" s="2798"/>
      <c r="I1319" s="1663"/>
      <c r="J1319" s="1663">
        <v>47760</v>
      </c>
      <c r="K1319" s="1075">
        <f>J1319/12000</f>
        <v>3.98</v>
      </c>
      <c r="L1319" s="2832"/>
      <c r="M1319" s="177"/>
      <c r="N1319" s="177"/>
      <c r="O1319" s="177"/>
      <c r="P1319" s="2036"/>
      <c r="Q1319" s="2482"/>
      <c r="R1319" s="2482"/>
      <c r="S1319" s="2508"/>
      <c r="T1319" s="2632"/>
      <c r="U1319" s="177"/>
      <c r="V1319" s="2866"/>
      <c r="W1319" s="909">
        <v>49199.999999999993</v>
      </c>
      <c r="X1319" s="908">
        <f>3.99*12000</f>
        <v>47880</v>
      </c>
      <c r="Y1319" s="908">
        <f>3.98*12000</f>
        <v>47760</v>
      </c>
      <c r="Z1319" s="909"/>
      <c r="AA1319" s="909"/>
      <c r="AB1319" s="909"/>
      <c r="AC1319" s="909"/>
      <c r="AD1319" s="909"/>
      <c r="AE1319" s="909"/>
      <c r="AF1319" s="909"/>
      <c r="AG1319" s="909"/>
      <c r="BB1319" s="784"/>
      <c r="BC1319" s="796"/>
      <c r="BD1319" s="900"/>
      <c r="BE1319" s="797"/>
    </row>
    <row r="1320" spans="1:57" s="65" customFormat="1" ht="15" hidden="1" customHeight="1" outlineLevel="1" x14ac:dyDescent="0.25">
      <c r="A1320" s="785"/>
      <c r="B1320" s="177"/>
      <c r="C1320" s="455"/>
      <c r="D1320" s="2806"/>
      <c r="E1320" s="2856"/>
      <c r="F1320" s="2798" t="str">
        <f>$E$1294</f>
        <v>GSHP EER 23 ER2 - Heating</v>
      </c>
      <c r="G1320" s="2798"/>
      <c r="H1320" s="2798"/>
      <c r="I1320" s="1663"/>
      <c r="J1320" s="1663">
        <v>50400</v>
      </c>
      <c r="K1320" s="1075">
        <f>J1320/12000</f>
        <v>4.2</v>
      </c>
      <c r="L1320" s="2832"/>
      <c r="M1320" s="177"/>
      <c r="N1320" s="177"/>
      <c r="O1320" s="177"/>
      <c r="P1320" s="2036"/>
      <c r="Q1320" s="2482"/>
      <c r="R1320" s="2482"/>
      <c r="S1320" s="2508"/>
      <c r="T1320" s="2632"/>
      <c r="U1320" s="177"/>
      <c r="V1320" s="2866"/>
      <c r="W1320" s="909">
        <v>49199.999999999993</v>
      </c>
      <c r="X1320" s="908">
        <f>3.99*12000</f>
        <v>47880</v>
      </c>
      <c r="Y1320" s="908">
        <f>4.2*12000</f>
        <v>50400</v>
      </c>
      <c r="Z1320" s="909"/>
      <c r="AA1320" s="909"/>
      <c r="AB1320" s="909"/>
      <c r="AC1320" s="909"/>
      <c r="AD1320" s="909"/>
      <c r="AE1320" s="909"/>
      <c r="AF1320" s="909"/>
      <c r="AG1320" s="909"/>
      <c r="BB1320" s="784"/>
      <c r="BC1320" s="796"/>
      <c r="BD1320" s="900"/>
      <c r="BE1320" s="797"/>
    </row>
    <row r="1321" spans="1:57" s="65" customFormat="1" ht="15" hidden="1" customHeight="1" outlineLevel="1" thickBot="1" x14ac:dyDescent="0.3">
      <c r="A1321" s="785"/>
      <c r="B1321" s="177"/>
      <c r="C1321" s="455"/>
      <c r="D1321" s="2824"/>
      <c r="E1321" s="2890"/>
      <c r="F1321" s="2874" t="str">
        <f>$E$1296</f>
        <v>GSHP EER 23 Replace at Fail GSHP</v>
      </c>
      <c r="G1321" s="2874"/>
      <c r="H1321" s="2874"/>
      <c r="I1321" s="945"/>
      <c r="J1321" s="945">
        <v>47160</v>
      </c>
      <c r="K1321" s="1082">
        <f>J1321/12000</f>
        <v>3.93</v>
      </c>
      <c r="L1321" s="2882"/>
      <c r="M1321" s="177"/>
      <c r="N1321" s="177"/>
      <c r="O1321" s="177"/>
      <c r="P1321" s="2036"/>
      <c r="Q1321" s="2482"/>
      <c r="R1321" s="2482"/>
      <c r="S1321" s="2508"/>
      <c r="T1321" s="2632"/>
      <c r="U1321" s="177"/>
      <c r="V1321" s="2883"/>
      <c r="W1321" s="945">
        <v>52800.000000000007</v>
      </c>
      <c r="X1321" s="1021">
        <f>3.99*12000</f>
        <v>47880</v>
      </c>
      <c r="Y1321" s="1021">
        <f>3.93*12000</f>
        <v>47160</v>
      </c>
      <c r="Z1321" s="945"/>
      <c r="AA1321" s="945"/>
      <c r="AB1321" s="945"/>
      <c r="AC1321" s="945"/>
      <c r="AD1321" s="945"/>
      <c r="AE1321" s="945"/>
      <c r="AF1321" s="945"/>
      <c r="AG1321" s="945"/>
      <c r="BB1321" s="784"/>
      <c r="BC1321" s="796"/>
      <c r="BD1321" s="900"/>
      <c r="BE1321" s="797"/>
    </row>
    <row r="1322" spans="1:57" s="65" customFormat="1" hidden="1" outlineLevel="1" x14ac:dyDescent="0.25">
      <c r="A1322" s="785"/>
      <c r="B1322" s="177"/>
      <c r="C1322" s="455"/>
      <c r="D1322" s="2875" t="s">
        <v>1381</v>
      </c>
      <c r="E1322" s="2805" t="s">
        <v>1382</v>
      </c>
      <c r="F1322" s="2878" t="str">
        <f>$E$1288</f>
        <v>GSHP - EER 23 - replace electric furnace / CAC ER1 - Heating</v>
      </c>
      <c r="G1322" s="2879"/>
      <c r="H1322" s="2880"/>
      <c r="I1322" s="1664"/>
      <c r="J1322" s="1667">
        <v>1496</v>
      </c>
      <c r="K1322" s="1080"/>
      <c r="L1322" s="2881" t="s">
        <v>1384</v>
      </c>
      <c r="M1322" s="177"/>
      <c r="N1322" s="177"/>
      <c r="O1322" s="177"/>
      <c r="P1322" s="2036"/>
      <c r="Q1322" s="2482"/>
      <c r="R1322" s="2482"/>
      <c r="S1322" s="2508"/>
      <c r="T1322" s="698"/>
      <c r="U1322" s="177"/>
      <c r="V1322" s="2867" t="s">
        <v>1381</v>
      </c>
      <c r="W1322" s="903">
        <v>2009</v>
      </c>
      <c r="X1322" s="903">
        <v>2009</v>
      </c>
      <c r="Y1322" s="902">
        <v>1496</v>
      </c>
      <c r="Z1322" s="903"/>
      <c r="AA1322" s="903"/>
      <c r="AB1322" s="903"/>
      <c r="AC1322" s="903"/>
      <c r="AD1322" s="903"/>
      <c r="AE1322" s="903"/>
      <c r="AF1322" s="903"/>
      <c r="AG1322" s="903"/>
      <c r="BB1322" s="784"/>
      <c r="BC1322" s="796"/>
      <c r="BD1322" s="900"/>
      <c r="BE1322" s="797"/>
    </row>
    <row r="1323" spans="1:57" s="65" customFormat="1" hidden="1" outlineLevel="1" x14ac:dyDescent="0.25">
      <c r="A1323" s="785"/>
      <c r="B1323" s="177"/>
      <c r="C1323" s="455"/>
      <c r="D1323" s="2876"/>
      <c r="E1323" s="2806"/>
      <c r="F1323" s="2884" t="str">
        <f>$E$1290</f>
        <v>GSHP - EER 23 - replace electric furnace / CAC ER2 - Heating</v>
      </c>
      <c r="G1323" s="2885"/>
      <c r="H1323" s="2886"/>
      <c r="I1323" s="1660"/>
      <c r="J1323" s="1663">
        <v>1496</v>
      </c>
      <c r="K1323" s="1075"/>
      <c r="L1323" s="2832"/>
      <c r="M1323" s="1639"/>
      <c r="N1323" s="177"/>
      <c r="O1323" s="177"/>
      <c r="P1323" s="2036"/>
      <c r="Q1323" s="2482"/>
      <c r="R1323" s="2482"/>
      <c r="S1323" s="1915"/>
      <c r="T1323" s="2031"/>
      <c r="U1323" s="177"/>
      <c r="V1323" s="2866"/>
      <c r="W1323" s="909">
        <v>2009</v>
      </c>
      <c r="X1323" s="909">
        <v>2009</v>
      </c>
      <c r="Y1323" s="908">
        <v>1496</v>
      </c>
      <c r="Z1323" s="909"/>
      <c r="AA1323" s="909"/>
      <c r="AB1323" s="909"/>
      <c r="AC1323" s="909"/>
      <c r="AD1323" s="909"/>
      <c r="AE1323" s="909"/>
      <c r="AF1323" s="909"/>
      <c r="AG1323" s="909"/>
      <c r="BB1323" s="784"/>
      <c r="BC1323" s="796"/>
      <c r="BD1323" s="900"/>
      <c r="BE1323" s="797"/>
    </row>
    <row r="1324" spans="1:57" s="65" customFormat="1" ht="15" hidden="1" customHeight="1" outlineLevel="1" x14ac:dyDescent="0.25">
      <c r="A1324" s="785"/>
      <c r="B1324" s="177"/>
      <c r="C1324" s="455"/>
      <c r="D1324" s="2876"/>
      <c r="E1324" s="2806"/>
      <c r="F1324" s="2884" t="str">
        <f>E1286</f>
        <v>GSHP - EER 23 - replace electric furnace / CAC - Heating</v>
      </c>
      <c r="G1324" s="2885"/>
      <c r="H1324" s="2886"/>
      <c r="I1324" s="1660"/>
      <c r="J1324" s="1663">
        <v>1496</v>
      </c>
      <c r="K1324" s="1075"/>
      <c r="L1324" s="2832"/>
      <c r="M1324" s="1639"/>
      <c r="N1324" s="177"/>
      <c r="O1324" s="177"/>
      <c r="P1324" s="2036"/>
      <c r="Q1324" s="2482"/>
      <c r="R1324" s="2482"/>
      <c r="S1324" s="1915"/>
      <c r="T1324" s="2031"/>
      <c r="U1324" s="177"/>
      <c r="V1324" s="2866"/>
      <c r="W1324" s="909">
        <v>2009</v>
      </c>
      <c r="X1324" s="909">
        <v>2009</v>
      </c>
      <c r="Y1324" s="908">
        <v>1496</v>
      </c>
      <c r="Z1324" s="909"/>
      <c r="AA1324" s="909"/>
      <c r="AB1324" s="909"/>
      <c r="AC1324" s="909"/>
      <c r="AD1324" s="909"/>
      <c r="AE1324" s="909"/>
      <c r="AF1324" s="909"/>
      <c r="AG1324" s="909"/>
      <c r="BB1324" s="784"/>
      <c r="BC1324" s="796"/>
      <c r="BD1324" s="900"/>
      <c r="BE1324" s="797"/>
    </row>
    <row r="1325" spans="1:57" s="65" customFormat="1" ht="15" hidden="1" customHeight="1" outlineLevel="1" x14ac:dyDescent="0.25">
      <c r="A1325" s="785"/>
      <c r="B1325" s="177"/>
      <c r="C1325" s="455"/>
      <c r="D1325" s="2876"/>
      <c r="E1325" s="2806"/>
      <c r="F1325" s="2884" t="str">
        <f>$E$1294</f>
        <v>GSHP EER 23 ER2 - Heating</v>
      </c>
      <c r="G1325" s="2885"/>
      <c r="H1325" s="2886"/>
      <c r="I1325" s="1660"/>
      <c r="J1325" s="1663">
        <v>1496</v>
      </c>
      <c r="K1325" s="1075"/>
      <c r="L1325" s="2832"/>
      <c r="M1325" s="1639"/>
      <c r="N1325" s="177"/>
      <c r="O1325" s="177"/>
      <c r="P1325" s="2036"/>
      <c r="Q1325" s="2482"/>
      <c r="R1325" s="2482"/>
      <c r="S1325" s="1915"/>
      <c r="T1325" s="2031"/>
      <c r="U1325" s="177"/>
      <c r="V1325" s="2866"/>
      <c r="W1325" s="909">
        <v>2009</v>
      </c>
      <c r="X1325" s="909">
        <v>2009</v>
      </c>
      <c r="Y1325" s="908">
        <v>1496</v>
      </c>
      <c r="Z1325" s="909"/>
      <c r="AA1325" s="909"/>
      <c r="AB1325" s="909"/>
      <c r="AC1325" s="909"/>
      <c r="AD1325" s="909"/>
      <c r="AE1325" s="909"/>
      <c r="AF1325" s="909"/>
      <c r="AG1325" s="909"/>
      <c r="BB1325" s="784"/>
      <c r="BC1325" s="796"/>
      <c r="BD1325" s="900"/>
      <c r="BE1325" s="797"/>
    </row>
    <row r="1326" spans="1:57" s="65" customFormat="1" ht="15" hidden="1" customHeight="1" outlineLevel="1" thickBot="1" x14ac:dyDescent="0.3">
      <c r="A1326" s="785"/>
      <c r="B1326" s="177"/>
      <c r="C1326" s="455"/>
      <c r="D1326" s="2877"/>
      <c r="E1326" s="2824"/>
      <c r="F1326" s="2887" t="str">
        <f>$E$1296</f>
        <v>GSHP EER 23 Replace at Fail GSHP</v>
      </c>
      <c r="G1326" s="2888"/>
      <c r="H1326" s="2889"/>
      <c r="I1326" s="1665"/>
      <c r="J1326" s="945">
        <v>1496</v>
      </c>
      <c r="K1326" s="2080"/>
      <c r="L1326" s="2882"/>
      <c r="M1326" s="1639"/>
      <c r="N1326" s="177"/>
      <c r="O1326" s="177"/>
      <c r="P1326" s="2036"/>
      <c r="Q1326" s="2482"/>
      <c r="R1326" s="2482"/>
      <c r="S1326" s="1915"/>
      <c r="T1326" s="2031"/>
      <c r="U1326" s="177"/>
      <c r="V1326" s="2883"/>
      <c r="W1326" s="945">
        <v>2009</v>
      </c>
      <c r="X1326" s="945">
        <v>2009</v>
      </c>
      <c r="Y1326" s="1021">
        <v>1496</v>
      </c>
      <c r="Z1326" s="945"/>
      <c r="AA1326" s="945"/>
      <c r="AB1326" s="945"/>
      <c r="AC1326" s="945"/>
      <c r="AD1326" s="945"/>
      <c r="AE1326" s="945"/>
      <c r="AF1326" s="945"/>
      <c r="AG1326" s="945"/>
      <c r="BB1326" s="784"/>
      <c r="BC1326" s="796"/>
      <c r="BD1326" s="900"/>
      <c r="BE1326" s="797"/>
    </row>
    <row r="1327" spans="1:57" s="65" customFormat="1" hidden="1" outlineLevel="1" x14ac:dyDescent="0.25">
      <c r="A1327" s="785"/>
      <c r="B1327" s="177"/>
      <c r="C1327" s="455"/>
      <c r="D1327" s="2875" t="s">
        <v>1385</v>
      </c>
      <c r="E1327" s="2805" t="s">
        <v>1386</v>
      </c>
      <c r="F1327" s="2878" t="str">
        <f>$E$1288</f>
        <v>GSHP - EER 23 - replace electric furnace / CAC ER1 - Heating</v>
      </c>
      <c r="G1327" s="2879"/>
      <c r="H1327" s="2880"/>
      <c r="I1327" s="1664"/>
      <c r="J1327" s="1667">
        <v>3.41</v>
      </c>
      <c r="K1327" s="1080"/>
      <c r="L1327" s="2881" t="s">
        <v>1280</v>
      </c>
      <c r="M1327" s="1639"/>
      <c r="N1327" s="1639"/>
      <c r="O1327" s="177"/>
      <c r="P1327" s="2036"/>
      <c r="Q1327" s="2482"/>
      <c r="R1327" s="2482"/>
      <c r="S1327" s="229"/>
      <c r="T1327" s="911"/>
      <c r="U1327" s="177"/>
      <c r="V1327" s="2867" t="s">
        <v>1385</v>
      </c>
      <c r="W1327" s="903">
        <v>3.41</v>
      </c>
      <c r="X1327" s="903">
        <v>3.41</v>
      </c>
      <c r="Y1327" s="903">
        <v>3.41</v>
      </c>
      <c r="Z1327" s="903"/>
      <c r="AA1327" s="903"/>
      <c r="AB1327" s="903"/>
      <c r="AC1327" s="903"/>
      <c r="AD1327" s="903"/>
      <c r="AE1327" s="903"/>
      <c r="AF1327" s="903"/>
      <c r="AG1327" s="903"/>
      <c r="BB1327" s="784"/>
      <c r="BC1327" s="796"/>
      <c r="BD1327" s="900"/>
      <c r="BE1327" s="797"/>
    </row>
    <row r="1328" spans="1:57" s="65" customFormat="1" hidden="1" outlineLevel="1" x14ac:dyDescent="0.25">
      <c r="A1328" s="718"/>
      <c r="B1328" s="177"/>
      <c r="C1328" s="2081"/>
      <c r="D1328" s="2876"/>
      <c r="E1328" s="2806"/>
      <c r="F1328" s="2884" t="str">
        <f>$E$1290</f>
        <v>GSHP - EER 23 - replace electric furnace / CAC ER2 - Heating</v>
      </c>
      <c r="G1328" s="2885"/>
      <c r="H1328" s="2886"/>
      <c r="I1328" s="1660"/>
      <c r="J1328" s="1663">
        <v>3.41</v>
      </c>
      <c r="K1328" s="1075"/>
      <c r="L1328" s="2832"/>
      <c r="M1328" s="1639"/>
      <c r="N1328" s="1639"/>
      <c r="O1328" s="177"/>
      <c r="P1328" s="2509"/>
      <c r="Q1328" s="2019"/>
      <c r="R1328" s="229"/>
      <c r="S1328" s="229"/>
      <c r="T1328" s="911"/>
      <c r="U1328" s="177"/>
      <c r="V1328" s="2866"/>
      <c r="W1328" s="909">
        <v>3.41</v>
      </c>
      <c r="X1328" s="909">
        <v>3.41</v>
      </c>
      <c r="Y1328" s="909">
        <v>3.41</v>
      </c>
      <c r="Z1328" s="909"/>
      <c r="AA1328" s="909"/>
      <c r="AB1328" s="909"/>
      <c r="AC1328" s="909"/>
      <c r="AD1328" s="909"/>
      <c r="AE1328" s="909"/>
      <c r="AF1328" s="909"/>
      <c r="AG1328" s="909"/>
      <c r="BB1328" s="784"/>
      <c r="BC1328" s="796"/>
      <c r="BD1328" s="900"/>
      <c r="BE1328" s="797"/>
    </row>
    <row r="1329" spans="1:57" s="65" customFormat="1" hidden="1" outlineLevel="1" x14ac:dyDescent="0.25">
      <c r="A1329" s="785"/>
      <c r="B1329" s="177"/>
      <c r="C1329" s="455"/>
      <c r="D1329" s="2876"/>
      <c r="E1329" s="2806"/>
      <c r="F1329" s="2884" t="str">
        <f>E1286</f>
        <v>GSHP - EER 23 - replace electric furnace / CAC - Heating</v>
      </c>
      <c r="G1329" s="2885"/>
      <c r="H1329" s="2886"/>
      <c r="I1329" s="1660"/>
      <c r="J1329" s="1663">
        <v>3.41</v>
      </c>
      <c r="K1329" s="1075"/>
      <c r="L1329" s="2832"/>
      <c r="M1329" s="1639"/>
      <c r="N1329" s="1639"/>
      <c r="O1329" s="177"/>
      <c r="P1329" s="919"/>
      <c r="Q1329" s="919"/>
      <c r="R1329" s="919"/>
      <c r="S1329" s="919"/>
      <c r="T1329" s="177"/>
      <c r="U1329" s="177"/>
      <c r="V1329" s="2866"/>
      <c r="W1329" s="909">
        <v>3.41</v>
      </c>
      <c r="X1329" s="909">
        <v>3.41</v>
      </c>
      <c r="Y1329" s="909">
        <v>3.41</v>
      </c>
      <c r="Z1329" s="909"/>
      <c r="AA1329" s="909"/>
      <c r="AB1329" s="909"/>
      <c r="AC1329" s="909"/>
      <c r="AD1329" s="909"/>
      <c r="AE1329" s="909"/>
      <c r="AF1329" s="909"/>
      <c r="AG1329" s="909"/>
      <c r="BB1329" s="784"/>
      <c r="BC1329" s="796"/>
      <c r="BD1329" s="900"/>
      <c r="BE1329" s="797"/>
    </row>
    <row r="1330" spans="1:57" s="65" customFormat="1" hidden="1" outlineLevel="1" x14ac:dyDescent="0.25">
      <c r="A1330" s="785"/>
      <c r="B1330" s="177"/>
      <c r="C1330" s="455"/>
      <c r="D1330" s="2876"/>
      <c r="E1330" s="2806"/>
      <c r="F1330" s="1660" t="s">
        <v>1412</v>
      </c>
      <c r="G1330" s="1661"/>
      <c r="H1330" s="1662"/>
      <c r="I1330" s="1660"/>
      <c r="J1330" s="1663">
        <v>9.5500000000000007</v>
      </c>
      <c r="K1330" s="1075"/>
      <c r="L1330" s="2830"/>
      <c r="M1330" s="1639"/>
      <c r="N1330" s="1639"/>
      <c r="O1330" s="177"/>
      <c r="P1330" s="2892"/>
      <c r="Q1330" s="2899"/>
      <c r="R1330" s="2899"/>
      <c r="S1330" s="229"/>
      <c r="T1330" s="177"/>
      <c r="U1330" s="177"/>
      <c r="V1330" s="2866"/>
      <c r="W1330" s="909"/>
      <c r="X1330" s="908">
        <v>9.5500000000000007</v>
      </c>
      <c r="Y1330" s="909">
        <v>9.5500000000000007</v>
      </c>
      <c r="Z1330" s="909"/>
      <c r="AA1330" s="909"/>
      <c r="AB1330" s="909"/>
      <c r="AC1330" s="909"/>
      <c r="AD1330" s="909"/>
      <c r="AE1330" s="909"/>
      <c r="AF1330" s="909"/>
      <c r="AG1330" s="909"/>
      <c r="BB1330" s="784"/>
      <c r="BC1330" s="796"/>
      <c r="BD1330" s="900"/>
      <c r="BE1330" s="797"/>
    </row>
    <row r="1331" spans="1:57" s="65" customFormat="1" hidden="1" outlineLevel="1" x14ac:dyDescent="0.25">
      <c r="A1331" s="785"/>
      <c r="B1331" s="177"/>
      <c r="C1331" s="455"/>
      <c r="D1331" s="2876"/>
      <c r="E1331" s="2806"/>
      <c r="F1331" s="2884" t="str">
        <f>$E$1294</f>
        <v>GSHP EER 23 ER2 - Heating</v>
      </c>
      <c r="G1331" s="2885"/>
      <c r="H1331" s="2886"/>
      <c r="I1331" s="1660"/>
      <c r="J1331" s="1663">
        <v>10.58</v>
      </c>
      <c r="K1331" s="1075"/>
      <c r="L1331" s="2898" t="s">
        <v>1603</v>
      </c>
      <c r="M1331" s="1639"/>
      <c r="N1331" s="1639"/>
      <c r="O1331" s="1639"/>
      <c r="P1331" s="2510"/>
      <c r="Q1331" s="2019"/>
      <c r="R1331" s="2019"/>
      <c r="S1331" s="229"/>
      <c r="T1331" s="177"/>
      <c r="U1331" s="177"/>
      <c r="V1331" s="2866"/>
      <c r="W1331" s="909">
        <v>3.41</v>
      </c>
      <c r="X1331" s="908">
        <v>10.58</v>
      </c>
      <c r="Y1331" s="909">
        <v>10.58</v>
      </c>
      <c r="Z1331" s="909"/>
      <c r="AA1331" s="909"/>
      <c r="AB1331" s="909"/>
      <c r="AC1331" s="909"/>
      <c r="AD1331" s="909"/>
      <c r="AE1331" s="909"/>
      <c r="AF1331" s="909"/>
      <c r="AG1331" s="909"/>
      <c r="BB1331" s="784"/>
      <c r="BC1331" s="796"/>
      <c r="BD1331" s="900"/>
      <c r="BE1331" s="797"/>
    </row>
    <row r="1332" spans="1:57" s="65" customFormat="1" ht="15.75" hidden="1" outlineLevel="1" thickBot="1" x14ac:dyDescent="0.3">
      <c r="A1332" s="785"/>
      <c r="B1332" s="177"/>
      <c r="C1332" s="455"/>
      <c r="D1332" s="2877"/>
      <c r="E1332" s="2824"/>
      <c r="F1332" s="2887" t="str">
        <f>$E$1296</f>
        <v>GSHP EER 23 Replace at Fail GSHP</v>
      </c>
      <c r="G1332" s="2888"/>
      <c r="H1332" s="2889"/>
      <c r="I1332" s="1665"/>
      <c r="J1332" s="945">
        <v>10.58</v>
      </c>
      <c r="K1332" s="2080"/>
      <c r="L1332" s="2882"/>
      <c r="M1332" s="1639"/>
      <c r="N1332" s="1639"/>
      <c r="O1332" s="1639"/>
      <c r="P1332" s="2510"/>
      <c r="Q1332" s="2511"/>
      <c r="R1332" s="2511"/>
      <c r="S1332" s="229"/>
      <c r="T1332" s="2492"/>
      <c r="U1332" s="177"/>
      <c r="V1332" s="2883"/>
      <c r="W1332" s="945">
        <v>3.41</v>
      </c>
      <c r="X1332" s="1021">
        <v>10.58</v>
      </c>
      <c r="Y1332" s="945">
        <v>10.58</v>
      </c>
      <c r="Z1332" s="945"/>
      <c r="AA1332" s="945"/>
      <c r="AB1332" s="945"/>
      <c r="AC1332" s="945"/>
      <c r="AD1332" s="945"/>
      <c r="AE1332" s="945"/>
      <c r="AF1332" s="945"/>
      <c r="AG1332" s="945"/>
      <c r="BB1332" s="784"/>
      <c r="BC1332" s="796"/>
      <c r="BD1332" s="900"/>
      <c r="BE1332" s="797"/>
    </row>
    <row r="1333" spans="1:57" s="65" customFormat="1" hidden="1" outlineLevel="1" x14ac:dyDescent="0.25">
      <c r="A1333" s="785"/>
      <c r="B1333" s="177"/>
      <c r="C1333" s="455"/>
      <c r="D1333" s="2805" t="s">
        <v>1387</v>
      </c>
      <c r="E1333" s="2856" t="s">
        <v>1418</v>
      </c>
      <c r="F1333" s="2894" t="str">
        <f>$E$1288</f>
        <v>GSHP - EER 23 - replace electric furnace / CAC ER1 - Heating</v>
      </c>
      <c r="G1333" s="2895"/>
      <c r="H1333" s="2896"/>
      <c r="I1333" s="2082"/>
      <c r="J1333" s="1076">
        <v>15.140400000000001</v>
      </c>
      <c r="K1333" s="2083"/>
      <c r="L1333" s="2881" t="s">
        <v>1384</v>
      </c>
      <c r="M1333" s="1639"/>
      <c r="N1333" s="1639"/>
      <c r="O1333" s="1639"/>
      <c r="P1333" s="2510"/>
      <c r="Q1333" s="229"/>
      <c r="R1333" s="2513"/>
      <c r="S1333" s="229"/>
      <c r="T1333" s="177"/>
      <c r="U1333" s="177"/>
      <c r="V1333" s="2867" t="s">
        <v>1387</v>
      </c>
      <c r="W1333" s="926">
        <f t="shared" ref="W1333:W1337" si="120">15.01/3.41</f>
        <v>4.4017595307917885</v>
      </c>
      <c r="X1333" s="1077">
        <v>14.979294599999999</v>
      </c>
      <c r="Y1333" s="933">
        <f>4.44*3.41</f>
        <v>15.140400000000001</v>
      </c>
      <c r="Z1333" s="926"/>
      <c r="AA1333" s="926"/>
      <c r="AB1333" s="926"/>
      <c r="AC1333" s="926"/>
      <c r="AD1333" s="926"/>
      <c r="AE1333" s="926"/>
      <c r="AF1333" s="926"/>
      <c r="AG1333" s="926"/>
      <c r="BB1333" s="784"/>
      <c r="BC1333" s="796"/>
      <c r="BD1333" s="900"/>
      <c r="BE1333" s="797"/>
    </row>
    <row r="1334" spans="1:57" s="65" customFormat="1" hidden="1" outlineLevel="1" x14ac:dyDescent="0.25">
      <c r="A1334" s="785"/>
      <c r="B1334" s="177"/>
      <c r="C1334" s="455"/>
      <c r="D1334" s="2806"/>
      <c r="E1334" s="2856"/>
      <c r="F1334" s="2884" t="str">
        <f>$E$1290</f>
        <v>GSHP - EER 23 - replace electric furnace / CAC ER2 - Heating</v>
      </c>
      <c r="G1334" s="2885"/>
      <c r="H1334" s="2886"/>
      <c r="I1334" s="1660"/>
      <c r="J1334" s="940">
        <v>15.140400000000001</v>
      </c>
      <c r="K1334" s="1075"/>
      <c r="L1334" s="2832"/>
      <c r="M1334" s="1639"/>
      <c r="N1334" s="1639"/>
      <c r="O1334" s="177"/>
      <c r="P1334" s="2514"/>
      <c r="Q1334" s="229"/>
      <c r="R1334" s="2513"/>
      <c r="S1334" s="229"/>
      <c r="T1334" s="177"/>
      <c r="U1334" s="177"/>
      <c r="V1334" s="2866"/>
      <c r="W1334" s="909">
        <f t="shared" si="120"/>
        <v>4.4017595307917885</v>
      </c>
      <c r="X1334" s="941">
        <v>14.979294599999999</v>
      </c>
      <c r="Y1334" s="933">
        <f t="shared" ref="Y1334:Y1337" si="121">4.44*3.41</f>
        <v>15.140400000000001</v>
      </c>
      <c r="Z1334" s="909"/>
      <c r="AA1334" s="909"/>
      <c r="AB1334" s="909"/>
      <c r="AC1334" s="909"/>
      <c r="AD1334" s="909"/>
      <c r="AE1334" s="909"/>
      <c r="AF1334" s="909"/>
      <c r="AG1334" s="909"/>
      <c r="BB1334" s="784"/>
      <c r="BC1334" s="796"/>
      <c r="BD1334" s="900"/>
      <c r="BE1334" s="797"/>
    </row>
    <row r="1335" spans="1:57" s="65" customFormat="1" ht="15" hidden="1" customHeight="1" outlineLevel="1" x14ac:dyDescent="0.25">
      <c r="A1335" s="785"/>
      <c r="B1335" s="177"/>
      <c r="C1335" s="455"/>
      <c r="D1335" s="2806"/>
      <c r="E1335" s="2856"/>
      <c r="F1335" s="2884" t="str">
        <f>E1286</f>
        <v>GSHP - EER 23 - replace electric furnace / CAC - Heating</v>
      </c>
      <c r="G1335" s="2885"/>
      <c r="H1335" s="2886"/>
      <c r="I1335" s="1660"/>
      <c r="J1335" s="940">
        <v>15.140400000000001</v>
      </c>
      <c r="K1335" s="1082"/>
      <c r="L1335" s="2832"/>
      <c r="M1335" s="1639"/>
      <c r="N1335" s="1639"/>
      <c r="O1335" s="177"/>
      <c r="P1335" s="901"/>
      <c r="Q1335" s="229"/>
      <c r="R1335" s="229"/>
      <c r="S1335" s="229"/>
      <c r="T1335" s="177"/>
      <c r="U1335" s="177"/>
      <c r="V1335" s="2866"/>
      <c r="W1335" s="909">
        <f t="shared" si="120"/>
        <v>4.4017595307917885</v>
      </c>
      <c r="X1335" s="941">
        <v>14.979294599999999</v>
      </c>
      <c r="Y1335" s="933">
        <f t="shared" si="121"/>
        <v>15.140400000000001</v>
      </c>
      <c r="Z1335" s="909"/>
      <c r="AA1335" s="909"/>
      <c r="AB1335" s="909"/>
      <c r="AC1335" s="909"/>
      <c r="AD1335" s="909"/>
      <c r="AE1335" s="909"/>
      <c r="AF1335" s="909"/>
      <c r="AG1335" s="909"/>
      <c r="BB1335" s="784"/>
      <c r="BC1335" s="796"/>
      <c r="BD1335" s="900"/>
      <c r="BE1335" s="797"/>
    </row>
    <row r="1336" spans="1:57" s="65" customFormat="1" ht="15" hidden="1" customHeight="1" outlineLevel="1" x14ac:dyDescent="0.25">
      <c r="A1336" s="785"/>
      <c r="B1336" s="177"/>
      <c r="C1336" s="455"/>
      <c r="D1336" s="2806"/>
      <c r="E1336" s="2856"/>
      <c r="F1336" s="2884" t="str">
        <f>$E$1294</f>
        <v>GSHP EER 23 ER2 - Heating</v>
      </c>
      <c r="G1336" s="2885"/>
      <c r="H1336" s="2886"/>
      <c r="I1336" s="1660"/>
      <c r="J1336" s="940">
        <v>15.140400000000001</v>
      </c>
      <c r="K1336" s="1082"/>
      <c r="L1336" s="2829"/>
      <c r="M1336" s="1639"/>
      <c r="N1336" s="1639"/>
      <c r="O1336" s="177"/>
      <c r="P1336" s="1117"/>
      <c r="Q1336" s="229"/>
      <c r="R1336" s="229"/>
      <c r="S1336" s="229"/>
      <c r="T1336" s="177"/>
      <c r="U1336" s="177"/>
      <c r="V1336" s="2866"/>
      <c r="W1336" s="909">
        <f t="shared" si="120"/>
        <v>4.4017595307917885</v>
      </c>
      <c r="X1336" s="941">
        <v>14.979294599999999</v>
      </c>
      <c r="Y1336" s="933">
        <f t="shared" si="121"/>
        <v>15.140400000000001</v>
      </c>
      <c r="Z1336" s="909"/>
      <c r="AA1336" s="909"/>
      <c r="AB1336" s="909"/>
      <c r="AC1336" s="909"/>
      <c r="AD1336" s="909"/>
      <c r="AE1336" s="909"/>
      <c r="AF1336" s="909"/>
      <c r="AG1336" s="909"/>
      <c r="BB1336" s="784"/>
      <c r="BC1336" s="796"/>
      <c r="BD1336" s="900"/>
      <c r="BE1336" s="797"/>
    </row>
    <row r="1337" spans="1:57" s="65" customFormat="1" ht="15" hidden="1" customHeight="1" outlineLevel="1" thickBot="1" x14ac:dyDescent="0.3">
      <c r="A1337" s="785"/>
      <c r="B1337" s="177"/>
      <c r="C1337" s="455"/>
      <c r="D1337" s="2824"/>
      <c r="E1337" s="2890"/>
      <c r="F1337" s="2887" t="str">
        <f>$E$1296</f>
        <v>GSHP EER 23 Replace at Fail GSHP</v>
      </c>
      <c r="G1337" s="2888"/>
      <c r="H1337" s="2889"/>
      <c r="I1337" s="1665"/>
      <c r="J1337" s="940">
        <v>15.140400000000001</v>
      </c>
      <c r="K1337" s="1082"/>
      <c r="L1337" s="2897"/>
      <c r="M1337" s="1639"/>
      <c r="N1337" s="1639"/>
      <c r="O1337" s="177"/>
      <c r="P1337" s="177"/>
      <c r="Q1337" s="177"/>
      <c r="R1337" s="177"/>
      <c r="S1337" s="177"/>
      <c r="T1337" s="177"/>
      <c r="U1337" s="177"/>
      <c r="V1337" s="2883"/>
      <c r="W1337" s="909">
        <f t="shared" si="120"/>
        <v>4.4017595307917885</v>
      </c>
      <c r="X1337" s="941">
        <v>14.979294599999999</v>
      </c>
      <c r="Y1337" s="933">
        <f t="shared" si="121"/>
        <v>15.140400000000001</v>
      </c>
      <c r="Z1337" s="909"/>
      <c r="AA1337" s="909"/>
      <c r="AB1337" s="909"/>
      <c r="AC1337" s="909"/>
      <c r="AD1337" s="909"/>
      <c r="AE1337" s="909"/>
      <c r="AF1337" s="909"/>
      <c r="AG1337" s="909"/>
      <c r="BB1337" s="784"/>
      <c r="BC1337" s="796"/>
      <c r="BD1337" s="900"/>
      <c r="BE1337" s="797"/>
    </row>
    <row r="1338" spans="1:57" s="65" customFormat="1" ht="15" hidden="1" customHeight="1" outlineLevel="1" x14ac:dyDescent="0.25">
      <c r="A1338" s="785"/>
      <c r="B1338" s="177"/>
      <c r="C1338" s="455"/>
      <c r="D1338" s="2805" t="s">
        <v>1390</v>
      </c>
      <c r="E1338" s="2855" t="s">
        <v>1419</v>
      </c>
      <c r="F1338" s="2891" t="str">
        <f>$E$1285</f>
        <v>GSHP - EER 23 - replace electric furnace / CAC - Cooling</v>
      </c>
      <c r="G1338" s="2891"/>
      <c r="H1338" s="2891"/>
      <c r="I1338" s="1667"/>
      <c r="J1338" s="1667">
        <v>46320</v>
      </c>
      <c r="K1338" s="1080">
        <f>J1338/12000</f>
        <v>3.86</v>
      </c>
      <c r="L1338" s="2881" t="s">
        <v>1280</v>
      </c>
      <c r="M1338" s="1639"/>
      <c r="N1338" s="1639"/>
      <c r="O1338" s="177"/>
      <c r="P1338" s="177"/>
      <c r="Q1338" s="177"/>
      <c r="R1338" s="177"/>
      <c r="S1338" s="177"/>
      <c r="T1338" s="177"/>
      <c r="U1338" s="177"/>
      <c r="V1338" s="2867" t="s">
        <v>1390</v>
      </c>
      <c r="W1338" s="903">
        <v>52800.000000000007</v>
      </c>
      <c r="X1338" s="902">
        <f>3.99*12000</f>
        <v>47880</v>
      </c>
      <c r="Y1338" s="902">
        <f>Y1317</f>
        <v>46320</v>
      </c>
      <c r="Z1338" s="903"/>
      <c r="AA1338" s="903"/>
      <c r="AB1338" s="903"/>
      <c r="AC1338" s="903"/>
      <c r="AD1338" s="903"/>
      <c r="AE1338" s="903"/>
      <c r="AF1338" s="903"/>
      <c r="AG1338" s="903"/>
      <c r="BB1338" s="784"/>
      <c r="BC1338" s="796"/>
      <c r="BD1338" s="900"/>
      <c r="BE1338" s="797"/>
    </row>
    <row r="1339" spans="1:57" s="65" customFormat="1" ht="15" hidden="1" customHeight="1" outlineLevel="1" x14ac:dyDescent="0.25">
      <c r="A1339" s="785"/>
      <c r="B1339" s="177"/>
      <c r="C1339" s="455"/>
      <c r="D1339" s="2806"/>
      <c r="E1339" s="2856"/>
      <c r="F1339" s="2798" t="str">
        <f>$E$1287</f>
        <v>GSHP - EER 23 - replace electric furnace / CAC ER1- Cooling</v>
      </c>
      <c r="G1339" s="2798"/>
      <c r="H1339" s="2798"/>
      <c r="I1339" s="1663"/>
      <c r="J1339" s="1663">
        <v>46320</v>
      </c>
      <c r="K1339" s="1075">
        <f>J1339/12000</f>
        <v>3.86</v>
      </c>
      <c r="L1339" s="2832"/>
      <c r="M1339" s="1639"/>
      <c r="N1339" s="1639"/>
      <c r="O1339" s="177"/>
      <c r="P1339" s="177"/>
      <c r="Q1339" s="177"/>
      <c r="R1339" s="177"/>
      <c r="S1339" s="177"/>
      <c r="T1339" s="177"/>
      <c r="U1339" s="177"/>
      <c r="V1339" s="2866"/>
      <c r="W1339" s="909">
        <v>49199.999999999993</v>
      </c>
      <c r="X1339" s="908">
        <f>3.99*12000</f>
        <v>47880</v>
      </c>
      <c r="Y1339" s="908">
        <f t="shared" ref="Y1339:Y1342" si="122">Y1318</f>
        <v>46320</v>
      </c>
      <c r="Z1339" s="909"/>
      <c r="AA1339" s="909"/>
      <c r="AB1339" s="909"/>
      <c r="AC1339" s="909"/>
      <c r="AD1339" s="909"/>
      <c r="AE1339" s="909"/>
      <c r="AF1339" s="909"/>
      <c r="AG1339" s="909"/>
      <c r="BB1339" s="784"/>
      <c r="BC1339" s="796"/>
      <c r="BD1339" s="900"/>
      <c r="BE1339" s="797"/>
    </row>
    <row r="1340" spans="1:57" s="65" customFormat="1" ht="15" hidden="1" customHeight="1" outlineLevel="1" x14ac:dyDescent="0.25">
      <c r="A1340" s="785"/>
      <c r="B1340" s="177"/>
      <c r="C1340" s="455"/>
      <c r="D1340" s="2806"/>
      <c r="E1340" s="2856"/>
      <c r="F1340" s="2798" t="str">
        <f>$E$1289</f>
        <v>GSHP - EER 23 - replace electric furnace / CAC ER2- Cooling</v>
      </c>
      <c r="G1340" s="2798"/>
      <c r="H1340" s="2798"/>
      <c r="I1340" s="1663"/>
      <c r="J1340" s="1663">
        <v>47760</v>
      </c>
      <c r="K1340" s="1075">
        <f>J1340/12000</f>
        <v>3.98</v>
      </c>
      <c r="L1340" s="2832"/>
      <c r="M1340" s="1639"/>
      <c r="N1340" s="1639"/>
      <c r="O1340" s="177"/>
      <c r="P1340" s="177"/>
      <c r="Q1340" s="177"/>
      <c r="R1340" s="177"/>
      <c r="S1340" s="177"/>
      <c r="T1340" s="177"/>
      <c r="U1340" s="177"/>
      <c r="V1340" s="2866"/>
      <c r="W1340" s="909">
        <v>49199.999999999993</v>
      </c>
      <c r="X1340" s="908">
        <f>3.99*12000</f>
        <v>47880</v>
      </c>
      <c r="Y1340" s="908">
        <f t="shared" si="122"/>
        <v>47760</v>
      </c>
      <c r="Z1340" s="909"/>
      <c r="AA1340" s="909"/>
      <c r="AB1340" s="909"/>
      <c r="AC1340" s="909"/>
      <c r="AD1340" s="909"/>
      <c r="AE1340" s="909"/>
      <c r="AF1340" s="909"/>
      <c r="AG1340" s="909"/>
      <c r="BB1340" s="784"/>
      <c r="BC1340" s="796"/>
      <c r="BD1340" s="900"/>
      <c r="BE1340" s="797"/>
    </row>
    <row r="1341" spans="1:57" s="65" customFormat="1" ht="15" hidden="1" customHeight="1" outlineLevel="1" x14ac:dyDescent="0.25">
      <c r="A1341" s="785"/>
      <c r="B1341" s="177"/>
      <c r="C1341" s="455"/>
      <c r="D1341" s="2806"/>
      <c r="E1341" s="2856"/>
      <c r="F1341" s="2798" t="str">
        <f>$E$1291</f>
        <v>GSHP EER 23 ER1 - Cooling</v>
      </c>
      <c r="G1341" s="2798"/>
      <c r="H1341" s="2798"/>
      <c r="I1341" s="1663"/>
      <c r="J1341" s="1663">
        <v>50400</v>
      </c>
      <c r="K1341" s="1075">
        <f>J1341/12000</f>
        <v>4.2</v>
      </c>
      <c r="L1341" s="2832"/>
      <c r="M1341" s="1639"/>
      <c r="N1341" s="1639"/>
      <c r="O1341" s="177"/>
      <c r="P1341" s="177"/>
      <c r="Q1341" s="177"/>
      <c r="R1341" s="177"/>
      <c r="S1341" s="177"/>
      <c r="T1341" s="177"/>
      <c r="U1341" s="177"/>
      <c r="V1341" s="2866"/>
      <c r="W1341" s="909">
        <v>49199.999999999993</v>
      </c>
      <c r="X1341" s="908">
        <f>3.99*12000</f>
        <v>47880</v>
      </c>
      <c r="Y1341" s="908">
        <f t="shared" si="122"/>
        <v>50400</v>
      </c>
      <c r="Z1341" s="909"/>
      <c r="AA1341" s="909"/>
      <c r="AB1341" s="909"/>
      <c r="AC1341" s="909"/>
      <c r="AD1341" s="909"/>
      <c r="AE1341" s="909"/>
      <c r="AF1341" s="909"/>
      <c r="AG1341" s="909"/>
      <c r="BB1341" s="784"/>
      <c r="BC1341" s="796"/>
      <c r="BD1341" s="900"/>
      <c r="BE1341" s="797"/>
    </row>
    <row r="1342" spans="1:57" s="65" customFormat="1" ht="15" hidden="1" customHeight="1" outlineLevel="1" thickBot="1" x14ac:dyDescent="0.3">
      <c r="A1342" s="785"/>
      <c r="B1342" s="177"/>
      <c r="C1342" s="455"/>
      <c r="D1342" s="2824"/>
      <c r="E1342" s="2890"/>
      <c r="F1342" s="2798" t="str">
        <f>$E$1295</f>
        <v>GSHP EER 23 Replace at Fail GSHP</v>
      </c>
      <c r="G1342" s="2798"/>
      <c r="H1342" s="2798"/>
      <c r="I1342" s="1663"/>
      <c r="J1342" s="945">
        <v>47160</v>
      </c>
      <c r="K1342" s="1082">
        <f>J1342/12000</f>
        <v>3.93</v>
      </c>
      <c r="L1342" s="2882"/>
      <c r="M1342" s="1639"/>
      <c r="N1342" s="1639"/>
      <c r="O1342" s="177"/>
      <c r="P1342" s="177"/>
      <c r="Q1342" s="177"/>
      <c r="R1342" s="177"/>
      <c r="S1342" s="177"/>
      <c r="T1342" s="177"/>
      <c r="U1342" s="177"/>
      <c r="V1342" s="2883"/>
      <c r="W1342" s="945">
        <v>52800.000000000007</v>
      </c>
      <c r="X1342" s="1021">
        <f>3.99*12000</f>
        <v>47880</v>
      </c>
      <c r="Y1342" s="1021">
        <f t="shared" si="122"/>
        <v>47160</v>
      </c>
      <c r="Z1342" s="945"/>
      <c r="AA1342" s="945"/>
      <c r="AB1342" s="945"/>
      <c r="AC1342" s="945"/>
      <c r="AD1342" s="945"/>
      <c r="AE1342" s="945"/>
      <c r="AF1342" s="945"/>
      <c r="AG1342" s="945"/>
      <c r="BB1342" s="784"/>
      <c r="BC1342" s="796"/>
      <c r="BD1342" s="900"/>
      <c r="BE1342" s="797"/>
    </row>
    <row r="1343" spans="1:57" s="65" customFormat="1" ht="15" hidden="1" customHeight="1" outlineLevel="1" x14ac:dyDescent="0.25">
      <c r="A1343" s="785"/>
      <c r="B1343" s="177"/>
      <c r="C1343" s="455"/>
      <c r="D1343" s="2805" t="s">
        <v>1420</v>
      </c>
      <c r="E1343" s="2900" t="s">
        <v>1393</v>
      </c>
      <c r="F1343" s="2891" t="str">
        <f>$E$1285</f>
        <v>GSHP - EER 23 - replace electric furnace / CAC - Cooling</v>
      </c>
      <c r="G1343" s="2891"/>
      <c r="H1343" s="2891"/>
      <c r="I1343" s="1667"/>
      <c r="J1343" s="1667">
        <v>869</v>
      </c>
      <c r="K1343" s="1080"/>
      <c r="L1343" s="1132" t="s">
        <v>1289</v>
      </c>
      <c r="M1343" s="1639"/>
      <c r="N1343" s="1639"/>
      <c r="O1343" s="177"/>
      <c r="P1343" s="177"/>
      <c r="Q1343" s="177"/>
      <c r="R1343" s="177"/>
      <c r="S1343" s="177"/>
      <c r="T1343" s="177"/>
      <c r="U1343" s="177"/>
      <c r="V1343" s="2867" t="s">
        <v>1420</v>
      </c>
      <c r="W1343" s="903">
        <v>869</v>
      </c>
      <c r="X1343" s="903">
        <v>869</v>
      </c>
      <c r="Y1343" s="903">
        <v>869</v>
      </c>
      <c r="Z1343" s="903"/>
      <c r="AA1343" s="903"/>
      <c r="AB1343" s="903"/>
      <c r="AC1343" s="903"/>
      <c r="AD1343" s="903"/>
      <c r="AE1343" s="903"/>
      <c r="AF1343" s="903"/>
      <c r="AG1343" s="903"/>
      <c r="BB1343" s="784"/>
      <c r="BC1343" s="796"/>
      <c r="BD1343" s="900"/>
      <c r="BE1343" s="797"/>
    </row>
    <row r="1344" spans="1:57" s="65" customFormat="1" hidden="1" outlineLevel="1" x14ac:dyDescent="0.25">
      <c r="A1344" s="785"/>
      <c r="B1344" s="177"/>
      <c r="C1344" s="455"/>
      <c r="D1344" s="2806"/>
      <c r="E1344" s="2901"/>
      <c r="F1344" s="2798" t="str">
        <f>$E$1287</f>
        <v>GSHP - EER 23 - replace electric furnace / CAC ER1- Cooling</v>
      </c>
      <c r="G1344" s="2798"/>
      <c r="H1344" s="2798"/>
      <c r="I1344" s="1663"/>
      <c r="J1344" s="1663">
        <v>869</v>
      </c>
      <c r="K1344" s="1075"/>
      <c r="L1344" s="928" t="s">
        <v>1289</v>
      </c>
      <c r="M1344" s="1639"/>
      <c r="N1344" s="1639"/>
      <c r="O1344" s="177"/>
      <c r="P1344" s="177"/>
      <c r="Q1344" s="177"/>
      <c r="R1344" s="177"/>
      <c r="S1344" s="177"/>
      <c r="T1344" s="177"/>
      <c r="U1344" s="177"/>
      <c r="V1344" s="2866"/>
      <c r="W1344" s="909">
        <v>869</v>
      </c>
      <c r="X1344" s="909">
        <v>869</v>
      </c>
      <c r="Y1344" s="909">
        <v>869</v>
      </c>
      <c r="Z1344" s="909"/>
      <c r="AA1344" s="909"/>
      <c r="AB1344" s="909"/>
      <c r="AC1344" s="909"/>
      <c r="AD1344" s="909"/>
      <c r="AE1344" s="909"/>
      <c r="AF1344" s="909"/>
      <c r="AG1344" s="909"/>
      <c r="BB1344" s="784"/>
      <c r="BC1344" s="796"/>
      <c r="BD1344" s="900"/>
      <c r="BE1344" s="797"/>
    </row>
    <row r="1345" spans="1:57" s="65" customFormat="1" hidden="1" outlineLevel="1" x14ac:dyDescent="0.25">
      <c r="A1345" s="785"/>
      <c r="B1345" s="177"/>
      <c r="C1345" s="455"/>
      <c r="D1345" s="2806"/>
      <c r="E1345" s="2901"/>
      <c r="F1345" s="2798" t="str">
        <f>$E$1289</f>
        <v>GSHP - EER 23 - replace electric furnace / CAC ER2- Cooling</v>
      </c>
      <c r="G1345" s="2798"/>
      <c r="H1345" s="2798"/>
      <c r="I1345" s="1663"/>
      <c r="J1345" s="1663">
        <v>869</v>
      </c>
      <c r="K1345" s="1075"/>
      <c r="L1345" s="928" t="s">
        <v>1289</v>
      </c>
      <c r="M1345" s="1639"/>
      <c r="N1345" s="1639"/>
      <c r="O1345" s="177"/>
      <c r="P1345" s="177"/>
      <c r="Q1345" s="177"/>
      <c r="R1345" s="177"/>
      <c r="S1345" s="177"/>
      <c r="T1345" s="177"/>
      <c r="U1345" s="177"/>
      <c r="V1345" s="2866"/>
      <c r="W1345" s="909">
        <v>869</v>
      </c>
      <c r="X1345" s="909">
        <v>869</v>
      </c>
      <c r="Y1345" s="909">
        <v>869</v>
      </c>
      <c r="Z1345" s="909"/>
      <c r="AA1345" s="909"/>
      <c r="AB1345" s="909"/>
      <c r="AC1345" s="909"/>
      <c r="AD1345" s="909"/>
      <c r="AE1345" s="909"/>
      <c r="AF1345" s="909"/>
      <c r="AG1345" s="909"/>
      <c r="BB1345" s="784"/>
      <c r="BC1345" s="796"/>
      <c r="BD1345" s="900"/>
      <c r="BE1345" s="797"/>
    </row>
    <row r="1346" spans="1:57" s="65" customFormat="1" ht="15" hidden="1" customHeight="1" outlineLevel="1" x14ac:dyDescent="0.25">
      <c r="A1346" s="785"/>
      <c r="B1346" s="177"/>
      <c r="C1346" s="455"/>
      <c r="D1346" s="2806"/>
      <c r="E1346" s="2901"/>
      <c r="F1346" s="2798" t="str">
        <f>$E$1291</f>
        <v>GSHP EER 23 ER1 - Cooling</v>
      </c>
      <c r="G1346" s="2798"/>
      <c r="H1346" s="2798"/>
      <c r="I1346" s="1663"/>
      <c r="J1346" s="1663">
        <v>869</v>
      </c>
      <c r="K1346" s="1075"/>
      <c r="L1346" s="928" t="s">
        <v>1289</v>
      </c>
      <c r="M1346" s="1639"/>
      <c r="N1346" s="1639"/>
      <c r="O1346" s="177"/>
      <c r="P1346" s="177"/>
      <c r="Q1346" s="177"/>
      <c r="R1346" s="177"/>
      <c r="S1346" s="177"/>
      <c r="T1346" s="177"/>
      <c r="U1346" s="177"/>
      <c r="V1346" s="2866"/>
      <c r="W1346" s="909">
        <v>869</v>
      </c>
      <c r="X1346" s="909">
        <v>869</v>
      </c>
      <c r="Y1346" s="909">
        <v>869</v>
      </c>
      <c r="Z1346" s="909"/>
      <c r="AA1346" s="909"/>
      <c r="AB1346" s="909"/>
      <c r="AC1346" s="909"/>
      <c r="AD1346" s="909"/>
      <c r="AE1346" s="909"/>
      <c r="AF1346" s="909"/>
      <c r="AG1346" s="909"/>
      <c r="BB1346" s="784"/>
      <c r="BC1346" s="796"/>
      <c r="BD1346" s="900"/>
      <c r="BE1346" s="797"/>
    </row>
    <row r="1347" spans="1:57" s="65" customFormat="1" ht="15" hidden="1" customHeight="1" outlineLevel="1" thickBot="1" x14ac:dyDescent="0.3">
      <c r="A1347" s="785"/>
      <c r="B1347" s="177"/>
      <c r="C1347" s="455"/>
      <c r="D1347" s="2806"/>
      <c r="E1347" s="2901"/>
      <c r="F1347" s="2798" t="str">
        <f>$E$1295</f>
        <v>GSHP EER 23 Replace at Fail GSHP</v>
      </c>
      <c r="G1347" s="2798"/>
      <c r="H1347" s="2798"/>
      <c r="I1347" s="1663"/>
      <c r="J1347" s="1663">
        <v>869</v>
      </c>
      <c r="K1347" s="1075"/>
      <c r="L1347" s="930" t="s">
        <v>1289</v>
      </c>
      <c r="M1347" s="1639"/>
      <c r="N1347" s="1639"/>
      <c r="O1347" s="177"/>
      <c r="P1347" s="177"/>
      <c r="Q1347" s="177"/>
      <c r="R1347" s="177"/>
      <c r="S1347" s="177"/>
      <c r="T1347" s="177"/>
      <c r="U1347" s="177"/>
      <c r="V1347" s="2866"/>
      <c r="W1347" s="909">
        <v>869</v>
      </c>
      <c r="X1347" s="909">
        <v>869</v>
      </c>
      <c r="Y1347" s="909">
        <v>869</v>
      </c>
      <c r="Z1347" s="909"/>
      <c r="AA1347" s="909"/>
      <c r="AB1347" s="909"/>
      <c r="AC1347" s="909"/>
      <c r="AD1347" s="909"/>
      <c r="AE1347" s="909"/>
      <c r="AF1347" s="909"/>
      <c r="AG1347" s="909"/>
      <c r="BB1347" s="784"/>
      <c r="BC1347" s="796"/>
      <c r="BD1347" s="900"/>
      <c r="BE1347" s="797"/>
    </row>
    <row r="1348" spans="1:57" s="65" customFormat="1" hidden="1" outlineLevel="1" x14ac:dyDescent="0.25">
      <c r="A1348" s="785"/>
      <c r="B1348" s="177"/>
      <c r="C1348" s="455"/>
      <c r="D1348" s="2805" t="s">
        <v>1421</v>
      </c>
      <c r="E1348" s="2900" t="s">
        <v>1395</v>
      </c>
      <c r="F1348" s="2891" t="str">
        <f>$E$1285</f>
        <v>GSHP - EER 23 - replace electric furnace / CAC - Cooling</v>
      </c>
      <c r="G1348" s="2891"/>
      <c r="H1348" s="2891"/>
      <c r="I1348" s="1667"/>
      <c r="J1348" s="1078">
        <v>14.1</v>
      </c>
      <c r="K1348" s="1080"/>
      <c r="L1348" s="2881" t="s">
        <v>1280</v>
      </c>
      <c r="M1348" s="1639"/>
      <c r="N1348" s="1639"/>
      <c r="O1348" s="177"/>
      <c r="P1348" s="177"/>
      <c r="Q1348" s="177"/>
      <c r="R1348" s="177"/>
      <c r="S1348" s="177"/>
      <c r="T1348" s="177"/>
      <c r="U1348" s="177"/>
      <c r="V1348" s="2867" t="s">
        <v>1421</v>
      </c>
      <c r="W1348" s="903">
        <v>13</v>
      </c>
      <c r="X1348" s="1079">
        <v>14.1</v>
      </c>
      <c r="Y1348" s="1078">
        <v>14.1</v>
      </c>
      <c r="Z1348" s="903"/>
      <c r="AA1348" s="903"/>
      <c r="AB1348" s="903"/>
      <c r="AC1348" s="903"/>
      <c r="AD1348" s="903"/>
      <c r="AE1348" s="903"/>
      <c r="AF1348" s="903"/>
      <c r="AG1348" s="903"/>
      <c r="BB1348" s="784"/>
      <c r="BC1348" s="796"/>
      <c r="BD1348" s="900"/>
      <c r="BE1348" s="797"/>
    </row>
    <row r="1349" spans="1:57" s="65" customFormat="1" hidden="1" outlineLevel="1" x14ac:dyDescent="0.25">
      <c r="A1349" s="785"/>
      <c r="B1349" s="177"/>
      <c r="C1349" s="455"/>
      <c r="D1349" s="2806"/>
      <c r="E1349" s="2904"/>
      <c r="F1349" s="2798" t="str">
        <f>$E$1287</f>
        <v>GSHP - EER 23 - replace electric furnace / CAC ER1- Cooling</v>
      </c>
      <c r="G1349" s="2798"/>
      <c r="H1349" s="2798"/>
      <c r="I1349" s="1663"/>
      <c r="J1349" s="1663">
        <v>6.54</v>
      </c>
      <c r="K1349" s="1075"/>
      <c r="L1349" s="2832" t="s">
        <v>1280</v>
      </c>
      <c r="M1349" s="1639"/>
      <c r="N1349" s="1639"/>
      <c r="O1349" s="177"/>
      <c r="P1349" s="177"/>
      <c r="Q1349" s="177"/>
      <c r="R1349" s="177"/>
      <c r="S1349" s="177"/>
      <c r="T1349" s="177"/>
      <c r="U1349" s="177"/>
      <c r="V1349" s="2866"/>
      <c r="W1349" s="909">
        <v>6.8</v>
      </c>
      <c r="X1349" s="908">
        <v>6.54</v>
      </c>
      <c r="Y1349" s="909">
        <v>6.54</v>
      </c>
      <c r="Z1349" s="909"/>
      <c r="AA1349" s="909"/>
      <c r="AB1349" s="909"/>
      <c r="AC1349" s="909"/>
      <c r="AD1349" s="909"/>
      <c r="AE1349" s="909"/>
      <c r="AF1349" s="909"/>
      <c r="AG1349" s="909"/>
      <c r="BB1349" s="784"/>
      <c r="BC1349" s="796"/>
      <c r="BD1349" s="900"/>
      <c r="BE1349" s="797"/>
    </row>
    <row r="1350" spans="1:57" s="65" customFormat="1" hidden="1" outlineLevel="1" x14ac:dyDescent="0.25">
      <c r="A1350" s="785"/>
      <c r="B1350" s="177"/>
      <c r="C1350" s="455"/>
      <c r="D1350" s="2806"/>
      <c r="E1350" s="2904"/>
      <c r="F1350" s="2798" t="str">
        <f>$E$1289</f>
        <v>GSHP - EER 23 - replace electric furnace / CAC ER2- Cooling</v>
      </c>
      <c r="G1350" s="2798"/>
      <c r="H1350" s="2798"/>
      <c r="I1350" s="1663"/>
      <c r="J1350" s="1663">
        <v>14.1</v>
      </c>
      <c r="K1350" s="1075"/>
      <c r="L1350" s="2832" t="s">
        <v>1280</v>
      </c>
      <c r="M1350" s="1639"/>
      <c r="N1350" s="1639"/>
      <c r="O1350" s="177"/>
      <c r="P1350" s="177"/>
      <c r="Q1350" s="177"/>
      <c r="R1350" s="177"/>
      <c r="S1350" s="177"/>
      <c r="T1350" s="177"/>
      <c r="U1350" s="177"/>
      <c r="V1350" s="2866"/>
      <c r="W1350" s="909">
        <v>13</v>
      </c>
      <c r="X1350" s="908">
        <v>14.1</v>
      </c>
      <c r="Y1350" s="909">
        <v>14.1</v>
      </c>
      <c r="Z1350" s="909"/>
      <c r="AA1350" s="909"/>
      <c r="AB1350" s="909"/>
      <c r="AC1350" s="909"/>
      <c r="AD1350" s="909"/>
      <c r="AE1350" s="909"/>
      <c r="AF1350" s="909"/>
      <c r="AG1350" s="909"/>
      <c r="BB1350" s="784"/>
      <c r="BC1350" s="796"/>
      <c r="BD1350" s="900"/>
      <c r="BE1350" s="797"/>
    </row>
    <row r="1351" spans="1:57" s="65" customFormat="1" ht="15" hidden="1" customHeight="1" outlineLevel="1" x14ac:dyDescent="0.25">
      <c r="A1351" s="785"/>
      <c r="B1351" s="177"/>
      <c r="C1351" s="455"/>
      <c r="D1351" s="2806"/>
      <c r="E1351" s="2904"/>
      <c r="F1351" s="2798" t="str">
        <f>$E$1291</f>
        <v>GSHP EER 23 ER1 - Cooling</v>
      </c>
      <c r="G1351" s="2798"/>
      <c r="H1351" s="2798"/>
      <c r="I1351" s="1663"/>
      <c r="J1351" s="1663">
        <v>12</v>
      </c>
      <c r="K1351" s="1075"/>
      <c r="L1351" s="2832" t="s">
        <v>1280</v>
      </c>
      <c r="M1351" s="1639"/>
      <c r="N1351" s="1639"/>
      <c r="O1351" s="177"/>
      <c r="P1351" s="177"/>
      <c r="Q1351" s="177"/>
      <c r="R1351" s="177"/>
      <c r="S1351" s="177"/>
      <c r="T1351" s="177"/>
      <c r="U1351" s="177"/>
      <c r="V1351" s="2866"/>
      <c r="W1351" s="909">
        <v>6.8</v>
      </c>
      <c r="X1351" s="908">
        <v>12</v>
      </c>
      <c r="Y1351" s="909">
        <v>12</v>
      </c>
      <c r="Z1351" s="909"/>
      <c r="AA1351" s="909"/>
      <c r="AB1351" s="909"/>
      <c r="AC1351" s="909"/>
      <c r="AD1351" s="909"/>
      <c r="AE1351" s="909"/>
      <c r="AF1351" s="909"/>
      <c r="AG1351" s="909"/>
      <c r="BB1351" s="784"/>
      <c r="BC1351" s="796"/>
      <c r="BD1351" s="900"/>
      <c r="BE1351" s="797"/>
    </row>
    <row r="1352" spans="1:57" s="65" customFormat="1" ht="15" hidden="1" customHeight="1" outlineLevel="1" thickBot="1" x14ac:dyDescent="0.3">
      <c r="A1352" s="785"/>
      <c r="B1352" s="177"/>
      <c r="C1352" s="455"/>
      <c r="D1352" s="2806"/>
      <c r="E1352" s="2904"/>
      <c r="F1352" s="2798" t="str">
        <f>$E$1295</f>
        <v>GSHP EER 23 Replace at Fail GSHP</v>
      </c>
      <c r="G1352" s="2798"/>
      <c r="H1352" s="2798"/>
      <c r="I1352" s="1663"/>
      <c r="J1352" s="1663">
        <v>14.1</v>
      </c>
      <c r="K1352" s="1075"/>
      <c r="L1352" s="2882" t="s">
        <v>1280</v>
      </c>
      <c r="M1352" s="1639"/>
      <c r="N1352" s="1639"/>
      <c r="O1352" s="177"/>
      <c r="P1352" s="177"/>
      <c r="Q1352" s="177"/>
      <c r="R1352" s="177"/>
      <c r="S1352" s="177"/>
      <c r="T1352" s="177"/>
      <c r="U1352" s="177"/>
      <c r="V1352" s="2866"/>
      <c r="W1352" s="909">
        <v>14.1</v>
      </c>
      <c r="X1352" s="908">
        <v>14.1</v>
      </c>
      <c r="Y1352" s="909">
        <v>14.1</v>
      </c>
      <c r="Z1352" s="909"/>
      <c r="AA1352" s="909"/>
      <c r="AB1352" s="909"/>
      <c r="AC1352" s="909"/>
      <c r="AD1352" s="909"/>
      <c r="AE1352" s="909"/>
      <c r="AF1352" s="909"/>
      <c r="AG1352" s="909"/>
      <c r="BB1352" s="784"/>
      <c r="BC1352" s="796"/>
      <c r="BD1352" s="900"/>
      <c r="BE1352" s="797"/>
    </row>
    <row r="1353" spans="1:57" s="65" customFormat="1" ht="15" hidden="1" customHeight="1" outlineLevel="1" x14ac:dyDescent="0.25">
      <c r="A1353" s="785"/>
      <c r="B1353" s="177"/>
      <c r="C1353" s="455"/>
      <c r="D1353" s="2805" t="s">
        <v>320</v>
      </c>
      <c r="E1353" s="2900" t="s">
        <v>1422</v>
      </c>
      <c r="F1353" s="2891" t="str">
        <f>$E$1285</f>
        <v>GSHP - EER 23 - replace electric furnace / CAC - Cooling</v>
      </c>
      <c r="G1353" s="2891"/>
      <c r="H1353" s="2891"/>
      <c r="I1353" s="1667"/>
      <c r="J1353" s="1667">
        <v>28</v>
      </c>
      <c r="K1353" s="1080"/>
      <c r="L1353" s="2881" t="s">
        <v>1280</v>
      </c>
      <c r="M1353" s="1639"/>
      <c r="N1353" s="1639"/>
      <c r="O1353" s="177"/>
      <c r="P1353" s="177"/>
      <c r="Q1353" s="177"/>
      <c r="R1353" s="177"/>
      <c r="S1353" s="177"/>
      <c r="T1353" s="177"/>
      <c r="U1353" s="177"/>
      <c r="V1353" s="2867" t="s">
        <v>320</v>
      </c>
      <c r="W1353" s="903">
        <v>26.7</v>
      </c>
      <c r="X1353" s="902">
        <v>27.07</v>
      </c>
      <c r="Y1353" s="1079">
        <v>28</v>
      </c>
      <c r="Z1353" s="903"/>
      <c r="AA1353" s="903"/>
      <c r="AB1353" s="903"/>
      <c r="AC1353" s="903"/>
      <c r="AD1353" s="903"/>
      <c r="AE1353" s="903"/>
      <c r="AF1353" s="903"/>
      <c r="AG1353" s="903"/>
      <c r="BB1353" s="784"/>
      <c r="BC1353" s="796"/>
      <c r="BD1353" s="900"/>
      <c r="BE1353" s="797"/>
    </row>
    <row r="1354" spans="1:57" s="65" customFormat="1" ht="15" hidden="1" customHeight="1" outlineLevel="1" x14ac:dyDescent="0.25">
      <c r="A1354" s="785"/>
      <c r="B1354" s="177"/>
      <c r="C1354" s="455"/>
      <c r="D1354" s="2806"/>
      <c r="E1354" s="2901"/>
      <c r="F1354" s="2798" t="str">
        <f>$E$1287</f>
        <v>GSHP - EER 23 - replace electric furnace / CAC ER1- Cooling</v>
      </c>
      <c r="G1354" s="2798"/>
      <c r="H1354" s="2798"/>
      <c r="I1354" s="1663"/>
      <c r="J1354" s="1663">
        <v>28.1</v>
      </c>
      <c r="K1354" s="1075"/>
      <c r="L1354" s="2832" t="s">
        <v>1280</v>
      </c>
      <c r="M1354" s="1639"/>
      <c r="N1354" s="1639"/>
      <c r="O1354" s="177"/>
      <c r="P1354" s="177"/>
      <c r="Q1354" s="177"/>
      <c r="R1354" s="177"/>
      <c r="S1354" s="177"/>
      <c r="T1354" s="177"/>
      <c r="U1354" s="177"/>
      <c r="V1354" s="2866"/>
      <c r="W1354" s="909">
        <v>27.2</v>
      </c>
      <c r="X1354" s="908">
        <v>27.07</v>
      </c>
      <c r="Y1354" s="1081">
        <v>28.1</v>
      </c>
      <c r="Z1354" s="909"/>
      <c r="AA1354" s="909"/>
      <c r="AB1354" s="909"/>
      <c r="AC1354" s="909"/>
      <c r="AD1354" s="909"/>
      <c r="AE1354" s="909"/>
      <c r="AF1354" s="909"/>
      <c r="AG1354" s="909"/>
      <c r="BB1354" s="784"/>
      <c r="BC1354" s="796"/>
      <c r="BD1354" s="900"/>
      <c r="BE1354" s="797"/>
    </row>
    <row r="1355" spans="1:57" s="65" customFormat="1" ht="15" hidden="1" customHeight="1" outlineLevel="1" x14ac:dyDescent="0.25">
      <c r="A1355" s="785"/>
      <c r="B1355" s="177"/>
      <c r="C1355" s="455"/>
      <c r="D1355" s="2806"/>
      <c r="E1355" s="2901"/>
      <c r="F1355" s="2798" t="str">
        <f>$E$1289</f>
        <v>GSHP - EER 23 - replace electric furnace / CAC ER2- Cooling</v>
      </c>
      <c r="G1355" s="2798"/>
      <c r="H1355" s="2798"/>
      <c r="I1355" s="1663"/>
      <c r="J1355" s="1663">
        <v>28.1</v>
      </c>
      <c r="K1355" s="1082"/>
      <c r="L1355" s="2832" t="s">
        <v>1280</v>
      </c>
      <c r="M1355" s="1639"/>
      <c r="N1355" s="1639"/>
      <c r="O1355" s="177"/>
      <c r="P1355" s="177"/>
      <c r="Q1355" s="177"/>
      <c r="R1355" s="177"/>
      <c r="S1355" s="177"/>
      <c r="T1355" s="177"/>
      <c r="U1355" s="177"/>
      <c r="V1355" s="2866"/>
      <c r="W1355" s="909">
        <v>27.2</v>
      </c>
      <c r="X1355" s="908">
        <v>27.07</v>
      </c>
      <c r="Y1355" s="1081">
        <v>28.1</v>
      </c>
      <c r="Z1355" s="909"/>
      <c r="AA1355" s="909"/>
      <c r="AB1355" s="909"/>
      <c r="AC1355" s="909"/>
      <c r="AD1355" s="909"/>
      <c r="AE1355" s="909"/>
      <c r="AF1355" s="909"/>
      <c r="AG1355" s="909"/>
      <c r="BB1355" s="784"/>
      <c r="BC1355" s="796"/>
      <c r="BD1355" s="900"/>
      <c r="BE1355" s="797"/>
    </row>
    <row r="1356" spans="1:57" s="65" customFormat="1" ht="15" hidden="1" customHeight="1" outlineLevel="1" x14ac:dyDescent="0.25">
      <c r="A1356" s="785"/>
      <c r="B1356" s="177"/>
      <c r="C1356" s="455"/>
      <c r="D1356" s="2806"/>
      <c r="E1356" s="2901"/>
      <c r="F1356" s="2798" t="str">
        <f>$E$1291</f>
        <v>GSHP EER 23 ER1 - Cooling</v>
      </c>
      <c r="G1356" s="2798"/>
      <c r="H1356" s="2798"/>
      <c r="I1356" s="1663"/>
      <c r="J1356" s="1663">
        <v>28</v>
      </c>
      <c r="K1356" s="1082"/>
      <c r="L1356" s="2832" t="s">
        <v>1280</v>
      </c>
      <c r="M1356" s="1639"/>
      <c r="N1356" s="1639"/>
      <c r="O1356" s="177"/>
      <c r="P1356" s="177"/>
      <c r="Q1356" s="177"/>
      <c r="R1356" s="177"/>
      <c r="S1356" s="177"/>
      <c r="T1356" s="177"/>
      <c r="U1356" s="177"/>
      <c r="V1356" s="2866"/>
      <c r="W1356" s="909">
        <v>27.2</v>
      </c>
      <c r="X1356" s="908">
        <v>27.07</v>
      </c>
      <c r="Y1356" s="1081">
        <v>28</v>
      </c>
      <c r="Z1356" s="909"/>
      <c r="AA1356" s="909"/>
      <c r="AB1356" s="909"/>
      <c r="AC1356" s="909"/>
      <c r="AD1356" s="909"/>
      <c r="AE1356" s="909"/>
      <c r="AF1356" s="909"/>
      <c r="AG1356" s="909"/>
      <c r="BB1356" s="784"/>
      <c r="BC1356" s="796"/>
      <c r="BD1356" s="900"/>
      <c r="BE1356" s="797"/>
    </row>
    <row r="1357" spans="1:57" s="65" customFormat="1" ht="15" hidden="1" customHeight="1" outlineLevel="1" thickBot="1" x14ac:dyDescent="0.3">
      <c r="A1357" s="785"/>
      <c r="B1357" s="177"/>
      <c r="C1357" s="455"/>
      <c r="D1357" s="2902"/>
      <c r="E1357" s="2901"/>
      <c r="F1357" s="2798" t="str">
        <f>$E$1295</f>
        <v>GSHP EER 23 Replace at Fail GSHP</v>
      </c>
      <c r="G1357" s="2798"/>
      <c r="H1357" s="2798"/>
      <c r="I1357" s="1663"/>
      <c r="J1357" s="1663">
        <v>28</v>
      </c>
      <c r="K1357" s="1082"/>
      <c r="L1357" s="2882" t="s">
        <v>1280</v>
      </c>
      <c r="M1357" s="1639"/>
      <c r="N1357" s="1639"/>
      <c r="O1357" s="177"/>
      <c r="P1357" s="177"/>
      <c r="Q1357" s="177"/>
      <c r="R1357" s="177"/>
      <c r="S1357" s="177"/>
      <c r="T1357" s="177"/>
      <c r="U1357" s="177"/>
      <c r="V1357" s="2903"/>
      <c r="W1357" s="909">
        <v>26.7</v>
      </c>
      <c r="X1357" s="908">
        <v>27.07</v>
      </c>
      <c r="Y1357" s="1081">
        <v>28</v>
      </c>
      <c r="Z1357" s="909"/>
      <c r="AA1357" s="909"/>
      <c r="AB1357" s="909"/>
      <c r="AC1357" s="909"/>
      <c r="AD1357" s="909"/>
      <c r="AE1357" s="909"/>
      <c r="AF1357" s="909"/>
      <c r="AG1357" s="909"/>
      <c r="BB1357" s="784"/>
      <c r="BC1357" s="796"/>
      <c r="BD1357" s="900"/>
      <c r="BE1357" s="797"/>
    </row>
    <row r="1358" spans="1:57" s="65" customFormat="1" ht="15" hidden="1" customHeight="1" outlineLevel="1" x14ac:dyDescent="0.25">
      <c r="A1358" s="785"/>
      <c r="B1358" s="1639"/>
      <c r="C1358" s="455"/>
      <c r="D1358" s="2805" t="str">
        <f>J1284</f>
        <v>EUL</v>
      </c>
      <c r="E1358" s="2900" t="e">
        <f>#REF!</f>
        <v>#REF!</v>
      </c>
      <c r="F1358" s="2878" t="str">
        <f t="shared" ref="F1358:F1369" si="123">E1285</f>
        <v>GSHP - EER 23 - replace electric furnace / CAC - Cooling</v>
      </c>
      <c r="G1358" s="2879"/>
      <c r="H1358" s="2880"/>
      <c r="I1358" s="1667"/>
      <c r="J1358" s="1667">
        <v>18</v>
      </c>
      <c r="K1358" s="1080"/>
      <c r="L1358" s="1010"/>
      <c r="M1358" s="1639"/>
      <c r="N1358" s="1639"/>
      <c r="O1358" s="177"/>
      <c r="P1358" s="177"/>
      <c r="Q1358" s="177"/>
      <c r="R1358" s="177"/>
      <c r="S1358" s="177"/>
      <c r="T1358" s="177"/>
      <c r="U1358" s="177"/>
      <c r="V1358" s="2867" t="str">
        <f>D1358</f>
        <v>EUL</v>
      </c>
      <c r="W1358" s="903">
        <v>18</v>
      </c>
      <c r="X1358" s="903">
        <v>18</v>
      </c>
      <c r="Y1358" s="903">
        <v>18</v>
      </c>
      <c r="Z1358" s="903"/>
      <c r="AA1358" s="903"/>
      <c r="AB1358" s="903"/>
      <c r="AC1358" s="903"/>
      <c r="AD1358" s="903"/>
      <c r="AE1358" s="903"/>
      <c r="AF1358" s="903"/>
      <c r="AG1358" s="903"/>
      <c r="BB1358" s="784"/>
      <c r="BC1358" s="796"/>
      <c r="BD1358" s="900"/>
      <c r="BE1358" s="797"/>
    </row>
    <row r="1359" spans="1:57" s="65" customFormat="1" ht="15" hidden="1" customHeight="1" outlineLevel="1" x14ac:dyDescent="0.25">
      <c r="A1359" s="785"/>
      <c r="B1359" s="1639"/>
      <c r="C1359" s="455"/>
      <c r="D1359" s="2806"/>
      <c r="E1359" s="2901"/>
      <c r="F1359" s="2884" t="str">
        <f t="shared" si="123"/>
        <v>GSHP - EER 23 - replace electric furnace / CAC - Heating</v>
      </c>
      <c r="G1359" s="2885"/>
      <c r="H1359" s="2886"/>
      <c r="I1359" s="1663"/>
      <c r="J1359" s="1663">
        <v>18</v>
      </c>
      <c r="K1359" s="1075"/>
      <c r="L1359" s="927"/>
      <c r="M1359" s="1639"/>
      <c r="N1359" s="1639"/>
      <c r="O1359" s="177"/>
      <c r="P1359" s="177"/>
      <c r="Q1359" s="177"/>
      <c r="R1359" s="177"/>
      <c r="S1359" s="177"/>
      <c r="T1359" s="177"/>
      <c r="U1359" s="177"/>
      <c r="V1359" s="2866"/>
      <c r="W1359" s="909">
        <v>18</v>
      </c>
      <c r="X1359" s="909">
        <v>18</v>
      </c>
      <c r="Y1359" s="909">
        <v>18</v>
      </c>
      <c r="Z1359" s="909"/>
      <c r="AA1359" s="909"/>
      <c r="AB1359" s="909"/>
      <c r="AC1359" s="909"/>
      <c r="AD1359" s="909"/>
      <c r="AE1359" s="909"/>
      <c r="AF1359" s="909"/>
      <c r="AG1359" s="909"/>
      <c r="BB1359" s="784"/>
      <c r="BC1359" s="796"/>
      <c r="BD1359" s="900"/>
      <c r="BE1359" s="797"/>
    </row>
    <row r="1360" spans="1:57" s="65" customFormat="1" ht="15" hidden="1" customHeight="1" outlineLevel="1" x14ac:dyDescent="0.25">
      <c r="A1360" s="785"/>
      <c r="B1360" s="1639"/>
      <c r="C1360" s="455"/>
      <c r="D1360" s="2806"/>
      <c r="E1360" s="2901"/>
      <c r="F1360" s="2798" t="str">
        <f t="shared" si="123"/>
        <v>GSHP - EER 23 - replace electric furnace / CAC ER1- Cooling</v>
      </c>
      <c r="G1360" s="2798"/>
      <c r="H1360" s="2798"/>
      <c r="I1360" s="1663"/>
      <c r="J1360" s="1663">
        <v>6</v>
      </c>
      <c r="K1360" s="1082"/>
      <c r="L1360" s="927"/>
      <c r="M1360" s="1639"/>
      <c r="N1360" s="1639"/>
      <c r="O1360" s="177"/>
      <c r="P1360" s="177"/>
      <c r="Q1360" s="177"/>
      <c r="R1360" s="177"/>
      <c r="S1360" s="177"/>
      <c r="T1360" s="177"/>
      <c r="U1360" s="177"/>
      <c r="V1360" s="2866"/>
      <c r="W1360" s="909">
        <v>6</v>
      </c>
      <c r="X1360" s="909">
        <v>6</v>
      </c>
      <c r="Y1360" s="909">
        <v>6</v>
      </c>
      <c r="Z1360" s="909"/>
      <c r="AA1360" s="909"/>
      <c r="AB1360" s="909"/>
      <c r="AC1360" s="909"/>
      <c r="AD1360" s="909"/>
      <c r="AE1360" s="909"/>
      <c r="AF1360" s="909"/>
      <c r="AG1360" s="909"/>
      <c r="BB1360" s="784"/>
      <c r="BC1360" s="796"/>
      <c r="BD1360" s="900"/>
      <c r="BE1360" s="797"/>
    </row>
    <row r="1361" spans="1:57" s="65" customFormat="1" ht="15" hidden="1" customHeight="1" outlineLevel="1" x14ac:dyDescent="0.25">
      <c r="A1361" s="785"/>
      <c r="B1361" s="1639"/>
      <c r="C1361" s="455"/>
      <c r="D1361" s="2806"/>
      <c r="E1361" s="2901"/>
      <c r="F1361" s="2798" t="str">
        <f t="shared" si="123"/>
        <v>GSHP - EER 23 - replace electric furnace / CAC ER1 - Heating</v>
      </c>
      <c r="G1361" s="2798"/>
      <c r="H1361" s="2798"/>
      <c r="I1361" s="1663"/>
      <c r="J1361" s="1663">
        <v>6</v>
      </c>
      <c r="K1361" s="1082"/>
      <c r="L1361" s="927"/>
      <c r="M1361" s="1639"/>
      <c r="N1361" s="1639"/>
      <c r="O1361" s="177"/>
      <c r="P1361" s="177"/>
      <c r="Q1361" s="177"/>
      <c r="R1361" s="177"/>
      <c r="S1361" s="177"/>
      <c r="T1361" s="177"/>
      <c r="U1361" s="177"/>
      <c r="V1361" s="2866"/>
      <c r="W1361" s="909">
        <v>6</v>
      </c>
      <c r="X1361" s="909">
        <v>6</v>
      </c>
      <c r="Y1361" s="909">
        <v>6</v>
      </c>
      <c r="Z1361" s="909"/>
      <c r="AA1361" s="909"/>
      <c r="AB1361" s="909"/>
      <c r="AC1361" s="909"/>
      <c r="AD1361" s="909"/>
      <c r="AE1361" s="909"/>
      <c r="AF1361" s="909"/>
      <c r="AG1361" s="909"/>
      <c r="BB1361" s="784"/>
      <c r="BC1361" s="796"/>
      <c r="BD1361" s="900"/>
      <c r="BE1361" s="797"/>
    </row>
    <row r="1362" spans="1:57" s="65" customFormat="1" ht="15" hidden="1" customHeight="1" outlineLevel="1" x14ac:dyDescent="0.25">
      <c r="A1362" s="785"/>
      <c r="B1362" s="1639"/>
      <c r="C1362" s="455"/>
      <c r="D1362" s="2806"/>
      <c r="E1362" s="2901"/>
      <c r="F1362" s="2798" t="str">
        <f t="shared" si="123"/>
        <v>GSHP - EER 23 - replace electric furnace / CAC ER2- Cooling</v>
      </c>
      <c r="G1362" s="2798"/>
      <c r="H1362" s="2798"/>
      <c r="I1362" s="1663"/>
      <c r="J1362" s="1663">
        <v>12</v>
      </c>
      <c r="K1362" s="1075"/>
      <c r="L1362" s="927"/>
      <c r="M1362" s="1639"/>
      <c r="N1362" s="1639"/>
      <c r="O1362" s="177"/>
      <c r="P1362" s="177"/>
      <c r="Q1362" s="177"/>
      <c r="R1362" s="177"/>
      <c r="S1362" s="177"/>
      <c r="T1362" s="177"/>
      <c r="U1362" s="177"/>
      <c r="V1362" s="2866"/>
      <c r="W1362" s="909">
        <v>12</v>
      </c>
      <c r="X1362" s="909">
        <v>12</v>
      </c>
      <c r="Y1362" s="909">
        <v>12</v>
      </c>
      <c r="Z1362" s="909"/>
      <c r="AA1362" s="909"/>
      <c r="AB1362" s="909"/>
      <c r="AC1362" s="909"/>
      <c r="AD1362" s="909"/>
      <c r="AE1362" s="909"/>
      <c r="AF1362" s="909"/>
      <c r="AG1362" s="909"/>
      <c r="BB1362" s="784"/>
      <c r="BC1362" s="796"/>
      <c r="BD1362" s="900"/>
      <c r="BE1362" s="797"/>
    </row>
    <row r="1363" spans="1:57" s="65" customFormat="1" ht="15" hidden="1" customHeight="1" outlineLevel="1" x14ac:dyDescent="0.25">
      <c r="A1363" s="785"/>
      <c r="B1363" s="1639"/>
      <c r="C1363" s="455"/>
      <c r="D1363" s="2806"/>
      <c r="E1363" s="2901"/>
      <c r="F1363" s="2798" t="str">
        <f t="shared" si="123"/>
        <v>GSHP - EER 23 - replace electric furnace / CAC ER2 - Heating</v>
      </c>
      <c r="G1363" s="2798"/>
      <c r="H1363" s="2798"/>
      <c r="I1363" s="1663"/>
      <c r="J1363" s="1663">
        <v>12</v>
      </c>
      <c r="K1363" s="1075"/>
      <c r="L1363" s="927"/>
      <c r="M1363" s="1639"/>
      <c r="N1363" s="1639"/>
      <c r="O1363" s="177"/>
      <c r="P1363" s="177"/>
      <c r="Q1363" s="177"/>
      <c r="R1363" s="177"/>
      <c r="S1363" s="177"/>
      <c r="T1363" s="177"/>
      <c r="U1363" s="177"/>
      <c r="V1363" s="2866"/>
      <c r="W1363" s="909">
        <v>12</v>
      </c>
      <c r="X1363" s="909">
        <v>12</v>
      </c>
      <c r="Y1363" s="909">
        <v>12</v>
      </c>
      <c r="Z1363" s="909"/>
      <c r="AA1363" s="909"/>
      <c r="AB1363" s="909"/>
      <c r="AC1363" s="909"/>
      <c r="AD1363" s="909"/>
      <c r="AE1363" s="909"/>
      <c r="AF1363" s="909"/>
      <c r="AG1363" s="909"/>
      <c r="BB1363" s="784"/>
      <c r="BC1363" s="796"/>
      <c r="BD1363" s="900"/>
      <c r="BE1363" s="797"/>
    </row>
    <row r="1364" spans="1:57" s="65" customFormat="1" ht="15" hidden="1" customHeight="1" outlineLevel="1" x14ac:dyDescent="0.25">
      <c r="A1364" s="785"/>
      <c r="B1364" s="1639"/>
      <c r="C1364" s="455"/>
      <c r="D1364" s="2806"/>
      <c r="E1364" s="2901"/>
      <c r="F1364" s="2798" t="str">
        <f t="shared" si="123"/>
        <v>GSHP EER 23 ER1 - Cooling</v>
      </c>
      <c r="G1364" s="2798"/>
      <c r="H1364" s="2798"/>
      <c r="I1364" s="1663"/>
      <c r="J1364" s="1663">
        <v>6</v>
      </c>
      <c r="K1364" s="1082"/>
      <c r="L1364" s="927"/>
      <c r="M1364" s="1639"/>
      <c r="N1364" s="1639"/>
      <c r="O1364" s="177"/>
      <c r="P1364" s="177"/>
      <c r="Q1364" s="177"/>
      <c r="R1364" s="177"/>
      <c r="S1364" s="177"/>
      <c r="T1364" s="177"/>
      <c r="U1364" s="177"/>
      <c r="V1364" s="2866"/>
      <c r="W1364" s="909">
        <v>6</v>
      </c>
      <c r="X1364" s="909">
        <v>6</v>
      </c>
      <c r="Y1364" s="909">
        <v>6</v>
      </c>
      <c r="Z1364" s="909"/>
      <c r="AA1364" s="909"/>
      <c r="AB1364" s="909"/>
      <c r="AC1364" s="909"/>
      <c r="AD1364" s="909"/>
      <c r="AE1364" s="909"/>
      <c r="AF1364" s="909"/>
      <c r="AG1364" s="909"/>
      <c r="BB1364" s="784"/>
      <c r="BC1364" s="796"/>
      <c r="BD1364" s="900"/>
      <c r="BE1364" s="797"/>
    </row>
    <row r="1365" spans="1:57" s="65" customFormat="1" ht="15" hidden="1" customHeight="1" outlineLevel="1" x14ac:dyDescent="0.25">
      <c r="A1365" s="785"/>
      <c r="B1365" s="1639"/>
      <c r="C1365" s="455"/>
      <c r="D1365" s="2806"/>
      <c r="E1365" s="2901"/>
      <c r="F1365" s="2798" t="str">
        <f t="shared" si="123"/>
        <v>GSHP EER 23 ER1 - Heatiing</v>
      </c>
      <c r="G1365" s="2798"/>
      <c r="H1365" s="2798"/>
      <c r="I1365" s="1663"/>
      <c r="J1365" s="1663">
        <v>6</v>
      </c>
      <c r="K1365" s="1082"/>
      <c r="L1365" s="927"/>
      <c r="M1365" s="1639"/>
      <c r="N1365" s="1639"/>
      <c r="O1365" s="177"/>
      <c r="P1365" s="177"/>
      <c r="Q1365" s="177"/>
      <c r="R1365" s="177"/>
      <c r="S1365" s="177"/>
      <c r="T1365" s="177"/>
      <c r="U1365" s="177"/>
      <c r="V1365" s="2866"/>
      <c r="W1365" s="909">
        <v>6</v>
      </c>
      <c r="X1365" s="909">
        <v>6</v>
      </c>
      <c r="Y1365" s="909">
        <v>6</v>
      </c>
      <c r="Z1365" s="909"/>
      <c r="AA1365" s="909"/>
      <c r="AB1365" s="909"/>
      <c r="AC1365" s="909"/>
      <c r="AD1365" s="909"/>
      <c r="AE1365" s="909"/>
      <c r="AF1365" s="909"/>
      <c r="AG1365" s="909"/>
      <c r="BB1365" s="784"/>
      <c r="BC1365" s="796"/>
      <c r="BD1365" s="900"/>
      <c r="BE1365" s="797"/>
    </row>
    <row r="1366" spans="1:57" s="65" customFormat="1" ht="15" hidden="1" customHeight="1" outlineLevel="1" x14ac:dyDescent="0.25">
      <c r="A1366" s="785"/>
      <c r="B1366" s="1639"/>
      <c r="C1366" s="455"/>
      <c r="D1366" s="2806"/>
      <c r="E1366" s="2901"/>
      <c r="F1366" s="2798" t="str">
        <f t="shared" si="123"/>
        <v>GSHP EER 23 ER2 - Cooling</v>
      </c>
      <c r="G1366" s="2798"/>
      <c r="H1366" s="2798"/>
      <c r="I1366" s="1663"/>
      <c r="J1366" s="1663">
        <v>12</v>
      </c>
      <c r="K1366" s="1075"/>
      <c r="L1366" s="927"/>
      <c r="M1366" s="1639"/>
      <c r="N1366" s="1639"/>
      <c r="O1366" s="177"/>
      <c r="P1366" s="177"/>
      <c r="Q1366" s="177"/>
      <c r="R1366" s="177"/>
      <c r="S1366" s="177"/>
      <c r="T1366" s="177"/>
      <c r="U1366" s="177"/>
      <c r="V1366" s="2866"/>
      <c r="W1366" s="909">
        <v>12</v>
      </c>
      <c r="X1366" s="909">
        <v>12</v>
      </c>
      <c r="Y1366" s="909">
        <v>12</v>
      </c>
      <c r="Z1366" s="909"/>
      <c r="AA1366" s="909"/>
      <c r="AB1366" s="909"/>
      <c r="AC1366" s="909"/>
      <c r="AD1366" s="909"/>
      <c r="AE1366" s="909"/>
      <c r="AF1366" s="909"/>
      <c r="AG1366" s="909"/>
      <c r="BB1366" s="784"/>
      <c r="BC1366" s="796"/>
      <c r="BD1366" s="900"/>
      <c r="BE1366" s="797"/>
    </row>
    <row r="1367" spans="1:57" s="65" customFormat="1" ht="15" hidden="1" customHeight="1" outlineLevel="1" x14ac:dyDescent="0.25">
      <c r="A1367" s="785"/>
      <c r="B1367" s="1639"/>
      <c r="C1367" s="455"/>
      <c r="D1367" s="2806"/>
      <c r="E1367" s="2901"/>
      <c r="F1367" s="2884" t="str">
        <f t="shared" si="123"/>
        <v>GSHP EER 23 ER2 - Heating</v>
      </c>
      <c r="G1367" s="2885"/>
      <c r="H1367" s="2886"/>
      <c r="I1367" s="1663"/>
      <c r="J1367" s="1663">
        <v>12</v>
      </c>
      <c r="K1367" s="1082"/>
      <c r="L1367" s="927"/>
      <c r="M1367" s="1639"/>
      <c r="N1367" s="1639"/>
      <c r="O1367" s="177"/>
      <c r="P1367" s="177"/>
      <c r="Q1367" s="177"/>
      <c r="R1367" s="177"/>
      <c r="S1367" s="177"/>
      <c r="T1367" s="177"/>
      <c r="U1367" s="177"/>
      <c r="V1367" s="2866"/>
      <c r="W1367" s="909">
        <v>12</v>
      </c>
      <c r="X1367" s="909">
        <v>12</v>
      </c>
      <c r="Y1367" s="909">
        <v>12</v>
      </c>
      <c r="Z1367" s="909"/>
      <c r="AA1367" s="909"/>
      <c r="AB1367" s="909"/>
      <c r="AC1367" s="909"/>
      <c r="AD1367" s="909"/>
      <c r="AE1367" s="909"/>
      <c r="AF1367" s="909"/>
      <c r="AG1367" s="909"/>
      <c r="BB1367" s="784"/>
      <c r="BC1367" s="796"/>
      <c r="BD1367" s="900"/>
      <c r="BE1367" s="797"/>
    </row>
    <row r="1368" spans="1:57" s="65" customFormat="1" ht="15" hidden="1" customHeight="1" outlineLevel="1" x14ac:dyDescent="0.25">
      <c r="A1368" s="785"/>
      <c r="B1368" s="1639"/>
      <c r="C1368" s="455"/>
      <c r="D1368" s="2806"/>
      <c r="E1368" s="2901"/>
      <c r="F1368" s="2884" t="str">
        <f t="shared" si="123"/>
        <v>GSHP EER 23 Replace at Fail GSHP</v>
      </c>
      <c r="G1368" s="2885"/>
      <c r="H1368" s="2886"/>
      <c r="I1368" s="1663"/>
      <c r="J1368" s="1663">
        <v>18</v>
      </c>
      <c r="K1368" s="1082"/>
      <c r="L1368" s="927"/>
      <c r="M1368" s="1639"/>
      <c r="N1368" s="1639"/>
      <c r="O1368" s="177"/>
      <c r="P1368" s="177"/>
      <c r="Q1368" s="177"/>
      <c r="R1368" s="177"/>
      <c r="S1368" s="177"/>
      <c r="T1368" s="177"/>
      <c r="U1368" s="177"/>
      <c r="V1368" s="2866"/>
      <c r="W1368" s="909">
        <v>18</v>
      </c>
      <c r="X1368" s="909">
        <v>18</v>
      </c>
      <c r="Y1368" s="909">
        <v>18</v>
      </c>
      <c r="Z1368" s="909"/>
      <c r="AA1368" s="909"/>
      <c r="AB1368" s="909"/>
      <c r="AC1368" s="909"/>
      <c r="AD1368" s="909"/>
      <c r="AE1368" s="909"/>
      <c r="AF1368" s="909"/>
      <c r="AG1368" s="909"/>
      <c r="BB1368" s="784"/>
      <c r="BC1368" s="796"/>
      <c r="BD1368" s="900"/>
      <c r="BE1368" s="797"/>
    </row>
    <row r="1369" spans="1:57" s="65" customFormat="1" ht="15" hidden="1" customHeight="1" outlineLevel="1" thickBot="1" x14ac:dyDescent="0.3">
      <c r="A1369" s="785"/>
      <c r="B1369" s="1639"/>
      <c r="C1369" s="455"/>
      <c r="D1369" s="2902"/>
      <c r="E1369" s="2901"/>
      <c r="F1369" s="2884" t="str">
        <f t="shared" si="123"/>
        <v>GSHP EER 23 Replace at Fail GSHP</v>
      </c>
      <c r="G1369" s="2885"/>
      <c r="H1369" s="2886"/>
      <c r="I1369" s="1663"/>
      <c r="J1369" s="1663">
        <v>18</v>
      </c>
      <c r="K1369" s="1082"/>
      <c r="L1369" s="927"/>
      <c r="M1369" s="1639"/>
      <c r="N1369" s="1639"/>
      <c r="O1369" s="177"/>
      <c r="P1369" s="177"/>
      <c r="Q1369" s="177"/>
      <c r="R1369" s="177"/>
      <c r="S1369" s="177"/>
      <c r="T1369" s="177"/>
      <c r="U1369" s="177"/>
      <c r="V1369" s="2903"/>
      <c r="W1369" s="909">
        <v>18</v>
      </c>
      <c r="X1369" s="909">
        <v>18</v>
      </c>
      <c r="Y1369" s="909">
        <v>18</v>
      </c>
      <c r="Z1369" s="909"/>
      <c r="AA1369" s="909"/>
      <c r="AB1369" s="909"/>
      <c r="AC1369" s="909"/>
      <c r="AD1369" s="909"/>
      <c r="AE1369" s="909"/>
      <c r="AF1369" s="909"/>
      <c r="AG1369" s="909"/>
      <c r="BB1369" s="784"/>
      <c r="BC1369" s="796"/>
      <c r="BD1369" s="900"/>
      <c r="BE1369" s="797"/>
    </row>
    <row r="1370" spans="1:57" s="65" customFormat="1" ht="15" hidden="1" customHeight="1" outlineLevel="1" x14ac:dyDescent="0.25">
      <c r="A1370" s="785"/>
      <c r="B1370" s="1639"/>
      <c r="C1370" s="455"/>
      <c r="D1370" s="2805" t="str">
        <f>K1284</f>
        <v>Inc. Cost</v>
      </c>
      <c r="E1370" s="2855" t="e">
        <f>#REF!</f>
        <v>#REF!</v>
      </c>
      <c r="F1370" s="2878" t="str">
        <f t="shared" ref="F1370:F1381" si="124">E1285</f>
        <v>GSHP - EER 23 - replace electric furnace / CAC - Cooling</v>
      </c>
      <c r="G1370" s="2879"/>
      <c r="H1370" s="2880"/>
      <c r="I1370" s="1667"/>
      <c r="J1370" s="1062">
        <v>4717</v>
      </c>
      <c r="K1370" s="1080"/>
      <c r="L1370" s="1010"/>
      <c r="M1370" s="1639"/>
      <c r="N1370" s="1639"/>
      <c r="O1370" s="177"/>
      <c r="P1370" s="177"/>
      <c r="Q1370" s="177"/>
      <c r="R1370" s="177"/>
      <c r="S1370" s="177"/>
      <c r="T1370" s="177"/>
      <c r="U1370" s="177"/>
      <c r="V1370" s="2867" t="str">
        <f>D1370</f>
        <v>Inc. Cost</v>
      </c>
      <c r="W1370" s="1062">
        <v>4717</v>
      </c>
      <c r="X1370" s="1062">
        <v>4717</v>
      </c>
      <c r="Y1370" s="1062">
        <v>4717</v>
      </c>
      <c r="Z1370" s="1062"/>
      <c r="AA1370" s="1062"/>
      <c r="AB1370" s="1062"/>
      <c r="AC1370" s="1062"/>
      <c r="AD1370" s="1062"/>
      <c r="AE1370" s="1062"/>
      <c r="AF1370" s="1062"/>
      <c r="AG1370" s="1062"/>
      <c r="BB1370" s="784"/>
      <c r="BC1370" s="796"/>
      <c r="BD1370" s="900"/>
      <c r="BE1370" s="797"/>
    </row>
    <row r="1371" spans="1:57" s="65" customFormat="1" ht="15" hidden="1" customHeight="1" outlineLevel="1" x14ac:dyDescent="0.25">
      <c r="A1371" s="785"/>
      <c r="B1371" s="1639"/>
      <c r="C1371" s="455"/>
      <c r="D1371" s="2806"/>
      <c r="E1371" s="2856"/>
      <c r="F1371" s="2884" t="str">
        <f t="shared" si="124"/>
        <v>GSHP - EER 23 - replace electric furnace / CAC - Heating</v>
      </c>
      <c r="G1371" s="2885"/>
      <c r="H1371" s="2886"/>
      <c r="I1371" s="1663"/>
      <c r="J1371" s="1065"/>
      <c r="K1371" s="1075"/>
      <c r="L1371" s="927"/>
      <c r="M1371" s="1639"/>
      <c r="N1371" s="1639"/>
      <c r="O1371" s="177"/>
      <c r="P1371" s="177"/>
      <c r="Q1371" s="177"/>
      <c r="R1371" s="177"/>
      <c r="S1371" s="177"/>
      <c r="T1371" s="177"/>
      <c r="U1371" s="177"/>
      <c r="V1371" s="2866"/>
      <c r="W1371" s="1065"/>
      <c r="X1371" s="1065"/>
      <c r="Y1371" s="1065"/>
      <c r="Z1371" s="1065"/>
      <c r="AA1371" s="1065"/>
      <c r="AB1371" s="1065"/>
      <c r="AC1371" s="1065"/>
      <c r="AD1371" s="1065"/>
      <c r="AE1371" s="1065"/>
      <c r="AF1371" s="1065"/>
      <c r="AG1371" s="1065"/>
      <c r="BB1371" s="784"/>
      <c r="BC1371" s="796"/>
      <c r="BD1371" s="900"/>
      <c r="BE1371" s="797"/>
    </row>
    <row r="1372" spans="1:57" s="65" customFormat="1" ht="15" hidden="1" customHeight="1" outlineLevel="1" x14ac:dyDescent="0.25">
      <c r="A1372" s="785"/>
      <c r="B1372" s="1639"/>
      <c r="C1372" s="455"/>
      <c r="D1372" s="2806"/>
      <c r="E1372" s="2856"/>
      <c r="F1372" s="2798" t="str">
        <f t="shared" si="124"/>
        <v>GSHP - EER 23 - replace electric furnace / CAC ER1- Cooling</v>
      </c>
      <c r="G1372" s="2798"/>
      <c r="H1372" s="2798"/>
      <c r="I1372" s="1663"/>
      <c r="J1372" s="1065">
        <v>5250</v>
      </c>
      <c r="K1372" s="1082"/>
      <c r="L1372" s="927"/>
      <c r="M1372" s="1639"/>
      <c r="N1372" s="1639"/>
      <c r="O1372" s="177"/>
      <c r="P1372" s="177"/>
      <c r="Q1372" s="177"/>
      <c r="R1372" s="177"/>
      <c r="S1372" s="177"/>
      <c r="T1372" s="177"/>
      <c r="U1372" s="177"/>
      <c r="V1372" s="2866"/>
      <c r="W1372" s="1065">
        <v>5250</v>
      </c>
      <c r="X1372" s="1065">
        <v>5250</v>
      </c>
      <c r="Y1372" s="1065">
        <v>5250</v>
      </c>
      <c r="Z1372" s="1065"/>
      <c r="AA1372" s="1065"/>
      <c r="AB1372" s="1065"/>
      <c r="AC1372" s="1065"/>
      <c r="AD1372" s="1065"/>
      <c r="AE1372" s="1065"/>
      <c r="AF1372" s="1065"/>
      <c r="AG1372" s="1065"/>
      <c r="BB1372" s="784"/>
      <c r="BC1372" s="796"/>
      <c r="BD1372" s="900"/>
      <c r="BE1372" s="797"/>
    </row>
    <row r="1373" spans="1:57" s="65" customFormat="1" ht="15" hidden="1" customHeight="1" outlineLevel="1" x14ac:dyDescent="0.25">
      <c r="A1373" s="785"/>
      <c r="B1373" s="1639"/>
      <c r="C1373" s="455"/>
      <c r="D1373" s="2806"/>
      <c r="E1373" s="2856"/>
      <c r="F1373" s="2798" t="str">
        <f t="shared" si="124"/>
        <v>GSHP - EER 23 - replace electric furnace / CAC ER1 - Heating</v>
      </c>
      <c r="G1373" s="2798"/>
      <c r="H1373" s="2798"/>
      <c r="I1373" s="1663"/>
      <c r="J1373" s="1065"/>
      <c r="K1373" s="1082"/>
      <c r="L1373" s="927"/>
      <c r="M1373" s="1639"/>
      <c r="N1373" s="1639"/>
      <c r="O1373" s="177"/>
      <c r="P1373" s="177"/>
      <c r="Q1373" s="177"/>
      <c r="R1373" s="177"/>
      <c r="S1373" s="177"/>
      <c r="T1373" s="177"/>
      <c r="U1373" s="177"/>
      <c r="V1373" s="2866"/>
      <c r="W1373" s="1065"/>
      <c r="X1373" s="1065"/>
      <c r="Y1373" s="1065"/>
      <c r="Z1373" s="1065"/>
      <c r="AA1373" s="1065"/>
      <c r="AB1373" s="1065"/>
      <c r="AC1373" s="1065"/>
      <c r="AD1373" s="1065"/>
      <c r="AE1373" s="1065"/>
      <c r="AF1373" s="1065"/>
      <c r="AG1373" s="1065"/>
      <c r="BB1373" s="784"/>
      <c r="BC1373" s="796"/>
      <c r="BD1373" s="900"/>
      <c r="BE1373" s="797"/>
    </row>
    <row r="1374" spans="1:57" s="65" customFormat="1" ht="15" hidden="1" customHeight="1" outlineLevel="1" x14ac:dyDescent="0.25">
      <c r="A1374" s="785"/>
      <c r="B1374" s="1639"/>
      <c r="C1374" s="455"/>
      <c r="D1374" s="2806"/>
      <c r="E1374" s="2856"/>
      <c r="F1374" s="2798" t="str">
        <f t="shared" si="124"/>
        <v>GSHP - EER 23 - replace electric furnace / CAC ER2- Cooling</v>
      </c>
      <c r="G1374" s="2798"/>
      <c r="H1374" s="2798"/>
      <c r="I1374" s="1663"/>
      <c r="J1374" s="1065"/>
      <c r="K1374" s="1075"/>
      <c r="L1374" s="927"/>
      <c r="M1374" s="1639"/>
      <c r="N1374" s="1639"/>
      <c r="O1374" s="177"/>
      <c r="P1374" s="177"/>
      <c r="Q1374" s="177"/>
      <c r="R1374" s="177"/>
      <c r="S1374" s="177"/>
      <c r="T1374" s="177"/>
      <c r="U1374" s="177"/>
      <c r="V1374" s="2866"/>
      <c r="W1374" s="1065"/>
      <c r="X1374" s="1065"/>
      <c r="Y1374" s="1065"/>
      <c r="Z1374" s="1065"/>
      <c r="AA1374" s="1065"/>
      <c r="AB1374" s="1065"/>
      <c r="AC1374" s="1065"/>
      <c r="AD1374" s="1065"/>
      <c r="AE1374" s="1065"/>
      <c r="AF1374" s="1065"/>
      <c r="AG1374" s="1065"/>
      <c r="BB1374" s="784"/>
      <c r="BC1374" s="796"/>
      <c r="BD1374" s="900"/>
      <c r="BE1374" s="797"/>
    </row>
    <row r="1375" spans="1:57" s="65" customFormat="1" ht="15" hidden="1" customHeight="1" outlineLevel="1" x14ac:dyDescent="0.25">
      <c r="A1375" s="785"/>
      <c r="B1375" s="1639"/>
      <c r="C1375" s="455"/>
      <c r="D1375" s="2806"/>
      <c r="E1375" s="2856"/>
      <c r="F1375" s="2798" t="str">
        <f t="shared" si="124"/>
        <v>GSHP - EER 23 - replace electric furnace / CAC ER2 - Heating</v>
      </c>
      <c r="G1375" s="2798"/>
      <c r="H1375" s="2798"/>
      <c r="I1375" s="1663"/>
      <c r="J1375" s="1065"/>
      <c r="K1375" s="1075"/>
      <c r="L1375" s="927"/>
      <c r="M1375" s="1639"/>
      <c r="N1375" s="1639"/>
      <c r="O1375" s="177"/>
      <c r="P1375" s="177"/>
      <c r="Q1375" s="177"/>
      <c r="R1375" s="177"/>
      <c r="S1375" s="177"/>
      <c r="T1375" s="177"/>
      <c r="U1375" s="177"/>
      <c r="V1375" s="2866"/>
      <c r="W1375" s="1065"/>
      <c r="X1375" s="1065"/>
      <c r="Y1375" s="1065"/>
      <c r="Z1375" s="1065"/>
      <c r="AA1375" s="1065"/>
      <c r="AB1375" s="1065"/>
      <c r="AC1375" s="1065"/>
      <c r="AD1375" s="1065"/>
      <c r="AE1375" s="1065"/>
      <c r="AF1375" s="1065"/>
      <c r="AG1375" s="1065"/>
      <c r="BB1375" s="784"/>
      <c r="BC1375" s="796"/>
      <c r="BD1375" s="900"/>
      <c r="BE1375" s="797"/>
    </row>
    <row r="1376" spans="1:57" s="65" customFormat="1" ht="15" hidden="1" customHeight="1" outlineLevel="1" x14ac:dyDescent="0.25">
      <c r="A1376" s="785"/>
      <c r="B1376" s="1639"/>
      <c r="C1376" s="455"/>
      <c r="D1376" s="2806"/>
      <c r="E1376" s="2856"/>
      <c r="F1376" s="2798" t="str">
        <f t="shared" si="124"/>
        <v>GSHP EER 23 ER1 - Cooling</v>
      </c>
      <c r="G1376" s="2798"/>
      <c r="H1376" s="2798"/>
      <c r="I1376" s="1663"/>
      <c r="J1376" s="1065">
        <v>4859</v>
      </c>
      <c r="K1376" s="1082"/>
      <c r="L1376" s="927"/>
      <c r="M1376" s="1639"/>
      <c r="N1376" s="1639"/>
      <c r="O1376" s="177"/>
      <c r="P1376" s="177"/>
      <c r="Q1376" s="177"/>
      <c r="R1376" s="177"/>
      <c r="S1376" s="177"/>
      <c r="T1376" s="177"/>
      <c r="U1376" s="177"/>
      <c r="V1376" s="2866"/>
      <c r="W1376" s="1065">
        <v>4859</v>
      </c>
      <c r="X1376" s="1065">
        <v>4859</v>
      </c>
      <c r="Y1376" s="1065">
        <v>4859</v>
      </c>
      <c r="Z1376" s="1065"/>
      <c r="AA1376" s="1065"/>
      <c r="AB1376" s="1065"/>
      <c r="AC1376" s="1065"/>
      <c r="AD1376" s="1065"/>
      <c r="AE1376" s="1065"/>
      <c r="AF1376" s="1065"/>
      <c r="AG1376" s="1065"/>
      <c r="BB1376" s="784"/>
      <c r="BC1376" s="796"/>
      <c r="BD1376" s="900"/>
      <c r="BE1376" s="797"/>
    </row>
    <row r="1377" spans="1:61" s="65" customFormat="1" ht="15" hidden="1" customHeight="1" outlineLevel="1" x14ac:dyDescent="0.25">
      <c r="A1377" s="785"/>
      <c r="B1377" s="1639"/>
      <c r="C1377" s="455"/>
      <c r="D1377" s="2806"/>
      <c r="E1377" s="2856"/>
      <c r="F1377" s="2798" t="str">
        <f t="shared" si="124"/>
        <v>GSHP EER 23 ER1 - Heatiing</v>
      </c>
      <c r="G1377" s="2798"/>
      <c r="H1377" s="2798"/>
      <c r="I1377" s="1663"/>
      <c r="J1377" s="1065"/>
      <c r="K1377" s="1082"/>
      <c r="L1377" s="927"/>
      <c r="M1377" s="1639"/>
      <c r="N1377" s="1639"/>
      <c r="O1377" s="177"/>
      <c r="P1377" s="177"/>
      <c r="Q1377" s="177"/>
      <c r="R1377" s="177"/>
      <c r="S1377" s="177"/>
      <c r="T1377" s="177"/>
      <c r="U1377" s="177"/>
      <c r="V1377" s="2866"/>
      <c r="W1377" s="1065"/>
      <c r="X1377" s="1065"/>
      <c r="Y1377" s="1065"/>
      <c r="Z1377" s="1065"/>
      <c r="AA1377" s="1065"/>
      <c r="AB1377" s="1065"/>
      <c r="AC1377" s="1065"/>
      <c r="AD1377" s="1065"/>
      <c r="AE1377" s="1065"/>
      <c r="AF1377" s="1065"/>
      <c r="AG1377" s="1065"/>
      <c r="BB1377" s="784"/>
      <c r="BC1377" s="796"/>
      <c r="BD1377" s="900"/>
      <c r="BE1377" s="797"/>
    </row>
    <row r="1378" spans="1:61" s="65" customFormat="1" ht="15" hidden="1" customHeight="1" outlineLevel="1" x14ac:dyDescent="0.25">
      <c r="A1378" s="785"/>
      <c r="B1378" s="1639"/>
      <c r="C1378" s="455"/>
      <c r="D1378" s="2806"/>
      <c r="E1378" s="2856"/>
      <c r="F1378" s="2798" t="str">
        <f t="shared" si="124"/>
        <v>GSHP EER 23 ER2 - Cooling</v>
      </c>
      <c r="G1378" s="2798"/>
      <c r="H1378" s="2798"/>
      <c r="I1378" s="1663"/>
      <c r="J1378" s="1065"/>
      <c r="K1378" s="1075"/>
      <c r="L1378" s="927"/>
      <c r="M1378" s="1639"/>
      <c r="N1378" s="1639"/>
      <c r="O1378" s="177"/>
      <c r="P1378" s="177"/>
      <c r="Q1378" s="177"/>
      <c r="R1378" s="177"/>
      <c r="S1378" s="177"/>
      <c r="T1378" s="177"/>
      <c r="U1378" s="177"/>
      <c r="V1378" s="2866"/>
      <c r="W1378" s="1065"/>
      <c r="X1378" s="1065"/>
      <c r="Y1378" s="1065"/>
      <c r="Z1378" s="1065"/>
      <c r="AA1378" s="1065"/>
      <c r="AB1378" s="1065"/>
      <c r="AC1378" s="1065"/>
      <c r="AD1378" s="1065"/>
      <c r="AE1378" s="1065"/>
      <c r="AF1378" s="1065"/>
      <c r="AG1378" s="1065"/>
      <c r="BB1378" s="784"/>
      <c r="BC1378" s="796"/>
      <c r="BD1378" s="900"/>
      <c r="BE1378" s="797"/>
    </row>
    <row r="1379" spans="1:61" s="65" customFormat="1" ht="15" hidden="1" customHeight="1" outlineLevel="1" x14ac:dyDescent="0.25">
      <c r="A1379" s="785"/>
      <c r="B1379" s="1639"/>
      <c r="C1379" s="455"/>
      <c r="D1379" s="2806"/>
      <c r="E1379" s="2856"/>
      <c r="F1379" s="2884" t="str">
        <f t="shared" si="124"/>
        <v>GSHP EER 23 ER2 - Heating</v>
      </c>
      <c r="G1379" s="2885"/>
      <c r="H1379" s="2886"/>
      <c r="I1379" s="1663"/>
      <c r="J1379" s="1065"/>
      <c r="K1379" s="1082"/>
      <c r="L1379" s="927"/>
      <c r="M1379" s="1639"/>
      <c r="N1379" s="1639"/>
      <c r="O1379" s="177"/>
      <c r="P1379" s="177"/>
      <c r="Q1379" s="177"/>
      <c r="R1379" s="177"/>
      <c r="S1379" s="177"/>
      <c r="T1379" s="177"/>
      <c r="U1379" s="177"/>
      <c r="V1379" s="2866"/>
      <c r="W1379" s="1065"/>
      <c r="X1379" s="1065"/>
      <c r="Y1379" s="1065"/>
      <c r="Z1379" s="1065"/>
      <c r="AA1379" s="1065"/>
      <c r="AB1379" s="1065"/>
      <c r="AC1379" s="1065"/>
      <c r="AD1379" s="1065"/>
      <c r="AE1379" s="1065"/>
      <c r="AF1379" s="1065"/>
      <c r="AG1379" s="1065"/>
      <c r="BB1379" s="784"/>
      <c r="BC1379" s="796"/>
      <c r="BD1379" s="900"/>
      <c r="BE1379" s="797"/>
    </row>
    <row r="1380" spans="1:61" s="65" customFormat="1" ht="15" hidden="1" customHeight="1" outlineLevel="1" x14ac:dyDescent="0.25">
      <c r="A1380" s="785"/>
      <c r="B1380" s="1639"/>
      <c r="C1380" s="455"/>
      <c r="D1380" s="2806"/>
      <c r="E1380" s="2856"/>
      <c r="F1380" s="2884" t="str">
        <f t="shared" si="124"/>
        <v>GSHP EER 23 Replace at Fail GSHP</v>
      </c>
      <c r="G1380" s="2885"/>
      <c r="H1380" s="2886"/>
      <c r="I1380" s="1663"/>
      <c r="J1380" s="1065">
        <v>3200</v>
      </c>
      <c r="K1380" s="1082"/>
      <c r="L1380" s="927"/>
      <c r="M1380" s="1639"/>
      <c r="N1380" s="1639"/>
      <c r="O1380" s="177"/>
      <c r="P1380" s="177"/>
      <c r="Q1380" s="177"/>
      <c r="R1380" s="177"/>
      <c r="S1380" s="177"/>
      <c r="T1380" s="177"/>
      <c r="U1380" s="177"/>
      <c r="V1380" s="2866"/>
      <c r="W1380" s="1065">
        <v>3200</v>
      </c>
      <c r="X1380" s="1065">
        <v>3200</v>
      </c>
      <c r="Y1380" s="1065">
        <v>3200</v>
      </c>
      <c r="Z1380" s="1065"/>
      <c r="AA1380" s="1065"/>
      <c r="AB1380" s="1065"/>
      <c r="AC1380" s="1065"/>
      <c r="AD1380" s="1065"/>
      <c r="AE1380" s="1065"/>
      <c r="AF1380" s="1065"/>
      <c r="AG1380" s="1065"/>
      <c r="BB1380" s="784"/>
      <c r="BC1380" s="796"/>
      <c r="BD1380" s="900"/>
      <c r="BE1380" s="797"/>
    </row>
    <row r="1381" spans="1:61" s="65" customFormat="1" ht="15" hidden="1" customHeight="1" outlineLevel="1" thickBot="1" x14ac:dyDescent="0.3">
      <c r="A1381" s="785"/>
      <c r="B1381" s="1639"/>
      <c r="C1381" s="455"/>
      <c r="D1381" s="2824"/>
      <c r="E1381" s="2890"/>
      <c r="F1381" s="2887" t="str">
        <f t="shared" si="124"/>
        <v>GSHP EER 23 Replace at Fail GSHP</v>
      </c>
      <c r="G1381" s="2888"/>
      <c r="H1381" s="2889"/>
      <c r="I1381" s="945"/>
      <c r="J1381" s="1083"/>
      <c r="K1381" s="1084"/>
      <c r="L1381" s="1015"/>
      <c r="M1381" s="1639"/>
      <c r="N1381" s="1639"/>
      <c r="O1381" s="177"/>
      <c r="P1381" s="177"/>
      <c r="Q1381" s="177"/>
      <c r="R1381" s="177"/>
      <c r="S1381" s="177"/>
      <c r="T1381" s="177"/>
      <c r="U1381" s="177"/>
      <c r="V1381" s="2883"/>
      <c r="W1381" s="1083"/>
      <c r="X1381" s="1083"/>
      <c r="Y1381" s="1083"/>
      <c r="Z1381" s="1083"/>
      <c r="AA1381" s="1083"/>
      <c r="AB1381" s="1083"/>
      <c r="AC1381" s="1083"/>
      <c r="AD1381" s="1083"/>
      <c r="AE1381" s="1083"/>
      <c r="AF1381" s="1083"/>
      <c r="AG1381" s="1083"/>
      <c r="BB1381" s="784"/>
      <c r="BC1381" s="796"/>
      <c r="BD1381" s="900"/>
      <c r="BE1381" s="797"/>
    </row>
    <row r="1382" spans="1:61" collapsed="1" x14ac:dyDescent="0.25">
      <c r="B1382" s="493"/>
      <c r="C1382" s="2084"/>
      <c r="D1382" s="653"/>
      <c r="E1382" s="653"/>
      <c r="F1382" s="2085"/>
      <c r="G1382" s="653"/>
      <c r="H1382" s="2085"/>
      <c r="I1382" s="1639"/>
      <c r="J1382" s="2085"/>
      <c r="K1382" s="2085"/>
      <c r="L1382" s="2085"/>
      <c r="M1382" s="911"/>
      <c r="P1382" s="911"/>
      <c r="Q1382" s="456"/>
      <c r="V1382" s="65"/>
      <c r="W1382" s="65"/>
      <c r="X1382" s="65"/>
      <c r="BC1382" s="796"/>
    </row>
    <row r="1383" spans="1:61" x14ac:dyDescent="0.25">
      <c r="E1383" s="653"/>
      <c r="F1383" s="2085"/>
      <c r="G1383" s="653"/>
      <c r="H1383" s="2085"/>
      <c r="I1383" s="2085"/>
      <c r="J1383" s="2085"/>
      <c r="K1383" s="2085"/>
      <c r="L1383" s="2085"/>
      <c r="M1383" s="2085"/>
      <c r="N1383" s="2085"/>
      <c r="O1383" s="1068"/>
      <c r="P1383" s="1068"/>
      <c r="Q1383" s="456"/>
      <c r="V1383" s="65"/>
      <c r="W1383" s="65"/>
      <c r="X1383" s="65"/>
    </row>
    <row r="1384" spans="1:61" s="65" customFormat="1" x14ac:dyDescent="0.25">
      <c r="A1384" s="785"/>
      <c r="B1384" s="1636" t="s">
        <v>1423</v>
      </c>
      <c r="C1384" s="987"/>
      <c r="D1384" s="1637"/>
      <c r="E1384" s="1637"/>
      <c r="F1384" s="1637"/>
      <c r="G1384" s="1637"/>
      <c r="H1384" s="1637"/>
      <c r="I1384" s="1637"/>
      <c r="J1384" s="1637"/>
      <c r="K1384" s="1637"/>
      <c r="L1384" s="1637"/>
      <c r="M1384" s="1637"/>
      <c r="N1384" s="1637"/>
      <c r="O1384" s="1637"/>
      <c r="P1384" s="1637"/>
      <c r="Q1384" s="1671"/>
      <c r="R1384" s="177"/>
      <c r="S1384" s="177"/>
      <c r="T1384" s="177"/>
      <c r="U1384" s="177"/>
      <c r="V1384" s="2639" t="str">
        <f>B1384</f>
        <v>Air Source Heat Pumps</v>
      </c>
      <c r="W1384" s="2640"/>
      <c r="X1384" s="2640"/>
      <c r="Y1384" s="2640"/>
      <c r="Z1384" s="2640"/>
      <c r="AA1384" s="2640"/>
      <c r="AB1384" s="2640"/>
      <c r="AC1384" s="2615"/>
      <c r="AD1384" s="2615"/>
      <c r="AE1384" s="2615"/>
      <c r="AF1384" s="2615"/>
      <c r="AG1384" s="2615"/>
      <c r="AH1384" s="2616"/>
      <c r="BB1384" s="784"/>
      <c r="BC1384" s="785"/>
      <c r="BD1384" s="900"/>
    </row>
    <row r="1385" spans="1:61" s="65" customFormat="1" x14ac:dyDescent="0.25">
      <c r="A1385" s="785"/>
      <c r="B1385" s="177"/>
      <c r="C1385" s="455"/>
      <c r="D1385" s="456"/>
      <c r="E1385" s="456"/>
      <c r="F1385" s="177"/>
      <c r="G1385" s="456"/>
      <c r="H1385" s="455"/>
      <c r="I1385" s="455"/>
      <c r="J1385" s="455"/>
      <c r="K1385" s="455"/>
      <c r="L1385" s="455"/>
      <c r="M1385" s="455"/>
      <c r="N1385" s="177"/>
      <c r="O1385" s="177"/>
      <c r="P1385" s="177"/>
      <c r="Q1385" s="456"/>
      <c r="R1385" s="177"/>
      <c r="S1385" s="177"/>
      <c r="T1385" s="177"/>
      <c r="U1385" s="177"/>
      <c r="BB1385" s="784"/>
      <c r="BC1385" s="785"/>
      <c r="BD1385" s="900"/>
    </row>
    <row r="1386" spans="1:61" s="65" customFormat="1" x14ac:dyDescent="0.25">
      <c r="A1386" s="785"/>
      <c r="B1386" s="177"/>
      <c r="C1386" s="455"/>
      <c r="D1386" s="456" t="s">
        <v>1209</v>
      </c>
      <c r="E1386" s="456"/>
      <c r="F1386" s="177"/>
      <c r="G1386" s="456"/>
      <c r="H1386" s="177"/>
      <c r="I1386" s="455"/>
      <c r="J1386" s="455"/>
      <c r="K1386" s="455"/>
      <c r="L1386" s="455"/>
      <c r="M1386" s="455"/>
      <c r="N1386" s="177"/>
      <c r="O1386" s="177"/>
      <c r="P1386" s="177"/>
      <c r="Q1386" s="456"/>
      <c r="R1386" s="177"/>
      <c r="S1386" s="177"/>
      <c r="T1386" s="177"/>
      <c r="U1386" s="177"/>
      <c r="BB1386" s="784"/>
      <c r="BC1386" s="785"/>
      <c r="BD1386" s="900"/>
      <c r="BG1386" s="919"/>
      <c r="BH1386" s="919"/>
      <c r="BI1386" s="919"/>
    </row>
    <row r="1387" spans="1:61" s="65" customFormat="1" ht="30" x14ac:dyDescent="0.25">
      <c r="A1387" s="785"/>
      <c r="B1387" s="177"/>
      <c r="C1387" s="1641" t="s">
        <v>17</v>
      </c>
      <c r="D1387" s="1641" t="s">
        <v>662</v>
      </c>
      <c r="E1387" s="1641" t="s">
        <v>19</v>
      </c>
      <c r="F1387" s="1641" t="s">
        <v>20</v>
      </c>
      <c r="G1387" s="1641" t="s">
        <v>21</v>
      </c>
      <c r="H1387" s="1641" t="s">
        <v>22</v>
      </c>
      <c r="I1387" s="1641" t="s">
        <v>23</v>
      </c>
      <c r="J1387" s="1646" t="s">
        <v>24</v>
      </c>
      <c r="K1387" s="1641" t="s">
        <v>25</v>
      </c>
      <c r="L1387" s="1641" t="s">
        <v>1210</v>
      </c>
      <c r="M1387" s="177"/>
      <c r="N1387" s="2086"/>
      <c r="O1387" s="177"/>
      <c r="P1387" s="177"/>
      <c r="Q1387" s="177"/>
      <c r="R1387" s="177"/>
      <c r="S1387" s="177"/>
      <c r="T1387" s="2087"/>
      <c r="U1387" s="177"/>
      <c r="V1387" s="55"/>
      <c r="W1387" s="56"/>
      <c r="X1387" s="56"/>
      <c r="Y1387" s="56"/>
      <c r="Z1387" s="56"/>
      <c r="AA1387" s="56"/>
      <c r="AB1387" s="56"/>
      <c r="AC1387" s="56"/>
      <c r="AD1387" s="56"/>
      <c r="AE1387" s="56"/>
      <c r="AF1387" s="56"/>
      <c r="AG1387" s="56"/>
      <c r="BB1387" s="103" t="str">
        <f>$BB$6</f>
        <v>TRC (2020)</v>
      </c>
      <c r="BC1387" s="103" t="str">
        <f>$BC$6</f>
        <v>Benefit Lookup</v>
      </c>
      <c r="BD1387" s="883" t="str">
        <f>$BD$6</f>
        <v>Benefits (2019 $)</v>
      </c>
      <c r="BE1387" s="334" t="str">
        <f>$BE$6</f>
        <v>Incremental Cost (2019 $)</v>
      </c>
      <c r="BG1387" s="919"/>
      <c r="BH1387" s="443"/>
      <c r="BI1387" s="919"/>
    </row>
    <row r="1388" spans="1:61" s="65" customFormat="1" x14ac:dyDescent="0.25">
      <c r="A1388" s="785"/>
      <c r="B1388" s="177"/>
      <c r="C1388" s="1572" t="s">
        <v>1424</v>
      </c>
      <c r="D1388" s="1927" t="s">
        <v>795</v>
      </c>
      <c r="E1388" s="2088" t="s">
        <v>1425</v>
      </c>
      <c r="F1388" s="999">
        <f>ROUND(((K2176*K2304*(1/K2432-1/K2560)*K2688)/1000),2)</f>
        <v>1628.99</v>
      </c>
      <c r="G1388" s="318" t="s">
        <v>1367</v>
      </c>
      <c r="H1388" s="239">
        <f>VLOOKUP(G1388,'CP FACTORS'!$A$3:$B$38, 2, FALSE)</f>
        <v>9.4741810000000004E-4</v>
      </c>
      <c r="I1388" s="2046">
        <f t="shared" ref="I1388:I1481" si="125">ROUND(F1388*H1388,6)</f>
        <v>1.5433349999999999</v>
      </c>
      <c r="J1388" s="156">
        <f t="shared" ref="J1388:J1415" si="126">K2816</f>
        <v>6</v>
      </c>
      <c r="K1388" s="1085">
        <f t="shared" ref="K1388:K1415" si="127">K2986</f>
        <v>995.91981316470583</v>
      </c>
      <c r="L1388" s="1086">
        <f>L1664</f>
        <v>2.9</v>
      </c>
      <c r="M1388" s="2089"/>
      <c r="N1388" s="2086"/>
      <c r="O1388" s="1453"/>
      <c r="P1388" s="177"/>
      <c r="Q1388" s="177"/>
      <c r="R1388" s="1894"/>
      <c r="S1388" s="177"/>
      <c r="T1388" s="177"/>
      <c r="U1388" s="2090"/>
      <c r="V1388" s="245" t="s">
        <v>20</v>
      </c>
      <c r="W1388" s="1087">
        <v>2360.2134787689906</v>
      </c>
      <c r="X1388" s="1088">
        <v>1720.2653061224485</v>
      </c>
      <c r="Y1388" s="1005">
        <v>1628.99</v>
      </c>
      <c r="Z1388" s="1089"/>
      <c r="AA1388" s="1089"/>
      <c r="AB1388" s="1090"/>
      <c r="AC1388" s="1087"/>
      <c r="AD1388" s="1087"/>
      <c r="AE1388" s="1087"/>
      <c r="AF1388" s="1087"/>
      <c r="AG1388" s="1087"/>
      <c r="AH1388" s="248"/>
      <c r="AK1388" s="1091"/>
      <c r="BB1388" s="345">
        <f>(BD1388+BD1389+BD1390+BD1391)/(BE1388+BE1389+BE1390+BE1391)</f>
        <v>5.9688601965552106</v>
      </c>
      <c r="BC1388" s="884" t="str">
        <f t="shared" ref="BC1388:BC1481" si="128">CONCATENATE(G1388," ",J1388," Year EUL")</f>
        <v>Cooling Res 6 Year EUL</v>
      </c>
      <c r="BD1388" s="891">
        <f>(INDEX('Avoided Cost Benefits'!$C$4:$C$857,MATCH(BC1388,'Avoided Cost Benefits'!$A$4:$A$857,0)))*F1388</f>
        <v>947.23188657949765</v>
      </c>
      <c r="BE1388" s="70">
        <f t="shared" ref="BE1388:BE1451" si="129">K1388/(1.0595^(2020-2019))</f>
        <v>939.99038524276148</v>
      </c>
      <c r="BG1388" s="919"/>
      <c r="BH1388" s="1092"/>
      <c r="BI1388" s="919"/>
    </row>
    <row r="1389" spans="1:61" s="65" customFormat="1" x14ac:dyDescent="0.25">
      <c r="A1389" s="785"/>
      <c r="B1389" s="177"/>
      <c r="C1389" s="1572" t="s">
        <v>1424</v>
      </c>
      <c r="D1389" s="2045" t="s">
        <v>795</v>
      </c>
      <c r="E1389" s="1702" t="s">
        <v>1425</v>
      </c>
      <c r="F1389" s="999">
        <f>ROUND(((K1664*K1792*(1/K1920-1/K2048)*K2688)/1000),2)</f>
        <v>9262.39</v>
      </c>
      <c r="G1389" s="318" t="s">
        <v>1369</v>
      </c>
      <c r="H1389" s="239">
        <f>VLOOKUP(G1389,'CP FACTORS'!$A$3:$B$38, 2, FALSE)</f>
        <v>0</v>
      </c>
      <c r="I1389" s="2046">
        <f t="shared" si="125"/>
        <v>0</v>
      </c>
      <c r="J1389" s="156">
        <f t="shared" si="126"/>
        <v>6</v>
      </c>
      <c r="K1389" s="1085">
        <f t="shared" si="127"/>
        <v>0</v>
      </c>
      <c r="L1389" s="1086"/>
      <c r="M1389" s="2089"/>
      <c r="N1389" s="2086"/>
      <c r="O1389" s="1453"/>
      <c r="P1389" s="177"/>
      <c r="Q1389" s="177"/>
      <c r="R1389" s="1894"/>
      <c r="S1389" s="177"/>
      <c r="T1389" s="177"/>
      <c r="U1389" s="2090"/>
      <c r="V1389" s="245" t="s">
        <v>20</v>
      </c>
      <c r="W1389" s="1087">
        <v>12036.528668217206</v>
      </c>
      <c r="X1389" s="1088">
        <v>9788.00163331972</v>
      </c>
      <c r="Y1389" s="1005">
        <v>9262.39</v>
      </c>
      <c r="Z1389" s="1089"/>
      <c r="AA1389" s="1089"/>
      <c r="AB1389" s="1090"/>
      <c r="AC1389" s="1087"/>
      <c r="AD1389" s="1087"/>
      <c r="AE1389" s="1087"/>
      <c r="AF1389" s="1087"/>
      <c r="AG1389" s="1087"/>
      <c r="AH1389" s="248"/>
      <c r="AK1389" s="1091"/>
      <c r="BB1389" s="995"/>
      <c r="BC1389" s="994" t="str">
        <f t="shared" si="128"/>
        <v>Heating Res 6 Year EUL</v>
      </c>
      <c r="BD1389" s="894">
        <f>(INDEX('Avoided Cost Benefits'!$C$4:$C$857,MATCH(BC1389,'Avoided Cost Benefits'!$A$4:$A$857,0)))*F1389</f>
        <v>1540.6457861387553</v>
      </c>
      <c r="BE1389" s="74">
        <f t="shared" si="129"/>
        <v>0</v>
      </c>
      <c r="BG1389" s="919"/>
      <c r="BH1389" s="1092"/>
      <c r="BI1389" s="919"/>
    </row>
    <row r="1390" spans="1:61" s="65" customFormat="1" x14ac:dyDescent="0.25">
      <c r="A1390" s="785"/>
      <c r="B1390" s="177"/>
      <c r="C1390" s="1572" t="s">
        <v>1424</v>
      </c>
      <c r="D1390" s="2045" t="s">
        <v>795</v>
      </c>
      <c r="E1390" s="1702" t="s">
        <v>1426</v>
      </c>
      <c r="F1390" s="999">
        <f>ROUND(((K2177*K2305*(1/K2433-1/K2561)*K2689)/1000),2)</f>
        <v>324.83999999999997</v>
      </c>
      <c r="G1390" s="2078" t="s">
        <v>1408</v>
      </c>
      <c r="H1390" s="239">
        <f>VLOOKUP(G1390,'CP FACTORS'!$A$3:$B$38, 2, FALSE)</f>
        <v>9.4741810000000004E-4</v>
      </c>
      <c r="I1390" s="2046">
        <f t="shared" si="125"/>
        <v>0.307759</v>
      </c>
      <c r="J1390" s="156">
        <f t="shared" si="126"/>
        <v>12</v>
      </c>
      <c r="K1390" s="1085">
        <f t="shared" si="127"/>
        <v>0</v>
      </c>
      <c r="L1390" s="1086"/>
      <c r="M1390" s="2089"/>
      <c r="N1390" s="2086"/>
      <c r="O1390" s="1453"/>
      <c r="P1390" s="177"/>
      <c r="Q1390" s="177"/>
      <c r="R1390" s="1894"/>
      <c r="S1390" s="177"/>
      <c r="T1390" s="177"/>
      <c r="U1390" s="2090"/>
      <c r="V1390" s="245" t="s">
        <v>20</v>
      </c>
      <c r="W1390" s="1087">
        <v>312.36189505858374</v>
      </c>
      <c r="X1390" s="1088">
        <v>344.16219780219757</v>
      </c>
      <c r="Y1390" s="1005">
        <v>324.83999999999997</v>
      </c>
      <c r="Z1390" s="1089"/>
      <c r="AA1390" s="1089"/>
      <c r="AB1390" s="1090"/>
      <c r="AC1390" s="1087"/>
      <c r="AD1390" s="1087"/>
      <c r="AE1390" s="1087"/>
      <c r="AF1390" s="1087"/>
      <c r="AG1390" s="1087"/>
      <c r="AH1390" s="248"/>
      <c r="AK1390" s="1091"/>
      <c r="BB1390" s="995"/>
      <c r="BC1390" s="994" t="str">
        <f t="shared" si="128"/>
        <v>Cooling Res ER2 12 Year EUL</v>
      </c>
      <c r="BD1390" s="894">
        <f>(INDEX('Avoided Cost Benefits'!$C$4:$C$857,MATCH(BC1390,'Avoided Cost Benefits'!$A$4:$A$857,0)))*F1390</f>
        <v>384.0659700754349</v>
      </c>
      <c r="BE1390" s="74">
        <f t="shared" si="129"/>
        <v>0</v>
      </c>
      <c r="BG1390" s="919"/>
      <c r="BH1390" s="1092"/>
      <c r="BI1390" s="919"/>
    </row>
    <row r="1391" spans="1:61" s="65" customFormat="1" x14ac:dyDescent="0.25">
      <c r="A1391" s="785"/>
      <c r="B1391" s="177"/>
      <c r="C1391" s="1572" t="s">
        <v>1424</v>
      </c>
      <c r="D1391" s="2045" t="s">
        <v>795</v>
      </c>
      <c r="E1391" s="1703" t="s">
        <v>1426</v>
      </c>
      <c r="F1391" s="999">
        <f>ROUND(((K1665*K1793*(1/K1921-1/K2049)*K2689)/1000),2)</f>
        <v>9262.39</v>
      </c>
      <c r="G1391" s="2078" t="s">
        <v>1427</v>
      </c>
      <c r="H1391" s="239">
        <f>VLOOKUP(G1391,'CP FACTORS'!$A$3:$B$38, 2, FALSE)</f>
        <v>0</v>
      </c>
      <c r="I1391" s="2046">
        <f t="shared" si="125"/>
        <v>0</v>
      </c>
      <c r="J1391" s="156">
        <f t="shared" si="126"/>
        <v>12</v>
      </c>
      <c r="K1391" s="1085">
        <f t="shared" si="127"/>
        <v>0</v>
      </c>
      <c r="L1391" s="1086"/>
      <c r="M1391" s="2089"/>
      <c r="N1391" s="2086"/>
      <c r="O1391" s="1453"/>
      <c r="P1391" s="177"/>
      <c r="Q1391" s="177"/>
      <c r="R1391" s="1894"/>
      <c r="S1391" s="177"/>
      <c r="T1391" s="177"/>
      <c r="U1391" s="2090"/>
      <c r="V1391" s="245" t="s">
        <v>20</v>
      </c>
      <c r="W1391" s="1087">
        <v>12036.528668217206</v>
      </c>
      <c r="X1391" s="1088">
        <v>9788.00163331972</v>
      </c>
      <c r="Y1391" s="1005">
        <v>9262.39</v>
      </c>
      <c r="Z1391" s="1089"/>
      <c r="AA1391" s="1089"/>
      <c r="AB1391" s="1090"/>
      <c r="AC1391" s="1087"/>
      <c r="AD1391" s="1087"/>
      <c r="AE1391" s="1087"/>
      <c r="AF1391" s="1087"/>
      <c r="AG1391" s="1087"/>
      <c r="AH1391" s="248"/>
      <c r="AK1391" s="1091"/>
      <c r="BB1391" s="995"/>
      <c r="BC1391" s="892" t="str">
        <f t="shared" si="128"/>
        <v>Heating Res ER2 12 Year EUL</v>
      </c>
      <c r="BD1391" s="894">
        <f>(INDEX('Avoided Cost Benefits'!$C$4:$C$857,MATCH(BC1391,'Avoided Cost Benefits'!$A$4:$A$857,0)))*F1391</f>
        <v>2738.727552826429</v>
      </c>
      <c r="BE1391" s="74">
        <f t="shared" si="129"/>
        <v>0</v>
      </c>
      <c r="BG1391" s="919"/>
      <c r="BH1391" s="1092"/>
      <c r="BI1391" s="919"/>
    </row>
    <row r="1392" spans="1:61" s="65" customFormat="1" x14ac:dyDescent="0.25">
      <c r="A1392" s="785"/>
      <c r="B1392" s="177"/>
      <c r="C1392" s="1572" t="s">
        <v>1428</v>
      </c>
      <c r="D1392" s="2045" t="s">
        <v>795</v>
      </c>
      <c r="E1392" s="2088" t="s">
        <v>1429</v>
      </c>
      <c r="F1392" s="999">
        <f>ROUND(((K2178*K2306*(1/K2434-1/K2562)*K2690)/1000),2)</f>
        <v>1647.18</v>
      </c>
      <c r="G1392" s="318" t="s">
        <v>1367</v>
      </c>
      <c r="H1392" s="239">
        <f>VLOOKUP(G1392,'CP FACTORS'!$A$3:$B$38, 2, FALSE)</f>
        <v>9.4741810000000004E-4</v>
      </c>
      <c r="I1392" s="2046">
        <f t="shared" si="125"/>
        <v>1.560568</v>
      </c>
      <c r="J1392" s="156">
        <f t="shared" si="126"/>
        <v>6</v>
      </c>
      <c r="K1392" s="1085">
        <f t="shared" si="127"/>
        <v>1003.0879491629616</v>
      </c>
      <c r="L1392" s="1086">
        <f>L1666</f>
        <v>2.93</v>
      </c>
      <c r="M1392" s="2089"/>
      <c r="N1392" s="2086"/>
      <c r="O1392" s="1453"/>
      <c r="P1392" s="177"/>
      <c r="Q1392" s="177"/>
      <c r="R1392" s="1894"/>
      <c r="S1392" s="177"/>
      <c r="T1392" s="177"/>
      <c r="U1392" s="2090"/>
      <c r="V1392" s="245" t="s">
        <v>20</v>
      </c>
      <c r="W1392" s="1087">
        <v>2348.9856512141278</v>
      </c>
      <c r="X1392" s="1088">
        <v>1720.2653061224485</v>
      </c>
      <c r="Y1392" s="1005">
        <v>1647.18</v>
      </c>
      <c r="Z1392" s="1089"/>
      <c r="AA1392" s="1089"/>
      <c r="AB1392" s="1090"/>
      <c r="AC1392" s="1087"/>
      <c r="AD1392" s="1087"/>
      <c r="AE1392" s="1087"/>
      <c r="AF1392" s="1087"/>
      <c r="AG1392" s="1087"/>
      <c r="AH1392" s="248"/>
      <c r="AK1392" s="1091"/>
      <c r="BB1392" s="350">
        <f>(BD1392+BD1393+BD1394+BD1395)/(BE1392+BE1393+BE1394+BE1395)</f>
        <v>1.6877780137738956</v>
      </c>
      <c r="BC1392" s="884" t="str">
        <f t="shared" si="128"/>
        <v>Cooling Res 6 Year EUL</v>
      </c>
      <c r="BD1392" s="894">
        <f>(INDEX('Avoided Cost Benefits'!$C$4:$C$857,MATCH(BC1392,'Avoided Cost Benefits'!$A$4:$A$857,0)))*F1392</f>
        <v>957.80908350328548</v>
      </c>
      <c r="BE1392" s="74">
        <f t="shared" si="129"/>
        <v>946.75596900704249</v>
      </c>
      <c r="BG1392" s="919"/>
      <c r="BH1392" s="1092"/>
      <c r="BI1392" s="919"/>
    </row>
    <row r="1393" spans="1:61" s="65" customFormat="1" x14ac:dyDescent="0.25">
      <c r="A1393" s="785"/>
      <c r="B1393" s="177"/>
      <c r="C1393" s="1572" t="s">
        <v>1428</v>
      </c>
      <c r="D1393" s="2045" t="s">
        <v>795</v>
      </c>
      <c r="E1393" s="1702" t="s">
        <v>1429</v>
      </c>
      <c r="F1393" s="999">
        <f>ROUND(((K1666*K1794*(1/K1922-1/K2050)*K2690)/1000),2)</f>
        <v>1982.47</v>
      </c>
      <c r="G1393" s="318" t="s">
        <v>1369</v>
      </c>
      <c r="H1393" s="239">
        <f>VLOOKUP(G1393,'CP FACTORS'!$A$3:$B$38, 2, FALSE)</f>
        <v>0</v>
      </c>
      <c r="I1393" s="2046">
        <f t="shared" si="125"/>
        <v>0</v>
      </c>
      <c r="J1393" s="156">
        <f t="shared" si="126"/>
        <v>6</v>
      </c>
      <c r="K1393" s="1085">
        <f t="shared" si="127"/>
        <v>0</v>
      </c>
      <c r="L1393" s="1086"/>
      <c r="M1393" s="2089"/>
      <c r="N1393" s="2086"/>
      <c r="O1393" s="1453"/>
      <c r="P1393" s="177"/>
      <c r="Q1393" s="177"/>
      <c r="R1393" s="1894"/>
      <c r="S1393" s="177"/>
      <c r="T1393" s="177"/>
      <c r="U1393" s="2090"/>
      <c r="V1393" s="245" t="s">
        <v>20</v>
      </c>
      <c r="W1393" s="1087">
        <v>5147.8078093306267</v>
      </c>
      <c r="X1393" s="1088">
        <v>2027.0807587241729</v>
      </c>
      <c r="Y1393" s="1005">
        <v>1982.47</v>
      </c>
      <c r="Z1393" s="1089"/>
      <c r="AA1393" s="1089"/>
      <c r="AB1393" s="1090"/>
      <c r="AC1393" s="1087"/>
      <c r="AD1393" s="1087"/>
      <c r="AE1393" s="1087"/>
      <c r="AF1393" s="1087"/>
      <c r="AG1393" s="1087"/>
      <c r="AH1393" s="248"/>
      <c r="AK1393" s="1091"/>
      <c r="BB1393" s="995"/>
      <c r="BC1393" s="994" t="str">
        <f t="shared" si="128"/>
        <v>Heating Res 6 Year EUL</v>
      </c>
      <c r="BD1393" s="894">
        <f>(INDEX('Avoided Cost Benefits'!$C$4:$C$857,MATCH(BC1393,'Avoided Cost Benefits'!$A$4:$A$857,0)))*F1393</f>
        <v>329.75118210812741</v>
      </c>
      <c r="BE1393" s="74">
        <f t="shared" si="129"/>
        <v>0</v>
      </c>
      <c r="BG1393" s="919"/>
      <c r="BH1393" s="1092"/>
      <c r="BI1393" s="919"/>
    </row>
    <row r="1394" spans="1:61" s="65" customFormat="1" x14ac:dyDescent="0.25">
      <c r="A1394" s="785"/>
      <c r="B1394" s="177"/>
      <c r="C1394" s="1572" t="s">
        <v>1428</v>
      </c>
      <c r="D1394" s="2045" t="s">
        <v>795</v>
      </c>
      <c r="E1394" s="1702" t="s">
        <v>1430</v>
      </c>
      <c r="F1394" s="999">
        <f>ROUND(((K2179*K2307*(1/K2435-1/K2563)*K2691)/1000),2)</f>
        <v>161.66</v>
      </c>
      <c r="G1394" s="2078" t="s">
        <v>1408</v>
      </c>
      <c r="H1394" s="239">
        <f>VLOOKUP(G1394,'CP FACTORS'!$A$3:$B$38, 2, FALSE)</f>
        <v>9.4741810000000004E-4</v>
      </c>
      <c r="I1394" s="2046">
        <f t="shared" si="125"/>
        <v>0.15315999999999999</v>
      </c>
      <c r="J1394" s="156">
        <f t="shared" si="126"/>
        <v>12</v>
      </c>
      <c r="K1394" s="1085">
        <f t="shared" si="127"/>
        <v>0</v>
      </c>
      <c r="L1394" s="1086"/>
      <c r="M1394" s="2089"/>
      <c r="N1394" s="2086"/>
      <c r="O1394" s="1453"/>
      <c r="P1394" s="177"/>
      <c r="Q1394" s="177"/>
      <c r="R1394" s="1894"/>
      <c r="S1394" s="177"/>
      <c r="T1394" s="177"/>
      <c r="U1394" s="2090"/>
      <c r="V1394" s="245" t="s">
        <v>20</v>
      </c>
      <c r="W1394" s="1087">
        <v>168.20946073793726</v>
      </c>
      <c r="X1394" s="1088">
        <v>168.83428571428527</v>
      </c>
      <c r="Y1394" s="1005">
        <v>161.66</v>
      </c>
      <c r="Z1394" s="1089"/>
      <c r="AA1394" s="1089"/>
      <c r="AB1394" s="1090"/>
      <c r="AC1394" s="1087"/>
      <c r="AD1394" s="1087"/>
      <c r="AE1394" s="1087"/>
      <c r="AF1394" s="1087"/>
      <c r="AG1394" s="1087"/>
      <c r="AH1394" s="248"/>
      <c r="AK1394" s="1091"/>
      <c r="BB1394" s="995"/>
      <c r="BC1394" s="994" t="str">
        <f t="shared" si="128"/>
        <v>Cooling Res ER2 12 Year EUL</v>
      </c>
      <c r="BD1394" s="894">
        <f>(INDEX('Avoided Cost Benefits'!$C$4:$C$857,MATCH(BC1394,'Avoided Cost Benefits'!$A$4:$A$857,0)))*F1394</f>
        <v>191.13441916757421</v>
      </c>
      <c r="BE1394" s="74">
        <f t="shared" si="129"/>
        <v>0</v>
      </c>
      <c r="BG1394" s="919"/>
      <c r="BH1394" s="1092"/>
      <c r="BI1394" s="919"/>
    </row>
    <row r="1395" spans="1:61" s="65" customFormat="1" x14ac:dyDescent="0.25">
      <c r="A1395" s="785"/>
      <c r="B1395" s="177"/>
      <c r="C1395" s="1572" t="s">
        <v>1428</v>
      </c>
      <c r="D1395" s="2045" t="s">
        <v>795</v>
      </c>
      <c r="E1395" s="1703" t="s">
        <v>1430</v>
      </c>
      <c r="F1395" s="999">
        <f>ROUND(((K1667*K1795*(1/K1923-1/K2051)*K2691)/1000),2)</f>
        <v>403.2</v>
      </c>
      <c r="G1395" s="2078" t="s">
        <v>1427</v>
      </c>
      <c r="H1395" s="239">
        <f>VLOOKUP(G1395,'CP FACTORS'!$A$3:$B$38, 2, FALSE)</f>
        <v>0</v>
      </c>
      <c r="I1395" s="2046">
        <f t="shared" si="125"/>
        <v>0</v>
      </c>
      <c r="J1395" s="156">
        <f t="shared" si="126"/>
        <v>12</v>
      </c>
      <c r="K1395" s="1085">
        <f t="shared" si="127"/>
        <v>0</v>
      </c>
      <c r="L1395" s="1086"/>
      <c r="M1395" s="2089"/>
      <c r="N1395" s="2086"/>
      <c r="O1395" s="1453"/>
      <c r="P1395" s="177"/>
      <c r="Q1395" s="177"/>
      <c r="R1395" s="1894"/>
      <c r="S1395" s="177"/>
      <c r="T1395" s="177"/>
      <c r="U1395" s="2090"/>
      <c r="V1395" s="245" t="s">
        <v>20</v>
      </c>
      <c r="W1395" s="1087">
        <v>523.79310344827582</v>
      </c>
      <c r="X1395" s="1088">
        <v>377.74325409076874</v>
      </c>
      <c r="Y1395" s="1005">
        <v>403.2</v>
      </c>
      <c r="Z1395" s="1089"/>
      <c r="AA1395" s="1089"/>
      <c r="AB1395" s="1090"/>
      <c r="AC1395" s="1087"/>
      <c r="AD1395" s="1087"/>
      <c r="AE1395" s="1087"/>
      <c r="AF1395" s="1087"/>
      <c r="AG1395" s="1087"/>
      <c r="AH1395" s="248"/>
      <c r="AK1395" s="1091"/>
      <c r="BB1395" s="995"/>
      <c r="BC1395" s="892" t="str">
        <f t="shared" si="128"/>
        <v>Heating Res ER2 12 Year EUL</v>
      </c>
      <c r="BD1395" s="894">
        <f>(INDEX('Avoided Cost Benefits'!$C$4:$C$857,MATCH(BC1395,'Avoided Cost Benefits'!$A$4:$A$857,0)))*F1395</f>
        <v>119.21922412029899</v>
      </c>
      <c r="BE1395" s="74">
        <f t="shared" si="129"/>
        <v>0</v>
      </c>
      <c r="BG1395" s="919"/>
      <c r="BH1395" s="1092"/>
      <c r="BI1395" s="919"/>
    </row>
    <row r="1396" spans="1:61" s="65" customFormat="1" x14ac:dyDescent="0.25">
      <c r="A1396" s="785"/>
      <c r="B1396" s="177"/>
      <c r="C1396" s="1572" t="s">
        <v>1431</v>
      </c>
      <c r="D1396" s="2045" t="s">
        <v>795</v>
      </c>
      <c r="E1396" s="2091" t="s">
        <v>1432</v>
      </c>
      <c r="F1396" s="999">
        <f>ROUND(((K2180*K2308*(1/K2436-1/K2564)*K2692)/1000),2)</f>
        <v>320.36</v>
      </c>
      <c r="G1396" s="318" t="s">
        <v>1367</v>
      </c>
      <c r="H1396" s="239">
        <f>VLOOKUP(G1396,'CP FACTORS'!$A$3:$B$38, 2, FALSE)</f>
        <v>9.4741810000000004E-4</v>
      </c>
      <c r="I1396" s="2046">
        <f t="shared" si="125"/>
        <v>0.30351499999999998</v>
      </c>
      <c r="J1396" s="156">
        <f t="shared" si="126"/>
        <v>18</v>
      </c>
      <c r="K1396" s="1085">
        <f t="shared" si="127"/>
        <v>303</v>
      </c>
      <c r="L1396" s="1086">
        <f>L120</f>
        <v>3.27</v>
      </c>
      <c r="M1396" s="2089"/>
      <c r="N1396" s="2086"/>
      <c r="O1396" s="1453"/>
      <c r="P1396" s="177"/>
      <c r="Q1396" s="177"/>
      <c r="R1396" s="1894"/>
      <c r="S1396" s="177"/>
      <c r="T1396" s="177"/>
      <c r="U1396" s="2090"/>
      <c r="V1396" s="245" t="s">
        <v>20</v>
      </c>
      <c r="W1396" s="1087">
        <v>301.86315789473701</v>
      </c>
      <c r="X1396" s="1088">
        <v>344.16219780219757</v>
      </c>
      <c r="Y1396" s="1005">
        <v>320.36</v>
      </c>
      <c r="Z1396" s="1089"/>
      <c r="AA1396" s="1089"/>
      <c r="AB1396" s="1090"/>
      <c r="AC1396" s="1087"/>
      <c r="AD1396" s="1087"/>
      <c r="AE1396" s="1087"/>
      <c r="AF1396" s="1087"/>
      <c r="AG1396" s="1087"/>
      <c r="AH1396" s="248"/>
      <c r="AK1396" s="1091"/>
      <c r="BB1396" s="350">
        <f>(BD1396+BD1397)/(BE1396+BE1397)</f>
        <v>16.722071082024822</v>
      </c>
      <c r="BC1396" s="956" t="str">
        <f t="shared" si="128"/>
        <v>Cooling Res 18 Year EUL</v>
      </c>
      <c r="BD1396" s="894">
        <f>(INDEX('Avoided Cost Benefits'!$C$4:$C$857,MATCH(BC1396,'Avoided Cost Benefits'!$A$4:$A$857,0)))*F1396</f>
        <v>565.05342717350209</v>
      </c>
      <c r="BE1396" s="74">
        <f t="shared" si="129"/>
        <v>285.98395469561109</v>
      </c>
      <c r="BG1396" s="919"/>
      <c r="BH1396" s="1092"/>
      <c r="BI1396" s="919"/>
    </row>
    <row r="1397" spans="1:61" s="65" customFormat="1" x14ac:dyDescent="0.25">
      <c r="A1397" s="785"/>
      <c r="B1397" s="177"/>
      <c r="C1397" s="1572" t="s">
        <v>1431</v>
      </c>
      <c r="D1397" s="2045" t="s">
        <v>795</v>
      </c>
      <c r="E1397" s="2092" t="s">
        <v>1432</v>
      </c>
      <c r="F1397" s="999">
        <f>ROUND(((K1668*K1796*(1/K1924-1/K2052)*K2692)/1000),2)</f>
        <v>9127.7999999999993</v>
      </c>
      <c r="G1397" s="318" t="s">
        <v>1369</v>
      </c>
      <c r="H1397" s="239">
        <f>VLOOKUP(G1397,'CP FACTORS'!$A$3:$B$38, 2, FALSE)</f>
        <v>0</v>
      </c>
      <c r="I1397" s="2046">
        <f t="shared" si="125"/>
        <v>0</v>
      </c>
      <c r="J1397" s="156">
        <f t="shared" si="126"/>
        <v>18</v>
      </c>
      <c r="K1397" s="1085">
        <f t="shared" si="127"/>
        <v>0</v>
      </c>
      <c r="L1397" s="1086"/>
      <c r="M1397" s="2089"/>
      <c r="N1397" s="2086"/>
      <c r="O1397" s="1453"/>
      <c r="P1397" s="177"/>
      <c r="Q1397" s="177"/>
      <c r="R1397" s="1894"/>
      <c r="S1397" s="177"/>
      <c r="T1397" s="177"/>
      <c r="U1397" s="2090"/>
      <c r="V1397" s="245" t="s">
        <v>20</v>
      </c>
      <c r="W1397" s="1087">
        <v>11093.001159380752</v>
      </c>
      <c r="X1397" s="1088">
        <v>9788.00163331972</v>
      </c>
      <c r="Y1397" s="1005">
        <v>9127.7999999999993</v>
      </c>
      <c r="Z1397" s="1089"/>
      <c r="AA1397" s="1089"/>
      <c r="AB1397" s="1090"/>
      <c r="AC1397" s="1087"/>
      <c r="AD1397" s="1087"/>
      <c r="AE1397" s="1087"/>
      <c r="AF1397" s="1087"/>
      <c r="AG1397" s="1087"/>
      <c r="AH1397" s="248"/>
      <c r="AK1397" s="1091"/>
      <c r="BB1397" s="348"/>
      <c r="BC1397" s="1093" t="str">
        <f t="shared" si="128"/>
        <v>Heating Res 18 Year EUL</v>
      </c>
      <c r="BD1397" s="894">
        <f>(INDEX('Avoided Cost Benefits'!$C$4:$C$857,MATCH(BC1397,'Avoided Cost Benefits'!$A$4:$A$857,0)))*F1397</f>
        <v>4217.1905915650723</v>
      </c>
      <c r="BE1397" s="74">
        <f t="shared" si="129"/>
        <v>0</v>
      </c>
      <c r="BG1397" s="919"/>
      <c r="BH1397" s="1092"/>
      <c r="BI1397" s="919"/>
    </row>
    <row r="1398" spans="1:61" s="65" customFormat="1" x14ac:dyDescent="0.25">
      <c r="A1398" s="785"/>
      <c r="B1398" s="177"/>
      <c r="C1398" s="1572" t="s">
        <v>1433</v>
      </c>
      <c r="D1398" s="2045" t="s">
        <v>795</v>
      </c>
      <c r="E1398" s="2091" t="s">
        <v>1434</v>
      </c>
      <c r="F1398" s="999">
        <f>ROUND(((K2181*K2309*(1/K2437-1/K2565)*K2693)/1000),2)</f>
        <v>166.02</v>
      </c>
      <c r="G1398" s="318" t="s">
        <v>1367</v>
      </c>
      <c r="H1398" s="239">
        <f>VLOOKUP(G1398,'CP FACTORS'!$A$3:$B$38, 2, FALSE)</f>
        <v>9.4741810000000004E-4</v>
      </c>
      <c r="I1398" s="2046">
        <f t="shared" si="125"/>
        <v>0.15729000000000001</v>
      </c>
      <c r="J1398" s="156">
        <f t="shared" si="126"/>
        <v>18</v>
      </c>
      <c r="K1398" s="1085">
        <f t="shared" si="127"/>
        <v>303</v>
      </c>
      <c r="L1398" s="1086">
        <f>L1669</f>
        <v>2.89</v>
      </c>
      <c r="M1398" s="2089"/>
      <c r="N1398" s="2086"/>
      <c r="O1398" s="1453"/>
      <c r="P1398" s="177"/>
      <c r="Q1398" s="177"/>
      <c r="R1398" s="1894"/>
      <c r="S1398" s="177"/>
      <c r="T1398" s="177"/>
      <c r="U1398" s="2090"/>
      <c r="V1398" s="245" t="s">
        <v>20</v>
      </c>
      <c r="W1398" s="1087">
        <v>168.20946073793726</v>
      </c>
      <c r="X1398" s="1088">
        <v>168.83428571428527</v>
      </c>
      <c r="Y1398" s="1005">
        <v>166.02</v>
      </c>
      <c r="Z1398" s="1089"/>
      <c r="AA1398" s="1089"/>
      <c r="AB1398" s="1090"/>
      <c r="AC1398" s="1087"/>
      <c r="AD1398" s="1087"/>
      <c r="AE1398" s="1087"/>
      <c r="AF1398" s="1087"/>
      <c r="AG1398" s="1087"/>
      <c r="AH1398" s="248"/>
      <c r="AK1398" s="1091"/>
      <c r="BB1398" s="350">
        <f>(BD1398+BD1399)/(BE1398+BE1399)</f>
        <v>1.6113688844626437</v>
      </c>
      <c r="BC1398" s="956" t="str">
        <f t="shared" si="128"/>
        <v>Cooling Res 18 Year EUL</v>
      </c>
      <c r="BD1398" s="894">
        <f>(INDEX('Avoided Cost Benefits'!$C$4:$C$857,MATCH(BC1398,'Avoided Cost Benefits'!$A$4:$A$857,0)))*F1398</f>
        <v>292.82735041623431</v>
      </c>
      <c r="BE1398" s="74">
        <f t="shared" si="129"/>
        <v>285.98395469561109</v>
      </c>
      <c r="BG1398" s="919"/>
      <c r="BH1398" s="1092"/>
      <c r="BI1398" s="919"/>
    </row>
    <row r="1399" spans="1:61" s="65" customFormat="1" x14ac:dyDescent="0.25">
      <c r="A1399" s="785"/>
      <c r="B1399" s="177"/>
      <c r="C1399" s="1572" t="s">
        <v>1433</v>
      </c>
      <c r="D1399" s="2045" t="s">
        <v>795</v>
      </c>
      <c r="E1399" s="2092" t="s">
        <v>1434</v>
      </c>
      <c r="F1399" s="999">
        <f>ROUND(((K1669*K1797*(1/K1925-1/K2053)*K2693)/1000),2)</f>
        <v>363.62</v>
      </c>
      <c r="G1399" s="318" t="s">
        <v>1369</v>
      </c>
      <c r="H1399" s="239">
        <f>VLOOKUP(G1399,'CP FACTORS'!$A$3:$B$38, 2, FALSE)</f>
        <v>0</v>
      </c>
      <c r="I1399" s="2046">
        <f t="shared" si="125"/>
        <v>0</v>
      </c>
      <c r="J1399" s="156">
        <f t="shared" si="126"/>
        <v>18</v>
      </c>
      <c r="K1399" s="1085">
        <f t="shared" si="127"/>
        <v>0</v>
      </c>
      <c r="L1399" s="1086"/>
      <c r="M1399" s="2089"/>
      <c r="N1399" s="2086"/>
      <c r="O1399" s="1453"/>
      <c r="P1399" s="177"/>
      <c r="Q1399" s="177"/>
      <c r="R1399" s="1894"/>
      <c r="S1399" s="177"/>
      <c r="T1399" s="177"/>
      <c r="U1399" s="2090"/>
      <c r="V1399" s="245" t="s">
        <v>20</v>
      </c>
      <c r="W1399" s="1087">
        <v>523.79310344827582</v>
      </c>
      <c r="X1399" s="1088">
        <v>377.74325409076874</v>
      </c>
      <c r="Y1399" s="1005">
        <v>363.62</v>
      </c>
      <c r="Z1399" s="1089"/>
      <c r="AA1399" s="1089"/>
      <c r="AB1399" s="1090"/>
      <c r="AC1399" s="1087"/>
      <c r="AD1399" s="1087"/>
      <c r="AE1399" s="1087"/>
      <c r="AF1399" s="1087"/>
      <c r="AG1399" s="1087"/>
      <c r="AH1399" s="248"/>
      <c r="AK1399" s="1091"/>
      <c r="BB1399" s="348"/>
      <c r="BC1399" s="1093" t="str">
        <f t="shared" si="128"/>
        <v>Heating Res 18 Year EUL</v>
      </c>
      <c r="BD1399" s="894">
        <f>(INDEX('Avoided Cost Benefits'!$C$4:$C$857,MATCH(BC1399,'Avoided Cost Benefits'!$A$4:$A$857,0)))*F1399</f>
        <v>167.99829563584782</v>
      </c>
      <c r="BE1399" s="74">
        <f t="shared" si="129"/>
        <v>0</v>
      </c>
      <c r="BG1399" s="919"/>
      <c r="BH1399" s="1092"/>
      <c r="BI1399" s="919"/>
    </row>
    <row r="1400" spans="1:61" s="65" customFormat="1" x14ac:dyDescent="0.25">
      <c r="A1400" s="785"/>
      <c r="B1400" s="177"/>
      <c r="C1400" s="1572" t="s">
        <v>1435</v>
      </c>
      <c r="D1400" s="2045" t="s">
        <v>795</v>
      </c>
      <c r="E1400" s="2088" t="s">
        <v>1436</v>
      </c>
      <c r="F1400" s="999">
        <f>ROUND(((K2182*K2310*(1/K2438-1/K2566)*K2694)/1000),2)</f>
        <v>1908.35</v>
      </c>
      <c r="G1400" s="318" t="s">
        <v>1367</v>
      </c>
      <c r="H1400" s="239">
        <f>VLOOKUP(G1400,'CP FACTORS'!$A$3:$B$38, 2, FALSE)</f>
        <v>9.4741810000000004E-4</v>
      </c>
      <c r="I1400" s="2046">
        <f t="shared" si="125"/>
        <v>1.8080050000000001</v>
      </c>
      <c r="J1400" s="156">
        <f t="shared" si="126"/>
        <v>6</v>
      </c>
      <c r="K1400" s="1085">
        <f t="shared" si="127"/>
        <v>1197.8224158150915</v>
      </c>
      <c r="L1400" s="1086">
        <f>L1670</f>
        <v>3.18</v>
      </c>
      <c r="M1400" s="2089"/>
      <c r="N1400" s="2086"/>
      <c r="O1400" s="1453"/>
      <c r="P1400" s="177"/>
      <c r="Q1400" s="177"/>
      <c r="R1400" s="1894"/>
      <c r="S1400" s="177"/>
      <c r="T1400" s="177"/>
      <c r="U1400" s="2090"/>
      <c r="V1400" s="245" t="s">
        <v>20</v>
      </c>
      <c r="W1400" s="1087">
        <v>2733.5161764705886</v>
      </c>
      <c r="X1400" s="1088">
        <v>1836.3388775510205</v>
      </c>
      <c r="Y1400" s="1005">
        <v>1908.35</v>
      </c>
      <c r="Z1400" s="1089"/>
      <c r="AA1400" s="1089"/>
      <c r="AB1400" s="1090"/>
      <c r="AC1400" s="1087"/>
      <c r="AD1400" s="1087"/>
      <c r="AE1400" s="1087"/>
      <c r="AF1400" s="1087"/>
      <c r="AG1400" s="1087"/>
      <c r="AH1400" s="248"/>
      <c r="AK1400" s="1091"/>
      <c r="BB1400" s="350">
        <f>(BD1400+BD1401+BD1402+BD1403)/(BE1400+BE1401+BE1402+BE1403)</f>
        <v>5.8280758757026998</v>
      </c>
      <c r="BC1400" s="884" t="str">
        <f t="shared" si="128"/>
        <v>Cooling Res 6 Year EUL</v>
      </c>
      <c r="BD1400" s="894">
        <f>(INDEX('Avoided Cost Benefits'!$C$4:$C$857,MATCH(BC1400,'Avoided Cost Benefits'!$A$4:$A$857,0)))*F1400</f>
        <v>1109.6753023370213</v>
      </c>
      <c r="BE1400" s="74">
        <f t="shared" si="129"/>
        <v>1130.5544273856456</v>
      </c>
      <c r="BG1400" s="919"/>
      <c r="BH1400" s="1092"/>
      <c r="BI1400" s="919"/>
    </row>
    <row r="1401" spans="1:61" s="65" customFormat="1" x14ac:dyDescent="0.25">
      <c r="A1401" s="785"/>
      <c r="B1401" s="177"/>
      <c r="C1401" s="1572" t="s">
        <v>1435</v>
      </c>
      <c r="D1401" s="2045" t="s">
        <v>795</v>
      </c>
      <c r="E1401" s="1702" t="s">
        <v>1436</v>
      </c>
      <c r="F1401" s="999">
        <f>ROUND(((K1670*K1798*(1/K1926-1/K2054)*K2694)/1000),2)</f>
        <v>10635.56</v>
      </c>
      <c r="G1401" s="318" t="s">
        <v>1369</v>
      </c>
      <c r="H1401" s="239">
        <f>VLOOKUP(G1401,'CP FACTORS'!$A$3:$B$38, 2, FALSE)</f>
        <v>0</v>
      </c>
      <c r="I1401" s="2046">
        <f t="shared" si="125"/>
        <v>0</v>
      </c>
      <c r="J1401" s="156">
        <f t="shared" si="126"/>
        <v>6</v>
      </c>
      <c r="K1401" s="1085">
        <f t="shared" si="127"/>
        <v>0</v>
      </c>
      <c r="L1401" s="1086"/>
      <c r="M1401" s="2089"/>
      <c r="N1401" s="2086"/>
      <c r="O1401" s="1453"/>
      <c r="P1401" s="177"/>
      <c r="Q1401" s="177"/>
      <c r="R1401" s="1894"/>
      <c r="S1401" s="177"/>
      <c r="T1401" s="177"/>
      <c r="U1401" s="2090"/>
      <c r="V1401" s="245" t="s">
        <v>20</v>
      </c>
      <c r="W1401" s="1087">
        <v>13965.852998065762</v>
      </c>
      <c r="X1401" s="1088">
        <v>9788.00163331972</v>
      </c>
      <c r="Y1401" s="1005">
        <v>10635.56</v>
      </c>
      <c r="Z1401" s="1089"/>
      <c r="AA1401" s="1089"/>
      <c r="AB1401" s="1090"/>
      <c r="AC1401" s="1087"/>
      <c r="AD1401" s="1087"/>
      <c r="AE1401" s="1087"/>
      <c r="AF1401" s="1087"/>
      <c r="AG1401" s="1087"/>
      <c r="AH1401" s="248"/>
      <c r="AK1401" s="1091"/>
      <c r="BB1401" s="995"/>
      <c r="BC1401" s="994" t="str">
        <f t="shared" si="128"/>
        <v>Heating Res 6 Year EUL</v>
      </c>
      <c r="BD1401" s="894">
        <f>(INDEX('Avoided Cost Benefits'!$C$4:$C$857,MATCH(BC1401,'Avoided Cost Benefits'!$A$4:$A$857,0)))*F1401</f>
        <v>1769.0499641265267</v>
      </c>
      <c r="BE1401" s="74">
        <f t="shared" si="129"/>
        <v>0</v>
      </c>
      <c r="BG1401" s="919"/>
      <c r="BH1401" s="1092"/>
      <c r="BI1401" s="919"/>
    </row>
    <row r="1402" spans="1:61" s="65" customFormat="1" x14ac:dyDescent="0.25">
      <c r="A1402" s="785"/>
      <c r="B1402" s="177"/>
      <c r="C1402" s="1572" t="s">
        <v>1435</v>
      </c>
      <c r="D1402" s="2045" t="s">
        <v>795</v>
      </c>
      <c r="E1402" s="1702" t="s">
        <v>1437</v>
      </c>
      <c r="F1402" s="999">
        <f>ROUND(((K2183*K2311*(1/K2439-1/K2567)*K2695)/1000),2)</f>
        <v>478.28</v>
      </c>
      <c r="G1402" s="2078" t="s">
        <v>1408</v>
      </c>
      <c r="H1402" s="239">
        <f>VLOOKUP(G1402,'CP FACTORS'!$A$3:$B$38, 2, FALSE)</f>
        <v>9.4741810000000004E-4</v>
      </c>
      <c r="I1402" s="2046">
        <f t="shared" si="125"/>
        <v>0.45313100000000001</v>
      </c>
      <c r="J1402" s="156">
        <f t="shared" si="126"/>
        <v>12</v>
      </c>
      <c r="K1402" s="1085">
        <f t="shared" si="127"/>
        <v>0</v>
      </c>
      <c r="L1402" s="1086"/>
      <c r="M1402" s="2089"/>
      <c r="N1402" s="2086"/>
      <c r="O1402" s="1453"/>
      <c r="P1402" s="177"/>
      <c r="Q1402" s="177"/>
      <c r="R1402" s="1894"/>
      <c r="S1402" s="177"/>
      <c r="T1402" s="177"/>
      <c r="U1402" s="2090"/>
      <c r="V1402" s="245" t="s">
        <v>20</v>
      </c>
      <c r="W1402" s="1087">
        <v>466.25192307692322</v>
      </c>
      <c r="X1402" s="1088">
        <v>460.23576923076939</v>
      </c>
      <c r="Y1402" s="1005">
        <v>478.28</v>
      </c>
      <c r="Z1402" s="1089"/>
      <c r="AA1402" s="1089"/>
      <c r="AB1402" s="1090"/>
      <c r="AC1402" s="1087"/>
      <c r="AD1402" s="1087"/>
      <c r="AE1402" s="1087"/>
      <c r="AF1402" s="1087"/>
      <c r="AG1402" s="1087"/>
      <c r="AH1402" s="248"/>
      <c r="AK1402" s="1091"/>
      <c r="BB1402" s="995"/>
      <c r="BC1402" s="994" t="str">
        <f t="shared" si="128"/>
        <v>Cooling Res ER2 12 Year EUL</v>
      </c>
      <c r="BD1402" s="894">
        <f>(INDEX('Avoided Cost Benefits'!$C$4:$C$857,MATCH(BC1402,'Avoided Cost Benefits'!$A$4:$A$857,0)))*F1402</f>
        <v>565.48168996330196</v>
      </c>
      <c r="BE1402" s="74">
        <f t="shared" si="129"/>
        <v>0</v>
      </c>
      <c r="BG1402" s="919"/>
      <c r="BH1402" s="1092"/>
      <c r="BI1402" s="919"/>
    </row>
    <row r="1403" spans="1:61" s="65" customFormat="1" x14ac:dyDescent="0.25">
      <c r="A1403" s="785"/>
      <c r="B1403" s="177"/>
      <c r="C1403" s="1572" t="s">
        <v>1435</v>
      </c>
      <c r="D1403" s="2045" t="s">
        <v>795</v>
      </c>
      <c r="E1403" s="1703" t="s">
        <v>1437</v>
      </c>
      <c r="F1403" s="999">
        <f>ROUND(((K1671*K1799*(1/K1927-1/K2055)*K2695)/1000),2)</f>
        <v>10635.56</v>
      </c>
      <c r="G1403" s="2078" t="s">
        <v>1427</v>
      </c>
      <c r="H1403" s="239">
        <f>VLOOKUP(G1403,'CP FACTORS'!$A$3:$B$38, 2, FALSE)</f>
        <v>0</v>
      </c>
      <c r="I1403" s="2046">
        <f t="shared" si="125"/>
        <v>0</v>
      </c>
      <c r="J1403" s="156">
        <f t="shared" si="126"/>
        <v>12</v>
      </c>
      <c r="K1403" s="1085">
        <f t="shared" si="127"/>
        <v>0</v>
      </c>
      <c r="L1403" s="1086"/>
      <c r="M1403" s="2089"/>
      <c r="N1403" s="2086"/>
      <c r="O1403" s="1453"/>
      <c r="P1403" s="177"/>
      <c r="Q1403" s="177"/>
      <c r="R1403" s="1894"/>
      <c r="S1403" s="177"/>
      <c r="T1403" s="177"/>
      <c r="U1403" s="2090"/>
      <c r="V1403" s="245" t="s">
        <v>20</v>
      </c>
      <c r="W1403" s="1087">
        <v>13965.852998065762</v>
      </c>
      <c r="X1403" s="1088">
        <v>9788.00163331972</v>
      </c>
      <c r="Y1403" s="1005">
        <v>10635.56</v>
      </c>
      <c r="Z1403" s="1089"/>
      <c r="AA1403" s="1089"/>
      <c r="AB1403" s="1090"/>
      <c r="AC1403" s="1087"/>
      <c r="AD1403" s="1087"/>
      <c r="AE1403" s="1087"/>
      <c r="AF1403" s="1087"/>
      <c r="AG1403" s="1087"/>
      <c r="AH1403" s="248"/>
      <c r="AK1403" s="1091"/>
      <c r="BB1403" s="995"/>
      <c r="BC1403" s="892" t="str">
        <f t="shared" si="128"/>
        <v>Heating Res ER2 12 Year EUL</v>
      </c>
      <c r="BD1403" s="894">
        <f>(INDEX('Avoided Cost Benefits'!$C$4:$C$857,MATCH(BC1403,'Avoided Cost Benefits'!$A$4:$A$857,0)))*F1403</f>
        <v>3144.7500279883116</v>
      </c>
      <c r="BE1403" s="74">
        <f t="shared" si="129"/>
        <v>0</v>
      </c>
      <c r="BG1403" s="919"/>
      <c r="BH1403" s="1092"/>
      <c r="BI1403" s="919"/>
    </row>
    <row r="1404" spans="1:61" s="65" customFormat="1" x14ac:dyDescent="0.25">
      <c r="A1404" s="785"/>
      <c r="B1404" s="177"/>
      <c r="C1404" s="1572" t="s">
        <v>1438</v>
      </c>
      <c r="D1404" s="2045" t="s">
        <v>795</v>
      </c>
      <c r="E1404" s="2088" t="s">
        <v>1439</v>
      </c>
      <c r="F1404" s="999">
        <f>ROUND(((K2184*K2312*(1/K2440-1/K2568)*K2696)/1000),2)</f>
        <v>1890.35</v>
      </c>
      <c r="G1404" s="318" t="s">
        <v>1367</v>
      </c>
      <c r="H1404" s="239">
        <f>VLOOKUP(G1404,'CP FACTORS'!$A$3:$B$38, 2, FALSE)</f>
        <v>9.4741810000000004E-4</v>
      </c>
      <c r="I1404" s="2046">
        <f t="shared" si="125"/>
        <v>1.7909520000000001</v>
      </c>
      <c r="J1404" s="156">
        <f t="shared" si="126"/>
        <v>6</v>
      </c>
      <c r="K1404" s="1085">
        <f t="shared" si="127"/>
        <v>1190.6542798168357</v>
      </c>
      <c r="L1404" s="1086">
        <f>L1672</f>
        <v>3.15</v>
      </c>
      <c r="M1404" s="2089"/>
      <c r="N1404" s="2086"/>
      <c r="O1404" s="1453"/>
      <c r="P1404" s="177"/>
      <c r="Q1404" s="177"/>
      <c r="R1404" s="1894"/>
      <c r="S1404" s="177"/>
      <c r="T1404" s="177"/>
      <c r="U1404" s="2090"/>
      <c r="V1404" s="245" t="s">
        <v>20</v>
      </c>
      <c r="W1404" s="1087">
        <v>2628.7249999999999</v>
      </c>
      <c r="X1404" s="1088">
        <v>1836.3388775510205</v>
      </c>
      <c r="Y1404" s="1005">
        <v>1890.35</v>
      </c>
      <c r="Z1404" s="1089"/>
      <c r="AA1404" s="1089"/>
      <c r="AB1404" s="1090"/>
      <c r="AC1404" s="1087"/>
      <c r="AD1404" s="1087"/>
      <c r="AE1404" s="1087"/>
      <c r="AF1404" s="1087"/>
      <c r="AG1404" s="1087"/>
      <c r="AH1404" s="248"/>
      <c r="AK1404" s="1091"/>
      <c r="BB1404" s="350">
        <f>(BD1404+BD1405+BD1406+BD1407)/(BE1404+BE1405+BE1406+BE1407)</f>
        <v>1.8813777277505355</v>
      </c>
      <c r="BC1404" s="884" t="str">
        <f t="shared" si="128"/>
        <v>Cooling Res 6 Year EUL</v>
      </c>
      <c r="BD1404" s="894">
        <f>(INDEX('Avoided Cost Benefits'!$C$4:$C$857,MATCH(BC1404,'Avoided Cost Benefits'!$A$4:$A$857,0)))*F1404</f>
        <v>1099.2085874041911</v>
      </c>
      <c r="BE1404" s="74">
        <f t="shared" si="129"/>
        <v>1123.7888436213643</v>
      </c>
      <c r="BG1404" s="919"/>
      <c r="BH1404" s="1092"/>
      <c r="BI1404" s="919"/>
    </row>
    <row r="1405" spans="1:61" s="65" customFormat="1" x14ac:dyDescent="0.25">
      <c r="A1405" s="785"/>
      <c r="B1405" s="177"/>
      <c r="C1405" s="1572" t="s">
        <v>1438</v>
      </c>
      <c r="D1405" s="2045" t="s">
        <v>795</v>
      </c>
      <c r="E1405" s="1702" t="s">
        <v>1439</v>
      </c>
      <c r="F1405" s="999">
        <f>ROUND(((K1672*K1800*(1/K1928-1/K2056)*K2696)/1000),2)</f>
        <v>2533.08</v>
      </c>
      <c r="G1405" s="318" t="s">
        <v>1369</v>
      </c>
      <c r="H1405" s="239">
        <f>VLOOKUP(G1405,'CP FACTORS'!$A$3:$B$38, 2, FALSE)</f>
        <v>0</v>
      </c>
      <c r="I1405" s="2046">
        <f t="shared" si="125"/>
        <v>0</v>
      </c>
      <c r="J1405" s="156">
        <f t="shared" si="126"/>
        <v>6</v>
      </c>
      <c r="K1405" s="1085">
        <f t="shared" si="127"/>
        <v>0</v>
      </c>
      <c r="L1405" s="1086"/>
      <c r="M1405" s="2089"/>
      <c r="N1405" s="2086"/>
      <c r="O1405" s="1453"/>
      <c r="P1405" s="177"/>
      <c r="Q1405" s="177"/>
      <c r="R1405" s="1894"/>
      <c r="S1405" s="177"/>
      <c r="T1405" s="177"/>
      <c r="U1405" s="2090"/>
      <c r="V1405" s="245" t="s">
        <v>20</v>
      </c>
      <c r="W1405" s="1087">
        <v>6249.9803405572748</v>
      </c>
      <c r="X1405" s="1088">
        <v>2027.0807587241729</v>
      </c>
      <c r="Y1405" s="1005">
        <v>2533.08</v>
      </c>
      <c r="Z1405" s="1089"/>
      <c r="AA1405" s="1089"/>
      <c r="AB1405" s="1090"/>
      <c r="AC1405" s="1087"/>
      <c r="AD1405" s="1087"/>
      <c r="AE1405" s="1087"/>
      <c r="AF1405" s="1087"/>
      <c r="AG1405" s="1087"/>
      <c r="AH1405" s="248"/>
      <c r="AK1405" s="1091"/>
      <c r="BB1405" s="995"/>
      <c r="BC1405" s="994" t="str">
        <f t="shared" si="128"/>
        <v>Heating Res 6 Year EUL</v>
      </c>
      <c r="BD1405" s="894">
        <f>(INDEX('Avoided Cost Benefits'!$C$4:$C$857,MATCH(BC1405,'Avoided Cost Benefits'!$A$4:$A$857,0)))*F1405</f>
        <v>421.33607286589728</v>
      </c>
      <c r="BE1405" s="74">
        <f t="shared" si="129"/>
        <v>0</v>
      </c>
      <c r="BG1405" s="919"/>
      <c r="BH1405" s="1092"/>
      <c r="BI1405" s="919"/>
    </row>
    <row r="1406" spans="1:61" s="65" customFormat="1" x14ac:dyDescent="0.25">
      <c r="A1406" s="785"/>
      <c r="B1406" s="177"/>
      <c r="C1406" s="1572" t="s">
        <v>1438</v>
      </c>
      <c r="D1406" s="2045" t="s">
        <v>795</v>
      </c>
      <c r="E1406" s="1702" t="s">
        <v>1440</v>
      </c>
      <c r="F1406" s="999">
        <f>ROUND(((K2185*K2313*(1/K2441-1/K2569)*K2697)/1000),2)</f>
        <v>293.29000000000002</v>
      </c>
      <c r="G1406" s="2078" t="s">
        <v>1408</v>
      </c>
      <c r="H1406" s="239">
        <f>VLOOKUP(G1406,'CP FACTORS'!$A$3:$B$38, 2, FALSE)</f>
        <v>9.4741810000000004E-4</v>
      </c>
      <c r="I1406" s="2046">
        <f t="shared" si="125"/>
        <v>0.277868</v>
      </c>
      <c r="J1406" s="156">
        <f t="shared" si="126"/>
        <v>12</v>
      </c>
      <c r="K1406" s="1085">
        <f t="shared" si="127"/>
        <v>0</v>
      </c>
      <c r="L1406" s="1086"/>
      <c r="M1406" s="2089"/>
      <c r="N1406" s="2086"/>
      <c r="O1406" s="1453"/>
      <c r="P1406" s="177"/>
      <c r="Q1406" s="177"/>
      <c r="R1406" s="1894"/>
      <c r="S1406" s="177"/>
      <c r="T1406" s="177"/>
      <c r="U1406" s="2090"/>
      <c r="V1406" s="245" t="s">
        <v>20</v>
      </c>
      <c r="W1406" s="1087">
        <v>307.25357142857132</v>
      </c>
      <c r="X1406" s="1088">
        <v>284.90785714285704</v>
      </c>
      <c r="Y1406" s="1005">
        <v>293.29000000000002</v>
      </c>
      <c r="Z1406" s="1089"/>
      <c r="AA1406" s="1089"/>
      <c r="AB1406" s="1090"/>
      <c r="AC1406" s="1087"/>
      <c r="AD1406" s="1087"/>
      <c r="AE1406" s="1087"/>
      <c r="AF1406" s="1087"/>
      <c r="AG1406" s="1087"/>
      <c r="AH1406" s="248"/>
      <c r="AK1406" s="1091"/>
      <c r="BB1406" s="995"/>
      <c r="BC1406" s="994" t="str">
        <f t="shared" si="128"/>
        <v>Cooling Res ER2 12 Year EUL</v>
      </c>
      <c r="BD1406" s="894">
        <f>(INDEX('Avoided Cost Benefits'!$C$4:$C$857,MATCH(BC1406,'Avoided Cost Benefits'!$A$4:$A$857,0)))*F1406</f>
        <v>346.76366322935695</v>
      </c>
      <c r="BE1406" s="74">
        <f t="shared" si="129"/>
        <v>0</v>
      </c>
      <c r="BG1406" s="919"/>
      <c r="BH1406" s="1092"/>
      <c r="BI1406" s="919"/>
    </row>
    <row r="1407" spans="1:61" s="65" customFormat="1" x14ac:dyDescent="0.25">
      <c r="A1407" s="785"/>
      <c r="B1407" s="177"/>
      <c r="C1407" s="1572" t="s">
        <v>1438</v>
      </c>
      <c r="D1407" s="2045" t="s">
        <v>795</v>
      </c>
      <c r="E1407" s="1703" t="s">
        <v>1440</v>
      </c>
      <c r="F1407" s="999">
        <f>ROUND(((K1673*K1801*(1/K1929-1/K2057)*K2697)/1000),2)</f>
        <v>835.23</v>
      </c>
      <c r="G1407" s="2078" t="s">
        <v>1427</v>
      </c>
      <c r="H1407" s="239">
        <f>VLOOKUP(G1407,'CP FACTORS'!$A$3:$B$38, 2, FALSE)</f>
        <v>0</v>
      </c>
      <c r="I1407" s="2046">
        <f t="shared" si="125"/>
        <v>0</v>
      </c>
      <c r="J1407" s="156">
        <f t="shared" si="126"/>
        <v>12</v>
      </c>
      <c r="K1407" s="1085">
        <f t="shared" si="127"/>
        <v>0</v>
      </c>
      <c r="L1407" s="1086"/>
      <c r="M1407" s="2089"/>
      <c r="N1407" s="2086"/>
      <c r="O1407" s="1453"/>
      <c r="P1407" s="177"/>
      <c r="Q1407" s="177"/>
      <c r="R1407" s="1894"/>
      <c r="S1407" s="177"/>
      <c r="T1407" s="177"/>
      <c r="U1407" s="2090"/>
      <c r="V1407" s="245" t="s">
        <v>20</v>
      </c>
      <c r="W1407" s="1087">
        <v>1327.6421052631592</v>
      </c>
      <c r="X1407" s="1088">
        <v>377.74325409076874</v>
      </c>
      <c r="Y1407" s="1005">
        <v>835.23</v>
      </c>
      <c r="Z1407" s="1089"/>
      <c r="AA1407" s="1089"/>
      <c r="AB1407" s="1090"/>
      <c r="AC1407" s="1087"/>
      <c r="AD1407" s="1087"/>
      <c r="AE1407" s="1087"/>
      <c r="AF1407" s="1087"/>
      <c r="AG1407" s="1087"/>
      <c r="AH1407" s="248"/>
      <c r="AK1407" s="1091"/>
      <c r="BB1407" s="995"/>
      <c r="BC1407" s="892" t="str">
        <f t="shared" si="128"/>
        <v>Heating Res ER2 12 Year EUL</v>
      </c>
      <c r="BD1407" s="894">
        <f>(INDEX('Avoided Cost Benefits'!$C$4:$C$857,MATCH(BC1407,'Avoided Cost Benefits'!$A$4:$A$857,0)))*F1407</f>
        <v>246.96297758431879</v>
      </c>
      <c r="BE1407" s="74">
        <f t="shared" si="129"/>
        <v>0</v>
      </c>
      <c r="BG1407" s="919"/>
      <c r="BH1407" s="1092"/>
      <c r="BI1407" s="919"/>
    </row>
    <row r="1408" spans="1:61" s="65" customFormat="1" x14ac:dyDescent="0.25">
      <c r="A1408" s="785"/>
      <c r="B1408" s="177"/>
      <c r="C1408" s="1572" t="s">
        <v>1441</v>
      </c>
      <c r="D1408" s="2045" t="s">
        <v>795</v>
      </c>
      <c r="E1408" s="2091" t="s">
        <v>1442</v>
      </c>
      <c r="F1408" s="999">
        <f>ROUND(((K2186*K2314*(1/K2442-1/K2570)*K2698)/1000),2)</f>
        <v>467.76</v>
      </c>
      <c r="G1408" s="318" t="s">
        <v>1367</v>
      </c>
      <c r="H1408" s="239">
        <f>VLOOKUP(G1408,'CP FACTORS'!$A$3:$B$38, 2, FALSE)</f>
        <v>9.4741810000000004E-4</v>
      </c>
      <c r="I1408" s="2046">
        <f t="shared" si="125"/>
        <v>0.443164</v>
      </c>
      <c r="J1408" s="156">
        <f t="shared" si="126"/>
        <v>18</v>
      </c>
      <c r="K1408" s="1085">
        <f t="shared" si="127"/>
        <v>438</v>
      </c>
      <c r="L1408" s="1086">
        <f>L1674</f>
        <v>3.11</v>
      </c>
      <c r="M1408" s="2089"/>
      <c r="N1408" s="2086"/>
      <c r="O1408" s="1453"/>
      <c r="P1408" s="177"/>
      <c r="Q1408" s="177"/>
      <c r="R1408" s="1894"/>
      <c r="S1408" s="177"/>
      <c r="T1408" s="177"/>
      <c r="U1408" s="2090"/>
      <c r="V1408" s="245" t="s">
        <v>20</v>
      </c>
      <c r="W1408" s="1087">
        <v>481.29230769230787</v>
      </c>
      <c r="X1408" s="1088">
        <v>460.23576923076939</v>
      </c>
      <c r="Y1408" s="1005">
        <v>467.76</v>
      </c>
      <c r="Z1408" s="1089"/>
      <c r="AA1408" s="1089"/>
      <c r="AB1408" s="1090"/>
      <c r="AC1408" s="1087"/>
      <c r="AD1408" s="1087"/>
      <c r="AE1408" s="1087"/>
      <c r="AF1408" s="1087"/>
      <c r="AG1408" s="1087"/>
      <c r="AH1408" s="248"/>
      <c r="AK1408" s="1091"/>
      <c r="BB1408" s="350">
        <f>(BD1408+BD1409)/(BE1408+BE1409)</f>
        <v>13.676928743305814</v>
      </c>
      <c r="BC1408" s="956" t="str">
        <f t="shared" si="128"/>
        <v>Cooling Res 18 Year EUL</v>
      </c>
      <c r="BD1408" s="894">
        <f>(INDEX('Avoided Cost Benefits'!$C$4:$C$857,MATCH(BC1408,'Avoided Cost Benefits'!$A$4:$A$857,0)))*F1408</f>
        <v>825.03867865737709</v>
      </c>
      <c r="BE1408" s="74">
        <f t="shared" si="129"/>
        <v>413.40254837187348</v>
      </c>
      <c r="BG1408" s="919"/>
      <c r="BH1408" s="1092"/>
      <c r="BI1408" s="919"/>
    </row>
    <row r="1409" spans="1:61" s="65" customFormat="1" x14ac:dyDescent="0.25">
      <c r="A1409" s="785"/>
      <c r="B1409" s="177"/>
      <c r="C1409" s="1572" t="s">
        <v>1441</v>
      </c>
      <c r="D1409" s="2045" t="s">
        <v>795</v>
      </c>
      <c r="E1409" s="2092" t="s">
        <v>1442</v>
      </c>
      <c r="F1409" s="999">
        <f>ROUND(((K1674*K1802*(1/K1930-1/K2058)*K2698)/1000),2)</f>
        <v>10452.1</v>
      </c>
      <c r="G1409" s="318" t="s">
        <v>1369</v>
      </c>
      <c r="H1409" s="239">
        <f>VLOOKUP(G1409,'CP FACTORS'!$A$3:$B$38, 2, FALSE)</f>
        <v>0</v>
      </c>
      <c r="I1409" s="2046">
        <f t="shared" si="125"/>
        <v>0</v>
      </c>
      <c r="J1409" s="156">
        <f t="shared" si="126"/>
        <v>18</v>
      </c>
      <c r="K1409" s="1085">
        <f t="shared" si="127"/>
        <v>0</v>
      </c>
      <c r="L1409" s="1086"/>
      <c r="M1409" s="2089"/>
      <c r="N1409" s="2086"/>
      <c r="O1409" s="1453"/>
      <c r="P1409" s="177"/>
      <c r="Q1409" s="177"/>
      <c r="R1409" s="1894"/>
      <c r="S1409" s="177"/>
      <c r="T1409" s="177"/>
      <c r="U1409" s="2090"/>
      <c r="V1409" s="245" t="s">
        <v>20</v>
      </c>
      <c r="W1409" s="1087">
        <v>14670.188469329136</v>
      </c>
      <c r="X1409" s="1088">
        <v>9788.00163331972</v>
      </c>
      <c r="Y1409" s="1005">
        <v>10452.1</v>
      </c>
      <c r="Z1409" s="1089"/>
      <c r="AA1409" s="1089"/>
      <c r="AB1409" s="1090"/>
      <c r="AC1409" s="1087"/>
      <c r="AD1409" s="1087"/>
      <c r="AE1409" s="1087"/>
      <c r="AF1409" s="1087"/>
      <c r="AG1409" s="1087"/>
      <c r="AH1409" s="248"/>
      <c r="AK1409" s="1091"/>
      <c r="BB1409" s="348"/>
      <c r="BC1409" s="1093" t="str">
        <f t="shared" si="128"/>
        <v>Heating Res 18 Year EUL</v>
      </c>
      <c r="BD1409" s="894">
        <f>(INDEX('Avoided Cost Benefits'!$C$4:$C$857,MATCH(BC1409,'Avoided Cost Benefits'!$A$4:$A$857,0)))*F1409</f>
        <v>4829.0385177257713</v>
      </c>
      <c r="BE1409" s="74">
        <f t="shared" si="129"/>
        <v>0</v>
      </c>
      <c r="BG1409" s="919"/>
      <c r="BH1409" s="1092"/>
      <c r="BI1409" s="919"/>
    </row>
    <row r="1410" spans="1:61" s="65" customFormat="1" x14ac:dyDescent="0.25">
      <c r="A1410" s="785"/>
      <c r="B1410" s="177"/>
      <c r="C1410" s="1572" t="s">
        <v>1443</v>
      </c>
      <c r="D1410" s="2045" t="s">
        <v>795</v>
      </c>
      <c r="E1410" s="2091" t="s">
        <v>1444</v>
      </c>
      <c r="F1410" s="999">
        <f>ROUND(((K2187*K2315*(1/K2443-1/K2571)*K2699)/1000),2)</f>
        <v>302.60000000000002</v>
      </c>
      <c r="G1410" s="318" t="s">
        <v>1367</v>
      </c>
      <c r="H1410" s="239">
        <f>VLOOKUP(G1410,'CP FACTORS'!$A$3:$B$38, 2, FALSE)</f>
        <v>9.4741810000000004E-4</v>
      </c>
      <c r="I1410" s="2046">
        <f t="shared" si="125"/>
        <v>0.28668900000000003</v>
      </c>
      <c r="J1410" s="156">
        <f t="shared" si="126"/>
        <v>18</v>
      </c>
      <c r="K1410" s="1085">
        <f t="shared" si="127"/>
        <v>438</v>
      </c>
      <c r="L1410" s="1086">
        <f>L1675</f>
        <v>3.25</v>
      </c>
      <c r="M1410" s="2089"/>
      <c r="N1410" s="2086"/>
      <c r="O1410" s="1453"/>
      <c r="P1410" s="177"/>
      <c r="Q1410" s="177"/>
      <c r="R1410" s="1894"/>
      <c r="S1410" s="177"/>
      <c r="T1410" s="177"/>
      <c r="U1410" s="2090"/>
      <c r="V1410" s="245" t="s">
        <v>20</v>
      </c>
      <c r="W1410" s="1087">
        <v>307.25357142857132</v>
      </c>
      <c r="X1410" s="1088">
        <v>284.90785714285704</v>
      </c>
      <c r="Y1410" s="1005">
        <v>302.60000000000002</v>
      </c>
      <c r="Z1410" s="1089"/>
      <c r="AA1410" s="1089"/>
      <c r="AB1410" s="1090"/>
      <c r="AC1410" s="1087"/>
      <c r="AD1410" s="1087"/>
      <c r="AE1410" s="1087"/>
      <c r="AF1410" s="1087"/>
      <c r="AG1410" s="1087"/>
      <c r="AH1410" s="248"/>
      <c r="AK1410" s="1091"/>
      <c r="BB1410" s="350">
        <f>(BD1410+BD1411)/(BE1410+BE1411)</f>
        <v>2.3282557687533334</v>
      </c>
      <c r="BC1410" s="956" t="str">
        <f t="shared" si="128"/>
        <v>Cooling Res 18 Year EUL</v>
      </c>
      <c r="BD1410" s="894">
        <f>(INDEX('Avoided Cost Benefits'!$C$4:$C$857,MATCH(BC1410,'Avoided Cost Benefits'!$A$4:$A$857,0)))*F1410</f>
        <v>533.72820284274485</v>
      </c>
      <c r="BE1410" s="74">
        <f t="shared" si="129"/>
        <v>413.40254837187348</v>
      </c>
      <c r="BG1410" s="919"/>
      <c r="BH1410" s="1092"/>
      <c r="BI1410" s="919"/>
    </row>
    <row r="1411" spans="1:61" s="65" customFormat="1" x14ac:dyDescent="0.25">
      <c r="A1411" s="785"/>
      <c r="B1411" s="177"/>
      <c r="C1411" s="1572" t="s">
        <v>1443</v>
      </c>
      <c r="D1411" s="2045" t="s">
        <v>795</v>
      </c>
      <c r="E1411" s="2092" t="s">
        <v>1444</v>
      </c>
      <c r="F1411" s="999">
        <f>ROUND(((K1675*K1803*(1/K1931-1/K2059)*K2699)/1000),2)</f>
        <v>928.06</v>
      </c>
      <c r="G1411" s="318" t="s">
        <v>1369</v>
      </c>
      <c r="H1411" s="239">
        <f>VLOOKUP(G1411,'CP FACTORS'!$A$3:$B$38, 2, FALSE)</f>
        <v>0</v>
      </c>
      <c r="I1411" s="2046">
        <f t="shared" si="125"/>
        <v>0</v>
      </c>
      <c r="J1411" s="156">
        <f t="shared" si="126"/>
        <v>18</v>
      </c>
      <c r="K1411" s="1085">
        <f t="shared" si="127"/>
        <v>0</v>
      </c>
      <c r="L1411" s="1086"/>
      <c r="M1411" s="2089"/>
      <c r="N1411" s="2086"/>
      <c r="O1411" s="1453"/>
      <c r="P1411" s="177"/>
      <c r="Q1411" s="177"/>
      <c r="R1411" s="1894"/>
      <c r="S1411" s="177"/>
      <c r="T1411" s="177"/>
      <c r="U1411" s="2090"/>
      <c r="V1411" s="245" t="s">
        <v>20</v>
      </c>
      <c r="W1411" s="1087">
        <v>1584.0000000000018</v>
      </c>
      <c r="X1411" s="1088">
        <v>377.74325409076874</v>
      </c>
      <c r="Y1411" s="1005">
        <v>928.06</v>
      </c>
      <c r="Z1411" s="1089"/>
      <c r="AA1411" s="1089"/>
      <c r="AB1411" s="1090"/>
      <c r="AC1411" s="1087"/>
      <c r="AD1411" s="1087"/>
      <c r="AE1411" s="1087"/>
      <c r="AF1411" s="1087"/>
      <c r="AG1411" s="1087"/>
      <c r="AH1411" s="248"/>
      <c r="AK1411" s="1091"/>
      <c r="BB1411" s="348"/>
      <c r="BC1411" s="1093" t="str">
        <f t="shared" si="128"/>
        <v>Heating Res 18 Year EUL</v>
      </c>
      <c r="BD1411" s="894">
        <f>(INDEX('Avoided Cost Benefits'!$C$4:$C$857,MATCH(BC1411,'Avoided Cost Benefits'!$A$4:$A$857,0)))*F1411</f>
        <v>428.77866522139846</v>
      </c>
      <c r="BE1411" s="74">
        <f t="shared" si="129"/>
        <v>0</v>
      </c>
      <c r="BG1411" s="919"/>
      <c r="BH1411" s="1092"/>
      <c r="BI1411" s="919"/>
    </row>
    <row r="1412" spans="1:61" s="65" customFormat="1" x14ac:dyDescent="0.25">
      <c r="A1412" s="785"/>
      <c r="B1412" s="177"/>
      <c r="C1412" s="1572" t="s">
        <v>1445</v>
      </c>
      <c r="D1412" s="2045" t="s">
        <v>797</v>
      </c>
      <c r="E1412" s="884" t="s">
        <v>1446</v>
      </c>
      <c r="F1412" s="999">
        <f>ROUND(((K2188*K2316*(1/K2444-1/K2572)*K2700)/1000),2)</f>
        <v>1130.95</v>
      </c>
      <c r="G1412" s="318" t="s">
        <v>1367</v>
      </c>
      <c r="H1412" s="239">
        <f>VLOOKUP(G1412,'CP FACTORS'!$A$3:$B$38, 2, FALSE)</f>
        <v>9.4741810000000004E-4</v>
      </c>
      <c r="I1412" s="2046">
        <f t="shared" si="125"/>
        <v>1.071483</v>
      </c>
      <c r="J1412" s="156">
        <f t="shared" si="126"/>
        <v>6</v>
      </c>
      <c r="K1412" s="1085">
        <f t="shared" si="127"/>
        <v>784.45980121616685</v>
      </c>
      <c r="L1412" s="1086">
        <f>L1676</f>
        <v>3.1</v>
      </c>
      <c r="M1412" s="2089"/>
      <c r="N1412" s="2086"/>
      <c r="O1412" s="1453"/>
      <c r="P1412" s="177"/>
      <c r="Q1412" s="177"/>
      <c r="R1412" s="1894"/>
      <c r="S1412" s="177"/>
      <c r="T1412" s="177"/>
      <c r="U1412" s="2090"/>
      <c r="V1412" s="245" t="s">
        <v>20</v>
      </c>
      <c r="W1412" s="1087">
        <v>1526.8406732891833</v>
      </c>
      <c r="X1412" s="1088">
        <v>1130.9484063824204</v>
      </c>
      <c r="Y1412" s="999">
        <v>1130.95</v>
      </c>
      <c r="Z1412" s="1089"/>
      <c r="AA1412" s="1089"/>
      <c r="AB1412" s="1090"/>
      <c r="AC1412" s="1087"/>
      <c r="AD1412" s="1087"/>
      <c r="AE1412" s="1087"/>
      <c r="AF1412" s="1087"/>
      <c r="AG1412" s="1087"/>
      <c r="AH1412" s="248"/>
      <c r="AK1412" s="1091"/>
      <c r="BB1412" s="350">
        <f>(BD1412+BD1413+BD1414+BD1415)/(BE1412+BE1413+BE1414+BE1415)</f>
        <v>1.464995818523922</v>
      </c>
      <c r="BC1412" s="884" t="str">
        <f t="shared" si="128"/>
        <v>Cooling Res 6 Year EUL</v>
      </c>
      <c r="BD1412" s="894">
        <f>(INDEX('Avoided Cost Benefits'!$C$4:$C$857,MATCH(BC1412,'Avoided Cost Benefits'!$A$4:$A$857,0)))*F1412</f>
        <v>657.62951407134665</v>
      </c>
      <c r="BE1412" s="74">
        <f t="shared" si="129"/>
        <v>740.40566419647644</v>
      </c>
      <c r="BG1412" s="919"/>
      <c r="BH1412" s="1092"/>
      <c r="BI1412" s="919"/>
    </row>
    <row r="1413" spans="1:61" s="65" customFormat="1" x14ac:dyDescent="0.25">
      <c r="A1413" s="785"/>
      <c r="B1413" s="177"/>
      <c r="C1413" s="1572" t="s">
        <v>1445</v>
      </c>
      <c r="D1413" s="2045" t="s">
        <v>797</v>
      </c>
      <c r="E1413" s="994" t="s">
        <v>1446</v>
      </c>
      <c r="F1413" s="999">
        <f>ROUND(((K1676*K1804*(1/K1932-1/K2060)*K2700)/1000),2)</f>
        <v>1339.61</v>
      </c>
      <c r="G1413" s="318" t="s">
        <v>1369</v>
      </c>
      <c r="H1413" s="239">
        <f>VLOOKUP(G1413,'CP FACTORS'!$A$3:$B$38, 2, FALSE)</f>
        <v>0</v>
      </c>
      <c r="I1413" s="2046">
        <f t="shared" si="125"/>
        <v>0</v>
      </c>
      <c r="J1413" s="156">
        <f t="shared" si="126"/>
        <v>6</v>
      </c>
      <c r="K1413" s="1085">
        <f t="shared" si="127"/>
        <v>0</v>
      </c>
      <c r="L1413" s="1086"/>
      <c r="M1413" s="2089"/>
      <c r="N1413" s="2086"/>
      <c r="O1413" s="1453"/>
      <c r="P1413" s="177"/>
      <c r="Q1413" s="177"/>
      <c r="R1413" s="1894"/>
      <c r="S1413" s="177"/>
      <c r="T1413" s="177"/>
      <c r="U1413" s="2090"/>
      <c r="V1413" s="245" t="s">
        <v>20</v>
      </c>
      <c r="W1413" s="1087">
        <v>3346.0750760649075</v>
      </c>
      <c r="X1413" s="1088">
        <v>2491.6517241379302</v>
      </c>
      <c r="Y1413" s="999">
        <v>2491.65</v>
      </c>
      <c r="Z1413" s="1089"/>
      <c r="AA1413" s="1089"/>
      <c r="AB1413" s="1090"/>
      <c r="AC1413" s="1087"/>
      <c r="AD1413" s="1087"/>
      <c r="AE1413" s="1087"/>
      <c r="AF1413" s="1087"/>
      <c r="AG1413" s="1087"/>
      <c r="AH1413" s="248"/>
      <c r="AK1413" s="1091"/>
      <c r="BB1413" s="995"/>
      <c r="BC1413" s="994" t="str">
        <f t="shared" si="128"/>
        <v>Heating Res 6 Year EUL</v>
      </c>
      <c r="BD1413" s="894">
        <f>(INDEX('Avoided Cost Benefits'!$C$4:$C$857,MATCH(BC1413,'Avoided Cost Benefits'!$A$4:$A$857,0)))*F1413</f>
        <v>222.8220255861973</v>
      </c>
      <c r="BE1413" s="74">
        <f t="shared" si="129"/>
        <v>0</v>
      </c>
      <c r="BG1413" s="919"/>
      <c r="BH1413" s="1092"/>
      <c r="BI1413" s="919"/>
    </row>
    <row r="1414" spans="1:61" s="65" customFormat="1" x14ac:dyDescent="0.25">
      <c r="A1414" s="785"/>
      <c r="B1414" s="177"/>
      <c r="C1414" s="1572" t="s">
        <v>1445</v>
      </c>
      <c r="D1414" s="2045" t="s">
        <v>797</v>
      </c>
      <c r="E1414" s="994" t="s">
        <v>1447</v>
      </c>
      <c r="F1414" s="999">
        <f>ROUND(((K2189*K2317*(1/K2445-1/K2573)*K2701)/1000),2)</f>
        <v>109.34</v>
      </c>
      <c r="G1414" s="2078" t="s">
        <v>1408</v>
      </c>
      <c r="H1414" s="239">
        <f>VLOOKUP(G1414,'CP FACTORS'!$A$3:$B$38, 2, FALSE)</f>
        <v>9.4741810000000004E-4</v>
      </c>
      <c r="I1414" s="2046">
        <f t="shared" si="125"/>
        <v>0.103591</v>
      </c>
      <c r="J1414" s="156">
        <f t="shared" si="126"/>
        <v>12</v>
      </c>
      <c r="K1414" s="1085">
        <f t="shared" si="127"/>
        <v>0</v>
      </c>
      <c r="L1414" s="1086"/>
      <c r="M1414" s="2089"/>
      <c r="N1414" s="2086"/>
      <c r="O1414" s="1453"/>
      <c r="P1414" s="177"/>
      <c r="Q1414" s="177"/>
      <c r="R1414" s="1894"/>
      <c r="S1414" s="177"/>
      <c r="T1414" s="177"/>
      <c r="U1414" s="2090"/>
      <c r="V1414" s="245" t="s">
        <v>20</v>
      </c>
      <c r="W1414" s="1087">
        <v>109.33614947965923</v>
      </c>
      <c r="X1414" s="1088">
        <v>109.33614947965923</v>
      </c>
      <c r="Y1414" s="999">
        <v>109.34</v>
      </c>
      <c r="Z1414" s="1089"/>
      <c r="AA1414" s="1089"/>
      <c r="AB1414" s="1090"/>
      <c r="AC1414" s="1087"/>
      <c r="AD1414" s="1087"/>
      <c r="AE1414" s="1087"/>
      <c r="AF1414" s="1087"/>
      <c r="AG1414" s="1087"/>
      <c r="AH1414" s="248"/>
      <c r="AK1414" s="1091"/>
      <c r="BB1414" s="995"/>
      <c r="BC1414" s="994" t="str">
        <f t="shared" si="128"/>
        <v>Cooling Res ER2 12 Year EUL</v>
      </c>
      <c r="BD1414" s="894">
        <f>(INDEX('Avoided Cost Benefits'!$C$4:$C$857,MATCH(BC1414,'Avoided Cost Benefits'!$A$4:$A$857,0)))*F1414</f>
        <v>129.27525294929214</v>
      </c>
      <c r="BE1414" s="74">
        <f t="shared" si="129"/>
        <v>0</v>
      </c>
      <c r="BG1414" s="919"/>
      <c r="BH1414" s="1092"/>
      <c r="BI1414" s="919"/>
    </row>
    <row r="1415" spans="1:61" s="65" customFormat="1" x14ac:dyDescent="0.25">
      <c r="A1415" s="785"/>
      <c r="B1415" s="177"/>
      <c r="C1415" s="1572" t="s">
        <v>1445</v>
      </c>
      <c r="D1415" s="2045" t="s">
        <v>797</v>
      </c>
      <c r="E1415" s="892" t="s">
        <v>1447</v>
      </c>
      <c r="F1415" s="999">
        <f>ROUND(((K1677*K1805*(1/K1933-1/K2061)*K2701)/1000),2)</f>
        <v>253.53</v>
      </c>
      <c r="G1415" s="2078" t="s">
        <v>1427</v>
      </c>
      <c r="H1415" s="239">
        <f>VLOOKUP(G1415,'CP FACTORS'!$A$3:$B$38, 2, FALSE)</f>
        <v>0</v>
      </c>
      <c r="I1415" s="2046">
        <f t="shared" si="125"/>
        <v>0</v>
      </c>
      <c r="J1415" s="156">
        <f t="shared" si="126"/>
        <v>12</v>
      </c>
      <c r="K1415" s="1085">
        <f t="shared" si="127"/>
        <v>0</v>
      </c>
      <c r="L1415" s="1086"/>
      <c r="M1415" s="2089"/>
      <c r="N1415" s="2086"/>
      <c r="O1415" s="1453"/>
      <c r="P1415" s="177"/>
      <c r="Q1415" s="177"/>
      <c r="R1415" s="1894"/>
      <c r="S1415" s="177"/>
      <c r="T1415" s="177"/>
      <c r="U1415" s="2090"/>
      <c r="V1415" s="245" t="s">
        <v>20</v>
      </c>
      <c r="W1415" s="1087">
        <v>340.46551724137925</v>
      </c>
      <c r="X1415" s="1088">
        <v>253.52733389402857</v>
      </c>
      <c r="Y1415" s="999">
        <v>253.53</v>
      </c>
      <c r="Z1415" s="1089"/>
      <c r="AA1415" s="1089"/>
      <c r="AB1415" s="1090"/>
      <c r="AC1415" s="1087"/>
      <c r="AD1415" s="1087"/>
      <c r="AE1415" s="1087"/>
      <c r="AF1415" s="1087"/>
      <c r="AG1415" s="1087"/>
      <c r="AH1415" s="248"/>
      <c r="AK1415" s="1091"/>
      <c r="BB1415" s="995"/>
      <c r="BC1415" s="892" t="str">
        <f t="shared" si="128"/>
        <v>Heating Res ER2 12 Year EUL</v>
      </c>
      <c r="BD1415" s="894">
        <f>(INDEX('Avoided Cost Benefits'!$C$4:$C$857,MATCH(BC1415,'Avoided Cost Benefits'!$A$4:$A$857,0)))*F1415</f>
        <v>74.964409452429081</v>
      </c>
      <c r="BE1415" s="74">
        <f t="shared" si="129"/>
        <v>0</v>
      </c>
      <c r="BG1415" s="919"/>
      <c r="BH1415" s="1092"/>
      <c r="BI1415" s="919"/>
    </row>
    <row r="1416" spans="1:61" s="65" customFormat="1" x14ac:dyDescent="0.25">
      <c r="A1416" s="785"/>
      <c r="B1416" s="177"/>
      <c r="C1416" s="1572" t="s">
        <v>1448</v>
      </c>
      <c r="D1416" s="2045" t="s">
        <v>792</v>
      </c>
      <c r="E1416" s="884" t="str">
        <f>CONCATENATE(E1412,"_CompE")</f>
        <v>ASHP SEER 15 MF ER replace ASHP: HVAC ER1_CompE</v>
      </c>
      <c r="F1416" s="999">
        <f>ROUND((($K$2190*$K$2318*(1/$K$2446-1/$K$2574)*$K$2702)/1000),2)</f>
        <v>822.51</v>
      </c>
      <c r="G1416" s="318" t="str">
        <f t="shared" ref="G1416:K1419" si="130">G1412</f>
        <v>Cooling Res</v>
      </c>
      <c r="H1416" s="239">
        <f t="shared" si="130"/>
        <v>9.4741810000000004E-4</v>
      </c>
      <c r="I1416" s="2518">
        <f>ROUND(F1416*H1416,6)</f>
        <v>0.77926099999999998</v>
      </c>
      <c r="J1416" s="156">
        <f>J1412</f>
        <v>6</v>
      </c>
      <c r="K1416" s="1085">
        <f>K1412</f>
        <v>784.45980121616685</v>
      </c>
      <c r="L1416" s="1086">
        <f>L1412</f>
        <v>3.1</v>
      </c>
      <c r="M1416" s="2089"/>
      <c r="N1416" s="2086"/>
      <c r="O1416" s="1453"/>
      <c r="P1416" s="177"/>
      <c r="Q1416" s="177"/>
      <c r="R1416" s="1894"/>
      <c r="S1416" s="177"/>
      <c r="T1416" s="177"/>
      <c r="U1416" s="2090"/>
      <c r="V1416" s="245" t="s">
        <v>20</v>
      </c>
      <c r="W1416" s="1087"/>
      <c r="X1416" s="1088"/>
      <c r="Y1416" s="1005">
        <v>822.51</v>
      </c>
      <c r="Z1416" s="1089"/>
      <c r="AA1416" s="1089"/>
      <c r="AB1416" s="1090"/>
      <c r="AC1416" s="1087"/>
      <c r="AD1416" s="1087"/>
      <c r="AE1416" s="1087"/>
      <c r="AF1416" s="1087"/>
      <c r="AG1416" s="1087"/>
      <c r="AH1416" s="248"/>
      <c r="AK1416" s="1091"/>
      <c r="BB1416" s="350">
        <f>(BD1416+BD1417+BD1418+BD1419)/(BE1416+BE1417+BE1418+BE1419)</f>
        <v>0.91006002835619548</v>
      </c>
      <c r="BC1416" s="884" t="str">
        <f t="shared" si="128"/>
        <v>Cooling Res 6 Year EUL</v>
      </c>
      <c r="BD1416" s="894">
        <f>(INDEX('Avoided Cost Benefits'!$C$4:$C$857,MATCH(BC1416,'Avoided Cost Benefits'!$A$4:$A$857,0)))*F1416</f>
        <v>478.27653885567292</v>
      </c>
      <c r="BE1416" s="74">
        <f t="shared" si="129"/>
        <v>740.40566419647644</v>
      </c>
      <c r="BG1416" s="919"/>
      <c r="BH1416" s="1095"/>
      <c r="BI1416" s="919"/>
    </row>
    <row r="1417" spans="1:61" s="65" customFormat="1" x14ac:dyDescent="0.25">
      <c r="A1417" s="785"/>
      <c r="B1417" s="177"/>
      <c r="C1417" s="1572" t="str">
        <f>C1416</f>
        <v>352701_2019_12_</v>
      </c>
      <c r="D1417" s="2045" t="s">
        <v>792</v>
      </c>
      <c r="E1417" s="994" t="str">
        <f>CONCATENATE(E1413,"_CompE")</f>
        <v>ASHP SEER 15 MF ER replace ASHP: HVAC ER1_CompE</v>
      </c>
      <c r="F1417" s="999">
        <f>ROUND((($K$1678*$K$1806*(1/$K$1934-1/$K$2062)*$K$2702)/1000),2)</f>
        <v>456.69</v>
      </c>
      <c r="G1417" s="318" t="str">
        <f t="shared" si="130"/>
        <v>Heating Res</v>
      </c>
      <c r="H1417" s="239">
        <f t="shared" si="130"/>
        <v>0</v>
      </c>
      <c r="I1417" s="2518">
        <f t="shared" ref="I1417:I1419" si="131">ROUND(F1417*H1417,6)</f>
        <v>0</v>
      </c>
      <c r="J1417" s="156">
        <f t="shared" si="130"/>
        <v>6</v>
      </c>
      <c r="K1417" s="1085">
        <f t="shared" si="130"/>
        <v>0</v>
      </c>
      <c r="L1417" s="1086"/>
      <c r="M1417" s="2089"/>
      <c r="N1417" s="2086"/>
      <c r="O1417" s="1453"/>
      <c r="P1417" s="177"/>
      <c r="Q1417" s="177"/>
      <c r="R1417" s="1894"/>
      <c r="S1417" s="177"/>
      <c r="T1417" s="177"/>
      <c r="U1417" s="2090"/>
      <c r="V1417" s="245" t="s">
        <v>20</v>
      </c>
      <c r="W1417" s="1087"/>
      <c r="X1417" s="1088"/>
      <c r="Y1417" s="1005">
        <v>849.43</v>
      </c>
      <c r="Z1417" s="1089"/>
      <c r="AA1417" s="1089"/>
      <c r="AB1417" s="1090"/>
      <c r="AC1417" s="1087"/>
      <c r="AD1417" s="1087"/>
      <c r="AE1417" s="1087"/>
      <c r="AF1417" s="1087"/>
      <c r="AG1417" s="1087"/>
      <c r="AH1417" s="248"/>
      <c r="AK1417" s="1091"/>
      <c r="BB1417" s="995"/>
      <c r="BC1417" s="994" t="str">
        <f t="shared" si="128"/>
        <v>Heating Res 6 Year EUL</v>
      </c>
      <c r="BD1417" s="894">
        <f>(INDEX('Avoided Cost Benefits'!$C$4:$C$857,MATCH(BC1417,'Avoided Cost Benefits'!$A$4:$A$857,0)))*F1417</f>
        <v>75.962848041564669</v>
      </c>
      <c r="BE1417" s="74">
        <f t="shared" si="129"/>
        <v>0</v>
      </c>
      <c r="BG1417" s="919"/>
      <c r="BH1417" s="1095"/>
      <c r="BI1417" s="919"/>
    </row>
    <row r="1418" spans="1:61" s="65" customFormat="1" x14ac:dyDescent="0.25">
      <c r="A1418" s="785"/>
      <c r="B1418" s="177"/>
      <c r="C1418" s="1572" t="str">
        <f t="shared" ref="C1418:C1419" si="132">C1417</f>
        <v>352701_2019_12_</v>
      </c>
      <c r="D1418" s="2045" t="s">
        <v>792</v>
      </c>
      <c r="E1418" s="994" t="str">
        <f>CONCATENATE(E1414,"_CompE")</f>
        <v>ASHP SEER 15 MF ER replace ASHP: HVAC ER2_CompE</v>
      </c>
      <c r="F1418" s="999">
        <f>ROUND((($K$2191*$K$2319*(1/$K$2447-1/$K$2575)*$K$2703)/1000),2)</f>
        <v>79.52</v>
      </c>
      <c r="G1418" s="318" t="str">
        <f t="shared" si="130"/>
        <v>Cooling Res ER2</v>
      </c>
      <c r="H1418" s="239">
        <f t="shared" si="130"/>
        <v>9.4741810000000004E-4</v>
      </c>
      <c r="I1418" s="2518">
        <f t="shared" si="131"/>
        <v>7.5339000000000003E-2</v>
      </c>
      <c r="J1418" s="156">
        <f t="shared" si="130"/>
        <v>12</v>
      </c>
      <c r="K1418" s="1085">
        <f t="shared" si="130"/>
        <v>0</v>
      </c>
      <c r="L1418" s="1086"/>
      <c r="M1418" s="2089"/>
      <c r="N1418" s="2086"/>
      <c r="O1418" s="1453"/>
      <c r="P1418" s="177"/>
      <c r="Q1418" s="177"/>
      <c r="R1418" s="1894"/>
      <c r="S1418" s="177"/>
      <c r="T1418" s="177"/>
      <c r="U1418" s="2090"/>
      <c r="V1418" s="245" t="s">
        <v>20</v>
      </c>
      <c r="W1418" s="1087"/>
      <c r="X1418" s="1088"/>
      <c r="Y1418" s="1005">
        <v>79.52</v>
      </c>
      <c r="Z1418" s="1089"/>
      <c r="AA1418" s="1089"/>
      <c r="AB1418" s="1090"/>
      <c r="AC1418" s="1087"/>
      <c r="AD1418" s="1087"/>
      <c r="AE1418" s="1087"/>
      <c r="AF1418" s="1087"/>
      <c r="AG1418" s="1087"/>
      <c r="AH1418" s="248"/>
      <c r="AK1418" s="1091"/>
      <c r="BB1418" s="995"/>
      <c r="BC1418" s="994" t="str">
        <f t="shared" si="128"/>
        <v>Cooling Res ER2 12 Year EUL</v>
      </c>
      <c r="BD1418" s="894">
        <f>(INDEX('Avoided Cost Benefits'!$C$4:$C$857,MATCH(BC1418,'Avoided Cost Benefits'!$A$4:$A$857,0)))*F1418</f>
        <v>94.018365781303359</v>
      </c>
      <c r="BE1418" s="74">
        <f t="shared" si="129"/>
        <v>0</v>
      </c>
      <c r="BG1418" s="919"/>
      <c r="BH1418" s="1095"/>
      <c r="BI1418" s="919"/>
    </row>
    <row r="1419" spans="1:61" s="65" customFormat="1" x14ac:dyDescent="0.25">
      <c r="A1419" s="785"/>
      <c r="B1419" s="177"/>
      <c r="C1419" s="1572" t="str">
        <f t="shared" si="132"/>
        <v>352701_2019_12_</v>
      </c>
      <c r="D1419" s="2045" t="s">
        <v>792</v>
      </c>
      <c r="E1419" s="892" t="str">
        <f>CONCATENATE(E1415,"_CompE")</f>
        <v>ASHP SEER 15 MF ER replace ASHP: HVAC ER2_CompE</v>
      </c>
      <c r="F1419" s="999">
        <f>ROUND((($K$1679*$K$1807*(1/$K$1935-1/$K$2063)*$K$2703)/1000),2)</f>
        <v>86.43</v>
      </c>
      <c r="G1419" s="318" t="str">
        <f t="shared" si="130"/>
        <v>Heating Res ER2</v>
      </c>
      <c r="H1419" s="239">
        <f t="shared" si="130"/>
        <v>0</v>
      </c>
      <c r="I1419" s="2518">
        <f t="shared" si="131"/>
        <v>0</v>
      </c>
      <c r="J1419" s="156">
        <f t="shared" si="130"/>
        <v>12</v>
      </c>
      <c r="K1419" s="1085">
        <f t="shared" si="130"/>
        <v>0</v>
      </c>
      <c r="L1419" s="1086"/>
      <c r="M1419" s="2089"/>
      <c r="N1419" s="2086"/>
      <c r="O1419" s="1453"/>
      <c r="P1419" s="177"/>
      <c r="Q1419" s="177"/>
      <c r="R1419" s="1894"/>
      <c r="S1419" s="177"/>
      <c r="T1419" s="177"/>
      <c r="U1419" s="2090"/>
      <c r="V1419" s="245" t="s">
        <v>20</v>
      </c>
      <c r="W1419" s="1087"/>
      <c r="X1419" s="1088"/>
      <c r="Y1419" s="1005">
        <v>86.43</v>
      </c>
      <c r="Z1419" s="1089"/>
      <c r="AA1419" s="1089"/>
      <c r="AB1419" s="1090"/>
      <c r="AC1419" s="1087"/>
      <c r="AD1419" s="1087"/>
      <c r="AE1419" s="1087"/>
      <c r="AF1419" s="1087"/>
      <c r="AG1419" s="1087"/>
      <c r="AH1419" s="248"/>
      <c r="AK1419" s="1091"/>
      <c r="BB1419" s="995"/>
      <c r="BC1419" s="892" t="str">
        <f t="shared" si="128"/>
        <v>Heating Res ER2 12 Year EUL</v>
      </c>
      <c r="BD1419" s="894">
        <f>(INDEX('Avoided Cost Benefits'!$C$4:$C$857,MATCH(BC1419,'Avoided Cost Benefits'!$A$4:$A$857,0)))*F1419</f>
        <v>25.555847075192073</v>
      </c>
      <c r="BE1419" s="74">
        <f t="shared" si="129"/>
        <v>0</v>
      </c>
      <c r="BG1419" s="919"/>
      <c r="BH1419" s="1095"/>
      <c r="BI1419" s="919"/>
    </row>
    <row r="1420" spans="1:61" s="65" customFormat="1" x14ac:dyDescent="0.25">
      <c r="A1420" s="785"/>
      <c r="B1420" s="177"/>
      <c r="C1420" s="1572" t="s">
        <v>1449</v>
      </c>
      <c r="D1420" s="2045" t="s">
        <v>797</v>
      </c>
      <c r="E1420" s="884" t="s">
        <v>1450</v>
      </c>
      <c r="F1420" s="999">
        <f>ROUND(((K2192*K2320*(1/K2448-1/K2576)*K2704)/1000),2)</f>
        <v>1021.5</v>
      </c>
      <c r="G1420" s="318" t="s">
        <v>1367</v>
      </c>
      <c r="H1420" s="239">
        <f>VLOOKUP(G1420,'CP FACTORS'!$A$3:$B$38, 2, FALSE)</f>
        <v>9.4741810000000004E-4</v>
      </c>
      <c r="I1420" s="2046">
        <f t="shared" si="125"/>
        <v>0.96778799999999998</v>
      </c>
      <c r="J1420" s="156">
        <f>K2844</f>
        <v>6</v>
      </c>
      <c r="K1420" s="1085">
        <f>K3014</f>
        <v>737.86691722750493</v>
      </c>
      <c r="L1420" s="1086">
        <f>L1680</f>
        <v>2.8</v>
      </c>
      <c r="M1420" s="2089"/>
      <c r="N1420" s="2086"/>
      <c r="O1420" s="1453"/>
      <c r="P1420" s="177"/>
      <c r="Q1420" s="177"/>
      <c r="R1420" s="1894"/>
      <c r="S1420" s="177"/>
      <c r="T1420" s="177"/>
      <c r="U1420" s="2090"/>
      <c r="V1420" s="245" t="s">
        <v>20</v>
      </c>
      <c r="W1420" s="1087">
        <v>1534.1387611998441</v>
      </c>
      <c r="X1420" s="1088">
        <v>1021.5017864099281</v>
      </c>
      <c r="Y1420" s="999">
        <v>1021.5</v>
      </c>
      <c r="Z1420" s="1089"/>
      <c r="AA1420" s="1089"/>
      <c r="AB1420" s="1090"/>
      <c r="AC1420" s="1087"/>
      <c r="AD1420" s="1087"/>
      <c r="AE1420" s="1087"/>
      <c r="AF1420" s="1087"/>
      <c r="AG1420" s="1087"/>
      <c r="AH1420" s="248"/>
      <c r="AK1420" s="1091"/>
      <c r="BB1420" s="350">
        <f>(BD1420+BD1421+BD1422+BD1423)/(BE1420+BE1421+BE1422+BE1423)</f>
        <v>5.0625710103051942</v>
      </c>
      <c r="BC1420" s="884" t="str">
        <f t="shared" si="128"/>
        <v>Cooling Res 6 Year EUL</v>
      </c>
      <c r="BD1420" s="894">
        <f>(INDEX('Avoided Cost Benefits'!$C$4:$C$857,MATCH(BC1420,'Avoided Cost Benefits'!$A$4:$A$857,0)))*F1420</f>
        <v>593.98607243811</v>
      </c>
      <c r="BE1420" s="74">
        <f t="shared" si="129"/>
        <v>696.42936972865016</v>
      </c>
      <c r="BG1420" s="919"/>
      <c r="BH1420" s="1092"/>
      <c r="BI1420" s="919"/>
    </row>
    <row r="1421" spans="1:61" s="65" customFormat="1" x14ac:dyDescent="0.25">
      <c r="A1421" s="785"/>
      <c r="B1421" s="177"/>
      <c r="C1421" s="1572" t="s">
        <v>1449</v>
      </c>
      <c r="D1421" s="2045" t="s">
        <v>797</v>
      </c>
      <c r="E1421" s="994" t="s">
        <v>1450</v>
      </c>
      <c r="F1421" s="999">
        <f>ROUND(((K1680*K1808*(1/K1936-1/K2064)*K2704)/1000),2)</f>
        <v>5825.94</v>
      </c>
      <c r="G1421" s="318" t="s">
        <v>1369</v>
      </c>
      <c r="H1421" s="239">
        <f>VLOOKUP(G1421,'CP FACTORS'!$A$3:$B$38, 2, FALSE)</f>
        <v>0</v>
      </c>
      <c r="I1421" s="2046">
        <f t="shared" si="125"/>
        <v>0</v>
      </c>
      <c r="J1421" s="156">
        <f>K2845</f>
        <v>6</v>
      </c>
      <c r="K1421" s="1085">
        <f>K3015</f>
        <v>0</v>
      </c>
      <c r="L1421" s="1086"/>
      <c r="M1421" s="2089"/>
      <c r="N1421" s="2086"/>
      <c r="O1421" s="1453"/>
      <c r="P1421" s="177"/>
      <c r="Q1421" s="177"/>
      <c r="R1421" s="1894"/>
      <c r="S1421" s="177"/>
      <c r="T1421" s="177"/>
      <c r="U1421" s="2090"/>
      <c r="V1421" s="245" t="s">
        <v>20</v>
      </c>
      <c r="W1421" s="1087">
        <v>7823.7436343411837</v>
      </c>
      <c r="X1421" s="1088">
        <v>5825.9434927697412</v>
      </c>
      <c r="Y1421" s="999">
        <v>5825.94</v>
      </c>
      <c r="Z1421" s="1089"/>
      <c r="AA1421" s="1089"/>
      <c r="AB1421" s="1090"/>
      <c r="AC1421" s="1087"/>
      <c r="AD1421" s="1087"/>
      <c r="AE1421" s="1087"/>
      <c r="AF1421" s="1087"/>
      <c r="AG1421" s="1087"/>
      <c r="AH1421" s="248"/>
      <c r="AK1421" s="1091"/>
      <c r="BB1421" s="995"/>
      <c r="BC1421" s="994" t="str">
        <f t="shared" si="128"/>
        <v>Heating Res 6 Year EUL</v>
      </c>
      <c r="BD1421" s="894">
        <f>(INDEX('Avoided Cost Benefits'!$C$4:$C$857,MATCH(BC1421,'Avoided Cost Benefits'!$A$4:$A$857,0)))*F1421</f>
        <v>969.0490155669562</v>
      </c>
      <c r="BE1421" s="74">
        <f t="shared" si="129"/>
        <v>0</v>
      </c>
      <c r="BG1421" s="919"/>
      <c r="BH1421" s="1092"/>
      <c r="BI1421" s="919"/>
    </row>
    <row r="1422" spans="1:61" s="65" customFormat="1" x14ac:dyDescent="0.25">
      <c r="A1422" s="785"/>
      <c r="B1422" s="177"/>
      <c r="C1422" s="1572" t="s">
        <v>1449</v>
      </c>
      <c r="D1422" s="2045" t="s">
        <v>797</v>
      </c>
      <c r="E1422" s="994" t="s">
        <v>1451</v>
      </c>
      <c r="F1422" s="999">
        <f>ROUND(((K2193*K2321*(1/K2449-1/K2577)*K2705)/1000),2)</f>
        <v>203.04</v>
      </c>
      <c r="G1422" s="2078" t="s">
        <v>1408</v>
      </c>
      <c r="H1422" s="239">
        <f>VLOOKUP(G1422,'CP FACTORS'!$A$3:$B$38, 2, FALSE)</f>
        <v>9.4741810000000004E-4</v>
      </c>
      <c r="I1422" s="2046">
        <f t="shared" si="125"/>
        <v>0.19236400000000001</v>
      </c>
      <c r="J1422" s="156">
        <f>K2846</f>
        <v>12</v>
      </c>
      <c r="K1422" s="1085">
        <f>K3016</f>
        <v>0</v>
      </c>
      <c r="L1422" s="1086"/>
      <c r="M1422" s="2089"/>
      <c r="N1422" s="2086"/>
      <c r="O1422" s="1453"/>
      <c r="P1422" s="177"/>
      <c r="Q1422" s="177"/>
      <c r="R1422" s="1894"/>
      <c r="S1422" s="177"/>
      <c r="T1422" s="177"/>
      <c r="U1422" s="2090"/>
      <c r="V1422" s="245" t="s">
        <v>20</v>
      </c>
      <c r="W1422" s="1087">
        <v>203.03523178807947</v>
      </c>
      <c r="X1422" s="1096">
        <v>203.03523178807947</v>
      </c>
      <c r="Y1422" s="999">
        <v>203.04</v>
      </c>
      <c r="Z1422" s="1089"/>
      <c r="AA1422" s="1089"/>
      <c r="AB1422" s="1090"/>
      <c r="AC1422" s="1087"/>
      <c r="AD1422" s="1087"/>
      <c r="AE1422" s="1087"/>
      <c r="AF1422" s="1087"/>
      <c r="AG1422" s="1087"/>
      <c r="AH1422" s="248"/>
      <c r="AK1422" s="1091"/>
      <c r="BB1422" s="995"/>
      <c r="BC1422" s="994" t="str">
        <f t="shared" si="128"/>
        <v>Cooling Res ER2 12 Year EUL</v>
      </c>
      <c r="BD1422" s="894">
        <f>(INDEX('Avoided Cost Benefits'!$C$4:$C$857,MATCH(BC1422,'Avoided Cost Benefits'!$A$4:$A$857,0)))*F1422</f>
        <v>240.05896614984701</v>
      </c>
      <c r="BE1422" s="74">
        <f t="shared" si="129"/>
        <v>0</v>
      </c>
      <c r="BG1422" s="919"/>
      <c r="BH1422" s="1092"/>
      <c r="BI1422" s="919"/>
    </row>
    <row r="1423" spans="1:61" s="65" customFormat="1" x14ac:dyDescent="0.25">
      <c r="A1423" s="785"/>
      <c r="B1423" s="177"/>
      <c r="C1423" s="1572" t="s">
        <v>1449</v>
      </c>
      <c r="D1423" s="2045" t="s">
        <v>797</v>
      </c>
      <c r="E1423" s="892" t="s">
        <v>1451</v>
      </c>
      <c r="F1423" s="999">
        <f>ROUND(((K1681*K1809*(1/K1937-1/K2065)*K2705)/1000),2)</f>
        <v>5825.94</v>
      </c>
      <c r="G1423" s="2078" t="s">
        <v>1427</v>
      </c>
      <c r="H1423" s="239">
        <f>VLOOKUP(G1423,'CP FACTORS'!$A$3:$B$38, 2, FALSE)</f>
        <v>0</v>
      </c>
      <c r="I1423" s="2046">
        <f t="shared" si="125"/>
        <v>0</v>
      </c>
      <c r="J1423" s="156">
        <f>K2847</f>
        <v>12</v>
      </c>
      <c r="K1423" s="1085">
        <f>K3017</f>
        <v>0</v>
      </c>
      <c r="L1423" s="1086"/>
      <c r="M1423" s="2089"/>
      <c r="N1423" s="2086"/>
      <c r="O1423" s="1453"/>
      <c r="P1423" s="177"/>
      <c r="Q1423" s="177"/>
      <c r="R1423" s="1894"/>
      <c r="S1423" s="177"/>
      <c r="T1423" s="177"/>
      <c r="U1423" s="2090"/>
      <c r="V1423" s="245" t="s">
        <v>20</v>
      </c>
      <c r="W1423" s="1087">
        <v>7823.7436343411837</v>
      </c>
      <c r="X1423" s="1088">
        <v>5825.9434927697412</v>
      </c>
      <c r="Y1423" s="999">
        <v>5825.94</v>
      </c>
      <c r="Z1423" s="1089"/>
      <c r="AA1423" s="1089"/>
      <c r="AB1423" s="1090"/>
      <c r="AC1423" s="1087"/>
      <c r="AD1423" s="1087"/>
      <c r="AE1423" s="1087"/>
      <c r="AF1423" s="1087"/>
      <c r="AG1423" s="1087"/>
      <c r="AH1423" s="248"/>
      <c r="AK1423" s="1091"/>
      <c r="BB1423" s="995"/>
      <c r="BC1423" s="892" t="str">
        <f t="shared" si="128"/>
        <v>Heating Res ER2 12 Year EUL</v>
      </c>
      <c r="BD1423" s="894">
        <f>(INDEX('Avoided Cost Benefits'!$C$4:$C$857,MATCH(BC1423,'Avoided Cost Benefits'!$A$4:$A$857,0)))*F1423</f>
        <v>1722.6290837584691</v>
      </c>
      <c r="BE1423" s="74">
        <f t="shared" si="129"/>
        <v>0</v>
      </c>
      <c r="BG1423" s="919"/>
      <c r="BH1423" s="1092"/>
      <c r="BI1423" s="919"/>
    </row>
    <row r="1424" spans="1:61" s="65" customFormat="1" x14ac:dyDescent="0.25">
      <c r="A1424" s="785"/>
      <c r="B1424" s="177"/>
      <c r="C1424" s="1572" t="s">
        <v>1452</v>
      </c>
      <c r="D1424" s="2045" t="s">
        <v>792</v>
      </c>
      <c r="E1424" s="884" t="str">
        <f>CONCATENATE(E1420,"_CompE")</f>
        <v>ASHP SEER 15 MF ER replace Elec Resist Furnace: HVAC ER1_CompE</v>
      </c>
      <c r="F1424" s="999">
        <f>ROUND((($K$2194*$K$2322*(1/$K$2450-1/$K$2578)*$K$2706)/1000),2)</f>
        <v>742.91</v>
      </c>
      <c r="G1424" s="318" t="str">
        <f t="shared" ref="G1424:K1427" si="133">G1420</f>
        <v>Cooling Res</v>
      </c>
      <c r="H1424" s="239">
        <f t="shared" si="133"/>
        <v>9.4741810000000004E-4</v>
      </c>
      <c r="I1424" s="2518">
        <f t="shared" si="125"/>
        <v>0.70384599999999997</v>
      </c>
      <c r="J1424" s="156">
        <f>J1420</f>
        <v>6</v>
      </c>
      <c r="K1424" s="1085">
        <f>K1420</f>
        <v>737.86691722750493</v>
      </c>
      <c r="L1424" s="1086">
        <f>L1420</f>
        <v>2.8</v>
      </c>
      <c r="M1424" s="2089"/>
      <c r="N1424" s="2086"/>
      <c r="O1424" s="1453"/>
      <c r="P1424" s="177"/>
      <c r="Q1424" s="177"/>
      <c r="R1424" s="1894"/>
      <c r="S1424" s="177"/>
      <c r="T1424" s="177"/>
      <c r="U1424" s="2090"/>
      <c r="V1424" s="245" t="s">
        <v>20</v>
      </c>
      <c r="W1424" s="1087"/>
      <c r="X1424" s="1088"/>
      <c r="Y1424" s="1005">
        <v>742.91</v>
      </c>
      <c r="Z1424" s="1089"/>
      <c r="AA1424" s="1089"/>
      <c r="AB1424" s="1090"/>
      <c r="AC1424" s="1087"/>
      <c r="AD1424" s="1087"/>
      <c r="AE1424" s="1087"/>
      <c r="AF1424" s="1087"/>
      <c r="AG1424" s="1087"/>
      <c r="AH1424" s="248"/>
      <c r="AK1424" s="1091"/>
      <c r="BB1424" s="350">
        <f>(BD1424+BD1425+BD1426+BD1427)/(BE1424+BE1425+BE1426+BE1427)</f>
        <v>2.1885804643584481</v>
      </c>
      <c r="BC1424" s="884" t="str">
        <f t="shared" si="128"/>
        <v>Cooling Res 6 Year EUL</v>
      </c>
      <c r="BD1424" s="894">
        <f>(INDEX('Avoided Cost Benefits'!$C$4:$C$857,MATCH(BC1424,'Avoided Cost Benefits'!$A$4:$A$857,0)))*F1424</f>
        <v>431.99039948604633</v>
      </c>
      <c r="BE1424" s="74">
        <f t="shared" si="129"/>
        <v>696.42936972865016</v>
      </c>
      <c r="BG1424" s="919"/>
      <c r="BH1424" s="1095"/>
      <c r="BI1424" s="919"/>
    </row>
    <row r="1425" spans="1:61" s="65" customFormat="1" x14ac:dyDescent="0.25">
      <c r="A1425" s="785"/>
      <c r="B1425" s="177"/>
      <c r="C1425" s="1572" t="str">
        <f>C1424</f>
        <v>352751_2019_12_</v>
      </c>
      <c r="D1425" s="2045" t="s">
        <v>792</v>
      </c>
      <c r="E1425" s="994" t="str">
        <f>CONCATENATE(E1421,"_CompE")</f>
        <v>ASHP SEER 15 MF ER replace Elec Resist Furnace: HVAC ER1_CompE</v>
      </c>
      <c r="F1425" s="999">
        <f>ROUND((($K$1682*$K$1810*(1/$K$1938-1/$K$2066)*$K$2706)/1000),2)</f>
        <v>1986.12</v>
      </c>
      <c r="G1425" s="318" t="str">
        <f t="shared" si="133"/>
        <v>Heating Res</v>
      </c>
      <c r="H1425" s="239">
        <f t="shared" si="133"/>
        <v>0</v>
      </c>
      <c r="I1425" s="2518">
        <f t="shared" si="125"/>
        <v>0</v>
      </c>
      <c r="J1425" s="156">
        <f t="shared" si="133"/>
        <v>6</v>
      </c>
      <c r="K1425" s="1085">
        <f t="shared" si="133"/>
        <v>0</v>
      </c>
      <c r="L1425" s="1086"/>
      <c r="M1425" s="2089"/>
      <c r="N1425" s="2086"/>
      <c r="O1425" s="1453"/>
      <c r="P1425" s="177"/>
      <c r="Q1425" s="177"/>
      <c r="R1425" s="1894"/>
      <c r="S1425" s="177"/>
      <c r="T1425" s="177"/>
      <c r="U1425" s="2090"/>
      <c r="V1425" s="245" t="s">
        <v>20</v>
      </c>
      <c r="W1425" s="1087"/>
      <c r="X1425" s="1088"/>
      <c r="Y1425" s="1005">
        <v>1986.12</v>
      </c>
      <c r="Z1425" s="1089"/>
      <c r="AA1425" s="1089"/>
      <c r="AB1425" s="1090"/>
      <c r="AC1425" s="1087"/>
      <c r="AD1425" s="1087"/>
      <c r="AE1425" s="1087"/>
      <c r="AF1425" s="1087"/>
      <c r="AG1425" s="1087"/>
      <c r="AH1425" s="248"/>
      <c r="AK1425" s="1091"/>
      <c r="BB1425" s="995"/>
      <c r="BC1425" s="994" t="str">
        <f t="shared" si="128"/>
        <v>Heating Res 6 Year EUL</v>
      </c>
      <c r="BD1425" s="894">
        <f>(INDEX('Avoided Cost Benefits'!$C$4:$C$857,MATCH(BC1425,'Avoided Cost Benefits'!$A$4:$A$857,0)))*F1425</f>
        <v>330.35829939852505</v>
      </c>
      <c r="BE1425" s="74">
        <f t="shared" si="129"/>
        <v>0</v>
      </c>
      <c r="BG1425" s="919"/>
      <c r="BH1425" s="1095"/>
      <c r="BI1425" s="919"/>
    </row>
    <row r="1426" spans="1:61" s="65" customFormat="1" x14ac:dyDescent="0.25">
      <c r="A1426" s="785"/>
      <c r="B1426" s="177"/>
      <c r="C1426" s="1572" t="str">
        <f t="shared" ref="C1426:C1427" si="134">C1425</f>
        <v>352751_2019_12_</v>
      </c>
      <c r="D1426" s="2045" t="s">
        <v>792</v>
      </c>
      <c r="E1426" s="994" t="str">
        <f>CONCATENATE(E1422,"_CompE")</f>
        <v>ASHP SEER 15 MF ER replace Elec Resist Furnace: HVAC ER2_CompE</v>
      </c>
      <c r="F1426" s="999">
        <f>ROUND((($K$2195*$K$2323*(1/$K$2451-1/$K$2579)*$K$2707)/1000),2)</f>
        <v>147.66</v>
      </c>
      <c r="G1426" s="318" t="str">
        <f t="shared" si="133"/>
        <v>Cooling Res ER2</v>
      </c>
      <c r="H1426" s="239">
        <f t="shared" si="133"/>
        <v>9.4741810000000004E-4</v>
      </c>
      <c r="I1426" s="2518">
        <f t="shared" si="125"/>
        <v>0.13989599999999999</v>
      </c>
      <c r="J1426" s="156">
        <f t="shared" si="133"/>
        <v>12</v>
      </c>
      <c r="K1426" s="1085">
        <f t="shared" si="133"/>
        <v>0</v>
      </c>
      <c r="L1426" s="1086"/>
      <c r="M1426" s="2089"/>
      <c r="N1426" s="2086"/>
      <c r="O1426" s="1453"/>
      <c r="P1426" s="177"/>
      <c r="Q1426" s="177"/>
      <c r="R1426" s="1894"/>
      <c r="S1426" s="177"/>
      <c r="T1426" s="177"/>
      <c r="U1426" s="2090"/>
      <c r="V1426" s="245" t="s">
        <v>20</v>
      </c>
      <c r="W1426" s="1087"/>
      <c r="X1426" s="1088"/>
      <c r="Y1426" s="1005">
        <v>147.66</v>
      </c>
      <c r="Z1426" s="1089"/>
      <c r="AA1426" s="1089"/>
      <c r="AB1426" s="1090"/>
      <c r="AC1426" s="1087"/>
      <c r="AD1426" s="1087"/>
      <c r="AE1426" s="1087"/>
      <c r="AF1426" s="1087"/>
      <c r="AG1426" s="1087"/>
      <c r="AH1426" s="248"/>
      <c r="AK1426" s="1091"/>
      <c r="BB1426" s="995"/>
      <c r="BC1426" s="994" t="str">
        <f t="shared" si="128"/>
        <v>Cooling Res ER2 12 Year EUL</v>
      </c>
      <c r="BD1426" s="894">
        <f>(INDEX('Avoided Cost Benefits'!$C$4:$C$857,MATCH(BC1426,'Avoided Cost Benefits'!$A$4:$A$857,0)))*F1426</f>
        <v>174.58188998072504</v>
      </c>
      <c r="BE1426" s="74">
        <f t="shared" si="129"/>
        <v>0</v>
      </c>
      <c r="BG1426" s="919"/>
      <c r="BH1426" s="1095"/>
      <c r="BI1426" s="919"/>
    </row>
    <row r="1427" spans="1:61" s="65" customFormat="1" x14ac:dyDescent="0.25">
      <c r="A1427" s="785"/>
      <c r="B1427" s="177"/>
      <c r="C1427" s="1572" t="str">
        <f t="shared" si="134"/>
        <v>352751_2019_12_</v>
      </c>
      <c r="D1427" s="2045" t="s">
        <v>792</v>
      </c>
      <c r="E1427" s="892" t="str">
        <f>CONCATENATE(E1423,"_CompE")</f>
        <v>ASHP SEER 15 MF ER replace Elec Resist Furnace: HVAC ER2_CompE</v>
      </c>
      <c r="F1427" s="999">
        <f>ROUND((($K$1683*$K$1811*(1/$K$1939-1/$K$2067)*$K$2707)/1000),2)</f>
        <v>1986.12</v>
      </c>
      <c r="G1427" s="318" t="str">
        <f t="shared" si="133"/>
        <v>Heating Res ER2</v>
      </c>
      <c r="H1427" s="239">
        <f t="shared" si="133"/>
        <v>0</v>
      </c>
      <c r="I1427" s="2518">
        <f t="shared" si="125"/>
        <v>0</v>
      </c>
      <c r="J1427" s="156">
        <f t="shared" si="133"/>
        <v>12</v>
      </c>
      <c r="K1427" s="1085">
        <f t="shared" si="133"/>
        <v>0</v>
      </c>
      <c r="L1427" s="1086"/>
      <c r="M1427" s="2089"/>
      <c r="N1427" s="2086"/>
      <c r="O1427" s="1453"/>
      <c r="P1427" s="177"/>
      <c r="Q1427" s="177"/>
      <c r="R1427" s="1894"/>
      <c r="S1427" s="177"/>
      <c r="T1427" s="177"/>
      <c r="U1427" s="2090"/>
      <c r="V1427" s="245" t="s">
        <v>20</v>
      </c>
      <c r="W1427" s="1087"/>
      <c r="X1427" s="1088"/>
      <c r="Y1427" s="1005">
        <v>1986.12</v>
      </c>
      <c r="Z1427" s="1089"/>
      <c r="AA1427" s="1089"/>
      <c r="AB1427" s="1090"/>
      <c r="AC1427" s="1087"/>
      <c r="AD1427" s="1087"/>
      <c r="AE1427" s="1087"/>
      <c r="AF1427" s="1087"/>
      <c r="AG1427" s="1087"/>
      <c r="AH1427" s="248"/>
      <c r="AK1427" s="1091"/>
      <c r="BB1427" s="995"/>
      <c r="BC1427" s="892" t="str">
        <f t="shared" si="128"/>
        <v>Heating Res ER2 12 Year EUL</v>
      </c>
      <c r="BD1427" s="894">
        <f>(INDEX('Avoided Cost Benefits'!$C$4:$C$857,MATCH(BC1427,'Avoided Cost Benefits'!$A$4:$A$857,0)))*F1427</f>
        <v>587.2611245282942</v>
      </c>
      <c r="BE1427" s="74">
        <f t="shared" si="129"/>
        <v>0</v>
      </c>
      <c r="BG1427" s="919"/>
      <c r="BH1427" s="1095"/>
      <c r="BI1427" s="919"/>
    </row>
    <row r="1428" spans="1:61" s="65" customFormat="1" x14ac:dyDescent="0.25">
      <c r="A1428" s="785"/>
      <c r="B1428" s="177"/>
      <c r="C1428" s="1572" t="s">
        <v>1453</v>
      </c>
      <c r="D1428" s="2045" t="s">
        <v>797</v>
      </c>
      <c r="E1428" s="956" t="s">
        <v>1454</v>
      </c>
      <c r="F1428" s="999">
        <f>ROUND(((K2196*K2324*(1/K2452-1/K2580)*K2708)/1000),2)</f>
        <v>196.21</v>
      </c>
      <c r="G1428" s="318" t="s">
        <v>1367</v>
      </c>
      <c r="H1428" s="239">
        <f>VLOOKUP(G1428,'CP FACTORS'!$A$3:$B$38, 2, FALSE)</f>
        <v>9.4741810000000004E-4</v>
      </c>
      <c r="I1428" s="2046">
        <f t="shared" si="125"/>
        <v>0.185893</v>
      </c>
      <c r="J1428" s="156">
        <f>K2848</f>
        <v>18</v>
      </c>
      <c r="K1428" s="1085">
        <f>K3018</f>
        <v>303</v>
      </c>
      <c r="L1428" s="1086">
        <f>L1684</f>
        <v>2.6</v>
      </c>
      <c r="M1428" s="2089"/>
      <c r="N1428" s="2086"/>
      <c r="O1428" s="1453"/>
      <c r="P1428" s="177"/>
      <c r="Q1428" s="177"/>
      <c r="R1428" s="1894"/>
      <c r="S1428" s="177"/>
      <c r="T1428" s="177"/>
      <c r="U1428" s="2090"/>
      <c r="V1428" s="245" t="s">
        <v>20</v>
      </c>
      <c r="W1428" s="1087">
        <v>196.21105263157907</v>
      </c>
      <c r="X1428" s="1097">
        <v>196.21105263157907</v>
      </c>
      <c r="Y1428" s="999">
        <v>196.21</v>
      </c>
      <c r="Z1428" s="1089"/>
      <c r="AA1428" s="1089"/>
      <c r="AB1428" s="1090"/>
      <c r="AC1428" s="1087"/>
      <c r="AD1428" s="1087"/>
      <c r="AE1428" s="1087"/>
      <c r="AF1428" s="1087"/>
      <c r="AG1428" s="1087"/>
      <c r="AH1428" s="248"/>
      <c r="AK1428" s="1091"/>
      <c r="BB1428" s="350">
        <f>(BD1428+BD1429)/(BE1428+BE1429)</f>
        <v>9.8843352671619051</v>
      </c>
      <c r="BC1428" s="956" t="str">
        <f t="shared" si="128"/>
        <v>Cooling Res 18 Year EUL</v>
      </c>
      <c r="BD1428" s="894">
        <f>(INDEX('Avoided Cost Benefits'!$C$4:$C$857,MATCH(BC1428,'Avoided Cost Benefits'!$A$4:$A$857,0)))*F1428</f>
        <v>346.0767041631691</v>
      </c>
      <c r="BE1428" s="74">
        <f t="shared" si="129"/>
        <v>285.98395469561109</v>
      </c>
      <c r="BG1428" s="919"/>
      <c r="BH1428" s="1092"/>
      <c r="BI1428" s="919"/>
    </row>
    <row r="1429" spans="1:61" s="65" customFormat="1" x14ac:dyDescent="0.25">
      <c r="A1429" s="785"/>
      <c r="B1429" s="177"/>
      <c r="C1429" s="1572" t="s">
        <v>1453</v>
      </c>
      <c r="D1429" s="2045" t="s">
        <v>797</v>
      </c>
      <c r="E1429" s="1093" t="s">
        <v>1454</v>
      </c>
      <c r="F1429" s="999">
        <f>ROUND(((K1684*K1812*(1/K1940-1/K2068)*K2708)/1000),2)</f>
        <v>5369.26</v>
      </c>
      <c r="G1429" s="318" t="s">
        <v>1369</v>
      </c>
      <c r="H1429" s="239">
        <f>VLOOKUP(G1429,'CP FACTORS'!$A$3:$B$38, 2, FALSE)</f>
        <v>0</v>
      </c>
      <c r="I1429" s="2046">
        <f t="shared" si="125"/>
        <v>0</v>
      </c>
      <c r="J1429" s="156">
        <f>K2849</f>
        <v>18</v>
      </c>
      <c r="K1429" s="1085">
        <f>K3019</f>
        <v>0</v>
      </c>
      <c r="L1429" s="1086"/>
      <c r="M1429" s="2089"/>
      <c r="N1429" s="2086"/>
      <c r="O1429" s="1453"/>
      <c r="P1429" s="177"/>
      <c r="Q1429" s="177"/>
      <c r="R1429" s="1894"/>
      <c r="S1429" s="177"/>
      <c r="T1429" s="177"/>
      <c r="U1429" s="2090"/>
      <c r="V1429" s="245" t="s">
        <v>20</v>
      </c>
      <c r="W1429" s="1087">
        <v>7210.4507535974899</v>
      </c>
      <c r="X1429" s="1088">
        <v>5369.2555138784683</v>
      </c>
      <c r="Y1429" s="999">
        <v>5369.26</v>
      </c>
      <c r="Z1429" s="1089"/>
      <c r="AA1429" s="1089"/>
      <c r="AB1429" s="1090"/>
      <c r="AC1429" s="1087"/>
      <c r="AD1429" s="1087"/>
      <c r="AE1429" s="1087"/>
      <c r="AF1429" s="1087"/>
      <c r="AG1429" s="1087"/>
      <c r="AH1429" s="248"/>
      <c r="AK1429" s="1091"/>
      <c r="BB1429" s="348"/>
      <c r="BC1429" s="1093" t="str">
        <f t="shared" si="128"/>
        <v>Heating Res 18 Year EUL</v>
      </c>
      <c r="BD1429" s="894">
        <f>(INDEX('Avoided Cost Benefits'!$C$4:$C$857,MATCH(BC1429,'Avoided Cost Benefits'!$A$4:$A$857,0)))*F1429</f>
        <v>2480.6845850770924</v>
      </c>
      <c r="BE1429" s="74">
        <f t="shared" si="129"/>
        <v>0</v>
      </c>
      <c r="BG1429" s="919"/>
      <c r="BH1429" s="1092"/>
      <c r="BI1429" s="919"/>
    </row>
    <row r="1430" spans="1:61" s="65" customFormat="1" x14ac:dyDescent="0.25">
      <c r="A1430" s="785"/>
      <c r="B1430" s="177"/>
      <c r="C1430" s="1572" t="s">
        <v>1455</v>
      </c>
      <c r="D1430" s="2045" t="s">
        <v>792</v>
      </c>
      <c r="E1430" s="884" t="str">
        <f>CONCATENATE(E1428,"_CompE")</f>
        <v>ASHP SEER 15 MF replace at Fail Elec Resist Furnace: HVAC_CompE</v>
      </c>
      <c r="F1430" s="999">
        <f>ROUND((($K$2197*$K$2325*(1/$K$2453-1/$K$2581)*$K$2709)/1000),2)</f>
        <v>219.54</v>
      </c>
      <c r="G1430" s="318" t="str">
        <f>G1428</f>
        <v>Cooling Res</v>
      </c>
      <c r="H1430" s="239">
        <f t="shared" ref="H1430:K1431" si="135">H1428</f>
        <v>9.4741810000000004E-4</v>
      </c>
      <c r="I1430" s="2518">
        <f t="shared" si="125"/>
        <v>0.20799599999999999</v>
      </c>
      <c r="J1430" s="156">
        <f t="shared" si="135"/>
        <v>18</v>
      </c>
      <c r="K1430" s="1085">
        <f t="shared" si="135"/>
        <v>303</v>
      </c>
      <c r="L1430" s="1086">
        <f>L1428</f>
        <v>2.6</v>
      </c>
      <c r="M1430" s="2089"/>
      <c r="N1430" s="2086"/>
      <c r="O1430" s="1453"/>
      <c r="P1430" s="177"/>
      <c r="Q1430" s="177"/>
      <c r="R1430" s="1894"/>
      <c r="S1430" s="177"/>
      <c r="T1430" s="177"/>
      <c r="U1430" s="2090"/>
      <c r="V1430" s="245" t="s">
        <v>20</v>
      </c>
      <c r="W1430" s="1087"/>
      <c r="X1430" s="1088"/>
      <c r="Y1430" s="1005">
        <v>219.54</v>
      </c>
      <c r="Z1430" s="1089"/>
      <c r="AA1430" s="1089"/>
      <c r="AB1430" s="1090"/>
      <c r="AC1430" s="1087"/>
      <c r="AD1430" s="1087"/>
      <c r="AE1430" s="1087"/>
      <c r="AF1430" s="1087"/>
      <c r="AG1430" s="1087"/>
      <c r="AH1430" s="248"/>
      <c r="AK1430" s="1091"/>
      <c r="BB1430" s="350">
        <f>(BD1430+BD1431)/(BE1430+BE1431)</f>
        <v>5.9034156925921462</v>
      </c>
      <c r="BC1430" s="956" t="str">
        <f t="shared" si="128"/>
        <v>Cooling Res 18 Year EUL</v>
      </c>
      <c r="BD1430" s="894">
        <f>(INDEX('Avoided Cost Benefits'!$C$4:$C$857,MATCH(BC1430,'Avoided Cost Benefits'!$A$4:$A$857,0)))*F1430</f>
        <v>387.22633725081357</v>
      </c>
      <c r="BE1430" s="74">
        <f t="shared" si="129"/>
        <v>285.98395469561109</v>
      </c>
      <c r="BG1430" s="919"/>
      <c r="BH1430" s="1095"/>
      <c r="BI1430" s="919"/>
    </row>
    <row r="1431" spans="1:61" s="65" customFormat="1" x14ac:dyDescent="0.25">
      <c r="A1431" s="785"/>
      <c r="B1431" s="177"/>
      <c r="C1431" s="1572" t="str">
        <f>C1430</f>
        <v>352801_2019_12_</v>
      </c>
      <c r="D1431" s="2045" t="s">
        <v>792</v>
      </c>
      <c r="E1431" s="892" t="str">
        <f>CONCATENATE(E1429,"_CompE")</f>
        <v>ASHP SEER 15 MF replace at Fail Elec Resist Furnace: HVAC_CompE</v>
      </c>
      <c r="F1431" s="999">
        <f>ROUND((($K$1685*$K$1813*(1/$K$1941-1/$K$2069)*$K$2709)/1000),2)</f>
        <v>2816.04</v>
      </c>
      <c r="G1431" s="318" t="str">
        <f>G1429</f>
        <v>Heating Res</v>
      </c>
      <c r="H1431" s="239">
        <f t="shared" si="135"/>
        <v>0</v>
      </c>
      <c r="I1431" s="2518">
        <f t="shared" si="125"/>
        <v>0</v>
      </c>
      <c r="J1431" s="156">
        <f t="shared" si="135"/>
        <v>18</v>
      </c>
      <c r="K1431" s="1085">
        <f t="shared" si="135"/>
        <v>0</v>
      </c>
      <c r="L1431" s="1086"/>
      <c r="M1431" s="2089"/>
      <c r="N1431" s="2086"/>
      <c r="O1431" s="1453"/>
      <c r="P1431" s="177"/>
      <c r="Q1431" s="177"/>
      <c r="R1431" s="1894"/>
      <c r="S1431" s="177"/>
      <c r="T1431" s="177"/>
      <c r="U1431" s="2090"/>
      <c r="V1431" s="245" t="s">
        <v>20</v>
      </c>
      <c r="W1431" s="1087"/>
      <c r="X1431" s="1088"/>
      <c r="Y1431" s="1005">
        <v>2816.04</v>
      </c>
      <c r="Z1431" s="1089"/>
      <c r="AA1431" s="1089"/>
      <c r="AB1431" s="1090"/>
      <c r="AC1431" s="1087"/>
      <c r="AD1431" s="1087"/>
      <c r="AE1431" s="1087"/>
      <c r="AF1431" s="1087"/>
      <c r="AG1431" s="1087"/>
      <c r="AH1431" s="248"/>
      <c r="AK1431" s="1091"/>
      <c r="BB1431" s="348"/>
      <c r="BC1431" s="1093" t="str">
        <f t="shared" si="128"/>
        <v>Heating Res 18 Year EUL</v>
      </c>
      <c r="BD1431" s="894">
        <f>(INDEX('Avoided Cost Benefits'!$C$4:$C$857,MATCH(BC1431,'Avoided Cost Benefits'!$A$4:$A$857,0)))*F1431</f>
        <v>1301.0558287288181</v>
      </c>
      <c r="BE1431" s="74">
        <f t="shared" si="129"/>
        <v>0</v>
      </c>
      <c r="BG1431" s="919"/>
      <c r="BH1431" s="1095"/>
      <c r="BI1431" s="919"/>
    </row>
    <row r="1432" spans="1:61" s="65" customFormat="1" x14ac:dyDescent="0.25">
      <c r="A1432" s="785"/>
      <c r="B1432" s="177"/>
      <c r="C1432" s="1572" t="s">
        <v>1456</v>
      </c>
      <c r="D1432" s="2045" t="s">
        <v>797</v>
      </c>
      <c r="E1432" s="884" t="s">
        <v>1457</v>
      </c>
      <c r="F1432" s="999">
        <f>ROUND(((K2198*K2326*(1/K2454-1/K2582)*K2710)/1000),2)</f>
        <v>1287.24</v>
      </c>
      <c r="G1432" s="318" t="s">
        <v>1367</v>
      </c>
      <c r="H1432" s="239">
        <f>VLOOKUP(G1432,'CP FACTORS'!$A$3:$B$38, 2, FALSE)</f>
        <v>9.4741810000000004E-4</v>
      </c>
      <c r="I1432" s="2046">
        <f t="shared" si="125"/>
        <v>1.219554</v>
      </c>
      <c r="J1432" s="156">
        <f>K2850</f>
        <v>6</v>
      </c>
      <c r="K1432" s="1085">
        <f>K3020</f>
        <v>950.52172387527389</v>
      </c>
      <c r="L1432" s="1086">
        <f>L1686</f>
        <v>3.3</v>
      </c>
      <c r="M1432" s="2089"/>
      <c r="N1432" s="2086"/>
      <c r="O1432" s="1453"/>
      <c r="P1432" s="177"/>
      <c r="Q1432" s="177"/>
      <c r="R1432" s="1894"/>
      <c r="S1432" s="177"/>
      <c r="T1432" s="177"/>
      <c r="U1432" s="2090"/>
      <c r="V1432" s="245" t="s">
        <v>20</v>
      </c>
      <c r="W1432" s="1087">
        <v>1708.6712500000001</v>
      </c>
      <c r="X1432" s="1088">
        <v>1287.2375465186074</v>
      </c>
      <c r="Y1432" s="999">
        <v>1287.24</v>
      </c>
      <c r="Z1432" s="1089"/>
      <c r="AA1432" s="1089"/>
      <c r="AB1432" s="1090"/>
      <c r="AC1432" s="1087"/>
      <c r="AD1432" s="1087"/>
      <c r="AE1432" s="1087"/>
      <c r="AF1432" s="1087"/>
      <c r="AG1432" s="1087"/>
      <c r="AH1432" s="248"/>
      <c r="AK1432" s="1091"/>
      <c r="BB1432" s="350">
        <f>(BD1432+BD1433+BD1434+BD1435)/(BE1432+BE1433+BE1434+BE1435)</f>
        <v>1.6428107268754624</v>
      </c>
      <c r="BC1432" s="884" t="str">
        <f t="shared" si="128"/>
        <v>Cooling Res 6 Year EUL</v>
      </c>
      <c r="BD1432" s="894">
        <f>(INDEX('Avoided Cost Benefits'!$C$4:$C$857,MATCH(BC1432,'Avoided Cost Benefits'!$A$4:$A$857,0)))*F1432</f>
        <v>748.50967389645893</v>
      </c>
      <c r="BE1432" s="74">
        <f t="shared" si="129"/>
        <v>897.14178751795544</v>
      </c>
      <c r="BG1432" s="919"/>
      <c r="BH1432" s="1092"/>
      <c r="BI1432" s="919"/>
    </row>
    <row r="1433" spans="1:61" s="65" customFormat="1" x14ac:dyDescent="0.25">
      <c r="A1433" s="785"/>
      <c r="B1433" s="177"/>
      <c r="C1433" s="1572" t="s">
        <v>1456</v>
      </c>
      <c r="D1433" s="2045" t="s">
        <v>797</v>
      </c>
      <c r="E1433" s="994" t="s">
        <v>1457</v>
      </c>
      <c r="F1433" s="999">
        <f>ROUND(((K1686*K1814*(1/K1942-1/K2070)*K2710)/1000),2)</f>
        <v>1798.76</v>
      </c>
      <c r="G1433" s="318" t="s">
        <v>1369</v>
      </c>
      <c r="H1433" s="239">
        <f>VLOOKUP(G1433,'CP FACTORS'!$A$3:$B$38, 2, FALSE)</f>
        <v>0</v>
      </c>
      <c r="I1433" s="2046">
        <f t="shared" si="125"/>
        <v>0</v>
      </c>
      <c r="J1433" s="156">
        <f>K2851</f>
        <v>6</v>
      </c>
      <c r="K1433" s="1085">
        <f>K3021</f>
        <v>0</v>
      </c>
      <c r="L1433" s="1086"/>
      <c r="M1433" s="2089"/>
      <c r="N1433" s="2086"/>
      <c r="O1433" s="1453"/>
      <c r="P1433" s="177"/>
      <c r="Q1433" s="177"/>
      <c r="R1433" s="1894"/>
      <c r="S1433" s="177"/>
      <c r="T1433" s="177"/>
      <c r="U1433" s="2090"/>
      <c r="V1433" s="245" t="s">
        <v>20</v>
      </c>
      <c r="W1433" s="1087">
        <v>4062.4872213622284</v>
      </c>
      <c r="X1433" s="1088">
        <v>1798.7611070228763</v>
      </c>
      <c r="Y1433" s="999">
        <v>1798.76</v>
      </c>
      <c r="Z1433" s="1089"/>
      <c r="AA1433" s="1089"/>
      <c r="AB1433" s="1090"/>
      <c r="AC1433" s="1087"/>
      <c r="AD1433" s="1087"/>
      <c r="AE1433" s="1087"/>
      <c r="AF1433" s="1087"/>
      <c r="AG1433" s="1087"/>
      <c r="AH1433" s="248"/>
      <c r="AK1433" s="1091"/>
      <c r="BB1433" s="995"/>
      <c r="BC1433" s="994" t="str">
        <f t="shared" si="128"/>
        <v>Heating Res 6 Year EUL</v>
      </c>
      <c r="BD1433" s="894">
        <f>(INDEX('Avoided Cost Benefits'!$C$4:$C$857,MATCH(BC1433,'Avoided Cost Benefits'!$A$4:$A$857,0)))*F1433</f>
        <v>299.19405404813961</v>
      </c>
      <c r="BE1433" s="74">
        <f t="shared" si="129"/>
        <v>0</v>
      </c>
      <c r="BG1433" s="919"/>
      <c r="BH1433" s="1092"/>
      <c r="BI1433" s="919"/>
    </row>
    <row r="1434" spans="1:61" s="65" customFormat="1" x14ac:dyDescent="0.25">
      <c r="A1434" s="785"/>
      <c r="B1434" s="177"/>
      <c r="C1434" s="1572" t="s">
        <v>1456</v>
      </c>
      <c r="D1434" s="2045" t="s">
        <v>797</v>
      </c>
      <c r="E1434" s="994" t="s">
        <v>1458</v>
      </c>
      <c r="F1434" s="999">
        <f>ROUND(((K2199*K2327*(1/K2455-1/K2583)*K2711)/1000),2)</f>
        <v>199.71</v>
      </c>
      <c r="G1434" s="2078" t="s">
        <v>1408</v>
      </c>
      <c r="H1434" s="239">
        <f>VLOOKUP(G1434,'CP FACTORS'!$A$3:$B$38, 2, FALSE)</f>
        <v>9.4741810000000004E-4</v>
      </c>
      <c r="I1434" s="2046">
        <f t="shared" si="125"/>
        <v>0.18920899999999999</v>
      </c>
      <c r="J1434" s="156">
        <f>K2852</f>
        <v>12</v>
      </c>
      <c r="K1434" s="1085">
        <f>K3022</f>
        <v>0</v>
      </c>
      <c r="L1434" s="1086"/>
      <c r="M1434" s="2089"/>
      <c r="N1434" s="2086"/>
      <c r="O1434" s="1453"/>
      <c r="P1434" s="177"/>
      <c r="Q1434" s="177"/>
      <c r="R1434" s="1894"/>
      <c r="S1434" s="177"/>
      <c r="T1434" s="177"/>
      <c r="U1434" s="2090"/>
      <c r="V1434" s="245" t="s">
        <v>20</v>
      </c>
      <c r="W1434" s="1087">
        <v>199.71482142857135</v>
      </c>
      <c r="X1434" s="1088">
        <v>199.71482142857135</v>
      </c>
      <c r="Y1434" s="999">
        <v>199.71</v>
      </c>
      <c r="Z1434" s="1089"/>
      <c r="AA1434" s="1089"/>
      <c r="AB1434" s="1090"/>
      <c r="AC1434" s="1087"/>
      <c r="AD1434" s="1087"/>
      <c r="AE1434" s="1087"/>
      <c r="AF1434" s="1087"/>
      <c r="AG1434" s="1087"/>
      <c r="AH1434" s="248"/>
      <c r="AK1434" s="1091"/>
      <c r="BB1434" s="995"/>
      <c r="BC1434" s="994" t="str">
        <f t="shared" si="128"/>
        <v>Cooling Res ER2 12 Year EUL</v>
      </c>
      <c r="BD1434" s="894">
        <f>(INDEX('Avoided Cost Benefits'!$C$4:$C$857,MATCH(BC1434,'Avoided Cost Benefits'!$A$4:$A$857,0)))*F1434</f>
        <v>236.12182885040363</v>
      </c>
      <c r="BE1434" s="74">
        <f t="shared" si="129"/>
        <v>0</v>
      </c>
      <c r="BG1434" s="919"/>
      <c r="BH1434" s="1092"/>
      <c r="BI1434" s="919"/>
    </row>
    <row r="1435" spans="1:61" s="65" customFormat="1" x14ac:dyDescent="0.25">
      <c r="A1435" s="785"/>
      <c r="B1435" s="177"/>
      <c r="C1435" s="1572" t="s">
        <v>1456</v>
      </c>
      <c r="D1435" s="2045" t="s">
        <v>797</v>
      </c>
      <c r="E1435" s="892" t="s">
        <v>1458</v>
      </c>
      <c r="F1435" s="999">
        <f>ROUND(((K1687*K1815*(1/K1943-1/K2071)*K2711)/1000),2)</f>
        <v>642.61</v>
      </c>
      <c r="G1435" s="2078" t="s">
        <v>1427</v>
      </c>
      <c r="H1435" s="239">
        <f>VLOOKUP(G1435,'CP FACTORS'!$A$3:$B$38, 2, FALSE)</f>
        <v>0</v>
      </c>
      <c r="I1435" s="2046">
        <f t="shared" si="125"/>
        <v>0</v>
      </c>
      <c r="J1435" s="156">
        <f>K2853</f>
        <v>12</v>
      </c>
      <c r="K1435" s="1085">
        <f>K3023</f>
        <v>0</v>
      </c>
      <c r="L1435" s="1086"/>
      <c r="M1435" s="2089"/>
      <c r="N1435" s="2086"/>
      <c r="O1435" s="1453"/>
      <c r="P1435" s="177"/>
      <c r="Q1435" s="177"/>
      <c r="R1435" s="1894"/>
      <c r="S1435" s="177"/>
      <c r="T1435" s="177"/>
      <c r="U1435" s="2090"/>
      <c r="V1435" s="245" t="s">
        <v>20</v>
      </c>
      <c r="W1435" s="1087">
        <v>862.96736842105349</v>
      </c>
      <c r="X1435" s="1088">
        <v>642.6078562259313</v>
      </c>
      <c r="Y1435" s="999">
        <v>642.61</v>
      </c>
      <c r="Z1435" s="1089"/>
      <c r="AA1435" s="1089"/>
      <c r="AB1435" s="1090"/>
      <c r="AC1435" s="1087"/>
      <c r="AD1435" s="1087"/>
      <c r="AE1435" s="1087"/>
      <c r="AF1435" s="1087"/>
      <c r="AG1435" s="1087"/>
      <c r="AH1435" s="248"/>
      <c r="AK1435" s="1091"/>
      <c r="BB1435" s="995"/>
      <c r="BC1435" s="892" t="str">
        <f t="shared" si="128"/>
        <v>Heating Res ER2 12 Year EUL</v>
      </c>
      <c r="BD1435" s="894">
        <f>(INDEX('Avoided Cost Benefits'!$C$4:$C$857,MATCH(BC1435,'Avoided Cost Benefits'!$A$4:$A$857,0)))*F1435</f>
        <v>190.00859526772157</v>
      </c>
      <c r="BE1435" s="74">
        <f t="shared" si="129"/>
        <v>0</v>
      </c>
      <c r="BG1435" s="919"/>
      <c r="BH1435" s="1092"/>
      <c r="BI1435" s="919"/>
    </row>
    <row r="1436" spans="1:61" s="65" customFormat="1" x14ac:dyDescent="0.25">
      <c r="A1436" s="785"/>
      <c r="B1436" s="177"/>
      <c r="C1436" s="1572" t="s">
        <v>1459</v>
      </c>
      <c r="D1436" s="2045" t="s">
        <v>792</v>
      </c>
      <c r="E1436" s="884" t="str">
        <f>CONCATENATE(E1432,"_CompE")</f>
        <v>ASHP SEER 16 MF ER replace ASHP: HVAC ER1_CompE</v>
      </c>
      <c r="F1436" s="999">
        <f>ROUND((($K$2200*$K$2328*(1/$K$2456-1/$K$2584)*$K$2712)/1000),2)</f>
        <v>936.17</v>
      </c>
      <c r="G1436" s="318" t="str">
        <f t="shared" ref="G1436:K1439" si="136">G1432</f>
        <v>Cooling Res</v>
      </c>
      <c r="H1436" s="239">
        <f t="shared" si="136"/>
        <v>9.4741810000000004E-4</v>
      </c>
      <c r="I1436" s="2518">
        <f t="shared" si="125"/>
        <v>0.88694399999999995</v>
      </c>
      <c r="J1436" s="156">
        <f>J1432</f>
        <v>6</v>
      </c>
      <c r="K1436" s="1085">
        <f>K1432</f>
        <v>950.52172387527389</v>
      </c>
      <c r="L1436" s="1086">
        <f>L1432</f>
        <v>3.3</v>
      </c>
      <c r="M1436" s="2089"/>
      <c r="N1436" s="2086"/>
      <c r="O1436" s="1453"/>
      <c r="P1436" s="177"/>
      <c r="Q1436" s="177"/>
      <c r="R1436" s="1894"/>
      <c r="S1436" s="177"/>
      <c r="T1436" s="177"/>
      <c r="U1436" s="2090"/>
      <c r="V1436" s="245" t="s">
        <v>20</v>
      </c>
      <c r="W1436" s="1087"/>
      <c r="X1436" s="1088"/>
      <c r="Y1436" s="1005">
        <v>936.17</v>
      </c>
      <c r="Z1436" s="1089"/>
      <c r="AA1436" s="1089"/>
      <c r="AB1436" s="1090"/>
      <c r="AC1436" s="1087"/>
      <c r="AD1436" s="1087"/>
      <c r="AE1436" s="1087"/>
      <c r="AF1436" s="1087"/>
      <c r="AG1436" s="1087"/>
      <c r="AH1436" s="248"/>
      <c r="AK1436" s="1091"/>
      <c r="BB1436" s="350">
        <f>(BD1436+BD1437+BD1438+BD1439)/(BE1436+BE1437+BE1438+BE1439)</f>
        <v>0.984095364419867</v>
      </c>
      <c r="BC1436" s="884" t="str">
        <f t="shared" si="128"/>
        <v>Cooling Res 6 Year EUL</v>
      </c>
      <c r="BD1436" s="894">
        <f>(INDEX('Avoided Cost Benefits'!$C$4:$C$857,MATCH(BC1436,'Avoided Cost Benefits'!$A$4:$A$857,0)))*F1436</f>
        <v>544.36802881486585</v>
      </c>
      <c r="BE1436" s="74">
        <f t="shared" si="129"/>
        <v>897.14178751795544</v>
      </c>
      <c r="BG1436" s="919"/>
      <c r="BH1436" s="1095"/>
      <c r="BI1436" s="919"/>
    </row>
    <row r="1437" spans="1:61" s="65" customFormat="1" x14ac:dyDescent="0.25">
      <c r="A1437" s="785"/>
      <c r="B1437" s="177"/>
      <c r="C1437" s="1572" t="str">
        <f>C1436</f>
        <v>352851_2019_12_</v>
      </c>
      <c r="D1437" s="2045" t="s">
        <v>792</v>
      </c>
      <c r="E1437" s="994" t="str">
        <f>CONCATENATE(E1433,"_CompE")</f>
        <v>ASHP SEER 16 MF ER replace ASHP: HVAC ER1_CompE</v>
      </c>
      <c r="F1437" s="999">
        <f>ROUND((($K$1688*$K$1816*(1/$K$1944-1/$K$2072)*$K$2712)/1000),2)</f>
        <v>613.21</v>
      </c>
      <c r="G1437" s="318" t="str">
        <f t="shared" si="136"/>
        <v>Heating Res</v>
      </c>
      <c r="H1437" s="239">
        <f t="shared" si="136"/>
        <v>0</v>
      </c>
      <c r="I1437" s="2518">
        <f t="shared" si="125"/>
        <v>0</v>
      </c>
      <c r="J1437" s="156">
        <f t="shared" si="136"/>
        <v>6</v>
      </c>
      <c r="K1437" s="1085">
        <f t="shared" si="136"/>
        <v>0</v>
      </c>
      <c r="L1437" s="1086"/>
      <c r="M1437" s="2089"/>
      <c r="N1437" s="2086"/>
      <c r="O1437" s="1453"/>
      <c r="P1437" s="177"/>
      <c r="Q1437" s="177"/>
      <c r="R1437" s="1894"/>
      <c r="S1437" s="177"/>
      <c r="T1437" s="177"/>
      <c r="U1437" s="2090"/>
      <c r="V1437" s="245" t="s">
        <v>20</v>
      </c>
      <c r="W1437" s="1087"/>
      <c r="X1437" s="1088"/>
      <c r="Y1437" s="1005">
        <v>613.21</v>
      </c>
      <c r="Z1437" s="1089"/>
      <c r="AA1437" s="1089"/>
      <c r="AB1437" s="1090"/>
      <c r="AC1437" s="1087"/>
      <c r="AD1437" s="1087"/>
      <c r="AE1437" s="1087"/>
      <c r="AF1437" s="1087"/>
      <c r="AG1437" s="1087"/>
      <c r="AH1437" s="248"/>
      <c r="AK1437" s="1091"/>
      <c r="BB1437" s="995"/>
      <c r="BC1437" s="994" t="str">
        <f t="shared" si="128"/>
        <v>Heating Res 6 Year EUL</v>
      </c>
      <c r="BD1437" s="894">
        <f>(INDEX('Avoided Cost Benefits'!$C$4:$C$857,MATCH(BC1437,'Avoided Cost Benefits'!$A$4:$A$857,0)))*F1437</f>
        <v>101.99736812185043</v>
      </c>
      <c r="BE1437" s="74">
        <f t="shared" si="129"/>
        <v>0</v>
      </c>
      <c r="BG1437" s="919"/>
      <c r="BH1437" s="1095"/>
      <c r="BI1437" s="919"/>
    </row>
    <row r="1438" spans="1:61" s="65" customFormat="1" x14ac:dyDescent="0.25">
      <c r="A1438" s="785"/>
      <c r="B1438" s="177"/>
      <c r="C1438" s="1572" t="str">
        <f t="shared" ref="C1438:C1439" si="137">C1437</f>
        <v>352851_2019_12_</v>
      </c>
      <c r="D1438" s="2045" t="s">
        <v>792</v>
      </c>
      <c r="E1438" s="994" t="str">
        <f>CONCATENATE(E1434,"_CompE")</f>
        <v>ASHP SEER 16 MF ER replace ASHP: HVAC ER2_CompE</v>
      </c>
      <c r="F1438" s="999">
        <f>ROUND((($K$2201*$K$2329*(1/$K$2457-1/$K$2585)*$K$2713)/1000),2)</f>
        <v>145.25</v>
      </c>
      <c r="G1438" s="318" t="str">
        <f t="shared" si="136"/>
        <v>Cooling Res ER2</v>
      </c>
      <c r="H1438" s="239">
        <f t="shared" si="136"/>
        <v>9.4741810000000004E-4</v>
      </c>
      <c r="I1438" s="2518">
        <f t="shared" si="125"/>
        <v>0.13761200000000001</v>
      </c>
      <c r="J1438" s="156">
        <f t="shared" si="136"/>
        <v>12</v>
      </c>
      <c r="K1438" s="1085">
        <f t="shared" si="136"/>
        <v>0</v>
      </c>
      <c r="L1438" s="1086"/>
      <c r="M1438" s="2089"/>
      <c r="N1438" s="2086"/>
      <c r="O1438" s="1453"/>
      <c r="P1438" s="177"/>
      <c r="Q1438" s="177"/>
      <c r="R1438" s="1894"/>
      <c r="S1438" s="177"/>
      <c r="T1438" s="177"/>
      <c r="U1438" s="2090"/>
      <c r="V1438" s="245" t="s">
        <v>20</v>
      </c>
      <c r="W1438" s="1087"/>
      <c r="X1438" s="1088"/>
      <c r="Y1438" s="1005">
        <v>145.25</v>
      </c>
      <c r="Z1438" s="1089"/>
      <c r="AA1438" s="1089"/>
      <c r="AB1438" s="1090"/>
      <c r="AC1438" s="1087"/>
      <c r="AD1438" s="1087"/>
      <c r="AE1438" s="1087"/>
      <c r="AF1438" s="1087"/>
      <c r="AG1438" s="1087"/>
      <c r="AH1438" s="248"/>
      <c r="AK1438" s="1091"/>
      <c r="BB1438" s="995"/>
      <c r="BC1438" s="994" t="str">
        <f t="shared" si="128"/>
        <v>Cooling Res ER2 12 Year EUL</v>
      </c>
      <c r="BD1438" s="894">
        <f>(INDEX('Avoided Cost Benefits'!$C$4:$C$857,MATCH(BC1438,'Avoided Cost Benefits'!$A$4:$A$857,0)))*F1438</f>
        <v>171.73249031356028</v>
      </c>
      <c r="BE1438" s="74">
        <f t="shared" si="129"/>
        <v>0</v>
      </c>
      <c r="BG1438" s="919"/>
      <c r="BH1438" s="1095"/>
      <c r="BI1438" s="919"/>
    </row>
    <row r="1439" spans="1:61" s="65" customFormat="1" x14ac:dyDescent="0.25">
      <c r="A1439" s="785"/>
      <c r="B1439" s="177"/>
      <c r="C1439" s="1572" t="str">
        <f t="shared" si="137"/>
        <v>352851_2019_12_</v>
      </c>
      <c r="D1439" s="2045" t="s">
        <v>792</v>
      </c>
      <c r="E1439" s="892" t="str">
        <f>CONCATENATE(E1435,"_CompE")</f>
        <v>ASHP SEER 16 MF ER replace ASHP: HVAC ER2_CompE</v>
      </c>
      <c r="F1439" s="999">
        <f>ROUND((($K$1689*$K$1817*(1/$K$1945-1/$K$2073)*$K$2713)/1000),2)</f>
        <v>219.07</v>
      </c>
      <c r="G1439" s="318" t="str">
        <f t="shared" si="136"/>
        <v>Heating Res ER2</v>
      </c>
      <c r="H1439" s="239">
        <f t="shared" si="136"/>
        <v>0</v>
      </c>
      <c r="I1439" s="2518">
        <f t="shared" si="125"/>
        <v>0</v>
      </c>
      <c r="J1439" s="156">
        <f t="shared" si="136"/>
        <v>12</v>
      </c>
      <c r="K1439" s="1085">
        <f t="shared" si="136"/>
        <v>0</v>
      </c>
      <c r="L1439" s="1086"/>
      <c r="M1439" s="2089"/>
      <c r="N1439" s="2086"/>
      <c r="O1439" s="1453"/>
      <c r="P1439" s="177"/>
      <c r="Q1439" s="177"/>
      <c r="R1439" s="1894"/>
      <c r="S1439" s="177"/>
      <c r="T1439" s="177"/>
      <c r="U1439" s="2090"/>
      <c r="V1439" s="245" t="s">
        <v>20</v>
      </c>
      <c r="W1439" s="1087"/>
      <c r="X1439" s="1088"/>
      <c r="Y1439" s="1005">
        <v>219.07</v>
      </c>
      <c r="Z1439" s="1089"/>
      <c r="AA1439" s="1089"/>
      <c r="AB1439" s="1090"/>
      <c r="AC1439" s="1087"/>
      <c r="AD1439" s="1087"/>
      <c r="AE1439" s="1087"/>
      <c r="AF1439" s="1087"/>
      <c r="AG1439" s="1087"/>
      <c r="AH1439" s="248"/>
      <c r="AK1439" s="1091"/>
      <c r="BB1439" s="995"/>
      <c r="BC1439" s="892" t="str">
        <f t="shared" si="128"/>
        <v>Heating Res ER2 12 Year EUL</v>
      </c>
      <c r="BD1439" s="894">
        <f>(INDEX('Avoided Cost Benefits'!$C$4:$C$857,MATCH(BC1439,'Avoided Cost Benefits'!$A$4:$A$857,0)))*F1439</f>
        <v>64.775187073496781</v>
      </c>
      <c r="BE1439" s="74">
        <f t="shared" si="129"/>
        <v>0</v>
      </c>
      <c r="BG1439" s="919"/>
      <c r="BH1439" s="1095"/>
      <c r="BI1439" s="919"/>
    </row>
    <row r="1440" spans="1:61" s="65" customFormat="1" x14ac:dyDescent="0.25">
      <c r="A1440" s="785"/>
      <c r="B1440" s="177"/>
      <c r="C1440" s="1572" t="s">
        <v>1460</v>
      </c>
      <c r="D1440" s="2045" t="s">
        <v>797</v>
      </c>
      <c r="E1440" s="956" t="s">
        <v>1461</v>
      </c>
      <c r="F1440" s="999">
        <f>ROUND(((K2202*K2330*(1/K2458-1/K2586)*K2714)/1000),2)</f>
        <v>199.71</v>
      </c>
      <c r="G1440" s="318" t="s">
        <v>1367</v>
      </c>
      <c r="H1440" s="239">
        <f>VLOOKUP(G1440,'CP FACTORS'!$A$3:$B$38, 2, FALSE)</f>
        <v>9.4741810000000004E-4</v>
      </c>
      <c r="I1440" s="2046">
        <f t="shared" si="125"/>
        <v>0.18920899999999999</v>
      </c>
      <c r="J1440" s="156">
        <f>K2854</f>
        <v>18</v>
      </c>
      <c r="K1440" s="1085">
        <f>K3024</f>
        <v>438</v>
      </c>
      <c r="L1440" s="1086">
        <f>L1690</f>
        <v>3.3</v>
      </c>
      <c r="M1440" s="2089"/>
      <c r="N1440" s="2086"/>
      <c r="O1440" s="1453"/>
      <c r="P1440" s="177"/>
      <c r="Q1440" s="177"/>
      <c r="R1440" s="1894"/>
      <c r="S1440" s="177"/>
      <c r="T1440" s="177"/>
      <c r="U1440" s="2090"/>
      <c r="V1440" s="245" t="s">
        <v>20</v>
      </c>
      <c r="W1440" s="1087">
        <v>199.71482142857135</v>
      </c>
      <c r="X1440" s="1097">
        <v>199.71482142857135</v>
      </c>
      <c r="Y1440" s="999">
        <v>199.71</v>
      </c>
      <c r="Z1440" s="1089"/>
      <c r="AA1440" s="1089"/>
      <c r="AB1440" s="1090"/>
      <c r="AC1440" s="1087"/>
      <c r="AD1440" s="1087"/>
      <c r="AE1440" s="1087"/>
      <c r="AF1440" s="1087"/>
      <c r="AG1440" s="1087"/>
      <c r="AH1440" s="248"/>
      <c r="AK1440" s="1091"/>
      <c r="BB1440" s="350">
        <f>(BD1440+BD1441)/(BE1440+BE1441)</f>
        <v>1.708923083266116</v>
      </c>
      <c r="BC1440" s="956" t="str">
        <f t="shared" si="128"/>
        <v>Cooling Res 18 Year EUL</v>
      </c>
      <c r="BD1440" s="894">
        <f>(INDEX('Avoided Cost Benefits'!$C$4:$C$857,MATCH(BC1440,'Avoided Cost Benefits'!$A$4:$A$857,0)))*F1440</f>
        <v>352.25003103015393</v>
      </c>
      <c r="BE1440" s="74">
        <f t="shared" si="129"/>
        <v>413.40254837187348</v>
      </c>
      <c r="BG1440" s="919"/>
      <c r="BH1440" s="1092"/>
      <c r="BI1440" s="919"/>
    </row>
    <row r="1441" spans="1:61" s="65" customFormat="1" x14ac:dyDescent="0.25">
      <c r="A1441" s="785"/>
      <c r="B1441" s="177"/>
      <c r="C1441" s="1572" t="s">
        <v>1460</v>
      </c>
      <c r="D1441" s="2045" t="s">
        <v>797</v>
      </c>
      <c r="E1441" s="1093" t="s">
        <v>1461</v>
      </c>
      <c r="F1441" s="999">
        <f>ROUND(((K1690*K1818*(1/K1946-1/K2074)*K2714)/1000),2)</f>
        <v>766.69</v>
      </c>
      <c r="G1441" s="318" t="s">
        <v>1369</v>
      </c>
      <c r="H1441" s="239">
        <f>VLOOKUP(G1441,'CP FACTORS'!$A$3:$B$38, 2, FALSE)</f>
        <v>0</v>
      </c>
      <c r="I1441" s="2046">
        <f t="shared" si="125"/>
        <v>0</v>
      </c>
      <c r="J1441" s="156">
        <f>K2855</f>
        <v>18</v>
      </c>
      <c r="K1441" s="1085">
        <f>K3025</f>
        <v>0</v>
      </c>
      <c r="L1441" s="1086"/>
      <c r="M1441" s="2089"/>
      <c r="N1441" s="2086"/>
      <c r="O1441" s="1453"/>
      <c r="P1441" s="177"/>
      <c r="Q1441" s="177"/>
      <c r="R1441" s="1894"/>
      <c r="S1441" s="177"/>
      <c r="T1441" s="177"/>
      <c r="U1441" s="2090"/>
      <c r="V1441" s="245" t="s">
        <v>20</v>
      </c>
      <c r="W1441" s="1087">
        <v>1029.6000000000013</v>
      </c>
      <c r="X1441" s="1088">
        <v>766.69069188651167</v>
      </c>
      <c r="Y1441" s="999">
        <v>766.69</v>
      </c>
      <c r="Z1441" s="1089"/>
      <c r="AA1441" s="1089"/>
      <c r="AB1441" s="1090"/>
      <c r="AC1441" s="1087"/>
      <c r="AD1441" s="1087"/>
      <c r="AE1441" s="1087"/>
      <c r="AF1441" s="1087"/>
      <c r="AG1441" s="1087"/>
      <c r="AH1441" s="248"/>
      <c r="AK1441" s="1091"/>
      <c r="BB1441" s="348"/>
      <c r="BC1441" s="1093" t="str">
        <f t="shared" si="128"/>
        <v>Heating Res 18 Year EUL</v>
      </c>
      <c r="BD1441" s="894">
        <f>(INDEX('Avoided Cost Benefits'!$C$4:$C$857,MATCH(BC1441,'Avoided Cost Benefits'!$A$4:$A$857,0)))*F1441</f>
        <v>354.22312656357781</v>
      </c>
      <c r="BE1441" s="74">
        <f t="shared" si="129"/>
        <v>0</v>
      </c>
      <c r="BG1441" s="919"/>
      <c r="BH1441" s="1092"/>
      <c r="BI1441" s="919"/>
    </row>
    <row r="1442" spans="1:61" s="65" customFormat="1" x14ac:dyDescent="0.25">
      <c r="A1442" s="785"/>
      <c r="B1442" s="177"/>
      <c r="C1442" s="1572" t="s">
        <v>1462</v>
      </c>
      <c r="D1442" s="2045" t="s">
        <v>792</v>
      </c>
      <c r="E1442" s="884" t="str">
        <f>CONCATENATE(E1440,"_CompE")</f>
        <v>ASHP - SEER 16 - replace on fail MF_CompE</v>
      </c>
      <c r="F1442" s="999">
        <f>ROUND((($K$2203*$K$2331*(1/$K$2459-1/$K$2587)*$K$2715)/1000),2)</f>
        <v>145.25</v>
      </c>
      <c r="G1442" s="318" t="str">
        <f>G1440</f>
        <v>Cooling Res</v>
      </c>
      <c r="H1442" s="239">
        <f t="shared" ref="H1442:K1443" si="138">H1440</f>
        <v>9.4741810000000004E-4</v>
      </c>
      <c r="I1442" s="2518">
        <f t="shared" si="125"/>
        <v>0.13761200000000001</v>
      </c>
      <c r="J1442" s="156">
        <f t="shared" si="138"/>
        <v>18</v>
      </c>
      <c r="K1442" s="1085">
        <f t="shared" si="138"/>
        <v>438</v>
      </c>
      <c r="L1442" s="1086">
        <f>L1440</f>
        <v>3.3</v>
      </c>
      <c r="M1442" s="2089"/>
      <c r="N1442" s="2086"/>
      <c r="O1442" s="1453"/>
      <c r="P1442" s="177"/>
      <c r="Q1442" s="177"/>
      <c r="R1442" s="1894"/>
      <c r="S1442" s="177"/>
      <c r="T1442" s="177"/>
      <c r="U1442" s="2090"/>
      <c r="V1442" s="245" t="s">
        <v>20</v>
      </c>
      <c r="W1442" s="1087"/>
      <c r="X1442" s="1088"/>
      <c r="Y1442" s="1005">
        <v>145.25</v>
      </c>
      <c r="Z1442" s="1089"/>
      <c r="AA1442" s="1089"/>
      <c r="AB1442" s="1090"/>
      <c r="AC1442" s="1087"/>
      <c r="AD1442" s="1087"/>
      <c r="AE1442" s="1087"/>
      <c r="AF1442" s="1087"/>
      <c r="AG1442" s="1087"/>
      <c r="AH1442" s="248"/>
      <c r="AK1442" s="1091"/>
      <c r="BB1442" s="350">
        <f>(BD1442+BD1443)/(BE1442+BE1443)</f>
        <v>0.91182363411783474</v>
      </c>
      <c r="BC1442" s="956" t="str">
        <f t="shared" si="128"/>
        <v>Cooling Res 18 Year EUL</v>
      </c>
      <c r="BD1442" s="894">
        <f>(INDEX('Avoided Cost Benefits'!$C$4:$C$857,MATCH(BC1442,'Avoided Cost Benefits'!$A$4:$A$857,0)))*F1442</f>
        <v>256.19306497987009</v>
      </c>
      <c r="BE1442" s="74">
        <f t="shared" si="129"/>
        <v>413.40254837187348</v>
      </c>
      <c r="BG1442" s="919"/>
      <c r="BH1442" s="1095"/>
      <c r="BI1442" s="919"/>
    </row>
    <row r="1443" spans="1:61" s="65" customFormat="1" x14ac:dyDescent="0.25">
      <c r="A1443" s="785"/>
      <c r="B1443" s="177"/>
      <c r="C1443" s="1572" t="str">
        <f>C1442</f>
        <v>352901_2019_12_</v>
      </c>
      <c r="D1443" s="2045" t="s">
        <v>792</v>
      </c>
      <c r="E1443" s="892" t="str">
        <f>CONCATENATE(E1441,"_CompE")</f>
        <v>ASHP - SEER 16 - replace on fail MF_CompE</v>
      </c>
      <c r="F1443" s="999">
        <f>ROUND((($K$1691*$K$1819*(1/$K$1947-1/$K$2075)*$K$2715)/1000),2)</f>
        <v>261.37</v>
      </c>
      <c r="G1443" s="318" t="str">
        <f>G1441</f>
        <v>Heating Res</v>
      </c>
      <c r="H1443" s="239">
        <f t="shared" si="138"/>
        <v>0</v>
      </c>
      <c r="I1443" s="2518">
        <f t="shared" si="125"/>
        <v>0</v>
      </c>
      <c r="J1443" s="156">
        <f t="shared" si="138"/>
        <v>18</v>
      </c>
      <c r="K1443" s="1085">
        <f t="shared" si="138"/>
        <v>0</v>
      </c>
      <c r="L1443" s="1086"/>
      <c r="M1443" s="2089"/>
      <c r="N1443" s="2086"/>
      <c r="O1443" s="1453"/>
      <c r="P1443" s="177"/>
      <c r="Q1443" s="177"/>
      <c r="R1443" s="1894"/>
      <c r="S1443" s="177"/>
      <c r="T1443" s="177"/>
      <c r="U1443" s="2090"/>
      <c r="V1443" s="245" t="s">
        <v>20</v>
      </c>
      <c r="W1443" s="1087"/>
      <c r="X1443" s="1088"/>
      <c r="Y1443" s="1005">
        <v>261.37</v>
      </c>
      <c r="Z1443" s="1089"/>
      <c r="AA1443" s="1089"/>
      <c r="AB1443" s="1090"/>
      <c r="AC1443" s="1087"/>
      <c r="AD1443" s="1087"/>
      <c r="AE1443" s="1087"/>
      <c r="AF1443" s="1087"/>
      <c r="AG1443" s="1087"/>
      <c r="AH1443" s="248"/>
      <c r="AK1443" s="1091"/>
      <c r="BB1443" s="348"/>
      <c r="BC1443" s="1093" t="str">
        <f t="shared" si="128"/>
        <v>Heating Res 18 Year EUL</v>
      </c>
      <c r="BD1443" s="894">
        <f>(INDEX('Avoided Cost Benefits'!$C$4:$C$857,MATCH(BC1443,'Avoided Cost Benefits'!$A$4:$A$857,0)))*F1443</f>
        <v>120.7571490301456</v>
      </c>
      <c r="BE1443" s="74">
        <f t="shared" si="129"/>
        <v>0</v>
      </c>
      <c r="BG1443" s="919"/>
      <c r="BH1443" s="1095"/>
      <c r="BI1443" s="919"/>
    </row>
    <row r="1444" spans="1:61" s="65" customFormat="1" x14ac:dyDescent="0.25">
      <c r="A1444" s="785"/>
      <c r="B1444" s="177"/>
      <c r="C1444" s="1572" t="s">
        <v>1463</v>
      </c>
      <c r="D1444" s="2045" t="s">
        <v>797</v>
      </c>
      <c r="E1444" s="956" t="s">
        <v>1464</v>
      </c>
      <c r="F1444" s="999">
        <f>ROUND(((K2204*K2332*(1/K2460-1/K2588)*K2716)/1000),2)</f>
        <v>312.83999999999997</v>
      </c>
      <c r="G1444" s="318" t="s">
        <v>1367</v>
      </c>
      <c r="H1444" s="239">
        <f>VLOOKUP(G1444,'CP FACTORS'!$A$3:$B$38, 2, FALSE)</f>
        <v>9.4741810000000004E-4</v>
      </c>
      <c r="I1444" s="2046">
        <f t="shared" si="125"/>
        <v>0.29638999999999999</v>
      </c>
      <c r="J1444" s="156">
        <f>K2856</f>
        <v>18</v>
      </c>
      <c r="K1444" s="1085">
        <f>K3026</f>
        <v>438</v>
      </c>
      <c r="L1444" s="1086">
        <f>L1692</f>
        <v>3.2</v>
      </c>
      <c r="M1444" s="2089"/>
      <c r="N1444" s="2086"/>
      <c r="O1444" s="1453"/>
      <c r="P1444" s="177"/>
      <c r="Q1444" s="177"/>
      <c r="R1444" s="1894"/>
      <c r="S1444" s="177"/>
      <c r="T1444" s="177"/>
      <c r="U1444" s="2090"/>
      <c r="V1444" s="245" t="s">
        <v>20</v>
      </c>
      <c r="W1444" s="1087">
        <v>312.84000000000009</v>
      </c>
      <c r="X1444" s="1096">
        <v>312.84000000000009</v>
      </c>
      <c r="Y1444" s="999">
        <v>312.83999999999997</v>
      </c>
      <c r="Z1444" s="1089"/>
      <c r="AA1444" s="1089"/>
      <c r="AB1444" s="1090"/>
      <c r="AC1444" s="1087"/>
      <c r="AD1444" s="1087"/>
      <c r="AE1444" s="1087"/>
      <c r="AF1444" s="1087"/>
      <c r="AG1444" s="1087"/>
      <c r="AH1444" s="248"/>
      <c r="AK1444" s="1091"/>
      <c r="BB1444" s="350">
        <f>(BD1444+BD1445)/(BE1444+BE1445)</f>
        <v>9.2704380659672978</v>
      </c>
      <c r="BC1444" s="956" t="str">
        <f t="shared" si="128"/>
        <v>Cooling Res 18 Year EUL</v>
      </c>
      <c r="BD1444" s="894">
        <f>(INDEX('Avoided Cost Benefits'!$C$4:$C$857,MATCH(BC1444,'Avoided Cost Benefits'!$A$4:$A$857,0)))*F1444</f>
        <v>551.78959344786608</v>
      </c>
      <c r="BE1444" s="74">
        <f t="shared" si="129"/>
        <v>413.40254837187348</v>
      </c>
      <c r="BG1444" s="919"/>
      <c r="BH1444" s="1092"/>
      <c r="BI1444" s="919"/>
    </row>
    <row r="1445" spans="1:61" s="65" customFormat="1" x14ac:dyDescent="0.25">
      <c r="A1445" s="785"/>
      <c r="B1445" s="177"/>
      <c r="C1445" s="1572" t="s">
        <v>1463</v>
      </c>
      <c r="D1445" s="2045" t="s">
        <v>797</v>
      </c>
      <c r="E1445" s="1093" t="s">
        <v>1464</v>
      </c>
      <c r="F1445" s="999">
        <f>ROUND(((K1692*K1820*(1/K1948-1/K2076)*K2716)/1000),2)</f>
        <v>7100.69</v>
      </c>
      <c r="G1445" s="318" t="s">
        <v>1369</v>
      </c>
      <c r="H1445" s="239">
        <f>VLOOKUP(G1445,'CP FACTORS'!$A$3:$B$38, 2, FALSE)</f>
        <v>0</v>
      </c>
      <c r="I1445" s="2046">
        <f t="shared" si="125"/>
        <v>0</v>
      </c>
      <c r="J1445" s="156">
        <f>K2857</f>
        <v>18</v>
      </c>
      <c r="K1445" s="1085">
        <f>K3027</f>
        <v>0</v>
      </c>
      <c r="L1445" s="1086"/>
      <c r="M1445" s="2089"/>
      <c r="N1445" s="2086"/>
      <c r="O1445" s="1453"/>
      <c r="P1445" s="177"/>
      <c r="Q1445" s="177"/>
      <c r="R1445" s="1894"/>
      <c r="S1445" s="177"/>
      <c r="T1445" s="177"/>
      <c r="U1445" s="2090"/>
      <c r="V1445" s="245" t="s">
        <v>20</v>
      </c>
      <c r="W1445" s="1087">
        <v>9535.6225050639387</v>
      </c>
      <c r="X1445" s="1088">
        <v>7100.6925174592607</v>
      </c>
      <c r="Y1445" s="999">
        <v>7100.69</v>
      </c>
      <c r="Z1445" s="1089"/>
      <c r="AA1445" s="1089"/>
      <c r="AB1445" s="1090"/>
      <c r="AC1445" s="1087"/>
      <c r="AD1445" s="1087"/>
      <c r="AE1445" s="1087"/>
      <c r="AF1445" s="1087"/>
      <c r="AG1445" s="1087"/>
      <c r="AH1445" s="248"/>
      <c r="AK1445" s="1091"/>
      <c r="BB1445" s="348"/>
      <c r="BC1445" s="1093" t="str">
        <f t="shared" si="128"/>
        <v>Heating Res 18 Year EUL</v>
      </c>
      <c r="BD1445" s="894">
        <f>(INDEX('Avoided Cost Benefits'!$C$4:$C$857,MATCH(BC1445,'Avoided Cost Benefits'!$A$4:$A$857,0)))*F1445</f>
        <v>3280.6331275466368</v>
      </c>
      <c r="BE1445" s="74">
        <f t="shared" si="129"/>
        <v>0</v>
      </c>
      <c r="BG1445" s="919"/>
      <c r="BH1445" s="1092"/>
      <c r="BI1445" s="919"/>
    </row>
    <row r="1446" spans="1:61" s="65" customFormat="1" x14ac:dyDescent="0.25">
      <c r="A1446" s="785"/>
      <c r="B1446" s="177"/>
      <c r="C1446" s="1572" t="s">
        <v>1465</v>
      </c>
      <c r="D1446" s="2045" t="s">
        <v>792</v>
      </c>
      <c r="E1446" s="884" t="str">
        <f>CONCATENATE(E1444,"_CompE")</f>
        <v>ASHP - SEER 16 - replace electric furnace / CAC MF_CompE</v>
      </c>
      <c r="F1446" s="999">
        <f>ROUND((($K$2205*$K$2333*(1/$K$2461-1/$K$2589)*$K$2717)/1000),2)</f>
        <v>227.52</v>
      </c>
      <c r="G1446" s="318" t="str">
        <f>G1444</f>
        <v>Cooling Res</v>
      </c>
      <c r="H1446" s="239">
        <f t="shared" ref="H1446:K1447" si="139">H1444</f>
        <v>9.4741810000000004E-4</v>
      </c>
      <c r="I1446" s="2046">
        <f t="shared" si="139"/>
        <v>0.29638999999999999</v>
      </c>
      <c r="J1446" s="156">
        <f t="shared" si="139"/>
        <v>18</v>
      </c>
      <c r="K1446" s="1085">
        <f t="shared" si="139"/>
        <v>438</v>
      </c>
      <c r="L1446" s="1086">
        <f>L1444</f>
        <v>3.2</v>
      </c>
      <c r="M1446" s="2089"/>
      <c r="N1446" s="2086"/>
      <c r="O1446" s="1453"/>
      <c r="P1446" s="177"/>
      <c r="Q1446" s="177"/>
      <c r="R1446" s="1894"/>
      <c r="S1446" s="177"/>
      <c r="T1446" s="177"/>
      <c r="U1446" s="2090"/>
      <c r="V1446" s="245" t="s">
        <v>20</v>
      </c>
      <c r="W1446" s="1087"/>
      <c r="X1446" s="1088"/>
      <c r="Y1446" s="1005">
        <v>227.52</v>
      </c>
      <c r="Z1446" s="1089"/>
      <c r="AA1446" s="1089"/>
      <c r="AB1446" s="1090"/>
      <c r="AC1446" s="1087"/>
      <c r="AD1446" s="1087"/>
      <c r="AE1446" s="1087"/>
      <c r="AF1446" s="1087"/>
      <c r="AG1446" s="1087"/>
      <c r="AH1446" s="248"/>
      <c r="AK1446" s="1091"/>
      <c r="BB1446" s="350">
        <f>(BD1446+BD1447)/(BE1446+BE1447)</f>
        <v>3.6760762375909093</v>
      </c>
      <c r="BC1446" s="956" t="str">
        <f t="shared" si="128"/>
        <v>Cooling Res 18 Year EUL</v>
      </c>
      <c r="BD1446" s="894">
        <f>(INDEX('Avoided Cost Benefits'!$C$4:$C$857,MATCH(BC1446,'Avoided Cost Benefits'!$A$4:$A$857,0)))*F1446</f>
        <v>401.301522507539</v>
      </c>
      <c r="BE1446" s="74">
        <f t="shared" si="129"/>
        <v>413.40254837187348</v>
      </c>
      <c r="BG1446" s="919"/>
      <c r="BH1446" s="1095"/>
      <c r="BI1446" s="919"/>
    </row>
    <row r="1447" spans="1:61" s="65" customFormat="1" x14ac:dyDescent="0.25">
      <c r="A1447" s="785"/>
      <c r="B1447" s="177"/>
      <c r="C1447" s="1572" t="str">
        <f>C1446</f>
        <v>352951_2019_12_</v>
      </c>
      <c r="D1447" s="2045" t="s">
        <v>792</v>
      </c>
      <c r="E1447" s="892" t="str">
        <f>CONCATENATE(E1445,"_CompE")</f>
        <v>ASHP - SEER 16 - replace electric furnace / CAC MF_CompE</v>
      </c>
      <c r="F1447" s="999">
        <f>ROUND((($K$1693*$K$1821*(1/$K$1949-1/$K$2077)*$K$2717)/1000),2)</f>
        <v>2420.69</v>
      </c>
      <c r="G1447" s="318" t="str">
        <f>G1445</f>
        <v>Heating Res</v>
      </c>
      <c r="H1447" s="239">
        <f t="shared" si="139"/>
        <v>0</v>
      </c>
      <c r="I1447" s="2518">
        <f t="shared" ref="I1447:I1448" si="140">ROUND(F1447*H1447,6)</f>
        <v>0</v>
      </c>
      <c r="J1447" s="156">
        <f t="shared" si="139"/>
        <v>18</v>
      </c>
      <c r="K1447" s="1085">
        <f t="shared" si="139"/>
        <v>0</v>
      </c>
      <c r="L1447" s="1086"/>
      <c r="M1447" s="2089"/>
      <c r="N1447" s="2086"/>
      <c r="O1447" s="1453"/>
      <c r="P1447" s="177"/>
      <c r="Q1447" s="177"/>
      <c r="R1447" s="1894"/>
      <c r="S1447" s="177"/>
      <c r="T1447" s="177"/>
      <c r="U1447" s="2090"/>
      <c r="V1447" s="245" t="s">
        <v>20</v>
      </c>
      <c r="W1447" s="1087"/>
      <c r="X1447" s="1088"/>
      <c r="Y1447" s="1005">
        <v>2420.69</v>
      </c>
      <c r="Z1447" s="1089"/>
      <c r="AA1447" s="1089"/>
      <c r="AB1447" s="1090"/>
      <c r="AC1447" s="1087"/>
      <c r="AD1447" s="1087"/>
      <c r="AE1447" s="1087"/>
      <c r="AF1447" s="1087"/>
      <c r="AG1447" s="1087"/>
      <c r="AH1447" s="248"/>
      <c r="AK1447" s="1091"/>
      <c r="BB1447" s="348"/>
      <c r="BC1447" s="1093" t="str">
        <f t="shared" si="128"/>
        <v>Heating Res 18 Year EUL</v>
      </c>
      <c r="BD1447" s="894">
        <f>(INDEX('Avoided Cost Benefits'!$C$4:$C$857,MATCH(BC1447,'Avoided Cost Benefits'!$A$4:$A$857,0)))*F1447</f>
        <v>1118.3977621218316</v>
      </c>
      <c r="BE1447" s="74">
        <f t="shared" si="129"/>
        <v>0</v>
      </c>
      <c r="BG1447" s="919"/>
      <c r="BH1447" s="1095"/>
      <c r="BI1447" s="919"/>
    </row>
    <row r="1448" spans="1:61" s="65" customFormat="1" x14ac:dyDescent="0.25">
      <c r="A1448" s="785"/>
      <c r="B1448" s="177"/>
      <c r="C1448" s="1572" t="s">
        <v>1466</v>
      </c>
      <c r="D1448" s="2045" t="s">
        <v>797</v>
      </c>
      <c r="E1448" s="884" t="s">
        <v>1467</v>
      </c>
      <c r="F1448" s="999">
        <f>ROUND(((K2206*K2334*(1/K2462-1/K2590)*K2718)/1000),2)</f>
        <v>1209.22</v>
      </c>
      <c r="G1448" s="318" t="s">
        <v>1367</v>
      </c>
      <c r="H1448" s="239">
        <f>VLOOKUP(G1448,'CP FACTORS'!$A$3:$B$38, 2, FALSE)</f>
        <v>9.4741810000000004E-4</v>
      </c>
      <c r="I1448" s="2518">
        <f t="shared" si="140"/>
        <v>1.145637</v>
      </c>
      <c r="J1448" s="156">
        <f>K2858</f>
        <v>6</v>
      </c>
      <c r="K1448" s="1085">
        <f>K3028</f>
        <v>919.45980121616685</v>
      </c>
      <c r="L1448" s="1086">
        <f>L1694</f>
        <v>3.1</v>
      </c>
      <c r="M1448" s="2089"/>
      <c r="N1448" s="2086"/>
      <c r="O1448" s="1453"/>
      <c r="P1448" s="177"/>
      <c r="Q1448" s="177"/>
      <c r="R1448" s="1894"/>
      <c r="S1448" s="177"/>
      <c r="T1448" s="177"/>
      <c r="U1448" s="2090"/>
      <c r="V1448" s="245" t="s">
        <v>20</v>
      </c>
      <c r="W1448" s="1087">
        <v>1776.7855147058826</v>
      </c>
      <c r="X1448" s="1088">
        <v>1209.2231497599041</v>
      </c>
      <c r="Y1448" s="999">
        <v>1209.22</v>
      </c>
      <c r="Z1448" s="1089"/>
      <c r="AA1448" s="1089"/>
      <c r="AB1448" s="1090"/>
      <c r="AC1448" s="1087"/>
      <c r="AD1448" s="1087"/>
      <c r="AE1448" s="1087"/>
      <c r="AF1448" s="1087"/>
      <c r="AG1448" s="1087"/>
      <c r="AH1448" s="248"/>
      <c r="AK1448" s="1091"/>
      <c r="BB1448" s="350">
        <f>(BD1448+BD1449+BD1450+BD1451)/(BE1448+BE1449+BE1450+BE1451)</f>
        <v>4.8219261251614016</v>
      </c>
      <c r="BC1448" s="884" t="str">
        <f t="shared" si="128"/>
        <v>Cooling Res 6 Year EUL</v>
      </c>
      <c r="BD1448" s="894">
        <f>(INDEX('Avoided Cost Benefits'!$C$4:$C$857,MATCH(BC1448,'Avoided Cost Benefits'!$A$4:$A$857,0)))*F1448</f>
        <v>703.1422795042696</v>
      </c>
      <c r="BE1448" s="74">
        <f t="shared" si="129"/>
        <v>867.82425787273883</v>
      </c>
      <c r="BG1448" s="919"/>
      <c r="BH1448" s="1092"/>
      <c r="BI1448" s="919"/>
    </row>
    <row r="1449" spans="1:61" s="65" customFormat="1" x14ac:dyDescent="0.25">
      <c r="A1449" s="785"/>
      <c r="B1449" s="177"/>
      <c r="C1449" s="1572" t="s">
        <v>1466</v>
      </c>
      <c r="D1449" s="2045" t="s">
        <v>797</v>
      </c>
      <c r="E1449" s="994" t="s">
        <v>1467</v>
      </c>
      <c r="F1449" s="999">
        <f>ROUND(((K1694*K1822*(1/K1950-1/K2078)*K2718)/1000),2)</f>
        <v>6759.78</v>
      </c>
      <c r="G1449" s="318" t="s">
        <v>1369</v>
      </c>
      <c r="H1449" s="239">
        <f>VLOOKUP(G1449,'CP FACTORS'!$A$3:$B$38, 2, FALSE)</f>
        <v>0</v>
      </c>
      <c r="I1449" s="2046">
        <f t="shared" si="125"/>
        <v>0</v>
      </c>
      <c r="J1449" s="156">
        <f>K2859</f>
        <v>6</v>
      </c>
      <c r="K1449" s="1085">
        <f>K3029</f>
        <v>0</v>
      </c>
      <c r="L1449" s="1086"/>
      <c r="M1449" s="2089"/>
      <c r="N1449" s="2086"/>
      <c r="O1449" s="1453"/>
      <c r="P1449" s="177"/>
      <c r="Q1449" s="177"/>
      <c r="R1449" s="1894"/>
      <c r="S1449" s="177"/>
      <c r="T1449" s="177"/>
      <c r="U1449" s="2090"/>
      <c r="V1449" s="245" t="s">
        <v>20</v>
      </c>
      <c r="W1449" s="1087">
        <v>9077.8044487427451</v>
      </c>
      <c r="X1449" s="1088">
        <v>6759.7787234042544</v>
      </c>
      <c r="Y1449" s="999">
        <v>6759.78</v>
      </c>
      <c r="Z1449" s="1089"/>
      <c r="AA1449" s="1089"/>
      <c r="AB1449" s="1090"/>
      <c r="AC1449" s="1087"/>
      <c r="AD1449" s="1087"/>
      <c r="AE1449" s="1087"/>
      <c r="AF1449" s="1087"/>
      <c r="AG1449" s="1087"/>
      <c r="AH1449" s="248"/>
      <c r="AK1449" s="1091"/>
      <c r="BB1449" s="995"/>
      <c r="BC1449" s="994" t="str">
        <f t="shared" si="128"/>
        <v>Heating Res 6 Year EUL</v>
      </c>
      <c r="BD1449" s="894">
        <f>(INDEX('Avoided Cost Benefits'!$C$4:$C$857,MATCH(BC1449,'Avoided Cost Benefits'!$A$4:$A$857,0)))*F1449</f>
        <v>1124.3778951463969</v>
      </c>
      <c r="BE1449" s="74">
        <f t="shared" si="129"/>
        <v>0</v>
      </c>
      <c r="BG1449" s="919"/>
      <c r="BH1449" s="1092"/>
      <c r="BI1449" s="919"/>
    </row>
    <row r="1450" spans="1:61" s="65" customFormat="1" x14ac:dyDescent="0.25">
      <c r="A1450" s="785"/>
      <c r="B1450" s="177"/>
      <c r="C1450" s="1572" t="s">
        <v>1466</v>
      </c>
      <c r="D1450" s="2045" t="s">
        <v>797</v>
      </c>
      <c r="E1450" s="994" t="s">
        <v>1468</v>
      </c>
      <c r="F1450" s="999">
        <f>ROUND(((K2207*K2335*(1/K2463-1/K2591)*K2719)/1000),2)</f>
        <v>303.06</v>
      </c>
      <c r="G1450" s="2078" t="s">
        <v>1408</v>
      </c>
      <c r="H1450" s="239">
        <f>VLOOKUP(G1450,'CP FACTORS'!$A$3:$B$38, 2, FALSE)</f>
        <v>9.4741810000000004E-4</v>
      </c>
      <c r="I1450" s="2046">
        <f t="shared" si="125"/>
        <v>0.28712500000000002</v>
      </c>
      <c r="J1450" s="156">
        <f>K2860</f>
        <v>12</v>
      </c>
      <c r="K1450" s="1085">
        <f>K3030</f>
        <v>0</v>
      </c>
      <c r="L1450" s="1086"/>
      <c r="M1450" s="2089"/>
      <c r="N1450" s="2086"/>
      <c r="O1450" s="1453"/>
      <c r="P1450" s="177"/>
      <c r="Q1450" s="177"/>
      <c r="R1450" s="1894"/>
      <c r="S1450" s="177"/>
      <c r="T1450" s="177"/>
      <c r="U1450" s="2090"/>
      <c r="V1450" s="245" t="s">
        <v>20</v>
      </c>
      <c r="W1450" s="1087">
        <v>303.06375000000014</v>
      </c>
      <c r="X1450" s="1096">
        <v>303.06375000000014</v>
      </c>
      <c r="Y1450" s="999">
        <v>303.06</v>
      </c>
      <c r="Z1450" s="1089"/>
      <c r="AA1450" s="1089"/>
      <c r="AB1450" s="1090"/>
      <c r="AC1450" s="1087"/>
      <c r="AD1450" s="1087"/>
      <c r="AE1450" s="1087"/>
      <c r="AF1450" s="1087"/>
      <c r="AG1450" s="1087"/>
      <c r="AH1450" s="248"/>
      <c r="AK1450" s="1091"/>
      <c r="BB1450" s="995"/>
      <c r="BC1450" s="994" t="str">
        <f t="shared" si="128"/>
        <v>Cooling Res ER2 12 Year EUL</v>
      </c>
      <c r="BD1450" s="894">
        <f>(INDEX('Avoided Cost Benefits'!$C$4:$C$857,MATCH(BC1450,'Avoided Cost Benefits'!$A$4:$A$857,0)))*F1450</f>
        <v>358.31496395475097</v>
      </c>
      <c r="BE1450" s="74">
        <f t="shared" si="129"/>
        <v>0</v>
      </c>
      <c r="BG1450" s="919"/>
      <c r="BH1450" s="1092"/>
      <c r="BI1450" s="919"/>
    </row>
    <row r="1451" spans="1:61" s="65" customFormat="1" x14ac:dyDescent="0.25">
      <c r="A1451" s="785"/>
      <c r="B1451" s="177"/>
      <c r="C1451" s="1572" t="s">
        <v>1466</v>
      </c>
      <c r="D1451" s="2045" t="s">
        <v>797</v>
      </c>
      <c r="E1451" s="892" t="s">
        <v>1468</v>
      </c>
      <c r="F1451" s="999">
        <f>ROUND(((K1695*K1823*(1/K1951-1/K2079)*K2719)/1000),2)</f>
        <v>6759.78</v>
      </c>
      <c r="G1451" s="2078" t="s">
        <v>1427</v>
      </c>
      <c r="H1451" s="239">
        <f>VLOOKUP(G1451,'CP FACTORS'!$A$3:$B$38, 2, FALSE)</f>
        <v>0</v>
      </c>
      <c r="I1451" s="2046">
        <f t="shared" si="125"/>
        <v>0</v>
      </c>
      <c r="J1451" s="156">
        <f>K2861</f>
        <v>12</v>
      </c>
      <c r="K1451" s="1085">
        <f>K3031</f>
        <v>0</v>
      </c>
      <c r="L1451" s="1086"/>
      <c r="M1451" s="2089"/>
      <c r="N1451" s="2086"/>
      <c r="O1451" s="1453"/>
      <c r="P1451" s="177"/>
      <c r="Q1451" s="177"/>
      <c r="R1451" s="1894"/>
      <c r="S1451" s="177"/>
      <c r="T1451" s="177"/>
      <c r="U1451" s="2090"/>
      <c r="V1451" s="245" t="s">
        <v>20</v>
      </c>
      <c r="W1451" s="1087">
        <v>9077.8044487427451</v>
      </c>
      <c r="X1451" s="1088">
        <v>6759.7787234042544</v>
      </c>
      <c r="Y1451" s="999">
        <v>6759.78</v>
      </c>
      <c r="Z1451" s="1089"/>
      <c r="AA1451" s="1089"/>
      <c r="AB1451" s="1090"/>
      <c r="AC1451" s="1087"/>
      <c r="AD1451" s="1087"/>
      <c r="AE1451" s="1087"/>
      <c r="AF1451" s="1087"/>
      <c r="AG1451" s="1087"/>
      <c r="AH1451" s="248"/>
      <c r="AK1451" s="1091"/>
      <c r="BB1451" s="995"/>
      <c r="BC1451" s="892" t="str">
        <f t="shared" si="128"/>
        <v>Heating Res ER2 12 Year EUL</v>
      </c>
      <c r="BD1451" s="894">
        <f>(INDEX('Avoided Cost Benefits'!$C$4:$C$857,MATCH(BC1451,'Avoided Cost Benefits'!$A$4:$A$857,0)))*F1451</f>
        <v>1998.7493224799473</v>
      </c>
      <c r="BE1451" s="74">
        <f t="shared" si="129"/>
        <v>0</v>
      </c>
      <c r="BG1451" s="919"/>
      <c r="BH1451" s="1092"/>
      <c r="BI1451" s="919"/>
    </row>
    <row r="1452" spans="1:61" s="65" customFormat="1" x14ac:dyDescent="0.25">
      <c r="A1452" s="785"/>
      <c r="B1452" s="177"/>
      <c r="C1452" s="1572" t="s">
        <v>1469</v>
      </c>
      <c r="D1452" s="2045" t="s">
        <v>792</v>
      </c>
      <c r="E1452" s="884" t="str">
        <f>CONCATENATE(E1448,"_CompE")</f>
        <v>ASHP - SEER 16 - replace electric furnace / CAC - early replacement MF ER1_CompE</v>
      </c>
      <c r="F1452" s="999">
        <f>ROUND((($K$2208*$K$2336*(1/$K$2464-1/$K$2592)*$K$2720)/1000),2)</f>
        <v>879.44</v>
      </c>
      <c r="G1452" s="318" t="str">
        <f t="shared" ref="G1452:K1455" si="141">G1448</f>
        <v>Cooling Res</v>
      </c>
      <c r="H1452" s="239">
        <f t="shared" si="141"/>
        <v>9.4741810000000004E-4</v>
      </c>
      <c r="I1452" s="2518">
        <f t="shared" si="125"/>
        <v>0.83319699999999997</v>
      </c>
      <c r="J1452" s="156">
        <f>J1448</f>
        <v>6</v>
      </c>
      <c r="K1452" s="1085">
        <f>K1448</f>
        <v>919.45980121616685</v>
      </c>
      <c r="L1452" s="1086">
        <f>L1448</f>
        <v>3.1</v>
      </c>
      <c r="M1452" s="2089"/>
      <c r="N1452" s="2086"/>
      <c r="O1452" s="1453"/>
      <c r="P1452" s="177"/>
      <c r="Q1452" s="177"/>
      <c r="R1452" s="1894"/>
      <c r="S1452" s="177"/>
      <c r="T1452" s="177"/>
      <c r="U1452" s="2090"/>
      <c r="V1452" s="245" t="s">
        <v>20</v>
      </c>
      <c r="W1452" s="1087"/>
      <c r="X1452" s="1088"/>
      <c r="Y1452" s="1005">
        <v>879.44</v>
      </c>
      <c r="Z1452" s="1089"/>
      <c r="AA1452" s="1089"/>
      <c r="AB1452" s="1090"/>
      <c r="AC1452" s="1087"/>
      <c r="AD1452" s="1087"/>
      <c r="AE1452" s="1087"/>
      <c r="AF1452" s="1087"/>
      <c r="AG1452" s="1087"/>
      <c r="AH1452" s="248"/>
      <c r="AK1452" s="1091"/>
      <c r="BB1452" s="350">
        <f>(BD1452+BD1453+BD1454+BD1455)/(BE1452+BE1453+BE1454+BE1455)</f>
        <v>2.1164176867762667</v>
      </c>
      <c r="BC1452" s="884" t="str">
        <f t="shared" si="128"/>
        <v>Cooling Res 6 Year EUL</v>
      </c>
      <c r="BD1452" s="894">
        <f>(INDEX('Avoided Cost Benefits'!$C$4:$C$857,MATCH(BC1452,'Avoided Cost Benefits'!$A$4:$A$857,0)))*F1452</f>
        <v>511.38043225156292</v>
      </c>
      <c r="BE1452" s="74">
        <f t="shared" ref="BE1452:BE1515" si="142">K1452/(1.0595^(2020-2019))</f>
        <v>867.82425787273883</v>
      </c>
      <c r="BG1452" s="919"/>
      <c r="BH1452" s="1095"/>
      <c r="BI1452" s="919"/>
    </row>
    <row r="1453" spans="1:61" s="65" customFormat="1" x14ac:dyDescent="0.25">
      <c r="A1453" s="785"/>
      <c r="B1453" s="177"/>
      <c r="C1453" s="1572" t="str">
        <f>C1452</f>
        <v>353001_2019_12_</v>
      </c>
      <c r="D1453" s="2045" t="s">
        <v>792</v>
      </c>
      <c r="E1453" s="994" t="str">
        <f>CONCATENATE(E1449,"_CompE")</f>
        <v>ASHP - SEER 16 - replace electric furnace / CAC - early replacement MF ER1_CompE</v>
      </c>
      <c r="F1453" s="999">
        <f>ROUND((($K$1696*$K$1824*(1/$K$1952-1/$K$2080)*$K$2720)/1000),2)</f>
        <v>2304.4699999999998</v>
      </c>
      <c r="G1453" s="318" t="str">
        <f t="shared" si="141"/>
        <v>Heating Res</v>
      </c>
      <c r="H1453" s="239">
        <f t="shared" si="141"/>
        <v>0</v>
      </c>
      <c r="I1453" s="2518">
        <f t="shared" si="125"/>
        <v>0</v>
      </c>
      <c r="J1453" s="156">
        <f t="shared" si="141"/>
        <v>6</v>
      </c>
      <c r="K1453" s="1085">
        <f t="shared" si="141"/>
        <v>0</v>
      </c>
      <c r="L1453" s="1086"/>
      <c r="M1453" s="2089"/>
      <c r="N1453" s="2086"/>
      <c r="O1453" s="1453"/>
      <c r="P1453" s="177"/>
      <c r="Q1453" s="177"/>
      <c r="R1453" s="1894"/>
      <c r="S1453" s="177"/>
      <c r="T1453" s="177"/>
      <c r="U1453" s="2090"/>
      <c r="V1453" s="245" t="s">
        <v>20</v>
      </c>
      <c r="W1453" s="1087"/>
      <c r="X1453" s="1088"/>
      <c r="Y1453" s="1005">
        <v>2304.4699999999998</v>
      </c>
      <c r="Z1453" s="1089"/>
      <c r="AA1453" s="1089"/>
      <c r="AB1453" s="1090"/>
      <c r="AC1453" s="1087"/>
      <c r="AD1453" s="1087"/>
      <c r="AE1453" s="1087"/>
      <c r="AF1453" s="1087"/>
      <c r="AG1453" s="1087"/>
      <c r="AH1453" s="248"/>
      <c r="AK1453" s="1091"/>
      <c r="BB1453" s="995"/>
      <c r="BC1453" s="994" t="str">
        <f t="shared" si="128"/>
        <v>Heating Res 6 Year EUL</v>
      </c>
      <c r="BD1453" s="894">
        <f>(INDEX('Avoided Cost Benefits'!$C$4:$C$857,MATCH(BC1453,'Avoided Cost Benefits'!$A$4:$A$857,0)))*F1453</f>
        <v>383.31057046649704</v>
      </c>
      <c r="BE1453" s="74">
        <f t="shared" si="142"/>
        <v>0</v>
      </c>
      <c r="BG1453" s="919"/>
      <c r="BH1453" s="1095"/>
      <c r="BI1453" s="919"/>
    </row>
    <row r="1454" spans="1:61" s="65" customFormat="1" x14ac:dyDescent="0.25">
      <c r="A1454" s="785"/>
      <c r="B1454" s="177"/>
      <c r="C1454" s="1572" t="str">
        <f t="shared" ref="C1454:C1455" si="143">C1453</f>
        <v>353001_2019_12_</v>
      </c>
      <c r="D1454" s="2045" t="s">
        <v>792</v>
      </c>
      <c r="E1454" s="994" t="str">
        <f>CONCATENATE(E1450,"_CompE")</f>
        <v>ASHP - SEER 16 - replace electric furnace / CAC - early replacement MF ER2_CompE</v>
      </c>
      <c r="F1454" s="999">
        <f>ROUND((($K$2209*$K$2337*(1/$K$2465-1/$K$2593)*$K$2721)/1000),2)</f>
        <v>220.41</v>
      </c>
      <c r="G1454" s="318" t="str">
        <f t="shared" si="141"/>
        <v>Cooling Res ER2</v>
      </c>
      <c r="H1454" s="239">
        <f t="shared" si="141"/>
        <v>9.4741810000000004E-4</v>
      </c>
      <c r="I1454" s="2518">
        <f t="shared" si="125"/>
        <v>0.20882000000000001</v>
      </c>
      <c r="J1454" s="156">
        <f t="shared" si="141"/>
        <v>12</v>
      </c>
      <c r="K1454" s="1085">
        <f t="shared" si="141"/>
        <v>0</v>
      </c>
      <c r="L1454" s="1086"/>
      <c r="M1454" s="2089"/>
      <c r="N1454" s="2086"/>
      <c r="O1454" s="1453"/>
      <c r="P1454" s="177"/>
      <c r="Q1454" s="177"/>
      <c r="R1454" s="1894"/>
      <c r="S1454" s="177"/>
      <c r="T1454" s="177"/>
      <c r="U1454" s="2090"/>
      <c r="V1454" s="245" t="s">
        <v>20</v>
      </c>
      <c r="W1454" s="1087"/>
      <c r="X1454" s="1088"/>
      <c r="Y1454" s="1005">
        <v>220.41</v>
      </c>
      <c r="Z1454" s="1089"/>
      <c r="AA1454" s="1089"/>
      <c r="AB1454" s="1090"/>
      <c r="AC1454" s="1087"/>
      <c r="AD1454" s="1087"/>
      <c r="AE1454" s="1087"/>
      <c r="AF1454" s="1087"/>
      <c r="AG1454" s="1087"/>
      <c r="AH1454" s="248"/>
      <c r="AK1454" s="1091"/>
      <c r="BB1454" s="995"/>
      <c r="BC1454" s="994" t="str">
        <f t="shared" si="128"/>
        <v>Cooling Res ER2 12 Year EUL</v>
      </c>
      <c r="BD1454" s="894">
        <f>(INDEX('Avoided Cost Benefits'!$C$4:$C$857,MATCH(BC1454,'Avoided Cost Benefits'!$A$4:$A$857,0)))*F1454</f>
        <v>260.59592557667349</v>
      </c>
      <c r="BE1454" s="74">
        <f t="shared" si="142"/>
        <v>0</v>
      </c>
      <c r="BG1454" s="919"/>
      <c r="BH1454" s="1095"/>
      <c r="BI1454" s="919"/>
    </row>
    <row r="1455" spans="1:61" s="65" customFormat="1" x14ac:dyDescent="0.25">
      <c r="A1455" s="785"/>
      <c r="B1455" s="177"/>
      <c r="C1455" s="1572" t="str">
        <f t="shared" si="143"/>
        <v>353001_2019_12_</v>
      </c>
      <c r="D1455" s="2045" t="s">
        <v>792</v>
      </c>
      <c r="E1455" s="892" t="str">
        <f>CONCATENATE(E1451,"_CompE")</f>
        <v>ASHP - SEER 16 - replace electric furnace / CAC - early replacement MF ER2_CompE</v>
      </c>
      <c r="F1455" s="999">
        <f>ROUND((($K$1697*$K$1825*(1/$K$1953-1/$K$2081)*$K$2721)/1000),2)</f>
        <v>2304.4699999999998</v>
      </c>
      <c r="G1455" s="318" t="str">
        <f t="shared" si="141"/>
        <v>Heating Res ER2</v>
      </c>
      <c r="H1455" s="239">
        <f t="shared" si="141"/>
        <v>0</v>
      </c>
      <c r="I1455" s="2518">
        <f t="shared" si="125"/>
        <v>0</v>
      </c>
      <c r="J1455" s="156">
        <f t="shared" si="141"/>
        <v>12</v>
      </c>
      <c r="K1455" s="1085">
        <f t="shared" si="141"/>
        <v>0</v>
      </c>
      <c r="L1455" s="1086"/>
      <c r="M1455" s="2089"/>
      <c r="N1455" s="2086"/>
      <c r="O1455" s="1453"/>
      <c r="P1455" s="177"/>
      <c r="Q1455" s="177"/>
      <c r="R1455" s="1894"/>
      <c r="S1455" s="177"/>
      <c r="T1455" s="177"/>
      <c r="U1455" s="2090"/>
      <c r="V1455" s="245" t="s">
        <v>20</v>
      </c>
      <c r="W1455" s="1087"/>
      <c r="X1455" s="1088"/>
      <c r="Y1455" s="1005">
        <v>2304.4699999999998</v>
      </c>
      <c r="Z1455" s="1089"/>
      <c r="AA1455" s="1089"/>
      <c r="AB1455" s="1090"/>
      <c r="AC1455" s="1087"/>
      <c r="AD1455" s="1087"/>
      <c r="AE1455" s="1087"/>
      <c r="AF1455" s="1087"/>
      <c r="AG1455" s="1087"/>
      <c r="AH1455" s="248"/>
      <c r="AK1455" s="1091"/>
      <c r="BB1455" s="995"/>
      <c r="BC1455" s="892" t="str">
        <f t="shared" si="128"/>
        <v>Heating Res ER2 12 Year EUL</v>
      </c>
      <c r="BD1455" s="894">
        <f>(INDEX('Avoided Cost Benefits'!$C$4:$C$857,MATCH(BC1455,'Avoided Cost Benefits'!$A$4:$A$857,0)))*F1455</f>
        <v>681.39168008061858</v>
      </c>
      <c r="BE1455" s="74">
        <f t="shared" si="142"/>
        <v>0</v>
      </c>
      <c r="BG1455" s="919"/>
      <c r="BH1455" s="1095"/>
      <c r="BI1455" s="919"/>
    </row>
    <row r="1456" spans="1:61" s="65" customFormat="1" x14ac:dyDescent="0.25">
      <c r="A1456" s="785"/>
      <c r="B1456" s="177"/>
      <c r="C1456" s="1572" t="s">
        <v>1470</v>
      </c>
      <c r="D1456" s="2045" t="s">
        <v>797</v>
      </c>
      <c r="E1456" s="956" t="s">
        <v>3359</v>
      </c>
      <c r="F1456" s="999">
        <f>ROUND(((K2210*K2338*(1/K2466-1/K2594)*K2722)/1000),2)</f>
        <v>109.34</v>
      </c>
      <c r="G1456" s="318" t="s">
        <v>1367</v>
      </c>
      <c r="H1456" s="239">
        <f>VLOOKUP(G1456,'CP FACTORS'!$A$3:$B$38, 2, FALSE)</f>
        <v>9.4741810000000004E-4</v>
      </c>
      <c r="I1456" s="2046">
        <f t="shared" si="125"/>
        <v>0.103591</v>
      </c>
      <c r="J1456" s="156">
        <f>K2862</f>
        <v>18</v>
      </c>
      <c r="K1456" s="1085">
        <f>K3032</f>
        <v>303</v>
      </c>
      <c r="L1456" s="1086">
        <f>L1698</f>
        <v>3.1</v>
      </c>
      <c r="M1456" s="2089"/>
      <c r="N1456" s="2086"/>
      <c r="O1456" s="1453"/>
      <c r="P1456" s="177"/>
      <c r="Q1456" s="177"/>
      <c r="R1456" s="1894"/>
      <c r="S1456" s="177"/>
      <c r="T1456" s="177"/>
      <c r="U1456" s="2090"/>
      <c r="V1456" s="245" t="s">
        <v>20</v>
      </c>
      <c r="W1456" s="1087">
        <v>109.33614947965923</v>
      </c>
      <c r="X1456" s="1096">
        <v>109.33614947965923</v>
      </c>
      <c r="Y1456" s="999">
        <v>109.34</v>
      </c>
      <c r="Z1456" s="1089"/>
      <c r="AA1456" s="1089"/>
      <c r="AB1456" s="1090"/>
      <c r="AC1456" s="1087"/>
      <c r="AD1456" s="1087"/>
      <c r="AE1456" s="1087"/>
      <c r="AF1456" s="1087"/>
      <c r="AG1456" s="1087"/>
      <c r="AH1456" s="248"/>
      <c r="AK1456" s="1091"/>
      <c r="BB1456" s="350">
        <f>(BD1456+BD1457)/(BE1456+BE1457)</f>
        <v>1.0839407911241059</v>
      </c>
      <c r="BC1456" s="956" t="str">
        <f t="shared" si="128"/>
        <v>Cooling Res 18 Year EUL</v>
      </c>
      <c r="BD1456" s="894">
        <f>(INDEX('Avoided Cost Benefits'!$C$4:$C$857,MATCH(BC1456,'Avoided Cost Benefits'!$A$4:$A$857,0)))*F1456</f>
        <v>192.85473132460581</v>
      </c>
      <c r="BE1456" s="74">
        <f t="shared" si="142"/>
        <v>285.98395469561109</v>
      </c>
      <c r="BG1456" s="919"/>
      <c r="BH1456" s="1092"/>
      <c r="BI1456" s="919"/>
    </row>
    <row r="1457" spans="1:61" s="65" customFormat="1" x14ac:dyDescent="0.25">
      <c r="A1457" s="785"/>
      <c r="B1457" s="177"/>
      <c r="C1457" s="1572" t="s">
        <v>1470</v>
      </c>
      <c r="D1457" s="2045" t="s">
        <v>797</v>
      </c>
      <c r="E1457" s="1093" t="s">
        <v>3359</v>
      </c>
      <c r="F1457" s="999">
        <f>ROUND(((K1698*K1826*(1/K1954-1/K2082)*K2722)/1000),2)</f>
        <v>253.53</v>
      </c>
      <c r="G1457" s="318" t="s">
        <v>1369</v>
      </c>
      <c r="H1457" s="239">
        <f>VLOOKUP(G1457,'CP FACTORS'!$A$3:$B$38, 2, FALSE)</f>
        <v>0</v>
      </c>
      <c r="I1457" s="2046">
        <f t="shared" si="125"/>
        <v>0</v>
      </c>
      <c r="J1457" s="156">
        <f>K2863</f>
        <v>18</v>
      </c>
      <c r="K1457" s="1085">
        <f>K3033</f>
        <v>0</v>
      </c>
      <c r="L1457" s="1086"/>
      <c r="M1457" s="2089"/>
      <c r="N1457" s="2086"/>
      <c r="O1457" s="1453"/>
      <c r="P1457" s="177"/>
      <c r="Q1457" s="177"/>
      <c r="R1457" s="1894"/>
      <c r="S1457" s="177"/>
      <c r="T1457" s="177"/>
      <c r="U1457" s="2090"/>
      <c r="V1457" s="245" t="s">
        <v>20</v>
      </c>
      <c r="W1457" s="1087">
        <v>340.46551724137925</v>
      </c>
      <c r="X1457" s="1088">
        <v>253.52733389402857</v>
      </c>
      <c r="Y1457" s="999">
        <v>253.53</v>
      </c>
      <c r="Z1457" s="1089"/>
      <c r="AA1457" s="1089"/>
      <c r="AB1457" s="1090"/>
      <c r="AC1457" s="1087"/>
      <c r="AD1457" s="1087"/>
      <c r="AE1457" s="1087"/>
      <c r="AF1457" s="1087"/>
      <c r="AG1457" s="1087"/>
      <c r="AH1457" s="248"/>
      <c r="AK1457" s="1091"/>
      <c r="BB1457" s="348"/>
      <c r="BC1457" s="1093" t="str">
        <f t="shared" si="128"/>
        <v>Heating Res 18 Year EUL</v>
      </c>
      <c r="BD1457" s="894">
        <f>(INDEX('Avoided Cost Benefits'!$C$4:$C$857,MATCH(BC1457,'Avoided Cost Benefits'!$A$4:$A$857,0)))*F1457</f>
        <v>117.13494277695533</v>
      </c>
      <c r="BE1457" s="74">
        <f t="shared" si="142"/>
        <v>0</v>
      </c>
      <c r="BG1457" s="919"/>
      <c r="BH1457" s="1092"/>
      <c r="BI1457" s="919"/>
    </row>
    <row r="1458" spans="1:61" s="65" customFormat="1" x14ac:dyDescent="0.25">
      <c r="A1458" s="785"/>
      <c r="B1458" s="177"/>
      <c r="C1458" s="1572" t="s">
        <v>1471</v>
      </c>
      <c r="D1458" s="2045" t="s">
        <v>792</v>
      </c>
      <c r="E1458" s="884" t="str">
        <f>CONCATENATE(E1456,"_CompE")</f>
        <v>ASHP SEER 15 - replace on Fail MF _CompE</v>
      </c>
      <c r="F1458" s="999">
        <f>ROUND((($K$2211*$K$2339*(1/$K$2467-1/$K$2595)*$K$2723)/1000),2)</f>
        <v>79.52</v>
      </c>
      <c r="G1458" s="318" t="str">
        <f>G1456</f>
        <v>Cooling Res</v>
      </c>
      <c r="H1458" s="239">
        <f t="shared" ref="H1458:K1459" si="144">H1456</f>
        <v>9.4741810000000004E-4</v>
      </c>
      <c r="I1458" s="2518">
        <f t="shared" si="125"/>
        <v>7.5339000000000003E-2</v>
      </c>
      <c r="J1458" s="156">
        <f t="shared" si="144"/>
        <v>18</v>
      </c>
      <c r="K1458" s="1085">
        <f t="shared" si="144"/>
        <v>303</v>
      </c>
      <c r="L1458" s="1086">
        <f>L1456</f>
        <v>3.1</v>
      </c>
      <c r="M1458" s="2089"/>
      <c r="N1458" s="2086"/>
      <c r="O1458" s="1453"/>
      <c r="P1458" s="177"/>
      <c r="Q1458" s="177"/>
      <c r="R1458" s="1894"/>
      <c r="S1458" s="177"/>
      <c r="T1458" s="177"/>
      <c r="U1458" s="2090"/>
      <c r="V1458" s="245" t="s">
        <v>20</v>
      </c>
      <c r="W1458" s="1087"/>
      <c r="X1458" s="1088"/>
      <c r="Y1458" s="1005">
        <v>79.52</v>
      </c>
      <c r="Z1458" s="1089"/>
      <c r="AA1458" s="1089"/>
      <c r="AB1458" s="1090"/>
      <c r="AC1458" s="1087"/>
      <c r="AD1458" s="1087"/>
      <c r="AE1458" s="1087"/>
      <c r="AF1458" s="1087"/>
      <c r="AG1458" s="1087"/>
      <c r="AH1458" s="248"/>
      <c r="AK1458" s="1091"/>
      <c r="BB1458" s="350">
        <f>(BD1458+BD1459)/(BE1458+BE1459)</f>
        <v>0.63007044732450812</v>
      </c>
      <c r="BC1458" s="956" t="str">
        <f t="shared" si="128"/>
        <v>Cooling Res 18 Year EUL</v>
      </c>
      <c r="BD1458" s="894">
        <f>(INDEX('Avoided Cost Benefits'!$C$4:$C$857,MATCH(BC1458,'Avoided Cost Benefits'!$A$4:$A$857,0)))*F1458</f>
        <v>140.25798641789513</v>
      </c>
      <c r="BE1458" s="74">
        <f t="shared" si="142"/>
        <v>285.98395469561109</v>
      </c>
      <c r="BG1458" s="919"/>
      <c r="BH1458" s="1095"/>
      <c r="BI1458" s="919"/>
    </row>
    <row r="1459" spans="1:61" s="65" customFormat="1" x14ac:dyDescent="0.25">
      <c r="A1459" s="785"/>
      <c r="B1459" s="177"/>
      <c r="C1459" s="1572" t="str">
        <f>C1458</f>
        <v>353051_2019_12_</v>
      </c>
      <c r="D1459" s="2045" t="s">
        <v>792</v>
      </c>
      <c r="E1459" s="892" t="str">
        <f>CONCATENATE(E1457,"_CompE")</f>
        <v>ASHP SEER 15 - replace on Fail MF _CompE</v>
      </c>
      <c r="F1459" s="999">
        <f>ROUND((($K$1699*$K$1827*(1/$K$1955-1/$K$2083)*$K$2723)/1000),2)</f>
        <v>86.43</v>
      </c>
      <c r="G1459" s="318" t="str">
        <f>G1457</f>
        <v>Heating Res</v>
      </c>
      <c r="H1459" s="239">
        <f t="shared" si="144"/>
        <v>0</v>
      </c>
      <c r="I1459" s="2518">
        <f t="shared" si="125"/>
        <v>0</v>
      </c>
      <c r="J1459" s="156">
        <f t="shared" si="144"/>
        <v>18</v>
      </c>
      <c r="K1459" s="1085">
        <f t="shared" si="144"/>
        <v>0</v>
      </c>
      <c r="L1459" s="1086"/>
      <c r="M1459" s="2089"/>
      <c r="N1459" s="2086"/>
      <c r="O1459" s="1453"/>
      <c r="P1459" s="177"/>
      <c r="Q1459" s="177"/>
      <c r="R1459" s="1894"/>
      <c r="S1459" s="177"/>
      <c r="T1459" s="177"/>
      <c r="U1459" s="2090"/>
      <c r="V1459" s="245" t="s">
        <v>20</v>
      </c>
      <c r="W1459" s="1087"/>
      <c r="X1459" s="1088"/>
      <c r="Y1459" s="1005">
        <v>86.43</v>
      </c>
      <c r="Z1459" s="1089"/>
      <c r="AA1459" s="1089"/>
      <c r="AB1459" s="1090"/>
      <c r="AC1459" s="1087"/>
      <c r="AD1459" s="1087"/>
      <c r="AE1459" s="1087"/>
      <c r="AF1459" s="1087"/>
      <c r="AG1459" s="1087"/>
      <c r="AH1459" s="248"/>
      <c r="AK1459" s="1091"/>
      <c r="BB1459" s="348"/>
      <c r="BC1459" s="1093" t="str">
        <f t="shared" si="128"/>
        <v>Heating Res 18 Year EUL</v>
      </c>
      <c r="BD1459" s="894">
        <f>(INDEX('Avoided Cost Benefits'!$C$4:$C$857,MATCH(BC1459,'Avoided Cost Benefits'!$A$4:$A$857,0)))*F1459</f>
        <v>39.932051844800419</v>
      </c>
      <c r="BE1459" s="74">
        <f t="shared" si="142"/>
        <v>0</v>
      </c>
      <c r="BG1459" s="919"/>
      <c r="BH1459" s="1095"/>
      <c r="BI1459" s="919"/>
    </row>
    <row r="1460" spans="1:61" s="65" customFormat="1" x14ac:dyDescent="0.25">
      <c r="A1460" s="785"/>
      <c r="B1460" s="177"/>
      <c r="C1460" s="1572" t="s">
        <v>1472</v>
      </c>
      <c r="D1460" s="2045" t="s">
        <v>795</v>
      </c>
      <c r="E1460" s="956" t="s">
        <v>1473</v>
      </c>
      <c r="F1460" s="999">
        <f>ROUND(((K2212*K2340*(1/K2468-1/K2596)*K2724)/1000),2)</f>
        <v>528.48</v>
      </c>
      <c r="G1460" s="318" t="s">
        <v>1367</v>
      </c>
      <c r="H1460" s="239">
        <f>VLOOKUP(G1460,'CP FACTORS'!$A$3:$B$38, 2, FALSE)</f>
        <v>9.4741810000000004E-4</v>
      </c>
      <c r="I1460" s="2046">
        <f t="shared" si="125"/>
        <v>0.50069200000000003</v>
      </c>
      <c r="J1460" s="156">
        <f>K2864</f>
        <v>18</v>
      </c>
      <c r="K1460" s="1085">
        <f>K3034</f>
        <v>724</v>
      </c>
      <c r="L1460" s="1086">
        <f>L1700</f>
        <v>2.8</v>
      </c>
      <c r="M1460" s="2089"/>
      <c r="N1460" s="2086"/>
      <c r="O1460" s="1453"/>
      <c r="P1460" s="177"/>
      <c r="Q1460" s="177"/>
      <c r="R1460" s="1894"/>
      <c r="S1460" s="177"/>
      <c r="T1460" s="177"/>
      <c r="U1460" s="2090"/>
      <c r="V1460" s="245" t="s">
        <v>20</v>
      </c>
      <c r="W1460" s="1087">
        <v>2576.329411764706</v>
      </c>
      <c r="X1460" s="1088">
        <v>1787.6571428571426</v>
      </c>
      <c r="Y1460" s="1005">
        <v>528.48</v>
      </c>
      <c r="Z1460" s="1089"/>
      <c r="AA1460" s="1089"/>
      <c r="AB1460" s="1090"/>
      <c r="AC1460" s="1087"/>
      <c r="AD1460" s="1087"/>
      <c r="AE1460" s="1087"/>
      <c r="AF1460" s="1087"/>
      <c r="AG1460" s="1087"/>
      <c r="AH1460" s="248"/>
      <c r="AK1460" s="1091"/>
      <c r="BB1460" s="350">
        <f>(BD1460+BD1461)/(BE1460+BE1461)</f>
        <v>7.8267978873137816</v>
      </c>
      <c r="BC1460" s="956" t="str">
        <f t="shared" si="128"/>
        <v>Cooling Res 18 Year EUL</v>
      </c>
      <c r="BD1460" s="894">
        <f>(INDEX('Avoided Cost Benefits'!$C$4:$C$857,MATCH(BC1460,'Avoided Cost Benefits'!$A$4:$A$857,0)))*F1460</f>
        <v>932.13708076118235</v>
      </c>
      <c r="BE1460" s="74">
        <f t="shared" si="142"/>
        <v>683.34119867862194</v>
      </c>
      <c r="BG1460" s="919"/>
      <c r="BH1460" s="1092"/>
      <c r="BI1460" s="919"/>
    </row>
    <row r="1461" spans="1:61" s="65" customFormat="1" x14ac:dyDescent="0.25">
      <c r="A1461" s="785"/>
      <c r="B1461" s="177"/>
      <c r="C1461" s="1572" t="s">
        <v>1472</v>
      </c>
      <c r="D1461" s="2045" t="s">
        <v>795</v>
      </c>
      <c r="E1461" s="1093" t="s">
        <v>1473</v>
      </c>
      <c r="F1461" s="999">
        <f>ROUND(((K1700*K1828*(1/K1956-1/K2084)*K2724)/1000),2)</f>
        <v>9558.6200000000008</v>
      </c>
      <c r="G1461" s="318" t="s">
        <v>1369</v>
      </c>
      <c r="H1461" s="239">
        <f>VLOOKUP(G1461,'CP FACTORS'!$A$3:$B$38, 2, FALSE)</f>
        <v>0</v>
      </c>
      <c r="I1461" s="2046">
        <f t="shared" si="125"/>
        <v>0</v>
      </c>
      <c r="J1461" s="156">
        <f>K2865</f>
        <v>18</v>
      </c>
      <c r="K1461" s="1085">
        <f>K3035</f>
        <v>0</v>
      </c>
      <c r="L1461" s="1086"/>
      <c r="M1461" s="2089"/>
      <c r="N1461" s="2086"/>
      <c r="O1461" s="1453"/>
      <c r="P1461" s="177"/>
      <c r="Q1461" s="177"/>
      <c r="R1461" s="1894"/>
      <c r="S1461" s="177"/>
      <c r="T1461" s="177"/>
      <c r="U1461" s="2090"/>
      <c r="V1461" s="245" t="s">
        <v>20</v>
      </c>
      <c r="W1461" s="1087">
        <v>12836.414910662994</v>
      </c>
      <c r="X1461" s="1088">
        <v>9558.6245427336198</v>
      </c>
      <c r="Y1461" s="999">
        <v>9558.6200000000008</v>
      </c>
      <c r="Z1461" s="1089"/>
      <c r="AA1461" s="1089"/>
      <c r="AB1461" s="1090"/>
      <c r="AC1461" s="1087"/>
      <c r="AD1461" s="1087"/>
      <c r="AE1461" s="1087"/>
      <c r="AF1461" s="1087"/>
      <c r="AG1461" s="1087"/>
      <c r="AH1461" s="248"/>
      <c r="AK1461" s="1091"/>
      <c r="BB1461" s="348"/>
      <c r="BC1461" s="1093" t="str">
        <f t="shared" si="128"/>
        <v>Heating Res 18 Year EUL</v>
      </c>
      <c r="BD1461" s="894">
        <f>(INDEX('Avoided Cost Benefits'!$C$4:$C$857,MATCH(BC1461,'Avoided Cost Benefits'!$A$4:$A$857,0)))*F1461</f>
        <v>4416.2363693711231</v>
      </c>
      <c r="BE1461" s="74">
        <f t="shared" si="142"/>
        <v>0</v>
      </c>
      <c r="BG1461" s="919"/>
      <c r="BH1461" s="1092"/>
      <c r="BI1461" s="919"/>
    </row>
    <row r="1462" spans="1:61" s="65" customFormat="1" x14ac:dyDescent="0.25">
      <c r="A1462" s="785"/>
      <c r="B1462" s="177"/>
      <c r="C1462" s="1572" t="s">
        <v>1474</v>
      </c>
      <c r="D1462" s="2045" t="s">
        <v>797</v>
      </c>
      <c r="E1462" s="956" t="s">
        <v>1475</v>
      </c>
      <c r="F1462" s="999">
        <f>ROUND(((K2213*K2341*(1/K2469-1/K2597)*K2725)/1000),2)</f>
        <v>343.51</v>
      </c>
      <c r="G1462" s="318" t="s">
        <v>1367</v>
      </c>
      <c r="H1462" s="239">
        <f>VLOOKUP(G1462,'CP FACTORS'!$A$3:$B$38, 2, FALSE)</f>
        <v>9.4741810000000004E-4</v>
      </c>
      <c r="I1462" s="2046">
        <f t="shared" si="125"/>
        <v>0.32544800000000002</v>
      </c>
      <c r="J1462" s="156">
        <f>K2866</f>
        <v>18</v>
      </c>
      <c r="K1462" s="1085">
        <f>K3036</f>
        <v>724</v>
      </c>
      <c r="L1462" s="1086">
        <f>L1701</f>
        <v>2.8</v>
      </c>
      <c r="M1462" s="2089"/>
      <c r="N1462" s="2086"/>
      <c r="O1462" s="1453"/>
      <c r="P1462" s="177"/>
      <c r="Q1462" s="177"/>
      <c r="R1462" s="1894"/>
      <c r="S1462" s="177"/>
      <c r="T1462" s="177"/>
      <c r="U1462" s="2090"/>
      <c r="V1462" s="245" t="s">
        <v>20</v>
      </c>
      <c r="W1462" s="1087">
        <v>1674.6141176470589</v>
      </c>
      <c r="X1462" s="1088">
        <v>1161.9771428571428</v>
      </c>
      <c r="Y1462" s="1005">
        <v>343.51</v>
      </c>
      <c r="Z1462" s="1089"/>
      <c r="AA1462" s="1089"/>
      <c r="AB1462" s="1090"/>
      <c r="AC1462" s="1087"/>
      <c r="AD1462" s="1087"/>
      <c r="AE1462" s="1087"/>
      <c r="AF1462" s="1087"/>
      <c r="AG1462" s="1087"/>
      <c r="AH1462" s="248"/>
      <c r="AK1462" s="1091"/>
      <c r="BB1462" s="350">
        <f>(BD1462+BD1463)/(BE1462+BE1463)</f>
        <v>5.0874181972428625</v>
      </c>
      <c r="BC1462" s="956" t="str">
        <f t="shared" si="128"/>
        <v>Cooling Res 18 Year EUL</v>
      </c>
      <c r="BD1462" s="894">
        <f>(INDEX('Avoided Cost Benefits'!$C$4:$C$857,MATCH(BC1462,'Avoided Cost Benefits'!$A$4:$A$857,0)))*F1462</f>
        <v>605.88557487941591</v>
      </c>
      <c r="BE1462" s="74">
        <f t="shared" si="142"/>
        <v>683.34119867862194</v>
      </c>
      <c r="BG1462" s="919"/>
      <c r="BH1462" s="1092"/>
      <c r="BI1462" s="919"/>
    </row>
    <row r="1463" spans="1:61" s="65" customFormat="1" x14ac:dyDescent="0.25">
      <c r="A1463" s="785"/>
      <c r="B1463" s="177"/>
      <c r="C1463" s="1572" t="s">
        <v>1474</v>
      </c>
      <c r="D1463" s="2045" t="s">
        <v>797</v>
      </c>
      <c r="E1463" s="1093" t="s">
        <v>1475</v>
      </c>
      <c r="F1463" s="999">
        <f>ROUND(((K1701*K1829*(1/K1957-1/K2085)*K2725)/1000),2)</f>
        <v>6213.11</v>
      </c>
      <c r="G1463" s="318" t="s">
        <v>1369</v>
      </c>
      <c r="H1463" s="239">
        <f>VLOOKUP(G1463,'CP FACTORS'!$A$3:$B$38, 2, FALSE)</f>
        <v>0</v>
      </c>
      <c r="I1463" s="2046">
        <f t="shared" si="125"/>
        <v>0</v>
      </c>
      <c r="J1463" s="156">
        <f>K2867</f>
        <v>18</v>
      </c>
      <c r="K1463" s="1085">
        <f>K3037</f>
        <v>0</v>
      </c>
      <c r="L1463" s="1086"/>
      <c r="M1463" s="2089"/>
      <c r="N1463" s="2086"/>
      <c r="O1463" s="1453"/>
      <c r="P1463" s="177"/>
      <c r="Q1463" s="177"/>
      <c r="R1463" s="1894"/>
      <c r="S1463" s="177"/>
      <c r="T1463" s="177"/>
      <c r="U1463" s="2090"/>
      <c r="V1463" s="245" t="s">
        <v>20</v>
      </c>
      <c r="W1463" s="1087">
        <v>8343.6696919309452</v>
      </c>
      <c r="X1463" s="1088">
        <v>6213.105952776853</v>
      </c>
      <c r="Y1463" s="999">
        <v>6213.11</v>
      </c>
      <c r="Z1463" s="1089"/>
      <c r="AA1463" s="1089"/>
      <c r="AB1463" s="1090"/>
      <c r="AC1463" s="1087"/>
      <c r="AD1463" s="1087"/>
      <c r="AE1463" s="1087"/>
      <c r="AF1463" s="1087"/>
      <c r="AG1463" s="1087"/>
      <c r="AH1463" s="248"/>
      <c r="AK1463" s="1091"/>
      <c r="BB1463" s="348"/>
      <c r="BC1463" s="1093" t="str">
        <f t="shared" si="128"/>
        <v>Heating Res 18 Year EUL</v>
      </c>
      <c r="BD1463" s="894">
        <f>(INDEX('Avoided Cost Benefits'!$C$4:$C$857,MATCH(BC1463,'Avoided Cost Benefits'!$A$4:$A$857,0)))*F1463</f>
        <v>2870.5568742039554</v>
      </c>
      <c r="BE1463" s="74">
        <f t="shared" si="142"/>
        <v>0</v>
      </c>
      <c r="BG1463" s="919"/>
      <c r="BH1463" s="1092"/>
      <c r="BI1463" s="919"/>
    </row>
    <row r="1464" spans="1:61" s="65" customFormat="1" x14ac:dyDescent="0.25">
      <c r="A1464" s="785"/>
      <c r="B1464" s="177"/>
      <c r="C1464" s="1572" t="s">
        <v>1476</v>
      </c>
      <c r="D1464" s="2045" t="s">
        <v>792</v>
      </c>
      <c r="E1464" s="884" t="str">
        <f>CONCATENATE(E1462,"_CompE")</f>
        <v>ASHP - SEER 17 - replace electric furnace / CAC MF_CompE</v>
      </c>
      <c r="F1464" s="999">
        <f>ROUND((($K$2214*$K$2342*(1/$K$2470-1/$K$2598)*$K$2726)/1000),2)</f>
        <v>249.83</v>
      </c>
      <c r="G1464" s="318" t="str">
        <f>G1462</f>
        <v>Cooling Res</v>
      </c>
      <c r="H1464" s="239">
        <f t="shared" ref="H1464:K1465" si="145">H1462</f>
        <v>9.4741810000000004E-4</v>
      </c>
      <c r="I1464" s="2518">
        <f t="shared" si="125"/>
        <v>0.23669299999999999</v>
      </c>
      <c r="J1464" s="156">
        <f t="shared" si="145"/>
        <v>18</v>
      </c>
      <c r="K1464" s="1085">
        <f t="shared" si="145"/>
        <v>724</v>
      </c>
      <c r="L1464" s="1086">
        <f>L1462</f>
        <v>2.8</v>
      </c>
      <c r="M1464" s="2089"/>
      <c r="N1464" s="2086"/>
      <c r="O1464" s="1453"/>
      <c r="P1464" s="177"/>
      <c r="Q1464" s="177"/>
      <c r="R1464" s="1894"/>
      <c r="S1464" s="177"/>
      <c r="T1464" s="177"/>
      <c r="U1464" s="2090"/>
      <c r="V1464" s="245" t="s">
        <v>20</v>
      </c>
      <c r="W1464" s="1087"/>
      <c r="X1464" s="1088"/>
      <c r="Y1464" s="1005">
        <v>249.83</v>
      </c>
      <c r="Z1464" s="1089"/>
      <c r="AA1464" s="1089"/>
      <c r="AB1464" s="1090"/>
      <c r="AC1464" s="1087"/>
      <c r="AD1464" s="1087"/>
      <c r="AE1464" s="1087"/>
      <c r="AF1464" s="1087"/>
      <c r="AG1464" s="1087"/>
      <c r="AH1464" s="248"/>
      <c r="AK1464" s="1091"/>
      <c r="BB1464" s="350">
        <f>(BD1464+BD1465)/(BE1464+BE1465)</f>
        <v>2.0769249443850204</v>
      </c>
      <c r="BC1464" s="956" t="str">
        <f t="shared" si="128"/>
        <v>Cooling Res 18 Year EUL</v>
      </c>
      <c r="BD1464" s="894">
        <f>(INDEX('Avoided Cost Benefits'!$C$4:$C$857,MATCH(BC1464,'Avoided Cost Benefits'!$A$4:$A$857,0)))*F1464</f>
        <v>440.65207176537655</v>
      </c>
      <c r="BE1464" s="74">
        <f t="shared" si="142"/>
        <v>683.34119867862194</v>
      </c>
      <c r="BG1464" s="919"/>
      <c r="BH1464" s="1095"/>
      <c r="BI1464" s="919"/>
    </row>
    <row r="1465" spans="1:61" s="65" customFormat="1" x14ac:dyDescent="0.25">
      <c r="A1465" s="785"/>
      <c r="B1465" s="177"/>
      <c r="C1465" s="1572" t="str">
        <f>C1464</f>
        <v>353151_2019_12_</v>
      </c>
      <c r="D1465" s="2045" t="s">
        <v>792</v>
      </c>
      <c r="E1465" s="892" t="str">
        <f>CONCATENATE(E1463,"_CompE")</f>
        <v>ASHP - SEER 17 - replace electric furnace / CAC MF_CompE</v>
      </c>
      <c r="F1465" s="999">
        <f>ROUND((($K$1702*$K$1830*(1/$K$1958-1/$K$2086)*$K$2726)/1000),2)</f>
        <v>2118.1</v>
      </c>
      <c r="G1465" s="318" t="str">
        <f>G1463</f>
        <v>Heating Res</v>
      </c>
      <c r="H1465" s="239">
        <f t="shared" si="145"/>
        <v>0</v>
      </c>
      <c r="I1465" s="2518">
        <f t="shared" si="125"/>
        <v>0</v>
      </c>
      <c r="J1465" s="156">
        <f t="shared" si="145"/>
        <v>18</v>
      </c>
      <c r="K1465" s="1085">
        <f t="shared" si="145"/>
        <v>0</v>
      </c>
      <c r="L1465" s="1086"/>
      <c r="M1465" s="2089"/>
      <c r="N1465" s="2086"/>
      <c r="O1465" s="1453"/>
      <c r="P1465" s="177"/>
      <c r="Q1465" s="177"/>
      <c r="R1465" s="1894"/>
      <c r="S1465" s="177"/>
      <c r="T1465" s="177"/>
      <c r="U1465" s="2090"/>
      <c r="V1465" s="245" t="s">
        <v>20</v>
      </c>
      <c r="W1465" s="1087"/>
      <c r="X1465" s="1088"/>
      <c r="Y1465" s="1005">
        <v>2118.1</v>
      </c>
      <c r="Z1465" s="1089"/>
      <c r="AA1465" s="1089"/>
      <c r="AB1465" s="1090"/>
      <c r="AC1465" s="1087"/>
      <c r="AD1465" s="1087"/>
      <c r="AE1465" s="1087"/>
      <c r="AF1465" s="1087"/>
      <c r="AG1465" s="1087"/>
      <c r="AH1465" s="248"/>
      <c r="AK1465" s="1091"/>
      <c r="BB1465" s="348"/>
      <c r="BC1465" s="1093" t="str">
        <f t="shared" si="128"/>
        <v>Heating Res 18 Year EUL</v>
      </c>
      <c r="BD1465" s="894">
        <f>(INDEX('Avoided Cost Benefits'!$C$4:$C$857,MATCH(BC1465,'Avoided Cost Benefits'!$A$4:$A$857,0)))*F1465</f>
        <v>978.59630929621369</v>
      </c>
      <c r="BE1465" s="74">
        <f t="shared" si="142"/>
        <v>0</v>
      </c>
      <c r="BG1465" s="919"/>
      <c r="BH1465" s="1095"/>
      <c r="BI1465" s="919"/>
    </row>
    <row r="1466" spans="1:61" s="65" customFormat="1" x14ac:dyDescent="0.25">
      <c r="A1466" s="785"/>
      <c r="B1466" s="177"/>
      <c r="C1466" s="1572" t="s">
        <v>1477</v>
      </c>
      <c r="D1466" s="2045" t="s">
        <v>795</v>
      </c>
      <c r="E1466" s="956" t="s">
        <v>1478</v>
      </c>
      <c r="F1466" s="999">
        <f>ROUND(((K2215*K2343*(1/K2471-1/K2599)*K2727)/1000),2)</f>
        <v>623.9</v>
      </c>
      <c r="G1466" s="318" t="s">
        <v>1367</v>
      </c>
      <c r="H1466" s="239">
        <f>VLOOKUP(G1466,'CP FACTORS'!$A$3:$B$38, 2, FALSE)</f>
        <v>9.4741810000000004E-4</v>
      </c>
      <c r="I1466" s="2046">
        <f t="shared" si="125"/>
        <v>0.59109400000000001</v>
      </c>
      <c r="J1466" s="156">
        <f>K2868</f>
        <v>18</v>
      </c>
      <c r="K1466" s="1085">
        <f>K3038</f>
        <v>962.92000000000007</v>
      </c>
      <c r="L1466" s="1086">
        <f>L1703</f>
        <v>2.8</v>
      </c>
      <c r="M1466" s="2089"/>
      <c r="N1466" s="2086"/>
      <c r="O1466" s="1453"/>
      <c r="P1466" s="177"/>
      <c r="Q1466" s="177"/>
      <c r="R1466" s="1894"/>
      <c r="S1466" s="177"/>
      <c r="T1466" s="177"/>
      <c r="U1466" s="2090"/>
      <c r="V1466" s="245" t="s">
        <v>20</v>
      </c>
      <c r="W1466" s="1087">
        <v>2671.7490196078434</v>
      </c>
      <c r="X1466" s="1088">
        <v>1883.0767507002802</v>
      </c>
      <c r="Y1466" s="1005">
        <v>623.9</v>
      </c>
      <c r="Z1466" s="1089"/>
      <c r="AA1466" s="1089"/>
      <c r="AB1466" s="1090"/>
      <c r="AC1466" s="1087"/>
      <c r="AD1466" s="1087"/>
      <c r="AE1466" s="1087"/>
      <c r="AF1466" s="1087"/>
      <c r="AG1466" s="1087"/>
      <c r="AH1466" s="248"/>
      <c r="AK1466" s="1091"/>
      <c r="BB1466" s="350">
        <f>(BD1466+BD1467)/(BE1466+BE1467)</f>
        <v>6.0699935605553499</v>
      </c>
      <c r="BC1466" s="956" t="str">
        <f t="shared" si="128"/>
        <v>Cooling Res 18 Year EUL</v>
      </c>
      <c r="BD1466" s="894">
        <f>(INDEX('Avoided Cost Benefits'!$C$4:$C$857,MATCH(BC1466,'Avoided Cost Benefits'!$A$4:$A$857,0)))*F1466</f>
        <v>1100.4396092319514</v>
      </c>
      <c r="BE1466" s="74">
        <f t="shared" si="142"/>
        <v>908.84379424256724</v>
      </c>
      <c r="BG1466" s="919"/>
      <c r="BH1466" s="1092"/>
      <c r="BI1466" s="919"/>
    </row>
    <row r="1467" spans="1:61" s="65" customFormat="1" x14ac:dyDescent="0.25">
      <c r="A1467" s="785"/>
      <c r="B1467" s="177"/>
      <c r="C1467" s="1572" t="s">
        <v>1477</v>
      </c>
      <c r="D1467" s="2045" t="s">
        <v>795</v>
      </c>
      <c r="E1467" s="1093" t="s">
        <v>1478</v>
      </c>
      <c r="F1467" s="999">
        <f>ROUND(((K1703*K1831*(1/K1959-1/K2087)*K2727)/1000),2)</f>
        <v>9558.6200000000008</v>
      </c>
      <c r="G1467" s="318" t="s">
        <v>1369</v>
      </c>
      <c r="H1467" s="239">
        <f>VLOOKUP(G1467,'CP FACTORS'!$A$3:$B$38, 2, FALSE)</f>
        <v>0</v>
      </c>
      <c r="I1467" s="2046">
        <f t="shared" si="125"/>
        <v>0</v>
      </c>
      <c r="J1467" s="156">
        <f>K2869</f>
        <v>18</v>
      </c>
      <c r="K1467" s="1085">
        <f>K3039</f>
        <v>0</v>
      </c>
      <c r="L1467" s="1086"/>
      <c r="M1467" s="2089"/>
      <c r="N1467" s="2086"/>
      <c r="O1467" s="1453"/>
      <c r="P1467" s="177"/>
      <c r="Q1467" s="177"/>
      <c r="R1467" s="1894"/>
      <c r="S1467" s="177"/>
      <c r="T1467" s="177"/>
      <c r="U1467" s="2090"/>
      <c r="V1467" s="245" t="s">
        <v>20</v>
      </c>
      <c r="W1467" s="1087">
        <v>12836.414910662994</v>
      </c>
      <c r="X1467" s="1088">
        <v>9558.6245427336198</v>
      </c>
      <c r="Y1467" s="999">
        <v>9558.6200000000008</v>
      </c>
      <c r="Z1467" s="1089"/>
      <c r="AA1467" s="1089"/>
      <c r="AB1467" s="1090"/>
      <c r="AC1467" s="1087"/>
      <c r="AD1467" s="1087"/>
      <c r="AE1467" s="1087"/>
      <c r="AF1467" s="1087"/>
      <c r="AG1467" s="1087"/>
      <c r="AH1467" s="248"/>
      <c r="AK1467" s="1091"/>
      <c r="BB1467" s="348"/>
      <c r="BC1467" s="1093" t="str">
        <f t="shared" si="128"/>
        <v>Heating Res 18 Year EUL</v>
      </c>
      <c r="BD1467" s="894">
        <f>(INDEX('Avoided Cost Benefits'!$C$4:$C$857,MATCH(BC1467,'Avoided Cost Benefits'!$A$4:$A$857,0)))*F1467</f>
        <v>4416.2363693711231</v>
      </c>
      <c r="BE1467" s="74">
        <f t="shared" si="142"/>
        <v>0</v>
      </c>
      <c r="BG1467" s="919"/>
      <c r="BH1467" s="1092"/>
      <c r="BI1467" s="919"/>
    </row>
    <row r="1468" spans="1:61" s="65" customFormat="1" x14ac:dyDescent="0.25">
      <c r="A1468" s="785"/>
      <c r="B1468" s="177"/>
      <c r="C1468" s="1572" t="s">
        <v>1479</v>
      </c>
      <c r="D1468" s="2045" t="s">
        <v>797</v>
      </c>
      <c r="E1468" s="956" t="s">
        <v>1480</v>
      </c>
      <c r="F1468" s="999">
        <f>ROUND(((K2216*K2344*(1/K2472-1/K2600)*K2728)/1000),2)</f>
        <v>405.53</v>
      </c>
      <c r="G1468" s="318" t="s">
        <v>1367</v>
      </c>
      <c r="H1468" s="239">
        <f>VLOOKUP(G1468,'CP FACTORS'!$A$3:$B$38, 2, FALSE)</f>
        <v>9.4741810000000004E-4</v>
      </c>
      <c r="I1468" s="2046">
        <f t="shared" si="125"/>
        <v>0.38420599999999999</v>
      </c>
      <c r="J1468" s="156">
        <f>K2870</f>
        <v>18</v>
      </c>
      <c r="K1468" s="1085">
        <f>K3040</f>
        <v>962.92000000000007</v>
      </c>
      <c r="L1468" s="1086">
        <f>L1704</f>
        <v>2.8</v>
      </c>
      <c r="M1468" s="2089"/>
      <c r="N1468" s="2086"/>
      <c r="O1468" s="1453"/>
      <c r="P1468" s="177"/>
      <c r="Q1468" s="177"/>
      <c r="R1468" s="1894"/>
      <c r="S1468" s="177"/>
      <c r="T1468" s="177"/>
      <c r="U1468" s="2090"/>
      <c r="V1468" s="245" t="s">
        <v>20</v>
      </c>
      <c r="W1468" s="1087">
        <v>1736.6368627450984</v>
      </c>
      <c r="X1468" s="1088">
        <v>1223.999887955182</v>
      </c>
      <c r="Y1468" s="1005">
        <v>405.53</v>
      </c>
      <c r="Z1468" s="1089"/>
      <c r="AA1468" s="1089"/>
      <c r="AB1468" s="1090"/>
      <c r="AC1468" s="1087"/>
      <c r="AD1468" s="1087"/>
      <c r="AE1468" s="1087"/>
      <c r="AF1468" s="1087"/>
      <c r="AG1468" s="1087"/>
      <c r="AH1468" s="248"/>
      <c r="AK1468" s="1091"/>
      <c r="BB1468" s="350">
        <f>(BD1468+BD1469)/(BE1468+BE1469)</f>
        <v>3.9454896692723587</v>
      </c>
      <c r="BC1468" s="956" t="str">
        <f t="shared" si="128"/>
        <v>Cooling Res 18 Year EUL</v>
      </c>
      <c r="BD1468" s="894">
        <f>(INDEX('Avoided Cost Benefits'!$C$4:$C$857,MATCH(BC1468,'Avoided Cost Benefits'!$A$4:$A$857,0)))*F1468</f>
        <v>715.27692696238694</v>
      </c>
      <c r="BE1468" s="74">
        <f t="shared" si="142"/>
        <v>908.84379424256724</v>
      </c>
      <c r="BG1468" s="919"/>
      <c r="BH1468" s="1092"/>
      <c r="BI1468" s="919"/>
    </row>
    <row r="1469" spans="1:61" s="65" customFormat="1" x14ac:dyDescent="0.25">
      <c r="A1469" s="785"/>
      <c r="B1469" s="177"/>
      <c r="C1469" s="1572" t="s">
        <v>1479</v>
      </c>
      <c r="D1469" s="2045" t="s">
        <v>797</v>
      </c>
      <c r="E1469" s="1093" t="s">
        <v>1480</v>
      </c>
      <c r="F1469" s="999">
        <f>ROUND(((K1704*K1832*(1/K1960-1/K2088)*K2728)/1000),2)</f>
        <v>6213.11</v>
      </c>
      <c r="G1469" s="318" t="s">
        <v>1369</v>
      </c>
      <c r="H1469" s="239">
        <f>VLOOKUP(G1469,'CP FACTORS'!$A$3:$B$38, 2, FALSE)</f>
        <v>0</v>
      </c>
      <c r="I1469" s="2046">
        <f t="shared" si="125"/>
        <v>0</v>
      </c>
      <c r="J1469" s="156">
        <f>K2871</f>
        <v>18</v>
      </c>
      <c r="K1469" s="1085">
        <f>K3041</f>
        <v>0</v>
      </c>
      <c r="L1469" s="1086"/>
      <c r="M1469" s="2089"/>
      <c r="N1469" s="2086"/>
      <c r="O1469" s="1453"/>
      <c r="P1469" s="177"/>
      <c r="Q1469" s="177"/>
      <c r="R1469" s="1894"/>
      <c r="S1469" s="177"/>
      <c r="T1469" s="177"/>
      <c r="U1469" s="2090"/>
      <c r="V1469" s="245" t="s">
        <v>20</v>
      </c>
      <c r="W1469" s="1087">
        <v>8343.6696919309452</v>
      </c>
      <c r="X1469" s="1088">
        <v>6213.105952776853</v>
      </c>
      <c r="Y1469" s="999">
        <v>6213.11</v>
      </c>
      <c r="Z1469" s="1089"/>
      <c r="AA1469" s="1089"/>
      <c r="AB1469" s="1090"/>
      <c r="AC1469" s="1087"/>
      <c r="AD1469" s="1087"/>
      <c r="AE1469" s="1087"/>
      <c r="AF1469" s="1087"/>
      <c r="AG1469" s="1087"/>
      <c r="AH1469" s="248"/>
      <c r="AK1469" s="1091"/>
      <c r="BB1469" s="348"/>
      <c r="BC1469" s="1093" t="str">
        <f t="shared" si="128"/>
        <v>Heating Res 18 Year EUL</v>
      </c>
      <c r="BD1469" s="894">
        <f>(INDEX('Avoided Cost Benefits'!$C$4:$C$857,MATCH(BC1469,'Avoided Cost Benefits'!$A$4:$A$857,0)))*F1469</f>
        <v>2870.5568742039554</v>
      </c>
      <c r="BE1469" s="74">
        <f t="shared" si="142"/>
        <v>0</v>
      </c>
      <c r="BG1469" s="919"/>
      <c r="BH1469" s="1092"/>
      <c r="BI1469" s="919"/>
    </row>
    <row r="1470" spans="1:61" s="65" customFormat="1" x14ac:dyDescent="0.25">
      <c r="A1470" s="785"/>
      <c r="B1470" s="177"/>
      <c r="C1470" s="1572" t="s">
        <v>1481</v>
      </c>
      <c r="D1470" s="2045" t="s">
        <v>792</v>
      </c>
      <c r="E1470" s="884" t="str">
        <f>CONCATENATE(E1468,"_CompE")</f>
        <v>ASHP - SEER 18 - replace electric furnace / CAC MF_CompE</v>
      </c>
      <c r="F1470" s="999">
        <f>ROUND((($K$2217*$K$2345*(1/$K$2473-1/$K$2601)*$K$2729)/1000),2)</f>
        <v>294.93</v>
      </c>
      <c r="G1470" s="318" t="str">
        <f>G1468</f>
        <v>Cooling Res</v>
      </c>
      <c r="H1470" s="239">
        <f t="shared" ref="H1470:K1471" si="146">H1468</f>
        <v>9.4741810000000004E-4</v>
      </c>
      <c r="I1470" s="2518">
        <f t="shared" si="125"/>
        <v>0.279422</v>
      </c>
      <c r="J1470" s="156">
        <f t="shared" si="146"/>
        <v>18</v>
      </c>
      <c r="K1470" s="1085">
        <f t="shared" si="146"/>
        <v>962.92000000000007</v>
      </c>
      <c r="L1470" s="1086">
        <f>L1468</f>
        <v>2.8</v>
      </c>
      <c r="M1470" s="2089"/>
      <c r="N1470" s="2086"/>
      <c r="O1470" s="1453"/>
      <c r="P1470" s="177"/>
      <c r="Q1470" s="177"/>
      <c r="R1470" s="1894"/>
      <c r="S1470" s="177"/>
      <c r="T1470" s="177"/>
      <c r="U1470" s="2090"/>
      <c r="V1470" s="245" t="s">
        <v>20</v>
      </c>
      <c r="W1470" s="1087"/>
      <c r="X1470" s="1088"/>
      <c r="Y1470" s="1005">
        <v>294.93</v>
      </c>
      <c r="Z1470" s="1089"/>
      <c r="AA1470" s="1089"/>
      <c r="AB1470" s="1090"/>
      <c r="AC1470" s="1087"/>
      <c r="AD1470" s="1087"/>
      <c r="AE1470" s="1087"/>
      <c r="AF1470" s="1087"/>
      <c r="AG1470" s="1087"/>
      <c r="AH1470" s="248"/>
      <c r="AK1470" s="1091"/>
      <c r="BB1470" s="350">
        <f>(BD1470+BD1471)/(BE1470+BE1471)</f>
        <v>1.6491239933161244</v>
      </c>
      <c r="BC1470" s="956" t="str">
        <f t="shared" si="128"/>
        <v>Cooling Res 18 Year EUL</v>
      </c>
      <c r="BD1470" s="894">
        <f>(INDEX('Avoided Cost Benefits'!$C$4:$C$857,MATCH(BC1470,'Avoided Cost Benefits'!$A$4:$A$857,0)))*F1470</f>
        <v>520.19979796566668</v>
      </c>
      <c r="BE1470" s="74">
        <f t="shared" si="142"/>
        <v>908.84379424256724</v>
      </c>
      <c r="BG1470" s="919"/>
      <c r="BH1470" s="1095"/>
      <c r="BI1470" s="919"/>
    </row>
    <row r="1471" spans="1:61" s="65" customFormat="1" x14ac:dyDescent="0.25">
      <c r="A1471" s="785"/>
      <c r="B1471" s="177"/>
      <c r="C1471" s="1572" t="str">
        <f>C1470</f>
        <v>353251_2019_12_</v>
      </c>
      <c r="D1471" s="2045" t="s">
        <v>792</v>
      </c>
      <c r="E1471" s="892" t="str">
        <f>CONCATENATE(E1469,"_CompE")</f>
        <v>ASHP - SEER 18 - replace electric furnace / CAC MF_CompE</v>
      </c>
      <c r="F1471" s="999">
        <f>ROUND((($K$1705*$K$1833*(1/$K$1961-1/$K$2089)*$K$2729)/1000),2)</f>
        <v>2118.1</v>
      </c>
      <c r="G1471" s="318" t="str">
        <f>G1469</f>
        <v>Heating Res</v>
      </c>
      <c r="H1471" s="239">
        <f t="shared" si="146"/>
        <v>0</v>
      </c>
      <c r="I1471" s="2518">
        <f t="shared" si="125"/>
        <v>0</v>
      </c>
      <c r="J1471" s="156">
        <f t="shared" si="146"/>
        <v>18</v>
      </c>
      <c r="K1471" s="1085">
        <f t="shared" si="146"/>
        <v>0</v>
      </c>
      <c r="L1471" s="1086"/>
      <c r="M1471" s="2089"/>
      <c r="N1471" s="2086"/>
      <c r="O1471" s="1453"/>
      <c r="P1471" s="177"/>
      <c r="Q1471" s="177"/>
      <c r="R1471" s="1894"/>
      <c r="S1471" s="177"/>
      <c r="T1471" s="177"/>
      <c r="U1471" s="2090"/>
      <c r="V1471" s="245" t="s">
        <v>20</v>
      </c>
      <c r="W1471" s="1087"/>
      <c r="X1471" s="1088"/>
      <c r="Y1471" s="1005">
        <v>2118.1</v>
      </c>
      <c r="Z1471" s="1089"/>
      <c r="AA1471" s="1089"/>
      <c r="AB1471" s="1090"/>
      <c r="AC1471" s="1087"/>
      <c r="AD1471" s="1087"/>
      <c r="AE1471" s="1087"/>
      <c r="AF1471" s="1087"/>
      <c r="AG1471" s="1087"/>
      <c r="AH1471" s="248"/>
      <c r="AK1471" s="1091"/>
      <c r="BB1471" s="348"/>
      <c r="BC1471" s="1093" t="str">
        <f t="shared" si="128"/>
        <v>Heating Res 18 Year EUL</v>
      </c>
      <c r="BD1471" s="894">
        <f>(INDEX('Avoided Cost Benefits'!$C$4:$C$857,MATCH(BC1471,'Avoided Cost Benefits'!$A$4:$A$857,0)))*F1471</f>
        <v>978.59630929621369</v>
      </c>
      <c r="BE1471" s="74">
        <f t="shared" si="142"/>
        <v>0</v>
      </c>
      <c r="BG1471" s="919"/>
      <c r="BH1471" s="1095"/>
      <c r="BI1471" s="919"/>
    </row>
    <row r="1472" spans="1:61" s="65" customFormat="1" x14ac:dyDescent="0.25">
      <c r="A1472" s="785"/>
      <c r="B1472" s="177"/>
      <c r="C1472" s="1572" t="s">
        <v>1482</v>
      </c>
      <c r="D1472" s="2045" t="s">
        <v>795</v>
      </c>
      <c r="E1472" s="956" t="s">
        <v>1483</v>
      </c>
      <c r="F1472" s="999">
        <f>ROUND(((K2218*K2346*(1/K2474-1/K2602)*K2730)/1000),2)</f>
        <v>709.27</v>
      </c>
      <c r="G1472" s="318" t="s">
        <v>1367</v>
      </c>
      <c r="H1472" s="239">
        <f>VLOOKUP(G1472,'CP FACTORS'!$A$3:$B$38, 2, FALSE)</f>
        <v>9.4741810000000004E-4</v>
      </c>
      <c r="I1472" s="2046">
        <f t="shared" si="125"/>
        <v>0.67197499999999999</v>
      </c>
      <c r="J1472" s="156">
        <f>K2872</f>
        <v>18</v>
      </c>
      <c r="K1472" s="1085">
        <f>K3042</f>
        <v>1203.6500000000003</v>
      </c>
      <c r="L1472" s="1086">
        <f>L1706</f>
        <v>2.8</v>
      </c>
      <c r="M1472" s="2089"/>
      <c r="N1472" s="2086"/>
      <c r="O1472" s="1453"/>
      <c r="P1472" s="177"/>
      <c r="Q1472" s="177"/>
      <c r="R1472" s="1894"/>
      <c r="S1472" s="177"/>
      <c r="T1472" s="177"/>
      <c r="U1472" s="2090"/>
      <c r="V1472" s="245" t="s">
        <v>20</v>
      </c>
      <c r="W1472" s="1087">
        <v>2757.1244582043346</v>
      </c>
      <c r="X1472" s="1088">
        <v>1968.4521892967714</v>
      </c>
      <c r="Y1472" s="1005">
        <v>709.27</v>
      </c>
      <c r="Z1472" s="1089"/>
      <c r="AA1472" s="1089"/>
      <c r="AB1472" s="1090"/>
      <c r="AC1472" s="1087"/>
      <c r="AD1472" s="1087"/>
      <c r="AE1472" s="1087"/>
      <c r="AF1472" s="1087"/>
      <c r="AG1472" s="1087"/>
      <c r="AH1472" s="248"/>
      <c r="AK1472" s="1091"/>
      <c r="BB1472" s="350">
        <f>(BD1472+BD1473)/(BE1472+BE1473)</f>
        <v>4.9885379871248992</v>
      </c>
      <c r="BC1472" s="956" t="str">
        <f t="shared" si="128"/>
        <v>Cooling Res 18 Year EUL</v>
      </c>
      <c r="BD1472" s="894">
        <f>(INDEX('Avoided Cost Benefits'!$C$4:$C$857,MATCH(BC1472,'Avoided Cost Benefits'!$A$4:$A$857,0)))*F1472</f>
        <v>1251.0158705560925</v>
      </c>
      <c r="BE1472" s="74">
        <f t="shared" si="142"/>
        <v>1136.0547428032091</v>
      </c>
      <c r="BG1472" s="919"/>
      <c r="BH1472" s="1092"/>
      <c r="BI1472" s="919"/>
    </row>
    <row r="1473" spans="1:61" s="65" customFormat="1" x14ac:dyDescent="0.25">
      <c r="A1473" s="785"/>
      <c r="B1473" s="177"/>
      <c r="C1473" s="1572" t="s">
        <v>1482</v>
      </c>
      <c r="D1473" s="2045" t="s">
        <v>795</v>
      </c>
      <c r="E1473" s="1093" t="s">
        <v>1483</v>
      </c>
      <c r="F1473" s="999">
        <f>ROUND(((K1706*K1834*(1/K1962-1/K2090)*K2730)/1000),2)</f>
        <v>9558.6200000000008</v>
      </c>
      <c r="G1473" s="318" t="s">
        <v>1369</v>
      </c>
      <c r="H1473" s="239">
        <f>VLOOKUP(G1473,'CP FACTORS'!$A$3:$B$38, 2, FALSE)</f>
        <v>0</v>
      </c>
      <c r="I1473" s="2046">
        <f t="shared" si="125"/>
        <v>0</v>
      </c>
      <c r="J1473" s="156">
        <f>K2873</f>
        <v>18</v>
      </c>
      <c r="K1473" s="1085">
        <f>K3043</f>
        <v>0</v>
      </c>
      <c r="L1473" s="1086"/>
      <c r="M1473" s="2089"/>
      <c r="N1473" s="2086"/>
      <c r="O1473" s="1453"/>
      <c r="P1473" s="177"/>
      <c r="Q1473" s="177"/>
      <c r="R1473" s="1894"/>
      <c r="S1473" s="177"/>
      <c r="T1473" s="177"/>
      <c r="U1473" s="2090"/>
      <c r="V1473" s="245" t="s">
        <v>20</v>
      </c>
      <c r="W1473" s="1087">
        <v>12836.414910662994</v>
      </c>
      <c r="X1473" s="1088">
        <v>9558.6245427336198</v>
      </c>
      <c r="Y1473" s="999">
        <v>9558.6200000000008</v>
      </c>
      <c r="Z1473" s="1089"/>
      <c r="AA1473" s="1089"/>
      <c r="AB1473" s="1090"/>
      <c r="AC1473" s="1087"/>
      <c r="AD1473" s="1087"/>
      <c r="AE1473" s="1087"/>
      <c r="AF1473" s="1087"/>
      <c r="AG1473" s="1087"/>
      <c r="AH1473" s="248"/>
      <c r="AK1473" s="1091"/>
      <c r="BB1473" s="348"/>
      <c r="BC1473" s="1093" t="str">
        <f t="shared" si="128"/>
        <v>Heating Res 18 Year EUL</v>
      </c>
      <c r="BD1473" s="894">
        <f>(INDEX('Avoided Cost Benefits'!$C$4:$C$857,MATCH(BC1473,'Avoided Cost Benefits'!$A$4:$A$857,0)))*F1473</f>
        <v>4416.2363693711231</v>
      </c>
      <c r="BE1473" s="74">
        <f t="shared" si="142"/>
        <v>0</v>
      </c>
      <c r="BG1473" s="919"/>
      <c r="BH1473" s="1092"/>
      <c r="BI1473" s="919"/>
    </row>
    <row r="1474" spans="1:61" s="65" customFormat="1" x14ac:dyDescent="0.25">
      <c r="A1474" s="785"/>
      <c r="B1474" s="177"/>
      <c r="C1474" s="1572" t="s">
        <v>1484</v>
      </c>
      <c r="D1474" s="2045" t="s">
        <v>797</v>
      </c>
      <c r="E1474" s="956" t="s">
        <v>1485</v>
      </c>
      <c r="F1474" s="999">
        <f>ROUND(((K2219*K2347*(1/K2475-1/K2603)*K2731)/1000),2)</f>
        <v>461.03</v>
      </c>
      <c r="G1474" s="318" t="s">
        <v>1367</v>
      </c>
      <c r="H1474" s="239">
        <f>VLOOKUP(G1474,'CP FACTORS'!$A$3:$B$38, 2, FALSE)</f>
        <v>9.4741810000000004E-4</v>
      </c>
      <c r="I1474" s="2046">
        <f t="shared" si="125"/>
        <v>0.43678800000000001</v>
      </c>
      <c r="J1474" s="156">
        <f>K2874</f>
        <v>18</v>
      </c>
      <c r="K1474" s="1085">
        <f>K3044</f>
        <v>1203.6500000000003</v>
      </c>
      <c r="L1474" s="1086">
        <f>L1707</f>
        <v>2.8</v>
      </c>
      <c r="M1474" s="2089"/>
      <c r="N1474" s="2086"/>
      <c r="O1474" s="1453"/>
      <c r="P1474" s="177"/>
      <c r="Q1474" s="177"/>
      <c r="R1474" s="1894"/>
      <c r="S1474" s="177"/>
      <c r="T1474" s="177"/>
      <c r="U1474" s="2090"/>
      <c r="V1474" s="245" t="s">
        <v>20</v>
      </c>
      <c r="W1474" s="1087">
        <v>1792.1308978328177</v>
      </c>
      <c r="X1474" s="1088">
        <v>1279.4939230429013</v>
      </c>
      <c r="Y1474" s="1005">
        <v>461.03</v>
      </c>
      <c r="Z1474" s="1089"/>
      <c r="AA1474" s="1089"/>
      <c r="AB1474" s="1090"/>
      <c r="AC1474" s="1087"/>
      <c r="AD1474" s="1087"/>
      <c r="AE1474" s="1087"/>
      <c r="AF1474" s="1087"/>
      <c r="AG1474" s="1087"/>
      <c r="AH1474" s="248"/>
      <c r="AK1474" s="1091"/>
      <c r="BB1474" s="350">
        <f>(BD1474+BD1475)/(BE1474+BE1475)</f>
        <v>3.24255952500175</v>
      </c>
      <c r="BC1474" s="956" t="str">
        <f t="shared" si="128"/>
        <v>Cooling Res 18 Year EUL</v>
      </c>
      <c r="BD1474" s="894">
        <f>(INDEX('Avoided Cost Benefits'!$C$4:$C$857,MATCH(BC1474,'Avoided Cost Benefits'!$A$4:$A$857,0)))*F1474</f>
        <v>813.16825299600339</v>
      </c>
      <c r="BE1474" s="74">
        <f t="shared" si="142"/>
        <v>1136.0547428032091</v>
      </c>
      <c r="BG1474" s="919"/>
      <c r="BH1474" s="1092"/>
      <c r="BI1474" s="919"/>
    </row>
    <row r="1475" spans="1:61" s="65" customFormat="1" x14ac:dyDescent="0.25">
      <c r="A1475" s="785"/>
      <c r="B1475" s="177"/>
      <c r="C1475" s="1572" t="s">
        <v>1484</v>
      </c>
      <c r="D1475" s="2045" t="s">
        <v>797</v>
      </c>
      <c r="E1475" s="1093" t="s">
        <v>1485</v>
      </c>
      <c r="F1475" s="999">
        <f>ROUND(((K1707*K1835*(1/K1963-1/K2091)*K2731)/1000),2)</f>
        <v>6213.11</v>
      </c>
      <c r="G1475" s="318" t="s">
        <v>1369</v>
      </c>
      <c r="H1475" s="239">
        <f>VLOOKUP(G1475,'CP FACTORS'!$A$3:$B$38, 2, FALSE)</f>
        <v>0</v>
      </c>
      <c r="I1475" s="2046">
        <f t="shared" si="125"/>
        <v>0</v>
      </c>
      <c r="J1475" s="156">
        <f>K2875</f>
        <v>18</v>
      </c>
      <c r="K1475" s="1085">
        <f>K3045</f>
        <v>0</v>
      </c>
      <c r="L1475" s="1086"/>
      <c r="M1475" s="2089"/>
      <c r="N1475" s="2086"/>
      <c r="O1475" s="1453"/>
      <c r="P1475" s="177"/>
      <c r="Q1475" s="177"/>
      <c r="R1475" s="1894"/>
      <c r="S1475" s="177"/>
      <c r="T1475" s="177"/>
      <c r="U1475" s="2090"/>
      <c r="V1475" s="245" t="s">
        <v>20</v>
      </c>
      <c r="W1475" s="1087">
        <v>8343.6696919309452</v>
      </c>
      <c r="X1475" s="1088">
        <v>6213.105952776853</v>
      </c>
      <c r="Y1475" s="999">
        <v>6213.11</v>
      </c>
      <c r="Z1475" s="1089"/>
      <c r="AA1475" s="1089"/>
      <c r="AB1475" s="1090"/>
      <c r="AC1475" s="1087"/>
      <c r="AD1475" s="1087"/>
      <c r="AE1475" s="1087"/>
      <c r="AF1475" s="1087"/>
      <c r="AG1475" s="1087"/>
      <c r="AH1475" s="248"/>
      <c r="AK1475" s="1091"/>
      <c r="BB1475" s="348"/>
      <c r="BC1475" s="1093" t="str">
        <f t="shared" si="128"/>
        <v>Heating Res 18 Year EUL</v>
      </c>
      <c r="BD1475" s="894">
        <f>(INDEX('Avoided Cost Benefits'!$C$4:$C$857,MATCH(BC1475,'Avoided Cost Benefits'!$A$4:$A$857,0)))*F1475</f>
        <v>2870.5568742039554</v>
      </c>
      <c r="BE1475" s="74">
        <f t="shared" si="142"/>
        <v>0</v>
      </c>
      <c r="BG1475" s="919"/>
      <c r="BH1475" s="1092"/>
      <c r="BI1475" s="919"/>
    </row>
    <row r="1476" spans="1:61" s="65" customFormat="1" x14ac:dyDescent="0.25">
      <c r="A1476" s="785"/>
      <c r="B1476" s="177"/>
      <c r="C1476" s="1572" t="s">
        <v>1486</v>
      </c>
      <c r="D1476" s="2045" t="s">
        <v>792</v>
      </c>
      <c r="E1476" s="884" t="str">
        <f>CONCATENATE(E1474,"_CompE")</f>
        <v>ASHP - SEER 19 - replace electric furnace / CAC MF_CompE</v>
      </c>
      <c r="F1476" s="999">
        <f>ROUND((($K$2220*$K$2348*(1/$K$2476-1/$K$2604)*$K$2732)/1000),2)</f>
        <v>335.29</v>
      </c>
      <c r="G1476" s="318" t="str">
        <f>G1474</f>
        <v>Cooling Res</v>
      </c>
      <c r="H1476" s="239">
        <f t="shared" ref="H1476:K1477" si="147">H1474</f>
        <v>9.4741810000000004E-4</v>
      </c>
      <c r="I1476" s="2518">
        <f t="shared" si="125"/>
        <v>0.31766</v>
      </c>
      <c r="J1476" s="156">
        <f t="shared" si="147"/>
        <v>18</v>
      </c>
      <c r="K1476" s="1085">
        <f t="shared" si="147"/>
        <v>1203.6500000000003</v>
      </c>
      <c r="L1476" s="1086">
        <f>L1474</f>
        <v>2.8</v>
      </c>
      <c r="M1476" s="2089"/>
      <c r="N1476" s="2086"/>
      <c r="O1476" s="1453"/>
      <c r="P1476" s="177"/>
      <c r="Q1476" s="177"/>
      <c r="R1476" s="1894"/>
      <c r="S1476" s="177"/>
      <c r="T1476" s="177"/>
      <c r="U1476" s="2090"/>
      <c r="V1476" s="245" t="s">
        <v>20</v>
      </c>
      <c r="W1476" s="1087"/>
      <c r="X1476" s="1088"/>
      <c r="Y1476" s="1005">
        <v>335.29</v>
      </c>
      <c r="Z1476" s="1089"/>
      <c r="AA1476" s="1089"/>
      <c r="AB1476" s="1090"/>
      <c r="AC1476" s="1087"/>
      <c r="AD1476" s="1087"/>
      <c r="AE1476" s="1087"/>
      <c r="AF1476" s="1087"/>
      <c r="AG1476" s="1087"/>
      <c r="AH1476" s="248"/>
      <c r="AK1476" s="1091"/>
      <c r="BB1476" s="350">
        <f>(BD1476+BD1477)/(BE1476+BE1477)</f>
        <v>1.3819610322673985</v>
      </c>
      <c r="BC1476" s="956" t="str">
        <f t="shared" si="128"/>
        <v>Cooling Res 18 Year EUL</v>
      </c>
      <c r="BD1476" s="894">
        <f>(INDEX('Avoided Cost Benefits'!$C$4:$C$857,MATCH(BC1476,'Avoided Cost Benefits'!$A$4:$A$857,0)))*F1476</f>
        <v>591.38707578038304</v>
      </c>
      <c r="BE1476" s="74">
        <f t="shared" si="142"/>
        <v>1136.0547428032091</v>
      </c>
      <c r="BG1476" s="919"/>
      <c r="BH1476" s="1095"/>
      <c r="BI1476" s="919"/>
    </row>
    <row r="1477" spans="1:61" s="65" customFormat="1" x14ac:dyDescent="0.25">
      <c r="A1477" s="785"/>
      <c r="B1477" s="177"/>
      <c r="C1477" s="1572" t="str">
        <f>C1476</f>
        <v>353351_2019_12_</v>
      </c>
      <c r="D1477" s="2045" t="s">
        <v>792</v>
      </c>
      <c r="E1477" s="892" t="str">
        <f>CONCATENATE(E1475,"_CompE")</f>
        <v>ASHP - SEER 19 - replace electric furnace / CAC MF_CompE</v>
      </c>
      <c r="F1477" s="999">
        <f>ROUND((($K$1708*$K$1836*(1/$K$1964-1/$K$2092)*$K$2732)/1000),2)</f>
        <v>2118.1</v>
      </c>
      <c r="G1477" s="318" t="str">
        <f>G1475</f>
        <v>Heating Res</v>
      </c>
      <c r="H1477" s="239">
        <f t="shared" si="147"/>
        <v>0</v>
      </c>
      <c r="I1477" s="2518">
        <f t="shared" si="125"/>
        <v>0</v>
      </c>
      <c r="J1477" s="156">
        <f t="shared" si="147"/>
        <v>18</v>
      </c>
      <c r="K1477" s="1085">
        <f t="shared" si="147"/>
        <v>0</v>
      </c>
      <c r="L1477" s="1086"/>
      <c r="M1477" s="2089"/>
      <c r="N1477" s="2086"/>
      <c r="O1477" s="1453"/>
      <c r="P1477" s="177"/>
      <c r="Q1477" s="177"/>
      <c r="R1477" s="1894"/>
      <c r="S1477" s="177"/>
      <c r="T1477" s="177"/>
      <c r="U1477" s="2090"/>
      <c r="V1477" s="245" t="s">
        <v>20</v>
      </c>
      <c r="W1477" s="1087"/>
      <c r="X1477" s="1088"/>
      <c r="Y1477" s="1005">
        <v>2118.1</v>
      </c>
      <c r="Z1477" s="1089"/>
      <c r="AA1477" s="1089"/>
      <c r="AB1477" s="1090"/>
      <c r="AC1477" s="1087"/>
      <c r="AD1477" s="1087"/>
      <c r="AE1477" s="1087"/>
      <c r="AF1477" s="1087"/>
      <c r="AG1477" s="1087"/>
      <c r="AH1477" s="248"/>
      <c r="AK1477" s="1091"/>
      <c r="BB1477" s="348"/>
      <c r="BC1477" s="1093" t="str">
        <f t="shared" si="128"/>
        <v>Heating Res 18 Year EUL</v>
      </c>
      <c r="BD1477" s="894">
        <f>(INDEX('Avoided Cost Benefits'!$C$4:$C$857,MATCH(BC1477,'Avoided Cost Benefits'!$A$4:$A$857,0)))*F1477</f>
        <v>978.59630929621369</v>
      </c>
      <c r="BE1477" s="74">
        <f t="shared" si="142"/>
        <v>0</v>
      </c>
      <c r="BG1477" s="919"/>
      <c r="BH1477" s="1095"/>
      <c r="BI1477" s="919"/>
    </row>
    <row r="1478" spans="1:61" s="65" customFormat="1" x14ac:dyDescent="0.25">
      <c r="A1478" s="785"/>
      <c r="B1478" s="177"/>
      <c r="C1478" s="1572" t="s">
        <v>1487</v>
      </c>
      <c r="D1478" s="2045" t="s">
        <v>795</v>
      </c>
      <c r="E1478" s="884" t="s">
        <v>1488</v>
      </c>
      <c r="F1478" s="999">
        <f>ROUND(((K2221*K2349*(1/K2477-1/K2605)*K2733)/1000),2)</f>
        <v>2264.4299999999998</v>
      </c>
      <c r="G1478" s="318" t="s">
        <v>1367</v>
      </c>
      <c r="H1478" s="239">
        <f>VLOOKUP(G1478,'CP FACTORS'!$A$3:$B$38, 2, FALSE)</f>
        <v>9.4741810000000004E-4</v>
      </c>
      <c r="I1478" s="2046">
        <f t="shared" si="125"/>
        <v>2.145362</v>
      </c>
      <c r="J1478" s="156">
        <f t="shared" ref="J1478:J1482" si="148">K2876</f>
        <v>6</v>
      </c>
      <c r="K1478" s="1085">
        <f t="shared" ref="K1478:K1482" si="149">K3046</f>
        <v>2185.0873864864097</v>
      </c>
      <c r="L1478" s="1086">
        <f>L1709</f>
        <v>3.1</v>
      </c>
      <c r="M1478" s="2089"/>
      <c r="N1478" s="2086"/>
      <c r="O1478" s="1453"/>
      <c r="P1478" s="177"/>
      <c r="Q1478" s="177"/>
      <c r="R1478" s="1894"/>
      <c r="S1478" s="177"/>
      <c r="T1478" s="177"/>
      <c r="U1478" s="2090"/>
      <c r="V1478" s="245" t="s">
        <v>20</v>
      </c>
      <c r="W1478" s="1087">
        <v>3137.6011764705886</v>
      </c>
      <c r="X1478" s="1088">
        <v>2264.428307322929</v>
      </c>
      <c r="Y1478" s="999">
        <v>2264.4299999999998</v>
      </c>
      <c r="Z1478" s="1089"/>
      <c r="AA1478" s="1089"/>
      <c r="AB1478" s="1090"/>
      <c r="AC1478" s="1087"/>
      <c r="AD1478" s="1087"/>
      <c r="AE1478" s="1087"/>
      <c r="AF1478" s="1087"/>
      <c r="AG1478" s="1087"/>
      <c r="AH1478" s="248"/>
      <c r="AK1478" s="1091"/>
      <c r="BB1478" s="350">
        <f>(BD1478+BD1479+BD1480+BD1481)/(BE1478+BE1479+BE1480+BE1481)</f>
        <v>3.4671485585176707</v>
      </c>
      <c r="BC1478" s="884" t="str">
        <f t="shared" si="128"/>
        <v>Cooling Res 6 Year EUL</v>
      </c>
      <c r="BD1478" s="894">
        <f>(INDEX('Avoided Cost Benefits'!$C$4:$C$857,MATCH(BC1478,'Avoided Cost Benefits'!$A$4:$A$857,0)))*F1478</f>
        <v>1316.7301830749186</v>
      </c>
      <c r="BE1478" s="74">
        <f t="shared" si="142"/>
        <v>2062.3760136728733</v>
      </c>
      <c r="BG1478" s="919"/>
      <c r="BH1478" s="1092"/>
      <c r="BI1478" s="919"/>
    </row>
    <row r="1479" spans="1:61" s="65" customFormat="1" x14ac:dyDescent="0.25">
      <c r="A1479" s="785"/>
      <c r="B1479" s="177"/>
      <c r="C1479" s="1572" t="s">
        <v>1487</v>
      </c>
      <c r="D1479" s="2045" t="s">
        <v>795</v>
      </c>
      <c r="E1479" s="994" t="s">
        <v>1488</v>
      </c>
      <c r="F1479" s="999">
        <f>ROUND(((K1709*K1837*(1/K1965-1/K2093)*K2733)/1000),2)</f>
        <v>10399.66</v>
      </c>
      <c r="G1479" s="318" t="s">
        <v>1369</v>
      </c>
      <c r="H1479" s="239">
        <f>VLOOKUP(G1479,'CP FACTORS'!$A$3:$B$38, 2, FALSE)</f>
        <v>0</v>
      </c>
      <c r="I1479" s="2046">
        <f t="shared" si="125"/>
        <v>0</v>
      </c>
      <c r="J1479" s="156">
        <f t="shared" si="148"/>
        <v>6</v>
      </c>
      <c r="K1479" s="1085">
        <f t="shared" si="149"/>
        <v>0</v>
      </c>
      <c r="L1479" s="1086"/>
      <c r="M1479" s="2089"/>
      <c r="N1479" s="2086"/>
      <c r="O1479" s="1453"/>
      <c r="P1479" s="177"/>
      <c r="Q1479" s="177"/>
      <c r="R1479" s="1894"/>
      <c r="S1479" s="177"/>
      <c r="T1479" s="177"/>
      <c r="U1479" s="2090"/>
      <c r="V1479" s="245" t="s">
        <v>20</v>
      </c>
      <c r="W1479" s="1087">
        <v>13965.852998065762</v>
      </c>
      <c r="X1479" s="1088">
        <v>10399.659574468084</v>
      </c>
      <c r="Y1479" s="999">
        <v>10399.66</v>
      </c>
      <c r="Z1479" s="1089"/>
      <c r="AA1479" s="1089"/>
      <c r="AB1479" s="1090"/>
      <c r="AC1479" s="1087"/>
      <c r="AD1479" s="1087"/>
      <c r="AE1479" s="1087"/>
      <c r="AF1479" s="1087"/>
      <c r="AG1479" s="1087"/>
      <c r="AH1479" s="248"/>
      <c r="AK1479" s="1091"/>
      <c r="BB1479" s="995"/>
      <c r="BC1479" s="994" t="str">
        <f t="shared" si="128"/>
        <v>Heating Res 6 Year EUL</v>
      </c>
      <c r="BD1479" s="894">
        <f>(INDEX('Avoided Cost Benefits'!$C$4:$C$857,MATCH(BC1479,'Avoided Cost Benefits'!$A$4:$A$857,0)))*F1479</f>
        <v>1729.8118904813734</v>
      </c>
      <c r="BE1479" s="74">
        <f t="shared" si="142"/>
        <v>0</v>
      </c>
      <c r="BG1479" s="919"/>
      <c r="BH1479" s="1092"/>
      <c r="BI1479" s="919"/>
    </row>
    <row r="1480" spans="1:61" s="65" customFormat="1" x14ac:dyDescent="0.25">
      <c r="A1480" s="785"/>
      <c r="B1480" s="177"/>
      <c r="C1480" s="1572" t="s">
        <v>1487</v>
      </c>
      <c r="D1480" s="2045" t="s">
        <v>795</v>
      </c>
      <c r="E1480" s="994" t="s">
        <v>1489</v>
      </c>
      <c r="F1480" s="999">
        <f>ROUND(((K2222*K2350*(1/K2478-1/K2606)*K2734)/1000),2)</f>
        <v>870.34</v>
      </c>
      <c r="G1480" s="2078" t="s">
        <v>1408</v>
      </c>
      <c r="H1480" s="239">
        <f>VLOOKUP(G1480,'CP FACTORS'!$A$3:$B$38, 2, FALSE)</f>
        <v>9.4741810000000004E-4</v>
      </c>
      <c r="I1480" s="2046">
        <f t="shared" si="125"/>
        <v>0.82457599999999998</v>
      </c>
      <c r="J1480" s="156">
        <f t="shared" si="148"/>
        <v>12</v>
      </c>
      <c r="K1480" s="1085">
        <f t="shared" si="149"/>
        <v>0</v>
      </c>
      <c r="L1480" s="1086"/>
      <c r="M1480" s="2089"/>
      <c r="N1480" s="2086"/>
      <c r="O1480" s="1453"/>
      <c r="P1480" s="177"/>
      <c r="Q1480" s="177"/>
      <c r="R1480" s="1894"/>
      <c r="S1480" s="177"/>
      <c r="T1480" s="177"/>
      <c r="U1480" s="2090"/>
      <c r="V1480" s="245" t="s">
        <v>20</v>
      </c>
      <c r="W1480" s="1087">
        <v>870.33692307692309</v>
      </c>
      <c r="X1480" s="1096">
        <v>870.33692307692309</v>
      </c>
      <c r="Y1480" s="999">
        <v>870.34</v>
      </c>
      <c r="Z1480" s="1089"/>
      <c r="AA1480" s="1089"/>
      <c r="AB1480" s="1090"/>
      <c r="AC1480" s="1087"/>
      <c r="AD1480" s="1087"/>
      <c r="AE1480" s="1087"/>
      <c r="AF1480" s="1087"/>
      <c r="AG1480" s="1087"/>
      <c r="AH1480" s="248"/>
      <c r="AK1480" s="1091"/>
      <c r="BB1480" s="995"/>
      <c r="BC1480" s="994" t="str">
        <f t="shared" si="128"/>
        <v>Cooling Res ER2 12 Year EUL</v>
      </c>
      <c r="BD1480" s="894">
        <f>(INDEX('Avoided Cost Benefits'!$C$4:$C$857,MATCH(BC1480,'Avoided Cost Benefits'!$A$4:$A$857,0)))*F1480</f>
        <v>1029.0234466058801</v>
      </c>
      <c r="BE1480" s="74">
        <f t="shared" si="142"/>
        <v>0</v>
      </c>
      <c r="BG1480" s="919"/>
      <c r="BH1480" s="1092"/>
      <c r="BI1480" s="919"/>
    </row>
    <row r="1481" spans="1:61" s="65" customFormat="1" x14ac:dyDescent="0.25">
      <c r="A1481" s="785"/>
      <c r="B1481" s="177"/>
      <c r="C1481" s="1572" t="s">
        <v>1487</v>
      </c>
      <c r="D1481" s="2045" t="s">
        <v>795</v>
      </c>
      <c r="E1481" s="892" t="s">
        <v>1489</v>
      </c>
      <c r="F1481" s="999">
        <f>ROUND(((K1710*K1838*(1/K1966-1/K2094)*K2734)/1000),2)</f>
        <v>10399.66</v>
      </c>
      <c r="G1481" s="2078" t="s">
        <v>1427</v>
      </c>
      <c r="H1481" s="239">
        <f>VLOOKUP(G1481,'CP FACTORS'!$A$3:$B$38, 2, FALSE)</f>
        <v>0</v>
      </c>
      <c r="I1481" s="2046">
        <f t="shared" si="125"/>
        <v>0</v>
      </c>
      <c r="J1481" s="156">
        <f t="shared" si="148"/>
        <v>12</v>
      </c>
      <c r="K1481" s="1085">
        <f t="shared" si="149"/>
        <v>0</v>
      </c>
      <c r="L1481" s="1086"/>
      <c r="M1481" s="2089"/>
      <c r="N1481" s="2086"/>
      <c r="O1481" s="1453"/>
      <c r="P1481" s="177"/>
      <c r="Q1481" s="177"/>
      <c r="R1481" s="1894"/>
      <c r="S1481" s="177"/>
      <c r="T1481" s="177"/>
      <c r="U1481" s="2090"/>
      <c r="V1481" s="245" t="s">
        <v>20</v>
      </c>
      <c r="W1481" s="1087">
        <v>13965.852998065762</v>
      </c>
      <c r="X1481" s="1088">
        <v>10399.659574468084</v>
      </c>
      <c r="Y1481" s="999">
        <v>10399.66</v>
      </c>
      <c r="Z1481" s="1089"/>
      <c r="AA1481" s="1089"/>
      <c r="AB1481" s="1090"/>
      <c r="AC1481" s="1087"/>
      <c r="AD1481" s="1087"/>
      <c r="AE1481" s="1087"/>
      <c r="AF1481" s="1087"/>
      <c r="AG1481" s="1087"/>
      <c r="AH1481" s="248"/>
      <c r="AK1481" s="1091"/>
      <c r="BB1481" s="995"/>
      <c r="BC1481" s="892" t="str">
        <f t="shared" si="128"/>
        <v>Heating Res ER2 12 Year EUL</v>
      </c>
      <c r="BD1481" s="894">
        <f>(INDEX('Avoided Cost Benefits'!$C$4:$C$857,MATCH(BC1481,'Avoided Cost Benefits'!$A$4:$A$857,0)))*F1481</f>
        <v>3074.9985027651505</v>
      </c>
      <c r="BE1481" s="74">
        <f t="shared" si="142"/>
        <v>0</v>
      </c>
      <c r="BG1481" s="919"/>
      <c r="BH1481" s="1092"/>
      <c r="BI1481" s="919"/>
    </row>
    <row r="1482" spans="1:61" s="65" customFormat="1" x14ac:dyDescent="0.25">
      <c r="A1482" s="785"/>
      <c r="B1482" s="177"/>
      <c r="C1482" s="1572" t="s">
        <v>1490</v>
      </c>
      <c r="D1482" s="2045" t="s">
        <v>795</v>
      </c>
      <c r="E1482" s="956" t="s">
        <v>1491</v>
      </c>
      <c r="F1482" s="999">
        <f>ROUND(((K2223*K2351*(1/K2479-1/K2607)*K2735)/1000),2)</f>
        <v>898.41</v>
      </c>
      <c r="G1482" s="318" t="s">
        <v>1367</v>
      </c>
      <c r="H1482" s="239">
        <f>VLOOKUP(G1482,'CP FACTORS'!$A$3:$B$38, 2, FALSE)</f>
        <v>9.4741810000000004E-4</v>
      </c>
      <c r="I1482" s="2046">
        <f t="shared" ref="I1482:I1567" si="150">ROUND(F1482*H1482,6)</f>
        <v>0.85116999999999998</v>
      </c>
      <c r="J1482" s="156">
        <f t="shared" si="148"/>
        <v>18</v>
      </c>
      <c r="K1482" s="1085">
        <f t="shared" si="149"/>
        <v>1444.3799999999994</v>
      </c>
      <c r="L1482" s="1086">
        <f>L1711</f>
        <v>3.2</v>
      </c>
      <c r="M1482" s="2089"/>
      <c r="N1482" s="2086"/>
      <c r="O1482" s="1453"/>
      <c r="P1482" s="177"/>
      <c r="Q1482" s="177"/>
      <c r="R1482" s="1894"/>
      <c r="S1482" s="177"/>
      <c r="T1482" s="177"/>
      <c r="U1482" s="2090"/>
      <c r="V1482" s="245" t="s">
        <v>20</v>
      </c>
      <c r="W1482" s="1087">
        <v>898.41230769230776</v>
      </c>
      <c r="X1482" s="1096">
        <v>898.41230769230776</v>
      </c>
      <c r="Y1482" s="999">
        <v>898.41</v>
      </c>
      <c r="Z1482" s="1089"/>
      <c r="AA1482" s="1089"/>
      <c r="AB1482" s="1090"/>
      <c r="AC1482" s="1087"/>
      <c r="AD1482" s="1087"/>
      <c r="AE1482" s="1087"/>
      <c r="AF1482" s="1087"/>
      <c r="AG1482" s="1087"/>
      <c r="AH1482" s="248"/>
      <c r="AK1482" s="1091"/>
      <c r="BB1482" s="350">
        <f>(BD1482+BD1483)/(BE1482+BE1483)</f>
        <v>4.8646064342312112</v>
      </c>
      <c r="BC1482" s="956" t="str">
        <f t="shared" ref="BC1482:BC1567" si="151">CONCATENATE(G1482," ",J1482," Year EUL")</f>
        <v>Cooling Res 18 Year EUL</v>
      </c>
      <c r="BD1482" s="894">
        <f>(INDEX('Avoided Cost Benefits'!$C$4:$C$857,MATCH(BC1482,'Avoided Cost Benefits'!$A$4:$A$857,0)))*F1482</f>
        <v>1584.6224544479524</v>
      </c>
      <c r="BE1482" s="74">
        <f t="shared" si="142"/>
        <v>1363.2656913638502</v>
      </c>
      <c r="BG1482" s="919"/>
      <c r="BH1482" s="1092"/>
      <c r="BI1482" s="919"/>
    </row>
    <row r="1483" spans="1:61" s="65" customFormat="1" x14ac:dyDescent="0.25">
      <c r="A1483" s="785"/>
      <c r="B1483" s="177"/>
      <c r="C1483" s="1572" t="s">
        <v>1490</v>
      </c>
      <c r="D1483" s="2045" t="s">
        <v>795</v>
      </c>
      <c r="E1483" s="1093" t="s">
        <v>1491</v>
      </c>
      <c r="F1483" s="999">
        <f>ROUND(((K1711*K1839*(1/K1967-1/K2095)*K2735)/1000),2)</f>
        <v>10924.14</v>
      </c>
      <c r="G1483" s="318" t="s">
        <v>1369</v>
      </c>
      <c r="H1483" s="239">
        <f>VLOOKUP(G1483,'CP FACTORS'!$A$3:$B$38, 2, FALSE)</f>
        <v>0</v>
      </c>
      <c r="I1483" s="2046">
        <f t="shared" si="150"/>
        <v>0</v>
      </c>
      <c r="J1483" s="156">
        <f>K2881</f>
        <v>18</v>
      </c>
      <c r="K1483" s="1085">
        <f>K3051</f>
        <v>0</v>
      </c>
      <c r="L1483" s="1086"/>
      <c r="M1483" s="2089"/>
      <c r="N1483" s="2086"/>
      <c r="O1483" s="1453"/>
      <c r="P1483" s="177"/>
      <c r="Q1483" s="177"/>
      <c r="R1483" s="1894"/>
      <c r="S1483" s="177"/>
      <c r="T1483" s="177"/>
      <c r="U1483" s="2090"/>
      <c r="V1483" s="245" t="s">
        <v>20</v>
      </c>
      <c r="W1483" s="1087">
        <v>14670.188469329136</v>
      </c>
      <c r="X1483" s="1088">
        <v>10924.142334552707</v>
      </c>
      <c r="Y1483" s="999">
        <v>10924.14</v>
      </c>
      <c r="Z1483" s="1089"/>
      <c r="AA1483" s="1089"/>
      <c r="AB1483" s="1090"/>
      <c r="AC1483" s="1087"/>
      <c r="AD1483" s="1087"/>
      <c r="AE1483" s="1087"/>
      <c r="AF1483" s="1087"/>
      <c r="AG1483" s="1087"/>
      <c r="AH1483" s="248"/>
      <c r="AK1483" s="1091"/>
      <c r="BB1483" s="348"/>
      <c r="BC1483" s="1093" t="str">
        <f t="shared" si="151"/>
        <v>Heating Res 18 Year EUL</v>
      </c>
      <c r="BD1483" s="894">
        <f>(INDEX('Avoided Cost Benefits'!$C$4:$C$857,MATCH(BC1483,'Avoided Cost Benefits'!$A$4:$A$857,0)))*F1483</f>
        <v>5047.1285993272932</v>
      </c>
      <c r="BE1483" s="74">
        <f t="shared" si="142"/>
        <v>0</v>
      </c>
      <c r="BG1483" s="919"/>
      <c r="BH1483" s="1092"/>
      <c r="BI1483" s="919"/>
    </row>
    <row r="1484" spans="1:61" s="65" customFormat="1" x14ac:dyDescent="0.25">
      <c r="A1484" s="785"/>
      <c r="B1484" s="177"/>
      <c r="C1484" s="1572" t="s">
        <v>1492</v>
      </c>
      <c r="D1484" s="2045" t="s">
        <v>797</v>
      </c>
      <c r="E1484" s="956" t="s">
        <v>1493</v>
      </c>
      <c r="F1484" s="999">
        <f>ROUND(((K2224*K2352*(1/K2480-1/K2608)*K2736)/1000),2)</f>
        <v>583.97</v>
      </c>
      <c r="G1484" s="318" t="s">
        <v>1367</v>
      </c>
      <c r="H1484" s="239">
        <f>VLOOKUP(G1484,'CP FACTORS'!$A$3:$B$38, 2, FALSE)</f>
        <v>9.4741810000000004E-4</v>
      </c>
      <c r="I1484" s="2046">
        <f t="shared" si="150"/>
        <v>0.55326399999999998</v>
      </c>
      <c r="J1484" s="156">
        <f>K2882</f>
        <v>18</v>
      </c>
      <c r="K1484" s="1085">
        <f>K3052</f>
        <v>1444.3799999999994</v>
      </c>
      <c r="L1484" s="1086">
        <f>L1712</f>
        <v>3.2</v>
      </c>
      <c r="M1484" s="2089"/>
      <c r="N1484" s="2086"/>
      <c r="O1484" s="1453"/>
      <c r="P1484" s="177"/>
      <c r="Q1484" s="177"/>
      <c r="R1484" s="1894"/>
      <c r="S1484" s="177"/>
      <c r="T1484" s="177"/>
      <c r="U1484" s="2090"/>
      <c r="V1484" s="245" t="s">
        <v>20</v>
      </c>
      <c r="W1484" s="1087">
        <v>583.96799999999996</v>
      </c>
      <c r="X1484" s="1096">
        <v>583.96799999999996</v>
      </c>
      <c r="Y1484" s="999">
        <v>583.97</v>
      </c>
      <c r="Z1484" s="1089"/>
      <c r="AA1484" s="1089"/>
      <c r="AB1484" s="1090"/>
      <c r="AC1484" s="1087"/>
      <c r="AD1484" s="1087"/>
      <c r="AE1484" s="1087"/>
      <c r="AF1484" s="1087"/>
      <c r="AG1484" s="1087"/>
      <c r="AH1484" s="248"/>
      <c r="AK1484" s="1091"/>
      <c r="BB1484" s="350">
        <f>(BD1484+BD1485)/(BE1484+BE1485)</f>
        <v>3.1619983716836453</v>
      </c>
      <c r="BC1484" s="956" t="str">
        <f t="shared" si="151"/>
        <v>Cooling Res 18 Year EUL</v>
      </c>
      <c r="BD1484" s="894">
        <f>(INDEX('Avoided Cost Benefits'!$C$4:$C$857,MATCH(BC1484,'Avoided Cost Benefits'!$A$4:$A$857,0)))*F1484</f>
        <v>1030.0107687180362</v>
      </c>
      <c r="BE1484" s="74">
        <f t="shared" si="142"/>
        <v>1363.2656913638502</v>
      </c>
      <c r="BG1484" s="919"/>
      <c r="BH1484" s="1092"/>
      <c r="BI1484" s="919"/>
    </row>
    <row r="1485" spans="1:61" s="65" customFormat="1" x14ac:dyDescent="0.25">
      <c r="A1485" s="785"/>
      <c r="B1485" s="177"/>
      <c r="C1485" s="1572" t="s">
        <v>1492</v>
      </c>
      <c r="D1485" s="2045" t="s">
        <v>797</v>
      </c>
      <c r="E1485" s="1093" t="s">
        <v>1493</v>
      </c>
      <c r="F1485" s="999">
        <f>ROUND(((K1712*K1840*(1/K1968-1/K2096)*K2736)/1000),2)</f>
        <v>7100.69</v>
      </c>
      <c r="G1485" s="318" t="s">
        <v>1369</v>
      </c>
      <c r="H1485" s="239">
        <f>VLOOKUP(G1485,'CP FACTORS'!$A$3:$B$38, 2, FALSE)</f>
        <v>0</v>
      </c>
      <c r="I1485" s="2046">
        <f t="shared" si="150"/>
        <v>0</v>
      </c>
      <c r="J1485" s="156">
        <f>K2883</f>
        <v>18</v>
      </c>
      <c r="K1485" s="1085">
        <f>K3053</f>
        <v>0</v>
      </c>
      <c r="L1485" s="1086"/>
      <c r="M1485" s="2089"/>
      <c r="N1485" s="2086"/>
      <c r="O1485" s="1453"/>
      <c r="P1485" s="177"/>
      <c r="Q1485" s="177"/>
      <c r="R1485" s="1894"/>
      <c r="S1485" s="177"/>
      <c r="T1485" s="177"/>
      <c r="U1485" s="2090"/>
      <c r="V1485" s="245" t="s">
        <v>20</v>
      </c>
      <c r="W1485" s="1087">
        <v>9535.6225050639387</v>
      </c>
      <c r="X1485" s="1088">
        <v>7100.6925174592607</v>
      </c>
      <c r="Y1485" s="999">
        <v>7100.69</v>
      </c>
      <c r="Z1485" s="1089"/>
      <c r="AA1485" s="1089"/>
      <c r="AB1485" s="1090"/>
      <c r="AC1485" s="1087"/>
      <c r="AD1485" s="1087"/>
      <c r="AE1485" s="1087"/>
      <c r="AF1485" s="1087"/>
      <c r="AG1485" s="1087"/>
      <c r="AH1485" s="248"/>
      <c r="AK1485" s="1091"/>
      <c r="BB1485" s="348"/>
      <c r="BC1485" s="1093" t="str">
        <f t="shared" si="151"/>
        <v>Heating Res 18 Year EUL</v>
      </c>
      <c r="BD1485" s="894">
        <f>(INDEX('Avoided Cost Benefits'!$C$4:$C$857,MATCH(BC1485,'Avoided Cost Benefits'!$A$4:$A$857,0)))*F1485</f>
        <v>3280.6331275466368</v>
      </c>
      <c r="BE1485" s="74">
        <f t="shared" si="142"/>
        <v>0</v>
      </c>
      <c r="BG1485" s="919"/>
      <c r="BH1485" s="1092"/>
      <c r="BI1485" s="919"/>
    </row>
    <row r="1486" spans="1:61" s="65" customFormat="1" x14ac:dyDescent="0.25">
      <c r="A1486" s="785"/>
      <c r="B1486" s="177"/>
      <c r="C1486" s="1572" t="s">
        <v>1494</v>
      </c>
      <c r="D1486" s="2045" t="s">
        <v>792</v>
      </c>
      <c r="E1486" s="884" t="str">
        <f>CONCATENATE(E1484,"_CompE")</f>
        <v>ASHP - SEER 20 - replace electric furnace / CAC MF_CompE</v>
      </c>
      <c r="F1486" s="999">
        <f>ROUND((($K$2225*$K$2353*(1/$K$2481-1/$K$2609)*$K$2737)/1000),2)</f>
        <v>424.7</v>
      </c>
      <c r="G1486" s="318" t="str">
        <f>G1484</f>
        <v>Cooling Res</v>
      </c>
      <c r="H1486" s="239">
        <f t="shared" ref="H1486:K1487" si="152">H1484</f>
        <v>9.4741810000000004E-4</v>
      </c>
      <c r="I1486" s="2518">
        <f t="shared" si="150"/>
        <v>0.402368</v>
      </c>
      <c r="J1486" s="156">
        <f t="shared" si="152"/>
        <v>18</v>
      </c>
      <c r="K1486" s="1085">
        <f t="shared" si="152"/>
        <v>1444.3799999999994</v>
      </c>
      <c r="L1486" s="1086">
        <f>L1484</f>
        <v>3.2</v>
      </c>
      <c r="M1486" s="2089"/>
      <c r="N1486" s="2086"/>
      <c r="O1486" s="1453"/>
      <c r="P1486" s="177"/>
      <c r="Q1486" s="177"/>
      <c r="R1486" s="1894"/>
      <c r="S1486" s="177"/>
      <c r="T1486" s="177"/>
      <c r="U1486" s="2090"/>
      <c r="V1486" s="245" t="s">
        <v>20</v>
      </c>
      <c r="W1486" s="1087"/>
      <c r="X1486" s="1088"/>
      <c r="Y1486" s="1005">
        <v>424.7</v>
      </c>
      <c r="Z1486" s="1089"/>
      <c r="AA1486" s="1089"/>
      <c r="AB1486" s="1090"/>
      <c r="AC1486" s="1087"/>
      <c r="AD1486" s="1087"/>
      <c r="AE1486" s="1087"/>
      <c r="AF1486" s="1087"/>
      <c r="AG1486" s="1087"/>
      <c r="AH1486" s="248"/>
      <c r="AK1486" s="1091"/>
      <c r="BB1486" s="350">
        <f>(BD1486+BD1487)/(BE1486+BE1487)</f>
        <v>1.3698627450752061</v>
      </c>
      <c r="BC1486" s="956" t="str">
        <f t="shared" si="151"/>
        <v>Cooling Res 18 Year EUL</v>
      </c>
      <c r="BD1486" s="894">
        <f>(INDEX('Avoided Cost Benefits'!$C$4:$C$857,MATCH(BC1486,'Avoided Cost Benefits'!$A$4:$A$857,0)))*F1486</f>
        <v>749.089120116701</v>
      </c>
      <c r="BE1486" s="74">
        <f t="shared" si="142"/>
        <v>1363.2656913638502</v>
      </c>
      <c r="BG1486" s="919"/>
      <c r="BH1486" s="1095"/>
      <c r="BI1486" s="919"/>
    </row>
    <row r="1487" spans="1:61" s="65" customFormat="1" x14ac:dyDescent="0.25">
      <c r="A1487" s="785"/>
      <c r="B1487" s="177"/>
      <c r="C1487" s="1572" t="str">
        <f>C1486</f>
        <v>353501_2019_12_</v>
      </c>
      <c r="D1487" s="2045" t="s">
        <v>792</v>
      </c>
      <c r="E1487" s="892" t="str">
        <f>CONCATENATE(E1485,"_CompE")</f>
        <v>ASHP - SEER 20 - replace electric furnace / CAC MF_CompE</v>
      </c>
      <c r="F1487" s="999">
        <f>ROUND((($K$1713*$K$1841*(1/$K$1969-1/$K$2097)*$K$2737)/1000),2)</f>
        <v>2420.69</v>
      </c>
      <c r="G1487" s="318" t="str">
        <f>G1485</f>
        <v>Heating Res</v>
      </c>
      <c r="H1487" s="239">
        <f t="shared" si="152"/>
        <v>0</v>
      </c>
      <c r="I1487" s="2518">
        <f t="shared" si="150"/>
        <v>0</v>
      </c>
      <c r="J1487" s="156">
        <f t="shared" si="152"/>
        <v>18</v>
      </c>
      <c r="K1487" s="1085">
        <f t="shared" si="152"/>
        <v>0</v>
      </c>
      <c r="L1487" s="1086"/>
      <c r="M1487" s="2089"/>
      <c r="N1487" s="2086"/>
      <c r="O1487" s="1453"/>
      <c r="P1487" s="177"/>
      <c r="Q1487" s="177"/>
      <c r="R1487" s="1894"/>
      <c r="S1487" s="177"/>
      <c r="T1487" s="177"/>
      <c r="U1487" s="2090"/>
      <c r="V1487" s="245" t="s">
        <v>20</v>
      </c>
      <c r="W1487" s="1087"/>
      <c r="X1487" s="1088"/>
      <c r="Y1487" s="1005">
        <v>2420.69</v>
      </c>
      <c r="Z1487" s="1089"/>
      <c r="AA1487" s="1089"/>
      <c r="AB1487" s="1090"/>
      <c r="AC1487" s="1087"/>
      <c r="AD1487" s="1087"/>
      <c r="AE1487" s="1087"/>
      <c r="AF1487" s="1087"/>
      <c r="AG1487" s="1087"/>
      <c r="AH1487" s="248"/>
      <c r="AK1487" s="1091"/>
      <c r="BB1487" s="348"/>
      <c r="BC1487" s="1093" t="str">
        <f t="shared" si="151"/>
        <v>Heating Res 18 Year EUL</v>
      </c>
      <c r="BD1487" s="894">
        <f>(INDEX('Avoided Cost Benefits'!$C$4:$C$857,MATCH(BC1487,'Avoided Cost Benefits'!$A$4:$A$857,0)))*F1487</f>
        <v>1118.3977621218316</v>
      </c>
      <c r="BE1487" s="74">
        <f t="shared" si="142"/>
        <v>0</v>
      </c>
      <c r="BG1487" s="919"/>
      <c r="BH1487" s="1095"/>
      <c r="BI1487" s="919"/>
    </row>
    <row r="1488" spans="1:61" s="65" customFormat="1" x14ac:dyDescent="0.25">
      <c r="A1488" s="785"/>
      <c r="B1488" s="177"/>
      <c r="C1488" s="1572" t="s">
        <v>1495</v>
      </c>
      <c r="D1488" s="2045" t="s">
        <v>795</v>
      </c>
      <c r="E1488" s="884" t="s">
        <v>1496</v>
      </c>
      <c r="F1488" s="999">
        <f>ROUND(((K2226*K2354*(1/K2482-1/K2610)*K2738)/1000),2)</f>
        <v>2341.4</v>
      </c>
      <c r="G1488" s="318" t="s">
        <v>1367</v>
      </c>
      <c r="H1488" s="239">
        <f>VLOOKUP(G1488,'CP FACTORS'!$A$3:$B$38, 2, FALSE)</f>
        <v>9.4741810000000004E-4</v>
      </c>
      <c r="I1488" s="2046">
        <f t="shared" si="150"/>
        <v>2.2182849999999998</v>
      </c>
      <c r="J1488" s="156">
        <f t="shared" ref="J1488:J1495" si="153">K2884</f>
        <v>6</v>
      </c>
      <c r="K1488" s="1085">
        <f t="shared" ref="K1488:K1495" si="154">K3054</f>
        <v>2430.6319864864099</v>
      </c>
      <c r="L1488" s="1086">
        <f>L1714</f>
        <v>3.1</v>
      </c>
      <c r="M1488" s="2089"/>
      <c r="N1488" s="2086"/>
      <c r="O1488" s="1453"/>
      <c r="P1488" s="177"/>
      <c r="Q1488" s="177"/>
      <c r="R1488" s="1894"/>
      <c r="S1488" s="177"/>
      <c r="T1488" s="177"/>
      <c r="U1488" s="2090"/>
      <c r="V1488" s="245" t="s">
        <v>20</v>
      </c>
      <c r="W1488" s="1087">
        <v>3214.5697478991597</v>
      </c>
      <c r="X1488" s="1088">
        <v>2341.3968787515005</v>
      </c>
      <c r="Y1488" s="999">
        <v>2341.4</v>
      </c>
      <c r="Z1488" s="1089"/>
      <c r="AA1488" s="1089"/>
      <c r="AB1488" s="1090"/>
      <c r="AC1488" s="1087"/>
      <c r="AD1488" s="1087"/>
      <c r="AE1488" s="1087"/>
      <c r="AF1488" s="1087"/>
      <c r="AG1488" s="1087"/>
      <c r="AH1488" s="248"/>
      <c r="AK1488" s="1091"/>
      <c r="BB1488" s="350">
        <f>(BD1488+BD1489+BD1490+BD1491)/(BE1488+BE1489+BE1490+BE1491)</f>
        <v>3.176071342155943</v>
      </c>
      <c r="BC1488" s="884" t="str">
        <f t="shared" si="151"/>
        <v>Cooling Res 6 Year EUL</v>
      </c>
      <c r="BD1488" s="894">
        <f>(INDEX('Avoided Cost Benefits'!$C$4:$C$857,MATCH(BC1488,'Avoided Cost Benefits'!$A$4:$A$857,0)))*F1488</f>
        <v>1361.4870190960264</v>
      </c>
      <c r="BE1488" s="74">
        <f t="shared" si="142"/>
        <v>2294.1311812047284</v>
      </c>
      <c r="BG1488" s="919"/>
      <c r="BH1488" s="1092"/>
      <c r="BI1488" s="919"/>
    </row>
    <row r="1489" spans="1:61" s="65" customFormat="1" x14ac:dyDescent="0.25">
      <c r="A1489" s="785"/>
      <c r="B1489" s="177"/>
      <c r="C1489" s="1572" t="s">
        <v>1495</v>
      </c>
      <c r="D1489" s="2045" t="s">
        <v>795</v>
      </c>
      <c r="E1489" s="994" t="s">
        <v>1496</v>
      </c>
      <c r="F1489" s="999">
        <f>ROUND(((K1714*K1842*(1/K1970-1/K2098)*K2738)/1000),2)</f>
        <v>10399.66</v>
      </c>
      <c r="G1489" s="318" t="s">
        <v>1369</v>
      </c>
      <c r="H1489" s="239">
        <f>VLOOKUP(G1489,'CP FACTORS'!$A$3:$B$38, 2, FALSE)</f>
        <v>0</v>
      </c>
      <c r="I1489" s="2046">
        <f t="shared" si="150"/>
        <v>0</v>
      </c>
      <c r="J1489" s="156">
        <f t="shared" si="153"/>
        <v>6</v>
      </c>
      <c r="K1489" s="1085">
        <f t="shared" si="154"/>
        <v>0</v>
      </c>
      <c r="L1489" s="1086"/>
      <c r="M1489" s="2089"/>
      <c r="N1489" s="2086"/>
      <c r="O1489" s="1453"/>
      <c r="P1489" s="177"/>
      <c r="Q1489" s="177"/>
      <c r="R1489" s="1894"/>
      <c r="S1489" s="177"/>
      <c r="T1489" s="177"/>
      <c r="U1489" s="2090"/>
      <c r="V1489" s="245" t="s">
        <v>20</v>
      </c>
      <c r="W1489" s="1087">
        <v>13965.852998065762</v>
      </c>
      <c r="X1489" s="1088">
        <v>10399.659574468084</v>
      </c>
      <c r="Y1489" s="999">
        <v>10399.66</v>
      </c>
      <c r="Z1489" s="1089"/>
      <c r="AA1489" s="1089"/>
      <c r="AB1489" s="1090"/>
      <c r="AC1489" s="1087"/>
      <c r="AD1489" s="1087"/>
      <c r="AE1489" s="1087"/>
      <c r="AF1489" s="1087"/>
      <c r="AG1489" s="1087"/>
      <c r="AH1489" s="248"/>
      <c r="AK1489" s="1091"/>
      <c r="BB1489" s="995"/>
      <c r="BC1489" s="994" t="str">
        <f t="shared" si="151"/>
        <v>Heating Res 6 Year EUL</v>
      </c>
      <c r="BD1489" s="894">
        <f>(INDEX('Avoided Cost Benefits'!$C$4:$C$857,MATCH(BC1489,'Avoided Cost Benefits'!$A$4:$A$857,0)))*F1489</f>
        <v>1729.8118904813734</v>
      </c>
      <c r="BE1489" s="74">
        <f t="shared" si="142"/>
        <v>0</v>
      </c>
      <c r="BG1489" s="919"/>
      <c r="BH1489" s="1092"/>
      <c r="BI1489" s="919"/>
    </row>
    <row r="1490" spans="1:61" s="65" customFormat="1" x14ac:dyDescent="0.25">
      <c r="A1490" s="785"/>
      <c r="B1490" s="177"/>
      <c r="C1490" s="1572" t="s">
        <v>1495</v>
      </c>
      <c r="D1490" s="2045" t="s">
        <v>795</v>
      </c>
      <c r="E1490" s="994" t="s">
        <v>1497</v>
      </c>
      <c r="F1490" s="999">
        <f>ROUND(((K2227*K2355*(1/K2483-1/K2611)*K2739)/1000),2)</f>
        <v>947.31</v>
      </c>
      <c r="G1490" s="2078" t="s">
        <v>1408</v>
      </c>
      <c r="H1490" s="239">
        <f>VLOOKUP(G1490,'CP FACTORS'!$A$3:$B$38, 2, FALSE)</f>
        <v>9.4741810000000004E-4</v>
      </c>
      <c r="I1490" s="2046">
        <f t="shared" si="150"/>
        <v>0.89749900000000005</v>
      </c>
      <c r="J1490" s="156">
        <f t="shared" si="153"/>
        <v>12</v>
      </c>
      <c r="K1490" s="1085">
        <f t="shared" si="154"/>
        <v>0</v>
      </c>
      <c r="L1490" s="1086"/>
      <c r="M1490" s="2089"/>
      <c r="N1490" s="2086"/>
      <c r="O1490" s="1453"/>
      <c r="P1490" s="177"/>
      <c r="Q1490" s="177"/>
      <c r="R1490" s="1894"/>
      <c r="S1490" s="177"/>
      <c r="T1490" s="177"/>
      <c r="U1490" s="2090"/>
      <c r="V1490" s="245" t="s">
        <v>20</v>
      </c>
      <c r="W1490" s="1087">
        <v>947.30549450549472</v>
      </c>
      <c r="X1490" s="1096">
        <v>947.30549450549472</v>
      </c>
      <c r="Y1490" s="999">
        <v>947.31</v>
      </c>
      <c r="Z1490" s="1089"/>
      <c r="AA1490" s="1089"/>
      <c r="AB1490" s="1090"/>
      <c r="AC1490" s="1087"/>
      <c r="AD1490" s="1087"/>
      <c r="AE1490" s="1087"/>
      <c r="AF1490" s="1087"/>
      <c r="AG1490" s="1087"/>
      <c r="AH1490" s="248"/>
      <c r="AK1490" s="1091"/>
      <c r="BB1490" s="995"/>
      <c r="BC1490" s="994" t="str">
        <f t="shared" si="151"/>
        <v>Cooling Res ER2 12 Year EUL</v>
      </c>
      <c r="BD1490" s="894">
        <f>(INDEX('Avoided Cost Benefits'!$C$4:$C$857,MATCH(BC1490,'Avoided Cost Benefits'!$A$4:$A$857,0)))*F1490</f>
        <v>1120.0268874281501</v>
      </c>
      <c r="BE1490" s="74">
        <f t="shared" si="142"/>
        <v>0</v>
      </c>
      <c r="BG1490" s="919"/>
      <c r="BH1490" s="1092"/>
      <c r="BI1490" s="919"/>
    </row>
    <row r="1491" spans="1:61" s="65" customFormat="1" x14ac:dyDescent="0.25">
      <c r="A1491" s="785"/>
      <c r="B1491" s="177"/>
      <c r="C1491" s="1572" t="s">
        <v>1495</v>
      </c>
      <c r="D1491" s="2045" t="s">
        <v>795</v>
      </c>
      <c r="E1491" s="892" t="s">
        <v>1497</v>
      </c>
      <c r="F1491" s="999">
        <f>ROUND(((K1715*K1843*(1/K1971-1/K2099)*K2739)/1000),2)</f>
        <v>10399.66</v>
      </c>
      <c r="G1491" s="2078" t="s">
        <v>1427</v>
      </c>
      <c r="H1491" s="239">
        <f>VLOOKUP(G1491,'CP FACTORS'!$A$3:$B$38, 2, FALSE)</f>
        <v>0</v>
      </c>
      <c r="I1491" s="2046">
        <f t="shared" si="150"/>
        <v>0</v>
      </c>
      <c r="J1491" s="156">
        <f t="shared" si="153"/>
        <v>12</v>
      </c>
      <c r="K1491" s="1085">
        <f t="shared" si="154"/>
        <v>0</v>
      </c>
      <c r="L1491" s="1086"/>
      <c r="M1491" s="2089"/>
      <c r="N1491" s="2086"/>
      <c r="O1491" s="1453"/>
      <c r="P1491" s="177"/>
      <c r="Q1491" s="177"/>
      <c r="R1491" s="1894"/>
      <c r="S1491" s="177"/>
      <c r="T1491" s="177"/>
      <c r="U1491" s="2090"/>
      <c r="V1491" s="245" t="s">
        <v>20</v>
      </c>
      <c r="W1491" s="1087">
        <v>13965.852998065762</v>
      </c>
      <c r="X1491" s="1088">
        <v>10399.659574468084</v>
      </c>
      <c r="Y1491" s="999">
        <v>10399.66</v>
      </c>
      <c r="Z1491" s="1089"/>
      <c r="AA1491" s="1089"/>
      <c r="AB1491" s="1090"/>
      <c r="AC1491" s="1087"/>
      <c r="AD1491" s="1087"/>
      <c r="AE1491" s="1087"/>
      <c r="AF1491" s="1087"/>
      <c r="AG1491" s="1087"/>
      <c r="AH1491" s="248"/>
      <c r="AK1491" s="1091"/>
      <c r="BB1491" s="995"/>
      <c r="BC1491" s="892" t="str">
        <f t="shared" si="151"/>
        <v>Heating Res ER2 12 Year EUL</v>
      </c>
      <c r="BD1491" s="894">
        <f>(INDEX('Avoided Cost Benefits'!$C$4:$C$857,MATCH(BC1491,'Avoided Cost Benefits'!$A$4:$A$857,0)))*F1491</f>
        <v>3074.9985027651505</v>
      </c>
      <c r="BE1491" s="74">
        <f t="shared" si="142"/>
        <v>0</v>
      </c>
      <c r="BG1491" s="919"/>
      <c r="BH1491" s="1092"/>
      <c r="BI1491" s="919"/>
    </row>
    <row r="1492" spans="1:61" s="65" customFormat="1" x14ac:dyDescent="0.25">
      <c r="A1492" s="785"/>
      <c r="B1492" s="177"/>
      <c r="C1492" s="1572" t="s">
        <v>1498</v>
      </c>
      <c r="D1492" s="2045" t="s">
        <v>797</v>
      </c>
      <c r="E1492" s="884" t="s">
        <v>1499</v>
      </c>
      <c r="F1492" s="999">
        <f>ROUND(((K2228*K2356*(1/K2484-1/K2612)*K2740)/1000),2)</f>
        <v>1521.91</v>
      </c>
      <c r="G1492" s="318" t="s">
        <v>1367</v>
      </c>
      <c r="H1492" s="239">
        <f>VLOOKUP(G1492,'CP FACTORS'!$A$3:$B$38, 2, FALSE)</f>
        <v>9.4741810000000004E-4</v>
      </c>
      <c r="I1492" s="2046">
        <f t="shared" si="150"/>
        <v>1.4418850000000001</v>
      </c>
      <c r="J1492" s="156">
        <f t="shared" si="153"/>
        <v>6</v>
      </c>
      <c r="K1492" s="1085">
        <f t="shared" si="154"/>
        <v>2171.3844012161662</v>
      </c>
      <c r="L1492" s="1086">
        <f>L1716</f>
        <v>3.1</v>
      </c>
      <c r="M1492" s="2089"/>
      <c r="N1492" s="2086"/>
      <c r="O1492" s="1453"/>
      <c r="P1492" s="177"/>
      <c r="Q1492" s="177"/>
      <c r="R1492" s="1894"/>
      <c r="S1492" s="177"/>
      <c r="T1492" s="177"/>
      <c r="U1492" s="2090"/>
      <c r="V1492" s="245" t="s">
        <v>20</v>
      </c>
      <c r="W1492" s="1087">
        <v>2089.4703361344541</v>
      </c>
      <c r="X1492" s="1088">
        <v>1521.9079711884754</v>
      </c>
      <c r="Y1492" s="999">
        <v>1521.91</v>
      </c>
      <c r="Z1492" s="1089"/>
      <c r="AA1492" s="1089"/>
      <c r="AB1492" s="1090"/>
      <c r="AC1492" s="1087"/>
      <c r="AD1492" s="1087"/>
      <c r="AE1492" s="1087"/>
      <c r="AF1492" s="1087"/>
      <c r="AG1492" s="1087"/>
      <c r="AH1492" s="248"/>
      <c r="AK1492" s="1091"/>
      <c r="BB1492" s="350">
        <f>(BD1492+BD1493+BD1494+BD1495)/(BE1492+BE1493+BE1494+BE1495)</f>
        <v>2.3109256909244333</v>
      </c>
      <c r="BC1492" s="884" t="str">
        <f t="shared" si="151"/>
        <v>Cooling Res 6 Year EUL</v>
      </c>
      <c r="BD1492" s="894">
        <f>(INDEX('Avoided Cost Benefits'!$C$4:$C$857,MATCH(BC1492,'Avoided Cost Benefits'!$A$4:$A$857,0)))*F1492</f>
        <v>884.96656241241715</v>
      </c>
      <c r="BE1492" s="74">
        <f t="shared" si="142"/>
        <v>2049.4425683965701</v>
      </c>
      <c r="BG1492" s="919"/>
      <c r="BH1492" s="1092"/>
      <c r="BI1492" s="919"/>
    </row>
    <row r="1493" spans="1:61" s="65" customFormat="1" x14ac:dyDescent="0.25">
      <c r="A1493" s="785"/>
      <c r="B1493" s="177"/>
      <c r="C1493" s="1572" t="s">
        <v>1498</v>
      </c>
      <c r="D1493" s="2045" t="s">
        <v>797</v>
      </c>
      <c r="E1493" s="994" t="s">
        <v>1499</v>
      </c>
      <c r="F1493" s="999">
        <f>ROUND(((K1716*K1844*(1/K1972-1/K2100)*K2740)/1000),2)</f>
        <v>6759.78</v>
      </c>
      <c r="G1493" s="318" t="s">
        <v>1369</v>
      </c>
      <c r="H1493" s="239">
        <f>VLOOKUP(G1493,'CP FACTORS'!$A$3:$B$38, 2, FALSE)</f>
        <v>0</v>
      </c>
      <c r="I1493" s="2046">
        <f t="shared" si="150"/>
        <v>0</v>
      </c>
      <c r="J1493" s="156">
        <f t="shared" si="153"/>
        <v>6</v>
      </c>
      <c r="K1493" s="1085">
        <f t="shared" si="154"/>
        <v>0</v>
      </c>
      <c r="L1493" s="1086"/>
      <c r="M1493" s="2089"/>
      <c r="N1493" s="2086"/>
      <c r="O1493" s="1453"/>
      <c r="P1493" s="177"/>
      <c r="Q1493" s="177"/>
      <c r="R1493" s="1894"/>
      <c r="S1493" s="177"/>
      <c r="T1493" s="177"/>
      <c r="U1493" s="2090"/>
      <c r="V1493" s="245" t="s">
        <v>20</v>
      </c>
      <c r="W1493" s="1087">
        <v>9077.8044487427451</v>
      </c>
      <c r="X1493" s="1088">
        <v>6759.7787234042544</v>
      </c>
      <c r="Y1493" s="999">
        <v>6759.78</v>
      </c>
      <c r="Z1493" s="1089"/>
      <c r="AA1493" s="1089"/>
      <c r="AB1493" s="1090"/>
      <c r="AC1493" s="1087"/>
      <c r="AD1493" s="1087"/>
      <c r="AE1493" s="1087"/>
      <c r="AF1493" s="1087"/>
      <c r="AG1493" s="1087"/>
      <c r="AH1493" s="248"/>
      <c r="AK1493" s="1091"/>
      <c r="BB1493" s="995"/>
      <c r="BC1493" s="994" t="str">
        <f t="shared" si="151"/>
        <v>Heating Res 6 Year EUL</v>
      </c>
      <c r="BD1493" s="894">
        <f>(INDEX('Avoided Cost Benefits'!$C$4:$C$857,MATCH(BC1493,'Avoided Cost Benefits'!$A$4:$A$857,0)))*F1493</f>
        <v>1124.3778951463969</v>
      </c>
      <c r="BE1493" s="74">
        <f t="shared" si="142"/>
        <v>0</v>
      </c>
      <c r="BG1493" s="919"/>
      <c r="BH1493" s="1092"/>
      <c r="BI1493" s="919"/>
    </row>
    <row r="1494" spans="1:61" s="65" customFormat="1" x14ac:dyDescent="0.25">
      <c r="A1494" s="785"/>
      <c r="B1494" s="177"/>
      <c r="C1494" s="1572" t="s">
        <v>1498</v>
      </c>
      <c r="D1494" s="2045" t="s">
        <v>797</v>
      </c>
      <c r="E1494" s="994" t="s">
        <v>1500</v>
      </c>
      <c r="F1494" s="999">
        <f>ROUND(((K2229*K2357*(1/K2485-1/K2613)*K2741)/1000),2)</f>
        <v>615.75</v>
      </c>
      <c r="G1494" s="2078" t="s">
        <v>1408</v>
      </c>
      <c r="H1494" s="239">
        <f>VLOOKUP(G1494,'CP FACTORS'!$A$3:$B$38, 2, FALSE)</f>
        <v>9.4741810000000004E-4</v>
      </c>
      <c r="I1494" s="2046">
        <f t="shared" si="150"/>
        <v>0.58337300000000003</v>
      </c>
      <c r="J1494" s="156">
        <f t="shared" si="153"/>
        <v>12</v>
      </c>
      <c r="K1494" s="1085">
        <f t="shared" si="154"/>
        <v>0</v>
      </c>
      <c r="L1494" s="1086"/>
      <c r="M1494" s="2089"/>
      <c r="N1494" s="2086"/>
      <c r="O1494" s="1453"/>
      <c r="P1494" s="177"/>
      <c r="Q1494" s="177"/>
      <c r="R1494" s="1894"/>
      <c r="S1494" s="177"/>
      <c r="T1494" s="177"/>
      <c r="U1494" s="2090"/>
      <c r="V1494" s="245" t="s">
        <v>20</v>
      </c>
      <c r="W1494" s="1087">
        <v>615.74857142857161</v>
      </c>
      <c r="X1494" s="1096">
        <v>615.74857142857161</v>
      </c>
      <c r="Y1494" s="999">
        <v>615.75</v>
      </c>
      <c r="Z1494" s="1089"/>
      <c r="AA1494" s="1089"/>
      <c r="AB1494" s="1090"/>
      <c r="AC1494" s="1087"/>
      <c r="AD1494" s="1087"/>
      <c r="AE1494" s="1087"/>
      <c r="AF1494" s="1087"/>
      <c r="AG1494" s="1087"/>
      <c r="AH1494" s="248"/>
      <c r="AK1494" s="1091"/>
      <c r="BB1494" s="995"/>
      <c r="BC1494" s="994" t="str">
        <f t="shared" si="151"/>
        <v>Cooling Res ER2 12 Year EUL</v>
      </c>
      <c r="BD1494" s="894">
        <f>(INDEX('Avoided Cost Benefits'!$C$4:$C$857,MATCH(BC1494,'Avoided Cost Benefits'!$A$4:$A$857,0)))*F1494</f>
        <v>728.01570334302755</v>
      </c>
      <c r="BE1494" s="74">
        <f t="shared" si="142"/>
        <v>0</v>
      </c>
      <c r="BG1494" s="919"/>
      <c r="BH1494" s="1092"/>
      <c r="BI1494" s="919"/>
    </row>
    <row r="1495" spans="1:61" s="65" customFormat="1" x14ac:dyDescent="0.25">
      <c r="A1495" s="785"/>
      <c r="B1495" s="177"/>
      <c r="C1495" s="1572" t="s">
        <v>1498</v>
      </c>
      <c r="D1495" s="2045" t="s">
        <v>797</v>
      </c>
      <c r="E1495" s="892" t="s">
        <v>1500</v>
      </c>
      <c r="F1495" s="999">
        <f>ROUND(((K1717*K1845*(1/K1973-1/K2101)*K2741)/1000),2)</f>
        <v>6759.78</v>
      </c>
      <c r="G1495" s="2078" t="s">
        <v>1427</v>
      </c>
      <c r="H1495" s="239">
        <f>VLOOKUP(G1495,'CP FACTORS'!$A$3:$B$38, 2, FALSE)</f>
        <v>0</v>
      </c>
      <c r="I1495" s="2046">
        <f t="shared" si="150"/>
        <v>0</v>
      </c>
      <c r="J1495" s="156">
        <f t="shared" si="153"/>
        <v>12</v>
      </c>
      <c r="K1495" s="1085">
        <f t="shared" si="154"/>
        <v>0</v>
      </c>
      <c r="L1495" s="1086"/>
      <c r="M1495" s="2089"/>
      <c r="N1495" s="2086"/>
      <c r="O1495" s="1453"/>
      <c r="P1495" s="177"/>
      <c r="Q1495" s="177"/>
      <c r="R1495" s="1894"/>
      <c r="S1495" s="177"/>
      <c r="T1495" s="177"/>
      <c r="U1495" s="2090"/>
      <c r="V1495" s="245" t="s">
        <v>20</v>
      </c>
      <c r="W1495" s="1087">
        <v>9077.8044487427451</v>
      </c>
      <c r="X1495" s="1088">
        <v>6759.7787234042544</v>
      </c>
      <c r="Y1495" s="999">
        <v>6759.78</v>
      </c>
      <c r="Z1495" s="1089"/>
      <c r="AA1495" s="1089"/>
      <c r="AB1495" s="1090"/>
      <c r="AC1495" s="1087"/>
      <c r="AD1495" s="1087"/>
      <c r="AE1495" s="1087"/>
      <c r="AF1495" s="1087"/>
      <c r="AG1495" s="1087"/>
      <c r="AH1495" s="248"/>
      <c r="AK1495" s="1091"/>
      <c r="BB1495" s="995"/>
      <c r="BC1495" s="892" t="str">
        <f t="shared" si="151"/>
        <v>Heating Res ER2 12 Year EUL</v>
      </c>
      <c r="BD1495" s="894">
        <f>(INDEX('Avoided Cost Benefits'!$C$4:$C$857,MATCH(BC1495,'Avoided Cost Benefits'!$A$4:$A$857,0)))*F1495</f>
        <v>1998.7493224799473</v>
      </c>
      <c r="BE1495" s="74">
        <f t="shared" si="142"/>
        <v>0</v>
      </c>
      <c r="BG1495" s="919"/>
      <c r="BH1495" s="1092"/>
      <c r="BI1495" s="919"/>
    </row>
    <row r="1496" spans="1:61" s="65" customFormat="1" x14ac:dyDescent="0.25">
      <c r="A1496" s="785"/>
      <c r="B1496" s="177"/>
      <c r="C1496" s="1572" t="s">
        <v>1501</v>
      </c>
      <c r="D1496" s="2045" t="s">
        <v>792</v>
      </c>
      <c r="E1496" s="884" t="str">
        <f>CONCATENATE(E1492,"_CompE")</f>
        <v>ASHP - SEER 21 - replace electric furnace / CAC - early replacement MF ER1_CompE</v>
      </c>
      <c r="F1496" s="999">
        <f>ROUND((($K$2230*$K$2358*(1/$K$2486-1/$K$2614)*$K$2742)/1000),2)</f>
        <v>1106.8399999999999</v>
      </c>
      <c r="G1496" s="318" t="str">
        <f t="shared" ref="G1496:K1499" si="155">G1492</f>
        <v>Cooling Res</v>
      </c>
      <c r="H1496" s="239">
        <f t="shared" si="155"/>
        <v>9.4741810000000004E-4</v>
      </c>
      <c r="I1496" s="2518">
        <f t="shared" si="150"/>
        <v>1.04864</v>
      </c>
      <c r="J1496" s="156">
        <f>J1492</f>
        <v>6</v>
      </c>
      <c r="K1496" s="1085">
        <f>K1492</f>
        <v>2171.3844012161662</v>
      </c>
      <c r="L1496" s="1086">
        <f>L1492</f>
        <v>3.1</v>
      </c>
      <c r="M1496" s="2089"/>
      <c r="N1496" s="2086"/>
      <c r="O1496" s="1453"/>
      <c r="P1496" s="177"/>
      <c r="Q1496" s="177"/>
      <c r="R1496" s="1894"/>
      <c r="S1496" s="177"/>
      <c r="T1496" s="177"/>
      <c r="U1496" s="2090"/>
      <c r="V1496" s="245" t="s">
        <v>20</v>
      </c>
      <c r="W1496" s="1087"/>
      <c r="X1496" s="1088"/>
      <c r="Y1496" s="1005">
        <v>1106.8399999999999</v>
      </c>
      <c r="Z1496" s="1089"/>
      <c r="AA1496" s="1089"/>
      <c r="AB1496" s="1090"/>
      <c r="AC1496" s="1087"/>
      <c r="AD1496" s="1087"/>
      <c r="AE1496" s="1087"/>
      <c r="AF1496" s="1087"/>
      <c r="AG1496" s="1087"/>
      <c r="AH1496" s="248"/>
      <c r="AK1496" s="1091"/>
      <c r="BB1496" s="350">
        <f>(BD1496+BD1497+BD1498+BD1499)/(BE1496+BE1497+BE1498+BE1499)</f>
        <v>1.09189705127851</v>
      </c>
      <c r="BC1496" s="884" t="str">
        <f t="shared" si="151"/>
        <v>Cooling Res 6 Year EUL</v>
      </c>
      <c r="BD1496" s="894">
        <f>(INDEX('Avoided Cost Benefits'!$C$4:$C$857,MATCH(BC1496,'Avoided Cost Benefits'!$A$4:$A$857,0)))*F1496</f>
        <v>643.60993090298348</v>
      </c>
      <c r="BE1496" s="74">
        <f t="shared" si="142"/>
        <v>2049.4425683965701</v>
      </c>
      <c r="BG1496" s="919"/>
      <c r="BH1496" s="1095"/>
      <c r="BI1496" s="919"/>
    </row>
    <row r="1497" spans="1:61" s="65" customFormat="1" x14ac:dyDescent="0.25">
      <c r="A1497" s="785"/>
      <c r="B1497" s="177"/>
      <c r="C1497" s="1572" t="str">
        <f>C1496</f>
        <v>353601_2019_12_</v>
      </c>
      <c r="D1497" s="2045" t="s">
        <v>792</v>
      </c>
      <c r="E1497" s="994" t="str">
        <f>CONCATENATE(E1493,"_CompE")</f>
        <v>ASHP - SEER 21 - replace electric furnace / CAC - early replacement MF ER1_CompE</v>
      </c>
      <c r="F1497" s="999">
        <f>ROUND((($K$1718*$K$1846*(1/$K$1974-1/$K$2102)*$K$2742)/1000),2)</f>
        <v>2304.4699999999998</v>
      </c>
      <c r="G1497" s="318" t="str">
        <f t="shared" si="155"/>
        <v>Heating Res</v>
      </c>
      <c r="H1497" s="239">
        <f t="shared" si="155"/>
        <v>0</v>
      </c>
      <c r="I1497" s="2518">
        <f t="shared" si="150"/>
        <v>0</v>
      </c>
      <c r="J1497" s="156">
        <f t="shared" si="155"/>
        <v>6</v>
      </c>
      <c r="K1497" s="1085">
        <f t="shared" si="155"/>
        <v>0</v>
      </c>
      <c r="L1497" s="1086"/>
      <c r="M1497" s="2089"/>
      <c r="N1497" s="2086"/>
      <c r="O1497" s="1453"/>
      <c r="P1497" s="177"/>
      <c r="Q1497" s="177"/>
      <c r="R1497" s="1894"/>
      <c r="S1497" s="177"/>
      <c r="T1497" s="177"/>
      <c r="U1497" s="2090"/>
      <c r="V1497" s="245" t="s">
        <v>20</v>
      </c>
      <c r="W1497" s="1087"/>
      <c r="X1497" s="1088"/>
      <c r="Y1497" s="1005">
        <v>2304.4699999999998</v>
      </c>
      <c r="Z1497" s="1089"/>
      <c r="AA1497" s="1089"/>
      <c r="AB1497" s="1090"/>
      <c r="AC1497" s="1087"/>
      <c r="AD1497" s="1087"/>
      <c r="AE1497" s="1087"/>
      <c r="AF1497" s="1087"/>
      <c r="AG1497" s="1087"/>
      <c r="AH1497" s="248"/>
      <c r="AK1497" s="1091"/>
      <c r="BB1497" s="995"/>
      <c r="BC1497" s="994" t="str">
        <f t="shared" si="151"/>
        <v>Heating Res 6 Year EUL</v>
      </c>
      <c r="BD1497" s="894">
        <f>(INDEX('Avoided Cost Benefits'!$C$4:$C$857,MATCH(BC1497,'Avoided Cost Benefits'!$A$4:$A$857,0)))*F1497</f>
        <v>383.31057046649704</v>
      </c>
      <c r="BE1497" s="74">
        <f t="shared" si="142"/>
        <v>0</v>
      </c>
      <c r="BG1497" s="919"/>
      <c r="BH1497" s="1095"/>
      <c r="BI1497" s="919"/>
    </row>
    <row r="1498" spans="1:61" s="65" customFormat="1" x14ac:dyDescent="0.25">
      <c r="A1498" s="785"/>
      <c r="B1498" s="177"/>
      <c r="C1498" s="1572" t="str">
        <f t="shared" ref="C1498:C1499" si="156">C1497</f>
        <v>353601_2019_12_</v>
      </c>
      <c r="D1498" s="2045" t="s">
        <v>792</v>
      </c>
      <c r="E1498" s="994" t="str">
        <f>CONCATENATE(E1494,"_CompE")</f>
        <v>ASHP - SEER 21 - replace electric furnace / CAC - early replacement MF ER2_CompE</v>
      </c>
      <c r="F1498" s="999">
        <f>ROUND((($K$2231*$K$2359*(1/$K$2487-1/$K$2615)*$K$2743)/1000),2)</f>
        <v>447.82</v>
      </c>
      <c r="G1498" s="318" t="str">
        <f t="shared" si="155"/>
        <v>Cooling Res ER2</v>
      </c>
      <c r="H1498" s="239">
        <f t="shared" si="155"/>
        <v>9.4741810000000004E-4</v>
      </c>
      <c r="I1498" s="2518">
        <f t="shared" si="150"/>
        <v>0.42427300000000001</v>
      </c>
      <c r="J1498" s="156">
        <f t="shared" si="155"/>
        <v>12</v>
      </c>
      <c r="K1498" s="1085">
        <f t="shared" si="155"/>
        <v>0</v>
      </c>
      <c r="L1498" s="1086"/>
      <c r="M1498" s="2089"/>
      <c r="N1498" s="2086"/>
      <c r="O1498" s="1453"/>
      <c r="P1498" s="177"/>
      <c r="Q1498" s="177"/>
      <c r="R1498" s="1894"/>
      <c r="S1498" s="177"/>
      <c r="T1498" s="177"/>
      <c r="U1498" s="2090"/>
      <c r="V1498" s="245" t="s">
        <v>20</v>
      </c>
      <c r="W1498" s="1087"/>
      <c r="X1498" s="1088"/>
      <c r="Y1498" s="1005">
        <v>447.82</v>
      </c>
      <c r="Z1498" s="1089"/>
      <c r="AA1498" s="1089"/>
      <c r="AB1498" s="1090"/>
      <c r="AC1498" s="1087"/>
      <c r="AD1498" s="1087"/>
      <c r="AE1498" s="1087"/>
      <c r="AF1498" s="1087"/>
      <c r="AG1498" s="1087"/>
      <c r="AH1498" s="248"/>
      <c r="AK1498" s="1091"/>
      <c r="BB1498" s="995"/>
      <c r="BC1498" s="994" t="str">
        <f t="shared" si="151"/>
        <v>Cooling Res ER2 12 Year EUL</v>
      </c>
      <c r="BD1498" s="894">
        <f>(INDEX('Avoided Cost Benefits'!$C$4:$C$857,MATCH(BC1498,'Avoided Cost Benefits'!$A$4:$A$857,0)))*F1498</f>
        <v>529.46811574677156</v>
      </c>
      <c r="BE1498" s="74">
        <f t="shared" si="142"/>
        <v>0</v>
      </c>
      <c r="BG1498" s="919"/>
      <c r="BH1498" s="1095"/>
      <c r="BI1498" s="919"/>
    </row>
    <row r="1499" spans="1:61" s="65" customFormat="1" x14ac:dyDescent="0.25">
      <c r="A1499" s="785"/>
      <c r="B1499" s="177"/>
      <c r="C1499" s="1572" t="str">
        <f t="shared" si="156"/>
        <v>353601_2019_12_</v>
      </c>
      <c r="D1499" s="2045" t="s">
        <v>792</v>
      </c>
      <c r="E1499" s="892" t="str">
        <f>CONCATENATE(E1495,"_CompE")</f>
        <v>ASHP - SEER 21 - replace electric furnace / CAC - early replacement MF ER2_CompE</v>
      </c>
      <c r="F1499" s="999">
        <f>ROUND((($K$1719*$K$1847*(1/$K$1975-1/$K$2103)*$K$2743)/1000),2)</f>
        <v>2304.4699999999998</v>
      </c>
      <c r="G1499" s="318" t="str">
        <f t="shared" si="155"/>
        <v>Heating Res ER2</v>
      </c>
      <c r="H1499" s="239">
        <f t="shared" si="155"/>
        <v>0</v>
      </c>
      <c r="I1499" s="2518">
        <f t="shared" si="150"/>
        <v>0</v>
      </c>
      <c r="J1499" s="156">
        <f t="shared" si="155"/>
        <v>12</v>
      </c>
      <c r="K1499" s="1085">
        <f t="shared" si="155"/>
        <v>0</v>
      </c>
      <c r="L1499" s="1086"/>
      <c r="M1499" s="2089"/>
      <c r="N1499" s="2086"/>
      <c r="O1499" s="1453"/>
      <c r="P1499" s="177"/>
      <c r="Q1499" s="177"/>
      <c r="R1499" s="1894"/>
      <c r="S1499" s="177"/>
      <c r="T1499" s="177"/>
      <c r="U1499" s="2090"/>
      <c r="V1499" s="245" t="s">
        <v>20</v>
      </c>
      <c r="W1499" s="1087"/>
      <c r="X1499" s="1088"/>
      <c r="Y1499" s="1005">
        <v>2304.4699999999998</v>
      </c>
      <c r="Z1499" s="1089"/>
      <c r="AA1499" s="1089"/>
      <c r="AB1499" s="1090"/>
      <c r="AC1499" s="1087"/>
      <c r="AD1499" s="1087"/>
      <c r="AE1499" s="1087"/>
      <c r="AF1499" s="1087"/>
      <c r="AG1499" s="1087"/>
      <c r="AH1499" s="248"/>
      <c r="AK1499" s="1091"/>
      <c r="BB1499" s="995"/>
      <c r="BC1499" s="892" t="str">
        <f t="shared" si="151"/>
        <v>Heating Res ER2 12 Year EUL</v>
      </c>
      <c r="BD1499" s="894">
        <f>(INDEX('Avoided Cost Benefits'!$C$4:$C$857,MATCH(BC1499,'Avoided Cost Benefits'!$A$4:$A$857,0)))*F1499</f>
        <v>681.39168008061858</v>
      </c>
      <c r="BE1499" s="74">
        <f t="shared" si="142"/>
        <v>0</v>
      </c>
      <c r="BG1499" s="919"/>
      <c r="BH1499" s="1095"/>
      <c r="BI1499" s="919"/>
    </row>
    <row r="1500" spans="1:61" s="65" customFormat="1" x14ac:dyDescent="0.25">
      <c r="A1500" s="785"/>
      <c r="B1500" s="177"/>
      <c r="C1500" s="1572" t="s">
        <v>1502</v>
      </c>
      <c r="D1500" s="2045" t="s">
        <v>795</v>
      </c>
      <c r="E1500" s="956" t="s">
        <v>1503</v>
      </c>
      <c r="F1500" s="999">
        <f>ROUND(((K2232*K2360*(1/K2488-1/K2616)*K2744)/1000),2)</f>
        <v>977.86</v>
      </c>
      <c r="G1500" s="318" t="s">
        <v>1367</v>
      </c>
      <c r="H1500" s="239">
        <f>VLOOKUP(G1500,'CP FACTORS'!$A$3:$B$38, 2, FALSE)</f>
        <v>9.4741810000000004E-4</v>
      </c>
      <c r="I1500" s="2046">
        <f t="shared" si="150"/>
        <v>0.92644199999999999</v>
      </c>
      <c r="J1500" s="156">
        <f>K2892</f>
        <v>18</v>
      </c>
      <c r="K1500" s="1085">
        <f>K3062</f>
        <v>1689.9245999999991</v>
      </c>
      <c r="L1500" s="1086">
        <f>L1720</f>
        <v>3.2</v>
      </c>
      <c r="M1500" s="2089"/>
      <c r="N1500" s="2086"/>
      <c r="O1500" s="1453"/>
      <c r="P1500" s="177"/>
      <c r="Q1500" s="177"/>
      <c r="R1500" s="1894"/>
      <c r="S1500" s="177"/>
      <c r="T1500" s="177"/>
      <c r="U1500" s="2090"/>
      <c r="V1500" s="245" t="s">
        <v>20</v>
      </c>
      <c r="W1500" s="1087">
        <v>977.86373626373654</v>
      </c>
      <c r="X1500" s="1096">
        <v>977.86373626373654</v>
      </c>
      <c r="Y1500" s="999">
        <v>977.86</v>
      </c>
      <c r="Z1500" s="1089"/>
      <c r="AA1500" s="1089"/>
      <c r="AB1500" s="1090"/>
      <c r="AC1500" s="1087"/>
      <c r="AD1500" s="1087"/>
      <c r="AE1500" s="1087"/>
      <c r="AF1500" s="1087"/>
      <c r="AG1500" s="1087"/>
      <c r="AH1500" s="248"/>
      <c r="AK1500" s="1091"/>
      <c r="BB1500" s="350">
        <f>(BD1500+BD1501)/(BE1500+BE1501)</f>
        <v>4.2456407613027976</v>
      </c>
      <c r="BC1500" s="956" t="str">
        <f t="shared" si="151"/>
        <v>Cooling Res 18 Year EUL</v>
      </c>
      <c r="BD1500" s="894">
        <f>(INDEX('Avoided Cost Benefits'!$C$4:$C$857,MATCH(BC1500,'Avoided Cost Benefits'!$A$4:$A$857,0)))*F1500</f>
        <v>1724.7569743285078</v>
      </c>
      <c r="BE1500" s="74">
        <f t="shared" si="142"/>
        <v>1595.0208588957046</v>
      </c>
      <c r="BG1500" s="919"/>
      <c r="BH1500" s="1092"/>
      <c r="BI1500" s="919"/>
    </row>
    <row r="1501" spans="1:61" s="65" customFormat="1" x14ac:dyDescent="0.25">
      <c r="A1501" s="785"/>
      <c r="B1501" s="177"/>
      <c r="C1501" s="1572" t="s">
        <v>1502</v>
      </c>
      <c r="D1501" s="2045" t="s">
        <v>795</v>
      </c>
      <c r="E1501" s="1093" t="s">
        <v>1503</v>
      </c>
      <c r="F1501" s="999">
        <f>ROUND(((K1720*K1848*(1/K1976-1/K2104)*K2744)/1000),2)</f>
        <v>10924.14</v>
      </c>
      <c r="G1501" s="318" t="s">
        <v>1369</v>
      </c>
      <c r="H1501" s="239">
        <f>VLOOKUP(G1501,'CP FACTORS'!$A$3:$B$38, 2, FALSE)</f>
        <v>0</v>
      </c>
      <c r="I1501" s="2046">
        <f t="shared" si="150"/>
        <v>0</v>
      </c>
      <c r="J1501" s="156">
        <f>K2893</f>
        <v>18</v>
      </c>
      <c r="K1501" s="1085">
        <f>K3063</f>
        <v>0</v>
      </c>
      <c r="L1501" s="1086"/>
      <c r="M1501" s="2089"/>
      <c r="N1501" s="2086"/>
      <c r="O1501" s="1453"/>
      <c r="P1501" s="177"/>
      <c r="Q1501" s="177"/>
      <c r="R1501" s="1894"/>
      <c r="S1501" s="177"/>
      <c r="T1501" s="177"/>
      <c r="U1501" s="2090"/>
      <c r="V1501" s="245" t="s">
        <v>20</v>
      </c>
      <c r="W1501" s="1087">
        <v>14670.188469329136</v>
      </c>
      <c r="X1501" s="1088">
        <v>10924.142334552707</v>
      </c>
      <c r="Y1501" s="999">
        <v>10924.14</v>
      </c>
      <c r="Z1501" s="1089"/>
      <c r="AA1501" s="1089"/>
      <c r="AB1501" s="1090"/>
      <c r="AC1501" s="1087"/>
      <c r="AD1501" s="1087"/>
      <c r="AE1501" s="1087"/>
      <c r="AF1501" s="1087"/>
      <c r="AG1501" s="1087"/>
      <c r="AH1501" s="248"/>
      <c r="AK1501" s="1091"/>
      <c r="BB1501" s="348"/>
      <c r="BC1501" s="1093" t="str">
        <f t="shared" si="151"/>
        <v>Heating Res 18 Year EUL</v>
      </c>
      <c r="BD1501" s="894">
        <f>(INDEX('Avoided Cost Benefits'!$C$4:$C$857,MATCH(BC1501,'Avoided Cost Benefits'!$A$4:$A$857,0)))*F1501</f>
        <v>5047.1285993272932</v>
      </c>
      <c r="BE1501" s="74">
        <f t="shared" si="142"/>
        <v>0</v>
      </c>
      <c r="BG1501" s="919"/>
      <c r="BH1501" s="1092"/>
      <c r="BI1501" s="919"/>
    </row>
    <row r="1502" spans="1:61" s="65" customFormat="1" x14ac:dyDescent="0.25">
      <c r="A1502" s="785"/>
      <c r="B1502" s="177"/>
      <c r="C1502" s="1572" t="s">
        <v>1504</v>
      </c>
      <c r="D1502" s="2045" t="s">
        <v>795</v>
      </c>
      <c r="E1502" s="956" t="s">
        <v>3360</v>
      </c>
      <c r="F1502" s="999">
        <f>ROUND(((K2233*K2361*(1/K2489-1/K2617)*K2745)/1000),2)</f>
        <v>635.61</v>
      </c>
      <c r="G1502" s="318" t="s">
        <v>1367</v>
      </c>
      <c r="H1502" s="239">
        <f>VLOOKUP(G1502,'CP FACTORS'!$A$3:$B$38, 2, FALSE)</f>
        <v>9.4741810000000004E-4</v>
      </c>
      <c r="I1502" s="2046">
        <f t="shared" si="150"/>
        <v>0.60218799999999995</v>
      </c>
      <c r="J1502" s="156">
        <f>K2894</f>
        <v>18</v>
      </c>
      <c r="K1502" s="1085">
        <f>K3064</f>
        <v>1689.9245999999991</v>
      </c>
      <c r="L1502" s="1086">
        <f>L1721</f>
        <v>3.2</v>
      </c>
      <c r="M1502" s="2089"/>
      <c r="N1502" s="2086"/>
      <c r="O1502" s="1453"/>
      <c r="P1502" s="177"/>
      <c r="Q1502" s="177"/>
      <c r="R1502" s="1894"/>
      <c r="S1502" s="177"/>
      <c r="T1502" s="177"/>
      <c r="U1502" s="2090"/>
      <c r="V1502" s="245" t="s">
        <v>20</v>
      </c>
      <c r="W1502" s="1087">
        <v>635.61142857142875</v>
      </c>
      <c r="X1502" s="1096">
        <v>635.61142857142875</v>
      </c>
      <c r="Y1502" s="999">
        <v>635.61</v>
      </c>
      <c r="Z1502" s="1089"/>
      <c r="AA1502" s="1089"/>
      <c r="AB1502" s="1090"/>
      <c r="AC1502" s="1087"/>
      <c r="AD1502" s="1087"/>
      <c r="AE1502" s="1087"/>
      <c r="AF1502" s="1087"/>
      <c r="AG1502" s="1087"/>
      <c r="AH1502" s="248"/>
      <c r="AK1502" s="1091"/>
      <c r="BB1502" s="350">
        <f>(BD1502+BD1503)/(BE1502+BE1503)</f>
        <v>2.7596673110064098</v>
      </c>
      <c r="BC1502" s="956" t="str">
        <f t="shared" si="151"/>
        <v>Cooling Res 18 Year EUL</v>
      </c>
      <c r="BD1502" s="894">
        <f>(INDEX('Avoided Cost Benefits'!$C$4:$C$857,MATCH(BC1502,'Avoided Cost Benefits'!$A$4:$A$857,0)))*F1502</f>
        <v>1121.0937971212063</v>
      </c>
      <c r="BE1502" s="74">
        <f t="shared" si="142"/>
        <v>1595.0208588957046</v>
      </c>
      <c r="BG1502" s="919"/>
      <c r="BH1502" s="1092"/>
      <c r="BI1502" s="919"/>
    </row>
    <row r="1503" spans="1:61" s="65" customFormat="1" x14ac:dyDescent="0.25">
      <c r="A1503" s="785"/>
      <c r="B1503" s="177"/>
      <c r="C1503" s="1572" t="s">
        <v>1504</v>
      </c>
      <c r="D1503" s="2045" t="s">
        <v>795</v>
      </c>
      <c r="E1503" s="1093" t="s">
        <v>3360</v>
      </c>
      <c r="F1503" s="999">
        <f>ROUND(((K1721*K1849*(1/K1977-1/K2105)*K2745)/1000),2)</f>
        <v>7100.69</v>
      </c>
      <c r="G1503" s="318" t="s">
        <v>1369</v>
      </c>
      <c r="H1503" s="239">
        <f>VLOOKUP(G1503,'CP FACTORS'!$A$3:$B$38, 2, FALSE)</f>
        <v>0</v>
      </c>
      <c r="I1503" s="2046">
        <f t="shared" si="150"/>
        <v>0</v>
      </c>
      <c r="J1503" s="156">
        <f>K2895</f>
        <v>18</v>
      </c>
      <c r="K1503" s="1085">
        <f>K3065</f>
        <v>0</v>
      </c>
      <c r="L1503" s="1086"/>
      <c r="M1503" s="2089"/>
      <c r="N1503" s="2086"/>
      <c r="O1503" s="1453"/>
      <c r="P1503" s="177"/>
      <c r="Q1503" s="177"/>
      <c r="R1503" s="1894"/>
      <c r="S1503" s="177"/>
      <c r="T1503" s="177"/>
      <c r="U1503" s="2090"/>
      <c r="V1503" s="245" t="s">
        <v>20</v>
      </c>
      <c r="W1503" s="1087">
        <v>9535.6225050639387</v>
      </c>
      <c r="X1503" s="1088">
        <v>7100.6925174592607</v>
      </c>
      <c r="Y1503" s="999">
        <v>7100.69</v>
      </c>
      <c r="Z1503" s="1089"/>
      <c r="AA1503" s="1089"/>
      <c r="AB1503" s="1090"/>
      <c r="AC1503" s="1087"/>
      <c r="AD1503" s="1087"/>
      <c r="AE1503" s="1087"/>
      <c r="AF1503" s="1087"/>
      <c r="AG1503" s="1087"/>
      <c r="AH1503" s="248"/>
      <c r="AK1503" s="1091"/>
      <c r="BB1503" s="348"/>
      <c r="BC1503" s="1093" t="str">
        <f t="shared" si="151"/>
        <v>Heating Res 18 Year EUL</v>
      </c>
      <c r="BD1503" s="894">
        <f>(INDEX('Avoided Cost Benefits'!$C$4:$C$857,MATCH(BC1503,'Avoided Cost Benefits'!$A$4:$A$857,0)))*F1503</f>
        <v>3280.6331275466368</v>
      </c>
      <c r="BE1503" s="74">
        <f t="shared" si="142"/>
        <v>0</v>
      </c>
      <c r="BG1503" s="919"/>
      <c r="BH1503" s="1092"/>
      <c r="BI1503" s="919"/>
    </row>
    <row r="1504" spans="1:61" s="65" customFormat="1" x14ac:dyDescent="0.25">
      <c r="A1504" s="785"/>
      <c r="B1504" s="177"/>
      <c r="C1504" s="1572" t="s">
        <v>1505</v>
      </c>
      <c r="D1504" s="2045" t="s">
        <v>792</v>
      </c>
      <c r="E1504" s="884" t="str">
        <f>CONCATENATE(E1502,"_CompE")</f>
        <v>ASHP-  SEER 21+ replace at Fail Elec Resist Furnace MF_CompE</v>
      </c>
      <c r="F1504" s="999">
        <f>ROUND(((K2234*K2362*(1/K2490-1/K2618)*K2746)/1000),2)</f>
        <v>462.26</v>
      </c>
      <c r="G1504" s="318" t="s">
        <v>1367</v>
      </c>
      <c r="H1504" s="239">
        <f>VLOOKUP(G1504,'CP FACTORS'!$A$3:$B$38, 2, FALSE)</f>
        <v>9.4741810000000004E-4</v>
      </c>
      <c r="I1504" s="2046">
        <f t="shared" si="150"/>
        <v>0.43795299999999998</v>
      </c>
      <c r="J1504" s="156">
        <f t="shared" ref="J1504:J1505" si="157">J1502</f>
        <v>18</v>
      </c>
      <c r="K1504" s="1085">
        <f>K3064</f>
        <v>1689.9245999999991</v>
      </c>
      <c r="L1504" s="1086">
        <f>L1502</f>
        <v>3.2</v>
      </c>
      <c r="M1504" s="2089"/>
      <c r="N1504" s="2086"/>
      <c r="O1504" s="1453"/>
      <c r="P1504" s="177"/>
      <c r="Q1504" s="177"/>
      <c r="R1504" s="1894"/>
      <c r="S1504" s="177"/>
      <c r="T1504" s="177"/>
      <c r="U1504" s="2090"/>
      <c r="V1504" s="245" t="s">
        <v>20</v>
      </c>
      <c r="W1504" s="1087"/>
      <c r="X1504" s="1088"/>
      <c r="Y1504" s="1005">
        <v>462.26</v>
      </c>
      <c r="Z1504" s="1089"/>
      <c r="AA1504" s="1089"/>
      <c r="AB1504" s="1090"/>
      <c r="AC1504" s="1087"/>
      <c r="AD1504" s="1087"/>
      <c r="AE1504" s="1087"/>
      <c r="AF1504" s="1087"/>
      <c r="AG1504" s="1087"/>
      <c r="AH1504" s="248"/>
      <c r="AK1504" s="1091"/>
      <c r="BB1504" s="350">
        <f>(BD1504+BD1505)/(BE1504+BE1505)</f>
        <v>1.2123574985084911</v>
      </c>
      <c r="BC1504" s="956" t="str">
        <f t="shared" si="151"/>
        <v>Cooling Res 18 Year EUL</v>
      </c>
      <c r="BD1504" s="894">
        <f>(INDEX('Avoided Cost Benefits'!$C$4:$C$857,MATCH(BC1504,'Avoided Cost Benefits'!$A$4:$A$857,0)))*F1504</f>
        <v>815.33773643782956</v>
      </c>
      <c r="BE1504" s="74">
        <f t="shared" si="142"/>
        <v>1595.0208588957046</v>
      </c>
      <c r="BG1504" s="919"/>
      <c r="BH1504" s="1092"/>
      <c r="BI1504" s="919"/>
    </row>
    <row r="1505" spans="1:61" s="65" customFormat="1" x14ac:dyDescent="0.25">
      <c r="A1505" s="785"/>
      <c r="B1505" s="177"/>
      <c r="C1505" s="1572" t="s">
        <v>1505</v>
      </c>
      <c r="D1505" s="2045" t="s">
        <v>792</v>
      </c>
      <c r="E1505" s="892" t="str">
        <f>CONCATENATE(E1503,"_CompE")</f>
        <v>ASHP-  SEER 21+ replace at Fail Elec Resist Furnace MF_CompE</v>
      </c>
      <c r="F1505" s="999">
        <f>ROUND(((K1722*K1850*(1/K1978-1/K2106)*K2746)/1000),2)</f>
        <v>2420.69</v>
      </c>
      <c r="G1505" s="318" t="s">
        <v>1369</v>
      </c>
      <c r="H1505" s="239">
        <f>VLOOKUP(G1505,'CP FACTORS'!$A$3:$B$38, 2, FALSE)</f>
        <v>0</v>
      </c>
      <c r="I1505" s="2046">
        <f t="shared" si="150"/>
        <v>0</v>
      </c>
      <c r="J1505" s="156">
        <f t="shared" si="157"/>
        <v>18</v>
      </c>
      <c r="K1505" s="1085">
        <f>K3065</f>
        <v>0</v>
      </c>
      <c r="L1505" s="1086"/>
      <c r="M1505" s="2089"/>
      <c r="N1505" s="2086"/>
      <c r="O1505" s="1453"/>
      <c r="P1505" s="177"/>
      <c r="Q1505" s="177"/>
      <c r="R1505" s="1894"/>
      <c r="S1505" s="177"/>
      <c r="T1505" s="177"/>
      <c r="U1505" s="2090"/>
      <c r="V1505" s="245" t="s">
        <v>20</v>
      </c>
      <c r="W1505" s="1087"/>
      <c r="X1505" s="1088"/>
      <c r="Y1505" s="1005">
        <v>2420.69</v>
      </c>
      <c r="Z1505" s="1089"/>
      <c r="AA1505" s="1089"/>
      <c r="AB1505" s="1090"/>
      <c r="AC1505" s="1087"/>
      <c r="AD1505" s="1087"/>
      <c r="AE1505" s="1087"/>
      <c r="AF1505" s="1087"/>
      <c r="AG1505" s="1087"/>
      <c r="AH1505" s="248"/>
      <c r="AK1505" s="1091"/>
      <c r="BB1505" s="348"/>
      <c r="BC1505" s="1093" t="str">
        <f t="shared" si="151"/>
        <v>Heating Res 18 Year EUL</v>
      </c>
      <c r="BD1505" s="894">
        <f>(INDEX('Avoided Cost Benefits'!$C$4:$C$857,MATCH(BC1505,'Avoided Cost Benefits'!$A$4:$A$857,0)))*F1505</f>
        <v>1118.3977621218316</v>
      </c>
      <c r="BE1505" s="74">
        <f t="shared" si="142"/>
        <v>0</v>
      </c>
      <c r="BG1505" s="919"/>
      <c r="BH1505" s="1092"/>
      <c r="BI1505" s="919"/>
    </row>
    <row r="1506" spans="1:61" s="65" customFormat="1" x14ac:dyDescent="0.25">
      <c r="A1506" s="785"/>
      <c r="B1506" s="177"/>
      <c r="C1506" s="1572" t="s">
        <v>1506</v>
      </c>
      <c r="D1506" s="2045" t="s">
        <v>795</v>
      </c>
      <c r="E1506" s="956" t="s">
        <v>1507</v>
      </c>
      <c r="F1506" s="999">
        <f>ROUND(((K2235*K2363*(1/K2491-1/K2619)*K2747)/1000),2)</f>
        <v>2106.88</v>
      </c>
      <c r="G1506" s="318" t="s">
        <v>1367</v>
      </c>
      <c r="H1506" s="239">
        <f>VLOOKUP(G1506,'CP FACTORS'!$A$3:$B$38, 2, FALSE)</f>
        <v>9.4741810000000004E-4</v>
      </c>
      <c r="I1506" s="2046">
        <f t="shared" si="150"/>
        <v>1.9960960000000001</v>
      </c>
      <c r="J1506" s="156">
        <f t="shared" ref="J1506:J1531" si="158">K2896</f>
        <v>6</v>
      </c>
      <c r="K1506" s="1085">
        <f t="shared" ref="K1506:K1531" si="159">K3066</f>
        <v>1512.4949598081143</v>
      </c>
      <c r="L1506" s="1086">
        <f>L1723</f>
        <v>3.3</v>
      </c>
      <c r="M1506" s="2089"/>
      <c r="N1506" s="2086"/>
      <c r="O1506" s="1453"/>
      <c r="P1506" s="177"/>
      <c r="Q1506" s="177"/>
      <c r="R1506" s="1894"/>
      <c r="S1506" s="177"/>
      <c r="T1506" s="177"/>
      <c r="U1506" s="2090"/>
      <c r="V1506" s="245" t="s">
        <v>20</v>
      </c>
      <c r="W1506" s="1087">
        <v>2755.2411764705885</v>
      </c>
      <c r="X1506" s="1088">
        <v>2106.8816326530614</v>
      </c>
      <c r="Y1506" s="999">
        <v>2106.88</v>
      </c>
      <c r="Z1506" s="1089"/>
      <c r="AA1506" s="1089"/>
      <c r="AB1506" s="1090"/>
      <c r="AC1506" s="1087"/>
      <c r="AD1506" s="1087"/>
      <c r="AE1506" s="1087"/>
      <c r="AF1506" s="1087"/>
      <c r="AG1506" s="1087"/>
      <c r="AH1506" s="248"/>
      <c r="AK1506" s="1091"/>
      <c r="BB1506" s="350">
        <f>(BD1506+BD1507+BD1508+BD1509)/(BE1506+BE1507+BE1508+BE1509)</f>
        <v>1.7446555997670108</v>
      </c>
      <c r="BC1506" s="956" t="str">
        <f t="shared" si="151"/>
        <v>Cooling Res 6 Year EUL</v>
      </c>
      <c r="BD1506" s="894">
        <f>(INDEX('Avoided Cost Benefits'!$C$4:$C$857,MATCH(BC1506,'Avoided Cost Benefits'!$A$4:$A$857,0)))*F1506</f>
        <v>1225.1173532045084</v>
      </c>
      <c r="BE1506" s="74">
        <f t="shared" si="142"/>
        <v>1427.5554127495179</v>
      </c>
      <c r="BG1506" s="919"/>
      <c r="BH1506" s="1092"/>
      <c r="BI1506" s="919"/>
    </row>
    <row r="1507" spans="1:61" s="65" customFormat="1" x14ac:dyDescent="0.25">
      <c r="A1507" s="785"/>
      <c r="B1507" s="177"/>
      <c r="C1507" s="1572" t="s">
        <v>1506</v>
      </c>
      <c r="D1507" s="2045" t="s">
        <v>795</v>
      </c>
      <c r="E1507" s="994" t="s">
        <v>1507</v>
      </c>
      <c r="F1507" s="999">
        <f>ROUND(((K1723*K1851*(1/K1979-1/K2107)*K2747)/1000),2)</f>
        <v>2767.32</v>
      </c>
      <c r="G1507" s="318" t="s">
        <v>1369</v>
      </c>
      <c r="H1507" s="239">
        <f>VLOOKUP(G1507,'CP FACTORS'!$A$3:$B$38, 2, FALSE)</f>
        <v>0</v>
      </c>
      <c r="I1507" s="2046">
        <f t="shared" si="150"/>
        <v>0</v>
      </c>
      <c r="J1507" s="156">
        <f t="shared" si="158"/>
        <v>6</v>
      </c>
      <c r="K1507" s="1085">
        <f t="shared" si="159"/>
        <v>0</v>
      </c>
      <c r="L1507" s="1086"/>
      <c r="M1507" s="2089"/>
      <c r="N1507" s="2086"/>
      <c r="O1507" s="1453"/>
      <c r="P1507" s="177"/>
      <c r="Q1507" s="177"/>
      <c r="R1507" s="1894"/>
      <c r="S1507" s="177"/>
      <c r="T1507" s="177"/>
      <c r="U1507" s="2090"/>
      <c r="V1507" s="245" t="s">
        <v>20</v>
      </c>
      <c r="W1507" s="1087">
        <v>6249.9803405572748</v>
      </c>
      <c r="X1507" s="1088">
        <v>2767.3247800351946</v>
      </c>
      <c r="Y1507" s="999">
        <v>2767.32</v>
      </c>
      <c r="Z1507" s="1089"/>
      <c r="AA1507" s="1089"/>
      <c r="AB1507" s="1090"/>
      <c r="AC1507" s="1087"/>
      <c r="AD1507" s="1087"/>
      <c r="AE1507" s="1087"/>
      <c r="AF1507" s="1087"/>
      <c r="AG1507" s="1087"/>
      <c r="AH1507" s="248"/>
      <c r="AK1507" s="1091"/>
      <c r="BB1507" s="995"/>
      <c r="BC1507" s="994" t="str">
        <f t="shared" si="151"/>
        <v>Heating Res 6 Year EUL</v>
      </c>
      <c r="BD1507" s="894">
        <f>(INDEX('Avoided Cost Benefits'!$C$4:$C$857,MATCH(BC1507,'Avoided Cost Benefits'!$A$4:$A$857,0)))*F1507</f>
        <v>460.29803289404794</v>
      </c>
      <c r="BE1507" s="74">
        <f t="shared" si="142"/>
        <v>0</v>
      </c>
      <c r="BG1507" s="919"/>
      <c r="BH1507" s="1092"/>
      <c r="BI1507" s="919"/>
    </row>
    <row r="1508" spans="1:61" s="65" customFormat="1" x14ac:dyDescent="0.25">
      <c r="A1508" s="785"/>
      <c r="B1508" s="177"/>
      <c r="C1508" s="1572" t="s">
        <v>1506</v>
      </c>
      <c r="D1508" s="2045" t="s">
        <v>795</v>
      </c>
      <c r="E1508" s="994" t="s">
        <v>1508</v>
      </c>
      <c r="F1508" s="999">
        <f>ROUND(((K2236*K2364*(1/K2492-1/K2620)*K2748)/1000),2)</f>
        <v>433.77</v>
      </c>
      <c r="G1508" s="2078" t="s">
        <v>1408</v>
      </c>
      <c r="H1508" s="239">
        <f>VLOOKUP(G1508,'CP FACTORS'!$A$3:$B$38, 2, FALSE)</f>
        <v>9.4741810000000004E-4</v>
      </c>
      <c r="I1508" s="2046">
        <f t="shared" si="150"/>
        <v>0.41096199999999999</v>
      </c>
      <c r="J1508" s="156">
        <f t="shared" si="158"/>
        <v>12</v>
      </c>
      <c r="K1508" s="1085">
        <f t="shared" si="159"/>
        <v>0</v>
      </c>
      <c r="L1508" s="1086"/>
      <c r="M1508" s="2089"/>
      <c r="N1508" s="2086"/>
      <c r="O1508" s="1453"/>
      <c r="P1508" s="177"/>
      <c r="Q1508" s="177"/>
      <c r="R1508" s="1894"/>
      <c r="S1508" s="177"/>
      <c r="T1508" s="177"/>
      <c r="U1508" s="2090"/>
      <c r="V1508" s="245" t="s">
        <v>20</v>
      </c>
      <c r="W1508" s="1087">
        <v>433.76974789915954</v>
      </c>
      <c r="X1508" s="1096">
        <v>433.76974789915954</v>
      </c>
      <c r="Y1508" s="999">
        <v>433.77</v>
      </c>
      <c r="Z1508" s="1089"/>
      <c r="AA1508" s="1089"/>
      <c r="AB1508" s="1090"/>
      <c r="AC1508" s="1087"/>
      <c r="AD1508" s="1087"/>
      <c r="AE1508" s="1087"/>
      <c r="AF1508" s="1087"/>
      <c r="AG1508" s="1087"/>
      <c r="AH1508" s="248"/>
      <c r="AK1508" s="1091"/>
      <c r="BB1508" s="995"/>
      <c r="BC1508" s="994" t="str">
        <f t="shared" si="151"/>
        <v>Cooling Res ER2 12 Year EUL</v>
      </c>
      <c r="BD1508" s="894">
        <f>(INDEX('Avoided Cost Benefits'!$C$4:$C$857,MATCH(BC1508,'Avoided Cost Benefits'!$A$4:$A$857,0)))*F1508</f>
        <v>512.85647038425498</v>
      </c>
      <c r="BE1508" s="74">
        <f t="shared" si="142"/>
        <v>0</v>
      </c>
      <c r="BG1508" s="919"/>
      <c r="BH1508" s="1092"/>
      <c r="BI1508" s="919"/>
    </row>
    <row r="1509" spans="1:61" s="65" customFormat="1" x14ac:dyDescent="0.25">
      <c r="A1509" s="785"/>
      <c r="B1509" s="177"/>
      <c r="C1509" s="1572" t="s">
        <v>1506</v>
      </c>
      <c r="D1509" s="2045" t="s">
        <v>795</v>
      </c>
      <c r="E1509" s="892" t="s">
        <v>1508</v>
      </c>
      <c r="F1509" s="999">
        <f>ROUND(((K1724*K1852*(1/K1980-1/K2108)*K2748)/1000),2)</f>
        <v>988.63</v>
      </c>
      <c r="G1509" s="2078" t="s">
        <v>1427</v>
      </c>
      <c r="H1509" s="239">
        <f>VLOOKUP(G1509,'CP FACTORS'!$A$3:$B$38, 2, FALSE)</f>
        <v>0</v>
      </c>
      <c r="I1509" s="2046">
        <f t="shared" si="150"/>
        <v>0</v>
      </c>
      <c r="J1509" s="156">
        <f t="shared" si="158"/>
        <v>12</v>
      </c>
      <c r="K1509" s="1085">
        <f t="shared" si="159"/>
        <v>0</v>
      </c>
      <c r="L1509" s="1086"/>
      <c r="M1509" s="2089"/>
      <c r="N1509" s="2086"/>
      <c r="O1509" s="1453"/>
      <c r="P1509" s="177"/>
      <c r="Q1509" s="177"/>
      <c r="R1509" s="1894"/>
      <c r="S1509" s="177"/>
      <c r="T1509" s="177"/>
      <c r="U1509" s="2090"/>
      <c r="V1509" s="245" t="s">
        <v>20</v>
      </c>
      <c r="W1509" s="1087">
        <v>1327.6421052631592</v>
      </c>
      <c r="X1509" s="1088">
        <v>988.62747111681745</v>
      </c>
      <c r="Y1509" s="999">
        <v>988.63</v>
      </c>
      <c r="Z1509" s="1089"/>
      <c r="AA1509" s="1089"/>
      <c r="AB1509" s="1090"/>
      <c r="AC1509" s="1087"/>
      <c r="AD1509" s="1087"/>
      <c r="AE1509" s="1087"/>
      <c r="AF1509" s="1087"/>
      <c r="AG1509" s="1087"/>
      <c r="AH1509" s="248"/>
      <c r="AK1509" s="1091"/>
      <c r="BB1509" s="995"/>
      <c r="BC1509" s="892" t="str">
        <f t="shared" si="151"/>
        <v>Heating Res ER2 12 Year EUL</v>
      </c>
      <c r="BD1509" s="894">
        <f>(INDEX('Avoided Cost Benefits'!$C$4:$C$857,MATCH(BC1509,'Avoided Cost Benefits'!$A$4:$A$857,0)))*F1509</f>
        <v>292.32068834834126</v>
      </c>
      <c r="BE1509" s="74">
        <f t="shared" si="142"/>
        <v>0</v>
      </c>
      <c r="BG1509" s="919"/>
      <c r="BH1509" s="1092"/>
      <c r="BI1509" s="919"/>
    </row>
    <row r="1510" spans="1:61" s="65" customFormat="1" x14ac:dyDescent="0.25">
      <c r="A1510" s="785"/>
      <c r="B1510" s="177"/>
      <c r="C1510" s="1572" t="s">
        <v>1509</v>
      </c>
      <c r="D1510" s="2045" t="s">
        <v>795</v>
      </c>
      <c r="E1510" s="956" t="s">
        <v>1510</v>
      </c>
      <c r="F1510" s="999">
        <f>ROUND(((K2237*K2365*(1/K2493-1/K2621)*K2749)/1000),2)</f>
        <v>433.77</v>
      </c>
      <c r="G1510" s="318" t="s">
        <v>1367</v>
      </c>
      <c r="H1510" s="239">
        <f>VLOOKUP(G1510,'CP FACTORS'!$A$3:$B$38, 2, FALSE)</f>
        <v>9.4741810000000004E-4</v>
      </c>
      <c r="I1510" s="2046">
        <f t="shared" si="150"/>
        <v>0.41096199999999999</v>
      </c>
      <c r="J1510" s="156">
        <f t="shared" si="158"/>
        <v>18</v>
      </c>
      <c r="K1510" s="1085">
        <f t="shared" si="159"/>
        <v>724</v>
      </c>
      <c r="L1510" s="1086">
        <f>L1725</f>
        <v>3.3</v>
      </c>
      <c r="M1510" s="2089"/>
      <c r="N1510" s="2086"/>
      <c r="O1510" s="1453"/>
      <c r="P1510" s="177"/>
      <c r="Q1510" s="177"/>
      <c r="R1510" s="1894"/>
      <c r="S1510" s="177"/>
      <c r="T1510" s="177"/>
      <c r="U1510" s="2090"/>
      <c r="V1510" s="245" t="s">
        <v>20</v>
      </c>
      <c r="W1510" s="1087">
        <v>433.76974789915954</v>
      </c>
      <c r="X1510" s="1096">
        <v>433.76974789915954</v>
      </c>
      <c r="Y1510" s="999">
        <v>433.77</v>
      </c>
      <c r="Z1510" s="1089"/>
      <c r="AA1510" s="1089"/>
      <c r="AB1510" s="1090"/>
      <c r="AC1510" s="1087"/>
      <c r="AD1510" s="1087"/>
      <c r="AE1510" s="1087"/>
      <c r="AF1510" s="1087"/>
      <c r="AG1510" s="1087"/>
      <c r="AH1510" s="248"/>
      <c r="AK1510" s="1091"/>
      <c r="BB1510" s="350">
        <f>(BD1510+BD1511)/(BE1510+BE1511)</f>
        <v>1.9171156267724738</v>
      </c>
      <c r="BC1510" s="956" t="str">
        <f t="shared" si="151"/>
        <v>Cooling Res 18 Year EUL</v>
      </c>
      <c r="BD1510" s="894">
        <f>(INDEX('Avoided Cost Benefits'!$C$4:$C$857,MATCH(BC1510,'Avoided Cost Benefits'!$A$4:$A$857,0)))*F1510</f>
        <v>765.08685574057313</v>
      </c>
      <c r="BE1510" s="74">
        <f t="shared" si="142"/>
        <v>683.34119867862194</v>
      </c>
      <c r="BG1510" s="919"/>
      <c r="BH1510" s="1092"/>
      <c r="BI1510" s="919"/>
    </row>
    <row r="1511" spans="1:61" s="65" customFormat="1" x14ac:dyDescent="0.25">
      <c r="A1511" s="785"/>
      <c r="B1511" s="177"/>
      <c r="C1511" s="1572" t="s">
        <v>1509</v>
      </c>
      <c r="D1511" s="2045" t="s">
        <v>795</v>
      </c>
      <c r="E1511" s="1093" t="s">
        <v>1510</v>
      </c>
      <c r="F1511" s="999">
        <f>ROUND(((K1725*K1853*(1/K1981-1/K2109)*K2749)/1000),2)</f>
        <v>1179.52</v>
      </c>
      <c r="G1511" s="318" t="s">
        <v>1369</v>
      </c>
      <c r="H1511" s="239">
        <f>VLOOKUP(G1511,'CP FACTORS'!$A$3:$B$38, 2, FALSE)</f>
        <v>0</v>
      </c>
      <c r="I1511" s="2046">
        <f t="shared" si="150"/>
        <v>0</v>
      </c>
      <c r="J1511" s="156">
        <f t="shared" si="158"/>
        <v>18</v>
      </c>
      <c r="K1511" s="1085">
        <f t="shared" si="159"/>
        <v>0</v>
      </c>
      <c r="L1511" s="1086"/>
      <c r="M1511" s="2089"/>
      <c r="N1511" s="2086"/>
      <c r="O1511" s="1453"/>
      <c r="P1511" s="177"/>
      <c r="Q1511" s="177"/>
      <c r="R1511" s="1894"/>
      <c r="S1511" s="177"/>
      <c r="T1511" s="177"/>
      <c r="U1511" s="2090"/>
      <c r="V1511" s="245" t="s">
        <v>20</v>
      </c>
      <c r="W1511" s="1087">
        <v>1584.0000000000018</v>
      </c>
      <c r="X1511" s="1088">
        <v>1179.5241413638641</v>
      </c>
      <c r="Y1511" s="999">
        <v>1179.52</v>
      </c>
      <c r="Z1511" s="1089"/>
      <c r="AA1511" s="1089"/>
      <c r="AB1511" s="1090"/>
      <c r="AC1511" s="1087"/>
      <c r="AD1511" s="1087"/>
      <c r="AE1511" s="1087"/>
      <c r="AF1511" s="1087"/>
      <c r="AG1511" s="1087"/>
      <c r="AH1511" s="248"/>
      <c r="AK1511" s="1091"/>
      <c r="BB1511" s="348"/>
      <c r="BC1511" s="1093" t="str">
        <f t="shared" si="151"/>
        <v>Heating Res 18 Year EUL</v>
      </c>
      <c r="BD1511" s="894">
        <f>(INDEX('Avoided Cost Benefits'!$C$4:$C$857,MATCH(BC1511,'Avoided Cost Benefits'!$A$4:$A$857,0)))*F1511</f>
        <v>544.95723466364666</v>
      </c>
      <c r="BE1511" s="74">
        <f t="shared" si="142"/>
        <v>0</v>
      </c>
      <c r="BG1511" s="919"/>
      <c r="BH1511" s="1092"/>
      <c r="BI1511" s="919"/>
    </row>
    <row r="1512" spans="1:61" s="65" customFormat="1" x14ac:dyDescent="0.25">
      <c r="A1512" s="785"/>
      <c r="B1512" s="177"/>
      <c r="C1512" s="1572" t="s">
        <v>1511</v>
      </c>
      <c r="D1512" s="2045" t="s">
        <v>795</v>
      </c>
      <c r="E1512" s="884" t="s">
        <v>1512</v>
      </c>
      <c r="F1512" s="999">
        <f>ROUND(((K2238*K2366*(1/K2494-1/K2622)*K2750)/1000),2)</f>
        <v>2219.34</v>
      </c>
      <c r="G1512" s="318" t="s">
        <v>1367</v>
      </c>
      <c r="H1512" s="239">
        <f>VLOOKUP(G1512,'CP FACTORS'!$A$3:$B$38, 2, FALSE)</f>
        <v>9.4741810000000004E-4</v>
      </c>
      <c r="I1512" s="2046">
        <f t="shared" si="150"/>
        <v>2.102643</v>
      </c>
      <c r="J1512" s="156">
        <f t="shared" si="158"/>
        <v>6</v>
      </c>
      <c r="K1512" s="1085">
        <f t="shared" si="159"/>
        <v>1751.4149598081144</v>
      </c>
      <c r="L1512" s="1086">
        <f>L1726</f>
        <v>3.3</v>
      </c>
      <c r="M1512" s="2089"/>
      <c r="N1512" s="2086"/>
      <c r="O1512" s="1453"/>
      <c r="P1512" s="177"/>
      <c r="Q1512" s="177"/>
      <c r="R1512" s="1894"/>
      <c r="S1512" s="177"/>
      <c r="T1512" s="177"/>
      <c r="U1512" s="2090"/>
      <c r="V1512" s="245" t="s">
        <v>20</v>
      </c>
      <c r="W1512" s="1087">
        <v>2867.7000000000003</v>
      </c>
      <c r="X1512" s="1088">
        <v>2219.3404561824727</v>
      </c>
      <c r="Y1512" s="999">
        <v>2219.34</v>
      </c>
      <c r="Z1512" s="1089"/>
      <c r="AA1512" s="1089"/>
      <c r="AB1512" s="1090"/>
      <c r="AC1512" s="1087"/>
      <c r="AD1512" s="1087"/>
      <c r="AE1512" s="1087"/>
      <c r="AF1512" s="1087"/>
      <c r="AG1512" s="1087"/>
      <c r="AH1512" s="248"/>
      <c r="AK1512" s="1091"/>
      <c r="BB1512" s="350">
        <f>(BD1512+BD1513+BD1514+BD1515)/(BE1512+BE1513+BE1514+BE1515)</f>
        <v>1.6266521456492413</v>
      </c>
      <c r="BC1512" s="884" t="str">
        <f t="shared" si="151"/>
        <v>Cooling Res 6 Year EUL</v>
      </c>
      <c r="BD1512" s="894">
        <f>(INDEX('Avoided Cost Benefits'!$C$4:$C$857,MATCH(BC1512,'Avoided Cost Benefits'!$A$4:$A$857,0)))*F1512</f>
        <v>1290.5110621681793</v>
      </c>
      <c r="BE1512" s="74">
        <f t="shared" si="142"/>
        <v>1653.0580083134632</v>
      </c>
      <c r="BG1512" s="919"/>
      <c r="BH1512" s="1092"/>
      <c r="BI1512" s="919"/>
    </row>
    <row r="1513" spans="1:61" s="65" customFormat="1" x14ac:dyDescent="0.25">
      <c r="A1513" s="785"/>
      <c r="B1513" s="177"/>
      <c r="C1513" s="1572" t="s">
        <v>1511</v>
      </c>
      <c r="D1513" s="2045" t="s">
        <v>795</v>
      </c>
      <c r="E1513" s="994" t="s">
        <v>1512</v>
      </c>
      <c r="F1513" s="999">
        <f>ROUND(((K1726*K1854*(1/K1982-1/K2110)*K2750)/1000),2)</f>
        <v>2767.32</v>
      </c>
      <c r="G1513" s="318" t="s">
        <v>1369</v>
      </c>
      <c r="H1513" s="239">
        <f>VLOOKUP(G1513,'CP FACTORS'!$A$3:$B$38, 2, FALSE)</f>
        <v>0</v>
      </c>
      <c r="I1513" s="2046">
        <f t="shared" si="150"/>
        <v>0</v>
      </c>
      <c r="J1513" s="156">
        <f t="shared" si="158"/>
        <v>6</v>
      </c>
      <c r="K1513" s="1085">
        <f t="shared" si="159"/>
        <v>0</v>
      </c>
      <c r="L1513" s="1086"/>
      <c r="M1513" s="2089"/>
      <c r="N1513" s="2086"/>
      <c r="O1513" s="1453"/>
      <c r="P1513" s="177"/>
      <c r="Q1513" s="177"/>
      <c r="R1513" s="1894"/>
      <c r="S1513" s="177"/>
      <c r="T1513" s="177"/>
      <c r="U1513" s="2090"/>
      <c r="V1513" s="245" t="s">
        <v>20</v>
      </c>
      <c r="W1513" s="1087">
        <v>6249.9803405572748</v>
      </c>
      <c r="X1513" s="1088">
        <v>2767.3247800351946</v>
      </c>
      <c r="Y1513" s="999">
        <v>2767.32</v>
      </c>
      <c r="Z1513" s="1089"/>
      <c r="AA1513" s="1089"/>
      <c r="AB1513" s="1090"/>
      <c r="AC1513" s="1087"/>
      <c r="AD1513" s="1087"/>
      <c r="AE1513" s="1087"/>
      <c r="AF1513" s="1087"/>
      <c r="AG1513" s="1087"/>
      <c r="AH1513" s="248"/>
      <c r="AK1513" s="1091"/>
      <c r="BB1513" s="995"/>
      <c r="BC1513" s="994" t="str">
        <f t="shared" si="151"/>
        <v>Heating Res 6 Year EUL</v>
      </c>
      <c r="BD1513" s="894">
        <f>(INDEX('Avoided Cost Benefits'!$C$4:$C$857,MATCH(BC1513,'Avoided Cost Benefits'!$A$4:$A$857,0)))*F1513</f>
        <v>460.29803289404794</v>
      </c>
      <c r="BE1513" s="74">
        <f t="shared" si="142"/>
        <v>0</v>
      </c>
      <c r="BG1513" s="919"/>
      <c r="BH1513" s="1092"/>
      <c r="BI1513" s="919"/>
    </row>
    <row r="1514" spans="1:61" s="65" customFormat="1" x14ac:dyDescent="0.25">
      <c r="A1514" s="785"/>
      <c r="B1514" s="177"/>
      <c r="C1514" s="1572" t="s">
        <v>1511</v>
      </c>
      <c r="D1514" s="2045" t="s">
        <v>795</v>
      </c>
      <c r="E1514" s="994" t="s">
        <v>1513</v>
      </c>
      <c r="F1514" s="999">
        <f>ROUND(((K2239*K2367*(1/K2495-1/K2623)*K2751)/1000),2)</f>
        <v>546.23</v>
      </c>
      <c r="G1514" s="2078" t="s">
        <v>1408</v>
      </c>
      <c r="H1514" s="239">
        <f>VLOOKUP(G1514,'CP FACTORS'!$A$3:$B$38, 2, FALSE)</f>
        <v>9.4741810000000004E-4</v>
      </c>
      <c r="I1514" s="2046">
        <f t="shared" si="150"/>
        <v>0.51750799999999997</v>
      </c>
      <c r="J1514" s="156">
        <f t="shared" si="158"/>
        <v>12</v>
      </c>
      <c r="K1514" s="1085">
        <f t="shared" si="159"/>
        <v>0</v>
      </c>
      <c r="L1514" s="1086"/>
      <c r="M1514" s="2089"/>
      <c r="N1514" s="2086"/>
      <c r="O1514" s="1453"/>
      <c r="P1514" s="177"/>
      <c r="Q1514" s="177"/>
      <c r="R1514" s="1894"/>
      <c r="S1514" s="177"/>
      <c r="T1514" s="177"/>
      <c r="U1514" s="2090"/>
      <c r="V1514" s="245" t="s">
        <v>20</v>
      </c>
      <c r="W1514" s="1087">
        <v>546.2285714285714</v>
      </c>
      <c r="X1514" s="1096">
        <v>546.2285714285714</v>
      </c>
      <c r="Y1514" s="999">
        <v>546.23</v>
      </c>
      <c r="Z1514" s="1089"/>
      <c r="AA1514" s="1089"/>
      <c r="AB1514" s="1090"/>
      <c r="AC1514" s="1087"/>
      <c r="AD1514" s="1087"/>
      <c r="AE1514" s="1087"/>
      <c r="AF1514" s="1087"/>
      <c r="AG1514" s="1087"/>
      <c r="AH1514" s="248"/>
      <c r="AK1514" s="1091"/>
      <c r="BB1514" s="995"/>
      <c r="BC1514" s="994" t="str">
        <f t="shared" si="151"/>
        <v>Cooling Res ER2 12 Year EUL</v>
      </c>
      <c r="BD1514" s="894">
        <f>(INDEX('Avoided Cost Benefits'!$C$4:$C$857,MATCH(BC1514,'Avoided Cost Benefits'!$A$4:$A$857,0)))*F1514</f>
        <v>645.82057269518793</v>
      </c>
      <c r="BE1514" s="74">
        <f t="shared" si="142"/>
        <v>0</v>
      </c>
      <c r="BG1514" s="919"/>
      <c r="BH1514" s="1092"/>
      <c r="BI1514" s="919"/>
    </row>
    <row r="1515" spans="1:61" s="65" customFormat="1" x14ac:dyDescent="0.25">
      <c r="A1515" s="785"/>
      <c r="B1515" s="177"/>
      <c r="C1515" s="1572" t="s">
        <v>1511</v>
      </c>
      <c r="D1515" s="2045" t="s">
        <v>795</v>
      </c>
      <c r="E1515" s="1703" t="s">
        <v>1513</v>
      </c>
      <c r="F1515" s="999">
        <f xml:space="preserve"> ROUND(((K1727*K1855*(1/K1983-1/K2111)*K2751)/1000),2)</f>
        <v>988.63</v>
      </c>
      <c r="G1515" s="2078" t="s">
        <v>1427</v>
      </c>
      <c r="H1515" s="239">
        <f>VLOOKUP(G1515,'CP FACTORS'!$A$3:$B$38, 2, FALSE)</f>
        <v>0</v>
      </c>
      <c r="I1515" s="2046">
        <f t="shared" si="150"/>
        <v>0</v>
      </c>
      <c r="J1515" s="156">
        <f t="shared" si="158"/>
        <v>12</v>
      </c>
      <c r="K1515" s="1085">
        <f t="shared" si="159"/>
        <v>0</v>
      </c>
      <c r="L1515" s="1086"/>
      <c r="M1515" s="2089"/>
      <c r="N1515" s="2086"/>
      <c r="O1515" s="1453"/>
      <c r="P1515" s="177"/>
      <c r="Q1515" s="177"/>
      <c r="R1515" s="1894"/>
      <c r="S1515" s="177"/>
      <c r="T1515" s="177"/>
      <c r="U1515" s="2090"/>
      <c r="V1515" s="245" t="s">
        <v>20</v>
      </c>
      <c r="W1515" s="1087">
        <v>1327.6421052631592</v>
      </c>
      <c r="X1515" s="1088">
        <v>988.62747111681745</v>
      </c>
      <c r="Y1515" s="999">
        <v>988.63</v>
      </c>
      <c r="Z1515" s="1089"/>
      <c r="AA1515" s="1089"/>
      <c r="AB1515" s="1090"/>
      <c r="AC1515" s="1087"/>
      <c r="AD1515" s="1087"/>
      <c r="AE1515" s="1087"/>
      <c r="AF1515" s="1087"/>
      <c r="AG1515" s="1087"/>
      <c r="AH1515" s="248"/>
      <c r="AK1515" s="1091"/>
      <c r="BB1515" s="995"/>
      <c r="BC1515" s="892" t="str">
        <f t="shared" si="151"/>
        <v>Heating Res ER2 12 Year EUL</v>
      </c>
      <c r="BD1515" s="894">
        <f>(INDEX('Avoided Cost Benefits'!$C$4:$C$857,MATCH(BC1515,'Avoided Cost Benefits'!$A$4:$A$857,0)))*F1515</f>
        <v>292.32068834834126</v>
      </c>
      <c r="BE1515" s="74">
        <f t="shared" si="142"/>
        <v>0</v>
      </c>
      <c r="BG1515" s="919"/>
      <c r="BH1515" s="1092"/>
      <c r="BI1515" s="919"/>
    </row>
    <row r="1516" spans="1:61" s="65" customFormat="1" x14ac:dyDescent="0.25">
      <c r="A1516" s="785"/>
      <c r="B1516" s="177"/>
      <c r="C1516" s="1572" t="s">
        <v>1514</v>
      </c>
      <c r="D1516" s="2076" t="s">
        <v>795</v>
      </c>
      <c r="E1516" s="956" t="s">
        <v>1515</v>
      </c>
      <c r="F1516" s="999">
        <f>ROUND(((K2240*K2368*(1/K2496-1/K2624)*K2752)/1000),2)</f>
        <v>546.23</v>
      </c>
      <c r="G1516" s="318" t="s">
        <v>1367</v>
      </c>
      <c r="H1516" s="239">
        <f>VLOOKUP(G1516,'CP FACTORS'!$A$3:$B$38, 2, FALSE)</f>
        <v>9.4741810000000004E-4</v>
      </c>
      <c r="I1516" s="2093">
        <f t="shared" si="150"/>
        <v>0.51750799999999997</v>
      </c>
      <c r="J1516" s="219">
        <f t="shared" si="158"/>
        <v>18</v>
      </c>
      <c r="K1516" s="713">
        <f t="shared" si="159"/>
        <v>962.92000000000007</v>
      </c>
      <c r="L1516" s="1098">
        <f>L1728</f>
        <v>3.3</v>
      </c>
      <c r="M1516" s="2089"/>
      <c r="N1516" s="2086"/>
      <c r="O1516" s="1453"/>
      <c r="P1516" s="177"/>
      <c r="Q1516" s="177"/>
      <c r="R1516" s="1894"/>
      <c r="S1516" s="177"/>
      <c r="T1516" s="177"/>
      <c r="U1516" s="2090"/>
      <c r="V1516" s="245" t="s">
        <v>20</v>
      </c>
      <c r="W1516" s="1087">
        <v>546.2285714285714</v>
      </c>
      <c r="X1516" s="1096">
        <v>546.2285714285714</v>
      </c>
      <c r="Y1516" s="999">
        <v>546.23</v>
      </c>
      <c r="Z1516" s="1089"/>
      <c r="AA1516" s="1089"/>
      <c r="AB1516" s="1090"/>
      <c r="AC1516" s="1087"/>
      <c r="AD1516" s="1087"/>
      <c r="AE1516" s="1087"/>
      <c r="AF1516" s="1087"/>
      <c r="AG1516" s="1087"/>
      <c r="AH1516" s="248"/>
      <c r="AK1516" s="1091"/>
      <c r="BB1516" s="350">
        <f>(BD1516+BD1517)/(BE1516+BE1517)</f>
        <v>1.6596932401743794</v>
      </c>
      <c r="BC1516" s="956" t="str">
        <f t="shared" si="151"/>
        <v>Cooling Res 18 Year EUL</v>
      </c>
      <c r="BD1516" s="894">
        <f>(INDEX('Avoided Cost Benefits'!$C$4:$C$857,MATCH(BC1516,'Avoided Cost Benefits'!$A$4:$A$857,0)))*F1516</f>
        <v>963.44466701517683</v>
      </c>
      <c r="BE1516" s="74">
        <f t="shared" ref="BE1516:BE1601" si="160">K1516/(1.0595^(2020-2019))</f>
        <v>908.84379424256724</v>
      </c>
      <c r="BG1516" s="919"/>
      <c r="BH1516" s="1092"/>
      <c r="BI1516" s="919"/>
    </row>
    <row r="1517" spans="1:61" s="65" customFormat="1" x14ac:dyDescent="0.25">
      <c r="A1517" s="785"/>
      <c r="B1517" s="177"/>
      <c r="C1517" s="1572" t="s">
        <v>1514</v>
      </c>
      <c r="D1517" s="2076" t="s">
        <v>795</v>
      </c>
      <c r="E1517" s="1093" t="s">
        <v>1515</v>
      </c>
      <c r="F1517" s="999">
        <f>ROUND(((K1728*K1856*(1/K1984-1/K2112)*K2752)/1000),2)</f>
        <v>1179.52</v>
      </c>
      <c r="G1517" s="318" t="s">
        <v>1369</v>
      </c>
      <c r="H1517" s="239">
        <f>VLOOKUP(G1517,'CP FACTORS'!$A$3:$B$38, 2, FALSE)</f>
        <v>0</v>
      </c>
      <c r="I1517" s="2093">
        <f t="shared" si="150"/>
        <v>0</v>
      </c>
      <c r="J1517" s="219">
        <f t="shared" si="158"/>
        <v>18</v>
      </c>
      <c r="K1517" s="713">
        <f t="shared" si="159"/>
        <v>0</v>
      </c>
      <c r="L1517" s="1098"/>
      <c r="M1517" s="2089"/>
      <c r="N1517" s="2086"/>
      <c r="O1517" s="1453"/>
      <c r="P1517" s="177"/>
      <c r="Q1517" s="177"/>
      <c r="R1517" s="1894"/>
      <c r="S1517" s="177"/>
      <c r="T1517" s="177"/>
      <c r="U1517" s="2090"/>
      <c r="V1517" s="245" t="s">
        <v>20</v>
      </c>
      <c r="W1517" s="1087">
        <v>1584.0000000000018</v>
      </c>
      <c r="X1517" s="1088">
        <v>1179.5241413638641</v>
      </c>
      <c r="Y1517" s="999">
        <v>1179.52</v>
      </c>
      <c r="Z1517" s="1089"/>
      <c r="AA1517" s="1089"/>
      <c r="AB1517" s="1090"/>
      <c r="AC1517" s="1087"/>
      <c r="AD1517" s="1087"/>
      <c r="AE1517" s="1087"/>
      <c r="AF1517" s="1087"/>
      <c r="AG1517" s="1087"/>
      <c r="AH1517" s="248"/>
      <c r="AK1517" s="1091"/>
      <c r="BB1517" s="348"/>
      <c r="BC1517" s="1093" t="str">
        <f t="shared" si="151"/>
        <v>Heating Res 18 Year EUL</v>
      </c>
      <c r="BD1517" s="894">
        <f>(INDEX('Avoided Cost Benefits'!$C$4:$C$857,MATCH(BC1517,'Avoided Cost Benefits'!$A$4:$A$857,0)))*F1517</f>
        <v>544.95723466364666</v>
      </c>
      <c r="BE1517" s="74">
        <f t="shared" si="160"/>
        <v>0</v>
      </c>
      <c r="BG1517" s="919"/>
      <c r="BH1517" s="1092"/>
      <c r="BI1517" s="919"/>
    </row>
    <row r="1518" spans="1:61" s="65" customFormat="1" x14ac:dyDescent="0.25">
      <c r="A1518" s="785"/>
      <c r="B1518" s="177"/>
      <c r="C1518" s="1572" t="s">
        <v>1516</v>
      </c>
      <c r="D1518" s="2045" t="s">
        <v>795</v>
      </c>
      <c r="E1518" s="2088" t="s">
        <v>1517</v>
      </c>
      <c r="F1518" s="999">
        <f>ROUND(((K2241*K2369*(1/K2497-1/K2625)*K2753)/1000),2)</f>
        <v>2319.96</v>
      </c>
      <c r="G1518" s="318" t="s">
        <v>1367</v>
      </c>
      <c r="H1518" s="239">
        <f>VLOOKUP(G1518,'CP FACTORS'!$A$3:$B$38, 2, FALSE)</f>
        <v>9.4741810000000004E-4</v>
      </c>
      <c r="I1518" s="2046">
        <f t="shared" si="150"/>
        <v>2.197972</v>
      </c>
      <c r="J1518" s="156">
        <f t="shared" si="158"/>
        <v>6</v>
      </c>
      <c r="K1518" s="1085">
        <f t="shared" si="159"/>
        <v>1992.1449598081149</v>
      </c>
      <c r="L1518" s="1086">
        <f>L1729</f>
        <v>3.3</v>
      </c>
      <c r="M1518" s="2089"/>
      <c r="N1518" s="2086"/>
      <c r="O1518" s="1453"/>
      <c r="P1518" s="177"/>
      <c r="Q1518" s="177"/>
      <c r="R1518" s="1894"/>
      <c r="S1518" s="177"/>
      <c r="T1518" s="177"/>
      <c r="U1518" s="2090"/>
      <c r="V1518" s="245" t="s">
        <v>20</v>
      </c>
      <c r="W1518" s="1087">
        <v>2968.3210526315793</v>
      </c>
      <c r="X1518" s="1088">
        <v>2319.9615088140517</v>
      </c>
      <c r="Y1518" s="999">
        <v>2319.96</v>
      </c>
      <c r="Z1518" s="1089"/>
      <c r="AA1518" s="1089"/>
      <c r="AB1518" s="1090"/>
      <c r="AC1518" s="1087"/>
      <c r="AD1518" s="1087"/>
      <c r="AE1518" s="1087"/>
      <c r="AF1518" s="1087"/>
      <c r="AG1518" s="1087"/>
      <c r="AH1518" s="248"/>
      <c r="AK1518" s="1091"/>
      <c r="BB1518" s="350">
        <f>(BD1518+BD1519+BD1520+BD1521)/(BE1518+BE1519+BE1520+BE1521)</f>
        <v>1.5244758862894483</v>
      </c>
      <c r="BC1518" s="884" t="str">
        <f t="shared" si="151"/>
        <v>Cooling Res 6 Year EUL</v>
      </c>
      <c r="BD1518" s="894">
        <f>(INDEX('Avoided Cost Benefits'!$C$4:$C$857,MATCH(BC1518,'Avoided Cost Benefits'!$A$4:$A$857,0)))*F1518</f>
        <v>1349.0199986426996</v>
      </c>
      <c r="BE1518" s="74">
        <f t="shared" si="160"/>
        <v>1880.2689568741055</v>
      </c>
      <c r="BG1518" s="919"/>
      <c r="BH1518" s="1092"/>
      <c r="BI1518" s="919"/>
    </row>
    <row r="1519" spans="1:61" s="65" customFormat="1" x14ac:dyDescent="0.25">
      <c r="A1519" s="785"/>
      <c r="B1519" s="177"/>
      <c r="C1519" s="1572" t="s">
        <v>1516</v>
      </c>
      <c r="D1519" s="2045" t="s">
        <v>795</v>
      </c>
      <c r="E1519" s="1702" t="s">
        <v>1517</v>
      </c>
      <c r="F1519" s="999">
        <f>ROUND(((K1729*K1857*(1/K1985-1/K2113)*K2753)/1000),2)</f>
        <v>2767.32</v>
      </c>
      <c r="G1519" s="318" t="s">
        <v>1369</v>
      </c>
      <c r="H1519" s="239">
        <f>VLOOKUP(G1519,'CP FACTORS'!$A$3:$B$38, 2, FALSE)</f>
        <v>0</v>
      </c>
      <c r="I1519" s="2046">
        <f t="shared" si="150"/>
        <v>0</v>
      </c>
      <c r="J1519" s="156">
        <f t="shared" si="158"/>
        <v>6</v>
      </c>
      <c r="K1519" s="1085">
        <f t="shared" si="159"/>
        <v>0</v>
      </c>
      <c r="L1519" s="1086"/>
      <c r="M1519" s="2089"/>
      <c r="N1519" s="2086"/>
      <c r="O1519" s="1453"/>
      <c r="P1519" s="177"/>
      <c r="Q1519" s="177"/>
      <c r="R1519" s="1894"/>
      <c r="S1519" s="177"/>
      <c r="T1519" s="177"/>
      <c r="U1519" s="2090"/>
      <c r="V1519" s="245" t="s">
        <v>20</v>
      </c>
      <c r="W1519" s="1087">
        <v>6249.9803405572748</v>
      </c>
      <c r="X1519" s="1088">
        <v>2767.3247800351946</v>
      </c>
      <c r="Y1519" s="999">
        <v>2767.32</v>
      </c>
      <c r="Z1519" s="1089"/>
      <c r="AA1519" s="1089"/>
      <c r="AB1519" s="1090"/>
      <c r="AC1519" s="1087"/>
      <c r="AD1519" s="1087"/>
      <c r="AE1519" s="1087"/>
      <c r="AF1519" s="1087"/>
      <c r="AG1519" s="1087"/>
      <c r="AH1519" s="248"/>
      <c r="AK1519" s="1091"/>
      <c r="BB1519" s="995"/>
      <c r="BC1519" s="994" t="str">
        <f t="shared" si="151"/>
        <v>Heating Res 6 Year EUL</v>
      </c>
      <c r="BD1519" s="894">
        <f>(INDEX('Avoided Cost Benefits'!$C$4:$C$857,MATCH(BC1519,'Avoided Cost Benefits'!$A$4:$A$857,0)))*F1519</f>
        <v>460.29803289404794</v>
      </c>
      <c r="BE1519" s="74">
        <f t="shared" si="160"/>
        <v>0</v>
      </c>
      <c r="BG1519" s="919"/>
      <c r="BH1519" s="1092"/>
      <c r="BI1519" s="919"/>
    </row>
    <row r="1520" spans="1:61" s="65" customFormat="1" x14ac:dyDescent="0.25">
      <c r="A1520" s="785"/>
      <c r="B1520" s="177"/>
      <c r="C1520" s="1572" t="s">
        <v>1516</v>
      </c>
      <c r="D1520" s="2045" t="s">
        <v>795</v>
      </c>
      <c r="E1520" s="1702" t="s">
        <v>1518</v>
      </c>
      <c r="F1520" s="999">
        <f>ROUND(((K2242*K2370*(1/K2498-1/K2626)*K2754)/1000),2)</f>
        <v>646.85</v>
      </c>
      <c r="G1520" s="2078" t="s">
        <v>1408</v>
      </c>
      <c r="H1520" s="239">
        <f>VLOOKUP(G1520,'CP FACTORS'!$A$3:$B$38, 2, FALSE)</f>
        <v>9.4741810000000004E-4</v>
      </c>
      <c r="I1520" s="2046">
        <f t="shared" si="150"/>
        <v>0.61283699999999997</v>
      </c>
      <c r="J1520" s="156">
        <f t="shared" si="158"/>
        <v>12</v>
      </c>
      <c r="K1520" s="1085">
        <f t="shared" si="159"/>
        <v>0</v>
      </c>
      <c r="L1520" s="1086"/>
      <c r="M1520" s="2089"/>
      <c r="N1520" s="2086"/>
      <c r="O1520" s="1453"/>
      <c r="P1520" s="177"/>
      <c r="Q1520" s="177"/>
      <c r="R1520" s="1894"/>
      <c r="S1520" s="177"/>
      <c r="T1520" s="177"/>
      <c r="U1520" s="2090"/>
      <c r="V1520" s="245" t="s">
        <v>20</v>
      </c>
      <c r="W1520" s="1087">
        <v>646.8496240601504</v>
      </c>
      <c r="X1520" s="1096">
        <v>646.8496240601504</v>
      </c>
      <c r="Y1520" s="999">
        <v>646.85</v>
      </c>
      <c r="Z1520" s="1089"/>
      <c r="AA1520" s="1089"/>
      <c r="AB1520" s="1090"/>
      <c r="AC1520" s="1087"/>
      <c r="AD1520" s="1087"/>
      <c r="AE1520" s="1087"/>
      <c r="AF1520" s="1087"/>
      <c r="AG1520" s="1087"/>
      <c r="AH1520" s="248"/>
      <c r="AK1520" s="1091"/>
      <c r="BB1520" s="995"/>
      <c r="BC1520" s="994" t="str">
        <f t="shared" si="151"/>
        <v>Cooling Res ER2 12 Year EUL</v>
      </c>
      <c r="BD1520" s="894">
        <f>(INDEX('Avoided Cost Benefits'!$C$4:$C$857,MATCH(BC1520,'Avoided Cost Benefits'!$A$4:$A$857,0)))*F1520</f>
        <v>764.78596460809968</v>
      </c>
      <c r="BE1520" s="74">
        <f t="shared" si="160"/>
        <v>0</v>
      </c>
      <c r="BG1520" s="919"/>
      <c r="BH1520" s="1092"/>
      <c r="BI1520" s="919"/>
    </row>
    <row r="1521" spans="1:61" s="65" customFormat="1" x14ac:dyDescent="0.25">
      <c r="A1521" s="785"/>
      <c r="B1521" s="177"/>
      <c r="C1521" s="1572" t="s">
        <v>1516</v>
      </c>
      <c r="D1521" s="2045" t="s">
        <v>795</v>
      </c>
      <c r="E1521" s="1703" t="s">
        <v>1518</v>
      </c>
      <c r="F1521" s="999">
        <f>ROUND(((K1730*K1858*(1/K1986-1/K2114)*K2754)/1000),2)</f>
        <v>988.63</v>
      </c>
      <c r="G1521" s="2078" t="s">
        <v>1427</v>
      </c>
      <c r="H1521" s="239">
        <f>VLOOKUP(G1521,'CP FACTORS'!$A$3:$B$38, 2, FALSE)</f>
        <v>0</v>
      </c>
      <c r="I1521" s="2046">
        <f t="shared" si="150"/>
        <v>0</v>
      </c>
      <c r="J1521" s="156">
        <f t="shared" si="158"/>
        <v>12</v>
      </c>
      <c r="K1521" s="1085">
        <f t="shared" si="159"/>
        <v>0</v>
      </c>
      <c r="L1521" s="1086"/>
      <c r="M1521" s="2089"/>
      <c r="N1521" s="2086"/>
      <c r="O1521" s="1453"/>
      <c r="P1521" s="177"/>
      <c r="Q1521" s="177"/>
      <c r="R1521" s="1894"/>
      <c r="S1521" s="177"/>
      <c r="T1521" s="177"/>
      <c r="U1521" s="2090"/>
      <c r="V1521" s="245" t="s">
        <v>20</v>
      </c>
      <c r="W1521" s="1087">
        <v>1327.6421052631592</v>
      </c>
      <c r="X1521" s="1088">
        <v>988.62747111681745</v>
      </c>
      <c r="Y1521" s="999">
        <v>988.63</v>
      </c>
      <c r="Z1521" s="1089"/>
      <c r="AA1521" s="1089"/>
      <c r="AB1521" s="1090"/>
      <c r="AC1521" s="1087"/>
      <c r="AD1521" s="1087"/>
      <c r="AE1521" s="1087"/>
      <c r="AF1521" s="1087"/>
      <c r="AG1521" s="1087"/>
      <c r="AH1521" s="248"/>
      <c r="AK1521" s="1091"/>
      <c r="BB1521" s="995"/>
      <c r="BC1521" s="892" t="str">
        <f t="shared" si="151"/>
        <v>Heating Res ER2 12 Year EUL</v>
      </c>
      <c r="BD1521" s="894">
        <f>(INDEX('Avoided Cost Benefits'!$C$4:$C$857,MATCH(BC1521,'Avoided Cost Benefits'!$A$4:$A$857,0)))*F1521</f>
        <v>292.32068834834126</v>
      </c>
      <c r="BE1521" s="74">
        <f t="shared" si="160"/>
        <v>0</v>
      </c>
      <c r="BG1521" s="919"/>
      <c r="BH1521" s="1092"/>
      <c r="BI1521" s="919"/>
    </row>
    <row r="1522" spans="1:61" s="65" customFormat="1" x14ac:dyDescent="0.25">
      <c r="A1522" s="785"/>
      <c r="B1522" s="177"/>
      <c r="C1522" s="1572" t="s">
        <v>1519</v>
      </c>
      <c r="D1522" s="2045" t="s">
        <v>795</v>
      </c>
      <c r="E1522" s="2091" t="s">
        <v>1520</v>
      </c>
      <c r="F1522" s="999">
        <f>ROUND(((K2243*K2371*(1/K2499-1/K2627)*K2755)/1000),2)</f>
        <v>646.85</v>
      </c>
      <c r="G1522" s="318" t="s">
        <v>1367</v>
      </c>
      <c r="H1522" s="239">
        <f>VLOOKUP(G1522,'CP FACTORS'!$A$3:$B$38, 2, FALSE)</f>
        <v>9.4741810000000004E-4</v>
      </c>
      <c r="I1522" s="2046">
        <f t="shared" si="150"/>
        <v>0.61283699999999997</v>
      </c>
      <c r="J1522" s="156">
        <f t="shared" si="158"/>
        <v>18</v>
      </c>
      <c r="K1522" s="1085">
        <f t="shared" si="159"/>
        <v>1203.6500000000003</v>
      </c>
      <c r="L1522" s="1086">
        <f>L1731</f>
        <v>3.3</v>
      </c>
      <c r="M1522" s="2089"/>
      <c r="N1522" s="2086"/>
      <c r="O1522" s="1453"/>
      <c r="P1522" s="177"/>
      <c r="Q1522" s="177"/>
      <c r="R1522" s="1894"/>
      <c r="S1522" s="177"/>
      <c r="T1522" s="177"/>
      <c r="U1522" s="2090"/>
      <c r="V1522" s="245" t="s">
        <v>20</v>
      </c>
      <c r="W1522" s="1087">
        <v>646.8496240601504</v>
      </c>
      <c r="X1522" s="1096">
        <v>646.8496240601504</v>
      </c>
      <c r="Y1522" s="999">
        <v>646.85</v>
      </c>
      <c r="Z1522" s="1089"/>
      <c r="AA1522" s="1089"/>
      <c r="AB1522" s="1090"/>
      <c r="AC1522" s="1087"/>
      <c r="AD1522" s="1087"/>
      <c r="AE1522" s="1087"/>
      <c r="AF1522" s="1087"/>
      <c r="AG1522" s="1087"/>
      <c r="AH1522" s="248"/>
      <c r="AK1522" s="1091"/>
      <c r="BB1522" s="350">
        <f>(BD1522+BD1523)/(BE1522+BE1523)</f>
        <v>1.4839744657958689</v>
      </c>
      <c r="BC1522" s="956" t="str">
        <f t="shared" si="151"/>
        <v>Cooling Res 18 Year EUL</v>
      </c>
      <c r="BD1522" s="894">
        <f>(INDEX('Avoided Cost Benefits'!$C$4:$C$857,MATCH(BC1522,'Avoided Cost Benefits'!$A$4:$A$857,0)))*F1522</f>
        <v>1140.918995402609</v>
      </c>
      <c r="BE1522" s="74">
        <f t="shared" si="160"/>
        <v>1136.0547428032091</v>
      </c>
      <c r="BG1522" s="919"/>
      <c r="BH1522" s="1092"/>
      <c r="BI1522" s="919"/>
    </row>
    <row r="1523" spans="1:61" s="65" customFormat="1" x14ac:dyDescent="0.25">
      <c r="A1523" s="785"/>
      <c r="B1523" s="177"/>
      <c r="C1523" s="1572" t="s">
        <v>1519</v>
      </c>
      <c r="D1523" s="2045" t="s">
        <v>795</v>
      </c>
      <c r="E1523" s="2092" t="s">
        <v>1520</v>
      </c>
      <c r="F1523" s="999">
        <f>ROUND(((K1731*K1859*(1/K1987-1/K2115)*K2755)/1000),2)</f>
        <v>1179.52</v>
      </c>
      <c r="G1523" s="318" t="s">
        <v>1369</v>
      </c>
      <c r="H1523" s="239">
        <f>VLOOKUP(G1523,'CP FACTORS'!$A$3:$B$38, 2, FALSE)</f>
        <v>0</v>
      </c>
      <c r="I1523" s="2046">
        <f t="shared" si="150"/>
        <v>0</v>
      </c>
      <c r="J1523" s="156">
        <f t="shared" si="158"/>
        <v>18</v>
      </c>
      <c r="K1523" s="1085">
        <f t="shared" si="159"/>
        <v>0</v>
      </c>
      <c r="L1523" s="1086"/>
      <c r="M1523" s="2089"/>
      <c r="N1523" s="2086"/>
      <c r="O1523" s="1453"/>
      <c r="P1523" s="177"/>
      <c r="Q1523" s="177"/>
      <c r="R1523" s="1894"/>
      <c r="S1523" s="177"/>
      <c r="T1523" s="177"/>
      <c r="U1523" s="2090"/>
      <c r="V1523" s="245" t="s">
        <v>20</v>
      </c>
      <c r="W1523" s="1087">
        <v>1584.0000000000018</v>
      </c>
      <c r="X1523" s="1088">
        <v>1179.5241413638641</v>
      </c>
      <c r="Y1523" s="999">
        <v>1179.52</v>
      </c>
      <c r="Z1523" s="1089"/>
      <c r="AA1523" s="1089"/>
      <c r="AB1523" s="1090"/>
      <c r="AC1523" s="1087"/>
      <c r="AD1523" s="1087"/>
      <c r="AE1523" s="1087"/>
      <c r="AF1523" s="1087"/>
      <c r="AG1523" s="1087"/>
      <c r="AH1523" s="248"/>
      <c r="AK1523" s="1091"/>
      <c r="BB1523" s="348"/>
      <c r="BC1523" s="1093" t="str">
        <f t="shared" si="151"/>
        <v>Heating Res 18 Year EUL</v>
      </c>
      <c r="BD1523" s="894">
        <f>(INDEX('Avoided Cost Benefits'!$C$4:$C$857,MATCH(BC1523,'Avoided Cost Benefits'!$A$4:$A$857,0)))*F1523</f>
        <v>544.95723466364666</v>
      </c>
      <c r="BE1523" s="74">
        <f t="shared" si="160"/>
        <v>0</v>
      </c>
      <c r="BG1523" s="919"/>
      <c r="BH1523" s="1092"/>
      <c r="BI1523" s="919"/>
    </row>
    <row r="1524" spans="1:61" s="65" customFormat="1" x14ac:dyDescent="0.25">
      <c r="A1524" s="785"/>
      <c r="B1524" s="177"/>
      <c r="C1524" s="1572" t="s">
        <v>1521</v>
      </c>
      <c r="D1524" s="2045" t="s">
        <v>795</v>
      </c>
      <c r="E1524" s="884" t="s">
        <v>1522</v>
      </c>
      <c r="F1524" s="999">
        <f>ROUND(((K2244*K2372*(1/K2500-1/K2628)*K2756)/1000),2)</f>
        <v>1979.19</v>
      </c>
      <c r="G1524" s="318" t="s">
        <v>1367</v>
      </c>
      <c r="H1524" s="239">
        <f>VLOOKUP(G1524,'CP FACTORS'!$A$3:$B$38, 2, FALSE)</f>
        <v>9.4741810000000004E-4</v>
      </c>
      <c r="I1524" s="2046">
        <f t="shared" si="150"/>
        <v>1.8751199999999999</v>
      </c>
      <c r="J1524" s="156">
        <f t="shared" si="158"/>
        <v>6</v>
      </c>
      <c r="K1524" s="1085">
        <f t="shared" si="159"/>
        <v>1464.7073864864105</v>
      </c>
      <c r="L1524" s="1086">
        <f>L1732</f>
        <v>3.1</v>
      </c>
      <c r="M1524" s="2089"/>
      <c r="N1524" s="2086"/>
      <c r="O1524" s="1453"/>
      <c r="P1524" s="177"/>
      <c r="Q1524" s="177"/>
      <c r="R1524" s="1894"/>
      <c r="S1524" s="177"/>
      <c r="T1524" s="177"/>
      <c r="U1524" s="2090"/>
      <c r="V1524" s="245" t="s">
        <v>20</v>
      </c>
      <c r="W1524" s="1087">
        <v>2852.3647058823531</v>
      </c>
      <c r="X1524" s="1088">
        <v>1979.1918367346937</v>
      </c>
      <c r="Y1524" s="999">
        <v>1979.19</v>
      </c>
      <c r="Z1524" s="1089"/>
      <c r="AA1524" s="1089"/>
      <c r="AB1524" s="1090"/>
      <c r="AC1524" s="1087"/>
      <c r="AD1524" s="1087"/>
      <c r="AE1524" s="1087"/>
      <c r="AF1524" s="1087"/>
      <c r="AG1524" s="1087"/>
      <c r="AH1524" s="248"/>
      <c r="AK1524" s="1091"/>
      <c r="BB1524" s="350">
        <f>(BD1524+BD1525+BD1526+BD1527)/(BE1524+BE1525+BE1526+BE1527)</f>
        <v>4.8084547055912488</v>
      </c>
      <c r="BC1524" s="884" t="str">
        <f t="shared" si="151"/>
        <v>Cooling Res 6 Year EUL</v>
      </c>
      <c r="BD1524" s="894">
        <f>(INDEX('Avoided Cost Benefits'!$C$4:$C$857,MATCH(BC1524,'Avoided Cost Benefits'!$A$4:$A$857,0)))*F1524</f>
        <v>1150.8676404393373</v>
      </c>
      <c r="BE1524" s="74">
        <f t="shared" si="160"/>
        <v>1382.4515209876454</v>
      </c>
      <c r="BG1524" s="919"/>
      <c r="BH1524" s="1092"/>
      <c r="BI1524" s="919"/>
    </row>
    <row r="1525" spans="1:61" s="65" customFormat="1" x14ac:dyDescent="0.25">
      <c r="A1525" s="785"/>
      <c r="B1525" s="177"/>
      <c r="C1525" s="1572" t="s">
        <v>1521</v>
      </c>
      <c r="D1525" s="2045" t="s">
        <v>795</v>
      </c>
      <c r="E1525" s="994" t="s">
        <v>1522</v>
      </c>
      <c r="F1525" s="999">
        <f>ROUND(((K1732*K1860*(1/K1988-1/K2116)*K2756)/1000),2)</f>
        <v>10399.66</v>
      </c>
      <c r="G1525" s="318" t="s">
        <v>1369</v>
      </c>
      <c r="H1525" s="239">
        <f>VLOOKUP(G1525,'CP FACTORS'!$A$3:$B$38, 2, FALSE)</f>
        <v>0</v>
      </c>
      <c r="I1525" s="2046">
        <f t="shared" si="150"/>
        <v>0</v>
      </c>
      <c r="J1525" s="156">
        <f t="shared" si="158"/>
        <v>6</v>
      </c>
      <c r="K1525" s="1085">
        <f t="shared" si="159"/>
        <v>0</v>
      </c>
      <c r="L1525" s="1086"/>
      <c r="M1525" s="2089"/>
      <c r="N1525" s="2086"/>
      <c r="O1525" s="1453"/>
      <c r="P1525" s="177"/>
      <c r="Q1525" s="177"/>
      <c r="R1525" s="1894"/>
      <c r="S1525" s="177"/>
      <c r="T1525" s="177"/>
      <c r="U1525" s="2090"/>
      <c r="V1525" s="245" t="s">
        <v>20</v>
      </c>
      <c r="W1525" s="1087">
        <v>13965.852998065762</v>
      </c>
      <c r="X1525" s="1088">
        <v>10399.659574468084</v>
      </c>
      <c r="Y1525" s="999">
        <v>10399.66</v>
      </c>
      <c r="Z1525" s="1089"/>
      <c r="AA1525" s="1089"/>
      <c r="AB1525" s="1090"/>
      <c r="AC1525" s="1087"/>
      <c r="AD1525" s="1087"/>
      <c r="AE1525" s="1087"/>
      <c r="AF1525" s="1087"/>
      <c r="AG1525" s="1087"/>
      <c r="AH1525" s="248"/>
      <c r="AK1525" s="1091"/>
      <c r="BB1525" s="995"/>
      <c r="BC1525" s="994" t="str">
        <f t="shared" si="151"/>
        <v>Heating Res 6 Year EUL</v>
      </c>
      <c r="BD1525" s="894">
        <f>(INDEX('Avoided Cost Benefits'!$C$4:$C$857,MATCH(BC1525,'Avoided Cost Benefits'!$A$4:$A$857,0)))*F1525</f>
        <v>1729.8118904813734</v>
      </c>
      <c r="BE1525" s="74">
        <f t="shared" si="160"/>
        <v>0</v>
      </c>
      <c r="BG1525" s="919"/>
      <c r="BH1525" s="1092"/>
      <c r="BI1525" s="919"/>
    </row>
    <row r="1526" spans="1:61" s="65" customFormat="1" x14ac:dyDescent="0.25">
      <c r="A1526" s="785"/>
      <c r="B1526" s="177"/>
      <c r="C1526" s="1572" t="s">
        <v>1521</v>
      </c>
      <c r="D1526" s="2045" t="s">
        <v>795</v>
      </c>
      <c r="E1526" s="994" t="s">
        <v>1523</v>
      </c>
      <c r="F1526" s="999">
        <f>ROUND(((K2245*K2373*(1/K2501-1/K2629)*K2757)/1000),2)</f>
        <v>585.1</v>
      </c>
      <c r="G1526" s="2078" t="s">
        <v>1408</v>
      </c>
      <c r="H1526" s="239">
        <f>VLOOKUP(G1526,'CP FACTORS'!$A$3:$B$38, 2, FALSE)</f>
        <v>9.4741810000000004E-4</v>
      </c>
      <c r="I1526" s="2046">
        <f t="shared" si="150"/>
        <v>0.55433399999999999</v>
      </c>
      <c r="J1526" s="156">
        <f t="shared" si="158"/>
        <v>12</v>
      </c>
      <c r="K1526" s="1085">
        <f t="shared" si="159"/>
        <v>0</v>
      </c>
      <c r="L1526" s="1086"/>
      <c r="M1526" s="2089"/>
      <c r="N1526" s="2086"/>
      <c r="O1526" s="1453"/>
      <c r="P1526" s="177"/>
      <c r="Q1526" s="177"/>
      <c r="R1526" s="1894"/>
      <c r="S1526" s="177"/>
      <c r="T1526" s="177"/>
      <c r="U1526" s="2090"/>
      <c r="V1526" s="245" t="s">
        <v>20</v>
      </c>
      <c r="W1526" s="1087">
        <v>585.10045248868789</v>
      </c>
      <c r="X1526" s="1096">
        <v>585.10045248868789</v>
      </c>
      <c r="Y1526" s="999">
        <v>585.1</v>
      </c>
      <c r="Z1526" s="1089"/>
      <c r="AA1526" s="1089"/>
      <c r="AB1526" s="1090"/>
      <c r="AC1526" s="1087"/>
      <c r="AD1526" s="1087"/>
      <c r="AE1526" s="1087"/>
      <c r="AF1526" s="1087"/>
      <c r="AG1526" s="1087"/>
      <c r="AH1526" s="248"/>
      <c r="AK1526" s="1091"/>
      <c r="BB1526" s="995"/>
      <c r="BC1526" s="994" t="str">
        <f t="shared" si="151"/>
        <v>Cooling Res ER2 12 Year EUL</v>
      </c>
      <c r="BD1526" s="894">
        <f>(INDEX('Avoided Cost Benefits'!$C$4:$C$857,MATCH(BC1526,'Avoided Cost Benefits'!$A$4:$A$857,0)))*F1526</f>
        <v>691.77748765896126</v>
      </c>
      <c r="BE1526" s="74">
        <f t="shared" si="160"/>
        <v>0</v>
      </c>
      <c r="BG1526" s="919"/>
      <c r="BH1526" s="1092"/>
      <c r="BI1526" s="919"/>
    </row>
    <row r="1527" spans="1:61" s="65" customFormat="1" x14ac:dyDescent="0.25">
      <c r="A1527" s="785"/>
      <c r="B1527" s="177"/>
      <c r="C1527" s="1572" t="s">
        <v>1521</v>
      </c>
      <c r="D1527" s="2045" t="s">
        <v>795</v>
      </c>
      <c r="E1527" s="892" t="s">
        <v>1523</v>
      </c>
      <c r="F1527" s="999">
        <f>ROUND(((K1733*K1861*(1/K1989-1/K2117)*K2757)/1000),2)</f>
        <v>10399.66</v>
      </c>
      <c r="G1527" s="2078" t="s">
        <v>1427</v>
      </c>
      <c r="H1527" s="239">
        <f>VLOOKUP(G1527,'CP FACTORS'!$A$3:$B$38, 2, FALSE)</f>
        <v>0</v>
      </c>
      <c r="I1527" s="2046">
        <f t="shared" si="150"/>
        <v>0</v>
      </c>
      <c r="J1527" s="156">
        <f t="shared" si="158"/>
        <v>12</v>
      </c>
      <c r="K1527" s="1085">
        <f t="shared" si="159"/>
        <v>0</v>
      </c>
      <c r="L1527" s="1086"/>
      <c r="M1527" s="2089"/>
      <c r="N1527" s="2086"/>
      <c r="O1527" s="1453"/>
      <c r="P1527" s="177"/>
      <c r="Q1527" s="177"/>
      <c r="R1527" s="1894"/>
      <c r="S1527" s="177"/>
      <c r="T1527" s="177"/>
      <c r="U1527" s="2090"/>
      <c r="V1527" s="245" t="s">
        <v>20</v>
      </c>
      <c r="W1527" s="1087">
        <v>13965.852998065762</v>
      </c>
      <c r="X1527" s="1088">
        <v>10399.659574468084</v>
      </c>
      <c r="Y1527" s="999">
        <v>10399.66</v>
      </c>
      <c r="Z1527" s="1089"/>
      <c r="AA1527" s="1089"/>
      <c r="AB1527" s="1090"/>
      <c r="AC1527" s="1087"/>
      <c r="AD1527" s="1087"/>
      <c r="AE1527" s="1087"/>
      <c r="AF1527" s="1087"/>
      <c r="AG1527" s="1087"/>
      <c r="AH1527" s="248"/>
      <c r="AK1527" s="1091"/>
      <c r="BB1527" s="995"/>
      <c r="BC1527" s="892" t="str">
        <f t="shared" si="151"/>
        <v>Heating Res ER2 12 Year EUL</v>
      </c>
      <c r="BD1527" s="894">
        <f>(INDEX('Avoided Cost Benefits'!$C$4:$C$857,MATCH(BC1527,'Avoided Cost Benefits'!$A$4:$A$857,0)))*F1527</f>
        <v>3074.9985027651505</v>
      </c>
      <c r="BE1527" s="74">
        <f t="shared" si="160"/>
        <v>0</v>
      </c>
      <c r="BG1527" s="919"/>
      <c r="BH1527" s="1092"/>
      <c r="BI1527" s="919"/>
    </row>
    <row r="1528" spans="1:61" s="65" customFormat="1" x14ac:dyDescent="0.25">
      <c r="A1528" s="785"/>
      <c r="B1528" s="177"/>
      <c r="C1528" s="1572" t="s">
        <v>1524</v>
      </c>
      <c r="D1528" s="2045" t="s">
        <v>797</v>
      </c>
      <c r="E1528" s="884" t="s">
        <v>1525</v>
      </c>
      <c r="F1528" s="999">
        <f>ROUND((($K$2246*$K$2374*(1/$K$2502-1/$K$2630)*$K$2758)/1000),2)</f>
        <v>1286.47</v>
      </c>
      <c r="G1528" s="318" t="s">
        <v>1367</v>
      </c>
      <c r="H1528" s="239">
        <f>VLOOKUP(G1528,'CP FACTORS'!$A$3:$B$38, 2, FALSE)</f>
        <v>9.4741810000000004E-4</v>
      </c>
      <c r="I1528" s="2046">
        <f t="shared" si="150"/>
        <v>1.218825</v>
      </c>
      <c r="J1528" s="156">
        <f t="shared" si="158"/>
        <v>6</v>
      </c>
      <c r="K1528" s="1085">
        <f t="shared" si="159"/>
        <v>1205.4598012161669</v>
      </c>
      <c r="L1528" s="1086">
        <f>L1734</f>
        <v>3.1</v>
      </c>
      <c r="M1528" s="2089"/>
      <c r="N1528" s="2086"/>
      <c r="O1528" s="1453"/>
      <c r="P1528" s="177"/>
      <c r="Q1528" s="177"/>
      <c r="R1528" s="1894"/>
      <c r="S1528" s="177"/>
      <c r="T1528" s="177"/>
      <c r="U1528" s="2090"/>
      <c r="V1528" s="245" t="s">
        <v>20</v>
      </c>
      <c r="W1528" s="1087">
        <v>1854.0370588235296</v>
      </c>
      <c r="X1528" s="1088">
        <v>1286.4746938775511</v>
      </c>
      <c r="Y1528" s="999">
        <v>1286.47</v>
      </c>
      <c r="Z1528" s="1089"/>
      <c r="AA1528" s="1089"/>
      <c r="AB1528" s="1090"/>
      <c r="AC1528" s="1087"/>
      <c r="AD1528" s="1087"/>
      <c r="AE1528" s="1087"/>
      <c r="AF1528" s="1087"/>
      <c r="AG1528" s="1087"/>
      <c r="AH1528" s="248"/>
      <c r="AK1528" s="1091"/>
      <c r="BB1528" s="350">
        <f>(BD1528+BD1529+BD1530+BD1531)/(BE1528+BE1529+BE1530+BE1531)</f>
        <v>3.79767207759211</v>
      </c>
      <c r="BC1528" s="884" t="str">
        <f t="shared" si="151"/>
        <v>Cooling Res 6 Year EUL</v>
      </c>
      <c r="BD1528" s="894">
        <f>(INDEX('Avoided Cost Benefits'!$C$4:$C$857,MATCH(BC1528,'Avoided Cost Benefits'!$A$4:$A$857,0)))*F1528</f>
        <v>748.061931090999</v>
      </c>
      <c r="BE1528" s="74">
        <f t="shared" si="160"/>
        <v>1137.7629081794873</v>
      </c>
      <c r="BG1528" s="919"/>
      <c r="BH1528" s="1092"/>
      <c r="BI1528" s="919"/>
    </row>
    <row r="1529" spans="1:61" s="65" customFormat="1" x14ac:dyDescent="0.25">
      <c r="A1529" s="785"/>
      <c r="B1529" s="177"/>
      <c r="C1529" s="1572" t="s">
        <v>1524</v>
      </c>
      <c r="D1529" s="2045" t="s">
        <v>797</v>
      </c>
      <c r="E1529" s="994" t="s">
        <v>1525</v>
      </c>
      <c r="F1529" s="999">
        <f>ROUND((($K$1734*$K$1862*(1/$K$1990-1/$K$2118)*$K$2758)/1000),2)</f>
        <v>6759.78</v>
      </c>
      <c r="G1529" s="318" t="s">
        <v>1369</v>
      </c>
      <c r="H1529" s="239">
        <f>VLOOKUP(G1529,'CP FACTORS'!$A$3:$B$38, 2, FALSE)</f>
        <v>0</v>
      </c>
      <c r="I1529" s="2046">
        <f t="shared" si="150"/>
        <v>0</v>
      </c>
      <c r="J1529" s="156">
        <f t="shared" si="158"/>
        <v>6</v>
      </c>
      <c r="K1529" s="1085">
        <f t="shared" si="159"/>
        <v>0</v>
      </c>
      <c r="L1529" s="1086"/>
      <c r="M1529" s="2089"/>
      <c r="N1529" s="2086"/>
      <c r="O1529" s="1453"/>
      <c r="P1529" s="177"/>
      <c r="Q1529" s="177"/>
      <c r="R1529" s="1894"/>
      <c r="S1529" s="177"/>
      <c r="T1529" s="177"/>
      <c r="U1529" s="2090"/>
      <c r="V1529" s="245" t="s">
        <v>20</v>
      </c>
      <c r="W1529" s="1087">
        <v>9077.8044487427451</v>
      </c>
      <c r="X1529" s="1088">
        <v>6759.7787234042544</v>
      </c>
      <c r="Y1529" s="999">
        <v>6759.78</v>
      </c>
      <c r="Z1529" s="1089"/>
      <c r="AA1529" s="1089"/>
      <c r="AB1529" s="1090"/>
      <c r="AC1529" s="1087"/>
      <c r="AD1529" s="1087"/>
      <c r="AE1529" s="1087"/>
      <c r="AF1529" s="1087"/>
      <c r="AG1529" s="1087"/>
      <c r="AH1529" s="248"/>
      <c r="AK1529" s="1091"/>
      <c r="BB1529" s="995"/>
      <c r="BC1529" s="994" t="str">
        <f t="shared" si="151"/>
        <v>Heating Res 6 Year EUL</v>
      </c>
      <c r="BD1529" s="894">
        <f>(INDEX('Avoided Cost Benefits'!$C$4:$C$857,MATCH(BC1529,'Avoided Cost Benefits'!$A$4:$A$857,0)))*F1529</f>
        <v>1124.3778951463969</v>
      </c>
      <c r="BE1529" s="74">
        <f t="shared" si="160"/>
        <v>0</v>
      </c>
      <c r="BG1529" s="919"/>
      <c r="BH1529" s="1092"/>
      <c r="BI1529" s="919"/>
    </row>
    <row r="1530" spans="1:61" s="65" customFormat="1" x14ac:dyDescent="0.25">
      <c r="A1530" s="785"/>
      <c r="B1530" s="177"/>
      <c r="C1530" s="1572" t="s">
        <v>1524</v>
      </c>
      <c r="D1530" s="2045" t="s">
        <v>797</v>
      </c>
      <c r="E1530" s="994" t="s">
        <v>1526</v>
      </c>
      <c r="F1530" s="999">
        <f>ROUND((($K$2247*$K$2375*(1/$K$2503-1/$K$2631)*$K$2759)/1000),2)</f>
        <v>380.32</v>
      </c>
      <c r="G1530" s="2078" t="s">
        <v>1408</v>
      </c>
      <c r="H1530" s="239">
        <f>VLOOKUP(G1530,'CP FACTORS'!$A$3:$B$38, 2, FALSE)</f>
        <v>9.4741810000000004E-4</v>
      </c>
      <c r="I1530" s="2046">
        <f t="shared" si="150"/>
        <v>0.36032199999999998</v>
      </c>
      <c r="J1530" s="156">
        <f t="shared" si="158"/>
        <v>12</v>
      </c>
      <c r="K1530" s="1085">
        <f t="shared" si="159"/>
        <v>0</v>
      </c>
      <c r="L1530" s="1086"/>
      <c r="M1530" s="2089"/>
      <c r="N1530" s="2086"/>
      <c r="O1530" s="1453"/>
      <c r="P1530" s="177"/>
      <c r="Q1530" s="177"/>
      <c r="R1530" s="1894"/>
      <c r="S1530" s="177"/>
      <c r="T1530" s="177"/>
      <c r="U1530" s="2090"/>
      <c r="V1530" s="245" t="s">
        <v>20</v>
      </c>
      <c r="W1530" s="1087">
        <v>380.31529411764717</v>
      </c>
      <c r="X1530" s="1096">
        <v>380.31529411764717</v>
      </c>
      <c r="Y1530" s="999">
        <v>380.32</v>
      </c>
      <c r="Z1530" s="1089"/>
      <c r="AA1530" s="1089"/>
      <c r="AB1530" s="1090"/>
      <c r="AC1530" s="1087"/>
      <c r="AD1530" s="1087"/>
      <c r="AE1530" s="1087"/>
      <c r="AF1530" s="1087"/>
      <c r="AG1530" s="1087"/>
      <c r="AH1530" s="248"/>
      <c r="AK1530" s="1091"/>
      <c r="BB1530" s="995"/>
      <c r="BC1530" s="994" t="str">
        <f t="shared" si="151"/>
        <v>Cooling Res ER2 12 Year EUL</v>
      </c>
      <c r="BD1530" s="894">
        <f>(INDEX('Avoided Cost Benefits'!$C$4:$C$857,MATCH(BC1530,'Avoided Cost Benefits'!$A$4:$A$857,0)))*F1530</f>
        <v>449.66127859589153</v>
      </c>
      <c r="BE1530" s="74">
        <f t="shared" si="160"/>
        <v>0</v>
      </c>
      <c r="BG1530" s="919"/>
      <c r="BH1530" s="1092"/>
      <c r="BI1530" s="919"/>
    </row>
    <row r="1531" spans="1:61" s="65" customFormat="1" x14ac:dyDescent="0.25">
      <c r="A1531" s="785"/>
      <c r="B1531" s="177"/>
      <c r="C1531" s="1572" t="s">
        <v>1524</v>
      </c>
      <c r="D1531" s="2045" t="s">
        <v>797</v>
      </c>
      <c r="E1531" s="892" t="s">
        <v>1526</v>
      </c>
      <c r="F1531" s="999">
        <f>ROUND((($K$1735*$K$1863*(1/$K$1991-1/$K$2119)*$K$2759)/1000),2)</f>
        <v>6759.78</v>
      </c>
      <c r="G1531" s="2078" t="s">
        <v>1427</v>
      </c>
      <c r="H1531" s="239">
        <f>VLOOKUP(G1531,'CP FACTORS'!$A$3:$B$38, 2, FALSE)</f>
        <v>0</v>
      </c>
      <c r="I1531" s="2046">
        <f t="shared" si="150"/>
        <v>0</v>
      </c>
      <c r="J1531" s="156">
        <f t="shared" si="158"/>
        <v>12</v>
      </c>
      <c r="K1531" s="1085">
        <f t="shared" si="159"/>
        <v>0</v>
      </c>
      <c r="L1531" s="1086"/>
      <c r="M1531" s="2089"/>
      <c r="N1531" s="2086"/>
      <c r="O1531" s="1453"/>
      <c r="P1531" s="177"/>
      <c r="Q1531" s="177"/>
      <c r="R1531" s="1894"/>
      <c r="S1531" s="177"/>
      <c r="T1531" s="177"/>
      <c r="U1531" s="2090"/>
      <c r="V1531" s="245" t="s">
        <v>20</v>
      </c>
      <c r="W1531" s="1087">
        <v>9077.8044487427451</v>
      </c>
      <c r="X1531" s="1088">
        <v>6759.7787234042544</v>
      </c>
      <c r="Y1531" s="999">
        <v>6759.78</v>
      </c>
      <c r="Z1531" s="1089"/>
      <c r="AA1531" s="1089"/>
      <c r="AB1531" s="1090"/>
      <c r="AC1531" s="1087"/>
      <c r="AD1531" s="1087"/>
      <c r="AE1531" s="1087"/>
      <c r="AF1531" s="1087"/>
      <c r="AG1531" s="1087"/>
      <c r="AH1531" s="248"/>
      <c r="AK1531" s="1091"/>
      <c r="BB1531" s="995"/>
      <c r="BC1531" s="892" t="str">
        <f t="shared" si="151"/>
        <v>Heating Res ER2 12 Year EUL</v>
      </c>
      <c r="BD1531" s="894">
        <f>(INDEX('Avoided Cost Benefits'!$C$4:$C$857,MATCH(BC1531,'Avoided Cost Benefits'!$A$4:$A$857,0)))*F1531</f>
        <v>1998.7493224799473</v>
      </c>
      <c r="BE1531" s="74">
        <f t="shared" si="160"/>
        <v>0</v>
      </c>
      <c r="BG1531" s="919"/>
      <c r="BH1531" s="1092"/>
      <c r="BI1531" s="919"/>
    </row>
    <row r="1532" spans="1:61" s="65" customFormat="1" x14ac:dyDescent="0.25">
      <c r="A1532" s="785"/>
      <c r="B1532" s="177"/>
      <c r="C1532" s="1572" t="s">
        <v>1527</v>
      </c>
      <c r="D1532" s="2045" t="s">
        <v>792</v>
      </c>
      <c r="E1532" s="884" t="str">
        <f>CONCATENATE(E1528,"_CompE")</f>
        <v>ASHP - SEER 17 - replace electric furnace / CAC - early replacement MF ER1_CompE</v>
      </c>
      <c r="F1532" s="999">
        <f>ROUND((($K$2248*$K$2376*(1/$K$2504-1/$K$2632)*$K$2760)/1000),2)</f>
        <v>935.62</v>
      </c>
      <c r="G1532" s="318" t="str">
        <f t="shared" ref="G1532:K1535" si="161">G1528</f>
        <v>Cooling Res</v>
      </c>
      <c r="H1532" s="239">
        <f t="shared" si="161"/>
        <v>9.4741810000000004E-4</v>
      </c>
      <c r="I1532" s="2518">
        <f t="shared" si="150"/>
        <v>0.88642299999999996</v>
      </c>
      <c r="J1532" s="156">
        <f>J1528</f>
        <v>6</v>
      </c>
      <c r="K1532" s="1085">
        <f>K1528</f>
        <v>1205.4598012161669</v>
      </c>
      <c r="L1532" s="1086">
        <f>L1528</f>
        <v>3.1</v>
      </c>
      <c r="M1532" s="2089"/>
      <c r="N1532" s="2086"/>
      <c r="O1532" s="1453"/>
      <c r="P1532" s="177"/>
      <c r="Q1532" s="177"/>
      <c r="R1532" s="1894"/>
      <c r="S1532" s="177"/>
      <c r="T1532" s="177"/>
      <c r="U1532" s="2090"/>
      <c r="V1532" s="245" t="s">
        <v>20</v>
      </c>
      <c r="W1532" s="1087"/>
      <c r="X1532" s="1088"/>
      <c r="Y1532" s="1005">
        <v>935.62</v>
      </c>
      <c r="Z1532" s="1089"/>
      <c r="AA1532" s="1089"/>
      <c r="AB1532" s="1090"/>
      <c r="AC1532" s="1087"/>
      <c r="AD1532" s="1087"/>
      <c r="AE1532" s="1087"/>
      <c r="AF1532" s="1087"/>
      <c r="AG1532" s="1087"/>
      <c r="AH1532" s="248"/>
      <c r="AK1532" s="1091"/>
      <c r="BB1532" s="350">
        <f>(BD1532+BD1533+BD1534+BD1535)/(BE1532+BE1533+BE1534+BE1535)</f>
        <v>1.7013819924277789</v>
      </c>
      <c r="BC1532" s="884" t="str">
        <f t="shared" si="151"/>
        <v>Cooling Res 6 Year EUL</v>
      </c>
      <c r="BD1532" s="894">
        <f>(INDEX('Avoided Cost Benefits'!$C$4:$C$857,MATCH(BC1532,'Avoided Cost Benefits'!$A$4:$A$857,0)))*F1532</f>
        <v>544.04821252525164</v>
      </c>
      <c r="BE1532" s="74">
        <f t="shared" si="160"/>
        <v>1137.7629081794873</v>
      </c>
      <c r="BG1532" s="919"/>
      <c r="BH1532" s="1095"/>
      <c r="BI1532" s="919"/>
    </row>
    <row r="1533" spans="1:61" s="65" customFormat="1" x14ac:dyDescent="0.25">
      <c r="A1533" s="785"/>
      <c r="B1533" s="177"/>
      <c r="C1533" s="1572" t="str">
        <f>C1532</f>
        <v>354151_2019_12_</v>
      </c>
      <c r="D1533" s="2045" t="s">
        <v>792</v>
      </c>
      <c r="E1533" s="994" t="str">
        <f>CONCATENATE(E1529,"_CompE")</f>
        <v>ASHP - SEER 17 - replace electric furnace / CAC - early replacement MF ER1_CompE</v>
      </c>
      <c r="F1533" s="999">
        <f>ROUND((($K$1736*$K$1864*(1/$K$1992-1/$K$2120)*$K$2760)/1000),2)</f>
        <v>2304.4699999999998</v>
      </c>
      <c r="G1533" s="318" t="str">
        <f t="shared" si="161"/>
        <v>Heating Res</v>
      </c>
      <c r="H1533" s="239">
        <f t="shared" si="161"/>
        <v>0</v>
      </c>
      <c r="I1533" s="2518">
        <f t="shared" si="150"/>
        <v>0</v>
      </c>
      <c r="J1533" s="156">
        <f t="shared" si="161"/>
        <v>6</v>
      </c>
      <c r="K1533" s="1085">
        <f t="shared" si="161"/>
        <v>0</v>
      </c>
      <c r="L1533" s="1086"/>
      <c r="M1533" s="2089"/>
      <c r="N1533" s="2086"/>
      <c r="O1533" s="1453"/>
      <c r="P1533" s="177"/>
      <c r="Q1533" s="177"/>
      <c r="R1533" s="1894"/>
      <c r="S1533" s="177"/>
      <c r="T1533" s="177"/>
      <c r="U1533" s="2090"/>
      <c r="V1533" s="245" t="s">
        <v>20</v>
      </c>
      <c r="W1533" s="1087"/>
      <c r="X1533" s="1088"/>
      <c r="Y1533" s="1005">
        <v>2304.4699999999998</v>
      </c>
      <c r="Z1533" s="1089"/>
      <c r="AA1533" s="1089"/>
      <c r="AB1533" s="1090"/>
      <c r="AC1533" s="1087"/>
      <c r="AD1533" s="1087"/>
      <c r="AE1533" s="1087"/>
      <c r="AF1533" s="1087"/>
      <c r="AG1533" s="1087"/>
      <c r="AH1533" s="248"/>
      <c r="AK1533" s="1091"/>
      <c r="BB1533" s="995"/>
      <c r="BC1533" s="994" t="str">
        <f t="shared" si="151"/>
        <v>Heating Res 6 Year EUL</v>
      </c>
      <c r="BD1533" s="894">
        <f>(INDEX('Avoided Cost Benefits'!$C$4:$C$857,MATCH(BC1533,'Avoided Cost Benefits'!$A$4:$A$857,0)))*F1533</f>
        <v>383.31057046649704</v>
      </c>
      <c r="BE1533" s="74">
        <f t="shared" si="160"/>
        <v>0</v>
      </c>
      <c r="BG1533" s="919"/>
      <c r="BH1533" s="1095"/>
      <c r="BI1533" s="919"/>
    </row>
    <row r="1534" spans="1:61" s="65" customFormat="1" x14ac:dyDescent="0.25">
      <c r="A1534" s="785"/>
      <c r="B1534" s="177"/>
      <c r="C1534" s="1572" t="str">
        <f t="shared" ref="C1534:C1535" si="162">C1533</f>
        <v>354151_2019_12_</v>
      </c>
      <c r="D1534" s="2045" t="s">
        <v>792</v>
      </c>
      <c r="E1534" s="994" t="str">
        <f>CONCATENATE(E1530,"_CompE")</f>
        <v>ASHP - SEER 17 - replace electric furnace / CAC - early replacement MF ER2_CompE</v>
      </c>
      <c r="F1534" s="999">
        <f>ROUND((($K$2249*$K$2377*(1/$K$2505-1/$K$2633)*$K$2761)/1000),2)</f>
        <v>276.58999999999997</v>
      </c>
      <c r="G1534" s="318" t="str">
        <f t="shared" si="161"/>
        <v>Cooling Res ER2</v>
      </c>
      <c r="H1534" s="239">
        <f t="shared" si="161"/>
        <v>9.4741810000000004E-4</v>
      </c>
      <c r="I1534" s="2518">
        <f t="shared" si="150"/>
        <v>0.262046</v>
      </c>
      <c r="J1534" s="156">
        <f t="shared" si="161"/>
        <v>12</v>
      </c>
      <c r="K1534" s="1085">
        <f t="shared" si="161"/>
        <v>0</v>
      </c>
      <c r="L1534" s="1086"/>
      <c r="M1534" s="2089"/>
      <c r="N1534" s="2086"/>
      <c r="O1534" s="1453"/>
      <c r="P1534" s="177"/>
      <c r="Q1534" s="177"/>
      <c r="R1534" s="1894"/>
      <c r="S1534" s="177"/>
      <c r="T1534" s="177"/>
      <c r="U1534" s="2090"/>
      <c r="V1534" s="245" t="s">
        <v>20</v>
      </c>
      <c r="W1534" s="1087"/>
      <c r="X1534" s="1088"/>
      <c r="Y1534" s="1005">
        <v>276.58999999999997</v>
      </c>
      <c r="Z1534" s="1089"/>
      <c r="AA1534" s="1089"/>
      <c r="AB1534" s="1090"/>
      <c r="AC1534" s="1087"/>
      <c r="AD1534" s="1087"/>
      <c r="AE1534" s="1087"/>
      <c r="AF1534" s="1087"/>
      <c r="AG1534" s="1087"/>
      <c r="AH1534" s="248"/>
      <c r="AK1534" s="1091"/>
      <c r="BB1534" s="995"/>
      <c r="BC1534" s="994" t="str">
        <f t="shared" si="151"/>
        <v>Cooling Res ER2 12 Year EUL</v>
      </c>
      <c r="BD1534" s="894">
        <f>(INDEX('Avoided Cost Benefits'!$C$4:$C$857,MATCH(BC1534,'Avoided Cost Benefits'!$A$4:$A$857,0)))*F1534</f>
        <v>327.01886055647253</v>
      </c>
      <c r="BE1534" s="74">
        <f t="shared" si="160"/>
        <v>0</v>
      </c>
      <c r="BG1534" s="919"/>
      <c r="BH1534" s="1095"/>
      <c r="BI1534" s="919"/>
    </row>
    <row r="1535" spans="1:61" s="65" customFormat="1" x14ac:dyDescent="0.25">
      <c r="A1535" s="785"/>
      <c r="B1535" s="177"/>
      <c r="C1535" s="1572" t="str">
        <f t="shared" si="162"/>
        <v>354151_2019_12_</v>
      </c>
      <c r="D1535" s="2045" t="s">
        <v>792</v>
      </c>
      <c r="E1535" s="892" t="str">
        <f>CONCATENATE(E1531,"_CompE")</f>
        <v>ASHP - SEER 17 - replace electric furnace / CAC - early replacement MF ER2_CompE</v>
      </c>
      <c r="F1535" s="999">
        <f>ROUND((($K$1737*$K$1865*(1/$K$1993-1/$K$2121)*$K$2761)/1000),2)</f>
        <v>2304.4699999999998</v>
      </c>
      <c r="G1535" s="318" t="str">
        <f t="shared" si="161"/>
        <v>Heating Res ER2</v>
      </c>
      <c r="H1535" s="239">
        <f t="shared" si="161"/>
        <v>0</v>
      </c>
      <c r="I1535" s="2518">
        <f t="shared" si="150"/>
        <v>0</v>
      </c>
      <c r="J1535" s="156">
        <f t="shared" si="161"/>
        <v>12</v>
      </c>
      <c r="K1535" s="1085">
        <f t="shared" si="161"/>
        <v>0</v>
      </c>
      <c r="L1535" s="1086"/>
      <c r="M1535" s="2089"/>
      <c r="N1535" s="2086"/>
      <c r="O1535" s="1453"/>
      <c r="P1535" s="177"/>
      <c r="Q1535" s="177"/>
      <c r="R1535" s="1894"/>
      <c r="S1535" s="177"/>
      <c r="T1535" s="177"/>
      <c r="U1535" s="2090"/>
      <c r="V1535" s="245" t="s">
        <v>20</v>
      </c>
      <c r="W1535" s="1087"/>
      <c r="X1535" s="1088"/>
      <c r="Y1535" s="1005">
        <v>2304.4699999999998</v>
      </c>
      <c r="Z1535" s="1089"/>
      <c r="AA1535" s="1089"/>
      <c r="AB1535" s="1090"/>
      <c r="AC1535" s="1087"/>
      <c r="AD1535" s="1087"/>
      <c r="AE1535" s="1087"/>
      <c r="AF1535" s="1087"/>
      <c r="AG1535" s="1087"/>
      <c r="AH1535" s="248"/>
      <c r="AK1535" s="1091"/>
      <c r="BB1535" s="995"/>
      <c r="BC1535" s="892" t="str">
        <f t="shared" si="151"/>
        <v>Heating Res ER2 12 Year EUL</v>
      </c>
      <c r="BD1535" s="894">
        <f>(INDEX('Avoided Cost Benefits'!$C$4:$C$857,MATCH(BC1535,'Avoided Cost Benefits'!$A$4:$A$857,0)))*F1535</f>
        <v>681.39168008061858</v>
      </c>
      <c r="BE1535" s="74">
        <f t="shared" si="160"/>
        <v>0</v>
      </c>
      <c r="BG1535" s="919"/>
      <c r="BH1535" s="1095"/>
      <c r="BI1535" s="919"/>
    </row>
    <row r="1536" spans="1:61" s="65" customFormat="1" x14ac:dyDescent="0.25">
      <c r="A1536" s="785"/>
      <c r="B1536" s="177"/>
      <c r="C1536" s="1572" t="s">
        <v>1528</v>
      </c>
      <c r="D1536" s="2045" t="s">
        <v>797</v>
      </c>
      <c r="E1536" s="884" t="s">
        <v>1529</v>
      </c>
      <c r="F1536" s="999">
        <f>ROUND(((K2250*K2378*(1/K2506-1/K2634)*K2762)/1000),2)</f>
        <v>1369.47</v>
      </c>
      <c r="G1536" s="318" t="s">
        <v>1367</v>
      </c>
      <c r="H1536" s="239">
        <f>VLOOKUP(G1536,'CP FACTORS'!$A$3:$B$38, 2, FALSE)</f>
        <v>9.4741810000000004E-4</v>
      </c>
      <c r="I1536" s="2046">
        <f t="shared" si="150"/>
        <v>1.297461</v>
      </c>
      <c r="J1536" s="156">
        <f>K2922</f>
        <v>6</v>
      </c>
      <c r="K1536" s="1085">
        <f>K3092</f>
        <v>1236.5217238752739</v>
      </c>
      <c r="L1536" s="1086">
        <f>L1738</f>
        <v>3.3</v>
      </c>
      <c r="M1536" s="2089"/>
      <c r="N1536" s="2086"/>
      <c r="O1536" s="1453"/>
      <c r="P1536" s="177"/>
      <c r="Q1536" s="177"/>
      <c r="R1536" s="1894"/>
      <c r="S1536" s="177"/>
      <c r="T1536" s="177"/>
      <c r="U1536" s="2090"/>
      <c r="V1536" s="245" t="s">
        <v>20</v>
      </c>
      <c r="W1536" s="1087">
        <v>1790.9067647058826</v>
      </c>
      <c r="X1536" s="1088">
        <v>1369.47306122449</v>
      </c>
      <c r="Y1536" s="999">
        <v>1369.47</v>
      </c>
      <c r="Z1536" s="1089"/>
      <c r="AA1536" s="1089"/>
      <c r="AB1536" s="1090"/>
      <c r="AC1536" s="1087"/>
      <c r="AD1536" s="1087"/>
      <c r="AE1536" s="1087"/>
      <c r="AF1536" s="1087"/>
      <c r="AG1536" s="1087"/>
      <c r="AH1536" s="248"/>
      <c r="AK1536" s="1091"/>
      <c r="BB1536" s="350">
        <f>(BD1536+BD1537+BD1538+BD1539)/(BE1536+BE1537+BE1538+BE1539)</f>
        <v>1.3871227963822939</v>
      </c>
      <c r="BC1536" s="884" t="str">
        <f t="shared" si="151"/>
        <v>Cooling Res 6 Year EUL</v>
      </c>
      <c r="BD1536" s="894">
        <f>(INDEX('Avoided Cost Benefits'!$C$4:$C$857,MATCH(BC1536,'Avoided Cost Benefits'!$A$4:$A$857,0)))*F1536</f>
        <v>796.32511661460455</v>
      </c>
      <c r="BE1536" s="74">
        <f t="shared" si="160"/>
        <v>1167.0804378247039</v>
      </c>
      <c r="BG1536" s="919"/>
      <c r="BH1536" s="1092"/>
      <c r="BI1536" s="919"/>
    </row>
    <row r="1537" spans="1:61" s="65" customFormat="1" x14ac:dyDescent="0.25">
      <c r="A1537" s="785"/>
      <c r="B1537" s="177"/>
      <c r="C1537" s="1572" t="s">
        <v>1528</v>
      </c>
      <c r="D1537" s="2045" t="s">
        <v>797</v>
      </c>
      <c r="E1537" s="994" t="s">
        <v>1529</v>
      </c>
      <c r="F1537" s="999">
        <f>ROUND(((K1738*K1866*(1/K1994-1/K2122)*K2762)/1000),2)</f>
        <v>1798.76</v>
      </c>
      <c r="G1537" s="318" t="s">
        <v>1369</v>
      </c>
      <c r="H1537" s="239">
        <f>VLOOKUP(G1537,'CP FACTORS'!$A$3:$B$38, 2, FALSE)</f>
        <v>0</v>
      </c>
      <c r="I1537" s="2046">
        <f t="shared" si="150"/>
        <v>0</v>
      </c>
      <c r="J1537" s="156">
        <f>K2923</f>
        <v>6</v>
      </c>
      <c r="K1537" s="1085">
        <f>K3093</f>
        <v>0</v>
      </c>
      <c r="L1537" s="1086"/>
      <c r="M1537" s="2089"/>
      <c r="N1537" s="2086"/>
      <c r="O1537" s="1453"/>
      <c r="P1537" s="177"/>
      <c r="Q1537" s="177"/>
      <c r="R1537" s="1894"/>
      <c r="S1537" s="177"/>
      <c r="T1537" s="177"/>
      <c r="U1537" s="2090"/>
      <c r="V1537" s="245" t="s">
        <v>20</v>
      </c>
      <c r="W1537" s="1087">
        <v>4062.4872213622284</v>
      </c>
      <c r="X1537" s="1088">
        <v>1798.7611070228763</v>
      </c>
      <c r="Y1537" s="999">
        <v>1798.76</v>
      </c>
      <c r="Z1537" s="1089"/>
      <c r="AA1537" s="1089"/>
      <c r="AB1537" s="1090"/>
      <c r="AC1537" s="1087"/>
      <c r="AD1537" s="1087"/>
      <c r="AE1537" s="1087"/>
      <c r="AF1537" s="1087"/>
      <c r="AG1537" s="1087"/>
      <c r="AH1537" s="248"/>
      <c r="AK1537" s="1091"/>
      <c r="BB1537" s="995"/>
      <c r="BC1537" s="994" t="str">
        <f t="shared" si="151"/>
        <v>Heating Res 6 Year EUL</v>
      </c>
      <c r="BD1537" s="894">
        <f>(INDEX('Avoided Cost Benefits'!$C$4:$C$857,MATCH(BC1537,'Avoided Cost Benefits'!$A$4:$A$857,0)))*F1537</f>
        <v>299.19405404813961</v>
      </c>
      <c r="BE1537" s="74">
        <f t="shared" si="160"/>
        <v>0</v>
      </c>
      <c r="BG1537" s="919"/>
      <c r="BH1537" s="1092"/>
      <c r="BI1537" s="919"/>
    </row>
    <row r="1538" spans="1:61" s="65" customFormat="1" x14ac:dyDescent="0.25">
      <c r="A1538" s="785"/>
      <c r="B1538" s="177"/>
      <c r="C1538" s="1572" t="s">
        <v>1528</v>
      </c>
      <c r="D1538" s="2045" t="s">
        <v>797</v>
      </c>
      <c r="E1538" s="994" t="s">
        <v>1530</v>
      </c>
      <c r="F1538" s="999">
        <f>ROUND(((K2251*K2379*(1/K2507-1/K2635)*K2763)/1000),2)</f>
        <v>281.95</v>
      </c>
      <c r="G1538" s="2078" t="s">
        <v>1408</v>
      </c>
      <c r="H1538" s="239">
        <f>VLOOKUP(G1538,'CP FACTORS'!$A$3:$B$38, 2, FALSE)</f>
        <v>9.4741810000000004E-4</v>
      </c>
      <c r="I1538" s="2046">
        <f t="shared" si="150"/>
        <v>0.267125</v>
      </c>
      <c r="J1538" s="156">
        <f>K2924</f>
        <v>12</v>
      </c>
      <c r="K1538" s="1085">
        <f>K3094</f>
        <v>0</v>
      </c>
      <c r="L1538" s="1086"/>
      <c r="M1538" s="2089"/>
      <c r="N1538" s="2086"/>
      <c r="O1538" s="1453"/>
      <c r="P1538" s="177"/>
      <c r="Q1538" s="177"/>
      <c r="R1538" s="1894"/>
      <c r="S1538" s="177"/>
      <c r="T1538" s="177"/>
      <c r="U1538" s="2090"/>
      <c r="V1538" s="245" t="s">
        <v>20</v>
      </c>
      <c r="W1538" s="1087">
        <v>281.95033613445372</v>
      </c>
      <c r="X1538" s="1096">
        <v>281.95033613445372</v>
      </c>
      <c r="Y1538" s="999">
        <v>281.95</v>
      </c>
      <c r="Z1538" s="1089"/>
      <c r="AA1538" s="1089"/>
      <c r="AB1538" s="1090"/>
      <c r="AC1538" s="1087"/>
      <c r="AD1538" s="1087"/>
      <c r="AE1538" s="1087"/>
      <c r="AF1538" s="1087"/>
      <c r="AG1538" s="1087"/>
      <c r="AH1538" s="248"/>
      <c r="AK1538" s="1091"/>
      <c r="BB1538" s="995"/>
      <c r="BC1538" s="994" t="str">
        <f t="shared" si="151"/>
        <v>Cooling Res ER2 12 Year EUL</v>
      </c>
      <c r="BD1538" s="894">
        <f>(INDEX('Avoided Cost Benefits'!$C$4:$C$857,MATCH(BC1538,'Avoided Cost Benefits'!$A$4:$A$857,0)))*F1538</f>
        <v>333.35611458800912</v>
      </c>
      <c r="BE1538" s="74">
        <f t="shared" si="160"/>
        <v>0</v>
      </c>
      <c r="BG1538" s="919"/>
      <c r="BH1538" s="1092"/>
      <c r="BI1538" s="919"/>
    </row>
    <row r="1539" spans="1:61" s="65" customFormat="1" x14ac:dyDescent="0.25">
      <c r="A1539" s="785"/>
      <c r="B1539" s="177"/>
      <c r="C1539" s="1572" t="s">
        <v>1528</v>
      </c>
      <c r="D1539" s="2045" t="s">
        <v>797</v>
      </c>
      <c r="E1539" s="892" t="s">
        <v>1530</v>
      </c>
      <c r="F1539" s="999">
        <f xml:space="preserve"> ROUND(((K1739*K1867*(1/K1995-1/K2123)*K2763)/1000),2)</f>
        <v>642.61</v>
      </c>
      <c r="G1539" s="2078" t="s">
        <v>1427</v>
      </c>
      <c r="H1539" s="239">
        <f>VLOOKUP(G1539,'CP FACTORS'!$A$3:$B$38, 2, FALSE)</f>
        <v>0</v>
      </c>
      <c r="I1539" s="2046">
        <f t="shared" si="150"/>
        <v>0</v>
      </c>
      <c r="J1539" s="156">
        <f>K2925</f>
        <v>12</v>
      </c>
      <c r="K1539" s="1085">
        <f>K3095</f>
        <v>0</v>
      </c>
      <c r="L1539" s="1086"/>
      <c r="M1539" s="2089"/>
      <c r="N1539" s="2086"/>
      <c r="O1539" s="1453"/>
      <c r="P1539" s="177"/>
      <c r="Q1539" s="177"/>
      <c r="R1539" s="1894"/>
      <c r="S1539" s="177"/>
      <c r="T1539" s="177"/>
      <c r="U1539" s="2090"/>
      <c r="V1539" s="245" t="s">
        <v>20</v>
      </c>
      <c r="W1539" s="1087">
        <v>862.96736842105349</v>
      </c>
      <c r="X1539" s="1088">
        <v>642.6078562259313</v>
      </c>
      <c r="Y1539" s="999">
        <v>642.61</v>
      </c>
      <c r="Z1539" s="1089"/>
      <c r="AA1539" s="1089"/>
      <c r="AB1539" s="1090"/>
      <c r="AC1539" s="1087"/>
      <c r="AD1539" s="1087"/>
      <c r="AE1539" s="1087"/>
      <c r="AF1539" s="1087"/>
      <c r="AG1539" s="1087"/>
      <c r="AH1539" s="248"/>
      <c r="AK1539" s="1091"/>
      <c r="BB1539" s="995"/>
      <c r="BC1539" s="892" t="str">
        <f t="shared" si="151"/>
        <v>Heating Res ER2 12 Year EUL</v>
      </c>
      <c r="BD1539" s="894">
        <f>(INDEX('Avoided Cost Benefits'!$C$4:$C$857,MATCH(BC1539,'Avoided Cost Benefits'!$A$4:$A$857,0)))*F1539</f>
        <v>190.00859526772157</v>
      </c>
      <c r="BE1539" s="74">
        <f t="shared" si="160"/>
        <v>0</v>
      </c>
      <c r="BG1539" s="919"/>
      <c r="BH1539" s="1092"/>
      <c r="BI1539" s="919"/>
    </row>
    <row r="1540" spans="1:61" s="65" customFormat="1" x14ac:dyDescent="0.25">
      <c r="A1540" s="785"/>
      <c r="B1540" s="177"/>
      <c r="C1540" s="1572" t="s">
        <v>1531</v>
      </c>
      <c r="D1540" s="2045" t="s">
        <v>792</v>
      </c>
      <c r="E1540" s="884" t="str">
        <f>CONCATENATE(E1536,"_CompE")</f>
        <v>ASHP SEER 17 replace ASHP - early replacement MF ER1_CompE</v>
      </c>
      <c r="F1540" s="999">
        <f>ROUND((($K$2252*$K$2380*(1/$K$2508-1/$K$2636)*$K$2764)/1000),2)</f>
        <v>995.98</v>
      </c>
      <c r="G1540" s="318" t="str">
        <f t="shared" ref="G1540:K1543" si="163">G1536</f>
        <v>Cooling Res</v>
      </c>
      <c r="H1540" s="239">
        <f t="shared" si="163"/>
        <v>9.4741810000000004E-4</v>
      </c>
      <c r="I1540" s="2518">
        <f t="shared" si="150"/>
        <v>0.94360900000000003</v>
      </c>
      <c r="J1540" s="156">
        <f>J1536</f>
        <v>6</v>
      </c>
      <c r="K1540" s="1085">
        <f>K1536</f>
        <v>1236.5217238752739</v>
      </c>
      <c r="L1540" s="1086">
        <f>L1536</f>
        <v>3.3</v>
      </c>
      <c r="M1540" s="2089"/>
      <c r="N1540" s="2086"/>
      <c r="O1540" s="1453"/>
      <c r="P1540" s="177"/>
      <c r="Q1540" s="177"/>
      <c r="R1540" s="1894"/>
      <c r="S1540" s="177"/>
      <c r="T1540" s="177"/>
      <c r="U1540" s="2090"/>
      <c r="V1540" s="245" t="s">
        <v>20</v>
      </c>
      <c r="W1540" s="1087"/>
      <c r="X1540" s="1088"/>
      <c r="Y1540" s="1005">
        <v>995.98</v>
      </c>
      <c r="Z1540" s="1089"/>
      <c r="AA1540" s="1089"/>
      <c r="AB1540" s="1090"/>
      <c r="AC1540" s="1087"/>
      <c r="AD1540" s="1087"/>
      <c r="AE1540" s="1087"/>
      <c r="AF1540" s="1087"/>
      <c r="AG1540" s="1087"/>
      <c r="AH1540" s="248"/>
      <c r="AK1540" s="1091"/>
      <c r="BB1540" s="350">
        <f>(BD1540+BD1541+BD1542+BD1543)/(BE1540+BE1541+BE1542+BE1543)</f>
        <v>0.84686072713994065</v>
      </c>
      <c r="BC1540" s="884" t="str">
        <f t="shared" si="151"/>
        <v>Cooling Res 6 Year EUL</v>
      </c>
      <c r="BD1540" s="894">
        <f>(INDEX('Avoided Cost Benefits'!$C$4:$C$857,MATCH(BC1540,'Avoided Cost Benefits'!$A$4:$A$857,0)))*F1540</f>
        <v>579.14659660000871</v>
      </c>
      <c r="BE1540" s="74">
        <f t="shared" si="160"/>
        <v>1167.0804378247039</v>
      </c>
      <c r="BG1540" s="919"/>
      <c r="BH1540" s="1095"/>
      <c r="BI1540" s="919"/>
    </row>
    <row r="1541" spans="1:61" s="65" customFormat="1" x14ac:dyDescent="0.25">
      <c r="A1541" s="785"/>
      <c r="B1541" s="177"/>
      <c r="C1541" s="1572" t="str">
        <f>C1540</f>
        <v>354201_2019_12_</v>
      </c>
      <c r="D1541" s="2045" t="s">
        <v>792</v>
      </c>
      <c r="E1541" s="994" t="str">
        <f>CONCATENATE(E1537,"_CompE")</f>
        <v>ASHP SEER 17 replace ASHP - early replacement MF ER1_CompE</v>
      </c>
      <c r="F1541" s="999">
        <f>ROUND((($K$1740*$K$1868*(1/$K$1996-1/$K$2124)*$K$2764)/1000),2)</f>
        <v>613.21</v>
      </c>
      <c r="G1541" s="318" t="str">
        <f t="shared" si="163"/>
        <v>Heating Res</v>
      </c>
      <c r="H1541" s="239">
        <f t="shared" si="163"/>
        <v>0</v>
      </c>
      <c r="I1541" s="2518">
        <f t="shared" si="150"/>
        <v>0</v>
      </c>
      <c r="J1541" s="156">
        <f t="shared" si="163"/>
        <v>6</v>
      </c>
      <c r="K1541" s="1085">
        <f t="shared" si="163"/>
        <v>0</v>
      </c>
      <c r="L1541" s="1086"/>
      <c r="M1541" s="2089"/>
      <c r="N1541" s="2086"/>
      <c r="O1541" s="1453"/>
      <c r="P1541" s="177"/>
      <c r="Q1541" s="177"/>
      <c r="R1541" s="1894"/>
      <c r="S1541" s="177"/>
      <c r="T1541" s="177"/>
      <c r="U1541" s="2090"/>
      <c r="V1541" s="245" t="s">
        <v>20</v>
      </c>
      <c r="W1541" s="1087"/>
      <c r="X1541" s="1088"/>
      <c r="Y1541" s="1005">
        <v>613.21</v>
      </c>
      <c r="Z1541" s="1089"/>
      <c r="AA1541" s="1089"/>
      <c r="AB1541" s="1090"/>
      <c r="AC1541" s="1087"/>
      <c r="AD1541" s="1087"/>
      <c r="AE1541" s="1087"/>
      <c r="AF1541" s="1087"/>
      <c r="AG1541" s="1087"/>
      <c r="AH1541" s="248"/>
      <c r="AK1541" s="1091"/>
      <c r="BB1541" s="995"/>
      <c r="BC1541" s="994" t="str">
        <f t="shared" si="151"/>
        <v>Heating Res 6 Year EUL</v>
      </c>
      <c r="BD1541" s="894">
        <f>(INDEX('Avoided Cost Benefits'!$C$4:$C$857,MATCH(BC1541,'Avoided Cost Benefits'!$A$4:$A$857,0)))*F1541</f>
        <v>101.99736812185043</v>
      </c>
      <c r="BE1541" s="74">
        <f t="shared" si="160"/>
        <v>0</v>
      </c>
      <c r="BG1541" s="919"/>
      <c r="BH1541" s="1095"/>
      <c r="BI1541" s="919"/>
    </row>
    <row r="1542" spans="1:61" s="65" customFormat="1" x14ac:dyDescent="0.25">
      <c r="A1542" s="785"/>
      <c r="B1542" s="177"/>
      <c r="C1542" s="1572" t="str">
        <f t="shared" ref="C1542:C1543" si="164">C1541</f>
        <v>354201_2019_12_</v>
      </c>
      <c r="D1542" s="2045" t="s">
        <v>792</v>
      </c>
      <c r="E1542" s="994" t="str">
        <f>CONCATENATE(E1538,"_CompE")</f>
        <v>ASHP SEER 17 replace ASHP - early replacement MF ER2_CompE</v>
      </c>
      <c r="F1542" s="999">
        <f>ROUND((($K$2253*$K$2381*(1/$K$2509-1/$K$2637)*$K$2765)/1000),2)</f>
        <v>205.05</v>
      </c>
      <c r="G1542" s="318" t="str">
        <f t="shared" si="163"/>
        <v>Cooling Res ER2</v>
      </c>
      <c r="H1542" s="239">
        <f t="shared" si="163"/>
        <v>9.4741810000000004E-4</v>
      </c>
      <c r="I1542" s="2518">
        <f t="shared" si="150"/>
        <v>0.194268</v>
      </c>
      <c r="J1542" s="156">
        <f t="shared" si="163"/>
        <v>12</v>
      </c>
      <c r="K1542" s="1085">
        <f t="shared" si="163"/>
        <v>0</v>
      </c>
      <c r="L1542" s="1086"/>
      <c r="M1542" s="2089"/>
      <c r="N1542" s="2086"/>
      <c r="O1542" s="1453"/>
      <c r="P1542" s="177"/>
      <c r="Q1542" s="177"/>
      <c r="R1542" s="1894"/>
      <c r="S1542" s="177"/>
      <c r="T1542" s="177"/>
      <c r="U1542" s="2090"/>
      <c r="V1542" s="245" t="s">
        <v>20</v>
      </c>
      <c r="W1542" s="1087"/>
      <c r="X1542" s="1088"/>
      <c r="Y1542" s="1005">
        <v>205.05</v>
      </c>
      <c r="Z1542" s="1089"/>
      <c r="AA1542" s="1089"/>
      <c r="AB1542" s="1090"/>
      <c r="AC1542" s="1087"/>
      <c r="AD1542" s="1087"/>
      <c r="AE1542" s="1087"/>
      <c r="AF1542" s="1087"/>
      <c r="AG1542" s="1087"/>
      <c r="AH1542" s="248"/>
      <c r="AK1542" s="1091"/>
      <c r="BB1542" s="995"/>
      <c r="BC1542" s="994" t="str">
        <f t="shared" si="151"/>
        <v>Cooling Res ER2 12 Year EUL</v>
      </c>
      <c r="BD1542" s="894">
        <f>(INDEX('Avoided Cost Benefits'!$C$4:$C$857,MATCH(BC1542,'Avoided Cost Benefits'!$A$4:$A$857,0)))*F1542</f>
        <v>242.43543641167324</v>
      </c>
      <c r="BE1542" s="74">
        <f t="shared" si="160"/>
        <v>0</v>
      </c>
      <c r="BG1542" s="919"/>
      <c r="BH1542" s="1095"/>
      <c r="BI1542" s="919"/>
    </row>
    <row r="1543" spans="1:61" s="65" customFormat="1" x14ac:dyDescent="0.25">
      <c r="A1543" s="785"/>
      <c r="B1543" s="177"/>
      <c r="C1543" s="1572" t="str">
        <f t="shared" si="164"/>
        <v>354201_2019_12_</v>
      </c>
      <c r="D1543" s="2045" t="s">
        <v>792</v>
      </c>
      <c r="E1543" s="892" t="str">
        <f>CONCATENATE(E1539,"_CompE")</f>
        <v>ASHP SEER 17 replace ASHP - early replacement MF ER2_CompE</v>
      </c>
      <c r="F1543" s="999">
        <f>ROUND((($K$1741*$K$1869*(1/$K$1997-1/$K$2125)*$K$2765)/1000),2)</f>
        <v>219.07</v>
      </c>
      <c r="G1543" s="318" t="str">
        <f t="shared" si="163"/>
        <v>Heating Res ER2</v>
      </c>
      <c r="H1543" s="239">
        <f t="shared" si="163"/>
        <v>0</v>
      </c>
      <c r="I1543" s="2518">
        <f t="shared" si="150"/>
        <v>0</v>
      </c>
      <c r="J1543" s="156">
        <f t="shared" si="163"/>
        <v>12</v>
      </c>
      <c r="K1543" s="1085">
        <f t="shared" si="163"/>
        <v>0</v>
      </c>
      <c r="L1543" s="1086"/>
      <c r="M1543" s="2089"/>
      <c r="N1543" s="2086"/>
      <c r="O1543" s="1453"/>
      <c r="P1543" s="177"/>
      <c r="Q1543" s="177"/>
      <c r="R1543" s="1894"/>
      <c r="S1543" s="177"/>
      <c r="T1543" s="177"/>
      <c r="U1543" s="2090"/>
      <c r="V1543" s="245" t="s">
        <v>20</v>
      </c>
      <c r="W1543" s="1087"/>
      <c r="X1543" s="1088"/>
      <c r="Y1543" s="1005">
        <v>219.07</v>
      </c>
      <c r="Z1543" s="1089"/>
      <c r="AA1543" s="1089"/>
      <c r="AB1543" s="1090"/>
      <c r="AC1543" s="1087"/>
      <c r="AD1543" s="1087"/>
      <c r="AE1543" s="1087"/>
      <c r="AF1543" s="1087"/>
      <c r="AG1543" s="1087"/>
      <c r="AH1543" s="248"/>
      <c r="AK1543" s="1091"/>
      <c r="BB1543" s="995"/>
      <c r="BC1543" s="892" t="str">
        <f t="shared" si="151"/>
        <v>Heating Res ER2 12 Year EUL</v>
      </c>
      <c r="BD1543" s="894">
        <f>(INDEX('Avoided Cost Benefits'!$C$4:$C$857,MATCH(BC1543,'Avoided Cost Benefits'!$A$4:$A$857,0)))*F1543</f>
        <v>64.775187073496781</v>
      </c>
      <c r="BE1543" s="74">
        <f t="shared" si="160"/>
        <v>0</v>
      </c>
      <c r="BG1543" s="919"/>
      <c r="BH1543" s="1095"/>
      <c r="BI1543" s="919"/>
    </row>
    <row r="1544" spans="1:61" s="65" customFormat="1" x14ac:dyDescent="0.25">
      <c r="A1544" s="785"/>
      <c r="B1544" s="177"/>
      <c r="C1544" s="1572" t="s">
        <v>1532</v>
      </c>
      <c r="D1544" s="2045" t="s">
        <v>795</v>
      </c>
      <c r="E1544" s="884" t="s">
        <v>1533</v>
      </c>
      <c r="F1544" s="999">
        <f>ROUND(((K2254*K2382*(1/K2510-1/K2638)*K2766)/1000),2)</f>
        <v>2084.83</v>
      </c>
      <c r="G1544" s="318" t="s">
        <v>1367</v>
      </c>
      <c r="H1544" s="239">
        <f>VLOOKUP(G1544,'CP FACTORS'!$A$3:$B$38, 2, FALSE)</f>
        <v>9.4741810000000004E-4</v>
      </c>
      <c r="I1544" s="2046">
        <f t="shared" si="150"/>
        <v>1.975206</v>
      </c>
      <c r="J1544" s="156">
        <f t="shared" ref="J1544:J1551" si="165">K2926</f>
        <v>6</v>
      </c>
      <c r="K1544" s="1085">
        <f t="shared" ref="K1544:K1551" si="166">K3096</f>
        <v>1703.6273864864106</v>
      </c>
      <c r="L1544" s="1086">
        <f>L1742</f>
        <v>3.1</v>
      </c>
      <c r="M1544" s="2089"/>
      <c r="N1544" s="2086"/>
      <c r="O1544" s="1453"/>
      <c r="P1544" s="177"/>
      <c r="Q1544" s="177"/>
      <c r="R1544" s="1894"/>
      <c r="S1544" s="177"/>
      <c r="T1544" s="177"/>
      <c r="U1544" s="2090"/>
      <c r="V1544" s="245" t="s">
        <v>20</v>
      </c>
      <c r="W1544" s="1087">
        <v>2958.0078431372549</v>
      </c>
      <c r="X1544" s="1088">
        <v>2084.8349739895957</v>
      </c>
      <c r="Y1544" s="999">
        <v>2084.83</v>
      </c>
      <c r="Z1544" s="1089"/>
      <c r="AA1544" s="1089"/>
      <c r="AB1544" s="1090"/>
      <c r="AC1544" s="1087"/>
      <c r="AD1544" s="1087"/>
      <c r="AE1544" s="1087"/>
      <c r="AF1544" s="1087"/>
      <c r="AG1544" s="1087"/>
      <c r="AH1544" s="248"/>
      <c r="AK1544" s="1091"/>
      <c r="BB1544" s="350">
        <f>(BD1544+BD1545+BD1546+BD1547)/(BE1544+BE1545+BE1546+BE1547)</f>
        <v>4.249987044980414</v>
      </c>
      <c r="BC1544" s="884" t="str">
        <f t="shared" si="151"/>
        <v>Cooling Res 6 Year EUL</v>
      </c>
      <c r="BD1544" s="894">
        <f>(INDEX('Avoided Cost Benefits'!$C$4:$C$857,MATCH(BC1544,'Avoided Cost Benefits'!$A$4:$A$857,0)))*F1544</f>
        <v>1212.2956274117914</v>
      </c>
      <c r="BE1544" s="74">
        <f t="shared" si="160"/>
        <v>1607.9541165515907</v>
      </c>
      <c r="BG1544" s="919"/>
      <c r="BH1544" s="1092"/>
      <c r="BI1544" s="919"/>
    </row>
    <row r="1545" spans="1:61" s="65" customFormat="1" x14ac:dyDescent="0.25">
      <c r="A1545" s="785"/>
      <c r="B1545" s="177"/>
      <c r="C1545" s="1572" t="s">
        <v>1532</v>
      </c>
      <c r="D1545" s="2045" t="s">
        <v>795</v>
      </c>
      <c r="E1545" s="994" t="s">
        <v>1533</v>
      </c>
      <c r="F1545" s="999">
        <f>ROUND(((K1742*K1870*(1/K1998-1/K2126)*K2766)/1000),2)</f>
        <v>10399.66</v>
      </c>
      <c r="G1545" s="318" t="s">
        <v>1369</v>
      </c>
      <c r="H1545" s="239">
        <f>VLOOKUP(G1545,'CP FACTORS'!$A$3:$B$38, 2, FALSE)</f>
        <v>0</v>
      </c>
      <c r="I1545" s="2046">
        <f t="shared" si="150"/>
        <v>0</v>
      </c>
      <c r="J1545" s="156">
        <f t="shared" si="165"/>
        <v>6</v>
      </c>
      <c r="K1545" s="1085">
        <f t="shared" si="166"/>
        <v>0</v>
      </c>
      <c r="L1545" s="1086"/>
      <c r="M1545" s="2089"/>
      <c r="N1545" s="2086"/>
      <c r="O1545" s="1453"/>
      <c r="P1545" s="177"/>
      <c r="Q1545" s="177"/>
      <c r="R1545" s="1894"/>
      <c r="S1545" s="177"/>
      <c r="T1545" s="177"/>
      <c r="U1545" s="2090"/>
      <c r="V1545" s="245" t="s">
        <v>20</v>
      </c>
      <c r="W1545" s="1087">
        <v>13965.852998065762</v>
      </c>
      <c r="X1545" s="1088">
        <v>10399.659574468084</v>
      </c>
      <c r="Y1545" s="999">
        <v>10399.66</v>
      </c>
      <c r="Z1545" s="1089"/>
      <c r="AA1545" s="1089"/>
      <c r="AB1545" s="1090"/>
      <c r="AC1545" s="1087"/>
      <c r="AD1545" s="1087"/>
      <c r="AE1545" s="1087"/>
      <c r="AF1545" s="1087"/>
      <c r="AG1545" s="1087"/>
      <c r="AH1545" s="248"/>
      <c r="AK1545" s="1091"/>
      <c r="BB1545" s="995"/>
      <c r="BC1545" s="994" t="str">
        <f t="shared" si="151"/>
        <v>Heating Res 6 Year EUL</v>
      </c>
      <c r="BD1545" s="894">
        <f>(INDEX('Avoided Cost Benefits'!$C$4:$C$857,MATCH(BC1545,'Avoided Cost Benefits'!$A$4:$A$857,0)))*F1545</f>
        <v>1729.8118904813734</v>
      </c>
      <c r="BE1545" s="74">
        <f t="shared" si="160"/>
        <v>0</v>
      </c>
      <c r="BG1545" s="919"/>
      <c r="BH1545" s="1092"/>
      <c r="BI1545" s="919"/>
    </row>
    <row r="1546" spans="1:61" s="65" customFormat="1" x14ac:dyDescent="0.25">
      <c r="A1546" s="785"/>
      <c r="B1546" s="177"/>
      <c r="C1546" s="1572" t="s">
        <v>1532</v>
      </c>
      <c r="D1546" s="2045" t="s">
        <v>795</v>
      </c>
      <c r="E1546" s="994" t="s">
        <v>1534</v>
      </c>
      <c r="F1546" s="999">
        <f>ROUND(((K2255*K2383*(1/K2511-1/K2639)*K2767)/1000),2)</f>
        <v>690.74</v>
      </c>
      <c r="G1546" s="2078" t="s">
        <v>1408</v>
      </c>
      <c r="H1546" s="239">
        <f>VLOOKUP(G1546,'CP FACTORS'!$A$3:$B$38, 2, FALSE)</f>
        <v>9.4741810000000004E-4</v>
      </c>
      <c r="I1546" s="2046">
        <f t="shared" si="150"/>
        <v>0.65442</v>
      </c>
      <c r="J1546" s="156">
        <f t="shared" si="165"/>
        <v>12</v>
      </c>
      <c r="K1546" s="1085">
        <f t="shared" si="166"/>
        <v>0</v>
      </c>
      <c r="L1546" s="1086"/>
      <c r="M1546" s="2089"/>
      <c r="N1546" s="2086"/>
      <c r="O1546" s="1453"/>
      <c r="P1546" s="177"/>
      <c r="Q1546" s="177"/>
      <c r="R1546" s="1894"/>
      <c r="S1546" s="177"/>
      <c r="T1546" s="177"/>
      <c r="U1546" s="2090"/>
      <c r="V1546" s="245" t="s">
        <v>20</v>
      </c>
      <c r="W1546" s="1087">
        <v>690.74358974358995</v>
      </c>
      <c r="X1546" s="1096">
        <v>690.74358974358995</v>
      </c>
      <c r="Y1546" s="999">
        <v>690.74</v>
      </c>
      <c r="Z1546" s="1089"/>
      <c r="AA1546" s="1089"/>
      <c r="AB1546" s="1090"/>
      <c r="AC1546" s="1087"/>
      <c r="AD1546" s="1087"/>
      <c r="AE1546" s="1087"/>
      <c r="AF1546" s="1087"/>
      <c r="AG1546" s="1087"/>
      <c r="AH1546" s="248"/>
      <c r="AK1546" s="1091"/>
      <c r="BB1546" s="995"/>
      <c r="BC1546" s="994" t="str">
        <f t="shared" si="151"/>
        <v>Cooling Res ER2 12 Year EUL</v>
      </c>
      <c r="BD1546" s="894">
        <f>(INDEX('Avoided Cost Benefits'!$C$4:$C$857,MATCH(BC1546,'Avoided Cost Benefits'!$A$4:$A$857,0)))*F1546</f>
        <v>816.67814360887189</v>
      </c>
      <c r="BE1546" s="74">
        <f t="shared" si="160"/>
        <v>0</v>
      </c>
      <c r="BG1546" s="919"/>
      <c r="BH1546" s="1092"/>
      <c r="BI1546" s="919"/>
    </row>
    <row r="1547" spans="1:61" s="65" customFormat="1" x14ac:dyDescent="0.25">
      <c r="A1547" s="785"/>
      <c r="B1547" s="177"/>
      <c r="C1547" s="1572" t="s">
        <v>1532</v>
      </c>
      <c r="D1547" s="2045" t="s">
        <v>795</v>
      </c>
      <c r="E1547" s="892" t="s">
        <v>1534</v>
      </c>
      <c r="F1547" s="999">
        <f>ROUND(((K1743*K1871*(1/K1999-1/K2127)*K2767)/1000),2)</f>
        <v>10399.66</v>
      </c>
      <c r="G1547" s="2078" t="s">
        <v>1427</v>
      </c>
      <c r="H1547" s="239">
        <f>VLOOKUP(G1547,'CP FACTORS'!$A$3:$B$38, 2, FALSE)</f>
        <v>0</v>
      </c>
      <c r="I1547" s="2046">
        <f t="shared" si="150"/>
        <v>0</v>
      </c>
      <c r="J1547" s="156">
        <f t="shared" si="165"/>
        <v>12</v>
      </c>
      <c r="K1547" s="1085">
        <f t="shared" si="166"/>
        <v>0</v>
      </c>
      <c r="L1547" s="1086"/>
      <c r="M1547" s="2089"/>
      <c r="N1547" s="2086"/>
      <c r="O1547" s="1453"/>
      <c r="P1547" s="177"/>
      <c r="Q1547" s="177"/>
      <c r="R1547" s="1894"/>
      <c r="S1547" s="177"/>
      <c r="T1547" s="177"/>
      <c r="U1547" s="2090"/>
      <c r="V1547" s="245" t="s">
        <v>20</v>
      </c>
      <c r="W1547" s="1087">
        <v>13965.852998065762</v>
      </c>
      <c r="X1547" s="1088">
        <v>10399.659574468084</v>
      </c>
      <c r="Y1547" s="999">
        <v>10399.66</v>
      </c>
      <c r="Z1547" s="1089"/>
      <c r="AA1547" s="1089"/>
      <c r="AB1547" s="1090"/>
      <c r="AC1547" s="1087"/>
      <c r="AD1547" s="1087"/>
      <c r="AE1547" s="1087"/>
      <c r="AF1547" s="1087"/>
      <c r="AG1547" s="1087"/>
      <c r="AH1547" s="248"/>
      <c r="AK1547" s="1091"/>
      <c r="BB1547" s="995"/>
      <c r="BC1547" s="892" t="str">
        <f t="shared" si="151"/>
        <v>Heating Res ER2 12 Year EUL</v>
      </c>
      <c r="BD1547" s="894">
        <f>(INDEX('Avoided Cost Benefits'!$C$4:$C$857,MATCH(BC1547,'Avoided Cost Benefits'!$A$4:$A$857,0)))*F1547</f>
        <v>3074.9985027651505</v>
      </c>
      <c r="BE1547" s="74">
        <f t="shared" si="160"/>
        <v>0</v>
      </c>
      <c r="BG1547" s="919"/>
      <c r="BH1547" s="1092"/>
      <c r="BI1547" s="919"/>
    </row>
    <row r="1548" spans="1:61" s="65" customFormat="1" x14ac:dyDescent="0.25">
      <c r="A1548" s="785"/>
      <c r="B1548" s="177"/>
      <c r="C1548" s="1572" t="s">
        <v>1535</v>
      </c>
      <c r="D1548" s="2045" t="s">
        <v>797</v>
      </c>
      <c r="E1548" s="884" t="s">
        <v>1536</v>
      </c>
      <c r="F1548" s="999">
        <f>ROUND(((K2256*K2384*(1/K2512-1/K2640)*K2768)/1000),2)</f>
        <v>1355.14</v>
      </c>
      <c r="G1548" s="318" t="s">
        <v>1367</v>
      </c>
      <c r="H1548" s="239">
        <f>VLOOKUP(G1548,'CP FACTORS'!$A$3:$B$38, 2, FALSE)</f>
        <v>9.4741810000000004E-4</v>
      </c>
      <c r="I1548" s="2046">
        <f t="shared" si="150"/>
        <v>1.283884</v>
      </c>
      <c r="J1548" s="156">
        <f t="shared" si="165"/>
        <v>6</v>
      </c>
      <c r="K1548" s="1085">
        <f t="shared" si="166"/>
        <v>1444.3798012161669</v>
      </c>
      <c r="L1548" s="1086">
        <f>L1744</f>
        <v>3.1</v>
      </c>
      <c r="M1548" s="2089"/>
      <c r="N1548" s="2086"/>
      <c r="O1548" s="1453"/>
      <c r="P1548" s="177"/>
      <c r="Q1548" s="177"/>
      <c r="R1548" s="1894"/>
      <c r="S1548" s="177"/>
      <c r="T1548" s="177"/>
      <c r="U1548" s="2090"/>
      <c r="V1548" s="245" t="s">
        <v>20</v>
      </c>
      <c r="W1548" s="1087">
        <v>1922.7050980392157</v>
      </c>
      <c r="X1548" s="1088">
        <v>1355.1427330932372</v>
      </c>
      <c r="Y1548" s="999">
        <v>1355.14</v>
      </c>
      <c r="Z1548" s="1089"/>
      <c r="AA1548" s="1089"/>
      <c r="AB1548" s="1090"/>
      <c r="AC1548" s="1087"/>
      <c r="AD1548" s="1087"/>
      <c r="AE1548" s="1087"/>
      <c r="AF1548" s="1087"/>
      <c r="AG1548" s="1087"/>
      <c r="AH1548" s="248"/>
      <c r="AK1548" s="1091"/>
      <c r="BB1548" s="350">
        <f>(BD1548+BD1549+BD1550+BD1551)/(BE1548+BE1549+BE1550+BE1551)</f>
        <v>3.2583229495729413</v>
      </c>
      <c r="BC1548" s="884" t="str">
        <f t="shared" si="151"/>
        <v>Cooling Res 6 Year EUL</v>
      </c>
      <c r="BD1548" s="894">
        <f>(INDEX('Avoided Cost Benefits'!$C$4:$C$857,MATCH(BC1548,'Avoided Cost Benefits'!$A$4:$A$857,0)))*F1548</f>
        <v>787.99244855974598</v>
      </c>
      <c r="BE1548" s="74">
        <f t="shared" si="160"/>
        <v>1363.2655037434326</v>
      </c>
      <c r="BG1548" s="919"/>
      <c r="BH1548" s="1092"/>
      <c r="BI1548" s="919"/>
    </row>
    <row r="1549" spans="1:61" s="65" customFormat="1" x14ac:dyDescent="0.25">
      <c r="A1549" s="785"/>
      <c r="B1549" s="177"/>
      <c r="C1549" s="1572" t="s">
        <v>1535</v>
      </c>
      <c r="D1549" s="2045" t="s">
        <v>797</v>
      </c>
      <c r="E1549" s="994" t="s">
        <v>1536</v>
      </c>
      <c r="F1549" s="999">
        <f>ROUND(((K1744*K1872*(1/K2000-1/K2128)*K2768)/1000),2)</f>
        <v>6759.78</v>
      </c>
      <c r="G1549" s="318" t="s">
        <v>1369</v>
      </c>
      <c r="H1549" s="239">
        <f>VLOOKUP(G1549,'CP FACTORS'!$A$3:$B$38, 2, FALSE)</f>
        <v>0</v>
      </c>
      <c r="I1549" s="2046">
        <f t="shared" si="150"/>
        <v>0</v>
      </c>
      <c r="J1549" s="156">
        <f t="shared" si="165"/>
        <v>6</v>
      </c>
      <c r="K1549" s="1085">
        <f t="shared" si="166"/>
        <v>0</v>
      </c>
      <c r="L1549" s="1086"/>
      <c r="M1549" s="2089"/>
      <c r="N1549" s="2086"/>
      <c r="O1549" s="1453"/>
      <c r="P1549" s="177"/>
      <c r="Q1549" s="177"/>
      <c r="R1549" s="1894"/>
      <c r="S1549" s="177"/>
      <c r="T1549" s="177"/>
      <c r="U1549" s="2090"/>
      <c r="V1549" s="245" t="s">
        <v>20</v>
      </c>
      <c r="W1549" s="1087">
        <v>9077.8044487427451</v>
      </c>
      <c r="X1549" s="1088">
        <v>6759.7787234042544</v>
      </c>
      <c r="Y1549" s="999">
        <v>6759.78</v>
      </c>
      <c r="Z1549" s="1089"/>
      <c r="AA1549" s="1089"/>
      <c r="AB1549" s="1090"/>
      <c r="AC1549" s="1087"/>
      <c r="AD1549" s="1087"/>
      <c r="AE1549" s="1087"/>
      <c r="AF1549" s="1087"/>
      <c r="AG1549" s="1087"/>
      <c r="AH1549" s="248"/>
      <c r="AK1549" s="1091"/>
      <c r="BB1549" s="995"/>
      <c r="BC1549" s="994" t="str">
        <f t="shared" si="151"/>
        <v>Heating Res 6 Year EUL</v>
      </c>
      <c r="BD1549" s="894">
        <f>(INDEX('Avoided Cost Benefits'!$C$4:$C$857,MATCH(BC1549,'Avoided Cost Benefits'!$A$4:$A$857,0)))*F1549</f>
        <v>1124.3778951463969</v>
      </c>
      <c r="BE1549" s="74">
        <f t="shared" si="160"/>
        <v>0</v>
      </c>
      <c r="BG1549" s="919"/>
      <c r="BH1549" s="1092"/>
      <c r="BI1549" s="919"/>
    </row>
    <row r="1550" spans="1:61" s="65" customFormat="1" x14ac:dyDescent="0.25">
      <c r="A1550" s="785"/>
      <c r="B1550" s="177"/>
      <c r="C1550" s="1572" t="s">
        <v>1535</v>
      </c>
      <c r="D1550" s="2045" t="s">
        <v>797</v>
      </c>
      <c r="E1550" s="994" t="s">
        <v>1537</v>
      </c>
      <c r="F1550" s="999">
        <f>ROUND(((K2257*K2385*(1/K2513-1/K2641)*K2769)/1000),2)</f>
        <v>448.98</v>
      </c>
      <c r="G1550" s="2078" t="s">
        <v>1408</v>
      </c>
      <c r="H1550" s="239">
        <f>VLOOKUP(G1550,'CP FACTORS'!$A$3:$B$38, 2, FALSE)</f>
        <v>9.4741810000000004E-4</v>
      </c>
      <c r="I1550" s="2046">
        <f t="shared" si="150"/>
        <v>0.42537199999999997</v>
      </c>
      <c r="J1550" s="156">
        <f t="shared" si="165"/>
        <v>12</v>
      </c>
      <c r="K1550" s="1085">
        <f t="shared" si="166"/>
        <v>0</v>
      </c>
      <c r="L1550" s="1086"/>
      <c r="M1550" s="2089"/>
      <c r="N1550" s="2086"/>
      <c r="O1550" s="1453"/>
      <c r="P1550" s="177"/>
      <c r="Q1550" s="177"/>
      <c r="R1550" s="1894"/>
      <c r="S1550" s="177"/>
      <c r="T1550" s="177"/>
      <c r="U1550" s="2090"/>
      <c r="V1550" s="245" t="s">
        <v>20</v>
      </c>
      <c r="W1550" s="1087">
        <v>448.98333333333346</v>
      </c>
      <c r="X1550" s="1096">
        <v>448.98333333333346</v>
      </c>
      <c r="Y1550" s="999">
        <v>448.98</v>
      </c>
      <c r="Z1550" s="1089"/>
      <c r="AA1550" s="1089"/>
      <c r="AB1550" s="1090"/>
      <c r="AC1550" s="1087"/>
      <c r="AD1550" s="1087"/>
      <c r="AE1550" s="1087"/>
      <c r="AF1550" s="1087"/>
      <c r="AG1550" s="1087"/>
      <c r="AH1550" s="248"/>
      <c r="AK1550" s="1091"/>
      <c r="BB1550" s="995"/>
      <c r="BC1550" s="994" t="str">
        <f t="shared" si="151"/>
        <v>Cooling Res ER2 12 Year EUL</v>
      </c>
      <c r="BD1550" s="894">
        <f>(INDEX('Avoided Cost Benefits'!$C$4:$C$857,MATCH(BC1550,'Avoided Cost Benefits'!$A$4:$A$857,0)))*F1550</f>
        <v>530.83961102225339</v>
      </c>
      <c r="BE1550" s="74">
        <f t="shared" si="160"/>
        <v>0</v>
      </c>
      <c r="BG1550" s="919"/>
      <c r="BH1550" s="1092"/>
      <c r="BI1550" s="919"/>
    </row>
    <row r="1551" spans="1:61" s="65" customFormat="1" x14ac:dyDescent="0.25">
      <c r="A1551" s="785"/>
      <c r="B1551" s="177"/>
      <c r="C1551" s="1572" t="s">
        <v>1535</v>
      </c>
      <c r="D1551" s="2045" t="s">
        <v>797</v>
      </c>
      <c r="E1551" s="892" t="s">
        <v>1537</v>
      </c>
      <c r="F1551" s="999">
        <f>ROUND(((K1745*K1873*(1/K2001-1/K2129)*K2769)/1000),2)</f>
        <v>6759.78</v>
      </c>
      <c r="G1551" s="2078" t="s">
        <v>1427</v>
      </c>
      <c r="H1551" s="239">
        <f>VLOOKUP(G1551,'CP FACTORS'!$A$3:$B$38, 2, FALSE)</f>
        <v>0</v>
      </c>
      <c r="I1551" s="2046">
        <f t="shared" si="150"/>
        <v>0</v>
      </c>
      <c r="J1551" s="156">
        <f t="shared" si="165"/>
        <v>12</v>
      </c>
      <c r="K1551" s="1085">
        <f t="shared" si="166"/>
        <v>0</v>
      </c>
      <c r="L1551" s="1086"/>
      <c r="M1551" s="2089"/>
      <c r="N1551" s="2086"/>
      <c r="O1551" s="1453"/>
      <c r="P1551" s="177"/>
      <c r="Q1551" s="177"/>
      <c r="R1551" s="1894"/>
      <c r="S1551" s="177"/>
      <c r="T1551" s="177"/>
      <c r="U1551" s="2090"/>
      <c r="V1551" s="245" t="s">
        <v>20</v>
      </c>
      <c r="W1551" s="1087">
        <v>9077.8044487427451</v>
      </c>
      <c r="X1551" s="1088">
        <v>6759.7787234042544</v>
      </c>
      <c r="Y1551" s="999">
        <v>6759.78</v>
      </c>
      <c r="Z1551" s="1089"/>
      <c r="AA1551" s="1089"/>
      <c r="AB1551" s="1090"/>
      <c r="AC1551" s="1087"/>
      <c r="AD1551" s="1087"/>
      <c r="AE1551" s="1087"/>
      <c r="AF1551" s="1087"/>
      <c r="AG1551" s="1087"/>
      <c r="AH1551" s="248"/>
      <c r="AK1551" s="1091"/>
      <c r="BB1551" s="995"/>
      <c r="BC1551" s="892" t="str">
        <f t="shared" si="151"/>
        <v>Heating Res ER2 12 Year EUL</v>
      </c>
      <c r="BD1551" s="894">
        <f>(INDEX('Avoided Cost Benefits'!$C$4:$C$857,MATCH(BC1551,'Avoided Cost Benefits'!$A$4:$A$857,0)))*F1551</f>
        <v>1998.7493224799473</v>
      </c>
      <c r="BE1551" s="74">
        <f t="shared" si="160"/>
        <v>0</v>
      </c>
      <c r="BG1551" s="919"/>
      <c r="BH1551" s="1092"/>
      <c r="BI1551" s="919"/>
    </row>
    <row r="1552" spans="1:61" s="65" customFormat="1" x14ac:dyDescent="0.25">
      <c r="A1552" s="785"/>
      <c r="B1552" s="177"/>
      <c r="C1552" s="1572" t="s">
        <v>1538</v>
      </c>
      <c r="D1552" s="2045" t="s">
        <v>792</v>
      </c>
      <c r="E1552" s="884" t="str">
        <f>CONCATENATE(E1548,"_CompE")</f>
        <v>ASHP - SEER 18 - replace electric furnace / CAC - early replacement MF ER1_CompE</v>
      </c>
      <c r="F1552" s="999">
        <f>ROUND((($K$2258*$K$2386*(1/$K$2514-1/$K$2642)*$K$2770)/1000),2)</f>
        <v>985.56</v>
      </c>
      <c r="G1552" s="318" t="str">
        <f t="shared" ref="G1552:K1555" si="167">G1548</f>
        <v>Cooling Res</v>
      </c>
      <c r="H1552" s="239">
        <f t="shared" si="167"/>
        <v>9.4741810000000004E-4</v>
      </c>
      <c r="I1552" s="2518">
        <f t="shared" si="150"/>
        <v>0.93373700000000004</v>
      </c>
      <c r="J1552" s="156">
        <f>J1548</f>
        <v>6</v>
      </c>
      <c r="K1552" s="1085">
        <f>K1548</f>
        <v>1444.3798012161669</v>
      </c>
      <c r="L1552" s="1086">
        <f>L1548</f>
        <v>3.1</v>
      </c>
      <c r="M1552" s="2089"/>
      <c r="N1552" s="2086"/>
      <c r="O1552" s="1453"/>
      <c r="P1552" s="177"/>
      <c r="Q1552" s="177"/>
      <c r="R1552" s="1894"/>
      <c r="S1552" s="177"/>
      <c r="T1552" s="177"/>
      <c r="U1552" s="2090"/>
      <c r="V1552" s="245" t="s">
        <v>20</v>
      </c>
      <c r="W1552" s="1087"/>
      <c r="X1552" s="1088"/>
      <c r="Y1552" s="1005">
        <v>985.56</v>
      </c>
      <c r="Z1552" s="1089"/>
      <c r="AA1552" s="1089"/>
      <c r="AB1552" s="1090"/>
      <c r="AC1552" s="1087"/>
      <c r="AD1552" s="1087"/>
      <c r="AE1552" s="1087"/>
      <c r="AF1552" s="1087"/>
      <c r="AG1552" s="1087"/>
      <c r="AH1552" s="248"/>
      <c r="AK1552" s="1091"/>
      <c r="BB1552" s="350">
        <f>(BD1552+BD1553+BD1554+BD1555)/(BE1552+BE1553+BE1554+BE1555)</f>
        <v>1.4845632588992894</v>
      </c>
      <c r="BC1552" s="884" t="str">
        <f t="shared" si="151"/>
        <v>Cooling Res 6 Year EUL</v>
      </c>
      <c r="BD1552" s="894">
        <f>(INDEX('Avoided Cost Benefits'!$C$4:$C$857,MATCH(BC1552,'Avoided Cost Benefits'!$A$4:$A$857,0)))*F1552</f>
        <v>573.08753162222581</v>
      </c>
      <c r="BE1552" s="74">
        <f t="shared" si="160"/>
        <v>1363.2655037434326</v>
      </c>
      <c r="BG1552" s="919"/>
      <c r="BH1552" s="1095"/>
      <c r="BI1552" s="919"/>
    </row>
    <row r="1553" spans="1:61" s="65" customFormat="1" x14ac:dyDescent="0.25">
      <c r="A1553" s="785"/>
      <c r="B1553" s="177"/>
      <c r="C1553" s="1572" t="str">
        <f>C1552</f>
        <v>354301_2019_12_</v>
      </c>
      <c r="D1553" s="2045" t="s">
        <v>792</v>
      </c>
      <c r="E1553" s="994" t="str">
        <f>CONCATENATE(E1549,"_CompE")</f>
        <v>ASHP - SEER 18 - replace electric furnace / CAC - early replacement MF ER1_CompE</v>
      </c>
      <c r="F1553" s="999">
        <f>ROUND((($K$1746*$K$1874*(1/$K$2002-1/$K$2130)*$K$2770)/1000),2)</f>
        <v>2304.4699999999998</v>
      </c>
      <c r="G1553" s="318" t="str">
        <f t="shared" si="167"/>
        <v>Heating Res</v>
      </c>
      <c r="H1553" s="239">
        <f t="shared" si="167"/>
        <v>0</v>
      </c>
      <c r="I1553" s="2518">
        <f t="shared" si="150"/>
        <v>0</v>
      </c>
      <c r="J1553" s="156">
        <f t="shared" si="167"/>
        <v>6</v>
      </c>
      <c r="K1553" s="1085">
        <f t="shared" si="167"/>
        <v>0</v>
      </c>
      <c r="L1553" s="1086"/>
      <c r="M1553" s="2089"/>
      <c r="N1553" s="2086"/>
      <c r="O1553" s="1453"/>
      <c r="P1553" s="177"/>
      <c r="Q1553" s="177"/>
      <c r="R1553" s="1894"/>
      <c r="S1553" s="177"/>
      <c r="T1553" s="177"/>
      <c r="U1553" s="2090"/>
      <c r="V1553" s="245" t="s">
        <v>20</v>
      </c>
      <c r="W1553" s="1087"/>
      <c r="X1553" s="1088"/>
      <c r="Y1553" s="1005">
        <v>2304.4699999999998</v>
      </c>
      <c r="Z1553" s="1089"/>
      <c r="AA1553" s="1089"/>
      <c r="AB1553" s="1090"/>
      <c r="AC1553" s="1087"/>
      <c r="AD1553" s="1087"/>
      <c r="AE1553" s="1087"/>
      <c r="AF1553" s="1087"/>
      <c r="AG1553" s="1087"/>
      <c r="AH1553" s="248"/>
      <c r="AK1553" s="1091"/>
      <c r="BB1553" s="995"/>
      <c r="BC1553" s="994" t="str">
        <f t="shared" si="151"/>
        <v>Heating Res 6 Year EUL</v>
      </c>
      <c r="BD1553" s="894">
        <f>(INDEX('Avoided Cost Benefits'!$C$4:$C$857,MATCH(BC1553,'Avoided Cost Benefits'!$A$4:$A$857,0)))*F1553</f>
        <v>383.31057046649704</v>
      </c>
      <c r="BE1553" s="74">
        <f t="shared" si="160"/>
        <v>0</v>
      </c>
      <c r="BG1553" s="919"/>
      <c r="BH1553" s="1095"/>
      <c r="BI1553" s="919"/>
    </row>
    <row r="1554" spans="1:61" s="65" customFormat="1" x14ac:dyDescent="0.25">
      <c r="A1554" s="785"/>
      <c r="B1554" s="177"/>
      <c r="C1554" s="1572" t="str">
        <f t="shared" ref="C1554:C1555" si="168">C1553</f>
        <v>354301_2019_12_</v>
      </c>
      <c r="D1554" s="2045" t="s">
        <v>792</v>
      </c>
      <c r="E1554" s="994" t="str">
        <f>CONCATENATE(E1550,"_CompE")</f>
        <v>ASHP - SEER 18 - replace electric furnace / CAC - early replacement MF ER2_CompE</v>
      </c>
      <c r="F1554" s="999">
        <f>ROUND((($K$2259*$K$2387*(1/$K$2515-1/$K$2643)*$K$2771)/1000),2)</f>
        <v>326.52999999999997</v>
      </c>
      <c r="G1554" s="318" t="str">
        <f t="shared" si="167"/>
        <v>Cooling Res ER2</v>
      </c>
      <c r="H1554" s="239">
        <f t="shared" si="167"/>
        <v>9.4741810000000004E-4</v>
      </c>
      <c r="I1554" s="2518">
        <f t="shared" si="150"/>
        <v>0.30936000000000002</v>
      </c>
      <c r="J1554" s="156">
        <f t="shared" si="167"/>
        <v>12</v>
      </c>
      <c r="K1554" s="1085">
        <f t="shared" si="167"/>
        <v>0</v>
      </c>
      <c r="L1554" s="1086"/>
      <c r="M1554" s="2089"/>
      <c r="N1554" s="2086"/>
      <c r="O1554" s="1453"/>
      <c r="P1554" s="177"/>
      <c r="Q1554" s="177"/>
      <c r="R1554" s="1894"/>
      <c r="S1554" s="177"/>
      <c r="T1554" s="177"/>
      <c r="U1554" s="2090"/>
      <c r="V1554" s="245" t="s">
        <v>20</v>
      </c>
      <c r="W1554" s="1087"/>
      <c r="X1554" s="1088"/>
      <c r="Y1554" s="1005">
        <v>326.52999999999997</v>
      </c>
      <c r="Z1554" s="1089"/>
      <c r="AA1554" s="1089"/>
      <c r="AB1554" s="1090"/>
      <c r="AC1554" s="1087"/>
      <c r="AD1554" s="1087"/>
      <c r="AE1554" s="1087"/>
      <c r="AF1554" s="1087"/>
      <c r="AG1554" s="1087"/>
      <c r="AH1554" s="248"/>
      <c r="AK1554" s="1091"/>
      <c r="BB1554" s="995"/>
      <c r="BC1554" s="994" t="str">
        <f t="shared" si="151"/>
        <v>Cooling Res ER2 12 Year EUL</v>
      </c>
      <c r="BD1554" s="894">
        <f>(INDEX('Avoided Cost Benefits'!$C$4:$C$857,MATCH(BC1554,'Avoided Cost Benefits'!$A$4:$A$857,0)))*F1554</f>
        <v>386.06409681299027</v>
      </c>
      <c r="BE1554" s="74">
        <f t="shared" si="160"/>
        <v>0</v>
      </c>
      <c r="BG1554" s="919"/>
      <c r="BH1554" s="1095"/>
      <c r="BI1554" s="919"/>
    </row>
    <row r="1555" spans="1:61" s="65" customFormat="1" x14ac:dyDescent="0.25">
      <c r="A1555" s="785"/>
      <c r="B1555" s="177"/>
      <c r="C1555" s="1572" t="str">
        <f t="shared" si="168"/>
        <v>354301_2019_12_</v>
      </c>
      <c r="D1555" s="2045" t="s">
        <v>792</v>
      </c>
      <c r="E1555" s="892" t="str">
        <f>CONCATENATE(E1551,"_CompE")</f>
        <v>ASHP - SEER 18 - replace electric furnace / CAC - early replacement MF ER2_CompE</v>
      </c>
      <c r="F1555" s="999">
        <f>ROUND((($K$1747*$K$1875*(1/$K$2003-1/$K$2131)*$K$2771)/1000),2)</f>
        <v>2304.4699999999998</v>
      </c>
      <c r="G1555" s="318" t="str">
        <f t="shared" si="167"/>
        <v>Heating Res ER2</v>
      </c>
      <c r="H1555" s="239">
        <f t="shared" si="167"/>
        <v>0</v>
      </c>
      <c r="I1555" s="2518">
        <f t="shared" si="150"/>
        <v>0</v>
      </c>
      <c r="J1555" s="156">
        <f t="shared" si="167"/>
        <v>12</v>
      </c>
      <c r="K1555" s="1085">
        <f t="shared" si="167"/>
        <v>0</v>
      </c>
      <c r="L1555" s="1086"/>
      <c r="M1555" s="2089"/>
      <c r="N1555" s="2086"/>
      <c r="O1555" s="1453"/>
      <c r="P1555" s="177"/>
      <c r="Q1555" s="177"/>
      <c r="R1555" s="1894"/>
      <c r="S1555" s="177"/>
      <c r="T1555" s="177"/>
      <c r="U1555" s="2090"/>
      <c r="V1555" s="245" t="s">
        <v>20</v>
      </c>
      <c r="W1555" s="1087"/>
      <c r="X1555" s="1088"/>
      <c r="Y1555" s="1005">
        <v>2304.4699999999998</v>
      </c>
      <c r="Z1555" s="1089"/>
      <c r="AA1555" s="1089"/>
      <c r="AB1555" s="1090"/>
      <c r="AC1555" s="1087"/>
      <c r="AD1555" s="1087"/>
      <c r="AE1555" s="1087"/>
      <c r="AF1555" s="1087"/>
      <c r="AG1555" s="1087"/>
      <c r="AH1555" s="248"/>
      <c r="AK1555" s="1091"/>
      <c r="BB1555" s="995"/>
      <c r="BC1555" s="892" t="str">
        <f t="shared" si="151"/>
        <v>Heating Res ER2 12 Year EUL</v>
      </c>
      <c r="BD1555" s="894">
        <f>(INDEX('Avoided Cost Benefits'!$C$4:$C$857,MATCH(BC1555,'Avoided Cost Benefits'!$A$4:$A$857,0)))*F1555</f>
        <v>681.39168008061858</v>
      </c>
      <c r="BE1555" s="74">
        <f t="shared" si="160"/>
        <v>0</v>
      </c>
      <c r="BG1555" s="919"/>
      <c r="BH1555" s="1095"/>
      <c r="BI1555" s="919"/>
    </row>
    <row r="1556" spans="1:61" s="65" customFormat="1" x14ac:dyDescent="0.25">
      <c r="A1556" s="785"/>
      <c r="B1556" s="177"/>
      <c r="C1556" s="1572" t="s">
        <v>1539</v>
      </c>
      <c r="D1556" s="2045" t="s">
        <v>797</v>
      </c>
      <c r="E1556" s="884" t="s">
        <v>1540</v>
      </c>
      <c r="F1556" s="999">
        <f>ROUND(((K2260*K2388*(1/K2516-1/K2644)*K2772)/1000),2)</f>
        <v>1442.57</v>
      </c>
      <c r="G1556" s="318" t="s">
        <v>1367</v>
      </c>
      <c r="H1556" s="239">
        <f>VLOOKUP(G1556,'CP FACTORS'!$A$3:$B$38, 2, FALSE)</f>
        <v>9.4741810000000004E-4</v>
      </c>
      <c r="I1556" s="2046">
        <f t="shared" si="150"/>
        <v>1.366717</v>
      </c>
      <c r="J1556" s="156">
        <f>K2934</f>
        <v>6</v>
      </c>
      <c r="K1556" s="1085">
        <f>K3104</f>
        <v>1475.441723875274</v>
      </c>
      <c r="L1556" s="1086">
        <f>L1748</f>
        <v>3.3</v>
      </c>
      <c r="M1556" s="2089"/>
      <c r="N1556" s="2086"/>
      <c r="O1556" s="1453"/>
      <c r="P1556" s="177"/>
      <c r="Q1556" s="177"/>
      <c r="R1556" s="1894"/>
      <c r="S1556" s="177"/>
      <c r="T1556" s="177"/>
      <c r="U1556" s="2090"/>
      <c r="V1556" s="245" t="s">
        <v>20</v>
      </c>
      <c r="W1556" s="1087">
        <v>1864.0050000000006</v>
      </c>
      <c r="X1556" s="1088">
        <v>1442.5712965186076</v>
      </c>
      <c r="Y1556" s="999">
        <v>1442.57</v>
      </c>
      <c r="Z1556" s="1089"/>
      <c r="AA1556" s="1089"/>
      <c r="AB1556" s="1090"/>
      <c r="AC1556" s="1087"/>
      <c r="AD1556" s="1087"/>
      <c r="AE1556" s="1087"/>
      <c r="AF1556" s="1087"/>
      <c r="AG1556" s="1087"/>
      <c r="AH1556" s="248"/>
      <c r="AK1556" s="1091"/>
      <c r="BB1556" s="350">
        <f>(BD1556+BD1557+BD1558+BD1559)/(BE1556+BE1557+BE1558+BE1559)</f>
        <v>1.2550908489826855</v>
      </c>
      <c r="BC1556" s="884" t="str">
        <f t="shared" si="151"/>
        <v>Cooling Res 6 Year EUL</v>
      </c>
      <c r="BD1556" s="894">
        <f>(INDEX('Avoided Cost Benefits'!$C$4:$C$857,MATCH(BC1556,'Avoided Cost Benefits'!$A$4:$A$857,0)))*F1556</f>
        <v>838.83160892515355</v>
      </c>
      <c r="BE1556" s="74">
        <f t="shared" si="160"/>
        <v>1392.5830333886493</v>
      </c>
      <c r="BG1556" s="919"/>
      <c r="BH1556" s="1092"/>
      <c r="BI1556" s="919"/>
    </row>
    <row r="1557" spans="1:61" s="65" customFormat="1" x14ac:dyDescent="0.25">
      <c r="A1557" s="785"/>
      <c r="B1557" s="177"/>
      <c r="C1557" s="1572" t="s">
        <v>1539</v>
      </c>
      <c r="D1557" s="2045" t="s">
        <v>797</v>
      </c>
      <c r="E1557" s="994" t="s">
        <v>1540</v>
      </c>
      <c r="F1557" s="999">
        <f>ROUND(((K1748*K1876*(1/K2004-1/K2132)*K2772)/1000),2)</f>
        <v>1798.76</v>
      </c>
      <c r="G1557" s="318" t="s">
        <v>1369</v>
      </c>
      <c r="H1557" s="239">
        <f>VLOOKUP(G1557,'CP FACTORS'!$A$3:$B$38, 2, FALSE)</f>
        <v>0</v>
      </c>
      <c r="I1557" s="2046">
        <f t="shared" si="150"/>
        <v>0</v>
      </c>
      <c r="J1557" s="156">
        <f>K2935</f>
        <v>6</v>
      </c>
      <c r="K1557" s="1085">
        <f>K3105</f>
        <v>0</v>
      </c>
      <c r="L1557" s="1086"/>
      <c r="M1557" s="2089"/>
      <c r="N1557" s="2086"/>
      <c r="O1557" s="1453"/>
      <c r="P1557" s="177"/>
      <c r="Q1557" s="177"/>
      <c r="R1557" s="1894"/>
      <c r="S1557" s="177"/>
      <c r="T1557" s="177"/>
      <c r="U1557" s="2090"/>
      <c r="V1557" s="245" t="s">
        <v>20</v>
      </c>
      <c r="W1557" s="1087">
        <v>4062.4872213622284</v>
      </c>
      <c r="X1557" s="1088">
        <v>1798.7611070228763</v>
      </c>
      <c r="Y1557" s="999">
        <v>1798.76</v>
      </c>
      <c r="Z1557" s="1089"/>
      <c r="AA1557" s="1089"/>
      <c r="AB1557" s="1090"/>
      <c r="AC1557" s="1087"/>
      <c r="AD1557" s="1087"/>
      <c r="AE1557" s="1087"/>
      <c r="AF1557" s="1087"/>
      <c r="AG1557" s="1087"/>
      <c r="AH1557" s="248"/>
      <c r="AK1557" s="1091"/>
      <c r="BB1557" s="995"/>
      <c r="BC1557" s="994" t="str">
        <f t="shared" si="151"/>
        <v>Heating Res 6 Year EUL</v>
      </c>
      <c r="BD1557" s="894">
        <f>(INDEX('Avoided Cost Benefits'!$C$4:$C$857,MATCH(BC1557,'Avoided Cost Benefits'!$A$4:$A$857,0)))*F1557</f>
        <v>299.19405404813961</v>
      </c>
      <c r="BE1557" s="74">
        <f t="shared" si="160"/>
        <v>0</v>
      </c>
      <c r="BG1557" s="919"/>
      <c r="BH1557" s="1092"/>
      <c r="BI1557" s="919"/>
    </row>
    <row r="1558" spans="1:61" s="65" customFormat="1" x14ac:dyDescent="0.25">
      <c r="A1558" s="785"/>
      <c r="B1558" s="177"/>
      <c r="C1558" s="1572" t="s">
        <v>1539</v>
      </c>
      <c r="D1558" s="2045" t="s">
        <v>797</v>
      </c>
      <c r="E1558" s="994" t="s">
        <v>1541</v>
      </c>
      <c r="F1558" s="999">
        <f>ROUND(((K2261*K2389*(1/K2517-1/K2645)*K2773)/1000),2)</f>
        <v>355.05</v>
      </c>
      <c r="G1558" s="2078" t="s">
        <v>1408</v>
      </c>
      <c r="H1558" s="239">
        <f>VLOOKUP(G1558,'CP FACTORS'!$A$3:$B$38, 2, FALSE)</f>
        <v>9.4741810000000004E-4</v>
      </c>
      <c r="I1558" s="2046">
        <f t="shared" si="150"/>
        <v>0.33638099999999999</v>
      </c>
      <c r="J1558" s="156">
        <f>K2936</f>
        <v>12</v>
      </c>
      <c r="K1558" s="1085">
        <f>K3106</f>
        <v>0</v>
      </c>
      <c r="L1558" s="1086"/>
      <c r="M1558" s="2089"/>
      <c r="N1558" s="2086"/>
      <c r="O1558" s="1453"/>
      <c r="P1558" s="177"/>
      <c r="Q1558" s="177"/>
      <c r="R1558" s="1894"/>
      <c r="S1558" s="177"/>
      <c r="T1558" s="177"/>
      <c r="U1558" s="2090"/>
      <c r="V1558" s="245" t="s">
        <v>20</v>
      </c>
      <c r="W1558" s="1087">
        <v>355.04857142857139</v>
      </c>
      <c r="X1558" s="1096">
        <v>355.04857142857139</v>
      </c>
      <c r="Y1558" s="999">
        <v>355.05</v>
      </c>
      <c r="Z1558" s="1089"/>
      <c r="AA1558" s="1089"/>
      <c r="AB1558" s="1090"/>
      <c r="AC1558" s="1087"/>
      <c r="AD1558" s="1087"/>
      <c r="AE1558" s="1087"/>
      <c r="AF1558" s="1087"/>
      <c r="AG1558" s="1087"/>
      <c r="AH1558" s="248"/>
      <c r="AK1558" s="1091"/>
      <c r="BB1558" s="995"/>
      <c r="BC1558" s="994" t="str">
        <f t="shared" si="151"/>
        <v>Cooling Res ER2 12 Year EUL</v>
      </c>
      <c r="BD1558" s="894">
        <f>(INDEX('Avoided Cost Benefits'!$C$4:$C$857,MATCH(BC1558,'Avoided Cost Benefits'!$A$4:$A$857,0)))*F1558</f>
        <v>419.78396341362878</v>
      </c>
      <c r="BE1558" s="74">
        <f t="shared" si="160"/>
        <v>0</v>
      </c>
      <c r="BG1558" s="919"/>
      <c r="BH1558" s="1092"/>
      <c r="BI1558" s="919"/>
    </row>
    <row r="1559" spans="1:61" s="65" customFormat="1" x14ac:dyDescent="0.25">
      <c r="A1559" s="785"/>
      <c r="B1559" s="177"/>
      <c r="C1559" s="1572" t="s">
        <v>1539</v>
      </c>
      <c r="D1559" s="2045" t="s">
        <v>797</v>
      </c>
      <c r="E1559" s="892" t="s">
        <v>1541</v>
      </c>
      <c r="F1559" s="999">
        <f>ROUND(((K1749*K1877*(1/K2005-1/K2133)*K2773)/1000),2)</f>
        <v>642.61</v>
      </c>
      <c r="G1559" s="2078" t="s">
        <v>1427</v>
      </c>
      <c r="H1559" s="239">
        <f>VLOOKUP(G1559,'CP FACTORS'!$A$3:$B$38, 2, FALSE)</f>
        <v>0</v>
      </c>
      <c r="I1559" s="2046">
        <f t="shared" si="150"/>
        <v>0</v>
      </c>
      <c r="J1559" s="156">
        <f>K2937</f>
        <v>12</v>
      </c>
      <c r="K1559" s="1085">
        <f>K3107</f>
        <v>0</v>
      </c>
      <c r="L1559" s="1086"/>
      <c r="M1559" s="2089"/>
      <c r="N1559" s="2086"/>
      <c r="O1559" s="1453"/>
      <c r="P1559" s="177"/>
      <c r="Q1559" s="177"/>
      <c r="R1559" s="1894"/>
      <c r="S1559" s="177"/>
      <c r="T1559" s="177"/>
      <c r="U1559" s="2090"/>
      <c r="V1559" s="245" t="s">
        <v>20</v>
      </c>
      <c r="W1559" s="1087">
        <v>862.96736842105349</v>
      </c>
      <c r="X1559" s="1088">
        <v>642.6078562259313</v>
      </c>
      <c r="Y1559" s="999">
        <v>642.61</v>
      </c>
      <c r="Z1559" s="1089"/>
      <c r="AA1559" s="1089"/>
      <c r="AB1559" s="1090"/>
      <c r="AC1559" s="1087"/>
      <c r="AD1559" s="1087"/>
      <c r="AE1559" s="1087"/>
      <c r="AF1559" s="1087"/>
      <c r="AG1559" s="1087"/>
      <c r="AH1559" s="248"/>
      <c r="AK1559" s="1091"/>
      <c r="BB1559" s="995"/>
      <c r="BC1559" s="892" t="str">
        <f t="shared" si="151"/>
        <v>Heating Res ER2 12 Year EUL</v>
      </c>
      <c r="BD1559" s="894">
        <f>(INDEX('Avoided Cost Benefits'!$C$4:$C$857,MATCH(BC1559,'Avoided Cost Benefits'!$A$4:$A$857,0)))*F1559</f>
        <v>190.00859526772157</v>
      </c>
      <c r="BE1559" s="74">
        <f t="shared" si="160"/>
        <v>0</v>
      </c>
      <c r="BG1559" s="919"/>
      <c r="BH1559" s="1092"/>
      <c r="BI1559" s="919"/>
    </row>
    <row r="1560" spans="1:61" s="65" customFormat="1" x14ac:dyDescent="0.25">
      <c r="A1560" s="785"/>
      <c r="B1560" s="177"/>
      <c r="C1560" s="1572" t="s">
        <v>1542</v>
      </c>
      <c r="D1560" s="2045" t="s">
        <v>792</v>
      </c>
      <c r="E1560" s="884" t="str">
        <f>CONCATENATE(E1556,"_CompE")</f>
        <v>ASHP SEER 18 replace ASHP - early replacement MF ER1_CompE</v>
      </c>
      <c r="F1560" s="999">
        <f>ROUND((($K$2262*$K$2390*(1/$K$2518-1/$K$2646)*$K$2774)/1000),2)</f>
        <v>1049.1400000000001</v>
      </c>
      <c r="G1560" s="318" t="str">
        <f t="shared" ref="G1560:K1563" si="169">G1556</f>
        <v>Cooling Res</v>
      </c>
      <c r="H1560" s="239">
        <f t="shared" si="169"/>
        <v>9.4741810000000004E-4</v>
      </c>
      <c r="I1560" s="2518">
        <f t="shared" si="150"/>
        <v>0.99397400000000002</v>
      </c>
      <c r="J1560" s="156">
        <f>J1556</f>
        <v>6</v>
      </c>
      <c r="K1560" s="1085">
        <f>K1556</f>
        <v>1475.441723875274</v>
      </c>
      <c r="L1560" s="1086">
        <f>L1556</f>
        <v>3.3</v>
      </c>
      <c r="M1560" s="2089"/>
      <c r="N1560" s="2086"/>
      <c r="O1560" s="1453"/>
      <c r="P1560" s="177"/>
      <c r="Q1560" s="177"/>
      <c r="R1560" s="1894"/>
      <c r="S1560" s="177"/>
      <c r="T1560" s="177"/>
      <c r="U1560" s="2090"/>
      <c r="V1560" s="245" t="s">
        <v>20</v>
      </c>
      <c r="W1560" s="1087"/>
      <c r="X1560" s="1088"/>
      <c r="Y1560" s="1005">
        <v>1049.1400000000001</v>
      </c>
      <c r="Z1560" s="1089"/>
      <c r="AA1560" s="1089"/>
      <c r="AB1560" s="1090"/>
      <c r="AC1560" s="1087"/>
      <c r="AD1560" s="1087"/>
      <c r="AE1560" s="1087"/>
      <c r="AF1560" s="1087"/>
      <c r="AG1560" s="1087"/>
      <c r="AH1560" s="248"/>
      <c r="AK1560" s="1091"/>
      <c r="BB1560" s="350">
        <f>(BD1560+BD1561+BD1562+BD1563)/(BE1560+BE1561+BE1562+BE1563)</f>
        <v>0.77706707719975077</v>
      </c>
      <c r="BC1560" s="884" t="str">
        <f t="shared" si="151"/>
        <v>Cooling Res 6 Year EUL</v>
      </c>
      <c r="BD1560" s="894">
        <f>(INDEX('Avoided Cost Benefits'!$C$4:$C$857,MATCH(BC1560,'Avoided Cost Benefits'!$A$4:$A$857,0)))*F1560</f>
        <v>610.05829470163371</v>
      </c>
      <c r="BE1560" s="74">
        <f t="shared" si="160"/>
        <v>1392.5830333886493</v>
      </c>
      <c r="BG1560" s="919"/>
      <c r="BH1560" s="1095"/>
      <c r="BI1560" s="919"/>
    </row>
    <row r="1561" spans="1:61" s="65" customFormat="1" x14ac:dyDescent="0.25">
      <c r="A1561" s="785"/>
      <c r="B1561" s="177"/>
      <c r="C1561" s="1572" t="str">
        <f>C1560</f>
        <v>354351_2019_12_</v>
      </c>
      <c r="D1561" s="2045" t="s">
        <v>792</v>
      </c>
      <c r="E1561" s="994" t="str">
        <f>CONCATENATE(E1557,"_CompE")</f>
        <v>ASHP SEER 18 replace ASHP - early replacement MF ER1_CompE</v>
      </c>
      <c r="F1561" s="999">
        <f>ROUND((($K$1750*$K$1878*(1/$K$2006-1/$K$2134)*$K$2774)/1000),2)</f>
        <v>613.21</v>
      </c>
      <c r="G1561" s="318" t="str">
        <f t="shared" si="169"/>
        <v>Heating Res</v>
      </c>
      <c r="H1561" s="239">
        <f t="shared" si="169"/>
        <v>0</v>
      </c>
      <c r="I1561" s="2518">
        <f t="shared" si="150"/>
        <v>0</v>
      </c>
      <c r="J1561" s="156">
        <f t="shared" si="169"/>
        <v>6</v>
      </c>
      <c r="K1561" s="1085">
        <f t="shared" si="169"/>
        <v>0</v>
      </c>
      <c r="L1561" s="1086"/>
      <c r="M1561" s="2089"/>
      <c r="N1561" s="2086"/>
      <c r="O1561" s="1453"/>
      <c r="P1561" s="177"/>
      <c r="Q1561" s="177"/>
      <c r="R1561" s="1894"/>
      <c r="S1561" s="177"/>
      <c r="T1561" s="177"/>
      <c r="U1561" s="2090"/>
      <c r="V1561" s="245" t="s">
        <v>20</v>
      </c>
      <c r="W1561" s="1087"/>
      <c r="X1561" s="1088"/>
      <c r="Y1561" s="1005">
        <v>613.21</v>
      </c>
      <c r="Z1561" s="1089"/>
      <c r="AA1561" s="1089"/>
      <c r="AB1561" s="1090"/>
      <c r="AC1561" s="1087"/>
      <c r="AD1561" s="1087"/>
      <c r="AE1561" s="1087"/>
      <c r="AF1561" s="1087"/>
      <c r="AG1561" s="1087"/>
      <c r="AH1561" s="248"/>
      <c r="AK1561" s="1091"/>
      <c r="BB1561" s="995"/>
      <c r="BC1561" s="994" t="str">
        <f t="shared" si="151"/>
        <v>Heating Res 6 Year EUL</v>
      </c>
      <c r="BD1561" s="894">
        <f>(INDEX('Avoided Cost Benefits'!$C$4:$C$857,MATCH(BC1561,'Avoided Cost Benefits'!$A$4:$A$857,0)))*F1561</f>
        <v>101.99736812185043</v>
      </c>
      <c r="BE1561" s="74">
        <f t="shared" si="160"/>
        <v>0</v>
      </c>
      <c r="BG1561" s="919"/>
      <c r="BH1561" s="1095"/>
      <c r="BI1561" s="919"/>
    </row>
    <row r="1562" spans="1:61" s="65" customFormat="1" x14ac:dyDescent="0.25">
      <c r="A1562" s="785"/>
      <c r="B1562" s="177"/>
      <c r="C1562" s="1572" t="str">
        <f t="shared" ref="C1562:C1563" si="170">C1561</f>
        <v>354351_2019_12_</v>
      </c>
      <c r="D1562" s="2045" t="s">
        <v>792</v>
      </c>
      <c r="E1562" s="994" t="str">
        <f>CONCATENATE(E1558,"_CompE")</f>
        <v>ASHP SEER 18 replace ASHP - early replacement MF ER2_CompE</v>
      </c>
      <c r="F1562" s="999">
        <f>ROUND((($K$2263*$K$2391*(1/$K$2519-1/$K$2647)*$K$2775)/1000),2)</f>
        <v>258.22000000000003</v>
      </c>
      <c r="G1562" s="318" t="str">
        <f t="shared" si="169"/>
        <v>Cooling Res ER2</v>
      </c>
      <c r="H1562" s="239">
        <f t="shared" si="169"/>
        <v>9.4741810000000004E-4</v>
      </c>
      <c r="I1562" s="2518">
        <f t="shared" si="150"/>
        <v>0.244642</v>
      </c>
      <c r="J1562" s="156">
        <f t="shared" si="169"/>
        <v>12</v>
      </c>
      <c r="K1562" s="1085">
        <f t="shared" si="169"/>
        <v>0</v>
      </c>
      <c r="L1562" s="1086"/>
      <c r="M1562" s="2089"/>
      <c r="N1562" s="2086"/>
      <c r="O1562" s="1453"/>
      <c r="P1562" s="177"/>
      <c r="Q1562" s="177"/>
      <c r="R1562" s="1894"/>
      <c r="S1562" s="177"/>
      <c r="T1562" s="177"/>
      <c r="U1562" s="2090"/>
      <c r="V1562" s="245" t="s">
        <v>20</v>
      </c>
      <c r="W1562" s="1087"/>
      <c r="X1562" s="1088"/>
      <c r="Y1562" s="1005">
        <v>258.22000000000003</v>
      </c>
      <c r="Z1562" s="1089"/>
      <c r="AA1562" s="1089"/>
      <c r="AB1562" s="1090"/>
      <c r="AC1562" s="1087"/>
      <c r="AD1562" s="1087"/>
      <c r="AE1562" s="1087"/>
      <c r="AF1562" s="1087"/>
      <c r="AG1562" s="1087"/>
      <c r="AH1562" s="248"/>
      <c r="AK1562" s="1091"/>
      <c r="BB1562" s="995"/>
      <c r="BC1562" s="994" t="str">
        <f t="shared" si="151"/>
        <v>Cooling Res ER2 12 Year EUL</v>
      </c>
      <c r="BD1562" s="894">
        <f>(INDEX('Avoided Cost Benefits'!$C$4:$C$857,MATCH(BC1562,'Avoided Cost Benefits'!$A$4:$A$857,0)))*F1562</f>
        <v>305.29957761629976</v>
      </c>
      <c r="BE1562" s="74">
        <f t="shared" si="160"/>
        <v>0</v>
      </c>
      <c r="BG1562" s="919"/>
      <c r="BH1562" s="1095"/>
      <c r="BI1562" s="919"/>
    </row>
    <row r="1563" spans="1:61" s="65" customFormat="1" x14ac:dyDescent="0.25">
      <c r="A1563" s="785"/>
      <c r="B1563" s="177"/>
      <c r="C1563" s="1572" t="str">
        <f t="shared" si="170"/>
        <v>354351_2019_12_</v>
      </c>
      <c r="D1563" s="2045" t="s">
        <v>792</v>
      </c>
      <c r="E1563" s="892" t="str">
        <f>CONCATENATE(E1559,"_CompE")</f>
        <v>ASHP SEER 18 replace ASHP - early replacement MF ER2_CompE</v>
      </c>
      <c r="F1563" s="999">
        <f>ROUND((($K$1751*$K$1879*(1/$K$2007-1/$K$2135)*$K$2775)/1000),2)</f>
        <v>219.07</v>
      </c>
      <c r="G1563" s="318" t="str">
        <f t="shared" si="169"/>
        <v>Heating Res ER2</v>
      </c>
      <c r="H1563" s="239">
        <f t="shared" si="169"/>
        <v>0</v>
      </c>
      <c r="I1563" s="2518">
        <f t="shared" si="150"/>
        <v>0</v>
      </c>
      <c r="J1563" s="156">
        <f t="shared" si="169"/>
        <v>12</v>
      </c>
      <c r="K1563" s="1085">
        <f t="shared" si="169"/>
        <v>0</v>
      </c>
      <c r="L1563" s="1086"/>
      <c r="M1563" s="2089"/>
      <c r="N1563" s="2086"/>
      <c r="O1563" s="1453"/>
      <c r="P1563" s="177"/>
      <c r="Q1563" s="177"/>
      <c r="R1563" s="1894"/>
      <c r="S1563" s="177"/>
      <c r="T1563" s="177"/>
      <c r="U1563" s="2090"/>
      <c r="V1563" s="245" t="s">
        <v>20</v>
      </c>
      <c r="W1563" s="1087"/>
      <c r="X1563" s="1088"/>
      <c r="Y1563" s="1005">
        <v>219.07</v>
      </c>
      <c r="Z1563" s="1089"/>
      <c r="AA1563" s="1089"/>
      <c r="AB1563" s="1090"/>
      <c r="AC1563" s="1087"/>
      <c r="AD1563" s="1087"/>
      <c r="AE1563" s="1087"/>
      <c r="AF1563" s="1087"/>
      <c r="AG1563" s="1087"/>
      <c r="AH1563" s="248"/>
      <c r="AK1563" s="1091"/>
      <c r="BB1563" s="995"/>
      <c r="BC1563" s="892" t="str">
        <f t="shared" si="151"/>
        <v>Heating Res ER2 12 Year EUL</v>
      </c>
      <c r="BD1563" s="894">
        <f>(INDEX('Avoided Cost Benefits'!$C$4:$C$857,MATCH(BC1563,'Avoided Cost Benefits'!$A$4:$A$857,0)))*F1563</f>
        <v>64.775187073496781</v>
      </c>
      <c r="BE1563" s="74">
        <f t="shared" si="160"/>
        <v>0</v>
      </c>
      <c r="BG1563" s="919"/>
      <c r="BH1563" s="1095"/>
      <c r="BI1563" s="919"/>
    </row>
    <row r="1564" spans="1:61" s="65" customFormat="1" x14ac:dyDescent="0.25">
      <c r="A1564" s="785"/>
      <c r="B1564" s="177"/>
      <c r="C1564" s="1572" t="s">
        <v>1543</v>
      </c>
      <c r="D1564" s="2045" t="s">
        <v>795</v>
      </c>
      <c r="E1564" s="884" t="s">
        <v>1544</v>
      </c>
      <c r="F1564" s="999">
        <f>ROUND(((K2264*K2392*(1/K2520-1/K2648)*K2776)/1000),2)</f>
        <v>2179.36</v>
      </c>
      <c r="G1564" s="318" t="s">
        <v>1367</v>
      </c>
      <c r="H1564" s="239">
        <f>VLOOKUP(G1564,'CP FACTORS'!$A$3:$B$38, 2, FALSE)</f>
        <v>9.4741810000000004E-4</v>
      </c>
      <c r="I1564" s="2046">
        <f t="shared" si="150"/>
        <v>2.064765</v>
      </c>
      <c r="J1564" s="156">
        <f t="shared" ref="J1564:J1568" si="171">K2938</f>
        <v>6</v>
      </c>
      <c r="K1564" s="1085">
        <f t="shared" ref="K1564:K1568" si="172">K3108</f>
        <v>1944.3573864864111</v>
      </c>
      <c r="L1564" s="1086">
        <f>L1752</f>
        <v>3.1</v>
      </c>
      <c r="M1564" s="2089"/>
      <c r="N1564" s="2086"/>
      <c r="O1564" s="1453"/>
      <c r="P1564" s="177"/>
      <c r="Q1564" s="177"/>
      <c r="R1564" s="1894"/>
      <c r="S1564" s="177"/>
      <c r="T1564" s="177"/>
      <c r="U1564" s="2090"/>
      <c r="V1564" s="245" t="s">
        <v>20</v>
      </c>
      <c r="W1564" s="1087">
        <v>3052.5306501547993</v>
      </c>
      <c r="X1564" s="1088">
        <v>2179.3577810071401</v>
      </c>
      <c r="Y1564" s="999">
        <v>2179.36</v>
      </c>
      <c r="Z1564" s="1089"/>
      <c r="AA1564" s="1089"/>
      <c r="AB1564" s="1090"/>
      <c r="AC1564" s="1087"/>
      <c r="AD1564" s="1087"/>
      <c r="AE1564" s="1087"/>
      <c r="AF1564" s="1087"/>
      <c r="AG1564" s="1087"/>
      <c r="AH1564" s="248"/>
      <c r="AK1564" s="1091"/>
      <c r="BB1564" s="350">
        <f>(BD1564+BD1565+BD1566+BD1567)/(BE1564+BE1565+BE1566+BE1567)</f>
        <v>3.8146524457068041</v>
      </c>
      <c r="BC1564" s="884" t="str">
        <f t="shared" si="151"/>
        <v>Cooling Res 6 Year EUL</v>
      </c>
      <c r="BD1564" s="894">
        <f>(INDEX('Avoided Cost Benefits'!$C$4:$C$857,MATCH(BC1564,'Avoided Cost Benefits'!$A$4:$A$857,0)))*F1564</f>
        <v>1267.2633253340377</v>
      </c>
      <c r="BE1564" s="74">
        <f t="shared" si="160"/>
        <v>1835.1650651122329</v>
      </c>
      <c r="BG1564" s="919"/>
      <c r="BH1564" s="1092"/>
      <c r="BI1564" s="919"/>
    </row>
    <row r="1565" spans="1:61" s="65" customFormat="1" x14ac:dyDescent="0.25">
      <c r="A1565" s="785"/>
      <c r="B1565" s="177"/>
      <c r="C1565" s="1572" t="s">
        <v>1543</v>
      </c>
      <c r="D1565" s="2045" t="s">
        <v>795</v>
      </c>
      <c r="E1565" s="994" t="s">
        <v>1544</v>
      </c>
      <c r="F1565" s="999">
        <f>ROUND(((K1752*K1880*(1/K2008-1/K2136)*K2776)/1000),2)</f>
        <v>10399.66</v>
      </c>
      <c r="G1565" s="318" t="s">
        <v>1369</v>
      </c>
      <c r="H1565" s="239">
        <f>VLOOKUP(G1565,'CP FACTORS'!$A$3:$B$38, 2, FALSE)</f>
        <v>0</v>
      </c>
      <c r="I1565" s="2046">
        <f t="shared" si="150"/>
        <v>0</v>
      </c>
      <c r="J1565" s="156">
        <f t="shared" si="171"/>
        <v>6</v>
      </c>
      <c r="K1565" s="1085">
        <f t="shared" si="172"/>
        <v>0</v>
      </c>
      <c r="L1565" s="1086"/>
      <c r="M1565" s="2089"/>
      <c r="N1565" s="2086"/>
      <c r="O1565" s="1453"/>
      <c r="P1565" s="177"/>
      <c r="Q1565" s="177"/>
      <c r="R1565" s="1894"/>
      <c r="S1565" s="177"/>
      <c r="T1565" s="177"/>
      <c r="U1565" s="2090"/>
      <c r="V1565" s="245" t="s">
        <v>20</v>
      </c>
      <c r="W1565" s="1087">
        <v>13965.852998065762</v>
      </c>
      <c r="X1565" s="1088">
        <v>10399.659574468084</v>
      </c>
      <c r="Y1565" s="999">
        <v>10399.66</v>
      </c>
      <c r="Z1565" s="1089"/>
      <c r="AA1565" s="1089"/>
      <c r="AB1565" s="1090"/>
      <c r="AC1565" s="1087"/>
      <c r="AD1565" s="1087"/>
      <c r="AE1565" s="1087"/>
      <c r="AF1565" s="1087"/>
      <c r="AG1565" s="1087"/>
      <c r="AH1565" s="248"/>
      <c r="AK1565" s="1091"/>
      <c r="BB1565" s="995"/>
      <c r="BC1565" s="994" t="str">
        <f t="shared" si="151"/>
        <v>Heating Res 6 Year EUL</v>
      </c>
      <c r="BD1565" s="894">
        <f>(INDEX('Avoided Cost Benefits'!$C$4:$C$857,MATCH(BC1565,'Avoided Cost Benefits'!$A$4:$A$857,0)))*F1565</f>
        <v>1729.8118904813734</v>
      </c>
      <c r="BE1565" s="74">
        <f t="shared" si="160"/>
        <v>0</v>
      </c>
      <c r="BG1565" s="919"/>
      <c r="BH1565" s="1092"/>
      <c r="BI1565" s="919"/>
    </row>
    <row r="1566" spans="1:61" s="65" customFormat="1" x14ac:dyDescent="0.25">
      <c r="A1566" s="785"/>
      <c r="B1566" s="177"/>
      <c r="C1566" s="1572" t="s">
        <v>1543</v>
      </c>
      <c r="D1566" s="2045" t="s">
        <v>795</v>
      </c>
      <c r="E1566" s="994" t="s">
        <v>1545</v>
      </c>
      <c r="F1566" s="999">
        <f>ROUND(((K2265*K2393*(1/K2521-1/K2649)*K2777)/1000),2)</f>
        <v>785.27</v>
      </c>
      <c r="G1566" s="2078" t="s">
        <v>1408</v>
      </c>
      <c r="H1566" s="239">
        <f>VLOOKUP(G1566,'CP FACTORS'!$A$3:$B$38, 2, FALSE)</f>
        <v>9.4741810000000004E-4</v>
      </c>
      <c r="I1566" s="2046">
        <f t="shared" si="150"/>
        <v>0.74397899999999995</v>
      </c>
      <c r="J1566" s="156">
        <f t="shared" si="171"/>
        <v>12</v>
      </c>
      <c r="K1566" s="1085">
        <f t="shared" si="172"/>
        <v>0</v>
      </c>
      <c r="L1566" s="1086"/>
      <c r="M1566" s="2089"/>
      <c r="N1566" s="2086"/>
      <c r="O1566" s="1453"/>
      <c r="P1566" s="177"/>
      <c r="Q1566" s="177"/>
      <c r="R1566" s="1894"/>
      <c r="S1566" s="177"/>
      <c r="T1566" s="177"/>
      <c r="U1566" s="2090"/>
      <c r="V1566" s="245" t="s">
        <v>20</v>
      </c>
      <c r="W1566" s="1087">
        <v>785.26639676113382</v>
      </c>
      <c r="X1566" s="1096">
        <v>785.26639676113382</v>
      </c>
      <c r="Y1566" s="999">
        <v>785.27</v>
      </c>
      <c r="Z1566" s="1089"/>
      <c r="AA1566" s="1089"/>
      <c r="AB1566" s="1090"/>
      <c r="AC1566" s="1087"/>
      <c r="AD1566" s="1087"/>
      <c r="AE1566" s="1087"/>
      <c r="AF1566" s="1087"/>
      <c r="AG1566" s="1087"/>
      <c r="AH1566" s="248"/>
      <c r="AK1566" s="1091"/>
      <c r="BB1566" s="995"/>
      <c r="BC1566" s="994" t="str">
        <f t="shared" si="151"/>
        <v>Cooling Res ER2 12 Year EUL</v>
      </c>
      <c r="BD1566" s="894">
        <f>(INDEX('Avoided Cost Benefits'!$C$4:$C$857,MATCH(BC1566,'Avoided Cost Benefits'!$A$4:$A$857,0)))*F1566</f>
        <v>928.44318532550415</v>
      </c>
      <c r="BE1566" s="74">
        <f t="shared" si="160"/>
        <v>0</v>
      </c>
      <c r="BG1566" s="919"/>
      <c r="BH1566" s="1092"/>
      <c r="BI1566" s="919"/>
    </row>
    <row r="1567" spans="1:61" s="65" customFormat="1" x14ac:dyDescent="0.25">
      <c r="A1567" s="785"/>
      <c r="B1567" s="177"/>
      <c r="C1567" s="1572" t="s">
        <v>1543</v>
      </c>
      <c r="D1567" s="2045" t="s">
        <v>795</v>
      </c>
      <c r="E1567" s="926" t="s">
        <v>1545</v>
      </c>
      <c r="F1567" s="999">
        <f>ROUND(((K1753*K1881*(1/K2009-1/K2137)*K2777)/1000),2)</f>
        <v>10399.66</v>
      </c>
      <c r="G1567" s="2078" t="s">
        <v>1427</v>
      </c>
      <c r="H1567" s="239">
        <f>VLOOKUP(G1567,'CP FACTORS'!$A$3:$B$38, 2, FALSE)</f>
        <v>0</v>
      </c>
      <c r="I1567" s="2046">
        <f t="shared" si="150"/>
        <v>0</v>
      </c>
      <c r="J1567" s="156">
        <f t="shared" si="171"/>
        <v>12</v>
      </c>
      <c r="K1567" s="1085">
        <f t="shared" si="172"/>
        <v>0</v>
      </c>
      <c r="L1567" s="1086"/>
      <c r="M1567" s="2089"/>
      <c r="N1567" s="2086"/>
      <c r="O1567" s="1453"/>
      <c r="P1567" s="177"/>
      <c r="Q1567" s="177"/>
      <c r="R1567" s="1894"/>
      <c r="S1567" s="177"/>
      <c r="T1567" s="177"/>
      <c r="U1567" s="2090"/>
      <c r="V1567" s="245" t="s">
        <v>20</v>
      </c>
      <c r="W1567" s="1087">
        <v>13965.852998065762</v>
      </c>
      <c r="X1567" s="1088">
        <v>10399.659574468084</v>
      </c>
      <c r="Y1567" s="999">
        <v>10399.66</v>
      </c>
      <c r="Z1567" s="1089"/>
      <c r="AA1567" s="1089"/>
      <c r="AB1567" s="1090"/>
      <c r="AC1567" s="1087"/>
      <c r="AD1567" s="1087"/>
      <c r="AE1567" s="1087"/>
      <c r="AF1567" s="1087"/>
      <c r="AG1567" s="1087"/>
      <c r="AH1567" s="248"/>
      <c r="AK1567" s="1091"/>
      <c r="BB1567" s="995"/>
      <c r="BC1567" s="926" t="str">
        <f t="shared" si="151"/>
        <v>Heating Res ER2 12 Year EUL</v>
      </c>
      <c r="BD1567" s="894">
        <f>(INDEX('Avoided Cost Benefits'!$C$4:$C$857,MATCH(BC1567,'Avoided Cost Benefits'!$A$4:$A$857,0)))*F1567</f>
        <v>3074.9985027651505</v>
      </c>
      <c r="BE1567" s="74">
        <f t="shared" si="160"/>
        <v>0</v>
      </c>
      <c r="BG1567" s="919"/>
      <c r="BH1567" s="1092"/>
      <c r="BI1567" s="919"/>
    </row>
    <row r="1568" spans="1:61" s="65" customFormat="1" x14ac:dyDescent="0.25">
      <c r="A1568" s="785"/>
      <c r="B1568" s="177"/>
      <c r="C1568" s="1572" t="s">
        <v>1546</v>
      </c>
      <c r="D1568" s="2045" t="s">
        <v>797</v>
      </c>
      <c r="E1568" s="884" t="s">
        <v>1547</v>
      </c>
      <c r="F1568" s="999">
        <f>ROUND(((K2266*K2394*(1/K2522-1/K2650)*K2778)/1000),2)</f>
        <v>1416.58</v>
      </c>
      <c r="G1568" s="318" t="s">
        <v>1367</v>
      </c>
      <c r="H1568" s="239">
        <f>VLOOKUP(G1568,'CP FACTORS'!$A$3:$B$38, 2, FALSE)</f>
        <v>9.4741810000000004E-4</v>
      </c>
      <c r="I1568" s="2046">
        <f t="shared" ref="I1568:I1641" si="173">ROUND(F1568*H1568,6)</f>
        <v>1.3420939999999999</v>
      </c>
      <c r="J1568" s="156">
        <f t="shared" si="171"/>
        <v>6</v>
      </c>
      <c r="K1568" s="1085">
        <f t="shared" si="172"/>
        <v>1685.1098012161674</v>
      </c>
      <c r="L1568" s="1086">
        <f>L1754</f>
        <v>3.1</v>
      </c>
      <c r="M1568" s="2089"/>
      <c r="N1568" s="2086"/>
      <c r="O1568" s="1453"/>
      <c r="P1568" s="177"/>
      <c r="Q1568" s="177"/>
      <c r="R1568" s="1894"/>
      <c r="S1568" s="177"/>
      <c r="T1568" s="177"/>
      <c r="U1568" s="2090"/>
      <c r="V1568" s="245" t="s">
        <v>20</v>
      </c>
      <c r="W1568" s="1087">
        <v>1984.1449226006196</v>
      </c>
      <c r="X1568" s="1088">
        <v>1416.5825576546411</v>
      </c>
      <c r="Y1568" s="999">
        <v>1416.58</v>
      </c>
      <c r="Z1568" s="1089"/>
      <c r="AA1568" s="1089"/>
      <c r="AB1568" s="1090"/>
      <c r="AC1568" s="1087"/>
      <c r="AD1568" s="1087"/>
      <c r="AE1568" s="1087"/>
      <c r="AF1568" s="1087"/>
      <c r="AG1568" s="1087"/>
      <c r="AH1568" s="248"/>
      <c r="AK1568" s="1091"/>
      <c r="BB1568" s="350">
        <f>(BD1568+BD1569+BD1570+BD1571)/(BE1568+BE1569+BE1570+BE1571)</f>
        <v>2.8609839612822618</v>
      </c>
      <c r="BC1568" s="884" t="str">
        <f t="shared" ref="BC1568:BC1641" si="174">CONCATENATE(G1568," ",J1568," Year EUL")</f>
        <v>Cooling Res 6 Year EUL</v>
      </c>
      <c r="BD1568" s="894">
        <f>(INDEX('Avoided Cost Benefits'!$C$4:$C$857,MATCH(BC1568,'Avoided Cost Benefits'!$A$4:$A$857,0)))*F1568</f>
        <v>823.71883553047269</v>
      </c>
      <c r="BE1568" s="74">
        <f t="shared" si="160"/>
        <v>1590.4764523040749</v>
      </c>
      <c r="BG1568" s="919"/>
      <c r="BH1568" s="1092"/>
      <c r="BI1568" s="919"/>
    </row>
    <row r="1569" spans="1:61" s="65" customFormat="1" x14ac:dyDescent="0.25">
      <c r="A1569" s="785"/>
      <c r="B1569" s="177"/>
      <c r="C1569" s="1572" t="s">
        <v>1546</v>
      </c>
      <c r="D1569" s="2045" t="s">
        <v>797</v>
      </c>
      <c r="E1569" s="994" t="s">
        <v>1547</v>
      </c>
      <c r="F1569" s="999">
        <f>ROUND(((K1754*K1882*(1/K2010-1/K2138)*K2778)/1000),2)</f>
        <v>6759.78</v>
      </c>
      <c r="G1569" s="318" t="s">
        <v>1369</v>
      </c>
      <c r="H1569" s="239">
        <f>VLOOKUP(G1569,'CP FACTORS'!$A$3:$B$38, 2, FALSE)</f>
        <v>0</v>
      </c>
      <c r="I1569" s="2046">
        <f t="shared" si="173"/>
        <v>0</v>
      </c>
      <c r="J1569" s="156">
        <f>K2943</f>
        <v>6</v>
      </c>
      <c r="K1569" s="1085">
        <f>K3113</f>
        <v>0</v>
      </c>
      <c r="L1569" s="1086"/>
      <c r="M1569" s="2089"/>
      <c r="N1569" s="2086"/>
      <c r="O1569" s="1453"/>
      <c r="P1569" s="177"/>
      <c r="Q1569" s="177"/>
      <c r="R1569" s="1894"/>
      <c r="S1569" s="177"/>
      <c r="T1569" s="177"/>
      <c r="U1569" s="2090"/>
      <c r="V1569" s="245" t="s">
        <v>20</v>
      </c>
      <c r="W1569" s="1087">
        <v>9077.8044487427451</v>
      </c>
      <c r="X1569" s="1088">
        <v>6759.7787234042544</v>
      </c>
      <c r="Y1569" s="999">
        <v>6759.78</v>
      </c>
      <c r="Z1569" s="1089"/>
      <c r="AA1569" s="1089"/>
      <c r="AB1569" s="1090"/>
      <c r="AC1569" s="1087"/>
      <c r="AD1569" s="1087"/>
      <c r="AE1569" s="1087"/>
      <c r="AF1569" s="1087"/>
      <c r="AG1569" s="1087"/>
      <c r="AH1569" s="248"/>
      <c r="AK1569" s="1091"/>
      <c r="BB1569" s="995"/>
      <c r="BC1569" s="994" t="str">
        <f t="shared" si="174"/>
        <v>Heating Res 6 Year EUL</v>
      </c>
      <c r="BD1569" s="894">
        <f>(INDEX('Avoided Cost Benefits'!$C$4:$C$857,MATCH(BC1569,'Avoided Cost Benefits'!$A$4:$A$857,0)))*F1569</f>
        <v>1124.3778951463969</v>
      </c>
      <c r="BE1569" s="74">
        <f t="shared" si="160"/>
        <v>0</v>
      </c>
      <c r="BG1569" s="919"/>
      <c r="BH1569" s="1092"/>
      <c r="BI1569" s="919"/>
    </row>
    <row r="1570" spans="1:61" s="65" customFormat="1" x14ac:dyDescent="0.25">
      <c r="A1570" s="785"/>
      <c r="B1570" s="177"/>
      <c r="C1570" s="1572" t="s">
        <v>1546</v>
      </c>
      <c r="D1570" s="2045" t="s">
        <v>797</v>
      </c>
      <c r="E1570" s="994" t="s">
        <v>1548</v>
      </c>
      <c r="F1570" s="999">
        <f>ROUND(((K2267*K2395*(1/K2523-1/K2651)*K2779)/1000),2)</f>
        <v>510.42</v>
      </c>
      <c r="G1570" s="2078" t="s">
        <v>1408</v>
      </c>
      <c r="H1570" s="239">
        <f>VLOOKUP(G1570,'CP FACTORS'!$A$3:$B$38, 2, FALSE)</f>
        <v>9.4741810000000004E-4</v>
      </c>
      <c r="I1570" s="2046">
        <f t="shared" si="173"/>
        <v>0.48358099999999998</v>
      </c>
      <c r="J1570" s="156">
        <f>K2944</f>
        <v>12</v>
      </c>
      <c r="K1570" s="1085">
        <f>K3114</f>
        <v>0</v>
      </c>
      <c r="L1570" s="1086"/>
      <c r="M1570" s="2089"/>
      <c r="N1570" s="2086"/>
      <c r="O1570" s="1453"/>
      <c r="P1570" s="177"/>
      <c r="Q1570" s="177"/>
      <c r="R1570" s="1894"/>
      <c r="S1570" s="177"/>
      <c r="T1570" s="177"/>
      <c r="U1570" s="2090"/>
      <c r="V1570" s="245" t="s">
        <v>20</v>
      </c>
      <c r="W1570" s="1087">
        <v>510.42315789473696</v>
      </c>
      <c r="X1570" s="1096">
        <v>510.42315789473696</v>
      </c>
      <c r="Y1570" s="999">
        <v>510.42</v>
      </c>
      <c r="Z1570" s="1089"/>
      <c r="AA1570" s="1089"/>
      <c r="AB1570" s="1090"/>
      <c r="AC1570" s="1087"/>
      <c r="AD1570" s="1087"/>
      <c r="AE1570" s="1087"/>
      <c r="AF1570" s="1087"/>
      <c r="AG1570" s="1087"/>
      <c r="AH1570" s="248"/>
      <c r="AK1570" s="1091"/>
      <c r="BB1570" s="995"/>
      <c r="BC1570" s="994" t="str">
        <f t="shared" si="174"/>
        <v>Cooling Res ER2 12 Year EUL</v>
      </c>
      <c r="BD1570" s="894">
        <f>(INDEX('Avoided Cost Benefits'!$C$4:$C$857,MATCH(BC1570,'Avoided Cost Benefits'!$A$4:$A$857,0)))*F1570</f>
        <v>603.48156768225431</v>
      </c>
      <c r="BE1570" s="74">
        <f t="shared" si="160"/>
        <v>0</v>
      </c>
      <c r="BG1570" s="919"/>
      <c r="BH1570" s="1092"/>
      <c r="BI1570" s="919"/>
    </row>
    <row r="1571" spans="1:61" s="65" customFormat="1" x14ac:dyDescent="0.25">
      <c r="A1571" s="785"/>
      <c r="B1571" s="177"/>
      <c r="C1571" s="1572" t="s">
        <v>1546</v>
      </c>
      <c r="D1571" s="2045" t="s">
        <v>797</v>
      </c>
      <c r="E1571" s="892" t="s">
        <v>1548</v>
      </c>
      <c r="F1571" s="999">
        <f>ROUND(((K1755*K1883*(1/K2011-1/K2139)*K2779)/1000),2)</f>
        <v>6759.78</v>
      </c>
      <c r="G1571" s="2078" t="s">
        <v>1427</v>
      </c>
      <c r="H1571" s="239">
        <f>VLOOKUP(G1571,'CP FACTORS'!$A$3:$B$38, 2, FALSE)</f>
        <v>0</v>
      </c>
      <c r="I1571" s="2046">
        <f t="shared" si="173"/>
        <v>0</v>
      </c>
      <c r="J1571" s="156">
        <f>K2945</f>
        <v>12</v>
      </c>
      <c r="K1571" s="1085">
        <f>K3115</f>
        <v>0</v>
      </c>
      <c r="L1571" s="1086"/>
      <c r="M1571" s="2089"/>
      <c r="N1571" s="2086"/>
      <c r="O1571" s="1453"/>
      <c r="P1571" s="177"/>
      <c r="Q1571" s="177"/>
      <c r="R1571" s="1894"/>
      <c r="S1571" s="177"/>
      <c r="T1571" s="177"/>
      <c r="U1571" s="2090"/>
      <c r="V1571" s="245" t="s">
        <v>20</v>
      </c>
      <c r="W1571" s="1087">
        <v>9077.8044487427451</v>
      </c>
      <c r="X1571" s="1088">
        <v>6759.7787234042544</v>
      </c>
      <c r="Y1571" s="999">
        <v>6759.78</v>
      </c>
      <c r="Z1571" s="1089"/>
      <c r="AA1571" s="1089"/>
      <c r="AB1571" s="1090"/>
      <c r="AC1571" s="1087"/>
      <c r="AD1571" s="1087"/>
      <c r="AE1571" s="1087"/>
      <c r="AF1571" s="1087"/>
      <c r="AG1571" s="1087"/>
      <c r="AH1571" s="248"/>
      <c r="AK1571" s="1091"/>
      <c r="BB1571" s="995"/>
      <c r="BC1571" s="892" t="str">
        <f t="shared" si="174"/>
        <v>Heating Res ER2 12 Year EUL</v>
      </c>
      <c r="BD1571" s="894">
        <f>(INDEX('Avoided Cost Benefits'!$C$4:$C$857,MATCH(BC1571,'Avoided Cost Benefits'!$A$4:$A$857,0)))*F1571</f>
        <v>1998.7493224799473</v>
      </c>
      <c r="BE1571" s="74">
        <f t="shared" si="160"/>
        <v>0</v>
      </c>
      <c r="BG1571" s="919"/>
      <c r="BH1571" s="1092"/>
      <c r="BI1571" s="919"/>
    </row>
    <row r="1572" spans="1:61" s="65" customFormat="1" x14ac:dyDescent="0.25">
      <c r="A1572" s="785"/>
      <c r="B1572" s="177"/>
      <c r="C1572" s="1572" t="s">
        <v>1549</v>
      </c>
      <c r="D1572" s="2045" t="s">
        <v>792</v>
      </c>
      <c r="E1572" s="884" t="str">
        <f>CONCATENATE(E1568,"_CompE")</f>
        <v>ASHP - SEER 19 - replace electric furnace / CAC - early replacement MF ER1_CompE</v>
      </c>
      <c r="F1572" s="999">
        <f>ROUND((($K$2268*$K$2396*(1/$K$2524-1/$K$2652)*$K$2780)/1000),2)</f>
        <v>1030.24</v>
      </c>
      <c r="G1572" s="318" t="str">
        <f t="shared" ref="G1572:K1575" si="175">G1568</f>
        <v>Cooling Res</v>
      </c>
      <c r="H1572" s="239">
        <f t="shared" si="175"/>
        <v>9.4741810000000004E-4</v>
      </c>
      <c r="I1572" s="2518">
        <f t="shared" si="173"/>
        <v>0.97606800000000005</v>
      </c>
      <c r="J1572" s="156">
        <f>J1568</f>
        <v>6</v>
      </c>
      <c r="K1572" s="1085">
        <f>K1568</f>
        <v>1685.1098012161674</v>
      </c>
      <c r="L1572" s="1086">
        <f>L1568</f>
        <v>3.1</v>
      </c>
      <c r="M1572" s="2089"/>
      <c r="N1572" s="2086"/>
      <c r="O1572" s="1453"/>
      <c r="P1572" s="177"/>
      <c r="Q1572" s="177"/>
      <c r="R1572" s="1894"/>
      <c r="S1572" s="177"/>
      <c r="T1572" s="177"/>
      <c r="U1572" s="2090"/>
      <c r="V1572" s="245" t="s">
        <v>20</v>
      </c>
      <c r="W1572" s="1087"/>
      <c r="X1572" s="1088"/>
      <c r="Y1572" s="1005">
        <v>1030.24</v>
      </c>
      <c r="Z1572" s="1089"/>
      <c r="AA1572" s="1089"/>
      <c r="AB1572" s="1090"/>
      <c r="AC1572" s="1087"/>
      <c r="AD1572" s="1087"/>
      <c r="AE1572" s="1087"/>
      <c r="AF1572" s="1087"/>
      <c r="AG1572" s="1087"/>
      <c r="AH1572" s="248"/>
      <c r="AK1572" s="1091"/>
      <c r="BB1572" s="350">
        <f>(BD1572+BD1573+BD1574+BD1575)/(BE1572+BE1573+BE1574+BE1575)</f>
        <v>1.3220394594007598</v>
      </c>
      <c r="BC1572" s="884" t="str">
        <f t="shared" si="174"/>
        <v>Cooling Res 6 Year EUL</v>
      </c>
      <c r="BD1572" s="894">
        <f>(INDEX('Avoided Cost Benefits'!$C$4:$C$857,MATCH(BC1572,'Avoided Cost Benefits'!$A$4:$A$857,0)))*F1572</f>
        <v>599.06824402216205</v>
      </c>
      <c r="BE1572" s="74">
        <f t="shared" si="160"/>
        <v>1590.4764523040749</v>
      </c>
      <c r="BG1572" s="919"/>
      <c r="BH1572" s="1095"/>
      <c r="BI1572" s="919"/>
    </row>
    <row r="1573" spans="1:61" s="65" customFormat="1" x14ac:dyDescent="0.25">
      <c r="A1573" s="785"/>
      <c r="B1573" s="177"/>
      <c r="C1573" s="1572" t="str">
        <f>C1572</f>
        <v>354451_2019_12_</v>
      </c>
      <c r="D1573" s="2045" t="s">
        <v>792</v>
      </c>
      <c r="E1573" s="994" t="str">
        <f>CONCATENATE(E1569,"_CompE")</f>
        <v>ASHP - SEER 19 - replace electric furnace / CAC - early replacement MF ER1_CompE</v>
      </c>
      <c r="F1573" s="999">
        <f>ROUND((($K$1756*$K$1884*(1/$K$2012-1/$K$2140)*$K$2780)/1000),2)</f>
        <v>2304.4699999999998</v>
      </c>
      <c r="G1573" s="318" t="str">
        <f t="shared" si="175"/>
        <v>Heating Res</v>
      </c>
      <c r="H1573" s="239">
        <f t="shared" si="175"/>
        <v>0</v>
      </c>
      <c r="I1573" s="2518">
        <f t="shared" si="173"/>
        <v>0</v>
      </c>
      <c r="J1573" s="156">
        <f t="shared" si="175"/>
        <v>6</v>
      </c>
      <c r="K1573" s="1085">
        <f t="shared" si="175"/>
        <v>0</v>
      </c>
      <c r="L1573" s="1086"/>
      <c r="M1573" s="2089"/>
      <c r="N1573" s="2086"/>
      <c r="O1573" s="1453"/>
      <c r="P1573" s="177"/>
      <c r="Q1573" s="177"/>
      <c r="R1573" s="1894"/>
      <c r="S1573" s="177"/>
      <c r="T1573" s="177"/>
      <c r="U1573" s="2090"/>
      <c r="V1573" s="245" t="s">
        <v>20</v>
      </c>
      <c r="W1573" s="1087"/>
      <c r="X1573" s="1088"/>
      <c r="Y1573" s="1005">
        <v>2304.4699999999998</v>
      </c>
      <c r="Z1573" s="1089"/>
      <c r="AA1573" s="1089"/>
      <c r="AB1573" s="1090"/>
      <c r="AC1573" s="1087"/>
      <c r="AD1573" s="1087"/>
      <c r="AE1573" s="1087"/>
      <c r="AF1573" s="1087"/>
      <c r="AG1573" s="1087"/>
      <c r="AH1573" s="248"/>
      <c r="AK1573" s="1091"/>
      <c r="BB1573" s="995"/>
      <c r="BC1573" s="994" t="str">
        <f t="shared" si="174"/>
        <v>Heating Res 6 Year EUL</v>
      </c>
      <c r="BD1573" s="894">
        <f>(INDEX('Avoided Cost Benefits'!$C$4:$C$857,MATCH(BC1573,'Avoided Cost Benefits'!$A$4:$A$857,0)))*F1573</f>
        <v>383.31057046649704</v>
      </c>
      <c r="BE1573" s="74">
        <f t="shared" si="160"/>
        <v>0</v>
      </c>
      <c r="BG1573" s="919"/>
      <c r="BH1573" s="1095"/>
      <c r="BI1573" s="919"/>
    </row>
    <row r="1574" spans="1:61" s="65" customFormat="1" x14ac:dyDescent="0.25">
      <c r="A1574" s="785"/>
      <c r="B1574" s="177"/>
      <c r="C1574" s="1572" t="str">
        <f t="shared" ref="C1574:C1575" si="176">C1573</f>
        <v>354451_2019_12_</v>
      </c>
      <c r="D1574" s="2045" t="s">
        <v>792</v>
      </c>
      <c r="E1574" s="994" t="str">
        <f>CONCATENATE(E1570,"_CompE")</f>
        <v>ASHP - SEER 19 - replace electric furnace / CAC - early replacement MF ER2_CompE</v>
      </c>
      <c r="F1574" s="999">
        <f>ROUND((($K$2269*$K$2397*(1/$K$2525-1/$K$2653)*$K$2781)/1000),2)</f>
        <v>371.22</v>
      </c>
      <c r="G1574" s="318" t="str">
        <f t="shared" si="175"/>
        <v>Cooling Res ER2</v>
      </c>
      <c r="H1574" s="239">
        <f t="shared" si="175"/>
        <v>9.4741810000000004E-4</v>
      </c>
      <c r="I1574" s="2518">
        <f t="shared" si="173"/>
        <v>0.35170099999999999</v>
      </c>
      <c r="J1574" s="156">
        <f t="shared" si="175"/>
        <v>12</v>
      </c>
      <c r="K1574" s="1085">
        <f t="shared" si="175"/>
        <v>0</v>
      </c>
      <c r="L1574" s="1086"/>
      <c r="M1574" s="2089"/>
      <c r="N1574" s="2086"/>
      <c r="O1574" s="1453"/>
      <c r="P1574" s="177"/>
      <c r="Q1574" s="177"/>
      <c r="R1574" s="1894"/>
      <c r="S1574" s="177"/>
      <c r="T1574" s="177"/>
      <c r="U1574" s="2090"/>
      <c r="V1574" s="245" t="s">
        <v>20</v>
      </c>
      <c r="W1574" s="1087"/>
      <c r="X1574" s="1088"/>
      <c r="Y1574" s="1005">
        <v>371.22</v>
      </c>
      <c r="Z1574" s="1089"/>
      <c r="AA1574" s="1089"/>
      <c r="AB1574" s="1090"/>
      <c r="AC1574" s="1087"/>
      <c r="AD1574" s="1087"/>
      <c r="AE1574" s="1087"/>
      <c r="AF1574" s="1087"/>
      <c r="AG1574" s="1087"/>
      <c r="AH1574" s="248"/>
      <c r="AK1574" s="1091"/>
      <c r="BB1574" s="995"/>
      <c r="BC1574" s="994" t="str">
        <f t="shared" si="174"/>
        <v>Cooling Res ER2 12 Year EUL</v>
      </c>
      <c r="BD1574" s="894">
        <f>(INDEX('Avoided Cost Benefits'!$C$4:$C$857,MATCH(BC1574,'Avoided Cost Benefits'!$A$4:$A$857,0)))*F1574</f>
        <v>438.90213462443961</v>
      </c>
      <c r="BE1574" s="74">
        <f t="shared" si="160"/>
        <v>0</v>
      </c>
      <c r="BG1574" s="919"/>
      <c r="BH1574" s="1095"/>
      <c r="BI1574" s="919"/>
    </row>
    <row r="1575" spans="1:61" s="65" customFormat="1" x14ac:dyDescent="0.25">
      <c r="A1575" s="785"/>
      <c r="B1575" s="177"/>
      <c r="C1575" s="1572" t="str">
        <f t="shared" si="176"/>
        <v>354451_2019_12_</v>
      </c>
      <c r="D1575" s="2045" t="s">
        <v>792</v>
      </c>
      <c r="E1575" s="892" t="str">
        <f>CONCATENATE(E1571,"_CompE")</f>
        <v>ASHP - SEER 19 - replace electric furnace / CAC - early replacement MF ER2_CompE</v>
      </c>
      <c r="F1575" s="999">
        <f>ROUND((($K$1757*$K$1885*(1/$K$2013-1/$K$2141)*$K$2781)/1000),2)</f>
        <v>2304.4699999999998</v>
      </c>
      <c r="G1575" s="318" t="str">
        <f t="shared" si="175"/>
        <v>Heating Res ER2</v>
      </c>
      <c r="H1575" s="239">
        <f t="shared" si="175"/>
        <v>0</v>
      </c>
      <c r="I1575" s="2518">
        <f t="shared" si="173"/>
        <v>0</v>
      </c>
      <c r="J1575" s="156">
        <f t="shared" si="175"/>
        <v>12</v>
      </c>
      <c r="K1575" s="1085">
        <f t="shared" si="175"/>
        <v>0</v>
      </c>
      <c r="L1575" s="1086"/>
      <c r="M1575" s="2089"/>
      <c r="N1575" s="2086"/>
      <c r="O1575" s="1453"/>
      <c r="P1575" s="177"/>
      <c r="Q1575" s="177"/>
      <c r="R1575" s="1894"/>
      <c r="S1575" s="177"/>
      <c r="T1575" s="177"/>
      <c r="U1575" s="2090"/>
      <c r="V1575" s="245" t="s">
        <v>20</v>
      </c>
      <c r="W1575" s="1087"/>
      <c r="X1575" s="1088"/>
      <c r="Y1575" s="1005">
        <v>2304.4699999999998</v>
      </c>
      <c r="Z1575" s="1089"/>
      <c r="AA1575" s="1089"/>
      <c r="AB1575" s="1090"/>
      <c r="AC1575" s="1087"/>
      <c r="AD1575" s="1087"/>
      <c r="AE1575" s="1087"/>
      <c r="AF1575" s="1087"/>
      <c r="AG1575" s="1087"/>
      <c r="AH1575" s="248"/>
      <c r="AK1575" s="1091"/>
      <c r="BB1575" s="995"/>
      <c r="BC1575" s="892" t="str">
        <f t="shared" si="174"/>
        <v>Heating Res ER2 12 Year EUL</v>
      </c>
      <c r="BD1575" s="894">
        <f>(INDEX('Avoided Cost Benefits'!$C$4:$C$857,MATCH(BC1575,'Avoided Cost Benefits'!$A$4:$A$857,0)))*F1575</f>
        <v>681.39168008061858</v>
      </c>
      <c r="BE1575" s="74">
        <f t="shared" si="160"/>
        <v>0</v>
      </c>
      <c r="BG1575" s="919"/>
      <c r="BH1575" s="1095"/>
      <c r="BI1575" s="919"/>
    </row>
    <row r="1576" spans="1:61" s="65" customFormat="1" x14ac:dyDescent="0.25">
      <c r="A1576" s="785"/>
      <c r="B1576" s="177"/>
      <c r="C1576" s="1572" t="s">
        <v>1550</v>
      </c>
      <c r="D1576" s="2045" t="s">
        <v>797</v>
      </c>
      <c r="E1576" s="884" t="s">
        <v>1551</v>
      </c>
      <c r="F1576" s="999">
        <f>ROUND(((K2270*K2398*(1/K2526-1/K2654)*K2782)/1000),2)</f>
        <v>1507.97</v>
      </c>
      <c r="G1576" s="318" t="s">
        <v>1367</v>
      </c>
      <c r="H1576" s="239">
        <f>VLOOKUP(G1576,'CP FACTORS'!$A$3:$B$38, 2, FALSE)</f>
        <v>9.4741810000000004E-4</v>
      </c>
      <c r="I1576" s="2046">
        <f t="shared" si="173"/>
        <v>1.4286779999999999</v>
      </c>
      <c r="J1576" s="156">
        <f>K2946</f>
        <v>6</v>
      </c>
      <c r="K1576" s="1085">
        <f>K3116</f>
        <v>1716.1717238752744</v>
      </c>
      <c r="L1576" s="1086">
        <f>L1758</f>
        <v>3.3</v>
      </c>
      <c r="M1576" s="2089"/>
      <c r="N1576" s="2086"/>
      <c r="O1576" s="1453"/>
      <c r="P1576" s="177"/>
      <c r="Q1576" s="177"/>
      <c r="R1576" s="1894"/>
      <c r="S1576" s="177"/>
      <c r="T1576" s="177"/>
      <c r="U1576" s="2090"/>
      <c r="V1576" s="245" t="s">
        <v>20</v>
      </c>
      <c r="W1576" s="1087">
        <v>1929.4086842105264</v>
      </c>
      <c r="X1576" s="1088">
        <v>1507.9749807291337</v>
      </c>
      <c r="Y1576" s="999">
        <v>1507.97</v>
      </c>
      <c r="Z1576" s="1089"/>
      <c r="AA1576" s="1089"/>
      <c r="AB1576" s="1090"/>
      <c r="AC1576" s="1087"/>
      <c r="AD1576" s="1087"/>
      <c r="AE1576" s="1087"/>
      <c r="AF1576" s="1087"/>
      <c r="AG1576" s="1087"/>
      <c r="AH1576" s="248"/>
      <c r="AK1576" s="1091"/>
      <c r="BB1576" s="350">
        <f>(BD1576+BD1577+BD1578+BD1579)/(BE1576+BE1577+BE1578+BE1579)</f>
        <v>1.1502519854045077</v>
      </c>
      <c r="BC1576" s="884" t="str">
        <f t="shared" si="174"/>
        <v>Cooling Res 6 Year EUL</v>
      </c>
      <c r="BD1576" s="894">
        <f>(INDEX('Avoided Cost Benefits'!$C$4:$C$857,MATCH(BC1576,'Avoided Cost Benefits'!$A$4:$A$857,0)))*F1576</f>
        <v>876.86067318110304</v>
      </c>
      <c r="BE1576" s="74">
        <f t="shared" si="160"/>
        <v>1619.7939819492915</v>
      </c>
      <c r="BG1576" s="919"/>
      <c r="BH1576" s="1092"/>
      <c r="BI1576" s="919"/>
    </row>
    <row r="1577" spans="1:61" s="65" customFormat="1" x14ac:dyDescent="0.25">
      <c r="A1577" s="785"/>
      <c r="B1577" s="177"/>
      <c r="C1577" s="1572" t="s">
        <v>1550</v>
      </c>
      <c r="D1577" s="2045" t="s">
        <v>797</v>
      </c>
      <c r="E1577" s="994" t="s">
        <v>1551</v>
      </c>
      <c r="F1577" s="999">
        <f>ROUND(((K1758*K1886*(1/K2014-1/K2142)*K2782)/1000),2)</f>
        <v>1798.76</v>
      </c>
      <c r="G1577" s="318" t="s">
        <v>1369</v>
      </c>
      <c r="H1577" s="239">
        <f>VLOOKUP(G1577,'CP FACTORS'!$A$3:$B$38, 2, FALSE)</f>
        <v>0</v>
      </c>
      <c r="I1577" s="2046">
        <f t="shared" si="173"/>
        <v>0</v>
      </c>
      <c r="J1577" s="156">
        <f>K2947</f>
        <v>6</v>
      </c>
      <c r="K1577" s="1085">
        <f>K3117</f>
        <v>0</v>
      </c>
      <c r="L1577" s="1086"/>
      <c r="M1577" s="2089"/>
      <c r="N1577" s="2086"/>
      <c r="O1577" s="1453"/>
      <c r="P1577" s="177"/>
      <c r="Q1577" s="177"/>
      <c r="R1577" s="1894"/>
      <c r="S1577" s="177"/>
      <c r="T1577" s="177"/>
      <c r="U1577" s="2090"/>
      <c r="V1577" s="245" t="s">
        <v>20</v>
      </c>
      <c r="W1577" s="1087">
        <v>4062.4872213622284</v>
      </c>
      <c r="X1577" s="1088">
        <v>1798.7611070228763</v>
      </c>
      <c r="Y1577" s="999">
        <v>1798.76</v>
      </c>
      <c r="Z1577" s="1089"/>
      <c r="AA1577" s="1089"/>
      <c r="AB1577" s="1090"/>
      <c r="AC1577" s="1087"/>
      <c r="AD1577" s="1087"/>
      <c r="AE1577" s="1087"/>
      <c r="AF1577" s="1087"/>
      <c r="AG1577" s="1087"/>
      <c r="AH1577" s="248"/>
      <c r="AK1577" s="1091"/>
      <c r="BB1577" s="995"/>
      <c r="BC1577" s="994" t="str">
        <f t="shared" si="174"/>
        <v>Heating Res 6 Year EUL</v>
      </c>
      <c r="BD1577" s="894">
        <f>(INDEX('Avoided Cost Benefits'!$C$4:$C$857,MATCH(BC1577,'Avoided Cost Benefits'!$A$4:$A$857,0)))*F1577</f>
        <v>299.19405404813961</v>
      </c>
      <c r="BE1577" s="74">
        <f t="shared" si="160"/>
        <v>0</v>
      </c>
      <c r="BG1577" s="919"/>
      <c r="BH1577" s="1092"/>
      <c r="BI1577" s="919"/>
    </row>
    <row r="1578" spans="1:61" s="65" customFormat="1" x14ac:dyDescent="0.25">
      <c r="A1578" s="785"/>
      <c r="B1578" s="177"/>
      <c r="C1578" s="1572" t="s">
        <v>1550</v>
      </c>
      <c r="D1578" s="2045" t="s">
        <v>797</v>
      </c>
      <c r="E1578" s="994" t="s">
        <v>1552</v>
      </c>
      <c r="F1578" s="999">
        <f>ROUND(((K2271*K2399*(1/K2527-1/K2655)*K2783)/1000),2)</f>
        <v>420.45</v>
      </c>
      <c r="G1578" s="2078" t="s">
        <v>1408</v>
      </c>
      <c r="H1578" s="239">
        <f>VLOOKUP(G1578,'CP FACTORS'!$A$3:$B$38, 2, FALSE)</f>
        <v>9.4741810000000004E-4</v>
      </c>
      <c r="I1578" s="2046">
        <f t="shared" si="173"/>
        <v>0.39834199999999997</v>
      </c>
      <c r="J1578" s="156">
        <f>K2948</f>
        <v>12</v>
      </c>
      <c r="K1578" s="1085">
        <f>K3118</f>
        <v>0</v>
      </c>
      <c r="L1578" s="1086"/>
      <c r="M1578" s="2089"/>
      <c r="N1578" s="2086"/>
      <c r="O1578" s="1453"/>
      <c r="P1578" s="177"/>
      <c r="Q1578" s="177"/>
      <c r="R1578" s="1894"/>
      <c r="S1578" s="177"/>
      <c r="T1578" s="177"/>
      <c r="U1578" s="2090"/>
      <c r="V1578" s="245" t="s">
        <v>20</v>
      </c>
      <c r="W1578" s="1087">
        <v>420.45225563909776</v>
      </c>
      <c r="X1578" s="1096">
        <v>420.45225563909776</v>
      </c>
      <c r="Y1578" s="999">
        <v>420.45</v>
      </c>
      <c r="Z1578" s="1089"/>
      <c r="AA1578" s="1089"/>
      <c r="AB1578" s="1090"/>
      <c r="AC1578" s="1087"/>
      <c r="AD1578" s="1087"/>
      <c r="AE1578" s="1087"/>
      <c r="AF1578" s="1087"/>
      <c r="AG1578" s="1087"/>
      <c r="AH1578" s="248"/>
      <c r="AK1578" s="1091"/>
      <c r="BB1578" s="995"/>
      <c r="BC1578" s="994" t="str">
        <f t="shared" si="174"/>
        <v>Cooling Res ER2 12 Year EUL</v>
      </c>
      <c r="BD1578" s="894">
        <f>(INDEX('Avoided Cost Benefits'!$C$4:$C$857,MATCH(BC1578,'Avoided Cost Benefits'!$A$4:$A$857,0)))*F1578</f>
        <v>497.10792118648141</v>
      </c>
      <c r="BE1578" s="74">
        <f t="shared" si="160"/>
        <v>0</v>
      </c>
      <c r="BG1578" s="919"/>
      <c r="BH1578" s="1092"/>
      <c r="BI1578" s="919"/>
    </row>
    <row r="1579" spans="1:61" s="65" customFormat="1" x14ac:dyDescent="0.25">
      <c r="A1579" s="785"/>
      <c r="B1579" s="177"/>
      <c r="C1579" s="1572" t="s">
        <v>1550</v>
      </c>
      <c r="D1579" s="2045" t="s">
        <v>797</v>
      </c>
      <c r="E1579" s="892" t="s">
        <v>1552</v>
      </c>
      <c r="F1579" s="999">
        <f>ROUND(((K1759*K1887*(1/K2015-1/K2143)*K2783)/1000),2)</f>
        <v>642.61</v>
      </c>
      <c r="G1579" s="2078" t="s">
        <v>1427</v>
      </c>
      <c r="H1579" s="239">
        <f>VLOOKUP(G1579,'CP FACTORS'!$A$3:$B$38, 2, FALSE)</f>
        <v>0</v>
      </c>
      <c r="I1579" s="2046">
        <f t="shared" si="173"/>
        <v>0</v>
      </c>
      <c r="J1579" s="156">
        <f>K2949</f>
        <v>12</v>
      </c>
      <c r="K1579" s="1085">
        <f>K3119</f>
        <v>0</v>
      </c>
      <c r="L1579" s="1086"/>
      <c r="M1579" s="2089"/>
      <c r="N1579" s="2086"/>
      <c r="O1579" s="1453"/>
      <c r="P1579" s="177"/>
      <c r="Q1579" s="177"/>
      <c r="R1579" s="1894"/>
      <c r="S1579" s="177"/>
      <c r="T1579" s="177"/>
      <c r="U1579" s="2090"/>
      <c r="V1579" s="245" t="s">
        <v>20</v>
      </c>
      <c r="W1579" s="1087">
        <v>862.96736842105349</v>
      </c>
      <c r="X1579" s="1088">
        <v>642.6078562259313</v>
      </c>
      <c r="Y1579" s="999">
        <v>642.61</v>
      </c>
      <c r="Z1579" s="1089"/>
      <c r="AA1579" s="1089"/>
      <c r="AB1579" s="1090"/>
      <c r="AC1579" s="1087"/>
      <c r="AD1579" s="1087"/>
      <c r="AE1579" s="1087"/>
      <c r="AF1579" s="1087"/>
      <c r="AG1579" s="1087"/>
      <c r="AH1579" s="248"/>
      <c r="AK1579" s="1091"/>
      <c r="BB1579" s="995"/>
      <c r="BC1579" s="892" t="str">
        <f t="shared" si="174"/>
        <v>Heating Res ER2 12 Year EUL</v>
      </c>
      <c r="BD1579" s="894">
        <f>(INDEX('Avoided Cost Benefits'!$C$4:$C$857,MATCH(BC1579,'Avoided Cost Benefits'!$A$4:$A$857,0)))*F1579</f>
        <v>190.00859526772157</v>
      </c>
      <c r="BE1579" s="74">
        <f t="shared" si="160"/>
        <v>0</v>
      </c>
      <c r="BG1579" s="919"/>
      <c r="BH1579" s="1092"/>
      <c r="BI1579" s="919"/>
    </row>
    <row r="1580" spans="1:61" s="65" customFormat="1" x14ac:dyDescent="0.25">
      <c r="A1580" s="785"/>
      <c r="B1580" s="177"/>
      <c r="C1580" s="1572" t="s">
        <v>1553</v>
      </c>
      <c r="D1580" s="2045" t="s">
        <v>792</v>
      </c>
      <c r="E1580" s="884" t="str">
        <f>CONCATENATE(E1576,"_CompE")</f>
        <v>ASHP SEER 19 replace ASHP - early replacement MF ER1_CompE</v>
      </c>
      <c r="F1580" s="999">
        <f>ROUND((($K$2272*$K$2400*(1/$K$2528-1/$K$2656)*$K$2784)/1000),2)</f>
        <v>1096.71</v>
      </c>
      <c r="G1580" s="318" t="str">
        <f t="shared" ref="G1580:K1583" si="177">G1576</f>
        <v>Cooling Res</v>
      </c>
      <c r="H1580" s="239">
        <f t="shared" si="177"/>
        <v>9.4741810000000004E-4</v>
      </c>
      <c r="I1580" s="2518">
        <f t="shared" si="173"/>
        <v>1.0390429999999999</v>
      </c>
      <c r="J1580" s="156">
        <f>J1576</f>
        <v>6</v>
      </c>
      <c r="K1580" s="1085">
        <f>K1576</f>
        <v>1716.1717238752744</v>
      </c>
      <c r="L1580" s="1086">
        <f>L1576</f>
        <v>3.3</v>
      </c>
      <c r="M1580" s="2089"/>
      <c r="N1580" s="2086"/>
      <c r="O1580" s="1453"/>
      <c r="P1580" s="177"/>
      <c r="Q1580" s="177"/>
      <c r="R1580" s="1894"/>
      <c r="S1580" s="177"/>
      <c r="T1580" s="177"/>
      <c r="U1580" s="2090"/>
      <c r="V1580" s="245" t="s">
        <v>20</v>
      </c>
      <c r="W1580" s="1087"/>
      <c r="X1580" s="1088"/>
      <c r="Y1580" s="1005">
        <v>1096.71</v>
      </c>
      <c r="Z1580" s="1089"/>
      <c r="AA1580" s="1089"/>
      <c r="AB1580" s="1090"/>
      <c r="AC1580" s="1087"/>
      <c r="AD1580" s="1087"/>
      <c r="AE1580" s="1087"/>
      <c r="AF1580" s="1087"/>
      <c r="AG1580" s="1087"/>
      <c r="AH1580" s="248"/>
      <c r="AK1580" s="1091"/>
      <c r="BB1580" s="350">
        <f>(BD1580+BD1581+BD1582+BD1583)/(BE1580+BE1581+BE1582+BE1583)</f>
        <v>0.71985878971820694</v>
      </c>
      <c r="BC1580" s="884" t="str">
        <f t="shared" si="174"/>
        <v>Cooling Res 6 Year EUL</v>
      </c>
      <c r="BD1580" s="894">
        <f>(INDEX('Avoided Cost Benefits'!$C$4:$C$857,MATCH(BC1580,'Avoided Cost Benefits'!$A$4:$A$857,0)))*F1580</f>
        <v>637.71949633245197</v>
      </c>
      <c r="BE1580" s="74">
        <f t="shared" si="160"/>
        <v>1619.7939819492915</v>
      </c>
      <c r="BG1580" s="919"/>
      <c r="BH1580" s="1095"/>
      <c r="BI1580" s="919"/>
    </row>
    <row r="1581" spans="1:61" s="65" customFormat="1" x14ac:dyDescent="0.25">
      <c r="A1581" s="785"/>
      <c r="B1581" s="177"/>
      <c r="C1581" s="1572" t="str">
        <f>C1580</f>
        <v>354501_2019_12_</v>
      </c>
      <c r="D1581" s="2045" t="s">
        <v>792</v>
      </c>
      <c r="E1581" s="994" t="str">
        <f>CONCATENATE(E1577,"_CompE")</f>
        <v>ASHP SEER 19 replace ASHP - early replacement MF ER1_CompE</v>
      </c>
      <c r="F1581" s="999">
        <f>ROUND((($K$1760*$K$1888*(1/$K$2016-1/$K$2144)*$K$2784)/1000),2)</f>
        <v>613.21</v>
      </c>
      <c r="G1581" s="318" t="str">
        <f t="shared" si="177"/>
        <v>Heating Res</v>
      </c>
      <c r="H1581" s="239">
        <f t="shared" si="177"/>
        <v>0</v>
      </c>
      <c r="I1581" s="2518">
        <f t="shared" si="173"/>
        <v>0</v>
      </c>
      <c r="J1581" s="156">
        <f t="shared" si="177"/>
        <v>6</v>
      </c>
      <c r="K1581" s="1085">
        <f t="shared" si="177"/>
        <v>0</v>
      </c>
      <c r="L1581" s="1086"/>
      <c r="M1581" s="2089"/>
      <c r="N1581" s="2086"/>
      <c r="O1581" s="1453"/>
      <c r="P1581" s="177"/>
      <c r="Q1581" s="177"/>
      <c r="R1581" s="1894"/>
      <c r="S1581" s="177"/>
      <c r="T1581" s="177"/>
      <c r="U1581" s="2090"/>
      <c r="V1581" s="245" t="s">
        <v>20</v>
      </c>
      <c r="W1581" s="1087"/>
      <c r="X1581" s="1088"/>
      <c r="Y1581" s="1005">
        <v>613.21</v>
      </c>
      <c r="Z1581" s="1089"/>
      <c r="AA1581" s="1089"/>
      <c r="AB1581" s="1090"/>
      <c r="AC1581" s="1087"/>
      <c r="AD1581" s="1087"/>
      <c r="AE1581" s="1087"/>
      <c r="AF1581" s="1087"/>
      <c r="AG1581" s="1087"/>
      <c r="AH1581" s="248"/>
      <c r="AK1581" s="1091"/>
      <c r="BB1581" s="995"/>
      <c r="BC1581" s="994" t="str">
        <f t="shared" si="174"/>
        <v>Heating Res 6 Year EUL</v>
      </c>
      <c r="BD1581" s="894">
        <f>(INDEX('Avoided Cost Benefits'!$C$4:$C$857,MATCH(BC1581,'Avoided Cost Benefits'!$A$4:$A$857,0)))*F1581</f>
        <v>101.99736812185043</v>
      </c>
      <c r="BE1581" s="74">
        <f t="shared" si="160"/>
        <v>0</v>
      </c>
      <c r="BG1581" s="919"/>
      <c r="BH1581" s="1095"/>
      <c r="BI1581" s="919"/>
    </row>
    <row r="1582" spans="1:61" s="65" customFormat="1" x14ac:dyDescent="0.25">
      <c r="A1582" s="785"/>
      <c r="B1582" s="177"/>
      <c r="C1582" s="1572" t="str">
        <f t="shared" ref="C1582:C1583" si="178">C1581</f>
        <v>354501_2019_12_</v>
      </c>
      <c r="D1582" s="2045" t="s">
        <v>792</v>
      </c>
      <c r="E1582" s="994" t="str">
        <f>CONCATENATE(E1578,"_CompE")</f>
        <v>ASHP SEER 19 replace ASHP - early replacement MF ER2_CompE</v>
      </c>
      <c r="F1582" s="999">
        <f>ROUND((($K$2273*$K$2401*(1/$K$2529-1/$K$2657)*$K$2785)/1000),2)</f>
        <v>305.77999999999997</v>
      </c>
      <c r="G1582" s="318" t="str">
        <f t="shared" si="177"/>
        <v>Cooling Res ER2</v>
      </c>
      <c r="H1582" s="239">
        <f t="shared" si="177"/>
        <v>9.4741810000000004E-4</v>
      </c>
      <c r="I1582" s="2518">
        <f t="shared" si="173"/>
        <v>0.28970200000000002</v>
      </c>
      <c r="J1582" s="156">
        <f t="shared" si="177"/>
        <v>12</v>
      </c>
      <c r="K1582" s="1085">
        <f t="shared" si="177"/>
        <v>0</v>
      </c>
      <c r="L1582" s="1086"/>
      <c r="M1582" s="2089"/>
      <c r="N1582" s="2086"/>
      <c r="O1582" s="1453"/>
      <c r="P1582" s="177"/>
      <c r="Q1582" s="177"/>
      <c r="R1582" s="1894"/>
      <c r="S1582" s="177"/>
      <c r="T1582" s="177"/>
      <c r="U1582" s="2090"/>
      <c r="V1582" s="245" t="s">
        <v>20</v>
      </c>
      <c r="W1582" s="1087"/>
      <c r="X1582" s="1088"/>
      <c r="Y1582" s="1005">
        <v>305.77999999999997</v>
      </c>
      <c r="Z1582" s="1089"/>
      <c r="AA1582" s="1089"/>
      <c r="AB1582" s="1090"/>
      <c r="AC1582" s="1087"/>
      <c r="AD1582" s="1087"/>
      <c r="AE1582" s="1087"/>
      <c r="AF1582" s="1087"/>
      <c r="AG1582" s="1087"/>
      <c r="AH1582" s="248"/>
      <c r="AK1582" s="1091"/>
      <c r="BB1582" s="995"/>
      <c r="BC1582" s="994" t="str">
        <f t="shared" si="174"/>
        <v>Cooling Res ER2 12 Year EUL</v>
      </c>
      <c r="BD1582" s="894">
        <f>(INDEX('Avoided Cost Benefits'!$C$4:$C$857,MATCH(BC1582,'Avoided Cost Benefits'!$A$4:$A$857,0)))*F1582</f>
        <v>361.53088391105308</v>
      </c>
      <c r="BE1582" s="74">
        <f t="shared" si="160"/>
        <v>0</v>
      </c>
      <c r="BG1582" s="919"/>
      <c r="BH1582" s="1095"/>
      <c r="BI1582" s="919"/>
    </row>
    <row r="1583" spans="1:61" s="65" customFormat="1" x14ac:dyDescent="0.25">
      <c r="A1583" s="785"/>
      <c r="B1583" s="177"/>
      <c r="C1583" s="1572" t="str">
        <f t="shared" si="178"/>
        <v>354501_2019_12_</v>
      </c>
      <c r="D1583" s="2045" t="s">
        <v>792</v>
      </c>
      <c r="E1583" s="892" t="str">
        <f>CONCATENATE(E1579,"_CompE")</f>
        <v>ASHP SEER 19 replace ASHP - early replacement MF ER2_CompE</v>
      </c>
      <c r="F1583" s="999">
        <f>ROUND((($K$1761*$K$1889*(1/$K$2017-1/$K$2145)*$K$2785)/1000),2)</f>
        <v>219.07</v>
      </c>
      <c r="G1583" s="318" t="str">
        <f t="shared" si="177"/>
        <v>Heating Res ER2</v>
      </c>
      <c r="H1583" s="239">
        <f t="shared" si="177"/>
        <v>0</v>
      </c>
      <c r="I1583" s="2518">
        <f t="shared" si="173"/>
        <v>0</v>
      </c>
      <c r="J1583" s="156">
        <f t="shared" si="177"/>
        <v>12</v>
      </c>
      <c r="K1583" s="1085">
        <f t="shared" si="177"/>
        <v>0</v>
      </c>
      <c r="L1583" s="1086"/>
      <c r="M1583" s="2089"/>
      <c r="N1583" s="2086"/>
      <c r="O1583" s="1453"/>
      <c r="P1583" s="177"/>
      <c r="Q1583" s="177"/>
      <c r="R1583" s="1894"/>
      <c r="S1583" s="177"/>
      <c r="T1583" s="177"/>
      <c r="U1583" s="2090"/>
      <c r="V1583" s="245" t="s">
        <v>20</v>
      </c>
      <c r="W1583" s="1087"/>
      <c r="X1583" s="1088"/>
      <c r="Y1583" s="1005">
        <v>219.07</v>
      </c>
      <c r="Z1583" s="1089"/>
      <c r="AA1583" s="1089"/>
      <c r="AB1583" s="1090"/>
      <c r="AC1583" s="1087"/>
      <c r="AD1583" s="1087"/>
      <c r="AE1583" s="1087"/>
      <c r="AF1583" s="1087"/>
      <c r="AG1583" s="1087"/>
      <c r="AH1583" s="248"/>
      <c r="AK1583" s="1091"/>
      <c r="BB1583" s="995"/>
      <c r="BC1583" s="892" t="str">
        <f t="shared" si="174"/>
        <v>Heating Res ER2 12 Year EUL</v>
      </c>
      <c r="BD1583" s="894">
        <f>(INDEX('Avoided Cost Benefits'!$C$4:$C$857,MATCH(BC1583,'Avoided Cost Benefits'!$A$4:$A$857,0)))*F1583</f>
        <v>64.775187073496781</v>
      </c>
      <c r="BE1583" s="74">
        <f t="shared" si="160"/>
        <v>0</v>
      </c>
      <c r="BG1583" s="919"/>
      <c r="BH1583" s="1095"/>
      <c r="BI1583" s="919"/>
    </row>
    <row r="1584" spans="1:61" s="65" customFormat="1" x14ac:dyDescent="0.25">
      <c r="A1584" s="785"/>
      <c r="B1584" s="177"/>
      <c r="C1584" s="1572" t="s">
        <v>1554</v>
      </c>
      <c r="D1584" s="2045" t="s">
        <v>795</v>
      </c>
      <c r="E1584" s="884" t="s">
        <v>1555</v>
      </c>
      <c r="F1584" s="999">
        <f>ROUND(((K2274*K2402*(1/K2530-1/K2658)*K2786)/1000),2)</f>
        <v>2410.52</v>
      </c>
      <c r="G1584" s="318" t="s">
        <v>1367</v>
      </c>
      <c r="H1584" s="239">
        <f>VLOOKUP(G1584,'CP FACTORS'!$A$3:$B$38, 2, FALSE)</f>
        <v>9.4741810000000004E-4</v>
      </c>
      <c r="I1584" s="2046">
        <f t="shared" si="173"/>
        <v>2.2837700000000001</v>
      </c>
      <c r="J1584" s="156">
        <f t="shared" ref="J1584:J1593" si="179">K2950</f>
        <v>6</v>
      </c>
      <c r="K1584" s="1085">
        <f t="shared" ref="K1584:K1593" si="180">K3120</f>
        <v>2232.8749598081135</v>
      </c>
      <c r="L1584" s="1086">
        <f>L1762</f>
        <v>3.3</v>
      </c>
      <c r="M1584" s="2089"/>
      <c r="N1584" s="2086"/>
      <c r="O1584" s="1453"/>
      <c r="P1584" s="177"/>
      <c r="Q1584" s="177"/>
      <c r="R1584" s="1894"/>
      <c r="S1584" s="177"/>
      <c r="T1584" s="177"/>
      <c r="U1584" s="2090"/>
      <c r="V1584" s="245" t="s">
        <v>20</v>
      </c>
      <c r="W1584" s="1087">
        <v>3058.88</v>
      </c>
      <c r="X1584" s="1088">
        <v>2410.520456182473</v>
      </c>
      <c r="Y1584" s="999">
        <v>2410.52</v>
      </c>
      <c r="Z1584" s="1089"/>
      <c r="AA1584" s="1089"/>
      <c r="AB1584" s="1090"/>
      <c r="AC1584" s="1087"/>
      <c r="AD1584" s="1087"/>
      <c r="AE1584" s="1087"/>
      <c r="AF1584" s="1087"/>
      <c r="AG1584" s="1087"/>
      <c r="AH1584" s="248"/>
      <c r="AK1584" s="1091"/>
      <c r="BB1584" s="350">
        <f>(BD1584+BD1585+BD1586+BD1587)/(BE1584+BE1585+BE1586+BE1587)</f>
        <v>1.4359117255891336</v>
      </c>
      <c r="BC1584" s="884" t="str">
        <f t="shared" si="174"/>
        <v>Cooling Res 6 Year EUL</v>
      </c>
      <c r="BD1584" s="894">
        <f>(INDEX('Avoided Cost Benefits'!$C$4:$C$857,MATCH(BC1584,'Avoided Cost Benefits'!$A$4:$A$857,0)))*F1584</f>
        <v>1401.6792044380941</v>
      </c>
      <c r="BE1584" s="74">
        <f t="shared" si="160"/>
        <v>2107.4799054347459</v>
      </c>
      <c r="BG1584" s="919"/>
      <c r="BH1584" s="1092"/>
      <c r="BI1584" s="919"/>
    </row>
    <row r="1585" spans="1:61" s="65" customFormat="1" x14ac:dyDescent="0.25">
      <c r="A1585" s="785"/>
      <c r="B1585" s="177"/>
      <c r="C1585" s="1572" t="s">
        <v>1554</v>
      </c>
      <c r="D1585" s="2045" t="s">
        <v>795</v>
      </c>
      <c r="E1585" s="994" t="s">
        <v>1555</v>
      </c>
      <c r="F1585" s="999">
        <f>ROUND(((K1762*K1890*(1/K2018-1/K2146)*K2786)/1000),2)</f>
        <v>2767.32</v>
      </c>
      <c r="G1585" s="318" t="s">
        <v>1369</v>
      </c>
      <c r="H1585" s="239">
        <f>VLOOKUP(G1585,'CP FACTORS'!$A$3:$B$38, 2, FALSE)</f>
        <v>0</v>
      </c>
      <c r="I1585" s="2046">
        <f t="shared" si="173"/>
        <v>0</v>
      </c>
      <c r="J1585" s="156">
        <f t="shared" si="179"/>
        <v>6</v>
      </c>
      <c r="K1585" s="1085">
        <f t="shared" si="180"/>
        <v>0</v>
      </c>
      <c r="L1585" s="1086"/>
      <c r="M1585" s="2089"/>
      <c r="N1585" s="2086"/>
      <c r="O1585" s="1453"/>
      <c r="P1585" s="177"/>
      <c r="Q1585" s="177"/>
      <c r="R1585" s="1894"/>
      <c r="S1585" s="177"/>
      <c r="T1585" s="177"/>
      <c r="U1585" s="2090"/>
      <c r="V1585" s="245" t="s">
        <v>20</v>
      </c>
      <c r="W1585" s="1087">
        <v>6249.9803405572748</v>
      </c>
      <c r="X1585" s="1088">
        <v>2767.3247800351946</v>
      </c>
      <c r="Y1585" s="999">
        <v>2767.32</v>
      </c>
      <c r="Z1585" s="1089"/>
      <c r="AA1585" s="1089"/>
      <c r="AB1585" s="1090"/>
      <c r="AC1585" s="1087"/>
      <c r="AD1585" s="1087"/>
      <c r="AE1585" s="1087"/>
      <c r="AF1585" s="1087"/>
      <c r="AG1585" s="1087"/>
      <c r="AH1585" s="248"/>
      <c r="AK1585" s="1091"/>
      <c r="BB1585" s="995"/>
      <c r="BC1585" s="994" t="str">
        <f t="shared" si="174"/>
        <v>Heating Res 6 Year EUL</v>
      </c>
      <c r="BD1585" s="894">
        <f>(INDEX('Avoided Cost Benefits'!$C$4:$C$857,MATCH(BC1585,'Avoided Cost Benefits'!$A$4:$A$857,0)))*F1585</f>
        <v>460.29803289404794</v>
      </c>
      <c r="BE1585" s="74">
        <f t="shared" si="160"/>
        <v>0</v>
      </c>
      <c r="BG1585" s="919"/>
      <c r="BH1585" s="1092"/>
      <c r="BI1585" s="919"/>
    </row>
    <row r="1586" spans="1:61" s="65" customFormat="1" x14ac:dyDescent="0.25">
      <c r="A1586" s="785"/>
      <c r="B1586" s="177"/>
      <c r="C1586" s="1572" t="s">
        <v>1554</v>
      </c>
      <c r="D1586" s="2045" t="s">
        <v>795</v>
      </c>
      <c r="E1586" s="994" t="s">
        <v>1556</v>
      </c>
      <c r="F1586" s="999">
        <f>ROUND(((K2275*K2403*(1/K2531-1/K2659)*K2787)/1000),2)</f>
        <v>737.41</v>
      </c>
      <c r="G1586" s="2078" t="s">
        <v>1408</v>
      </c>
      <c r="H1586" s="239">
        <f>VLOOKUP(G1586,'CP FACTORS'!$A$3:$B$38, 2, FALSE)</f>
        <v>9.4741810000000004E-4</v>
      </c>
      <c r="I1586" s="2046">
        <f t="shared" si="173"/>
        <v>0.69863600000000003</v>
      </c>
      <c r="J1586" s="156">
        <f t="shared" si="179"/>
        <v>12</v>
      </c>
      <c r="K1586" s="1085">
        <f t="shared" si="180"/>
        <v>0</v>
      </c>
      <c r="L1586" s="1086"/>
      <c r="M1586" s="2089"/>
      <c r="N1586" s="2086"/>
      <c r="O1586" s="1453"/>
      <c r="P1586" s="177"/>
      <c r="Q1586" s="177"/>
      <c r="R1586" s="1894"/>
      <c r="S1586" s="177"/>
      <c r="T1586" s="177"/>
      <c r="U1586" s="2090"/>
      <c r="V1586" s="245" t="s">
        <v>20</v>
      </c>
      <c r="W1586" s="1087">
        <v>737.40857142857124</v>
      </c>
      <c r="X1586" s="1096">
        <v>737.40857142857124</v>
      </c>
      <c r="Y1586" s="999">
        <v>737.41</v>
      </c>
      <c r="Z1586" s="1089"/>
      <c r="AA1586" s="1089"/>
      <c r="AB1586" s="1090"/>
      <c r="AC1586" s="1087"/>
      <c r="AD1586" s="1087"/>
      <c r="AE1586" s="1087"/>
      <c r="AF1586" s="1087"/>
      <c r="AG1586" s="1087"/>
      <c r="AH1586" s="248"/>
      <c r="AK1586" s="1091"/>
      <c r="BB1586" s="995"/>
      <c r="BC1586" s="994" t="str">
        <f t="shared" si="174"/>
        <v>Cooling Res ER2 12 Year EUL</v>
      </c>
      <c r="BD1586" s="894">
        <f>(INDEX('Avoided Cost Benefits'!$C$4:$C$857,MATCH(BC1586,'Avoided Cost Benefits'!$A$4:$A$857,0)))*F1586</f>
        <v>871.85718197674692</v>
      </c>
      <c r="BE1586" s="74">
        <f t="shared" si="160"/>
        <v>0</v>
      </c>
      <c r="BG1586" s="919"/>
      <c r="BH1586" s="1092"/>
      <c r="BI1586" s="919"/>
    </row>
    <row r="1587" spans="1:61" s="65" customFormat="1" x14ac:dyDescent="0.25">
      <c r="A1587" s="785"/>
      <c r="B1587" s="177"/>
      <c r="C1587" s="1572" t="s">
        <v>1554</v>
      </c>
      <c r="D1587" s="2045" t="s">
        <v>795</v>
      </c>
      <c r="E1587" s="892" t="s">
        <v>1556</v>
      </c>
      <c r="F1587" s="999">
        <f>ROUND(((K1763*K1891*(1/K2019-1/K2147)*K2787)/1000),2)</f>
        <v>988.63</v>
      </c>
      <c r="G1587" s="2078" t="s">
        <v>1427</v>
      </c>
      <c r="H1587" s="239">
        <f>VLOOKUP(G1587,'CP FACTORS'!$A$3:$B$38, 2, FALSE)</f>
        <v>0</v>
      </c>
      <c r="I1587" s="2046">
        <f t="shared" si="173"/>
        <v>0</v>
      </c>
      <c r="J1587" s="156">
        <f t="shared" si="179"/>
        <v>12</v>
      </c>
      <c r="K1587" s="1085">
        <f t="shared" si="180"/>
        <v>0</v>
      </c>
      <c r="L1587" s="1086"/>
      <c r="M1587" s="2089"/>
      <c r="N1587" s="2086"/>
      <c r="O1587" s="1453"/>
      <c r="P1587" s="177"/>
      <c r="Q1587" s="177"/>
      <c r="R1587" s="1894"/>
      <c r="S1587" s="177"/>
      <c r="T1587" s="177"/>
      <c r="U1587" s="2090"/>
      <c r="V1587" s="245" t="s">
        <v>20</v>
      </c>
      <c r="W1587" s="1087">
        <v>1327.6421052631592</v>
      </c>
      <c r="X1587" s="1088">
        <v>988.62747111681745</v>
      </c>
      <c r="Y1587" s="999">
        <v>988.63</v>
      </c>
      <c r="Z1587" s="1089"/>
      <c r="AA1587" s="1089"/>
      <c r="AB1587" s="1090"/>
      <c r="AC1587" s="1087"/>
      <c r="AD1587" s="1087"/>
      <c r="AE1587" s="1087"/>
      <c r="AF1587" s="1087"/>
      <c r="AG1587" s="1087"/>
      <c r="AH1587" s="248"/>
      <c r="AK1587" s="1091"/>
      <c r="BB1587" s="995"/>
      <c r="BC1587" s="892" t="str">
        <f t="shared" si="174"/>
        <v>Heating Res ER2 12 Year EUL</v>
      </c>
      <c r="BD1587" s="894">
        <f>(INDEX('Avoided Cost Benefits'!$C$4:$C$857,MATCH(BC1587,'Avoided Cost Benefits'!$A$4:$A$857,0)))*F1587</f>
        <v>292.32068834834126</v>
      </c>
      <c r="BE1587" s="74">
        <f t="shared" si="160"/>
        <v>0</v>
      </c>
      <c r="BG1587" s="919"/>
      <c r="BH1587" s="1092"/>
      <c r="BI1587" s="919"/>
    </row>
    <row r="1588" spans="1:61" s="65" customFormat="1" x14ac:dyDescent="0.25">
      <c r="A1588" s="785"/>
      <c r="B1588" s="177"/>
      <c r="C1588" s="1572" t="s">
        <v>1557</v>
      </c>
      <c r="D1588" s="2045" t="s">
        <v>795</v>
      </c>
      <c r="E1588" s="956" t="s">
        <v>1558</v>
      </c>
      <c r="F1588" s="999">
        <f>ROUND(((K2276*K2404*(1/K2532-1/K2660)*K2788)/1000),2)</f>
        <v>737.41</v>
      </c>
      <c r="G1588" s="318" t="s">
        <v>1367</v>
      </c>
      <c r="H1588" s="239">
        <f>VLOOKUP(G1588,'CP FACTORS'!$A$3:$B$38, 2, FALSE)</f>
        <v>9.4741810000000004E-4</v>
      </c>
      <c r="I1588" s="2046">
        <f t="shared" si="173"/>
        <v>0.69863600000000003</v>
      </c>
      <c r="J1588" s="156">
        <f t="shared" si="179"/>
        <v>18</v>
      </c>
      <c r="K1588" s="1085">
        <f t="shared" si="180"/>
        <v>1444.3799999999994</v>
      </c>
      <c r="L1588" s="1086">
        <f>L1764</f>
        <v>3.3</v>
      </c>
      <c r="M1588" s="2089"/>
      <c r="N1588" s="2086"/>
      <c r="O1588" s="1453"/>
      <c r="P1588" s="177"/>
      <c r="Q1588" s="177"/>
      <c r="R1588" s="1894"/>
      <c r="S1588" s="177"/>
      <c r="T1588" s="177"/>
      <c r="U1588" s="2090"/>
      <c r="V1588" s="245" t="s">
        <v>20</v>
      </c>
      <c r="W1588" s="1087">
        <v>737.40857142857124</v>
      </c>
      <c r="X1588" s="1096">
        <v>737.40857142857124</v>
      </c>
      <c r="Y1588" s="999">
        <v>737.41</v>
      </c>
      <c r="Z1588" s="1089"/>
      <c r="AA1588" s="1089"/>
      <c r="AB1588" s="1090"/>
      <c r="AC1588" s="1087"/>
      <c r="AD1588" s="1087"/>
      <c r="AE1588" s="1087"/>
      <c r="AF1588" s="1087"/>
      <c r="AG1588" s="1087"/>
      <c r="AH1588" s="248"/>
      <c r="AK1588" s="1091"/>
      <c r="BB1588" s="350">
        <f>(BD1588+BD1589)/(BE1588+BE1589)</f>
        <v>1.3538128810268077</v>
      </c>
      <c r="BC1588" s="956" t="str">
        <f t="shared" si="174"/>
        <v>Cooling Res 18 Year EUL</v>
      </c>
      <c r="BD1588" s="894">
        <f>(INDEX('Avoided Cost Benefits'!$C$4:$C$857,MATCH(BC1588,'Avoided Cost Benefits'!$A$4:$A$857,0)))*F1588</f>
        <v>1300.6494185666504</v>
      </c>
      <c r="BE1588" s="74">
        <f t="shared" si="160"/>
        <v>1363.2656913638502</v>
      </c>
      <c r="BG1588" s="919"/>
      <c r="BH1588" s="1092"/>
      <c r="BI1588" s="919"/>
    </row>
    <row r="1589" spans="1:61" s="65" customFormat="1" x14ac:dyDescent="0.25">
      <c r="A1589" s="785"/>
      <c r="B1589" s="177"/>
      <c r="C1589" s="1572" t="s">
        <v>1557</v>
      </c>
      <c r="D1589" s="2045" t="s">
        <v>795</v>
      </c>
      <c r="E1589" s="1093" t="s">
        <v>1558</v>
      </c>
      <c r="F1589" s="999">
        <f>ROUND(((K1764*K1892*(1/K2020-1/K2148)*K2788)/1000),2)</f>
        <v>1179.52</v>
      </c>
      <c r="G1589" s="318" t="s">
        <v>1369</v>
      </c>
      <c r="H1589" s="239">
        <f>VLOOKUP(G1589,'CP FACTORS'!$A$3:$B$38, 2, FALSE)</f>
        <v>0</v>
      </c>
      <c r="I1589" s="2046">
        <f t="shared" si="173"/>
        <v>0</v>
      </c>
      <c r="J1589" s="156">
        <f t="shared" si="179"/>
        <v>18</v>
      </c>
      <c r="K1589" s="1085">
        <f t="shared" si="180"/>
        <v>0</v>
      </c>
      <c r="L1589" s="1086"/>
      <c r="M1589" s="2089"/>
      <c r="N1589" s="2086"/>
      <c r="O1589" s="1453"/>
      <c r="P1589" s="177"/>
      <c r="Q1589" s="177"/>
      <c r="R1589" s="1894"/>
      <c r="S1589" s="177"/>
      <c r="T1589" s="177"/>
      <c r="U1589" s="2090"/>
      <c r="V1589" s="245" t="s">
        <v>20</v>
      </c>
      <c r="W1589" s="1087">
        <v>1584.0000000000018</v>
      </c>
      <c r="X1589" s="1088">
        <v>1179.5241413638641</v>
      </c>
      <c r="Y1589" s="999">
        <v>1179.52</v>
      </c>
      <c r="Z1589" s="1089"/>
      <c r="AA1589" s="1089"/>
      <c r="AB1589" s="1090"/>
      <c r="AC1589" s="1087"/>
      <c r="AD1589" s="1087"/>
      <c r="AE1589" s="1087"/>
      <c r="AF1589" s="1087"/>
      <c r="AG1589" s="1087"/>
      <c r="AH1589" s="248"/>
      <c r="AK1589" s="1091"/>
      <c r="BB1589" s="348"/>
      <c r="BC1589" s="1093" t="str">
        <f t="shared" si="174"/>
        <v>Heating Res 18 Year EUL</v>
      </c>
      <c r="BD1589" s="894">
        <f>(INDEX('Avoided Cost Benefits'!$C$4:$C$857,MATCH(BC1589,'Avoided Cost Benefits'!$A$4:$A$857,0)))*F1589</f>
        <v>544.95723466364666</v>
      </c>
      <c r="BE1589" s="74">
        <f t="shared" si="160"/>
        <v>0</v>
      </c>
      <c r="BG1589" s="919"/>
      <c r="BH1589" s="1092"/>
      <c r="BI1589" s="919"/>
    </row>
    <row r="1590" spans="1:61" s="65" customFormat="1" x14ac:dyDescent="0.25">
      <c r="A1590" s="785"/>
      <c r="B1590" s="177"/>
      <c r="C1590" s="1572" t="s">
        <v>1559</v>
      </c>
      <c r="D1590" s="2045" t="s">
        <v>797</v>
      </c>
      <c r="E1590" s="884" t="s">
        <v>1560</v>
      </c>
      <c r="F1590" s="999">
        <f>ROUND(((K2277*K2405*(1/K2533-1/K2661)*K2789)/1000),2)</f>
        <v>1471.88</v>
      </c>
      <c r="G1590" s="318" t="s">
        <v>1367</v>
      </c>
      <c r="H1590" s="239">
        <f>VLOOKUP(G1590,'CP FACTORS'!$A$3:$B$38, 2, FALSE)</f>
        <v>9.4741810000000004E-4</v>
      </c>
      <c r="I1590" s="2046">
        <f t="shared" si="173"/>
        <v>1.3944859999999999</v>
      </c>
      <c r="J1590" s="156">
        <f t="shared" si="179"/>
        <v>6</v>
      </c>
      <c r="K1590" s="1085">
        <f t="shared" si="180"/>
        <v>1925.8398012161661</v>
      </c>
      <c r="L1590" s="1086">
        <f>L1765</f>
        <v>3.1</v>
      </c>
      <c r="M1590" s="2089"/>
      <c r="N1590" s="2086"/>
      <c r="O1590" s="1453"/>
      <c r="P1590" s="177"/>
      <c r="Q1590" s="177"/>
      <c r="R1590" s="1894"/>
      <c r="S1590" s="177"/>
      <c r="T1590" s="177"/>
      <c r="U1590" s="2090"/>
      <c r="V1590" s="245" t="s">
        <v>20</v>
      </c>
      <c r="W1590" s="1087">
        <v>2039.4407647058827</v>
      </c>
      <c r="X1590" s="1088">
        <v>1471.8783997599039</v>
      </c>
      <c r="Y1590" s="999">
        <v>1471.88</v>
      </c>
      <c r="Z1590" s="1089"/>
      <c r="AA1590" s="1089"/>
      <c r="AB1590" s="1090"/>
      <c r="AC1590" s="1087"/>
      <c r="AD1590" s="1087"/>
      <c r="AE1590" s="1087"/>
      <c r="AF1590" s="1087"/>
      <c r="AG1590" s="1087"/>
      <c r="AH1590" s="248"/>
      <c r="AK1590" s="1091"/>
      <c r="BB1590" s="350">
        <f>(BD1590+BD1591+BD1592+BD1593)/(BE1590+BE1591+BE1592+BE1593)</f>
        <v>2.5570217316389692</v>
      </c>
      <c r="BC1590" s="884" t="str">
        <f t="shared" si="174"/>
        <v>Cooling Res 6 Year EUL</v>
      </c>
      <c r="BD1590" s="894">
        <f>(INDEX('Avoided Cost Benefits'!$C$4:$C$857,MATCH(BC1590,'Avoided Cost Benefits'!$A$4:$A$857,0)))*F1590</f>
        <v>855.87490974077878</v>
      </c>
      <c r="BE1590" s="74">
        <f t="shared" si="160"/>
        <v>1817.6874008647153</v>
      </c>
      <c r="BG1590" s="919"/>
      <c r="BH1590" s="1092"/>
      <c r="BI1590" s="919"/>
    </row>
    <row r="1591" spans="1:61" s="65" customFormat="1" x14ac:dyDescent="0.25">
      <c r="A1591" s="785"/>
      <c r="B1591" s="177"/>
      <c r="C1591" s="1572" t="s">
        <v>1559</v>
      </c>
      <c r="D1591" s="2045" t="s">
        <v>797</v>
      </c>
      <c r="E1591" s="994" t="s">
        <v>1560</v>
      </c>
      <c r="F1591" s="999">
        <f>ROUND(((K1765*K1893*(1/K2021-1/K2149)*K2789)/1000),2)</f>
        <v>6759.78</v>
      </c>
      <c r="G1591" s="318" t="s">
        <v>1369</v>
      </c>
      <c r="H1591" s="239">
        <f>VLOOKUP(G1591,'CP FACTORS'!$A$3:$B$38, 2, FALSE)</f>
        <v>0</v>
      </c>
      <c r="I1591" s="2046">
        <f t="shared" si="173"/>
        <v>0</v>
      </c>
      <c r="J1591" s="156">
        <f t="shared" si="179"/>
        <v>6</v>
      </c>
      <c r="K1591" s="1085">
        <f t="shared" si="180"/>
        <v>0</v>
      </c>
      <c r="L1591" s="1086"/>
      <c r="M1591" s="2089"/>
      <c r="N1591" s="2086"/>
      <c r="O1591" s="1453"/>
      <c r="P1591" s="177"/>
      <c r="Q1591" s="177"/>
      <c r="R1591" s="1894"/>
      <c r="S1591" s="177"/>
      <c r="T1591" s="177"/>
      <c r="U1591" s="2090"/>
      <c r="V1591" s="245" t="s">
        <v>20</v>
      </c>
      <c r="W1591" s="1087">
        <v>9077.8044487427451</v>
      </c>
      <c r="X1591" s="1088">
        <v>6759.7787234042544</v>
      </c>
      <c r="Y1591" s="999">
        <v>6759.78</v>
      </c>
      <c r="Z1591" s="1089"/>
      <c r="AA1591" s="1089"/>
      <c r="AB1591" s="1090"/>
      <c r="AC1591" s="1087"/>
      <c r="AD1591" s="1087"/>
      <c r="AE1591" s="1087"/>
      <c r="AF1591" s="1087"/>
      <c r="AG1591" s="1087"/>
      <c r="AH1591" s="248"/>
      <c r="AK1591" s="1091"/>
      <c r="BB1591" s="995"/>
      <c r="BC1591" s="994" t="str">
        <f t="shared" si="174"/>
        <v>Heating Res 6 Year EUL</v>
      </c>
      <c r="BD1591" s="894">
        <f>(INDEX('Avoided Cost Benefits'!$C$4:$C$857,MATCH(BC1591,'Avoided Cost Benefits'!$A$4:$A$857,0)))*F1591</f>
        <v>1124.3778951463969</v>
      </c>
      <c r="BE1591" s="74">
        <f t="shared" si="160"/>
        <v>0</v>
      </c>
      <c r="BG1591" s="919"/>
      <c r="BH1591" s="1092"/>
      <c r="BI1591" s="919"/>
    </row>
    <row r="1592" spans="1:61" s="65" customFormat="1" x14ac:dyDescent="0.25">
      <c r="A1592" s="785"/>
      <c r="B1592" s="177"/>
      <c r="C1592" s="1572" t="s">
        <v>1559</v>
      </c>
      <c r="D1592" s="2045" t="s">
        <v>797</v>
      </c>
      <c r="E1592" s="994" t="s">
        <v>1561</v>
      </c>
      <c r="F1592" s="999">
        <f>ROUND(((K2278*K2406*(1/K2534-1/K2662)*K2790)/1000),2)</f>
        <v>565.72</v>
      </c>
      <c r="G1592" s="2078" t="s">
        <v>1408</v>
      </c>
      <c r="H1592" s="239">
        <f>VLOOKUP(G1592,'CP FACTORS'!$A$3:$B$38, 2, FALSE)</f>
        <v>9.4741810000000004E-4</v>
      </c>
      <c r="I1592" s="2046">
        <f t="shared" si="173"/>
        <v>0.53597300000000003</v>
      </c>
      <c r="J1592" s="156">
        <f t="shared" si="179"/>
        <v>12</v>
      </c>
      <c r="K1592" s="1085">
        <f t="shared" si="180"/>
        <v>0</v>
      </c>
      <c r="L1592" s="1086"/>
      <c r="M1592" s="2089"/>
      <c r="N1592" s="2086"/>
      <c r="O1592" s="1453"/>
      <c r="P1592" s="177"/>
      <c r="Q1592" s="177"/>
      <c r="R1592" s="1894"/>
      <c r="S1592" s="177"/>
      <c r="T1592" s="177"/>
      <c r="U1592" s="2090"/>
      <c r="V1592" s="245" t="s">
        <v>20</v>
      </c>
      <c r="W1592" s="1087">
        <v>565.71900000000005</v>
      </c>
      <c r="X1592" s="1096">
        <v>565.71900000000005</v>
      </c>
      <c r="Y1592" s="999">
        <v>565.72</v>
      </c>
      <c r="Z1592" s="1089"/>
      <c r="AA1592" s="1089"/>
      <c r="AB1592" s="1090"/>
      <c r="AC1592" s="1087"/>
      <c r="AD1592" s="1087"/>
      <c r="AE1592" s="1087"/>
      <c r="AF1592" s="1087"/>
      <c r="AG1592" s="1087"/>
      <c r="AH1592" s="248"/>
      <c r="AK1592" s="1091"/>
      <c r="BB1592" s="995"/>
      <c r="BC1592" s="994" t="str">
        <f t="shared" si="174"/>
        <v>Cooling Res ER2 12 Year EUL</v>
      </c>
      <c r="BD1592" s="894">
        <f>(INDEX('Avoided Cost Benefits'!$C$4:$C$857,MATCH(BC1592,'Avoided Cost Benefits'!$A$4:$A$857,0)))*F1592</f>
        <v>668.86405797030864</v>
      </c>
      <c r="BE1592" s="74">
        <f t="shared" si="160"/>
        <v>0</v>
      </c>
      <c r="BG1592" s="919"/>
      <c r="BH1592" s="1092"/>
      <c r="BI1592" s="919"/>
    </row>
    <row r="1593" spans="1:61" s="65" customFormat="1" x14ac:dyDescent="0.25">
      <c r="A1593" s="785"/>
      <c r="B1593" s="177"/>
      <c r="C1593" s="1572" t="s">
        <v>1559</v>
      </c>
      <c r="D1593" s="2045" t="s">
        <v>797</v>
      </c>
      <c r="E1593" s="892" t="s">
        <v>1561</v>
      </c>
      <c r="F1593" s="999">
        <f>ROUND(((K1766*K1894*(1/K2022-1/K2150)*K2790)/1000),2)</f>
        <v>6759.78</v>
      </c>
      <c r="G1593" s="2078" t="s">
        <v>1427</v>
      </c>
      <c r="H1593" s="239">
        <f>VLOOKUP(G1593,'CP FACTORS'!$A$3:$B$38, 2, FALSE)</f>
        <v>0</v>
      </c>
      <c r="I1593" s="2046">
        <f t="shared" si="173"/>
        <v>0</v>
      </c>
      <c r="J1593" s="156">
        <f t="shared" si="179"/>
        <v>12</v>
      </c>
      <c r="K1593" s="1085">
        <f t="shared" si="180"/>
        <v>0</v>
      </c>
      <c r="L1593" s="1086"/>
      <c r="M1593" s="2089"/>
      <c r="N1593" s="2086"/>
      <c r="O1593" s="1453"/>
      <c r="P1593" s="177"/>
      <c r="Q1593" s="177"/>
      <c r="R1593" s="1894"/>
      <c r="S1593" s="177"/>
      <c r="T1593" s="177"/>
      <c r="U1593" s="2090"/>
      <c r="V1593" s="245" t="s">
        <v>20</v>
      </c>
      <c r="W1593" s="1087">
        <v>9077.8044487427451</v>
      </c>
      <c r="X1593" s="1088">
        <v>6759.7787234042544</v>
      </c>
      <c r="Y1593" s="999">
        <v>6759.78</v>
      </c>
      <c r="Z1593" s="1089"/>
      <c r="AA1593" s="1089"/>
      <c r="AB1593" s="1090"/>
      <c r="AC1593" s="1087"/>
      <c r="AD1593" s="1087"/>
      <c r="AE1593" s="1087"/>
      <c r="AF1593" s="1087"/>
      <c r="AG1593" s="1087"/>
      <c r="AH1593" s="248"/>
      <c r="AK1593" s="1091"/>
      <c r="BB1593" s="995"/>
      <c r="BC1593" s="892" t="str">
        <f t="shared" si="174"/>
        <v>Heating Res ER2 12 Year EUL</v>
      </c>
      <c r="BD1593" s="894">
        <f>(INDEX('Avoided Cost Benefits'!$C$4:$C$857,MATCH(BC1593,'Avoided Cost Benefits'!$A$4:$A$857,0)))*F1593</f>
        <v>1998.7493224799473</v>
      </c>
      <c r="BE1593" s="74">
        <f t="shared" si="160"/>
        <v>0</v>
      </c>
      <c r="BG1593" s="919"/>
      <c r="BH1593" s="1092"/>
      <c r="BI1593" s="919"/>
    </row>
    <row r="1594" spans="1:61" s="65" customFormat="1" x14ac:dyDescent="0.25">
      <c r="A1594" s="785"/>
      <c r="B1594" s="177"/>
      <c r="C1594" s="1572" t="s">
        <v>1562</v>
      </c>
      <c r="D1594" s="2045" t="s">
        <v>792</v>
      </c>
      <c r="E1594" s="884" t="str">
        <f>CONCATENATE(E1590,"_CompE")</f>
        <v>ASHP - SEER 20 - replace electric furnace / CAC - early replacement MF ER1_CompE</v>
      </c>
      <c r="F1594" s="999">
        <f>ROUND((($K$2279*$K$2407*(1/$K$2535-1/$K$2663)*$K$2791)/1000),2)</f>
        <v>1070.46</v>
      </c>
      <c r="G1594" s="318" t="str">
        <f t="shared" ref="G1594:K1597" si="181">G1590</f>
        <v>Cooling Res</v>
      </c>
      <c r="H1594" s="239">
        <f t="shared" si="181"/>
        <v>9.4741810000000004E-4</v>
      </c>
      <c r="I1594" s="2518">
        <f t="shared" si="173"/>
        <v>1.014173</v>
      </c>
      <c r="J1594" s="156">
        <f>J1590</f>
        <v>6</v>
      </c>
      <c r="K1594" s="1085">
        <f>K1590</f>
        <v>1925.8398012161661</v>
      </c>
      <c r="L1594" s="1086">
        <f>L1590</f>
        <v>3.1</v>
      </c>
      <c r="M1594" s="2089"/>
      <c r="N1594" s="2086"/>
      <c r="O1594" s="1453"/>
      <c r="P1594" s="177"/>
      <c r="Q1594" s="177"/>
      <c r="R1594" s="1894"/>
      <c r="S1594" s="177"/>
      <c r="T1594" s="177"/>
      <c r="U1594" s="2090"/>
      <c r="V1594" s="245" t="s">
        <v>20</v>
      </c>
      <c r="W1594" s="1087"/>
      <c r="X1594" s="1088"/>
      <c r="Y1594" s="1005">
        <v>1070.46</v>
      </c>
      <c r="Z1594" s="1089"/>
      <c r="AA1594" s="1089"/>
      <c r="AB1594" s="1090"/>
      <c r="AC1594" s="1087"/>
      <c r="AD1594" s="1087"/>
      <c r="AE1594" s="1087"/>
      <c r="AF1594" s="1087"/>
      <c r="AG1594" s="1087"/>
      <c r="AH1594" s="248"/>
      <c r="AK1594" s="1091"/>
      <c r="BB1594" s="350">
        <f>(BD1594+BD1595+BD1596+BD1597)/(BE1594+BE1595+BE1596+BE1597)</f>
        <v>1.1958058077888361</v>
      </c>
      <c r="BC1594" s="884" t="str">
        <f t="shared" si="174"/>
        <v>Cooling Res 6 Year EUL</v>
      </c>
      <c r="BD1594" s="894">
        <f>(INDEX('Avoided Cost Benefits'!$C$4:$C$857,MATCH(BC1594,'Avoided Cost Benefits'!$A$4:$A$857,0)))*F1594</f>
        <v>622.45553705540806</v>
      </c>
      <c r="BE1594" s="74">
        <f t="shared" si="160"/>
        <v>1817.6874008647153</v>
      </c>
      <c r="BG1594" s="919"/>
      <c r="BH1594" s="1095"/>
      <c r="BI1594" s="919"/>
    </row>
    <row r="1595" spans="1:61" s="65" customFormat="1" x14ac:dyDescent="0.25">
      <c r="A1595" s="785"/>
      <c r="B1595" s="177"/>
      <c r="C1595" s="1572" t="str">
        <f>C1594</f>
        <v>354651_2019_12_</v>
      </c>
      <c r="D1595" s="2045" t="s">
        <v>792</v>
      </c>
      <c r="E1595" s="994" t="str">
        <f>CONCATENATE(E1591,"_CompE")</f>
        <v>ASHP - SEER 20 - replace electric furnace / CAC - early replacement MF ER1_CompE</v>
      </c>
      <c r="F1595" s="999">
        <f>ROUND((($K$1767*$K$1895*(1/$K$2023-1/$K$2151)*$K$2791)/1000),2)</f>
        <v>2304.4699999999998</v>
      </c>
      <c r="G1595" s="318" t="str">
        <f t="shared" si="181"/>
        <v>Heating Res</v>
      </c>
      <c r="H1595" s="239">
        <f t="shared" si="181"/>
        <v>0</v>
      </c>
      <c r="I1595" s="2518">
        <f t="shared" si="173"/>
        <v>0</v>
      </c>
      <c r="J1595" s="156">
        <f t="shared" si="181"/>
        <v>6</v>
      </c>
      <c r="K1595" s="1085">
        <f t="shared" si="181"/>
        <v>0</v>
      </c>
      <c r="L1595" s="1086"/>
      <c r="M1595" s="2089"/>
      <c r="N1595" s="2086"/>
      <c r="O1595" s="1453"/>
      <c r="P1595" s="177"/>
      <c r="Q1595" s="177"/>
      <c r="R1595" s="1894"/>
      <c r="S1595" s="177"/>
      <c r="T1595" s="177"/>
      <c r="U1595" s="2090"/>
      <c r="V1595" s="245" t="s">
        <v>20</v>
      </c>
      <c r="W1595" s="1087"/>
      <c r="X1595" s="1088"/>
      <c r="Y1595" s="1005">
        <v>2304.4699999999998</v>
      </c>
      <c r="Z1595" s="1089"/>
      <c r="AA1595" s="1089"/>
      <c r="AB1595" s="1090"/>
      <c r="AC1595" s="1087"/>
      <c r="AD1595" s="1087"/>
      <c r="AE1595" s="1087"/>
      <c r="AF1595" s="1087"/>
      <c r="AG1595" s="1087"/>
      <c r="AH1595" s="248"/>
      <c r="AK1595" s="1091"/>
      <c r="BB1595" s="995"/>
      <c r="BC1595" s="994" t="str">
        <f t="shared" si="174"/>
        <v>Heating Res 6 Year EUL</v>
      </c>
      <c r="BD1595" s="894">
        <f>(INDEX('Avoided Cost Benefits'!$C$4:$C$857,MATCH(BC1595,'Avoided Cost Benefits'!$A$4:$A$857,0)))*F1595</f>
        <v>383.31057046649704</v>
      </c>
      <c r="BE1595" s="74">
        <f t="shared" si="160"/>
        <v>0</v>
      </c>
      <c r="BG1595" s="919"/>
      <c r="BH1595" s="1095"/>
      <c r="BI1595" s="919"/>
    </row>
    <row r="1596" spans="1:61" s="65" customFormat="1" x14ac:dyDescent="0.25">
      <c r="A1596" s="785"/>
      <c r="B1596" s="177"/>
      <c r="C1596" s="1572" t="str">
        <f t="shared" ref="C1596:C1597" si="182">C1595</f>
        <v>354651_2019_12_</v>
      </c>
      <c r="D1596" s="2045" t="s">
        <v>792</v>
      </c>
      <c r="E1596" s="994" t="str">
        <f>CONCATENATE(E1592,"_CompE")</f>
        <v>ASHP - SEER 20 - replace electric furnace / CAC - early replacement MF ER2_CompE</v>
      </c>
      <c r="F1596" s="999">
        <f>ROUND((($K$2280*$K$2408*(1/$K$2536-1/$K$2664)*$K$2792)/1000),2)</f>
        <v>411.43</v>
      </c>
      <c r="G1596" s="318" t="str">
        <f t="shared" si="181"/>
        <v>Cooling Res ER2</v>
      </c>
      <c r="H1596" s="239">
        <f t="shared" si="181"/>
        <v>9.4741810000000004E-4</v>
      </c>
      <c r="I1596" s="2518">
        <f t="shared" si="173"/>
        <v>0.38979599999999998</v>
      </c>
      <c r="J1596" s="156">
        <f t="shared" si="181"/>
        <v>12</v>
      </c>
      <c r="K1596" s="1085">
        <f t="shared" si="181"/>
        <v>0</v>
      </c>
      <c r="L1596" s="1086"/>
      <c r="M1596" s="2089"/>
      <c r="N1596" s="2086"/>
      <c r="O1596" s="1453"/>
      <c r="P1596" s="177"/>
      <c r="Q1596" s="177"/>
      <c r="R1596" s="1894"/>
      <c r="S1596" s="177"/>
      <c r="T1596" s="177"/>
      <c r="U1596" s="2090"/>
      <c r="V1596" s="245" t="s">
        <v>20</v>
      </c>
      <c r="W1596" s="1087"/>
      <c r="X1596" s="1088"/>
      <c r="Y1596" s="1005">
        <v>411.43</v>
      </c>
      <c r="Z1596" s="1089"/>
      <c r="AA1596" s="1089"/>
      <c r="AB1596" s="1090"/>
      <c r="AC1596" s="1087"/>
      <c r="AD1596" s="1087"/>
      <c r="AE1596" s="1087"/>
      <c r="AF1596" s="1087"/>
      <c r="AG1596" s="1087"/>
      <c r="AH1596" s="248"/>
      <c r="AK1596" s="1091"/>
      <c r="BB1596" s="995"/>
      <c r="BC1596" s="994" t="str">
        <f t="shared" si="174"/>
        <v>Cooling Res ER2 12 Year EUL</v>
      </c>
      <c r="BD1596" s="894">
        <f>(INDEX('Avoided Cost Benefits'!$C$4:$C$857,MATCH(BC1596,'Avoided Cost Benefits'!$A$4:$A$857,0)))*F1596</f>
        <v>486.44336309609713</v>
      </c>
      <c r="BE1596" s="74">
        <f t="shared" si="160"/>
        <v>0</v>
      </c>
      <c r="BG1596" s="919"/>
      <c r="BH1596" s="1095"/>
      <c r="BI1596" s="919"/>
    </row>
    <row r="1597" spans="1:61" s="65" customFormat="1" x14ac:dyDescent="0.25">
      <c r="A1597" s="785"/>
      <c r="B1597" s="177"/>
      <c r="C1597" s="1572" t="str">
        <f t="shared" si="182"/>
        <v>354651_2019_12_</v>
      </c>
      <c r="D1597" s="2045" t="s">
        <v>792</v>
      </c>
      <c r="E1597" s="892" t="str">
        <f>CONCATENATE(E1593,"_CompE")</f>
        <v>ASHP - SEER 20 - replace electric furnace / CAC - early replacement MF ER2_CompE</v>
      </c>
      <c r="F1597" s="999">
        <f>ROUND((($K$1768*$K$1896*(1/$K$2024-1/$K$2152)*$K$2792)/1000),2)</f>
        <v>2304.4699999999998</v>
      </c>
      <c r="G1597" s="318" t="str">
        <f t="shared" si="181"/>
        <v>Heating Res ER2</v>
      </c>
      <c r="H1597" s="239">
        <f t="shared" si="181"/>
        <v>0</v>
      </c>
      <c r="I1597" s="2518">
        <f t="shared" si="173"/>
        <v>0</v>
      </c>
      <c r="J1597" s="156">
        <f t="shared" si="181"/>
        <v>12</v>
      </c>
      <c r="K1597" s="1085">
        <f t="shared" si="181"/>
        <v>0</v>
      </c>
      <c r="L1597" s="1086"/>
      <c r="M1597" s="2089"/>
      <c r="N1597" s="2086"/>
      <c r="O1597" s="1453"/>
      <c r="P1597" s="177"/>
      <c r="Q1597" s="177"/>
      <c r="R1597" s="1894"/>
      <c r="S1597" s="177"/>
      <c r="T1597" s="177"/>
      <c r="U1597" s="2090"/>
      <c r="V1597" s="245" t="s">
        <v>20</v>
      </c>
      <c r="W1597" s="1087"/>
      <c r="X1597" s="1088"/>
      <c r="Y1597" s="1005">
        <v>2304.4699999999998</v>
      </c>
      <c r="Z1597" s="1089"/>
      <c r="AA1597" s="1089"/>
      <c r="AB1597" s="1090"/>
      <c r="AC1597" s="1087"/>
      <c r="AD1597" s="1087"/>
      <c r="AE1597" s="1087"/>
      <c r="AF1597" s="1087"/>
      <c r="AG1597" s="1087"/>
      <c r="AH1597" s="248"/>
      <c r="AK1597" s="1091"/>
      <c r="BB1597" s="995"/>
      <c r="BC1597" s="892" t="str">
        <f t="shared" si="174"/>
        <v>Heating Res ER2 12 Year EUL</v>
      </c>
      <c r="BD1597" s="894">
        <f>(INDEX('Avoided Cost Benefits'!$C$4:$C$857,MATCH(BC1597,'Avoided Cost Benefits'!$A$4:$A$857,0)))*F1597</f>
        <v>681.39168008061858</v>
      </c>
      <c r="BE1597" s="74">
        <f t="shared" si="160"/>
        <v>0</v>
      </c>
      <c r="BG1597" s="919"/>
      <c r="BH1597" s="1095"/>
      <c r="BI1597" s="919"/>
    </row>
    <row r="1598" spans="1:61" s="65" customFormat="1" x14ac:dyDescent="0.25">
      <c r="A1598" s="785"/>
      <c r="B1598" s="177"/>
      <c r="C1598" s="1572" t="s">
        <v>1563</v>
      </c>
      <c r="D1598" s="2045" t="s">
        <v>797</v>
      </c>
      <c r="E1598" s="884" t="s">
        <v>1564</v>
      </c>
      <c r="F1598" s="999">
        <f>ROUND(((K2281*K2409*(1/K2537-1/K2665)*K2793)/1000),2)</f>
        <v>1566.84</v>
      </c>
      <c r="G1598" s="318" t="s">
        <v>1367</v>
      </c>
      <c r="H1598" s="239">
        <f>VLOOKUP(G1598,'CP FACTORS'!$A$3:$B$38, 2, FALSE)</f>
        <v>9.4741810000000004E-4</v>
      </c>
      <c r="I1598" s="2046">
        <f t="shared" si="173"/>
        <v>1.484453</v>
      </c>
      <c r="J1598" s="156">
        <f>K2960</f>
        <v>6</v>
      </c>
      <c r="K1598" s="1085">
        <f>K3130</f>
        <v>1956.9017238752731</v>
      </c>
      <c r="L1598" s="1086">
        <f>L1769</f>
        <v>3.3</v>
      </c>
      <c r="M1598" s="2089"/>
      <c r="N1598" s="2086"/>
      <c r="O1598" s="1453"/>
      <c r="P1598" s="177"/>
      <c r="Q1598" s="177"/>
      <c r="R1598" s="1894"/>
      <c r="S1598" s="177"/>
      <c r="T1598" s="177"/>
      <c r="U1598" s="2090"/>
      <c r="V1598" s="245" t="s">
        <v>20</v>
      </c>
      <c r="W1598" s="1087">
        <v>1988.2719999999999</v>
      </c>
      <c r="X1598" s="1088">
        <v>1566.8382965186074</v>
      </c>
      <c r="Y1598" s="999">
        <v>1566.84</v>
      </c>
      <c r="Z1598" s="1089"/>
      <c r="AA1598" s="1089"/>
      <c r="AB1598" s="1090"/>
      <c r="AC1598" s="1087"/>
      <c r="AD1598" s="1087"/>
      <c r="AE1598" s="1087"/>
      <c r="AF1598" s="1087"/>
      <c r="AG1598" s="1087"/>
      <c r="AH1598" s="248"/>
      <c r="AK1598" s="1091"/>
      <c r="BB1598" s="350">
        <f>(BD1598+BD1599+BD1600+BD1601)/(BE1598+BE1599+BE1600+BE1601)</f>
        <v>1.0649709532952181</v>
      </c>
      <c r="BC1598" s="884" t="str">
        <f t="shared" si="174"/>
        <v>Cooling Res 6 Year EUL</v>
      </c>
      <c r="BD1598" s="894">
        <f>(INDEX('Avoided Cost Benefits'!$C$4:$C$857,MATCH(BC1598,'Avoided Cost Benefits'!$A$4:$A$857,0)))*F1598</f>
        <v>911.09264585308688</v>
      </c>
      <c r="BE1598" s="74">
        <f t="shared" si="160"/>
        <v>1847.0049305099319</v>
      </c>
      <c r="BG1598" s="919"/>
      <c r="BH1598" s="1092"/>
      <c r="BI1598" s="919"/>
    </row>
    <row r="1599" spans="1:61" s="65" customFormat="1" x14ac:dyDescent="0.25">
      <c r="A1599" s="785"/>
      <c r="B1599" s="177"/>
      <c r="C1599" s="1572" t="s">
        <v>1563</v>
      </c>
      <c r="D1599" s="2045" t="s">
        <v>797</v>
      </c>
      <c r="E1599" s="994" t="s">
        <v>1564</v>
      </c>
      <c r="F1599" s="999">
        <f>ROUND(((K1769*K1897*(1/K2025-1/K2153)*K2793)/1000),2)</f>
        <v>1798.76</v>
      </c>
      <c r="G1599" s="318" t="s">
        <v>1369</v>
      </c>
      <c r="H1599" s="239">
        <f>VLOOKUP(G1599,'CP FACTORS'!$A$3:$B$38, 2, FALSE)</f>
        <v>0</v>
      </c>
      <c r="I1599" s="2046">
        <f t="shared" si="173"/>
        <v>0</v>
      </c>
      <c r="J1599" s="156">
        <f>K2961</f>
        <v>6</v>
      </c>
      <c r="K1599" s="1085">
        <f>K3131</f>
        <v>0</v>
      </c>
      <c r="L1599" s="1086"/>
      <c r="M1599" s="2089"/>
      <c r="N1599" s="2086"/>
      <c r="O1599" s="1453"/>
      <c r="P1599" s="177"/>
      <c r="Q1599" s="177"/>
      <c r="R1599" s="1894"/>
      <c r="S1599" s="177"/>
      <c r="T1599" s="177"/>
      <c r="U1599" s="2090"/>
      <c r="V1599" s="245" t="s">
        <v>20</v>
      </c>
      <c r="W1599" s="1087">
        <v>4062.4872213622284</v>
      </c>
      <c r="X1599" s="1088">
        <v>1798.7611070228763</v>
      </c>
      <c r="Y1599" s="999">
        <v>1798.76</v>
      </c>
      <c r="Z1599" s="1089"/>
      <c r="AA1599" s="1089"/>
      <c r="AB1599" s="1090"/>
      <c r="AC1599" s="1087"/>
      <c r="AD1599" s="1087"/>
      <c r="AE1599" s="1087"/>
      <c r="AF1599" s="1087"/>
      <c r="AG1599" s="1087"/>
      <c r="AH1599" s="248"/>
      <c r="AK1599" s="1091"/>
      <c r="BB1599" s="995"/>
      <c r="BC1599" s="994" t="str">
        <f t="shared" si="174"/>
        <v>Heating Res 6 Year EUL</v>
      </c>
      <c r="BD1599" s="894">
        <f>(INDEX('Avoided Cost Benefits'!$C$4:$C$857,MATCH(BC1599,'Avoided Cost Benefits'!$A$4:$A$857,0)))*F1599</f>
        <v>299.19405404813961</v>
      </c>
      <c r="BE1599" s="74">
        <f t="shared" si="160"/>
        <v>0</v>
      </c>
      <c r="BG1599" s="919"/>
      <c r="BH1599" s="1092"/>
      <c r="BI1599" s="919"/>
    </row>
    <row r="1600" spans="1:61" s="65" customFormat="1" x14ac:dyDescent="0.25">
      <c r="A1600" s="785"/>
      <c r="B1600" s="177"/>
      <c r="C1600" s="1572" t="s">
        <v>1563</v>
      </c>
      <c r="D1600" s="2045" t="s">
        <v>797</v>
      </c>
      <c r="E1600" s="994" t="s">
        <v>1565</v>
      </c>
      <c r="F1600" s="999">
        <f>ROUND(((K2282*K2410*(1/K2538-1/K2666)*K2794)/1000),2)</f>
        <v>479.32</v>
      </c>
      <c r="G1600" s="2078" t="s">
        <v>1408</v>
      </c>
      <c r="H1600" s="239">
        <f>VLOOKUP(G1600,'CP FACTORS'!$A$3:$B$38, 2, FALSE)</f>
        <v>9.4741810000000004E-4</v>
      </c>
      <c r="I1600" s="2046">
        <f t="shared" si="173"/>
        <v>0.45411600000000002</v>
      </c>
      <c r="J1600" s="156">
        <f>K2962</f>
        <v>12</v>
      </c>
      <c r="K1600" s="1085">
        <f>K3132</f>
        <v>0</v>
      </c>
      <c r="L1600" s="1086"/>
      <c r="M1600" s="2089"/>
      <c r="N1600" s="2086"/>
      <c r="O1600" s="1453"/>
      <c r="P1600" s="177"/>
      <c r="Q1600" s="177"/>
      <c r="R1600" s="1894"/>
      <c r="S1600" s="177"/>
      <c r="T1600" s="177"/>
      <c r="U1600" s="2090"/>
      <c r="V1600" s="245" t="s">
        <v>20</v>
      </c>
      <c r="W1600" s="1087">
        <v>479.31557142857133</v>
      </c>
      <c r="X1600" s="1096">
        <v>479.31557142857133</v>
      </c>
      <c r="Y1600" s="999">
        <v>479.32</v>
      </c>
      <c r="Z1600" s="1089"/>
      <c r="AA1600" s="1089"/>
      <c r="AB1600" s="1090"/>
      <c r="AC1600" s="1087"/>
      <c r="AD1600" s="1087"/>
      <c r="AE1600" s="1087"/>
      <c r="AF1600" s="1087"/>
      <c r="AG1600" s="1087"/>
      <c r="AH1600" s="248"/>
      <c r="AK1600" s="1091"/>
      <c r="BB1600" s="995"/>
      <c r="BC1600" s="994" t="str">
        <f t="shared" si="174"/>
        <v>Cooling Res ER2 12 Year EUL</v>
      </c>
      <c r="BD1600" s="894">
        <f>(INDEX('Avoided Cost Benefits'!$C$4:$C$857,MATCH(BC1600,'Avoided Cost Benefits'!$A$4:$A$857,0)))*F1600</f>
        <v>566.71130641718219</v>
      </c>
      <c r="BE1600" s="74">
        <f t="shared" si="160"/>
        <v>0</v>
      </c>
      <c r="BG1600" s="919"/>
      <c r="BH1600" s="1092"/>
      <c r="BI1600" s="919"/>
    </row>
    <row r="1601" spans="1:61" s="65" customFormat="1" x14ac:dyDescent="0.25">
      <c r="A1601" s="785"/>
      <c r="B1601" s="177"/>
      <c r="C1601" s="1572" t="s">
        <v>1563</v>
      </c>
      <c r="D1601" s="2045" t="s">
        <v>797</v>
      </c>
      <c r="E1601" s="892" t="s">
        <v>1565</v>
      </c>
      <c r="F1601" s="999">
        <f>ROUND(((K1770*K1898*(1/K2026-1/K2154)*K2794)/1000),2)</f>
        <v>642.61</v>
      </c>
      <c r="G1601" s="2078" t="s">
        <v>1427</v>
      </c>
      <c r="H1601" s="239">
        <f>VLOOKUP(G1601,'CP FACTORS'!$A$3:$B$38, 2, FALSE)</f>
        <v>0</v>
      </c>
      <c r="I1601" s="2046">
        <f t="shared" si="173"/>
        <v>0</v>
      </c>
      <c r="J1601" s="156">
        <f>K2963</f>
        <v>12</v>
      </c>
      <c r="K1601" s="1085">
        <f>K3133</f>
        <v>0</v>
      </c>
      <c r="L1601" s="1086"/>
      <c r="M1601" s="2089"/>
      <c r="N1601" s="2086"/>
      <c r="O1601" s="1453"/>
      <c r="P1601" s="177"/>
      <c r="Q1601" s="177"/>
      <c r="R1601" s="1894"/>
      <c r="S1601" s="177"/>
      <c r="T1601" s="177"/>
      <c r="U1601" s="2090"/>
      <c r="V1601" s="245" t="s">
        <v>20</v>
      </c>
      <c r="W1601" s="1087">
        <v>862.96736842105349</v>
      </c>
      <c r="X1601" s="1088">
        <v>642.6078562259313</v>
      </c>
      <c r="Y1601" s="999">
        <v>642.61</v>
      </c>
      <c r="Z1601" s="1089"/>
      <c r="AA1601" s="1089"/>
      <c r="AB1601" s="1090"/>
      <c r="AC1601" s="1087"/>
      <c r="AD1601" s="1087"/>
      <c r="AE1601" s="1087"/>
      <c r="AF1601" s="1087"/>
      <c r="AG1601" s="1087"/>
      <c r="AH1601" s="248"/>
      <c r="AK1601" s="1091"/>
      <c r="BB1601" s="995"/>
      <c r="BC1601" s="892" t="str">
        <f t="shared" si="174"/>
        <v>Heating Res ER2 12 Year EUL</v>
      </c>
      <c r="BD1601" s="894">
        <f>(INDEX('Avoided Cost Benefits'!$C$4:$C$857,MATCH(BC1601,'Avoided Cost Benefits'!$A$4:$A$857,0)))*F1601</f>
        <v>190.00859526772157</v>
      </c>
      <c r="BE1601" s="74">
        <f t="shared" si="160"/>
        <v>0</v>
      </c>
      <c r="BG1601" s="919"/>
      <c r="BH1601" s="1092"/>
      <c r="BI1601" s="919"/>
    </row>
    <row r="1602" spans="1:61" s="65" customFormat="1" x14ac:dyDescent="0.25">
      <c r="A1602" s="785"/>
      <c r="B1602" s="177"/>
      <c r="C1602" s="1572" t="s">
        <v>1566</v>
      </c>
      <c r="D1602" s="2045" t="s">
        <v>792</v>
      </c>
      <c r="E1602" s="884" t="str">
        <f>CONCATENATE(E1598,"_CompE")</f>
        <v>ASHP SEER 20 replace ASHP - early replacement MF ER1_CompE</v>
      </c>
      <c r="F1602" s="999">
        <f>ROUND((($K$2283*$K$2411*(1/$K$2539-1/$K$2667)*$K$2795)/1000),2)</f>
        <v>1139.52</v>
      </c>
      <c r="G1602" s="318" t="str">
        <f t="shared" ref="G1602:K1605" si="183">G1598</f>
        <v>Cooling Res</v>
      </c>
      <c r="H1602" s="239">
        <f t="shared" si="183"/>
        <v>9.4741810000000004E-4</v>
      </c>
      <c r="I1602" s="2518">
        <f t="shared" si="173"/>
        <v>1.079602</v>
      </c>
      <c r="J1602" s="156">
        <f>J1598</f>
        <v>6</v>
      </c>
      <c r="K1602" s="1085">
        <f>K1598</f>
        <v>1956.9017238752731</v>
      </c>
      <c r="L1602" s="1086">
        <f>L1598</f>
        <v>3.3</v>
      </c>
      <c r="M1602" s="2089"/>
      <c r="N1602" s="2086"/>
      <c r="O1602" s="1453"/>
      <c r="P1602" s="177"/>
      <c r="Q1602" s="177"/>
      <c r="R1602" s="1894"/>
      <c r="S1602" s="177"/>
      <c r="T1602" s="177"/>
      <c r="U1602" s="2090"/>
      <c r="V1602" s="245" t="s">
        <v>20</v>
      </c>
      <c r="W1602" s="1087"/>
      <c r="X1602" s="1088"/>
      <c r="Y1602" s="1005">
        <v>1139.52</v>
      </c>
      <c r="Z1602" s="1089"/>
      <c r="AA1602" s="1089"/>
      <c r="AB1602" s="1090"/>
      <c r="AC1602" s="1087"/>
      <c r="AD1602" s="1087"/>
      <c r="AE1602" s="1087"/>
      <c r="AF1602" s="1087"/>
      <c r="AG1602" s="1087"/>
      <c r="AH1602" s="248"/>
      <c r="AK1602" s="1091"/>
      <c r="BB1602" s="350">
        <f>(BD1602+BD1603+BD1604+BD1605)/(BE1602+BE1603+BE1604+BE1605)</f>
        <v>0.67218637132586789</v>
      </c>
      <c r="BC1602" s="884" t="str">
        <f t="shared" si="174"/>
        <v>Cooling Res 6 Year EUL</v>
      </c>
      <c r="BD1602" s="894">
        <f>(INDEX('Avoided Cost Benefits'!$C$4:$C$857,MATCH(BC1602,'Avoided Cost Benefits'!$A$4:$A$857,0)))*F1602</f>
        <v>662.61283334769962</v>
      </c>
      <c r="BE1602" s="74">
        <f t="shared" ref="BE1602:BE1643" si="184">K1602/(1.0595^(2020-2019))</f>
        <v>1847.0049305099319</v>
      </c>
      <c r="BG1602" s="919"/>
      <c r="BH1602" s="1095"/>
      <c r="BI1602" s="919"/>
    </row>
    <row r="1603" spans="1:61" s="65" customFormat="1" x14ac:dyDescent="0.25">
      <c r="A1603" s="785"/>
      <c r="B1603" s="177"/>
      <c r="C1603" s="1572" t="str">
        <f>C1602</f>
        <v>354701_2019_12_</v>
      </c>
      <c r="D1603" s="2045" t="s">
        <v>792</v>
      </c>
      <c r="E1603" s="994" t="str">
        <f>CONCATENATE(E1599,"_CompE")</f>
        <v>ASHP SEER 20 replace ASHP - early replacement MF ER1_CompE</v>
      </c>
      <c r="F1603" s="999">
        <f>ROUND((($K$1771*$K$1899*(1/$K$2027-1/$K$2155)*$K$2795)/1000),2)</f>
        <v>613.21</v>
      </c>
      <c r="G1603" s="318" t="str">
        <f t="shared" si="183"/>
        <v>Heating Res</v>
      </c>
      <c r="H1603" s="239">
        <f t="shared" si="183"/>
        <v>0</v>
      </c>
      <c r="I1603" s="2518">
        <f t="shared" si="173"/>
        <v>0</v>
      </c>
      <c r="J1603" s="156">
        <f t="shared" si="183"/>
        <v>6</v>
      </c>
      <c r="K1603" s="1085">
        <f t="shared" si="183"/>
        <v>0</v>
      </c>
      <c r="L1603" s="1086"/>
      <c r="M1603" s="2089"/>
      <c r="N1603" s="2086"/>
      <c r="O1603" s="1453"/>
      <c r="P1603" s="177"/>
      <c r="Q1603" s="177"/>
      <c r="R1603" s="1894"/>
      <c r="S1603" s="177"/>
      <c r="T1603" s="177"/>
      <c r="U1603" s="2090"/>
      <c r="V1603" s="245" t="s">
        <v>20</v>
      </c>
      <c r="W1603" s="1087"/>
      <c r="X1603" s="1088"/>
      <c r="Y1603" s="1005">
        <v>613.21</v>
      </c>
      <c r="Z1603" s="1089"/>
      <c r="AA1603" s="1089"/>
      <c r="AB1603" s="1090"/>
      <c r="AC1603" s="1087"/>
      <c r="AD1603" s="1087"/>
      <c r="AE1603" s="1087"/>
      <c r="AF1603" s="1087"/>
      <c r="AG1603" s="1087"/>
      <c r="AH1603" s="248"/>
      <c r="AK1603" s="1091"/>
      <c r="BB1603" s="995"/>
      <c r="BC1603" s="994" t="str">
        <f t="shared" si="174"/>
        <v>Heating Res 6 Year EUL</v>
      </c>
      <c r="BD1603" s="894">
        <f>(INDEX('Avoided Cost Benefits'!$C$4:$C$857,MATCH(BC1603,'Avoided Cost Benefits'!$A$4:$A$857,0)))*F1603</f>
        <v>101.99736812185043</v>
      </c>
      <c r="BE1603" s="74">
        <f t="shared" si="184"/>
        <v>0</v>
      </c>
      <c r="BG1603" s="919"/>
      <c r="BH1603" s="1095"/>
      <c r="BI1603" s="919"/>
    </row>
    <row r="1604" spans="1:61" s="65" customFormat="1" x14ac:dyDescent="0.25">
      <c r="A1604" s="785"/>
      <c r="B1604" s="177"/>
      <c r="C1604" s="1572" t="str">
        <f t="shared" ref="C1604:C1605" si="185">C1603</f>
        <v>354701_2019_12_</v>
      </c>
      <c r="D1604" s="2045" t="s">
        <v>792</v>
      </c>
      <c r="E1604" s="994" t="str">
        <f>CONCATENATE(E1600,"_CompE")</f>
        <v>ASHP SEER 20 replace ASHP - early replacement MF ER2_CompE</v>
      </c>
      <c r="F1604" s="999">
        <f>ROUND((($K$2284*$K$2412*(1/$K$2540-1/$K$2668)*$K$2796)/1000),2)</f>
        <v>348.59</v>
      </c>
      <c r="G1604" s="318" t="str">
        <f t="shared" si="183"/>
        <v>Cooling Res ER2</v>
      </c>
      <c r="H1604" s="239">
        <f t="shared" si="183"/>
        <v>9.4741810000000004E-4</v>
      </c>
      <c r="I1604" s="2518">
        <f t="shared" si="173"/>
        <v>0.33026</v>
      </c>
      <c r="J1604" s="156">
        <f t="shared" si="183"/>
        <v>12</v>
      </c>
      <c r="K1604" s="1085">
        <f t="shared" si="183"/>
        <v>0</v>
      </c>
      <c r="L1604" s="1086"/>
      <c r="M1604" s="2089"/>
      <c r="N1604" s="2086"/>
      <c r="O1604" s="1453"/>
      <c r="P1604" s="177"/>
      <c r="Q1604" s="177"/>
      <c r="R1604" s="1894"/>
      <c r="S1604" s="177"/>
      <c r="T1604" s="177"/>
      <c r="U1604" s="2090"/>
      <c r="V1604" s="245" t="s">
        <v>20</v>
      </c>
      <c r="W1604" s="1087"/>
      <c r="X1604" s="1088"/>
      <c r="Y1604" s="1005">
        <v>348.59</v>
      </c>
      <c r="Z1604" s="1089"/>
      <c r="AA1604" s="1089"/>
      <c r="AB1604" s="1090"/>
      <c r="AC1604" s="1087"/>
      <c r="AD1604" s="1087"/>
      <c r="AE1604" s="1087"/>
      <c r="AF1604" s="1087"/>
      <c r="AG1604" s="1087"/>
      <c r="AH1604" s="248"/>
      <c r="AK1604" s="1091"/>
      <c r="BB1604" s="995"/>
      <c r="BC1604" s="994" t="str">
        <f t="shared" si="174"/>
        <v>Cooling Res ER2 12 Year EUL</v>
      </c>
      <c r="BD1604" s="894">
        <f>(INDEX('Avoided Cost Benefits'!$C$4:$C$857,MATCH(BC1604,'Avoided Cost Benefits'!$A$4:$A$857,0)))*F1604</f>
        <v>412.14615351741122</v>
      </c>
      <c r="BE1604" s="74">
        <f t="shared" si="184"/>
        <v>0</v>
      </c>
      <c r="BG1604" s="919"/>
      <c r="BH1604" s="1095"/>
      <c r="BI1604" s="919"/>
    </row>
    <row r="1605" spans="1:61" s="65" customFormat="1" x14ac:dyDescent="0.25">
      <c r="A1605" s="785"/>
      <c r="B1605" s="177"/>
      <c r="C1605" s="1572" t="str">
        <f t="shared" si="185"/>
        <v>354701_2019_12_</v>
      </c>
      <c r="D1605" s="2045" t="s">
        <v>792</v>
      </c>
      <c r="E1605" s="892" t="str">
        <f>CONCATENATE(E1601,"_CompE")</f>
        <v>ASHP SEER 20 replace ASHP - early replacement MF ER2_CompE</v>
      </c>
      <c r="F1605" s="999">
        <f>ROUND((($K$1772*$K$1900*(1/$K$2028-1/$K$2156)*$K$2796)/1000),2)</f>
        <v>219.07</v>
      </c>
      <c r="G1605" s="318" t="str">
        <f t="shared" si="183"/>
        <v>Heating Res ER2</v>
      </c>
      <c r="H1605" s="239">
        <f t="shared" si="183"/>
        <v>0</v>
      </c>
      <c r="I1605" s="2518">
        <f t="shared" si="173"/>
        <v>0</v>
      </c>
      <c r="J1605" s="156">
        <f t="shared" si="183"/>
        <v>12</v>
      </c>
      <c r="K1605" s="1085">
        <f t="shared" si="183"/>
        <v>0</v>
      </c>
      <c r="L1605" s="1086"/>
      <c r="M1605" s="2089"/>
      <c r="N1605" s="2086"/>
      <c r="O1605" s="1453"/>
      <c r="P1605" s="177"/>
      <c r="Q1605" s="177"/>
      <c r="R1605" s="1894"/>
      <c r="S1605" s="177"/>
      <c r="T1605" s="177"/>
      <c r="U1605" s="2090"/>
      <c r="V1605" s="245" t="s">
        <v>20</v>
      </c>
      <c r="W1605" s="1087"/>
      <c r="X1605" s="1088"/>
      <c r="Y1605" s="1005">
        <v>219.07</v>
      </c>
      <c r="Z1605" s="1089"/>
      <c r="AA1605" s="1089"/>
      <c r="AB1605" s="1090"/>
      <c r="AC1605" s="1087"/>
      <c r="AD1605" s="1087"/>
      <c r="AE1605" s="1087"/>
      <c r="AF1605" s="1087"/>
      <c r="AG1605" s="1087"/>
      <c r="AH1605" s="248"/>
      <c r="AK1605" s="1091"/>
      <c r="BB1605" s="995"/>
      <c r="BC1605" s="892" t="str">
        <f t="shared" si="174"/>
        <v>Heating Res ER2 12 Year EUL</v>
      </c>
      <c r="BD1605" s="894">
        <f>(INDEX('Avoided Cost Benefits'!$C$4:$C$857,MATCH(BC1605,'Avoided Cost Benefits'!$A$4:$A$857,0)))*F1605</f>
        <v>64.775187073496781</v>
      </c>
      <c r="BE1605" s="74">
        <f t="shared" si="184"/>
        <v>0</v>
      </c>
      <c r="BG1605" s="919"/>
      <c r="BH1605" s="1095"/>
      <c r="BI1605" s="919"/>
    </row>
    <row r="1606" spans="1:61" s="65" customFormat="1" x14ac:dyDescent="0.25">
      <c r="A1606" s="785"/>
      <c r="B1606" s="177"/>
      <c r="C1606" s="1572" t="s">
        <v>1567</v>
      </c>
      <c r="D1606" s="2045" t="s">
        <v>795</v>
      </c>
      <c r="E1606" s="884" t="s">
        <v>1568</v>
      </c>
      <c r="F1606" s="999">
        <f>ROUND(((K2285*K2413*(1/K2541-1/K2669)*K2797)/1000),2)</f>
        <v>2492.4499999999998</v>
      </c>
      <c r="G1606" s="318" t="s">
        <v>1367</v>
      </c>
      <c r="H1606" s="239">
        <f>VLOOKUP(G1606,'CP FACTORS'!$A$3:$B$38, 2, FALSE)</f>
        <v>9.4741810000000004E-4</v>
      </c>
      <c r="I1606" s="2046">
        <f t="shared" si="173"/>
        <v>2.3613919999999999</v>
      </c>
      <c r="J1606" s="156">
        <f t="shared" ref="J1606:J1613" si="186">K2964</f>
        <v>6</v>
      </c>
      <c r="K1606" s="1085">
        <f t="shared" ref="K1606:K1613" si="187">K3134</f>
        <v>2478.4195598081137</v>
      </c>
      <c r="L1606" s="1086">
        <f>L1773</f>
        <v>3.3</v>
      </c>
      <c r="M1606" s="2089"/>
      <c r="N1606" s="2086"/>
      <c r="O1606" s="1453"/>
      <c r="P1606" s="177"/>
      <c r="Q1606" s="177"/>
      <c r="R1606" s="1894"/>
      <c r="S1606" s="177"/>
      <c r="T1606" s="177"/>
      <c r="U1606" s="2090"/>
      <c r="V1606" s="245" t="s">
        <v>20</v>
      </c>
      <c r="W1606" s="1087">
        <v>3140.8142857142857</v>
      </c>
      <c r="X1606" s="1088">
        <v>2492.4547418967586</v>
      </c>
      <c r="Y1606" s="999">
        <v>2492.4499999999998</v>
      </c>
      <c r="Z1606" s="1089"/>
      <c r="AA1606" s="1089"/>
      <c r="AB1606" s="1090"/>
      <c r="AC1606" s="1087"/>
      <c r="AD1606" s="1087"/>
      <c r="AE1606" s="1087"/>
      <c r="AF1606" s="1087"/>
      <c r="AG1606" s="1087"/>
      <c r="AH1606" s="248"/>
      <c r="AK1606" s="1091"/>
      <c r="BB1606" s="350">
        <f>(BD1606+BD1607+BD1608+BD1609)/(BE1606+BE1607+BE1608+BE1609)</f>
        <v>1.3554276383834953</v>
      </c>
      <c r="BC1606" s="884" t="str">
        <f t="shared" si="174"/>
        <v>Cooling Res 6 Year EUL</v>
      </c>
      <c r="BD1606" s="894">
        <f>(INDEX('Avoided Cost Benefits'!$C$4:$C$857,MATCH(BC1606,'Avoided Cost Benefits'!$A$4:$A$857,0)))*F1606</f>
        <v>1449.320201907359</v>
      </c>
      <c r="BE1606" s="74">
        <f t="shared" si="184"/>
        <v>2339.2350729666009</v>
      </c>
      <c r="BG1606" s="919"/>
      <c r="BH1606" s="1092"/>
      <c r="BI1606" s="919"/>
    </row>
    <row r="1607" spans="1:61" s="65" customFormat="1" x14ac:dyDescent="0.25">
      <c r="A1607" s="785"/>
      <c r="B1607" s="177"/>
      <c r="C1607" s="1572" t="s">
        <v>1567</v>
      </c>
      <c r="D1607" s="2045" t="s">
        <v>795</v>
      </c>
      <c r="E1607" s="994" t="s">
        <v>1568</v>
      </c>
      <c r="F1607" s="999">
        <f>ROUND(((K1773*K1901*(1/K2029-1/K2157)*K2797)/1000),2)</f>
        <v>2767.32</v>
      </c>
      <c r="G1607" s="318" t="s">
        <v>1369</v>
      </c>
      <c r="H1607" s="239">
        <f>VLOOKUP(G1607,'CP FACTORS'!$A$3:$B$38, 2, FALSE)</f>
        <v>0</v>
      </c>
      <c r="I1607" s="2046">
        <f t="shared" si="173"/>
        <v>0</v>
      </c>
      <c r="J1607" s="156">
        <f t="shared" si="186"/>
        <v>6</v>
      </c>
      <c r="K1607" s="1085">
        <f t="shared" si="187"/>
        <v>0</v>
      </c>
      <c r="L1607" s="1086"/>
      <c r="M1607" s="2089"/>
      <c r="N1607" s="2086"/>
      <c r="O1607" s="1453"/>
      <c r="P1607" s="177"/>
      <c r="Q1607" s="177"/>
      <c r="R1607" s="1894"/>
      <c r="S1607" s="177"/>
      <c r="T1607" s="177"/>
      <c r="U1607" s="2090"/>
      <c r="V1607" s="245" t="s">
        <v>20</v>
      </c>
      <c r="W1607" s="1087">
        <v>6249.9803405572748</v>
      </c>
      <c r="X1607" s="1088">
        <v>2767.3247800351946</v>
      </c>
      <c r="Y1607" s="999">
        <v>2767.32</v>
      </c>
      <c r="Z1607" s="1089"/>
      <c r="AA1607" s="1089"/>
      <c r="AB1607" s="1090"/>
      <c r="AC1607" s="1087"/>
      <c r="AD1607" s="1087"/>
      <c r="AE1607" s="1087"/>
      <c r="AF1607" s="1087"/>
      <c r="AG1607" s="1087"/>
      <c r="AH1607" s="248"/>
      <c r="AK1607" s="1091"/>
      <c r="BB1607" s="995"/>
      <c r="BC1607" s="994" t="str">
        <f t="shared" si="174"/>
        <v>Heating Res 6 Year EUL</v>
      </c>
      <c r="BD1607" s="894">
        <f>(INDEX('Avoided Cost Benefits'!$C$4:$C$857,MATCH(BC1607,'Avoided Cost Benefits'!$A$4:$A$857,0)))*F1607</f>
        <v>460.29803289404794</v>
      </c>
      <c r="BE1607" s="74">
        <f t="shared" si="184"/>
        <v>0</v>
      </c>
      <c r="BG1607" s="919"/>
      <c r="BH1607" s="1092"/>
      <c r="BI1607" s="919"/>
    </row>
    <row r="1608" spans="1:61" s="65" customFormat="1" x14ac:dyDescent="0.25">
      <c r="A1608" s="785"/>
      <c r="B1608" s="177"/>
      <c r="C1608" s="1572" t="s">
        <v>1567</v>
      </c>
      <c r="D1608" s="2045" t="s">
        <v>795</v>
      </c>
      <c r="E1608" s="994" t="s">
        <v>1569</v>
      </c>
      <c r="F1608" s="999">
        <f>ROUND(((K2286*K2414*(1/K2542-1/K2670)*K2798)/1000),2)</f>
        <v>819.34</v>
      </c>
      <c r="G1608" s="2078" t="s">
        <v>1408</v>
      </c>
      <c r="H1608" s="239">
        <f>VLOOKUP(G1608,'CP FACTORS'!$A$3:$B$38, 2, FALSE)</f>
        <v>9.4741810000000004E-4</v>
      </c>
      <c r="I1608" s="2046">
        <f t="shared" si="173"/>
        <v>0.776258</v>
      </c>
      <c r="J1608" s="156">
        <f t="shared" si="186"/>
        <v>12</v>
      </c>
      <c r="K1608" s="1085">
        <f t="shared" si="187"/>
        <v>0</v>
      </c>
      <c r="L1608" s="1086"/>
      <c r="M1608" s="2089"/>
      <c r="N1608" s="2086"/>
      <c r="O1608" s="1453"/>
      <c r="P1608" s="177"/>
      <c r="Q1608" s="177"/>
      <c r="R1608" s="1894"/>
      <c r="S1608" s="177"/>
      <c r="T1608" s="177"/>
      <c r="U1608" s="2090"/>
      <c r="V1608" s="245" t="s">
        <v>20</v>
      </c>
      <c r="W1608" s="1087">
        <v>819.34285714285704</v>
      </c>
      <c r="X1608" s="1096">
        <v>819.34285714285704</v>
      </c>
      <c r="Y1608" s="999">
        <v>819.34</v>
      </c>
      <c r="Z1608" s="1089"/>
      <c r="AA1608" s="1089"/>
      <c r="AB1608" s="1090"/>
      <c r="AC1608" s="1087"/>
      <c r="AD1608" s="1087"/>
      <c r="AE1608" s="1087"/>
      <c r="AF1608" s="1087"/>
      <c r="AG1608" s="1087"/>
      <c r="AH1608" s="248"/>
      <c r="AK1608" s="1091"/>
      <c r="BB1608" s="995"/>
      <c r="BC1608" s="994" t="str">
        <f t="shared" si="174"/>
        <v>Cooling Res ER2 12 Year EUL</v>
      </c>
      <c r="BD1608" s="894">
        <f>(INDEX('Avoided Cost Benefits'!$C$4:$C$857,MATCH(BC1608,'Avoided Cost Benefits'!$A$4:$A$857,0)))*F1608</f>
        <v>968.72494742521508</v>
      </c>
      <c r="BE1608" s="74">
        <f t="shared" si="184"/>
        <v>0</v>
      </c>
      <c r="BG1608" s="919"/>
      <c r="BH1608" s="1092"/>
      <c r="BI1608" s="919"/>
    </row>
    <row r="1609" spans="1:61" s="65" customFormat="1" x14ac:dyDescent="0.25">
      <c r="A1609" s="785"/>
      <c r="B1609" s="177"/>
      <c r="C1609" s="1572" t="s">
        <v>1567</v>
      </c>
      <c r="D1609" s="2045" t="s">
        <v>795</v>
      </c>
      <c r="E1609" s="892" t="s">
        <v>1569</v>
      </c>
      <c r="F1609" s="999">
        <f>ROUND(((K1774*K1902*(1/K2030-1/K2158)*K2798)/1000),2)</f>
        <v>988.63</v>
      </c>
      <c r="G1609" s="2078" t="s">
        <v>1427</v>
      </c>
      <c r="H1609" s="239">
        <f>VLOOKUP(G1609,'CP FACTORS'!$A$3:$B$38, 2, FALSE)</f>
        <v>0</v>
      </c>
      <c r="I1609" s="2046">
        <f t="shared" si="173"/>
        <v>0</v>
      </c>
      <c r="J1609" s="156">
        <f t="shared" si="186"/>
        <v>12</v>
      </c>
      <c r="K1609" s="1085">
        <f t="shared" si="187"/>
        <v>0</v>
      </c>
      <c r="L1609" s="1086"/>
      <c r="M1609" s="2089"/>
      <c r="N1609" s="2086"/>
      <c r="O1609" s="1453"/>
      <c r="P1609" s="177"/>
      <c r="Q1609" s="177"/>
      <c r="R1609" s="1894"/>
      <c r="S1609" s="177"/>
      <c r="T1609" s="177"/>
      <c r="U1609" s="2090"/>
      <c r="V1609" s="245" t="s">
        <v>20</v>
      </c>
      <c r="W1609" s="1087">
        <v>1327.6421052631592</v>
      </c>
      <c r="X1609" s="1088">
        <v>988.62747111681745</v>
      </c>
      <c r="Y1609" s="999">
        <v>988.63</v>
      </c>
      <c r="Z1609" s="1089"/>
      <c r="AA1609" s="1089"/>
      <c r="AB1609" s="1090"/>
      <c r="AC1609" s="1087"/>
      <c r="AD1609" s="1087"/>
      <c r="AE1609" s="1087"/>
      <c r="AF1609" s="1087"/>
      <c r="AG1609" s="1087"/>
      <c r="AH1609" s="248"/>
      <c r="AK1609" s="1091"/>
      <c r="BB1609" s="995"/>
      <c r="BC1609" s="892" t="str">
        <f t="shared" si="174"/>
        <v>Heating Res ER2 12 Year EUL</v>
      </c>
      <c r="BD1609" s="894">
        <f>(INDEX('Avoided Cost Benefits'!$C$4:$C$857,MATCH(BC1609,'Avoided Cost Benefits'!$A$4:$A$857,0)))*F1609</f>
        <v>292.32068834834126</v>
      </c>
      <c r="BE1609" s="74">
        <f t="shared" si="184"/>
        <v>0</v>
      </c>
      <c r="BG1609" s="919"/>
      <c r="BH1609" s="1092"/>
      <c r="BI1609" s="919"/>
    </row>
    <row r="1610" spans="1:61" s="65" customFormat="1" x14ac:dyDescent="0.25">
      <c r="A1610" s="785"/>
      <c r="B1610" s="177"/>
      <c r="C1610" s="1572" t="s">
        <v>1570</v>
      </c>
      <c r="D1610" s="2045" t="s">
        <v>795</v>
      </c>
      <c r="E1610" s="956" t="s">
        <v>1571</v>
      </c>
      <c r="F1610" s="999">
        <f>ROUND(((K2287*K2415*(1/K2543-1/K2671)*K2799)/1000),2)</f>
        <v>819.34</v>
      </c>
      <c r="G1610" s="318" t="s">
        <v>1367</v>
      </c>
      <c r="H1610" s="239">
        <f>VLOOKUP(G1610,'CP FACTORS'!$A$3:$B$38, 2, FALSE)</f>
        <v>9.4741810000000004E-4</v>
      </c>
      <c r="I1610" s="2046">
        <f t="shared" si="173"/>
        <v>0.776258</v>
      </c>
      <c r="J1610" s="156">
        <f t="shared" si="186"/>
        <v>18</v>
      </c>
      <c r="K1610" s="1085">
        <f t="shared" si="187"/>
        <v>1689.9245999999991</v>
      </c>
      <c r="L1610" s="1086">
        <f>L1775</f>
        <v>3.3</v>
      </c>
      <c r="M1610" s="2089"/>
      <c r="N1610" s="2086"/>
      <c r="O1610" s="1453"/>
      <c r="P1610" s="177"/>
      <c r="Q1610" s="177"/>
      <c r="R1610" s="1894"/>
      <c r="S1610" s="177"/>
      <c r="T1610" s="177"/>
      <c r="U1610" s="2090"/>
      <c r="V1610" s="245" t="s">
        <v>20</v>
      </c>
      <c r="W1610" s="1087">
        <v>819.34285714285704</v>
      </c>
      <c r="X1610" s="1096">
        <v>819.34285714285704</v>
      </c>
      <c r="Y1610" s="999">
        <v>819.34</v>
      </c>
      <c r="Z1610" s="1089"/>
      <c r="AA1610" s="1089"/>
      <c r="AB1610" s="1090"/>
      <c r="AC1610" s="1087"/>
      <c r="AD1610" s="1087"/>
      <c r="AE1610" s="1087"/>
      <c r="AF1610" s="1087"/>
      <c r="AG1610" s="1087"/>
      <c r="AH1610" s="248"/>
      <c r="AK1610" s="1091"/>
      <c r="BB1610" s="350">
        <f>(BD1610+BD1611)/(BE1610+BE1611)</f>
        <v>1.2477049469596688</v>
      </c>
      <c r="BC1610" s="956" t="str">
        <f t="shared" si="174"/>
        <v>Cooling Res 18 Year EUL</v>
      </c>
      <c r="BD1610" s="894">
        <f>(INDEX('Avoided Cost Benefits'!$C$4:$C$857,MATCH(BC1610,'Avoided Cost Benefits'!$A$4:$A$857,0)))*F1610</f>
        <v>1445.1581814843839</v>
      </c>
      <c r="BE1610" s="74">
        <f t="shared" si="184"/>
        <v>1595.0208588957046</v>
      </c>
      <c r="BG1610" s="919"/>
      <c r="BH1610" s="1092"/>
      <c r="BI1610" s="919"/>
    </row>
    <row r="1611" spans="1:61" s="65" customFormat="1" x14ac:dyDescent="0.25">
      <c r="A1611" s="785"/>
      <c r="B1611" s="177"/>
      <c r="C1611" s="1572" t="s">
        <v>1570</v>
      </c>
      <c r="D1611" s="2045" t="s">
        <v>795</v>
      </c>
      <c r="E1611" s="1093" t="s">
        <v>1571</v>
      </c>
      <c r="F1611" s="999">
        <f>ROUND(((K1775*K1903*(1/K2031-1/K2159)*K2799)/1000),2)</f>
        <v>1179.52</v>
      </c>
      <c r="G1611" s="318" t="s">
        <v>1369</v>
      </c>
      <c r="H1611" s="239">
        <f>VLOOKUP(G1611,'CP FACTORS'!$A$3:$B$38, 2, FALSE)</f>
        <v>0</v>
      </c>
      <c r="I1611" s="2046">
        <f t="shared" si="173"/>
        <v>0</v>
      </c>
      <c r="J1611" s="156">
        <f t="shared" si="186"/>
        <v>18</v>
      </c>
      <c r="K1611" s="1085">
        <f t="shared" si="187"/>
        <v>0</v>
      </c>
      <c r="L1611" s="1086"/>
      <c r="M1611" s="2089"/>
      <c r="N1611" s="2086"/>
      <c r="O1611" s="1453"/>
      <c r="P1611" s="177"/>
      <c r="Q1611" s="177"/>
      <c r="R1611" s="1894"/>
      <c r="S1611" s="177"/>
      <c r="T1611" s="177"/>
      <c r="U1611" s="2090"/>
      <c r="V1611" s="245" t="s">
        <v>20</v>
      </c>
      <c r="W1611" s="1087">
        <v>1584.0000000000018</v>
      </c>
      <c r="X1611" s="1088">
        <v>1179.5241413638641</v>
      </c>
      <c r="Y1611" s="999">
        <v>1179.52</v>
      </c>
      <c r="Z1611" s="1089"/>
      <c r="AA1611" s="1089"/>
      <c r="AB1611" s="1090"/>
      <c r="AC1611" s="1087"/>
      <c r="AD1611" s="1087"/>
      <c r="AE1611" s="1087"/>
      <c r="AF1611" s="1087"/>
      <c r="AG1611" s="1087"/>
      <c r="AH1611" s="248"/>
      <c r="AK1611" s="1091"/>
      <c r="BB1611" s="348"/>
      <c r="BC1611" s="1093" t="str">
        <f t="shared" si="174"/>
        <v>Heating Res 18 Year EUL</v>
      </c>
      <c r="BD1611" s="894">
        <f>(INDEX('Avoided Cost Benefits'!$C$4:$C$857,MATCH(BC1611,'Avoided Cost Benefits'!$A$4:$A$857,0)))*F1611</f>
        <v>544.95723466364666</v>
      </c>
      <c r="BE1611" s="74">
        <f t="shared" si="184"/>
        <v>0</v>
      </c>
      <c r="BG1611" s="919"/>
      <c r="BH1611" s="1092"/>
      <c r="BI1611" s="919"/>
    </row>
    <row r="1612" spans="1:61" s="65" customFormat="1" x14ac:dyDescent="0.25">
      <c r="A1612" s="785"/>
      <c r="B1612" s="177"/>
      <c r="C1612" s="1572" t="s">
        <v>1572</v>
      </c>
      <c r="D1612" s="2045" t="s">
        <v>797</v>
      </c>
      <c r="E1612" s="956" t="s">
        <v>1573</v>
      </c>
      <c r="F1612" s="999">
        <f>ROUND((($K$2288*$K$2416*(1/$K$2544-1/$K$2672)*$K$2800)/1000),2)</f>
        <v>556.16</v>
      </c>
      <c r="G1612" s="318" t="s">
        <v>1367</v>
      </c>
      <c r="H1612" s="239">
        <f>VLOOKUP(G1612,'CP FACTORS'!$A$3:$B$38, 2, FALSE)</f>
        <v>9.4741810000000004E-4</v>
      </c>
      <c r="I1612" s="2046">
        <f t="shared" si="173"/>
        <v>0.52691600000000005</v>
      </c>
      <c r="J1612" s="156">
        <f t="shared" si="186"/>
        <v>18</v>
      </c>
      <c r="K1612" s="1085">
        <f t="shared" si="187"/>
        <v>1689.9245999999991</v>
      </c>
      <c r="L1612" s="1086">
        <f>L1776</f>
        <v>2.8</v>
      </c>
      <c r="M1612" s="2089"/>
      <c r="N1612" s="2086"/>
      <c r="O1612" s="1453"/>
      <c r="P1612" s="177"/>
      <c r="Q1612" s="177"/>
      <c r="R1612" s="1894"/>
      <c r="S1612" s="177"/>
      <c r="T1612" s="177"/>
      <c r="U1612" s="2090"/>
      <c r="V1612" s="245" t="s">
        <v>20</v>
      </c>
      <c r="W1612" s="1087">
        <v>556.1600000000002</v>
      </c>
      <c r="X1612" s="1096">
        <v>556.1600000000002</v>
      </c>
      <c r="Y1612" s="999">
        <v>556.16</v>
      </c>
      <c r="Z1612" s="1089"/>
      <c r="AA1612" s="1089"/>
      <c r="AB1612" s="1090"/>
      <c r="AC1612" s="1087"/>
      <c r="AD1612" s="1087"/>
      <c r="AE1612" s="1087"/>
      <c r="AF1612" s="1087"/>
      <c r="AG1612" s="1087"/>
      <c r="AH1612" s="248"/>
      <c r="AK1612" s="1091"/>
      <c r="BB1612" s="350">
        <f>(BD1612+BD1613)/(BE1612+BE1613)</f>
        <v>2.4147120897912031</v>
      </c>
      <c r="BC1612" s="956" t="str">
        <f t="shared" si="174"/>
        <v>Cooling Res 18 Year EUL</v>
      </c>
      <c r="BD1612" s="894">
        <f>(INDEX('Avoided Cost Benefits'!$C$4:$C$857,MATCH(BC1612,'Avoided Cost Benefits'!$A$4:$A$857,0)))*F1612</f>
        <v>980.95927724065086</v>
      </c>
      <c r="BE1612" s="74">
        <f t="shared" si="184"/>
        <v>1595.0208588957046</v>
      </c>
      <c r="BG1612" s="919"/>
      <c r="BH1612" s="1092"/>
      <c r="BI1612" s="919"/>
    </row>
    <row r="1613" spans="1:61" s="65" customFormat="1" x14ac:dyDescent="0.25">
      <c r="A1613" s="785"/>
      <c r="B1613" s="177"/>
      <c r="C1613" s="1572" t="s">
        <v>1572</v>
      </c>
      <c r="D1613" s="2045" t="s">
        <v>797</v>
      </c>
      <c r="E1613" s="1093" t="s">
        <v>1573</v>
      </c>
      <c r="F1613" s="999">
        <f>ROUND((($K$1776*$K$1904*(1/$K$2032-1/$K$2160)*$K$2800)/1000),2)</f>
        <v>6213.11</v>
      </c>
      <c r="G1613" s="318" t="s">
        <v>1369</v>
      </c>
      <c r="H1613" s="239">
        <f>VLOOKUP(G1613,'CP FACTORS'!$A$3:$B$38, 2, FALSE)</f>
        <v>0</v>
      </c>
      <c r="I1613" s="2046">
        <f t="shared" si="173"/>
        <v>0</v>
      </c>
      <c r="J1613" s="156">
        <f t="shared" si="186"/>
        <v>18</v>
      </c>
      <c r="K1613" s="1085">
        <f t="shared" si="187"/>
        <v>0</v>
      </c>
      <c r="L1613" s="1086"/>
      <c r="M1613" s="2089"/>
      <c r="N1613" s="2086"/>
      <c r="O1613" s="1453"/>
      <c r="P1613" s="177"/>
      <c r="Q1613" s="177"/>
      <c r="R1613" s="1894"/>
      <c r="S1613" s="177"/>
      <c r="T1613" s="177"/>
      <c r="U1613" s="2090"/>
      <c r="V1613" s="245" t="s">
        <v>20</v>
      </c>
      <c r="W1613" s="1087">
        <v>8343.6696919309452</v>
      </c>
      <c r="X1613" s="1088">
        <v>6213.105952776853</v>
      </c>
      <c r="Y1613" s="999">
        <v>6213.11</v>
      </c>
      <c r="Z1613" s="1089"/>
      <c r="AA1613" s="1089"/>
      <c r="AB1613" s="1090"/>
      <c r="AC1613" s="1087"/>
      <c r="AD1613" s="1087"/>
      <c r="AE1613" s="1087"/>
      <c r="AF1613" s="1087"/>
      <c r="AG1613" s="1087"/>
      <c r="AH1613" s="248"/>
      <c r="AK1613" s="1091"/>
      <c r="BB1613" s="348"/>
      <c r="BC1613" s="1093" t="str">
        <f t="shared" si="174"/>
        <v>Heating Res 18 Year EUL</v>
      </c>
      <c r="BD1613" s="894">
        <f>(INDEX('Avoided Cost Benefits'!$C$4:$C$857,MATCH(BC1613,'Avoided Cost Benefits'!$A$4:$A$857,0)))*F1613</f>
        <v>2870.5568742039554</v>
      </c>
      <c r="BE1613" s="74">
        <f t="shared" si="184"/>
        <v>0</v>
      </c>
      <c r="BG1613" s="919"/>
      <c r="BH1613" s="1092"/>
      <c r="BI1613" s="919"/>
    </row>
    <row r="1614" spans="1:61" s="65" customFormat="1" x14ac:dyDescent="0.25">
      <c r="A1614" s="785"/>
      <c r="B1614" s="177"/>
      <c r="C1614" s="1572" t="s">
        <v>1574</v>
      </c>
      <c r="D1614" s="2045" t="s">
        <v>792</v>
      </c>
      <c r="E1614" s="884" t="str">
        <f>CONCATENATE(E1612,"_CompE")</f>
        <v>ASHP - SEER 21 - replace electric furnace / CAC MF_CompE</v>
      </c>
      <c r="F1614" s="999">
        <f>ROUND((($K$2289*$K$2417*(1/$K$2545-1/$K$2673)*$K$2801)/1000),2)</f>
        <v>404.48</v>
      </c>
      <c r="G1614" s="318" t="str">
        <f>G1612</f>
        <v>Cooling Res</v>
      </c>
      <c r="H1614" s="239">
        <f t="shared" ref="H1614:K1615" si="188">H1612</f>
        <v>9.4741810000000004E-4</v>
      </c>
      <c r="I1614" s="2518">
        <f t="shared" si="173"/>
        <v>0.383212</v>
      </c>
      <c r="J1614" s="156">
        <f t="shared" si="188"/>
        <v>18</v>
      </c>
      <c r="K1614" s="1085">
        <f t="shared" si="188"/>
        <v>1689.9245999999991</v>
      </c>
      <c r="L1614" s="1086">
        <f>L1612</f>
        <v>2.8</v>
      </c>
      <c r="M1614" s="2089"/>
      <c r="N1614" s="2086"/>
      <c r="O1614" s="1453"/>
      <c r="P1614" s="177"/>
      <c r="Q1614" s="177"/>
      <c r="R1614" s="1894"/>
      <c r="S1614" s="177"/>
      <c r="T1614" s="177"/>
      <c r="U1614" s="2090"/>
      <c r="V1614" s="245" t="s">
        <v>20</v>
      </c>
      <c r="W1614" s="1087"/>
      <c r="X1614" s="1088"/>
      <c r="Y1614" s="1005">
        <v>404.48</v>
      </c>
      <c r="Z1614" s="1089"/>
      <c r="AA1614" s="1089"/>
      <c r="AB1614" s="1090"/>
      <c r="AC1614" s="1087"/>
      <c r="AD1614" s="1087"/>
      <c r="AE1614" s="1087"/>
      <c r="AF1614" s="1087"/>
      <c r="AG1614" s="1087"/>
      <c r="AH1614" s="248"/>
      <c r="AK1614" s="1091"/>
      <c r="BB1614" s="350">
        <f>(BD1614+BD1615)/(BE1614+BE1615)</f>
        <v>1.0608144895170573</v>
      </c>
      <c r="BC1614" s="956" t="str">
        <f t="shared" si="174"/>
        <v>Cooling Res 18 Year EUL</v>
      </c>
      <c r="BD1614" s="894">
        <f>(INDEX('Avoided Cost Benefits'!$C$4:$C$857,MATCH(BC1614,'Avoided Cost Benefits'!$A$4:$A$857,0)))*F1614</f>
        <v>713.42492890229164</v>
      </c>
      <c r="BE1614" s="74">
        <f t="shared" si="184"/>
        <v>1595.0208588957046</v>
      </c>
      <c r="BG1614" s="919"/>
      <c r="BH1614" s="1095"/>
      <c r="BI1614" s="919"/>
    </row>
    <row r="1615" spans="1:61" s="65" customFormat="1" x14ac:dyDescent="0.25">
      <c r="A1615" s="785"/>
      <c r="B1615" s="177"/>
      <c r="C1615" s="1572" t="str">
        <f>C1614</f>
        <v>354851_2019_12_</v>
      </c>
      <c r="D1615" s="2045" t="s">
        <v>792</v>
      </c>
      <c r="E1615" s="892" t="str">
        <f>CONCATENATE(E1613,"_CompE")</f>
        <v>ASHP - SEER 21 - replace electric furnace / CAC MF_CompE</v>
      </c>
      <c r="F1615" s="999">
        <f>ROUND((($K$1777*$K$1905*(1/$K$2033-1/$K$2161)*$K$2801)/1000),2)</f>
        <v>2118.1</v>
      </c>
      <c r="G1615" s="318" t="str">
        <f>G1613</f>
        <v>Heating Res</v>
      </c>
      <c r="H1615" s="239">
        <f t="shared" si="188"/>
        <v>0</v>
      </c>
      <c r="I1615" s="2518">
        <f t="shared" si="173"/>
        <v>0</v>
      </c>
      <c r="J1615" s="156">
        <f t="shared" si="188"/>
        <v>18</v>
      </c>
      <c r="K1615" s="1085">
        <f t="shared" si="188"/>
        <v>0</v>
      </c>
      <c r="L1615" s="1086"/>
      <c r="M1615" s="2089"/>
      <c r="N1615" s="2086"/>
      <c r="O1615" s="1453"/>
      <c r="P1615" s="177"/>
      <c r="Q1615" s="177"/>
      <c r="R1615" s="1894"/>
      <c r="S1615" s="177"/>
      <c r="T1615" s="177"/>
      <c r="U1615" s="2090"/>
      <c r="V1615" s="245" t="s">
        <v>20</v>
      </c>
      <c r="W1615" s="1087"/>
      <c r="X1615" s="1088"/>
      <c r="Y1615" s="1005">
        <v>2118.1</v>
      </c>
      <c r="Z1615" s="1089"/>
      <c r="AA1615" s="1089"/>
      <c r="AB1615" s="1090"/>
      <c r="AC1615" s="1087"/>
      <c r="AD1615" s="1087"/>
      <c r="AE1615" s="1087"/>
      <c r="AF1615" s="1087"/>
      <c r="AG1615" s="1087"/>
      <c r="AH1615" s="248"/>
      <c r="AK1615" s="1091"/>
      <c r="BB1615" s="348"/>
      <c r="BC1615" s="1093" t="str">
        <f t="shared" si="174"/>
        <v>Heating Res 18 Year EUL</v>
      </c>
      <c r="BD1615" s="894">
        <f>(INDEX('Avoided Cost Benefits'!$C$4:$C$857,MATCH(BC1615,'Avoided Cost Benefits'!$A$4:$A$857,0)))*F1615</f>
        <v>978.59630929621369</v>
      </c>
      <c r="BE1615" s="74">
        <f t="shared" si="184"/>
        <v>0</v>
      </c>
      <c r="BG1615" s="919"/>
      <c r="BH1615" s="1095"/>
      <c r="BI1615" s="919"/>
    </row>
    <row r="1616" spans="1:61" s="65" customFormat="1" x14ac:dyDescent="0.25">
      <c r="A1616" s="785"/>
      <c r="B1616" s="177"/>
      <c r="C1616" s="1572" t="s">
        <v>1575</v>
      </c>
      <c r="D1616" s="2045" t="s">
        <v>797</v>
      </c>
      <c r="E1616" s="884" t="s">
        <v>1576</v>
      </c>
      <c r="F1616" s="999">
        <f>ROUND(((K2290*K2418*(1/K2546-1/K2674)*K2802)/1000),2)</f>
        <v>1620.1</v>
      </c>
      <c r="G1616" s="318" t="s">
        <v>1367</v>
      </c>
      <c r="H1616" s="239">
        <f>VLOOKUP(G1616,'CP FACTORS'!$A$3:$B$38, 2, FALSE)</f>
        <v>9.4741810000000004E-4</v>
      </c>
      <c r="I1616" s="2046">
        <f t="shared" si="173"/>
        <v>1.5349120000000001</v>
      </c>
      <c r="J1616" s="156">
        <f>K2972</f>
        <v>6</v>
      </c>
      <c r="K1616" s="1085">
        <f>K3142</f>
        <v>2202.4463238752733</v>
      </c>
      <c r="L1616" s="1086">
        <f>L1778</f>
        <v>3.3</v>
      </c>
      <c r="M1616" s="2089"/>
      <c r="N1616" s="2086"/>
      <c r="O1616" s="1453"/>
      <c r="P1616" s="177"/>
      <c r="Q1616" s="177"/>
      <c r="R1616" s="1894"/>
      <c r="S1616" s="177"/>
      <c r="T1616" s="177"/>
      <c r="U1616" s="2090"/>
      <c r="V1616" s="245" t="s">
        <v>20</v>
      </c>
      <c r="W1616" s="1087">
        <v>2041.5292857142858</v>
      </c>
      <c r="X1616" s="1088">
        <v>1620.0955822328933</v>
      </c>
      <c r="Y1616" s="999">
        <v>1620.1</v>
      </c>
      <c r="Z1616" s="1089"/>
      <c r="AA1616" s="1089"/>
      <c r="AB1616" s="1090"/>
      <c r="AC1616" s="1087"/>
      <c r="AD1616" s="1087"/>
      <c r="AE1616" s="1087"/>
      <c r="AF1616" s="1087"/>
      <c r="AG1616" s="1087"/>
      <c r="AH1616" s="248"/>
      <c r="AK1616" s="1091"/>
      <c r="BB1616" s="350">
        <f>(BD1616+BD1617+BD1618+BD1619)/(BE1616+BE1617+BE1618+BE1619)</f>
        <v>0.99142521406446316</v>
      </c>
      <c r="BC1616" s="884" t="str">
        <f t="shared" si="174"/>
        <v>Cooling Res 6 Year EUL</v>
      </c>
      <c r="BD1616" s="894">
        <f>(INDEX('Avoided Cost Benefits'!$C$4:$C$857,MATCH(BC1616,'Avoided Cost Benefits'!$A$4:$A$857,0)))*F1616</f>
        <v>942.06249237100542</v>
      </c>
      <c r="BE1616" s="74">
        <f t="shared" si="184"/>
        <v>2078.7600980417869</v>
      </c>
      <c r="BG1616" s="919"/>
      <c r="BH1616" s="1092"/>
      <c r="BI1616" s="919"/>
    </row>
    <row r="1617" spans="1:61" s="65" customFormat="1" x14ac:dyDescent="0.25">
      <c r="A1617" s="785"/>
      <c r="B1617" s="177"/>
      <c r="C1617" s="1572" t="s">
        <v>1575</v>
      </c>
      <c r="D1617" s="2045" t="s">
        <v>797</v>
      </c>
      <c r="E1617" s="994" t="s">
        <v>1576</v>
      </c>
      <c r="F1617" s="999">
        <f>ROUND(((K1778*K1906*(1/K2034-1/K2162)*K2802)/1000),2)</f>
        <v>1798.76</v>
      </c>
      <c r="G1617" s="318" t="s">
        <v>1369</v>
      </c>
      <c r="H1617" s="239">
        <f>VLOOKUP(G1617,'CP FACTORS'!$A$3:$B$38, 2, FALSE)</f>
        <v>0</v>
      </c>
      <c r="I1617" s="2046">
        <f t="shared" si="173"/>
        <v>0</v>
      </c>
      <c r="J1617" s="156">
        <f>K2973</f>
        <v>6</v>
      </c>
      <c r="K1617" s="1085">
        <f>K3143</f>
        <v>0</v>
      </c>
      <c r="L1617" s="1086"/>
      <c r="M1617" s="2089"/>
      <c r="N1617" s="2086"/>
      <c r="O1617" s="1453"/>
      <c r="P1617" s="177"/>
      <c r="Q1617" s="177"/>
      <c r="R1617" s="1894"/>
      <c r="S1617" s="177"/>
      <c r="T1617" s="177"/>
      <c r="U1617" s="2090"/>
      <c r="V1617" s="245" t="s">
        <v>20</v>
      </c>
      <c r="W1617" s="1087">
        <v>4062.4872213622284</v>
      </c>
      <c r="X1617" s="1088">
        <v>1798.7611070228763</v>
      </c>
      <c r="Y1617" s="999">
        <v>1798.76</v>
      </c>
      <c r="Z1617" s="1089"/>
      <c r="AA1617" s="1089"/>
      <c r="AB1617" s="1090"/>
      <c r="AC1617" s="1087"/>
      <c r="AD1617" s="1087"/>
      <c r="AE1617" s="1087"/>
      <c r="AF1617" s="1087"/>
      <c r="AG1617" s="1087"/>
      <c r="AH1617" s="248"/>
      <c r="AK1617" s="1091"/>
      <c r="BB1617" s="995"/>
      <c r="BC1617" s="994" t="str">
        <f t="shared" si="174"/>
        <v>Heating Res 6 Year EUL</v>
      </c>
      <c r="BD1617" s="894">
        <f>(INDEX('Avoided Cost Benefits'!$C$4:$C$857,MATCH(BC1617,'Avoided Cost Benefits'!$A$4:$A$857,0)))*F1617</f>
        <v>299.19405404813961</v>
      </c>
      <c r="BE1617" s="74">
        <f t="shared" si="184"/>
        <v>0</v>
      </c>
      <c r="BG1617" s="919"/>
      <c r="BH1617" s="1092"/>
      <c r="BI1617" s="919"/>
    </row>
    <row r="1618" spans="1:61" s="65" customFormat="1" x14ac:dyDescent="0.25">
      <c r="A1618" s="785"/>
      <c r="B1618" s="177"/>
      <c r="C1618" s="1572" t="s">
        <v>1575</v>
      </c>
      <c r="D1618" s="2045" t="s">
        <v>797</v>
      </c>
      <c r="E1618" s="994" t="s">
        <v>1577</v>
      </c>
      <c r="F1618" s="999">
        <f>ROUND(((K2291*K2419*(1/K2547-1/K2675)*K2803)/1000),2)</f>
        <v>532.57000000000005</v>
      </c>
      <c r="G1618" s="2078" t="s">
        <v>1408</v>
      </c>
      <c r="H1618" s="239">
        <f>VLOOKUP(G1618,'CP FACTORS'!$A$3:$B$38, 2, FALSE)</f>
        <v>9.4741810000000004E-4</v>
      </c>
      <c r="I1618" s="2046">
        <f t="shared" si="173"/>
        <v>0.50456599999999996</v>
      </c>
      <c r="J1618" s="156">
        <f>K2974</f>
        <v>12</v>
      </c>
      <c r="K1618" s="1085">
        <f>K3144</f>
        <v>0</v>
      </c>
      <c r="L1618" s="1086"/>
      <c r="M1618" s="2089"/>
      <c r="N1618" s="2086"/>
      <c r="O1618" s="1453"/>
      <c r="P1618" s="177"/>
      <c r="Q1618" s="177"/>
      <c r="R1618" s="1894"/>
      <c r="S1618" s="177"/>
      <c r="T1618" s="177"/>
      <c r="U1618" s="2090"/>
      <c r="V1618" s="245" t="s">
        <v>20</v>
      </c>
      <c r="W1618" s="1087">
        <v>532.57285714285706</v>
      </c>
      <c r="X1618" s="1096">
        <v>532.57285714285706</v>
      </c>
      <c r="Y1618" s="999">
        <v>532.57000000000005</v>
      </c>
      <c r="Z1618" s="1089"/>
      <c r="AA1618" s="1089"/>
      <c r="AB1618" s="1090"/>
      <c r="AC1618" s="1087"/>
      <c r="AD1618" s="1087"/>
      <c r="AE1618" s="1087"/>
      <c r="AF1618" s="1087"/>
      <c r="AG1618" s="1087"/>
      <c r="AH1618" s="248"/>
      <c r="AK1618" s="1091"/>
      <c r="BB1618" s="995"/>
      <c r="BC1618" s="994" t="str">
        <f t="shared" si="174"/>
        <v>Cooling Res ER2 12 Year EUL</v>
      </c>
      <c r="BD1618" s="894">
        <f>(INDEX('Avoided Cost Benefits'!$C$4:$C$857,MATCH(BC1618,'Avoided Cost Benefits'!$A$4:$A$857,0)))*F1618</f>
        <v>629.67003350287655</v>
      </c>
      <c r="BE1618" s="74">
        <f t="shared" si="184"/>
        <v>0</v>
      </c>
      <c r="BG1618" s="919"/>
      <c r="BH1618" s="1092"/>
      <c r="BI1618" s="919"/>
    </row>
    <row r="1619" spans="1:61" s="65" customFormat="1" x14ac:dyDescent="0.25">
      <c r="A1619" s="785"/>
      <c r="B1619" s="177"/>
      <c r="C1619" s="1572" t="s">
        <v>1575</v>
      </c>
      <c r="D1619" s="2045" t="s">
        <v>797</v>
      </c>
      <c r="E1619" s="892" t="s">
        <v>1577</v>
      </c>
      <c r="F1619" s="999">
        <f>ROUND(((K1779*K1907*(1/K2035-1/K2163)*K2803)/1000),2)</f>
        <v>642.61</v>
      </c>
      <c r="G1619" s="2078" t="s">
        <v>1427</v>
      </c>
      <c r="H1619" s="239">
        <f>VLOOKUP(G1619,'CP FACTORS'!$A$3:$B$38, 2, FALSE)</f>
        <v>0</v>
      </c>
      <c r="I1619" s="2046">
        <f t="shared" si="173"/>
        <v>0</v>
      </c>
      <c r="J1619" s="156">
        <f>K2975</f>
        <v>12</v>
      </c>
      <c r="K1619" s="1085">
        <f>K3145</f>
        <v>0</v>
      </c>
      <c r="L1619" s="1086"/>
      <c r="M1619" s="2089"/>
      <c r="N1619" s="2086"/>
      <c r="O1619" s="1453"/>
      <c r="P1619" s="177"/>
      <c r="Q1619" s="177"/>
      <c r="R1619" s="1894"/>
      <c r="S1619" s="177"/>
      <c r="T1619" s="177"/>
      <c r="U1619" s="2090"/>
      <c r="V1619" s="245" t="s">
        <v>20</v>
      </c>
      <c r="W1619" s="1087">
        <v>862.96736842105349</v>
      </c>
      <c r="X1619" s="1088">
        <v>642.6078562259313</v>
      </c>
      <c r="Y1619" s="999">
        <v>642.61</v>
      </c>
      <c r="Z1619" s="1089"/>
      <c r="AA1619" s="1089"/>
      <c r="AB1619" s="1090"/>
      <c r="AC1619" s="1087"/>
      <c r="AD1619" s="1087"/>
      <c r="AE1619" s="1087"/>
      <c r="AF1619" s="1087"/>
      <c r="AG1619" s="1087"/>
      <c r="AH1619" s="248"/>
      <c r="AK1619" s="1091"/>
      <c r="BB1619" s="995"/>
      <c r="BC1619" s="892" t="str">
        <f t="shared" si="174"/>
        <v>Heating Res ER2 12 Year EUL</v>
      </c>
      <c r="BD1619" s="894">
        <f>(INDEX('Avoided Cost Benefits'!$C$4:$C$857,MATCH(BC1619,'Avoided Cost Benefits'!$A$4:$A$857,0)))*F1619</f>
        <v>190.00859526772157</v>
      </c>
      <c r="BE1619" s="74">
        <f t="shared" si="184"/>
        <v>0</v>
      </c>
      <c r="BG1619" s="919"/>
      <c r="BH1619" s="1092"/>
      <c r="BI1619" s="919"/>
    </row>
    <row r="1620" spans="1:61" s="65" customFormat="1" x14ac:dyDescent="0.25">
      <c r="A1620" s="785"/>
      <c r="B1620" s="177"/>
      <c r="C1620" s="1572" t="s">
        <v>1578</v>
      </c>
      <c r="D1620" s="2045" t="s">
        <v>792</v>
      </c>
      <c r="E1620" s="884" t="str">
        <f>CONCATENATE(E1616,"_CompE")</f>
        <v>ASHP SEER 21 replace ASHP - early replacement MF ER1_CompE</v>
      </c>
      <c r="F1620" s="999">
        <f>ROUND((($K$2292*$K$2420*(1/$K$2548-1/$K$2676)*$K$2804)/1000),2)</f>
        <v>1178.25</v>
      </c>
      <c r="G1620" s="318" t="str">
        <f t="shared" ref="G1620:K1623" si="189">G1616</f>
        <v>Cooling Res</v>
      </c>
      <c r="H1620" s="239">
        <f t="shared" si="189"/>
        <v>9.4741810000000004E-4</v>
      </c>
      <c r="I1620" s="2518">
        <f t="shared" si="173"/>
        <v>1.116295</v>
      </c>
      <c r="J1620" s="156">
        <f>J1616</f>
        <v>6</v>
      </c>
      <c r="K1620" s="1085">
        <f>K1616</f>
        <v>2202.4463238752733</v>
      </c>
      <c r="L1620" s="1086">
        <f>L1616</f>
        <v>3.3</v>
      </c>
      <c r="M1620" s="2089"/>
      <c r="N1620" s="2086"/>
      <c r="O1620" s="1453"/>
      <c r="P1620" s="177"/>
      <c r="Q1620" s="177"/>
      <c r="R1620" s="1894"/>
      <c r="S1620" s="177"/>
      <c r="T1620" s="177"/>
      <c r="U1620" s="2090"/>
      <c r="V1620" s="245" t="s">
        <v>20</v>
      </c>
      <c r="W1620" s="1087"/>
      <c r="X1620" s="1088"/>
      <c r="Y1620" s="1005">
        <v>1178.25</v>
      </c>
      <c r="Z1620" s="1089"/>
      <c r="AA1620" s="1089"/>
      <c r="AB1620" s="1090"/>
      <c r="AC1620" s="1087"/>
      <c r="AD1620" s="1087"/>
      <c r="AE1620" s="1087"/>
      <c r="AF1620" s="1087"/>
      <c r="AG1620" s="1087"/>
      <c r="AH1620" s="248"/>
      <c r="AK1620" s="1091"/>
      <c r="BB1620" s="350">
        <f>(BD1620+BD1621+BD1622+BD1623)/(BE1620+BE1621+BE1622+BE1623)</f>
        <v>0.63011390195139227</v>
      </c>
      <c r="BC1620" s="884" t="str">
        <f t="shared" si="174"/>
        <v>Cooling Res 6 Year EUL</v>
      </c>
      <c r="BD1620" s="894">
        <f>(INDEX('Avoided Cost Benefits'!$C$4:$C$857,MATCH(BC1620,'Avoided Cost Benefits'!$A$4:$A$857,0)))*F1620</f>
        <v>685.13371497817241</v>
      </c>
      <c r="BE1620" s="74">
        <f t="shared" si="184"/>
        <v>2078.7600980417869</v>
      </c>
      <c r="BG1620" s="919"/>
      <c r="BH1620" s="1095"/>
      <c r="BI1620" s="919"/>
    </row>
    <row r="1621" spans="1:61" s="65" customFormat="1" x14ac:dyDescent="0.25">
      <c r="A1621" s="785"/>
      <c r="B1621" s="177"/>
      <c r="C1621" s="1572" t="str">
        <f>C1620</f>
        <v>354901_2019_12_</v>
      </c>
      <c r="D1621" s="2045" t="s">
        <v>792</v>
      </c>
      <c r="E1621" s="994" t="str">
        <f>CONCATENATE(E1617,"_CompE")</f>
        <v>ASHP SEER 21 replace ASHP - early replacement MF ER1_CompE</v>
      </c>
      <c r="F1621" s="999">
        <f>ROUND((($K$1780*$K$1908*(1/$K$2036-1/$K$2164)*$K$2804)/1000),2)</f>
        <v>613.21</v>
      </c>
      <c r="G1621" s="318" t="str">
        <f t="shared" si="189"/>
        <v>Heating Res</v>
      </c>
      <c r="H1621" s="239">
        <f t="shared" si="189"/>
        <v>0</v>
      </c>
      <c r="I1621" s="2518">
        <f t="shared" si="173"/>
        <v>0</v>
      </c>
      <c r="J1621" s="156">
        <f t="shared" si="189"/>
        <v>6</v>
      </c>
      <c r="K1621" s="1085">
        <f t="shared" si="189"/>
        <v>0</v>
      </c>
      <c r="L1621" s="1086"/>
      <c r="M1621" s="2089"/>
      <c r="N1621" s="2086"/>
      <c r="O1621" s="1453"/>
      <c r="P1621" s="177"/>
      <c r="Q1621" s="177"/>
      <c r="R1621" s="1894"/>
      <c r="S1621" s="177"/>
      <c r="T1621" s="177"/>
      <c r="U1621" s="2090"/>
      <c r="V1621" s="245" t="s">
        <v>20</v>
      </c>
      <c r="W1621" s="1087"/>
      <c r="X1621" s="1088"/>
      <c r="Y1621" s="1005">
        <v>613.21</v>
      </c>
      <c r="Z1621" s="1089"/>
      <c r="AA1621" s="1089"/>
      <c r="AB1621" s="1090"/>
      <c r="AC1621" s="1087"/>
      <c r="AD1621" s="1087"/>
      <c r="AE1621" s="1087"/>
      <c r="AF1621" s="1087"/>
      <c r="AG1621" s="1087"/>
      <c r="AH1621" s="248"/>
      <c r="AK1621" s="1091"/>
      <c r="BB1621" s="995"/>
      <c r="BC1621" s="994" t="str">
        <f t="shared" si="174"/>
        <v>Heating Res 6 Year EUL</v>
      </c>
      <c r="BD1621" s="894">
        <f>(INDEX('Avoided Cost Benefits'!$C$4:$C$857,MATCH(BC1621,'Avoided Cost Benefits'!$A$4:$A$857,0)))*F1621</f>
        <v>101.99736812185043</v>
      </c>
      <c r="BE1621" s="74">
        <f t="shared" si="184"/>
        <v>0</v>
      </c>
      <c r="BG1621" s="919"/>
      <c r="BH1621" s="1095"/>
      <c r="BI1621" s="919"/>
    </row>
    <row r="1622" spans="1:61" s="65" customFormat="1" x14ac:dyDescent="0.25">
      <c r="A1622" s="785"/>
      <c r="B1622" s="177"/>
      <c r="C1622" s="1572" t="str">
        <f t="shared" ref="C1622:C1623" si="190">C1621</f>
        <v>354901_2019_12_</v>
      </c>
      <c r="D1622" s="2045" t="s">
        <v>792</v>
      </c>
      <c r="E1622" s="994" t="str">
        <f>CONCATENATE(E1618,"_CompE")</f>
        <v>ASHP SEER 21 replace ASHP - early replacement MF ER2_CompE</v>
      </c>
      <c r="F1622" s="999">
        <f>ROUND((($K$2293*$K$2421*(1/$K$2549-1/$K$2677)*$K$2805)/1000),2)</f>
        <v>387.33</v>
      </c>
      <c r="G1622" s="318" t="str">
        <f t="shared" si="189"/>
        <v>Cooling Res ER2</v>
      </c>
      <c r="H1622" s="239">
        <f t="shared" si="189"/>
        <v>9.4741810000000004E-4</v>
      </c>
      <c r="I1622" s="2518">
        <f t="shared" si="173"/>
        <v>0.36696299999999998</v>
      </c>
      <c r="J1622" s="156">
        <f t="shared" si="189"/>
        <v>12</v>
      </c>
      <c r="K1622" s="1085">
        <f t="shared" si="189"/>
        <v>0</v>
      </c>
      <c r="L1622" s="1086"/>
      <c r="M1622" s="2089"/>
      <c r="N1622" s="2086"/>
      <c r="O1622" s="1453"/>
      <c r="P1622" s="177"/>
      <c r="Q1622" s="177"/>
      <c r="R1622" s="1894"/>
      <c r="S1622" s="177"/>
      <c r="T1622" s="177"/>
      <c r="U1622" s="2090"/>
      <c r="V1622" s="245" t="s">
        <v>20</v>
      </c>
      <c r="W1622" s="1087"/>
      <c r="X1622" s="1088"/>
      <c r="Y1622" s="1005">
        <v>387.33</v>
      </c>
      <c r="Z1622" s="1089"/>
      <c r="AA1622" s="1089"/>
      <c r="AB1622" s="1090"/>
      <c r="AC1622" s="1087"/>
      <c r="AD1622" s="1087"/>
      <c r="AE1622" s="1087"/>
      <c r="AF1622" s="1087"/>
      <c r="AG1622" s="1087"/>
      <c r="AH1622" s="248"/>
      <c r="AK1622" s="1091"/>
      <c r="BB1622" s="995"/>
      <c r="BC1622" s="994" t="str">
        <f t="shared" si="174"/>
        <v>Cooling Res ER2 12 Year EUL</v>
      </c>
      <c r="BD1622" s="894">
        <f>(INDEX('Avoided Cost Benefits'!$C$4:$C$857,MATCH(BC1622,'Avoided Cost Benefits'!$A$4:$A$857,0)))*F1622</f>
        <v>457.94936642444958</v>
      </c>
      <c r="BE1622" s="74">
        <f t="shared" si="184"/>
        <v>0</v>
      </c>
      <c r="BG1622" s="919"/>
      <c r="BH1622" s="1095"/>
      <c r="BI1622" s="919"/>
    </row>
    <row r="1623" spans="1:61" s="65" customFormat="1" x14ac:dyDescent="0.25">
      <c r="A1623" s="785"/>
      <c r="B1623" s="177"/>
      <c r="C1623" s="1572" t="str">
        <f t="shared" si="190"/>
        <v>354901_2019_12_</v>
      </c>
      <c r="D1623" s="2045" t="s">
        <v>792</v>
      </c>
      <c r="E1623" s="892" t="str">
        <f>CONCATENATE(E1619,"_CompE")</f>
        <v>ASHP SEER 21 replace ASHP - early replacement MF ER2_CompE</v>
      </c>
      <c r="F1623" s="999">
        <f>ROUND((($K$1781*$K$1909*(1/$K$2037-1/$K$2165)*$K$2805)/1000),2)</f>
        <v>219.07</v>
      </c>
      <c r="G1623" s="318" t="str">
        <f t="shared" si="189"/>
        <v>Heating Res ER2</v>
      </c>
      <c r="H1623" s="239">
        <f t="shared" si="189"/>
        <v>0</v>
      </c>
      <c r="I1623" s="2518">
        <f t="shared" si="173"/>
        <v>0</v>
      </c>
      <c r="J1623" s="156">
        <f t="shared" si="189"/>
        <v>12</v>
      </c>
      <c r="K1623" s="1085">
        <f t="shared" si="189"/>
        <v>0</v>
      </c>
      <c r="L1623" s="1086"/>
      <c r="M1623" s="2089"/>
      <c r="N1623" s="2086"/>
      <c r="O1623" s="1453"/>
      <c r="P1623" s="177"/>
      <c r="Q1623" s="177"/>
      <c r="R1623" s="1894"/>
      <c r="S1623" s="177"/>
      <c r="T1623" s="177"/>
      <c r="U1623" s="2090"/>
      <c r="V1623" s="245" t="s">
        <v>20</v>
      </c>
      <c r="W1623" s="1087"/>
      <c r="X1623" s="1088"/>
      <c r="Y1623" s="1005">
        <v>219.07</v>
      </c>
      <c r="Z1623" s="1089"/>
      <c r="AA1623" s="1089"/>
      <c r="AB1623" s="1090"/>
      <c r="AC1623" s="1087"/>
      <c r="AD1623" s="1087"/>
      <c r="AE1623" s="1087"/>
      <c r="AF1623" s="1087"/>
      <c r="AG1623" s="1087"/>
      <c r="AH1623" s="248"/>
      <c r="AK1623" s="1091"/>
      <c r="BB1623" s="995"/>
      <c r="BC1623" s="892" t="str">
        <f t="shared" si="174"/>
        <v>Heating Res ER2 12 Year EUL</v>
      </c>
      <c r="BD1623" s="894">
        <f>(INDEX('Avoided Cost Benefits'!$C$4:$C$857,MATCH(BC1623,'Avoided Cost Benefits'!$A$4:$A$857,0)))*F1623</f>
        <v>64.775187073496781</v>
      </c>
      <c r="BE1623" s="74">
        <f t="shared" si="184"/>
        <v>0</v>
      </c>
      <c r="BG1623" s="919"/>
      <c r="BH1623" s="1095"/>
      <c r="BI1623" s="919"/>
    </row>
    <row r="1624" spans="1:61" s="65" customFormat="1" x14ac:dyDescent="0.25">
      <c r="A1624" s="785"/>
      <c r="B1624" s="177"/>
      <c r="C1624" s="1572" t="s">
        <v>1579</v>
      </c>
      <c r="D1624" s="2045" t="s">
        <v>797</v>
      </c>
      <c r="E1624" s="956" t="s">
        <v>1580</v>
      </c>
      <c r="F1624" s="999">
        <f>ROUND(((K2294*K2422*(1/K2550-1/K2678)*K2806)/1000),2)</f>
        <v>281.95</v>
      </c>
      <c r="G1624" s="318" t="s">
        <v>1367</v>
      </c>
      <c r="H1624" s="239">
        <f>VLOOKUP(G1624,'CP FACTORS'!$A$3:$B$38, 2, FALSE)</f>
        <v>9.4741810000000004E-4</v>
      </c>
      <c r="I1624" s="2046">
        <f t="shared" si="173"/>
        <v>0.267125</v>
      </c>
      <c r="J1624" s="156">
        <f>K2976</f>
        <v>18</v>
      </c>
      <c r="K1624" s="1085">
        <f>K3146</f>
        <v>724</v>
      </c>
      <c r="L1624" s="1086">
        <f>L1782</f>
        <v>3.3</v>
      </c>
      <c r="M1624" s="2089"/>
      <c r="N1624" s="2086"/>
      <c r="O1624" s="1453"/>
      <c r="P1624" s="177"/>
      <c r="Q1624" s="177"/>
      <c r="R1624" s="1894"/>
      <c r="S1624" s="177"/>
      <c r="T1624" s="177"/>
      <c r="U1624" s="2090"/>
      <c r="V1624" s="245" t="s">
        <v>20</v>
      </c>
      <c r="W1624" s="1087">
        <v>281.95033613445372</v>
      </c>
      <c r="X1624" s="1096">
        <v>281.95033613445372</v>
      </c>
      <c r="Y1624" s="999">
        <v>281.95</v>
      </c>
      <c r="Z1624" s="1089"/>
      <c r="AA1624" s="1089"/>
      <c r="AB1624" s="1090"/>
      <c r="AC1624" s="1087"/>
      <c r="AD1624" s="1087"/>
      <c r="AE1624" s="1087"/>
      <c r="AF1624" s="1087"/>
      <c r="AG1624" s="1087"/>
      <c r="AH1624" s="248"/>
      <c r="AK1624" s="1091"/>
      <c r="BB1624" s="350">
        <f>(BD1624+BD1625)/(BE1624+BE1625)</f>
        <v>1.2461252190526704</v>
      </c>
      <c r="BC1624" s="956" t="str">
        <f t="shared" si="174"/>
        <v>Cooling Res 18 Year EUL</v>
      </c>
      <c r="BD1624" s="894">
        <f>(INDEX('Avoided Cost Benefits'!$C$4:$C$857,MATCH(BC1624,'Avoided Cost Benefits'!$A$4:$A$857,0)))*F1624</f>
        <v>497.30557432753437</v>
      </c>
      <c r="BE1624" s="74">
        <f t="shared" si="184"/>
        <v>683.34119867862194</v>
      </c>
      <c r="BG1624" s="919"/>
      <c r="BH1624" s="1092"/>
      <c r="BI1624" s="919"/>
    </row>
    <row r="1625" spans="1:61" s="65" customFormat="1" x14ac:dyDescent="0.25">
      <c r="A1625" s="785"/>
      <c r="B1625" s="177"/>
      <c r="C1625" s="1572" t="s">
        <v>1579</v>
      </c>
      <c r="D1625" s="2045" t="s">
        <v>797</v>
      </c>
      <c r="E1625" s="1093" t="s">
        <v>1580</v>
      </c>
      <c r="F1625" s="999">
        <f>ROUND(((K1782*K1910*(1/K2038-1/K2166)*K2806)/1000),2)</f>
        <v>766.69</v>
      </c>
      <c r="G1625" s="318" t="s">
        <v>1369</v>
      </c>
      <c r="H1625" s="239">
        <f>VLOOKUP(G1625,'CP FACTORS'!$A$3:$B$38, 2, FALSE)</f>
        <v>0</v>
      </c>
      <c r="I1625" s="2046">
        <f t="shared" si="173"/>
        <v>0</v>
      </c>
      <c r="J1625" s="156">
        <f>K2977</f>
        <v>18</v>
      </c>
      <c r="K1625" s="1085">
        <f>K3147</f>
        <v>0</v>
      </c>
      <c r="L1625" s="1086"/>
      <c r="M1625" s="2089"/>
      <c r="N1625" s="2086"/>
      <c r="O1625" s="1453"/>
      <c r="P1625" s="177"/>
      <c r="Q1625" s="177"/>
      <c r="R1625" s="1894"/>
      <c r="S1625" s="177"/>
      <c r="T1625" s="177"/>
      <c r="U1625" s="2090"/>
      <c r="V1625" s="245" t="s">
        <v>20</v>
      </c>
      <c r="W1625" s="1087">
        <v>1029.6000000000013</v>
      </c>
      <c r="X1625" s="1088">
        <v>766.69069188651167</v>
      </c>
      <c r="Y1625" s="999">
        <v>766.69</v>
      </c>
      <c r="Z1625" s="1089"/>
      <c r="AA1625" s="1089"/>
      <c r="AB1625" s="1090"/>
      <c r="AC1625" s="1087"/>
      <c r="AD1625" s="1087"/>
      <c r="AE1625" s="1087"/>
      <c r="AF1625" s="1087"/>
      <c r="AG1625" s="1087"/>
      <c r="AH1625" s="248"/>
      <c r="AK1625" s="1091"/>
      <c r="BB1625" s="348"/>
      <c r="BC1625" s="1093" t="str">
        <f t="shared" si="174"/>
        <v>Heating Res 18 Year EUL</v>
      </c>
      <c r="BD1625" s="894">
        <f>(INDEX('Avoided Cost Benefits'!$C$4:$C$857,MATCH(BC1625,'Avoided Cost Benefits'!$A$4:$A$857,0)))*F1625</f>
        <v>354.22312656357781</v>
      </c>
      <c r="BE1625" s="74">
        <f t="shared" si="184"/>
        <v>0</v>
      </c>
      <c r="BG1625" s="919"/>
      <c r="BH1625" s="1092"/>
      <c r="BI1625" s="919"/>
    </row>
    <row r="1626" spans="1:61" s="65" customFormat="1" x14ac:dyDescent="0.25">
      <c r="A1626" s="785"/>
      <c r="B1626" s="177"/>
      <c r="C1626" s="1572" t="s">
        <v>1581</v>
      </c>
      <c r="D1626" s="2045" t="s">
        <v>792</v>
      </c>
      <c r="E1626" s="884" t="str">
        <f>CONCATENATE(E1624,"_CompE")</f>
        <v>ASHP - SEER 17 - replace on fail MF_CompE</v>
      </c>
      <c r="F1626" s="999">
        <f>ROUND((($K$2295*$K$2423*(1/$K$2551-1/$K$2679)*$K$2807)/1000),2)</f>
        <v>205.05</v>
      </c>
      <c r="G1626" s="318" t="str">
        <f>G1624</f>
        <v>Cooling Res</v>
      </c>
      <c r="H1626" s="239">
        <f t="shared" ref="H1626:K1627" si="191">H1624</f>
        <v>9.4741810000000004E-4</v>
      </c>
      <c r="I1626" s="2518">
        <f t="shared" si="173"/>
        <v>0.194268</v>
      </c>
      <c r="J1626" s="156">
        <f t="shared" si="191"/>
        <v>18</v>
      </c>
      <c r="K1626" s="1085">
        <f t="shared" si="191"/>
        <v>724</v>
      </c>
      <c r="L1626" s="1086">
        <f>L1624</f>
        <v>3.3</v>
      </c>
      <c r="M1626" s="2089"/>
      <c r="N1626" s="2086"/>
      <c r="O1626" s="1453"/>
      <c r="P1626" s="177"/>
      <c r="Q1626" s="177"/>
      <c r="R1626" s="1894"/>
      <c r="S1626" s="177"/>
      <c r="T1626" s="177"/>
      <c r="U1626" s="2090"/>
      <c r="V1626" s="245" t="s">
        <v>20</v>
      </c>
      <c r="W1626" s="1087"/>
      <c r="X1626" s="1088"/>
      <c r="Y1626" s="1005">
        <v>205.05</v>
      </c>
      <c r="Z1626" s="1089"/>
      <c r="AA1626" s="1089"/>
      <c r="AB1626" s="1090"/>
      <c r="AC1626" s="1087"/>
      <c r="AD1626" s="1087"/>
      <c r="AE1626" s="1087"/>
      <c r="AF1626" s="1087"/>
      <c r="AG1626" s="1087"/>
      <c r="AH1626" s="248"/>
      <c r="AK1626" s="1091"/>
      <c r="BB1626" s="350">
        <f>(BD1626+BD1627)/(BE1626+BE1627)</f>
        <v>0.70598101502515853</v>
      </c>
      <c r="BC1626" s="956" t="str">
        <f t="shared" si="174"/>
        <v>Cooling Res 18 Year EUL</v>
      </c>
      <c r="BD1626" s="894">
        <f>(INDEX('Avoided Cost Benefits'!$C$4:$C$857,MATCH(BC1626,'Avoided Cost Benefits'!$A$4:$A$857,0)))*F1626</f>
        <v>361.66876402149649</v>
      </c>
      <c r="BE1626" s="74">
        <f t="shared" si="184"/>
        <v>683.34119867862194</v>
      </c>
      <c r="BG1626" s="919"/>
      <c r="BH1626" s="1095"/>
      <c r="BI1626" s="919"/>
    </row>
    <row r="1627" spans="1:61" s="65" customFormat="1" x14ac:dyDescent="0.25">
      <c r="A1627" s="785"/>
      <c r="B1627" s="177"/>
      <c r="C1627" s="1572" t="str">
        <f>C1626</f>
        <v>354951_2019_12_</v>
      </c>
      <c r="D1627" s="2045" t="s">
        <v>792</v>
      </c>
      <c r="E1627" s="892" t="str">
        <f>CONCATENATE(E1625,"_CompE")</f>
        <v>ASHP - SEER 17 - replace on fail MF_CompE</v>
      </c>
      <c r="F1627" s="999">
        <f>ROUND((($K$1783*$K$1911*(1/$K$2039-1/$K$2167)*$K$2807)/1000),2)</f>
        <v>261.37</v>
      </c>
      <c r="G1627" s="318" t="str">
        <f>G1625</f>
        <v>Heating Res</v>
      </c>
      <c r="H1627" s="239">
        <f t="shared" si="191"/>
        <v>0</v>
      </c>
      <c r="I1627" s="2518">
        <f t="shared" si="173"/>
        <v>0</v>
      </c>
      <c r="J1627" s="156">
        <f t="shared" si="191"/>
        <v>18</v>
      </c>
      <c r="K1627" s="1085">
        <f t="shared" si="191"/>
        <v>0</v>
      </c>
      <c r="L1627" s="1086"/>
      <c r="M1627" s="2089"/>
      <c r="N1627" s="2086"/>
      <c r="O1627" s="1453"/>
      <c r="P1627" s="177"/>
      <c r="Q1627" s="177"/>
      <c r="R1627" s="1894"/>
      <c r="S1627" s="177"/>
      <c r="T1627" s="177"/>
      <c r="U1627" s="2090"/>
      <c r="V1627" s="245" t="s">
        <v>20</v>
      </c>
      <c r="W1627" s="1087"/>
      <c r="X1627" s="1088"/>
      <c r="Y1627" s="1005">
        <v>261.37</v>
      </c>
      <c r="Z1627" s="1089"/>
      <c r="AA1627" s="1089"/>
      <c r="AB1627" s="1090"/>
      <c r="AC1627" s="1087"/>
      <c r="AD1627" s="1087"/>
      <c r="AE1627" s="1087"/>
      <c r="AF1627" s="1087"/>
      <c r="AG1627" s="1087"/>
      <c r="AH1627" s="248"/>
      <c r="AK1627" s="1091"/>
      <c r="BB1627" s="348"/>
      <c r="BC1627" s="1093" t="str">
        <f t="shared" si="174"/>
        <v>Heating Res 18 Year EUL</v>
      </c>
      <c r="BD1627" s="894">
        <f>(INDEX('Avoided Cost Benefits'!$C$4:$C$857,MATCH(BC1627,'Avoided Cost Benefits'!$A$4:$A$857,0)))*F1627</f>
        <v>120.7571490301456</v>
      </c>
      <c r="BE1627" s="74">
        <f t="shared" si="184"/>
        <v>0</v>
      </c>
      <c r="BG1627" s="919"/>
      <c r="BH1627" s="1095"/>
      <c r="BI1627" s="919"/>
    </row>
    <row r="1628" spans="1:61" s="65" customFormat="1" x14ac:dyDescent="0.25">
      <c r="A1628" s="785"/>
      <c r="B1628" s="177"/>
      <c r="C1628" s="1572" t="s">
        <v>1582</v>
      </c>
      <c r="D1628" s="2045" t="s">
        <v>797</v>
      </c>
      <c r="E1628" s="956" t="s">
        <v>1583</v>
      </c>
      <c r="F1628" s="999">
        <f>ROUND(((K2296*K2424*(1/K2552-1/K2680)*K2808)/1000),2)</f>
        <v>355.05</v>
      </c>
      <c r="G1628" s="318" t="s">
        <v>1367</v>
      </c>
      <c r="H1628" s="239">
        <f>VLOOKUP(G1628,'CP FACTORS'!$A$3:$B$38, 2, FALSE)</f>
        <v>9.4741810000000004E-4</v>
      </c>
      <c r="I1628" s="2046">
        <f t="shared" si="173"/>
        <v>0.33638099999999999</v>
      </c>
      <c r="J1628" s="156">
        <f>K2978</f>
        <v>18</v>
      </c>
      <c r="K1628" s="1085">
        <f>K3148</f>
        <v>962.92000000000007</v>
      </c>
      <c r="L1628" s="1086">
        <f>L1784</f>
        <v>3.3</v>
      </c>
      <c r="M1628" s="2089"/>
      <c r="N1628" s="2086"/>
      <c r="O1628" s="1453"/>
      <c r="P1628" s="177"/>
      <c r="Q1628" s="177"/>
      <c r="R1628" s="1894"/>
      <c r="S1628" s="177"/>
      <c r="T1628" s="177"/>
      <c r="U1628" s="2090"/>
      <c r="V1628" s="245" t="s">
        <v>20</v>
      </c>
      <c r="W1628" s="1087">
        <v>355.04857142857139</v>
      </c>
      <c r="X1628" s="1096">
        <v>355.04857142857139</v>
      </c>
      <c r="Y1628" s="999">
        <v>355.05</v>
      </c>
      <c r="Z1628" s="1089"/>
      <c r="AA1628" s="1089"/>
      <c r="AB1628" s="1090"/>
      <c r="AC1628" s="1087"/>
      <c r="AD1628" s="1087"/>
      <c r="AE1628" s="1087"/>
      <c r="AF1628" s="1087"/>
      <c r="AG1628" s="1087"/>
      <c r="AH1628" s="248"/>
      <c r="AK1628" s="1091"/>
      <c r="BB1628" s="350">
        <f>(BD1628+BD1629)/(BE1628+BE1629)</f>
        <v>1.0788025931831349</v>
      </c>
      <c r="BC1628" s="956" t="str">
        <f t="shared" si="174"/>
        <v>Cooling Res 18 Year EUL</v>
      </c>
      <c r="BD1628" s="894">
        <f>(INDEX('Avoided Cost Benefits'!$C$4:$C$857,MATCH(BC1628,'Avoided Cost Benefits'!$A$4:$A$857,0)))*F1628</f>
        <v>626.23991546370314</v>
      </c>
      <c r="BE1628" s="74">
        <f t="shared" si="184"/>
        <v>908.84379424256724</v>
      </c>
      <c r="BG1628" s="919"/>
      <c r="BH1628" s="1092"/>
      <c r="BI1628" s="919"/>
    </row>
    <row r="1629" spans="1:61" s="65" customFormat="1" x14ac:dyDescent="0.25">
      <c r="A1629" s="785"/>
      <c r="B1629" s="177"/>
      <c r="C1629" s="1572" t="s">
        <v>1582</v>
      </c>
      <c r="D1629" s="2045" t="s">
        <v>797</v>
      </c>
      <c r="E1629" s="1093" t="s">
        <v>1583</v>
      </c>
      <c r="F1629" s="999">
        <f>ROUND(((K1784*K1912*(1/K2040-1/K2168)*K2808)/1000),2)</f>
        <v>766.69</v>
      </c>
      <c r="G1629" s="318" t="s">
        <v>1369</v>
      </c>
      <c r="H1629" s="239">
        <f>VLOOKUP(G1629,'CP FACTORS'!$A$3:$B$38, 2, FALSE)</f>
        <v>0</v>
      </c>
      <c r="I1629" s="2046">
        <f t="shared" si="173"/>
        <v>0</v>
      </c>
      <c r="J1629" s="156">
        <f>K2979</f>
        <v>18</v>
      </c>
      <c r="K1629" s="1085">
        <f>K3149</f>
        <v>0</v>
      </c>
      <c r="L1629" s="1086"/>
      <c r="M1629" s="2089"/>
      <c r="N1629" s="2086"/>
      <c r="O1629" s="1453"/>
      <c r="P1629" s="177"/>
      <c r="Q1629" s="177"/>
      <c r="R1629" s="1894"/>
      <c r="S1629" s="177"/>
      <c r="T1629" s="177"/>
      <c r="U1629" s="2090"/>
      <c r="V1629" s="245" t="s">
        <v>20</v>
      </c>
      <c r="W1629" s="1087">
        <v>1029.6000000000013</v>
      </c>
      <c r="X1629" s="1088">
        <v>766.69069188651167</v>
      </c>
      <c r="Y1629" s="999">
        <v>766.69</v>
      </c>
      <c r="Z1629" s="1089"/>
      <c r="AA1629" s="1089"/>
      <c r="AB1629" s="1090"/>
      <c r="AC1629" s="1087"/>
      <c r="AD1629" s="1087"/>
      <c r="AE1629" s="1087"/>
      <c r="AF1629" s="1087"/>
      <c r="AG1629" s="1087"/>
      <c r="AH1629" s="248"/>
      <c r="AK1629" s="1091"/>
      <c r="BB1629" s="348"/>
      <c r="BC1629" s="1093" t="str">
        <f t="shared" si="174"/>
        <v>Heating Res 18 Year EUL</v>
      </c>
      <c r="BD1629" s="894">
        <f>(INDEX('Avoided Cost Benefits'!$C$4:$C$857,MATCH(BC1629,'Avoided Cost Benefits'!$A$4:$A$857,0)))*F1629</f>
        <v>354.22312656357781</v>
      </c>
      <c r="BE1629" s="74">
        <f t="shared" si="184"/>
        <v>0</v>
      </c>
      <c r="BG1629" s="919"/>
      <c r="BH1629" s="1092"/>
      <c r="BI1629" s="919"/>
    </row>
    <row r="1630" spans="1:61" s="65" customFormat="1" x14ac:dyDescent="0.25">
      <c r="A1630" s="785"/>
      <c r="B1630" s="177"/>
      <c r="C1630" s="1572" t="s">
        <v>1584</v>
      </c>
      <c r="D1630" s="2045" t="s">
        <v>792</v>
      </c>
      <c r="E1630" s="884" t="str">
        <f>CONCATENATE(E1628,"_CompE")</f>
        <v>ASHP - SEER 18 - replace on fail MF_CompE</v>
      </c>
      <c r="F1630" s="999">
        <f>ROUND((($K$2297*$K$2425*(1/$K$2553-1/$K$2681)*$K$2809)/1000),2)</f>
        <v>397.26</v>
      </c>
      <c r="G1630" s="318" t="str">
        <f>G1628</f>
        <v>Cooling Res</v>
      </c>
      <c r="H1630" s="239">
        <f t="shared" ref="H1630:K1631" si="192">H1628</f>
        <v>9.4741810000000004E-4</v>
      </c>
      <c r="I1630" s="2518">
        <f t="shared" si="173"/>
        <v>0.37637100000000001</v>
      </c>
      <c r="J1630" s="156">
        <f t="shared" si="192"/>
        <v>18</v>
      </c>
      <c r="K1630" s="1085">
        <f t="shared" si="192"/>
        <v>962.92000000000007</v>
      </c>
      <c r="L1630" s="1086">
        <f>L1628</f>
        <v>3.3</v>
      </c>
      <c r="M1630" s="2089"/>
      <c r="N1630" s="2086"/>
      <c r="O1630" s="1453"/>
      <c r="P1630" s="177"/>
      <c r="Q1630" s="177"/>
      <c r="R1630" s="1894"/>
      <c r="S1630" s="177"/>
      <c r="T1630" s="177"/>
      <c r="U1630" s="2090"/>
      <c r="V1630" s="245" t="s">
        <v>20</v>
      </c>
      <c r="W1630" s="1087"/>
      <c r="X1630" s="1088"/>
      <c r="Y1630" s="1005">
        <v>397.26</v>
      </c>
      <c r="Z1630" s="1089"/>
      <c r="AA1630" s="1089"/>
      <c r="AB1630" s="1090"/>
      <c r="AC1630" s="1087"/>
      <c r="AD1630" s="1087"/>
      <c r="AE1630" s="1087"/>
      <c r="AF1630" s="1087"/>
      <c r="AG1630" s="1087"/>
      <c r="AH1630" s="248"/>
      <c r="AK1630" s="1091"/>
      <c r="BB1630" s="350">
        <f>(BD1630+BD1631)/(BE1630+BE1631)</f>
        <v>0.97538382125003487</v>
      </c>
      <c r="BC1630" s="956" t="str">
        <f t="shared" si="174"/>
        <v>Cooling Res 18 Year EUL</v>
      </c>
      <c r="BD1630" s="894">
        <f>(INDEX('Avoided Cost Benefits'!$C$4:$C$857,MATCH(BC1630,'Avoided Cost Benefits'!$A$4:$A$857,0)))*F1630</f>
        <v>700.69023747953997</v>
      </c>
      <c r="BE1630" s="74">
        <f t="shared" si="184"/>
        <v>908.84379424256724</v>
      </c>
      <c r="BG1630" s="919"/>
      <c r="BH1630" s="1095"/>
      <c r="BI1630" s="919"/>
    </row>
    <row r="1631" spans="1:61" s="65" customFormat="1" x14ac:dyDescent="0.25">
      <c r="A1631" s="785"/>
      <c r="B1631" s="177"/>
      <c r="C1631" s="1572" t="str">
        <f>C1630</f>
        <v>355001_2019_12_</v>
      </c>
      <c r="D1631" s="2045" t="s">
        <v>792</v>
      </c>
      <c r="E1631" s="892" t="str">
        <f>CONCATENATE(E1629,"_CompE")</f>
        <v>ASHP - SEER 18 - replace on fail MF_CompE</v>
      </c>
      <c r="F1631" s="999">
        <f>ROUND((($K$1785*$K$1913*(1/$K$2041-1/$K$2169)*$K$2809)/1000),2)</f>
        <v>402.11</v>
      </c>
      <c r="G1631" s="318" t="str">
        <f>G1629</f>
        <v>Heating Res</v>
      </c>
      <c r="H1631" s="239">
        <f t="shared" si="192"/>
        <v>0</v>
      </c>
      <c r="I1631" s="2518">
        <f t="shared" si="173"/>
        <v>0</v>
      </c>
      <c r="J1631" s="156">
        <f t="shared" si="192"/>
        <v>18</v>
      </c>
      <c r="K1631" s="1085">
        <f t="shared" si="192"/>
        <v>0</v>
      </c>
      <c r="L1631" s="1086"/>
      <c r="M1631" s="2089"/>
      <c r="N1631" s="2086"/>
      <c r="O1631" s="1453"/>
      <c r="P1631" s="177"/>
      <c r="Q1631" s="177"/>
      <c r="R1631" s="1894"/>
      <c r="S1631" s="177"/>
      <c r="T1631" s="177"/>
      <c r="U1631" s="2090"/>
      <c r="V1631" s="245" t="s">
        <v>20</v>
      </c>
      <c r="W1631" s="1087"/>
      <c r="X1631" s="1088"/>
      <c r="Y1631" s="1005">
        <v>402.11</v>
      </c>
      <c r="Z1631" s="1089"/>
      <c r="AA1631" s="1089"/>
      <c r="AB1631" s="1090"/>
      <c r="AC1631" s="1087"/>
      <c r="AD1631" s="1087"/>
      <c r="AE1631" s="1087"/>
      <c r="AF1631" s="1087"/>
      <c r="AG1631" s="1087"/>
      <c r="AH1631" s="248"/>
      <c r="AK1631" s="1091"/>
      <c r="BB1631" s="348"/>
      <c r="BC1631" s="1093" t="str">
        <f t="shared" si="174"/>
        <v>Heating Res 18 Year EUL</v>
      </c>
      <c r="BD1631" s="894">
        <f>(INDEX('Avoided Cost Benefits'!$C$4:$C$857,MATCH(BC1631,'Avoided Cost Benefits'!$A$4:$A$857,0)))*F1631</f>
        <v>185.78129546815566</v>
      </c>
      <c r="BE1631" s="74">
        <f t="shared" si="184"/>
        <v>0</v>
      </c>
      <c r="BG1631" s="919"/>
      <c r="BH1631" s="1095"/>
      <c r="BI1631" s="919"/>
    </row>
    <row r="1632" spans="1:61" s="65" customFormat="1" x14ac:dyDescent="0.25">
      <c r="A1632" s="785"/>
      <c r="B1632" s="177"/>
      <c r="C1632" s="1572" t="s">
        <v>1585</v>
      </c>
      <c r="D1632" s="2045" t="s">
        <v>797</v>
      </c>
      <c r="E1632" s="956" t="s">
        <v>1586</v>
      </c>
      <c r="F1632" s="999">
        <f>ROUND(((K2298*K2426*(1/K2554-1/K2682)*K2810)/1000),2)</f>
        <v>420.45</v>
      </c>
      <c r="G1632" s="318" t="s">
        <v>1367</v>
      </c>
      <c r="H1632" s="239">
        <f>VLOOKUP(G1632,'CP FACTORS'!$A$3:$B$38, 2, FALSE)</f>
        <v>9.4741810000000004E-4</v>
      </c>
      <c r="I1632" s="2046">
        <f t="shared" si="173"/>
        <v>0.39834199999999997</v>
      </c>
      <c r="J1632" s="156">
        <f>K2980</f>
        <v>18</v>
      </c>
      <c r="K1632" s="1085">
        <f>K3150</f>
        <v>1203.6500000000003</v>
      </c>
      <c r="L1632" s="1086">
        <f>L1786</f>
        <v>3.3</v>
      </c>
      <c r="M1632" s="2089"/>
      <c r="N1632" s="2086"/>
      <c r="O1632" s="1453"/>
      <c r="P1632" s="177"/>
      <c r="Q1632" s="177"/>
      <c r="R1632" s="1894"/>
      <c r="S1632" s="177"/>
      <c r="T1632" s="177"/>
      <c r="U1632" s="2090"/>
      <c r="V1632" s="245" t="s">
        <v>20</v>
      </c>
      <c r="W1632" s="1087">
        <v>420.45225563909776</v>
      </c>
      <c r="X1632" s="1096">
        <v>420.45225563909776</v>
      </c>
      <c r="Y1632" s="999">
        <v>420.45</v>
      </c>
      <c r="Z1632" s="1089"/>
      <c r="AA1632" s="1089"/>
      <c r="AB1632" s="1090"/>
      <c r="AC1632" s="1087"/>
      <c r="AD1632" s="1087"/>
      <c r="AE1632" s="1087"/>
      <c r="AF1632" s="1087"/>
      <c r="AG1632" s="1087"/>
      <c r="AH1632" s="248"/>
      <c r="AK1632" s="1091"/>
      <c r="BB1632" s="350">
        <f>(BD1632+BD1633)/(BE1632+BE1633)</f>
        <v>0.96458033470478943</v>
      </c>
      <c r="BC1632" s="956" t="str">
        <f t="shared" si="174"/>
        <v>Cooling Res 18 Year EUL</v>
      </c>
      <c r="BD1632" s="894">
        <f>(INDEX('Avoided Cost Benefits'!$C$4:$C$857,MATCH(BC1632,'Avoided Cost Benefits'!$A$4:$A$857,0)))*F1632</f>
        <v>741.59293749250514</v>
      </c>
      <c r="BE1632" s="74">
        <f t="shared" si="184"/>
        <v>1136.0547428032091</v>
      </c>
      <c r="BG1632" s="919"/>
      <c r="BH1632" s="1092"/>
      <c r="BI1632" s="919"/>
    </row>
    <row r="1633" spans="1:61" s="65" customFormat="1" x14ac:dyDescent="0.25">
      <c r="A1633" s="785"/>
      <c r="B1633" s="177"/>
      <c r="C1633" s="1572" t="s">
        <v>1585</v>
      </c>
      <c r="D1633" s="2045" t="s">
        <v>797</v>
      </c>
      <c r="E1633" s="1093" t="s">
        <v>1586</v>
      </c>
      <c r="F1633" s="999">
        <f>ROUND(((K1786*K1914*(1/K2042-1/K2170)*K2810)/1000),2)</f>
        <v>766.69</v>
      </c>
      <c r="G1633" s="318" t="s">
        <v>1369</v>
      </c>
      <c r="H1633" s="239">
        <f>VLOOKUP(G1633,'CP FACTORS'!$A$3:$B$38, 2, FALSE)</f>
        <v>0</v>
      </c>
      <c r="I1633" s="2046">
        <f t="shared" si="173"/>
        <v>0</v>
      </c>
      <c r="J1633" s="156">
        <f>K2981</f>
        <v>18</v>
      </c>
      <c r="K1633" s="1085">
        <f>K3151</f>
        <v>0</v>
      </c>
      <c r="L1633" s="1086"/>
      <c r="M1633" s="2089"/>
      <c r="N1633" s="2086"/>
      <c r="O1633" s="1453"/>
      <c r="P1633" s="177"/>
      <c r="Q1633" s="177"/>
      <c r="R1633" s="1894"/>
      <c r="S1633" s="177"/>
      <c r="T1633" s="177"/>
      <c r="U1633" s="2090"/>
      <c r="V1633" s="245" t="s">
        <v>20</v>
      </c>
      <c r="W1633" s="1087">
        <v>1029.6000000000013</v>
      </c>
      <c r="X1633" s="1088">
        <v>766.69069188651167</v>
      </c>
      <c r="Y1633" s="999">
        <v>766.69</v>
      </c>
      <c r="Z1633" s="1089"/>
      <c r="AA1633" s="1089"/>
      <c r="AB1633" s="1090"/>
      <c r="AC1633" s="1087"/>
      <c r="AD1633" s="1087"/>
      <c r="AE1633" s="1087"/>
      <c r="AF1633" s="1087"/>
      <c r="AG1633" s="1087"/>
      <c r="AH1633" s="248"/>
      <c r="AK1633" s="1091"/>
      <c r="BB1633" s="348"/>
      <c r="BC1633" s="1093" t="str">
        <f t="shared" si="174"/>
        <v>Heating Res 18 Year EUL</v>
      </c>
      <c r="BD1633" s="894">
        <f>(INDEX('Avoided Cost Benefits'!$C$4:$C$857,MATCH(BC1633,'Avoided Cost Benefits'!$A$4:$A$857,0)))*F1633</f>
        <v>354.22312656357781</v>
      </c>
      <c r="BE1633" s="74">
        <f t="shared" si="184"/>
        <v>0</v>
      </c>
      <c r="BG1633" s="919"/>
      <c r="BH1633" s="1092"/>
      <c r="BI1633" s="919"/>
    </row>
    <row r="1634" spans="1:61" s="65" customFormat="1" x14ac:dyDescent="0.25">
      <c r="A1634" s="785"/>
      <c r="B1634" s="177"/>
      <c r="C1634" s="1572" t="s">
        <v>1587</v>
      </c>
      <c r="D1634" s="2045" t="s">
        <v>792</v>
      </c>
      <c r="E1634" s="884" t="str">
        <f>CONCATENATE(E1632,"_CompE")</f>
        <v>ASHP - SEER 19 - replace on fail MF_CompE</v>
      </c>
      <c r="F1634" s="999">
        <f>ROUND((($K$2299*$K$2427*(1/$K$2555-1/$K$2683)*$K$2811)/1000),2)</f>
        <v>305.77999999999997</v>
      </c>
      <c r="G1634" s="318" t="str">
        <f>G1632</f>
        <v>Cooling Res</v>
      </c>
      <c r="H1634" s="239">
        <f t="shared" ref="H1634:K1635" si="193">H1632</f>
        <v>9.4741810000000004E-4</v>
      </c>
      <c r="I1634" s="2518">
        <f t="shared" si="173"/>
        <v>0.28970200000000002</v>
      </c>
      <c r="J1634" s="156">
        <f t="shared" si="193"/>
        <v>18</v>
      </c>
      <c r="K1634" s="1085">
        <f t="shared" si="193"/>
        <v>1203.6500000000003</v>
      </c>
      <c r="L1634" s="1086">
        <f>L1632</f>
        <v>3.3</v>
      </c>
      <c r="M1634" s="2089"/>
      <c r="N1634" s="2086"/>
      <c r="O1634" s="1453"/>
      <c r="P1634" s="177"/>
      <c r="Q1634" s="177"/>
      <c r="R1634" s="1894"/>
      <c r="S1634" s="177"/>
      <c r="T1634" s="177"/>
      <c r="U1634" s="2090"/>
      <c r="V1634" s="245" t="s">
        <v>20</v>
      </c>
      <c r="W1634" s="1087"/>
      <c r="X1634" s="1088"/>
      <c r="Y1634" s="1005">
        <v>305.77999999999997</v>
      </c>
      <c r="Z1634" s="1089"/>
      <c r="AA1634" s="1089"/>
      <c r="AB1634" s="1090"/>
      <c r="AC1634" s="1087"/>
      <c r="AD1634" s="1087"/>
      <c r="AE1634" s="1087"/>
      <c r="AF1634" s="1087"/>
      <c r="AG1634" s="1087"/>
      <c r="AH1634" s="248"/>
      <c r="AK1634" s="1091"/>
      <c r="BB1634" s="350">
        <f>(BD1634+BD1635)/(BE1634+BE1635)</f>
        <v>0.58104089126434699</v>
      </c>
      <c r="BC1634" s="956" t="str">
        <f t="shared" si="174"/>
        <v>Cooling Res 18 Year EUL</v>
      </c>
      <c r="BD1634" s="894">
        <f>(INDEX('Avoided Cost Benefits'!$C$4:$C$857,MATCH(BC1634,'Avoided Cost Benefits'!$A$4:$A$857,0)))*F1634</f>
        <v>539.33711125331956</v>
      </c>
      <c r="BE1634" s="74">
        <f t="shared" si="184"/>
        <v>1136.0547428032091</v>
      </c>
      <c r="BG1634" s="919"/>
      <c r="BH1634" s="1095"/>
      <c r="BI1634" s="919"/>
    </row>
    <row r="1635" spans="1:61" s="65" customFormat="1" x14ac:dyDescent="0.25">
      <c r="A1635" s="785"/>
      <c r="B1635" s="177"/>
      <c r="C1635" s="1572" t="str">
        <f>C1634</f>
        <v>355051_2019_12_</v>
      </c>
      <c r="D1635" s="2045" t="s">
        <v>792</v>
      </c>
      <c r="E1635" s="892" t="str">
        <f>CONCATENATE(E1633,"_CompE")</f>
        <v>ASHP - SEER 19 - replace on fail MF_CompE</v>
      </c>
      <c r="F1635" s="999">
        <f>ROUND((($K$1787*$K$1915*(1/$K$2043-1/$K$2171)*$K$2811)/1000),2)</f>
        <v>261.37</v>
      </c>
      <c r="G1635" s="318" t="str">
        <f>G1633</f>
        <v>Heating Res</v>
      </c>
      <c r="H1635" s="239">
        <f t="shared" si="193"/>
        <v>0</v>
      </c>
      <c r="I1635" s="2518">
        <f t="shared" si="173"/>
        <v>0</v>
      </c>
      <c r="J1635" s="156">
        <f t="shared" si="193"/>
        <v>18</v>
      </c>
      <c r="K1635" s="1085">
        <f t="shared" si="193"/>
        <v>0</v>
      </c>
      <c r="L1635" s="1086"/>
      <c r="M1635" s="2089"/>
      <c r="N1635" s="2086"/>
      <c r="O1635" s="1453"/>
      <c r="P1635" s="177"/>
      <c r="Q1635" s="177"/>
      <c r="R1635" s="1894"/>
      <c r="S1635" s="177"/>
      <c r="T1635" s="177"/>
      <c r="U1635" s="2090"/>
      <c r="V1635" s="245" t="s">
        <v>20</v>
      </c>
      <c r="W1635" s="1087"/>
      <c r="X1635" s="1088"/>
      <c r="Y1635" s="1005">
        <v>261.37</v>
      </c>
      <c r="Z1635" s="1089"/>
      <c r="AA1635" s="1089"/>
      <c r="AB1635" s="1090"/>
      <c r="AC1635" s="1087"/>
      <c r="AD1635" s="1087"/>
      <c r="AE1635" s="1087"/>
      <c r="AF1635" s="1087"/>
      <c r="AG1635" s="1087"/>
      <c r="AH1635" s="248"/>
      <c r="AK1635" s="1091"/>
      <c r="BB1635" s="348"/>
      <c r="BC1635" s="1093" t="str">
        <f t="shared" si="174"/>
        <v>Heating Res 18 Year EUL</v>
      </c>
      <c r="BD1635" s="894">
        <f>(INDEX('Avoided Cost Benefits'!$C$4:$C$857,MATCH(BC1635,'Avoided Cost Benefits'!$A$4:$A$857,0)))*F1635</f>
        <v>120.7571490301456</v>
      </c>
      <c r="BE1635" s="74">
        <f t="shared" si="184"/>
        <v>0</v>
      </c>
      <c r="BG1635" s="919"/>
      <c r="BH1635" s="1095"/>
      <c r="BI1635" s="919"/>
    </row>
    <row r="1636" spans="1:61" s="65" customFormat="1" x14ac:dyDescent="0.25">
      <c r="A1636" s="785"/>
      <c r="B1636" s="177"/>
      <c r="C1636" s="1572" t="s">
        <v>1588</v>
      </c>
      <c r="D1636" s="2045" t="s">
        <v>797</v>
      </c>
      <c r="E1636" s="956" t="s">
        <v>1589</v>
      </c>
      <c r="F1636" s="999">
        <f>ROUND(((K2300*K2428*(1/K2556-1/K2684)*K2812)/1000),2)</f>
        <v>479.32</v>
      </c>
      <c r="G1636" s="318" t="s">
        <v>1367</v>
      </c>
      <c r="H1636" s="239">
        <f>VLOOKUP(G1636,'CP FACTORS'!$A$3:$B$38, 2, FALSE)</f>
        <v>9.4741810000000004E-4</v>
      </c>
      <c r="I1636" s="2046">
        <f t="shared" si="173"/>
        <v>0.45411600000000002</v>
      </c>
      <c r="J1636" s="156">
        <f>K2982</f>
        <v>18</v>
      </c>
      <c r="K1636" s="1085">
        <f>K3152</f>
        <v>1444.3799999999994</v>
      </c>
      <c r="L1636" s="1086">
        <f>L1788</f>
        <v>3.3</v>
      </c>
      <c r="M1636" s="2089"/>
      <c r="N1636" s="2086"/>
      <c r="O1636" s="1453"/>
      <c r="P1636" s="177"/>
      <c r="Q1636" s="177"/>
      <c r="R1636" s="1894"/>
      <c r="S1636" s="177"/>
      <c r="T1636" s="177"/>
      <c r="U1636" s="2090"/>
      <c r="V1636" s="245" t="s">
        <v>20</v>
      </c>
      <c r="W1636" s="1087">
        <v>479.31557142857133</v>
      </c>
      <c r="X1636" s="1096">
        <v>479.31557142857133</v>
      </c>
      <c r="Y1636" s="999">
        <v>479.32</v>
      </c>
      <c r="Z1636" s="1089"/>
      <c r="AA1636" s="1089"/>
      <c r="AB1636" s="1090"/>
      <c r="AC1636" s="1087"/>
      <c r="AD1636" s="1087"/>
      <c r="AE1636" s="1087"/>
      <c r="AF1636" s="1087"/>
      <c r="AG1636" s="1087"/>
      <c r="AH1636" s="248"/>
      <c r="AK1636" s="1091"/>
      <c r="BB1636" s="350">
        <f>(BD1636+BD1637)/(BE1636+BE1637)</f>
        <v>0.87998357881258038</v>
      </c>
      <c r="BC1636" s="956" t="str">
        <f t="shared" si="174"/>
        <v>Cooling Res 18 Year EUL</v>
      </c>
      <c r="BD1636" s="894">
        <f>(INDEX('Avoided Cost Benefits'!$C$4:$C$857,MATCH(BC1636,'Avoided Cost Benefits'!$A$4:$A$857,0)))*F1636</f>
        <v>845.42829539518982</v>
      </c>
      <c r="BE1636" s="74">
        <f t="shared" si="184"/>
        <v>1363.2656913638502</v>
      </c>
      <c r="BG1636" s="919"/>
      <c r="BH1636" s="1092"/>
      <c r="BI1636" s="919"/>
    </row>
    <row r="1637" spans="1:61" s="65" customFormat="1" x14ac:dyDescent="0.25">
      <c r="A1637" s="785"/>
      <c r="B1637" s="177"/>
      <c r="C1637" s="1572" t="s">
        <v>1588</v>
      </c>
      <c r="D1637" s="2045" t="s">
        <v>797</v>
      </c>
      <c r="E1637" s="1093" t="s">
        <v>1589</v>
      </c>
      <c r="F1637" s="999">
        <f>ROUND(((K1788*K1916*(1/K2044-1/K2172)*K2812)/1000),2)</f>
        <v>766.69</v>
      </c>
      <c r="G1637" s="318" t="s">
        <v>1369</v>
      </c>
      <c r="H1637" s="239">
        <f>VLOOKUP(G1637,'CP FACTORS'!$A$3:$B$38, 2, FALSE)</f>
        <v>0</v>
      </c>
      <c r="I1637" s="2046">
        <f t="shared" si="173"/>
        <v>0</v>
      </c>
      <c r="J1637" s="156">
        <f>K2983</f>
        <v>18</v>
      </c>
      <c r="K1637" s="1085">
        <f>K3153</f>
        <v>0</v>
      </c>
      <c r="L1637" s="1086"/>
      <c r="M1637" s="2089"/>
      <c r="N1637" s="2086"/>
      <c r="O1637" s="1453"/>
      <c r="P1637" s="177"/>
      <c r="Q1637" s="177"/>
      <c r="R1637" s="1894"/>
      <c r="S1637" s="177"/>
      <c r="T1637" s="177"/>
      <c r="U1637" s="2090"/>
      <c r="V1637" s="245" t="s">
        <v>20</v>
      </c>
      <c r="W1637" s="1087">
        <v>1029.6000000000013</v>
      </c>
      <c r="X1637" s="1088">
        <v>766.69069188651167</v>
      </c>
      <c r="Y1637" s="999">
        <v>766.69</v>
      </c>
      <c r="Z1637" s="1089"/>
      <c r="AA1637" s="1089"/>
      <c r="AB1637" s="1090"/>
      <c r="AC1637" s="1087"/>
      <c r="AD1637" s="1087"/>
      <c r="AE1637" s="1087"/>
      <c r="AF1637" s="1087"/>
      <c r="AG1637" s="1087"/>
      <c r="AH1637" s="248"/>
      <c r="AK1637" s="1091"/>
      <c r="BB1637" s="348"/>
      <c r="BC1637" s="1093" t="str">
        <f t="shared" si="174"/>
        <v>Heating Res 18 Year EUL</v>
      </c>
      <c r="BD1637" s="894">
        <f>(INDEX('Avoided Cost Benefits'!$C$4:$C$857,MATCH(BC1637,'Avoided Cost Benefits'!$A$4:$A$857,0)))*F1637</f>
        <v>354.22312656357781</v>
      </c>
      <c r="BE1637" s="74">
        <f t="shared" si="184"/>
        <v>0</v>
      </c>
      <c r="BG1637" s="919"/>
      <c r="BH1637" s="1092"/>
      <c r="BI1637" s="919"/>
    </row>
    <row r="1638" spans="1:61" s="65" customFormat="1" x14ac:dyDescent="0.25">
      <c r="A1638" s="785"/>
      <c r="B1638" s="177"/>
      <c r="C1638" s="1572" t="s">
        <v>1590</v>
      </c>
      <c r="D1638" s="2045" t="s">
        <v>792</v>
      </c>
      <c r="E1638" s="884" t="str">
        <f>CONCATENATE(E1636,"_CompE")</f>
        <v>ASHP - SEER 20 - replace on fail MF_CompE</v>
      </c>
      <c r="F1638" s="999">
        <f>ROUND((($K$2301*$K$2429*(1/$K$2557-1/$K$2685)*$K$2813)/1000),2)</f>
        <v>348.59</v>
      </c>
      <c r="G1638" s="318" t="str">
        <f>G1636</f>
        <v>Cooling Res</v>
      </c>
      <c r="H1638" s="239">
        <f t="shared" ref="H1638:K1639" si="194">H1636</f>
        <v>9.4741810000000004E-4</v>
      </c>
      <c r="I1638" s="2518">
        <f t="shared" si="173"/>
        <v>0.33026</v>
      </c>
      <c r="J1638" s="156">
        <f t="shared" si="194"/>
        <v>18</v>
      </c>
      <c r="K1638" s="1085">
        <f t="shared" si="194"/>
        <v>1444.3799999999994</v>
      </c>
      <c r="L1638" s="1086">
        <f>L1636</f>
        <v>3.3</v>
      </c>
      <c r="M1638" s="2089"/>
      <c r="N1638" s="2086"/>
      <c r="O1638" s="1453"/>
      <c r="P1638" s="177"/>
      <c r="Q1638" s="177"/>
      <c r="R1638" s="1894"/>
      <c r="S1638" s="177"/>
      <c r="T1638" s="177"/>
      <c r="U1638" s="2090"/>
      <c r="V1638" s="245" t="s">
        <v>20</v>
      </c>
      <c r="W1638" s="1087"/>
      <c r="X1638" s="1088"/>
      <c r="Y1638" s="1005">
        <v>348.59</v>
      </c>
      <c r="Z1638" s="1089"/>
      <c r="AA1638" s="1089"/>
      <c r="AB1638" s="1090"/>
      <c r="AC1638" s="1087"/>
      <c r="AD1638" s="1087"/>
      <c r="AE1638" s="1087"/>
      <c r="AF1638" s="1087"/>
      <c r="AG1638" s="1087"/>
      <c r="AH1638" s="248"/>
      <c r="AK1638" s="1091"/>
      <c r="BB1638" s="350">
        <f>(BD1638+BD1639)/(BE1638+BE1639)</f>
        <v>0.5395887768356824</v>
      </c>
      <c r="BC1638" s="956" t="str">
        <f t="shared" si="174"/>
        <v>Cooling Res 18 Year EUL</v>
      </c>
      <c r="BD1638" s="894">
        <f>(INDEX('Avoided Cost Benefits'!$C$4:$C$857,MATCH(BC1638,'Avoided Cost Benefits'!$A$4:$A$857,0)))*F1638</f>
        <v>614.8457178749253</v>
      </c>
      <c r="BE1638" s="74">
        <f t="shared" si="184"/>
        <v>1363.2656913638502</v>
      </c>
      <c r="BG1638" s="919"/>
      <c r="BH1638" s="1095"/>
      <c r="BI1638" s="919"/>
    </row>
    <row r="1639" spans="1:61" s="65" customFormat="1" x14ac:dyDescent="0.25">
      <c r="A1639" s="785"/>
      <c r="B1639" s="177"/>
      <c r="C1639" s="1572" t="str">
        <f>C1638</f>
        <v>355101_2019_12_</v>
      </c>
      <c r="D1639" s="2045" t="s">
        <v>792</v>
      </c>
      <c r="E1639" s="892" t="str">
        <f>CONCATENATE(E1637,"_CompE")</f>
        <v>ASHP - SEER 20 - replace on fail MF_CompE</v>
      </c>
      <c r="F1639" s="999">
        <f>ROUND((($K$1789*$K$1917*(1/$K$2045-1/$K$2173)*$K$2813)/1000),2)</f>
        <v>261.37</v>
      </c>
      <c r="G1639" s="318" t="str">
        <f>G1637</f>
        <v>Heating Res</v>
      </c>
      <c r="H1639" s="239">
        <f t="shared" si="194"/>
        <v>0</v>
      </c>
      <c r="I1639" s="2518">
        <f t="shared" si="173"/>
        <v>0</v>
      </c>
      <c r="J1639" s="156">
        <f t="shared" si="194"/>
        <v>18</v>
      </c>
      <c r="K1639" s="1085">
        <f t="shared" si="194"/>
        <v>0</v>
      </c>
      <c r="L1639" s="1086"/>
      <c r="M1639" s="2089"/>
      <c r="N1639" s="2086"/>
      <c r="O1639" s="1453"/>
      <c r="P1639" s="177"/>
      <c r="Q1639" s="177"/>
      <c r="R1639" s="1894"/>
      <c r="S1639" s="177"/>
      <c r="T1639" s="177"/>
      <c r="U1639" s="2090"/>
      <c r="V1639" s="245" t="s">
        <v>20</v>
      </c>
      <c r="W1639" s="1087"/>
      <c r="X1639" s="1088"/>
      <c r="Y1639" s="1005">
        <v>261.37</v>
      </c>
      <c r="Z1639" s="1089"/>
      <c r="AA1639" s="1089"/>
      <c r="AB1639" s="1090"/>
      <c r="AC1639" s="1087"/>
      <c r="AD1639" s="1087"/>
      <c r="AE1639" s="1087"/>
      <c r="AF1639" s="1087"/>
      <c r="AG1639" s="1087"/>
      <c r="AH1639" s="248"/>
      <c r="AK1639" s="1091"/>
      <c r="BB1639" s="348"/>
      <c r="BC1639" s="1093" t="str">
        <f t="shared" si="174"/>
        <v>Heating Res 18 Year EUL</v>
      </c>
      <c r="BD1639" s="894">
        <f>(INDEX('Avoided Cost Benefits'!$C$4:$C$857,MATCH(BC1639,'Avoided Cost Benefits'!$A$4:$A$857,0)))*F1639</f>
        <v>120.7571490301456</v>
      </c>
      <c r="BE1639" s="74">
        <f t="shared" si="184"/>
        <v>0</v>
      </c>
      <c r="BG1639" s="919"/>
      <c r="BH1639" s="1095"/>
      <c r="BI1639" s="919"/>
    </row>
    <row r="1640" spans="1:61" s="65" customFormat="1" x14ac:dyDescent="0.25">
      <c r="A1640" s="785"/>
      <c r="B1640" s="177"/>
      <c r="C1640" s="1572" t="s">
        <v>1591</v>
      </c>
      <c r="D1640" s="2045" t="s">
        <v>797</v>
      </c>
      <c r="E1640" s="956" t="s">
        <v>1592</v>
      </c>
      <c r="F1640" s="999">
        <f>ROUND(((K2302*K2430*(1/K2558-1/K2686)*K2814)/1000),2)</f>
        <v>532.57000000000005</v>
      </c>
      <c r="G1640" s="318" t="s">
        <v>1367</v>
      </c>
      <c r="H1640" s="239">
        <f>VLOOKUP(G1640,'CP FACTORS'!$A$3:$B$38, 2, FALSE)</f>
        <v>9.4741810000000004E-4</v>
      </c>
      <c r="I1640" s="2046">
        <f t="shared" si="173"/>
        <v>0.50456599999999996</v>
      </c>
      <c r="J1640" s="156">
        <f t="shared" ref="J1640:J1641" si="195">K2984</f>
        <v>18</v>
      </c>
      <c r="K1640" s="1085">
        <f t="shared" ref="K1640:K1641" si="196">K3154</f>
        <v>1689.9245999999991</v>
      </c>
      <c r="L1640" s="1086">
        <f>L1790</f>
        <v>3.3</v>
      </c>
      <c r="M1640" s="2089"/>
      <c r="N1640" s="2086"/>
      <c r="O1640" s="1453"/>
      <c r="P1640" s="177"/>
      <c r="Q1640" s="177"/>
      <c r="R1640" s="1894"/>
      <c r="S1640" s="177"/>
      <c r="T1640" s="177"/>
      <c r="U1640" s="2090"/>
      <c r="V1640" s="245" t="s">
        <v>20</v>
      </c>
      <c r="W1640" s="1087">
        <v>532.57285714285706</v>
      </c>
      <c r="X1640" s="1096">
        <v>532.57285714285706</v>
      </c>
      <c r="Y1640" s="999">
        <v>532.57000000000005</v>
      </c>
      <c r="Z1640" s="1089"/>
      <c r="AA1640" s="1089"/>
      <c r="AB1640" s="1090"/>
      <c r="AC1640" s="1087"/>
      <c r="AD1640" s="1087"/>
      <c r="AE1640" s="1087"/>
      <c r="AF1640" s="1087"/>
      <c r="AG1640" s="1087"/>
      <c r="AH1640" s="248"/>
      <c r="AK1640" s="1091"/>
      <c r="BB1640" s="350">
        <f>(BD1640+BD1641)/(BE1640+BE1641)</f>
        <v>0.81100768902567399</v>
      </c>
      <c r="BC1640" s="956" t="str">
        <f t="shared" si="174"/>
        <v>Cooling Res 18 Year EUL</v>
      </c>
      <c r="BD1640" s="894">
        <f>(INDEX('Avoided Cost Benefits'!$C$4:$C$857,MATCH(BC1640,'Avoided Cost Benefits'!$A$4:$A$857,0)))*F1640</f>
        <v>939.35105415717328</v>
      </c>
      <c r="BE1640" s="74">
        <f t="shared" si="184"/>
        <v>1595.0208588957046</v>
      </c>
      <c r="BG1640" s="919"/>
      <c r="BH1640" s="1092"/>
      <c r="BI1640" s="919"/>
    </row>
    <row r="1641" spans="1:61" s="65" customFormat="1" x14ac:dyDescent="0.25">
      <c r="A1641" s="785"/>
      <c r="B1641" s="177"/>
      <c r="C1641" s="1572" t="s">
        <v>1591</v>
      </c>
      <c r="D1641" s="2045" t="s">
        <v>797</v>
      </c>
      <c r="E1641" s="1093" t="s">
        <v>1592</v>
      </c>
      <c r="F1641" s="999">
        <f>ROUND(((K1790*K1918*(1/K2046-1/K2174)*K2814)/1000),2)</f>
        <v>766.69</v>
      </c>
      <c r="G1641" s="318" t="s">
        <v>1369</v>
      </c>
      <c r="H1641" s="239">
        <f>VLOOKUP(G1641,'CP FACTORS'!$A$3:$B$38, 2, FALSE)</f>
        <v>0</v>
      </c>
      <c r="I1641" s="2046">
        <f t="shared" si="173"/>
        <v>0</v>
      </c>
      <c r="J1641" s="156">
        <f t="shared" si="195"/>
        <v>18</v>
      </c>
      <c r="K1641" s="1085">
        <f t="shared" si="196"/>
        <v>0</v>
      </c>
      <c r="L1641" s="1086"/>
      <c r="M1641" s="2089"/>
      <c r="N1641" s="2086"/>
      <c r="O1641" s="1453"/>
      <c r="P1641" s="177"/>
      <c r="Q1641" s="177"/>
      <c r="R1641" s="1894"/>
      <c r="S1641" s="177"/>
      <c r="T1641" s="177"/>
      <c r="U1641" s="2090"/>
      <c r="V1641" s="245" t="s">
        <v>20</v>
      </c>
      <c r="W1641" s="1087">
        <v>1029.6000000000013</v>
      </c>
      <c r="X1641" s="1088">
        <v>766.69069188651167</v>
      </c>
      <c r="Y1641" s="999">
        <v>766.69</v>
      </c>
      <c r="Z1641" s="1089"/>
      <c r="AA1641" s="1089"/>
      <c r="AB1641" s="1090"/>
      <c r="AC1641" s="1087"/>
      <c r="AD1641" s="1087"/>
      <c r="AE1641" s="1087"/>
      <c r="AF1641" s="1087"/>
      <c r="AG1641" s="1087"/>
      <c r="AH1641" s="248"/>
      <c r="AK1641" s="1091"/>
      <c r="BB1641" s="348"/>
      <c r="BC1641" s="1093" t="str">
        <f t="shared" si="174"/>
        <v>Heating Res 18 Year EUL</v>
      </c>
      <c r="BD1641" s="894">
        <f>(INDEX('Avoided Cost Benefits'!$C$4:$C$857,MATCH(BC1641,'Avoided Cost Benefits'!$A$4:$A$857,0)))*F1641</f>
        <v>354.22312656357781</v>
      </c>
      <c r="BE1641" s="74">
        <f t="shared" si="184"/>
        <v>0</v>
      </c>
      <c r="BG1641" s="919"/>
      <c r="BH1641" s="1092"/>
      <c r="BI1641" s="919"/>
    </row>
    <row r="1642" spans="1:61" s="65" customFormat="1" x14ac:dyDescent="0.25">
      <c r="A1642" s="785"/>
      <c r="B1642" s="177"/>
      <c r="C1642" s="1572" t="s">
        <v>1593</v>
      </c>
      <c r="D1642" s="2045" t="s">
        <v>792</v>
      </c>
      <c r="E1642" s="884" t="str">
        <f>CONCATENATE(E1640,"_CompE")</f>
        <v>ASHP - SEER 21 - replace on fail MF_CompE</v>
      </c>
      <c r="F1642" s="999">
        <f>ROUND((($K$2303*$K$2431*(1/$K$2559-1/$K$2687)*$K$2815)/1000),2)</f>
        <v>387.33</v>
      </c>
      <c r="G1642" s="318" t="str">
        <f>G1640</f>
        <v>Cooling Res</v>
      </c>
      <c r="H1642" s="239">
        <f t="shared" ref="H1642:K1643" si="197">H1640</f>
        <v>9.4741810000000004E-4</v>
      </c>
      <c r="I1642" s="2518">
        <f t="shared" ref="I1642:I1643" si="198">ROUND(F1642*H1642,6)</f>
        <v>0.36696299999999998</v>
      </c>
      <c r="J1642" s="156">
        <f t="shared" si="197"/>
        <v>18</v>
      </c>
      <c r="K1642" s="1085">
        <f t="shared" si="197"/>
        <v>1689.9245999999991</v>
      </c>
      <c r="L1642" s="1086">
        <f>L1640</f>
        <v>3.3</v>
      </c>
      <c r="M1642" s="2089"/>
      <c r="N1642" s="2086"/>
      <c r="O1642" s="1453"/>
      <c r="P1642" s="177"/>
      <c r="Q1642" s="177"/>
      <c r="R1642" s="1894"/>
      <c r="S1642" s="177"/>
      <c r="T1642" s="177"/>
      <c r="U1642" s="2090"/>
      <c r="V1642" s="245" t="s">
        <v>20</v>
      </c>
      <c r="W1642" s="1087"/>
      <c r="X1642" s="1096"/>
      <c r="Y1642" s="1005">
        <v>387.33</v>
      </c>
      <c r="Z1642" s="1089"/>
      <c r="AA1642" s="1089"/>
      <c r="AB1642" s="1090"/>
      <c r="AC1642" s="1087"/>
      <c r="AD1642" s="1087"/>
      <c r="AE1642" s="1087"/>
      <c r="AF1642" s="1087"/>
      <c r="AG1642" s="1087"/>
      <c r="AH1642" s="248"/>
      <c r="AK1642" s="1091"/>
      <c r="BB1642" s="350">
        <f>(BD1642+BD1643)/(BE1642+BE1643)</f>
        <v>0.5040264970834335</v>
      </c>
      <c r="BC1642" s="956" t="str">
        <f t="shared" ref="BC1642:BC1643" si="199">CONCATENATE(G1642," ",J1642," Year EUL")</f>
        <v>Cooling Res 18 Year EUL</v>
      </c>
      <c r="BD1642" s="894">
        <f>(INDEX('Avoided Cost Benefits'!$C$4:$C$857,MATCH(BC1642,'Avoided Cost Benefits'!$A$4:$A$857,0)))*F1642</f>
        <v>683.17562725406594</v>
      </c>
      <c r="BE1642" s="74">
        <f t="shared" si="184"/>
        <v>1595.0208588957046</v>
      </c>
      <c r="BG1642" s="919"/>
      <c r="BH1642" s="1095"/>
      <c r="BI1642" s="919"/>
    </row>
    <row r="1643" spans="1:61" s="65" customFormat="1" x14ac:dyDescent="0.25">
      <c r="A1643" s="785"/>
      <c r="B1643" s="177"/>
      <c r="C1643" s="1572" t="str">
        <f>C1642</f>
        <v>355151_2019_12_</v>
      </c>
      <c r="D1643" s="2045" t="s">
        <v>792</v>
      </c>
      <c r="E1643" s="892" t="str">
        <f>CONCATENATE(E1641,"_CompE")</f>
        <v>ASHP - SEER 21 - replace on fail MF_CompE</v>
      </c>
      <c r="F1643" s="999">
        <f>ROUND((($K$1791*$K$1919*(1/$K$2047-1/$K$2175)*$K$2815)/1000),2)</f>
        <v>261.37</v>
      </c>
      <c r="G1643" s="318" t="str">
        <f>G1641</f>
        <v>Heating Res</v>
      </c>
      <c r="H1643" s="239">
        <f t="shared" si="197"/>
        <v>0</v>
      </c>
      <c r="I1643" s="2518">
        <f t="shared" si="198"/>
        <v>0</v>
      </c>
      <c r="J1643" s="156">
        <f t="shared" si="197"/>
        <v>18</v>
      </c>
      <c r="K1643" s="1085">
        <f t="shared" si="197"/>
        <v>0</v>
      </c>
      <c r="L1643" s="1086"/>
      <c r="M1643" s="2089"/>
      <c r="N1643" s="2086"/>
      <c r="O1643" s="1453"/>
      <c r="P1643" s="177"/>
      <c r="Q1643" s="177"/>
      <c r="R1643" s="1894"/>
      <c r="S1643" s="177"/>
      <c r="T1643" s="177"/>
      <c r="U1643" s="2090"/>
      <c r="V1643" s="245" t="s">
        <v>20</v>
      </c>
      <c r="W1643" s="1087"/>
      <c r="X1643" s="1088"/>
      <c r="Y1643" s="1005">
        <v>261.37</v>
      </c>
      <c r="Z1643" s="1089"/>
      <c r="AA1643" s="1089"/>
      <c r="AB1643" s="1090"/>
      <c r="AC1643" s="1087"/>
      <c r="AD1643" s="1087"/>
      <c r="AE1643" s="1087"/>
      <c r="AF1643" s="1087"/>
      <c r="AG1643" s="1087"/>
      <c r="AH1643" s="248"/>
      <c r="AK1643" s="1091"/>
      <c r="BB1643" s="352"/>
      <c r="BC1643" s="1093" t="str">
        <f t="shared" si="199"/>
        <v>Heating Res 18 Year EUL</v>
      </c>
      <c r="BD1643" s="899">
        <f>(INDEX('Avoided Cost Benefits'!$C$4:$C$857,MATCH(BC1643,'Avoided Cost Benefits'!$A$4:$A$857,0)))*F1643</f>
        <v>120.7571490301456</v>
      </c>
      <c r="BE1643" s="76">
        <f t="shared" si="184"/>
        <v>0</v>
      </c>
      <c r="BG1643" s="919"/>
      <c r="BH1643" s="1095"/>
      <c r="BI1643" s="919"/>
    </row>
    <row r="1644" spans="1:61" s="65" customFormat="1" hidden="1" outlineLevel="1" x14ac:dyDescent="0.25">
      <c r="A1644" s="785"/>
      <c r="B1644" s="177"/>
      <c r="C1644" s="455"/>
      <c r="D1644" s="456"/>
      <c r="E1644" s="456" t="s">
        <v>1362</v>
      </c>
      <c r="F1644" s="1965"/>
      <c r="G1644" s="2072"/>
      <c r="H1644" s="455"/>
      <c r="I1644" s="455"/>
      <c r="J1644" s="455"/>
      <c r="K1644" s="455"/>
      <c r="L1644" s="455"/>
      <c r="M1644" s="455"/>
      <c r="N1644" s="2094"/>
      <c r="O1644" s="177"/>
      <c r="P1644" s="177"/>
      <c r="Q1644" s="456"/>
      <c r="R1644" s="177"/>
      <c r="S1644" s="177"/>
      <c r="T1644" s="177"/>
      <c r="U1644" s="177"/>
      <c r="BB1644" s="784"/>
      <c r="BC1644" s="1099"/>
      <c r="BD1644" s="900"/>
      <c r="BE1644" s="797"/>
    </row>
    <row r="1645" spans="1:61" s="65" customFormat="1" hidden="1" outlineLevel="1" x14ac:dyDescent="0.25">
      <c r="A1645" s="785"/>
      <c r="B1645" s="177"/>
      <c r="C1645" s="455"/>
      <c r="D1645" s="456"/>
      <c r="E1645" s="456"/>
      <c r="F1645" s="1965"/>
      <c r="G1645" s="2072"/>
      <c r="H1645" s="455"/>
      <c r="I1645" s="455"/>
      <c r="J1645" s="455"/>
      <c r="K1645" s="455"/>
      <c r="L1645" s="455"/>
      <c r="M1645" s="455"/>
      <c r="N1645" s="177"/>
      <c r="O1645" s="177"/>
      <c r="P1645" s="177"/>
      <c r="Q1645" s="456"/>
      <c r="R1645" s="177"/>
      <c r="S1645" s="177"/>
      <c r="T1645" s="177"/>
      <c r="U1645" s="177"/>
      <c r="BB1645" s="784"/>
      <c r="BC1645" s="785"/>
      <c r="BD1645" s="900"/>
      <c r="BE1645" s="797"/>
    </row>
    <row r="1646" spans="1:61" s="65" customFormat="1" hidden="1" outlineLevel="1" x14ac:dyDescent="0.25">
      <c r="A1646" s="785"/>
      <c r="B1646" s="177"/>
      <c r="C1646" s="455"/>
      <c r="D1646" s="259" t="s">
        <v>617</v>
      </c>
      <c r="E1646" s="901"/>
      <c r="F1646" s="177"/>
      <c r="G1646" s="456"/>
      <c r="H1646" s="177"/>
      <c r="I1646" s="493"/>
      <c r="J1646" s="177"/>
      <c r="K1646" s="177"/>
      <c r="L1646" s="177"/>
      <c r="M1646" s="177"/>
      <c r="N1646" s="177"/>
      <c r="O1646" s="177"/>
      <c r="P1646" s="177"/>
      <c r="Q1646" s="177"/>
      <c r="R1646" s="177"/>
      <c r="S1646" s="177"/>
      <c r="T1646" s="177"/>
      <c r="U1646" s="177"/>
      <c r="BB1646" s="784"/>
      <c r="BC1646" s="785"/>
      <c r="BD1646" s="900"/>
      <c r="BE1646" s="797"/>
    </row>
    <row r="1647" spans="1:61" s="65" customFormat="1" hidden="1" outlineLevel="1" x14ac:dyDescent="0.25">
      <c r="A1647" s="785"/>
      <c r="B1647" s="177"/>
      <c r="C1647" s="455"/>
      <c r="D1647" s="456"/>
      <c r="E1647" s="456"/>
      <c r="F1647" s="177"/>
      <c r="G1647" s="711"/>
      <c r="H1647" s="455"/>
      <c r="I1647" s="493"/>
      <c r="J1647" s="177"/>
      <c r="K1647" s="177"/>
      <c r="L1647" s="177"/>
      <c r="M1647" s="177"/>
      <c r="N1647" s="177"/>
      <c r="O1647" s="177"/>
      <c r="P1647" s="177"/>
      <c r="Q1647" s="177"/>
      <c r="R1647" s="177"/>
      <c r="S1647" s="177"/>
      <c r="T1647" s="177"/>
      <c r="U1647" s="177"/>
      <c r="BB1647" s="784"/>
      <c r="BC1647" s="785"/>
      <c r="BD1647" s="900"/>
      <c r="BE1647" s="797"/>
    </row>
    <row r="1648" spans="1:61" s="65" customFormat="1" hidden="1" outlineLevel="1" x14ac:dyDescent="0.25">
      <c r="A1648" s="785"/>
      <c r="B1648" s="177"/>
      <c r="C1648" s="455"/>
      <c r="D1648" s="456"/>
      <c r="E1648" s="901"/>
      <c r="F1648" s="911"/>
      <c r="G1648" s="711"/>
      <c r="H1648" s="455"/>
      <c r="I1648" s="493"/>
      <c r="J1648" s="177"/>
      <c r="K1648" s="177"/>
      <c r="L1648" s="177"/>
      <c r="M1648" s="177"/>
      <c r="N1648" s="177"/>
      <c r="O1648" s="177"/>
      <c r="P1648" s="177"/>
      <c r="Q1648" s="177"/>
      <c r="R1648" s="177"/>
      <c r="S1648" s="177"/>
      <c r="T1648" s="177"/>
      <c r="U1648" s="177"/>
      <c r="BB1648" s="784"/>
      <c r="BC1648" s="785"/>
      <c r="BD1648" s="900"/>
      <c r="BE1648" s="797"/>
    </row>
    <row r="1649" spans="1:57" s="65" customFormat="1" hidden="1" outlineLevel="1" x14ac:dyDescent="0.25">
      <c r="A1649" s="785"/>
      <c r="B1649" s="177"/>
      <c r="C1649" s="455"/>
      <c r="D1649" s="456"/>
      <c r="E1649" s="901"/>
      <c r="F1649" s="911"/>
      <c r="G1649" s="711"/>
      <c r="H1649" s="455"/>
      <c r="I1649" s="493"/>
      <c r="J1649" s="177"/>
      <c r="K1649" s="177"/>
      <c r="L1649" s="177"/>
      <c r="M1649" s="177"/>
      <c r="N1649" s="177"/>
      <c r="O1649" s="177"/>
      <c r="P1649" s="177"/>
      <c r="Q1649" s="698"/>
      <c r="R1649" s="698"/>
      <c r="S1649" s="698"/>
      <c r="T1649" s="698"/>
      <c r="U1649" s="177"/>
      <c r="BB1649" s="784"/>
      <c r="BC1649" s="785"/>
      <c r="BD1649" s="900"/>
      <c r="BE1649" s="797"/>
    </row>
    <row r="1650" spans="1:57" s="65" customFormat="1" hidden="1" outlineLevel="1" x14ac:dyDescent="0.25">
      <c r="A1650" s="785"/>
      <c r="B1650" s="177"/>
      <c r="C1650" s="455"/>
      <c r="D1650" s="456"/>
      <c r="E1650" s="901"/>
      <c r="F1650" s="911"/>
      <c r="G1650" s="711"/>
      <c r="H1650" s="455"/>
      <c r="I1650" s="493"/>
      <c r="J1650" s="177"/>
      <c r="K1650" s="177"/>
      <c r="L1650" s="177"/>
      <c r="M1650" s="177"/>
      <c r="N1650" s="177"/>
      <c r="O1650" s="177"/>
      <c r="P1650" s="177"/>
      <c r="Q1650" s="698"/>
      <c r="R1650" s="698"/>
      <c r="S1650" s="698"/>
      <c r="T1650" s="698"/>
      <c r="U1650" s="177"/>
      <c r="BB1650" s="784"/>
      <c r="BC1650" s="785"/>
      <c r="BD1650" s="900"/>
      <c r="BE1650" s="797"/>
    </row>
    <row r="1651" spans="1:57" s="65" customFormat="1" hidden="1" outlineLevel="1" x14ac:dyDescent="0.25">
      <c r="A1651" s="785"/>
      <c r="B1651" s="177"/>
      <c r="C1651" s="455"/>
      <c r="D1651" s="456"/>
      <c r="E1651" s="901"/>
      <c r="F1651" s="911"/>
      <c r="G1651" s="711"/>
      <c r="H1651" s="455"/>
      <c r="I1651" s="493"/>
      <c r="J1651" s="177"/>
      <c r="K1651" s="177"/>
      <c r="L1651" s="177"/>
      <c r="M1651" s="177"/>
      <c r="N1651" s="177"/>
      <c r="O1651" s="177"/>
      <c r="P1651" s="177"/>
      <c r="Q1651" s="698"/>
      <c r="R1651" s="698"/>
      <c r="S1651" s="698"/>
      <c r="T1651" s="698"/>
      <c r="U1651" s="177"/>
      <c r="BB1651" s="784"/>
      <c r="BC1651" s="785"/>
      <c r="BD1651" s="900"/>
      <c r="BE1651" s="797"/>
    </row>
    <row r="1652" spans="1:57" s="65" customFormat="1" hidden="1" outlineLevel="1" x14ac:dyDescent="0.25">
      <c r="A1652" s="785"/>
      <c r="B1652" s="177"/>
      <c r="C1652" s="455"/>
      <c r="D1652" s="456" t="s">
        <v>1254</v>
      </c>
      <c r="E1652" s="901"/>
      <c r="F1652" s="911"/>
      <c r="G1652" s="711"/>
      <c r="H1652" s="455"/>
      <c r="I1652" s="493"/>
      <c r="J1652" s="177"/>
      <c r="K1652" s="177"/>
      <c r="L1652" s="177"/>
      <c r="M1652" s="177"/>
      <c r="N1652" s="177"/>
      <c r="O1652" s="177"/>
      <c r="P1652" s="177"/>
      <c r="Q1652" s="698"/>
      <c r="R1652" s="1100"/>
      <c r="S1652" s="2519"/>
      <c r="T1652" s="698"/>
      <c r="U1652" s="177"/>
      <c r="BB1652" s="784"/>
      <c r="BC1652" s="785"/>
      <c r="BD1652" s="900"/>
      <c r="BE1652" s="797"/>
    </row>
    <row r="1653" spans="1:57" s="65" customFormat="1" hidden="1" outlineLevel="1" x14ac:dyDescent="0.25">
      <c r="A1653" s="785"/>
      <c r="B1653" s="177"/>
      <c r="C1653" s="455"/>
      <c r="D1653" s="456"/>
      <c r="E1653" s="901"/>
      <c r="F1653" s="911"/>
      <c r="G1653" s="711"/>
      <c r="H1653" s="455"/>
      <c r="I1653" s="493"/>
      <c r="J1653" s="177"/>
      <c r="K1653" s="177"/>
      <c r="L1653" s="177"/>
      <c r="M1653" s="177"/>
      <c r="N1653" s="177"/>
      <c r="O1653" s="177"/>
      <c r="P1653" s="177"/>
      <c r="Q1653" s="698"/>
      <c r="R1653" s="1100"/>
      <c r="S1653" s="2095"/>
      <c r="T1653" s="698"/>
      <c r="U1653" s="177"/>
      <c r="BB1653" s="784"/>
      <c r="BC1653" s="785"/>
      <c r="BD1653" s="900"/>
      <c r="BE1653" s="797"/>
    </row>
    <row r="1654" spans="1:57" s="65" customFormat="1" hidden="1" outlineLevel="1" x14ac:dyDescent="0.25">
      <c r="A1654" s="785"/>
      <c r="B1654" s="177"/>
      <c r="C1654" s="455"/>
      <c r="D1654" s="456"/>
      <c r="E1654" s="901"/>
      <c r="F1654" s="911"/>
      <c r="G1654" s="711"/>
      <c r="H1654" s="455"/>
      <c r="I1654" s="493"/>
      <c r="J1654" s="177"/>
      <c r="K1654" s="177"/>
      <c r="L1654" s="177"/>
      <c r="M1654" s="177"/>
      <c r="N1654" s="177"/>
      <c r="O1654" s="177"/>
      <c r="P1654" s="177"/>
      <c r="Q1654" s="698"/>
      <c r="R1654" s="1100"/>
      <c r="S1654" s="2095"/>
      <c r="T1654" s="698"/>
      <c r="U1654" s="177"/>
      <c r="BB1654" s="784"/>
      <c r="BC1654" s="785"/>
      <c r="BD1654" s="900"/>
      <c r="BE1654" s="797"/>
    </row>
    <row r="1655" spans="1:57" s="65" customFormat="1" hidden="1" outlineLevel="1" x14ac:dyDescent="0.25">
      <c r="A1655" s="785"/>
      <c r="B1655" s="177"/>
      <c r="C1655" s="455"/>
      <c r="D1655" s="456"/>
      <c r="E1655" s="901"/>
      <c r="F1655" s="911"/>
      <c r="G1655" s="711"/>
      <c r="H1655" s="455"/>
      <c r="I1655" s="493"/>
      <c r="J1655" s="177"/>
      <c r="K1655" s="177"/>
      <c r="L1655" s="177"/>
      <c r="M1655" s="177"/>
      <c r="N1655" s="177"/>
      <c r="O1655" s="177"/>
      <c r="P1655" s="177"/>
      <c r="Q1655" s="698"/>
      <c r="R1655" s="1100"/>
      <c r="S1655" s="2095"/>
      <c r="T1655" s="698"/>
      <c r="U1655" s="177"/>
      <c r="BB1655" s="784"/>
      <c r="BC1655" s="785"/>
      <c r="BD1655" s="900"/>
      <c r="BE1655" s="797"/>
    </row>
    <row r="1656" spans="1:57" s="65" customFormat="1" hidden="1" outlineLevel="1" x14ac:dyDescent="0.25">
      <c r="A1656" s="785"/>
      <c r="B1656" s="177"/>
      <c r="C1656" s="455"/>
      <c r="D1656" s="456"/>
      <c r="E1656" s="901"/>
      <c r="F1656" s="911"/>
      <c r="G1656" s="711"/>
      <c r="H1656" s="455"/>
      <c r="I1656" s="493"/>
      <c r="J1656" s="177"/>
      <c r="K1656" s="177"/>
      <c r="L1656" s="177"/>
      <c r="M1656" s="177"/>
      <c r="N1656" s="177"/>
      <c r="O1656" s="177"/>
      <c r="P1656" s="177"/>
      <c r="Q1656" s="698"/>
      <c r="R1656" s="1100"/>
      <c r="S1656" s="2095"/>
      <c r="T1656" s="698"/>
      <c r="U1656" s="177"/>
      <c r="BB1656" s="784"/>
      <c r="BC1656" s="785"/>
      <c r="BD1656" s="900"/>
      <c r="BE1656" s="797"/>
    </row>
    <row r="1657" spans="1:57" s="65" customFormat="1" hidden="1" outlineLevel="1" x14ac:dyDescent="0.25">
      <c r="A1657" s="785"/>
      <c r="B1657" s="177"/>
      <c r="C1657" s="455"/>
      <c r="D1657" s="456"/>
      <c r="E1657" s="456"/>
      <c r="F1657" s="911"/>
      <c r="G1657" s="711"/>
      <c r="H1657" s="455"/>
      <c r="I1657" s="493"/>
      <c r="J1657" s="177"/>
      <c r="K1657" s="177"/>
      <c r="L1657" s="177"/>
      <c r="M1657" s="177"/>
      <c r="N1657" s="177"/>
      <c r="O1657" s="177"/>
      <c r="P1657" s="177"/>
      <c r="Q1657" s="698"/>
      <c r="R1657" s="1100"/>
      <c r="S1657" s="2095"/>
      <c r="T1657" s="698"/>
      <c r="U1657" s="177"/>
      <c r="V1657" s="1101"/>
      <c r="BB1657" s="784"/>
      <c r="BC1657" s="785"/>
      <c r="BD1657" s="900"/>
      <c r="BE1657" s="797"/>
    </row>
    <row r="1658" spans="1:57" s="65" customFormat="1" hidden="1" outlineLevel="1" x14ac:dyDescent="0.25">
      <c r="A1658" s="785"/>
      <c r="B1658" s="177"/>
      <c r="C1658" s="455"/>
      <c r="D1658" s="456" t="s">
        <v>1341</v>
      </c>
      <c r="E1658" s="456"/>
      <c r="F1658" s="911"/>
      <c r="G1658" s="711"/>
      <c r="H1658" s="455"/>
      <c r="I1658" s="493"/>
      <c r="J1658" s="177"/>
      <c r="K1658" s="177"/>
      <c r="L1658" s="177"/>
      <c r="M1658" s="177"/>
      <c r="N1658" s="177"/>
      <c r="O1658" s="177"/>
      <c r="P1658" s="177"/>
      <c r="Q1658" s="698"/>
      <c r="R1658" s="1100"/>
      <c r="S1658" s="2095"/>
      <c r="T1658" s="698"/>
      <c r="U1658" s="177"/>
      <c r="BB1658" s="784"/>
      <c r="BC1658" s="785"/>
      <c r="BD1658" s="900"/>
      <c r="BE1658" s="797"/>
    </row>
    <row r="1659" spans="1:57" s="65" customFormat="1" hidden="1" outlineLevel="1" x14ac:dyDescent="0.25">
      <c r="A1659" s="785"/>
      <c r="B1659" s="177"/>
      <c r="C1659" s="455"/>
      <c r="D1659" s="456"/>
      <c r="E1659" s="456"/>
      <c r="F1659" s="911"/>
      <c r="G1659" s="711"/>
      <c r="H1659" s="455"/>
      <c r="I1659" s="493"/>
      <c r="J1659" s="177"/>
      <c r="K1659" s="177"/>
      <c r="L1659" s="177"/>
      <c r="M1659" s="177"/>
      <c r="N1659" s="177"/>
      <c r="O1659" s="177"/>
      <c r="P1659" s="177"/>
      <c r="Q1659" s="698"/>
      <c r="R1659" s="1100"/>
      <c r="S1659" s="698"/>
      <c r="T1659" s="698"/>
      <c r="U1659" s="177"/>
      <c r="W1659" s="1101"/>
      <c r="BB1659" s="784"/>
      <c r="BC1659" s="785"/>
      <c r="BD1659" s="900"/>
      <c r="BE1659" s="797"/>
    </row>
    <row r="1660" spans="1:57" s="65" customFormat="1" hidden="1" outlineLevel="1" x14ac:dyDescent="0.25">
      <c r="A1660" s="785"/>
      <c r="B1660" s="177"/>
      <c r="C1660" s="455"/>
      <c r="D1660" s="456"/>
      <c r="E1660" s="456"/>
      <c r="F1660" s="911"/>
      <c r="G1660" s="711"/>
      <c r="H1660" s="455"/>
      <c r="I1660" s="177"/>
      <c r="J1660" s="177"/>
      <c r="K1660" s="177"/>
      <c r="L1660" s="177"/>
      <c r="M1660" s="177"/>
      <c r="N1660" s="177"/>
      <c r="O1660" s="177"/>
      <c r="P1660" s="177"/>
      <c r="Q1660" s="698"/>
      <c r="R1660" s="698"/>
      <c r="S1660" s="698"/>
      <c r="T1660" s="698"/>
      <c r="U1660" s="177"/>
      <c r="BB1660" s="784"/>
      <c r="BC1660" s="785"/>
      <c r="BD1660" s="900"/>
      <c r="BE1660" s="797"/>
    </row>
    <row r="1661" spans="1:57" s="65" customFormat="1" hidden="1" outlineLevel="1" x14ac:dyDescent="0.25">
      <c r="A1661" s="785"/>
      <c r="B1661" s="177"/>
      <c r="C1661" s="455"/>
      <c r="D1661" s="456"/>
      <c r="E1661" s="456"/>
      <c r="F1661" s="177"/>
      <c r="G1661" s="456"/>
      <c r="H1661" s="455"/>
      <c r="I1661" s="177"/>
      <c r="J1661" s="177"/>
      <c r="K1661" s="177"/>
      <c r="L1661" s="177"/>
      <c r="M1661" s="177"/>
      <c r="N1661" s="177"/>
      <c r="O1661" s="177"/>
      <c r="P1661" s="177"/>
      <c r="Q1661" s="177"/>
      <c r="R1661" s="177"/>
      <c r="S1661" s="177"/>
      <c r="T1661" s="177"/>
      <c r="U1661" s="177"/>
      <c r="BB1661" s="784"/>
      <c r="BC1661" s="785"/>
      <c r="BD1661" s="900"/>
      <c r="BE1661" s="797"/>
    </row>
    <row r="1662" spans="1:57" s="65" customFormat="1" hidden="1" outlineLevel="1" x14ac:dyDescent="0.25">
      <c r="A1662" s="785"/>
      <c r="B1662" s="177"/>
      <c r="C1662" s="455"/>
      <c r="D1662" s="456"/>
      <c r="E1662" s="456"/>
      <c r="F1662" s="177"/>
      <c r="G1662" s="456"/>
      <c r="H1662" s="455"/>
      <c r="I1662" s="455"/>
      <c r="J1662" s="455"/>
      <c r="K1662" s="455"/>
      <c r="L1662" s="455"/>
      <c r="M1662" s="455"/>
      <c r="N1662" s="177"/>
      <c r="O1662" s="177"/>
      <c r="P1662" s="177"/>
      <c r="Q1662" s="456"/>
      <c r="R1662" s="177"/>
      <c r="S1662" s="177"/>
      <c r="T1662" s="177"/>
      <c r="U1662" s="177"/>
      <c r="BB1662" s="784"/>
      <c r="BC1662" s="785"/>
      <c r="BD1662" s="900"/>
      <c r="BE1662" s="797"/>
    </row>
    <row r="1663" spans="1:57" s="65" customFormat="1" ht="30" hidden="1" customHeight="1" outlineLevel="1" thickBot="1" x14ac:dyDescent="0.3">
      <c r="A1663" s="785"/>
      <c r="B1663" s="177"/>
      <c r="C1663" s="455"/>
      <c r="D1663" s="520" t="s">
        <v>618</v>
      </c>
      <c r="E1663" s="520" t="s">
        <v>619</v>
      </c>
      <c r="F1663" s="2735" t="s">
        <v>669</v>
      </c>
      <c r="G1663" s="2735"/>
      <c r="H1663" s="2735"/>
      <c r="I1663" s="2735"/>
      <c r="J1663" s="1659" t="s">
        <v>17</v>
      </c>
      <c r="K1663" s="1659" t="s">
        <v>620</v>
      </c>
      <c r="L1663" s="1659" t="s">
        <v>1257</v>
      </c>
      <c r="M1663" s="520" t="s">
        <v>863</v>
      </c>
      <c r="N1663" s="177"/>
      <c r="O1663" s="177"/>
      <c r="P1663" s="177" t="s">
        <v>1594</v>
      </c>
      <c r="Q1663" s="1117"/>
      <c r="R1663" s="1116"/>
      <c r="S1663" s="1103"/>
      <c r="T1663" s="1639"/>
      <c r="U1663" s="177"/>
      <c r="V1663" s="55" t="s">
        <v>27</v>
      </c>
      <c r="W1663" s="56">
        <v>43252</v>
      </c>
      <c r="X1663" s="56">
        <f>$X$6</f>
        <v>43465</v>
      </c>
      <c r="Y1663" s="56">
        <f>$Y$6</f>
        <v>43800</v>
      </c>
      <c r="Z1663" s="56">
        <f>$Z$6</f>
        <v>43862</v>
      </c>
      <c r="AA1663" s="56" t="str">
        <f>$AA$6</f>
        <v>-</v>
      </c>
      <c r="AB1663" s="56" t="str">
        <f>$AB$6</f>
        <v>-</v>
      </c>
      <c r="AC1663" s="56" t="str">
        <f>$AC$6</f>
        <v>-</v>
      </c>
      <c r="AD1663" s="56" t="str">
        <f>$AD$6</f>
        <v>-</v>
      </c>
      <c r="AE1663" s="56" t="str">
        <f>$AE$6</f>
        <v>-</v>
      </c>
      <c r="AF1663" s="56" t="str">
        <f>$AF$6</f>
        <v>-</v>
      </c>
      <c r="AG1663" s="56" t="str">
        <f>$AG$6</f>
        <v>-</v>
      </c>
      <c r="BB1663" s="784"/>
      <c r="BC1663" s="785"/>
      <c r="BD1663" s="900"/>
      <c r="BE1663" s="797"/>
    </row>
    <row r="1664" spans="1:57" s="65" customFormat="1" ht="15" hidden="1" customHeight="1" outlineLevel="1" x14ac:dyDescent="0.25">
      <c r="A1664" s="2096"/>
      <c r="B1664" s="177"/>
      <c r="C1664" s="455"/>
      <c r="D1664" s="2805" t="s">
        <v>1378</v>
      </c>
      <c r="E1664" s="2855" t="s">
        <v>1379</v>
      </c>
      <c r="F1664" s="2905" t="str">
        <f>$E$1388</f>
        <v>ASHP - SEER 15 ER Elec Resist Furnace: HVAC ER1</v>
      </c>
      <c r="G1664" s="2905"/>
      <c r="H1664" s="2905"/>
      <c r="I1664" s="2905"/>
      <c r="J1664" s="1656" t="str">
        <f>$C$1388</f>
        <v>352300_2019_12_</v>
      </c>
      <c r="K1664" s="1667">
        <f>2.9*12000</f>
        <v>34800</v>
      </c>
      <c r="L1664" s="925">
        <f>K1664/12000</f>
        <v>2.9</v>
      </c>
      <c r="M1664" s="2906" t="s">
        <v>1280</v>
      </c>
      <c r="N1664" s="177"/>
      <c r="O1664" s="177"/>
      <c r="P1664" s="2722" t="s">
        <v>3363</v>
      </c>
      <c r="Q1664" s="2727"/>
      <c r="R1664" s="2723"/>
      <c r="S1664" s="177"/>
      <c r="T1664" s="177"/>
      <c r="U1664" s="177"/>
      <c r="V1664" s="2867" t="s">
        <v>1378</v>
      </c>
      <c r="W1664" s="903">
        <v>33600</v>
      </c>
      <c r="X1664" s="902">
        <f>3.06*12000</f>
        <v>36720</v>
      </c>
      <c r="Y1664" s="902">
        <v>34800</v>
      </c>
      <c r="Z1664" s="903"/>
      <c r="AA1664" s="903"/>
      <c r="AB1664" s="903"/>
      <c r="AC1664" s="903"/>
      <c r="AD1664" s="903"/>
      <c r="AE1664" s="903"/>
      <c r="AF1664" s="903"/>
      <c r="AG1664" s="903"/>
      <c r="BB1664" s="784"/>
      <c r="BC1664" s="785"/>
      <c r="BD1664" s="900"/>
      <c r="BE1664" s="797"/>
    </row>
    <row r="1665" spans="1:57" s="65" customFormat="1" ht="15" hidden="1" customHeight="1" outlineLevel="1" x14ac:dyDescent="0.25">
      <c r="A1665" s="2096"/>
      <c r="B1665" s="177" t="s">
        <v>1595</v>
      </c>
      <c r="C1665" s="455"/>
      <c r="D1665" s="2806"/>
      <c r="E1665" s="2856"/>
      <c r="F1665" s="2908" t="str">
        <f>$E$1390</f>
        <v>ASHP - SEER 15 ER Elec Resist Furnace: HVAC ER2</v>
      </c>
      <c r="G1665" s="2909"/>
      <c r="H1665" s="2909"/>
      <c r="I1665" s="2910"/>
      <c r="J1665" s="1657" t="str">
        <f>$C$1390</f>
        <v>352300_2019_12_</v>
      </c>
      <c r="K1665" s="1663">
        <f>2.9*12000</f>
        <v>34800</v>
      </c>
      <c r="L1665" s="95">
        <f t="shared" ref="L1665:L1754" si="200">K1665/12000</f>
        <v>2.9</v>
      </c>
      <c r="M1665" s="2794"/>
      <c r="N1665" s="177"/>
      <c r="O1665" s="177"/>
      <c r="P1665" s="1683"/>
      <c r="Q1665" s="1102" t="s">
        <v>3364</v>
      </c>
      <c r="R1665" s="1641" t="s">
        <v>3357</v>
      </c>
      <c r="S1665" s="1103"/>
      <c r="T1665" s="1104"/>
      <c r="U1665" s="785"/>
      <c r="V1665" s="2866"/>
      <c r="W1665" s="909">
        <v>33600</v>
      </c>
      <c r="X1665" s="908">
        <f t="shared" ref="X1665:X1675" si="201">3.06*12000</f>
        <v>36720</v>
      </c>
      <c r="Y1665" s="908">
        <v>34800</v>
      </c>
      <c r="Z1665" s="909"/>
      <c r="AA1665" s="909"/>
      <c r="AB1665" s="909"/>
      <c r="AC1665" s="909"/>
      <c r="AD1665" s="909"/>
      <c r="AE1665" s="909"/>
      <c r="AF1665" s="909"/>
      <c r="AG1665" s="909"/>
      <c r="BB1665" s="784"/>
      <c r="BC1665" s="785"/>
      <c r="BD1665" s="900"/>
      <c r="BE1665" s="797"/>
    </row>
    <row r="1666" spans="1:57" s="65" customFormat="1" ht="15" hidden="1" customHeight="1" outlineLevel="1" x14ac:dyDescent="0.25">
      <c r="A1666" s="718"/>
      <c r="B1666" s="177"/>
      <c r="C1666" s="455"/>
      <c r="D1666" s="2806"/>
      <c r="E1666" s="2856"/>
      <c r="F1666" s="2908" t="str">
        <f>$E$1392</f>
        <v>ASHP - SEER 15 ER with ASHP: HVAC ER1</v>
      </c>
      <c r="G1666" s="2909"/>
      <c r="H1666" s="2909"/>
      <c r="I1666" s="2910"/>
      <c r="J1666" s="1657" t="str">
        <f>$C$1392</f>
        <v>352350_2019_12_</v>
      </c>
      <c r="K1666" s="1663">
        <f>2.93*12000</f>
        <v>35160</v>
      </c>
      <c r="L1666" s="95">
        <f t="shared" si="200"/>
        <v>2.93</v>
      </c>
      <c r="M1666" s="2794"/>
      <c r="N1666" s="177"/>
      <c r="O1666" s="177"/>
      <c r="P1666" s="1105" t="s">
        <v>1262</v>
      </c>
      <c r="Q1666" s="2097">
        <f t="shared" ref="Q1666:Q1672" si="202">(($R$1678*3)+R1666)-(($Q$1678*3)/((1+$R$1680)^($R$1681-1)))</f>
        <v>1019.813599825558</v>
      </c>
      <c r="R1666" s="1106">
        <v>303</v>
      </c>
      <c r="S1666" s="177" t="s">
        <v>1261</v>
      </c>
      <c r="T1666" s="785"/>
      <c r="U1666" s="785"/>
      <c r="V1666" s="2866"/>
      <c r="W1666" s="909">
        <v>37200</v>
      </c>
      <c r="X1666" s="908">
        <f t="shared" si="201"/>
        <v>36720</v>
      </c>
      <c r="Y1666" s="908">
        <v>35160</v>
      </c>
      <c r="Z1666" s="909"/>
      <c r="AA1666" s="909"/>
      <c r="AB1666" s="909"/>
      <c r="AC1666" s="909"/>
      <c r="AD1666" s="909"/>
      <c r="AE1666" s="909"/>
      <c r="AF1666" s="909"/>
      <c r="AG1666" s="909"/>
      <c r="BB1666" s="784"/>
      <c r="BC1666" s="785"/>
      <c r="BD1666" s="900"/>
      <c r="BE1666" s="797"/>
    </row>
    <row r="1667" spans="1:57" s="65" customFormat="1" ht="15" hidden="1" customHeight="1" outlineLevel="1" x14ac:dyDescent="0.25">
      <c r="A1667" s="718"/>
      <c r="B1667" s="177"/>
      <c r="C1667" s="455"/>
      <c r="D1667" s="2806"/>
      <c r="E1667" s="2856"/>
      <c r="F1667" s="2908" t="str">
        <f>$E$1394</f>
        <v>ASHP - SEER 15 ER with ASHP: HVAC ER2</v>
      </c>
      <c r="G1667" s="2909"/>
      <c r="H1667" s="2909"/>
      <c r="I1667" s="2910"/>
      <c r="J1667" s="1657" t="str">
        <f>$C$1394</f>
        <v>352350_2019_12_</v>
      </c>
      <c r="K1667" s="1663">
        <f>2.93*12000</f>
        <v>35160</v>
      </c>
      <c r="L1667" s="95">
        <f t="shared" si="200"/>
        <v>2.93</v>
      </c>
      <c r="M1667" s="2794"/>
      <c r="N1667" s="177"/>
      <c r="O1667" s="177"/>
      <c r="P1667" s="1105" t="s">
        <v>1263</v>
      </c>
      <c r="Q1667" s="2097">
        <f t="shared" si="202"/>
        <v>1154.813599825558</v>
      </c>
      <c r="R1667" s="1106">
        <v>438</v>
      </c>
      <c r="S1667" s="177" t="s">
        <v>1261</v>
      </c>
      <c r="T1667" s="785"/>
      <c r="U1667" s="785"/>
      <c r="V1667" s="2866"/>
      <c r="W1667" s="909">
        <v>37200</v>
      </c>
      <c r="X1667" s="908">
        <f t="shared" si="201"/>
        <v>36720</v>
      </c>
      <c r="Y1667" s="908">
        <v>35160</v>
      </c>
      <c r="Z1667" s="909"/>
      <c r="AA1667" s="909"/>
      <c r="AB1667" s="909"/>
      <c r="AC1667" s="909"/>
      <c r="AD1667" s="909"/>
      <c r="AE1667" s="909"/>
      <c r="AF1667" s="909"/>
      <c r="AG1667" s="909"/>
      <c r="BB1667" s="784"/>
      <c r="BC1667" s="785"/>
      <c r="BD1667" s="900"/>
      <c r="BE1667" s="797"/>
    </row>
    <row r="1668" spans="1:57" s="65" customFormat="1" ht="15" hidden="1" customHeight="1" outlineLevel="1" x14ac:dyDescent="0.25">
      <c r="A1668" s="718"/>
      <c r="B1668" s="177"/>
      <c r="C1668" s="455"/>
      <c r="D1668" s="2806"/>
      <c r="E1668" s="2856"/>
      <c r="F1668" s="2908" t="str">
        <f>$E$1396</f>
        <v>ASHP-  SEER 15 Replace at Fail Elec Resist Furnace: HVAC</v>
      </c>
      <c r="G1668" s="2909"/>
      <c r="H1668" s="2909"/>
      <c r="I1668" s="2910"/>
      <c r="J1668" s="1657" t="str">
        <f>$C$1396</f>
        <v>352400_2019_12_</v>
      </c>
      <c r="K1668" s="1663">
        <f>2.86*12000</f>
        <v>34320</v>
      </c>
      <c r="L1668" s="95">
        <f t="shared" si="200"/>
        <v>2.86</v>
      </c>
      <c r="M1668" s="2794"/>
      <c r="N1668" s="177"/>
      <c r="O1668" s="177"/>
      <c r="P1668" s="1105" t="s">
        <v>1264</v>
      </c>
      <c r="Q1668" s="2097">
        <f t="shared" si="202"/>
        <v>1440.813599825558</v>
      </c>
      <c r="R1668" s="1106">
        <v>724</v>
      </c>
      <c r="S1668" s="177" t="s">
        <v>1261</v>
      </c>
      <c r="T1668" s="785"/>
      <c r="U1668" s="785"/>
      <c r="V1668" s="2866"/>
      <c r="W1668" s="909">
        <v>31200</v>
      </c>
      <c r="X1668" s="908">
        <f t="shared" si="201"/>
        <v>36720</v>
      </c>
      <c r="Y1668" s="908">
        <v>34320</v>
      </c>
      <c r="Z1668" s="909"/>
      <c r="AA1668" s="909"/>
      <c r="AB1668" s="909"/>
      <c r="AC1668" s="909"/>
      <c r="AD1668" s="909"/>
      <c r="AE1668" s="909"/>
      <c r="AF1668" s="909"/>
      <c r="AG1668" s="909"/>
      <c r="BB1668" s="784"/>
      <c r="BC1668" s="785"/>
      <c r="BD1668" s="900"/>
      <c r="BE1668" s="797"/>
    </row>
    <row r="1669" spans="1:57" s="65" customFormat="1" ht="15" hidden="1" customHeight="1" outlineLevel="1" x14ac:dyDescent="0.25">
      <c r="A1669" s="718"/>
      <c r="B1669" s="177"/>
      <c r="C1669" s="455"/>
      <c r="D1669" s="2806"/>
      <c r="E1669" s="2856"/>
      <c r="F1669" s="2908" t="str">
        <f>$E$1398</f>
        <v>ASHP - SEER 15 Replace at Fail with ASHP: HVAC</v>
      </c>
      <c r="G1669" s="2909"/>
      <c r="H1669" s="2909"/>
      <c r="I1669" s="2910"/>
      <c r="J1669" s="1657" t="str">
        <f>$C$1398</f>
        <v>352450_2019_12_</v>
      </c>
      <c r="K1669" s="1663">
        <f>2.89*12000</f>
        <v>34680</v>
      </c>
      <c r="L1669" s="95">
        <f t="shared" si="200"/>
        <v>2.89</v>
      </c>
      <c r="M1669" s="2794"/>
      <c r="N1669" s="177"/>
      <c r="O1669" s="177"/>
      <c r="P1669" s="1105" t="s">
        <v>1265</v>
      </c>
      <c r="Q1669" s="2097">
        <f t="shared" si="202"/>
        <v>1679.733599825558</v>
      </c>
      <c r="R1669" s="1106">
        <f>R1668*S1669</f>
        <v>962.92000000000007</v>
      </c>
      <c r="S1669" s="2030">
        <v>1.33</v>
      </c>
      <c r="T1669" s="2031"/>
      <c r="U1669" s="785"/>
      <c r="V1669" s="2866"/>
      <c r="W1669" s="909">
        <v>37200</v>
      </c>
      <c r="X1669" s="908">
        <f t="shared" si="201"/>
        <v>36720</v>
      </c>
      <c r="Y1669" s="908">
        <v>34680</v>
      </c>
      <c r="Z1669" s="909"/>
      <c r="AA1669" s="909"/>
      <c r="AB1669" s="909"/>
      <c r="AC1669" s="909"/>
      <c r="AD1669" s="909"/>
      <c r="AE1669" s="909"/>
      <c r="AF1669" s="909"/>
      <c r="AG1669" s="909"/>
      <c r="BB1669" s="784"/>
      <c r="BC1669" s="785"/>
      <c r="BD1669" s="900"/>
      <c r="BE1669" s="797"/>
    </row>
    <row r="1670" spans="1:57" s="65" customFormat="1" ht="15" hidden="1" customHeight="1" outlineLevel="1" x14ac:dyDescent="0.25">
      <c r="A1670" s="718"/>
      <c r="B1670" s="177"/>
      <c r="C1670" s="455"/>
      <c r="D1670" s="2806"/>
      <c r="E1670" s="2856"/>
      <c r="F1670" s="2908" t="str">
        <f>$E$1400</f>
        <v>ASHP - SEER 16 - replace electric furnace / CAC - early replacement SF ER1</v>
      </c>
      <c r="G1670" s="2909"/>
      <c r="H1670" s="2909"/>
      <c r="I1670" s="2910"/>
      <c r="J1670" s="1657" t="str">
        <f>$C$1400</f>
        <v>352500_2019_12_</v>
      </c>
      <c r="K1670" s="1663">
        <f>3.18*12000</f>
        <v>38160</v>
      </c>
      <c r="L1670" s="95">
        <f t="shared" si="200"/>
        <v>3.18</v>
      </c>
      <c r="M1670" s="2794"/>
      <c r="N1670" s="177"/>
      <c r="O1670" s="177"/>
      <c r="P1670" s="1105" t="s">
        <v>1266</v>
      </c>
      <c r="Q1670" s="2097">
        <f t="shared" si="202"/>
        <v>1920.4635998255585</v>
      </c>
      <c r="R1670" s="1106">
        <f t="shared" ref="R1670:R1672" si="203">R1669*S1670</f>
        <v>1203.6500000000003</v>
      </c>
      <c r="S1670" s="2098">
        <v>1.2500000000000002</v>
      </c>
      <c r="T1670" s="2031"/>
      <c r="U1670" s="785"/>
      <c r="V1670" s="2866"/>
      <c r="W1670" s="909">
        <v>37200</v>
      </c>
      <c r="X1670" s="908">
        <f t="shared" si="201"/>
        <v>36720</v>
      </c>
      <c r="Y1670" s="908">
        <v>38160</v>
      </c>
      <c r="Z1670" s="909"/>
      <c r="AA1670" s="909"/>
      <c r="AB1670" s="909"/>
      <c r="AC1670" s="909"/>
      <c r="AD1670" s="909"/>
      <c r="AE1670" s="909"/>
      <c r="AF1670" s="909"/>
      <c r="AG1670" s="909"/>
      <c r="BB1670" s="784"/>
      <c r="BC1670" s="785"/>
      <c r="BD1670" s="900"/>
      <c r="BE1670" s="797"/>
    </row>
    <row r="1671" spans="1:57" s="65" customFormat="1" ht="15" hidden="1" customHeight="1" outlineLevel="1" x14ac:dyDescent="0.25">
      <c r="A1671" s="718"/>
      <c r="B1671" s="177"/>
      <c r="C1671" s="455"/>
      <c r="D1671" s="2806"/>
      <c r="E1671" s="2856"/>
      <c r="F1671" s="2908" t="str">
        <f>$E$1402</f>
        <v>ASHP - SEER 16 - replace electric furnace / CAC - early replacement SF ER2</v>
      </c>
      <c r="G1671" s="2909"/>
      <c r="H1671" s="2909"/>
      <c r="I1671" s="2910"/>
      <c r="J1671" s="1657" t="str">
        <f>$C$1402</f>
        <v>352500_2019_12_</v>
      </c>
      <c r="K1671" s="1663">
        <f>3.18*12000</f>
        <v>38160</v>
      </c>
      <c r="L1671" s="95">
        <f t="shared" si="200"/>
        <v>3.18</v>
      </c>
      <c r="M1671" s="2794"/>
      <c r="N1671" s="177"/>
      <c r="O1671" s="177"/>
      <c r="P1671" s="1105" t="s">
        <v>1267</v>
      </c>
      <c r="Q1671" s="2097">
        <f t="shared" si="202"/>
        <v>2161.1935998255572</v>
      </c>
      <c r="R1671" s="1106">
        <f t="shared" si="203"/>
        <v>1444.3799999999994</v>
      </c>
      <c r="S1671" s="2098">
        <v>1.1999999999999993</v>
      </c>
      <c r="T1671" s="2031" t="s">
        <v>3366</v>
      </c>
      <c r="U1671" s="785"/>
      <c r="V1671" s="2866"/>
      <c r="W1671" s="909">
        <v>37200</v>
      </c>
      <c r="X1671" s="908">
        <f t="shared" si="201"/>
        <v>36720</v>
      </c>
      <c r="Y1671" s="908">
        <v>38160</v>
      </c>
      <c r="Z1671" s="909"/>
      <c r="AA1671" s="909"/>
      <c r="AB1671" s="909"/>
      <c r="AC1671" s="909"/>
      <c r="AD1671" s="909"/>
      <c r="AE1671" s="909"/>
      <c r="AF1671" s="909"/>
      <c r="AG1671" s="909"/>
      <c r="BB1671" s="784"/>
      <c r="BC1671" s="785"/>
      <c r="BD1671" s="900"/>
      <c r="BE1671" s="797"/>
    </row>
    <row r="1672" spans="1:57" s="65" customFormat="1" ht="15" hidden="1" customHeight="1" outlineLevel="1" x14ac:dyDescent="0.25">
      <c r="A1672" s="718"/>
      <c r="B1672" s="177"/>
      <c r="C1672" s="455"/>
      <c r="D1672" s="2806"/>
      <c r="E1672" s="2856"/>
      <c r="F1672" s="2908" t="str">
        <f>$E$1404</f>
        <v>ASHP SEER 16 replace ASHP - early replacement SF ER1</v>
      </c>
      <c r="G1672" s="2909"/>
      <c r="H1672" s="2909"/>
      <c r="I1672" s="2910"/>
      <c r="J1672" s="1657" t="str">
        <f>$C$1404</f>
        <v>352550_2019_12_</v>
      </c>
      <c r="K1672" s="1663">
        <f>3.15*12000</f>
        <v>37800</v>
      </c>
      <c r="L1672" s="95">
        <f t="shared" si="200"/>
        <v>3.15</v>
      </c>
      <c r="M1672" s="2794"/>
      <c r="N1672" s="177"/>
      <c r="O1672" s="177"/>
      <c r="P1672" s="1105" t="s">
        <v>1268</v>
      </c>
      <c r="Q1672" s="2097">
        <f t="shared" si="202"/>
        <v>2406.7381998255573</v>
      </c>
      <c r="R1672" s="1106">
        <f t="shared" si="203"/>
        <v>1689.9245999999991</v>
      </c>
      <c r="S1672" s="2098">
        <v>1.17</v>
      </c>
      <c r="T1672" s="2031"/>
      <c r="U1672" s="785"/>
      <c r="V1672" s="2866"/>
      <c r="W1672" s="909">
        <v>39600</v>
      </c>
      <c r="X1672" s="908">
        <f t="shared" si="201"/>
        <v>36720</v>
      </c>
      <c r="Y1672" s="908">
        <v>37800</v>
      </c>
      <c r="Z1672" s="909"/>
      <c r="AA1672" s="909"/>
      <c r="AB1672" s="909"/>
      <c r="AC1672" s="909"/>
      <c r="AD1672" s="909"/>
      <c r="AE1672" s="909"/>
      <c r="AF1672" s="909"/>
      <c r="AG1672" s="909"/>
      <c r="BB1672" s="784"/>
      <c r="BC1672" s="785"/>
      <c r="BD1672" s="900"/>
      <c r="BE1672" s="797"/>
    </row>
    <row r="1673" spans="1:57" s="65" customFormat="1" ht="15" hidden="1" customHeight="1" outlineLevel="1" x14ac:dyDescent="0.25">
      <c r="A1673" s="718"/>
      <c r="B1673" s="177"/>
      <c r="C1673" s="455"/>
      <c r="D1673" s="2806"/>
      <c r="E1673" s="2856"/>
      <c r="F1673" s="2908" t="str">
        <f>$E$1406</f>
        <v>ASHP SEER 16 replace ASHP - early replacement SF ER2</v>
      </c>
      <c r="G1673" s="2909"/>
      <c r="H1673" s="2909"/>
      <c r="I1673" s="2910"/>
      <c r="J1673" s="1657" t="str">
        <f>$C$1406</f>
        <v>352550_2019_12_</v>
      </c>
      <c r="K1673" s="926">
        <f>3.15*12000</f>
        <v>37800</v>
      </c>
      <c r="L1673" s="95">
        <f t="shared" si="200"/>
        <v>3.15</v>
      </c>
      <c r="M1673" s="2794"/>
      <c r="N1673" s="177"/>
      <c r="O1673" s="177"/>
      <c r="P1673" s="1105" t="s">
        <v>1269</v>
      </c>
      <c r="Q1673" s="2099">
        <f>AVERAGE(Q1666:Q1672)</f>
        <v>1683.367114111272</v>
      </c>
      <c r="R1673" s="1106">
        <f>AVERAGE(R1666:R1672)</f>
        <v>966.55351428571419</v>
      </c>
      <c r="S1673" s="1107"/>
      <c r="T1673" s="1639"/>
      <c r="U1673" s="785"/>
      <c r="V1673" s="2866"/>
      <c r="W1673" s="909">
        <v>39600</v>
      </c>
      <c r="X1673" s="933">
        <f t="shared" si="201"/>
        <v>36720</v>
      </c>
      <c r="Y1673" s="933">
        <v>37800</v>
      </c>
      <c r="Z1673" s="909"/>
      <c r="AA1673" s="909"/>
      <c r="AB1673" s="909"/>
      <c r="AC1673" s="909"/>
      <c r="AD1673" s="909"/>
      <c r="AE1673" s="909"/>
      <c r="AF1673" s="909"/>
      <c r="AG1673" s="909"/>
      <c r="BB1673" s="784"/>
      <c r="BC1673" s="785"/>
      <c r="BD1673" s="900"/>
      <c r="BE1673" s="797"/>
    </row>
    <row r="1674" spans="1:57" s="65" customFormat="1" ht="15" hidden="1" customHeight="1" outlineLevel="1" x14ac:dyDescent="0.25">
      <c r="A1674" s="718"/>
      <c r="B1674" s="177"/>
      <c r="C1674" s="455"/>
      <c r="D1674" s="2806"/>
      <c r="E1674" s="2856"/>
      <c r="F1674" s="2908" t="str">
        <f>$E$1408</f>
        <v>ASHP - SEER 16 - replace electric furnace / CAC SF</v>
      </c>
      <c r="G1674" s="2909"/>
      <c r="H1674" s="2909"/>
      <c r="I1674" s="2910"/>
      <c r="J1674" s="1657" t="str">
        <f>$C$1408</f>
        <v>352600_2019_12_</v>
      </c>
      <c r="K1674" s="926">
        <f>3.11*12000</f>
        <v>37320</v>
      </c>
      <c r="L1674" s="95">
        <f t="shared" si="200"/>
        <v>3.11</v>
      </c>
      <c r="M1674" s="2794"/>
      <c r="N1674" s="177"/>
      <c r="O1674" s="177"/>
      <c r="P1674" s="2112" t="s">
        <v>1270</v>
      </c>
      <c r="Q1674" s="177"/>
      <c r="R1674" s="455"/>
      <c r="S1674" s="1103"/>
      <c r="T1674" s="1639"/>
      <c r="U1674" s="177"/>
      <c r="V1674" s="2866"/>
      <c r="W1674" s="909">
        <v>38400</v>
      </c>
      <c r="X1674" s="933">
        <f t="shared" si="201"/>
        <v>36720</v>
      </c>
      <c r="Y1674" s="933">
        <v>37320</v>
      </c>
      <c r="Z1674" s="909"/>
      <c r="AA1674" s="909"/>
      <c r="AB1674" s="909"/>
      <c r="AC1674" s="909"/>
      <c r="AD1674" s="909"/>
      <c r="AE1674" s="909"/>
      <c r="AF1674" s="909"/>
      <c r="AG1674" s="909"/>
      <c r="BB1674" s="784"/>
      <c r="BC1674" s="785"/>
      <c r="BD1674" s="900"/>
      <c r="BE1674" s="797"/>
    </row>
    <row r="1675" spans="1:57" s="65" customFormat="1" ht="15" hidden="1" customHeight="1" outlineLevel="1" x14ac:dyDescent="0.25">
      <c r="A1675" s="718"/>
      <c r="B1675" s="177" t="s">
        <v>1595</v>
      </c>
      <c r="C1675" s="455"/>
      <c r="D1675" s="2806"/>
      <c r="E1675" s="2856"/>
      <c r="F1675" s="2908" t="str">
        <f>$E$1410</f>
        <v>ASHP SEER 16 replace ASHP - replace on fail SF</v>
      </c>
      <c r="G1675" s="2909"/>
      <c r="H1675" s="2909"/>
      <c r="I1675" s="2910"/>
      <c r="J1675" s="1657" t="str">
        <f>$C$1410</f>
        <v>352650_2019_12_</v>
      </c>
      <c r="K1675" s="926">
        <f>3.25*12000</f>
        <v>39000</v>
      </c>
      <c r="L1675" s="95">
        <f t="shared" si="200"/>
        <v>3.25</v>
      </c>
      <c r="M1675" s="2907"/>
      <c r="N1675" s="177"/>
      <c r="O1675" s="177"/>
      <c r="T1675" s="1639"/>
      <c r="U1675" s="177"/>
      <c r="V1675" s="2866"/>
      <c r="W1675" s="909">
        <v>39600</v>
      </c>
      <c r="X1675" s="933">
        <f t="shared" si="201"/>
        <v>36720</v>
      </c>
      <c r="Y1675" s="933">
        <v>39000</v>
      </c>
      <c r="Z1675" s="909"/>
      <c r="AA1675" s="909"/>
      <c r="AB1675" s="909"/>
      <c r="AC1675" s="909"/>
      <c r="AD1675" s="909"/>
      <c r="AE1675" s="909"/>
      <c r="AF1675" s="909"/>
      <c r="AG1675" s="909"/>
      <c r="BB1675" s="784"/>
      <c r="BC1675" s="785"/>
      <c r="BD1675" s="900"/>
      <c r="BE1675" s="797"/>
    </row>
    <row r="1676" spans="1:57" s="65" customFormat="1" ht="15" hidden="1" customHeight="1" outlineLevel="1" x14ac:dyDescent="0.25">
      <c r="A1676" s="718"/>
      <c r="B1676" s="177" t="s">
        <v>1595</v>
      </c>
      <c r="C1676" s="455"/>
      <c r="D1676" s="2806"/>
      <c r="E1676" s="2856"/>
      <c r="F1676" s="2908" t="str">
        <f>$E$1412</f>
        <v>ASHP SEER 15 MF ER replace ASHP: HVAC ER1</v>
      </c>
      <c r="G1676" s="2909"/>
      <c r="H1676" s="2909"/>
      <c r="I1676" s="2910"/>
      <c r="J1676" s="1657" t="str">
        <f>$C$1412</f>
        <v>352700_2019_12_</v>
      </c>
      <c r="K1676" s="1663">
        <v>37200</v>
      </c>
      <c r="L1676" s="95">
        <f t="shared" si="200"/>
        <v>3.1</v>
      </c>
      <c r="M1676" s="1108" t="s">
        <v>1380</v>
      </c>
      <c r="N1676" s="177"/>
      <c r="O1676" s="177"/>
      <c r="P1676" s="2722" t="s">
        <v>3365</v>
      </c>
      <c r="Q1676" s="2727"/>
      <c r="R1676" s="2723"/>
      <c r="S1676" s="1103"/>
      <c r="T1676" s="1639"/>
      <c r="U1676" s="177"/>
      <c r="V1676" s="2866"/>
      <c r="W1676" s="909">
        <v>37200</v>
      </c>
      <c r="X1676" s="909">
        <v>37200</v>
      </c>
      <c r="Y1676" s="909">
        <v>37200</v>
      </c>
      <c r="Z1676" s="909"/>
      <c r="AA1676" s="909"/>
      <c r="AB1676" s="909"/>
      <c r="AC1676" s="909"/>
      <c r="AD1676" s="909"/>
      <c r="AE1676" s="909"/>
      <c r="AF1676" s="909"/>
      <c r="AG1676" s="909"/>
      <c r="BB1676" s="784"/>
      <c r="BC1676" s="785"/>
      <c r="BD1676" s="900"/>
      <c r="BE1676" s="797"/>
    </row>
    <row r="1677" spans="1:57" s="65" customFormat="1" ht="15" hidden="1" customHeight="1" outlineLevel="1" x14ac:dyDescent="0.25">
      <c r="A1677" s="718"/>
      <c r="B1677" s="177"/>
      <c r="C1677" s="455"/>
      <c r="D1677" s="2806"/>
      <c r="E1677" s="2856"/>
      <c r="F1677" s="2908" t="str">
        <f>$E$1414</f>
        <v>ASHP SEER 15 MF ER replace ASHP: HVAC ER2</v>
      </c>
      <c r="G1677" s="2909"/>
      <c r="H1677" s="2909"/>
      <c r="I1677" s="2910"/>
      <c r="J1677" s="1657" t="str">
        <f>$C$1414</f>
        <v>352700_2019_12_</v>
      </c>
      <c r="K1677" s="1663">
        <v>37200</v>
      </c>
      <c r="L1677" s="95">
        <f t="shared" si="200"/>
        <v>3.1</v>
      </c>
      <c r="M1677" s="1108" t="s">
        <v>1380</v>
      </c>
      <c r="N1677" s="177"/>
      <c r="O1677" s="177"/>
      <c r="P1677" s="1683"/>
      <c r="Q1677" s="1683" t="s">
        <v>1272</v>
      </c>
      <c r="R1677" s="1683" t="s">
        <v>1273</v>
      </c>
      <c r="S1677" s="1103"/>
      <c r="T1677" s="1111"/>
      <c r="U1677" s="177"/>
      <c r="V1677" s="2866"/>
      <c r="W1677" s="909">
        <v>37200</v>
      </c>
      <c r="X1677" s="909">
        <v>37200</v>
      </c>
      <c r="Y1677" s="909">
        <v>37200</v>
      </c>
      <c r="Z1677" s="909"/>
      <c r="AA1677" s="909"/>
      <c r="AB1677" s="909"/>
      <c r="AC1677" s="909"/>
      <c r="AD1677" s="909"/>
      <c r="AE1677" s="909"/>
      <c r="AF1677" s="909"/>
      <c r="AG1677" s="909"/>
      <c r="BB1677" s="784"/>
      <c r="BC1677" s="785"/>
      <c r="BD1677" s="900"/>
      <c r="BE1677" s="797"/>
    </row>
    <row r="1678" spans="1:57" s="65" customFormat="1" ht="15" hidden="1" customHeight="1" outlineLevel="1" x14ac:dyDescent="0.25">
      <c r="A1678" s="718"/>
      <c r="B1678" s="177"/>
      <c r="C1678" s="455"/>
      <c r="D1678" s="2806"/>
      <c r="E1678" s="2856"/>
      <c r="F1678" s="2908" t="str">
        <f>$E$1416</f>
        <v>ASHP SEER 15 MF ER replace ASHP: HVAC ER1_CompE</v>
      </c>
      <c r="G1678" s="2909"/>
      <c r="H1678" s="2909"/>
      <c r="I1678" s="2910"/>
      <c r="J1678" s="1657" t="str">
        <f>$C$1416</f>
        <v>352701_2019_12_</v>
      </c>
      <c r="K1678" s="1663">
        <f>K1676</f>
        <v>37200</v>
      </c>
      <c r="L1678" s="95">
        <f t="shared" si="200"/>
        <v>3.1</v>
      </c>
      <c r="M1678" s="1108"/>
      <c r="N1678" s="177"/>
      <c r="O1678" s="177"/>
      <c r="P1678" s="1105" t="s">
        <v>1274</v>
      </c>
      <c r="Q1678" s="1109">
        <f>(R1678)*(1+R1679)^(R1681-1)</f>
        <v>1524.7355892191999</v>
      </c>
      <c r="R1678" s="1110">
        <v>1381</v>
      </c>
      <c r="S1678" s="177" t="s">
        <v>1261</v>
      </c>
      <c r="T1678" s="1639"/>
      <c r="U1678" s="177"/>
      <c r="V1678" s="2866"/>
      <c r="W1678" s="909"/>
      <c r="X1678" s="909"/>
      <c r="Y1678" s="908">
        <v>37200</v>
      </c>
      <c r="Z1678" s="909"/>
      <c r="AA1678" s="909"/>
      <c r="AB1678" s="909"/>
      <c r="AC1678" s="909"/>
      <c r="AD1678" s="909"/>
      <c r="AE1678" s="909"/>
      <c r="AF1678" s="909"/>
      <c r="AG1678" s="909"/>
      <c r="BB1678" s="784"/>
      <c r="BC1678" s="785"/>
      <c r="BD1678" s="900"/>
      <c r="BE1678" s="797"/>
    </row>
    <row r="1679" spans="1:57" s="65" customFormat="1" ht="15" hidden="1" customHeight="1" outlineLevel="1" x14ac:dyDescent="0.25">
      <c r="A1679" s="718"/>
      <c r="B1679" s="177"/>
      <c r="C1679" s="455"/>
      <c r="D1679" s="2806"/>
      <c r="E1679" s="2856"/>
      <c r="F1679" s="2908" t="str">
        <f>$E$1418</f>
        <v>ASHP SEER 15 MF ER replace ASHP: HVAC ER2_CompE</v>
      </c>
      <c r="G1679" s="2909"/>
      <c r="H1679" s="2909"/>
      <c r="I1679" s="2910"/>
      <c r="J1679" s="1657" t="str">
        <f>$C$1418</f>
        <v>352701_2019_12_</v>
      </c>
      <c r="K1679" s="1663">
        <f>K1677</f>
        <v>37200</v>
      </c>
      <c r="L1679" s="95">
        <f t="shared" si="200"/>
        <v>3.1</v>
      </c>
      <c r="M1679" s="1108"/>
      <c r="N1679" s="177"/>
      <c r="O1679" s="177"/>
      <c r="P1679" s="1105" t="s">
        <v>1205</v>
      </c>
      <c r="Q1679" s="1109"/>
      <c r="R1679" s="1112">
        <f>$Q$95</f>
        <v>0.02</v>
      </c>
      <c r="S1679" s="1113" t="s">
        <v>1596</v>
      </c>
      <c r="T1679" s="1639"/>
      <c r="U1679" s="177"/>
      <c r="V1679" s="2866"/>
      <c r="W1679" s="909"/>
      <c r="X1679" s="909"/>
      <c r="Y1679" s="908">
        <v>37200</v>
      </c>
      <c r="Z1679" s="909"/>
      <c r="AA1679" s="909"/>
      <c r="AB1679" s="909"/>
      <c r="AC1679" s="909"/>
      <c r="AD1679" s="909"/>
      <c r="AE1679" s="909"/>
      <c r="AF1679" s="909"/>
      <c r="AG1679" s="909"/>
      <c r="BB1679" s="784"/>
      <c r="BC1679" s="785"/>
      <c r="BD1679" s="900"/>
      <c r="BE1679" s="797"/>
    </row>
    <row r="1680" spans="1:57" s="65" customFormat="1" ht="15" hidden="1" customHeight="1" outlineLevel="1" x14ac:dyDescent="0.25">
      <c r="A1680" s="718"/>
      <c r="B1680" s="177"/>
      <c r="C1680" s="455"/>
      <c r="D1680" s="2806"/>
      <c r="E1680" s="2856"/>
      <c r="F1680" s="2908" t="str">
        <f>$E$1420</f>
        <v>ASHP SEER 15 MF ER replace Elec Resist Furnace: HVAC ER1</v>
      </c>
      <c r="G1680" s="2909"/>
      <c r="H1680" s="2909"/>
      <c r="I1680" s="2910"/>
      <c r="J1680" s="1657" t="str">
        <f>$C$1420</f>
        <v>352750_2019_12_</v>
      </c>
      <c r="K1680" s="1663">
        <v>33600</v>
      </c>
      <c r="L1680" s="95">
        <f t="shared" si="200"/>
        <v>2.8</v>
      </c>
      <c r="M1680" s="1108" t="s">
        <v>1380</v>
      </c>
      <c r="N1680" s="177"/>
      <c r="O1680" s="177"/>
      <c r="P1680" s="1114" t="s">
        <v>1206</v>
      </c>
      <c r="Q1680" s="1114"/>
      <c r="R1680" s="1112">
        <f>$Q$96</f>
        <v>5.9499999999999997E-2</v>
      </c>
      <c r="S1680" s="1103" t="s">
        <v>1596</v>
      </c>
      <c r="T1680" s="1639"/>
      <c r="U1680" s="177"/>
      <c r="V1680" s="2866"/>
      <c r="W1680" s="909">
        <v>33600</v>
      </c>
      <c r="X1680" s="909">
        <v>33600</v>
      </c>
      <c r="Y1680" s="909">
        <v>33600</v>
      </c>
      <c r="Z1680" s="909"/>
      <c r="AA1680" s="909"/>
      <c r="AB1680" s="909"/>
      <c r="AC1680" s="909"/>
      <c r="AD1680" s="909"/>
      <c r="AE1680" s="909"/>
      <c r="AF1680" s="909"/>
      <c r="AG1680" s="909"/>
      <c r="BB1680" s="784"/>
      <c r="BC1680" s="785"/>
      <c r="BD1680" s="900"/>
      <c r="BE1680" s="797"/>
    </row>
    <row r="1681" spans="1:57" s="65" customFormat="1" ht="15" hidden="1" customHeight="1" outlineLevel="1" x14ac:dyDescent="0.25">
      <c r="A1681" s="718"/>
      <c r="B1681" s="177"/>
      <c r="C1681" s="455"/>
      <c r="D1681" s="2806"/>
      <c r="E1681" s="2856"/>
      <c r="F1681" s="2908" t="str">
        <f>$E$1422</f>
        <v>ASHP SEER 15 MF ER replace Elec Resist Furnace: HVAC ER2</v>
      </c>
      <c r="G1681" s="2909"/>
      <c r="H1681" s="2909"/>
      <c r="I1681" s="2910"/>
      <c r="J1681" s="1657" t="str">
        <f>$C$1422</f>
        <v>352750_2019_12_</v>
      </c>
      <c r="K1681" s="1663">
        <v>33600</v>
      </c>
      <c r="L1681" s="95">
        <f t="shared" si="200"/>
        <v>2.8</v>
      </c>
      <c r="M1681" s="1108" t="s">
        <v>1380</v>
      </c>
      <c r="N1681" s="177"/>
      <c r="O1681" s="332"/>
      <c r="P1681" s="92" t="s">
        <v>1207</v>
      </c>
      <c r="Q1681" s="92"/>
      <c r="R1681" s="1115">
        <v>6</v>
      </c>
      <c r="S1681" s="1103" t="s">
        <v>1597</v>
      </c>
      <c r="T1681" s="177"/>
      <c r="U1681" s="177"/>
      <c r="V1681" s="2866"/>
      <c r="W1681" s="909">
        <v>33600</v>
      </c>
      <c r="X1681" s="909">
        <v>33600</v>
      </c>
      <c r="Y1681" s="909">
        <v>33600</v>
      </c>
      <c r="Z1681" s="909"/>
      <c r="AA1681" s="909"/>
      <c r="AB1681" s="909"/>
      <c r="AC1681" s="909"/>
      <c r="AD1681" s="909"/>
      <c r="AE1681" s="909"/>
      <c r="AF1681" s="909"/>
      <c r="AG1681" s="909"/>
      <c r="BB1681" s="784"/>
      <c r="BC1681" s="785"/>
      <c r="BD1681" s="900"/>
      <c r="BE1681" s="797"/>
    </row>
    <row r="1682" spans="1:57" s="65" customFormat="1" ht="15" hidden="1" customHeight="1" outlineLevel="1" x14ac:dyDescent="0.25">
      <c r="A1682" s="718"/>
      <c r="B1682" s="177"/>
      <c r="C1682" s="455"/>
      <c r="D1682" s="2806"/>
      <c r="E1682" s="2856"/>
      <c r="F1682" s="2908" t="str">
        <f>$E$1424</f>
        <v>ASHP SEER 15 MF ER replace Elec Resist Furnace: HVAC ER1_CompE</v>
      </c>
      <c r="G1682" s="2909"/>
      <c r="H1682" s="2909"/>
      <c r="I1682" s="2910"/>
      <c r="J1682" s="1657" t="str">
        <f>$C$1424</f>
        <v>352751_2019_12_</v>
      </c>
      <c r="K1682" s="1663">
        <f>K1680</f>
        <v>33600</v>
      </c>
      <c r="L1682" s="95">
        <f t="shared" si="200"/>
        <v>2.8</v>
      </c>
      <c r="M1682" s="1108"/>
      <c r="N1682" s="177"/>
      <c r="O1682" s="332"/>
      <c r="P1682" s="177"/>
      <c r="Q1682" s="177"/>
      <c r="R1682" s="177"/>
      <c r="S1682" s="177"/>
      <c r="T1682" s="177"/>
      <c r="U1682" s="177"/>
      <c r="V1682" s="2866"/>
      <c r="W1682" s="909"/>
      <c r="X1682" s="909"/>
      <c r="Y1682" s="908">
        <v>33600</v>
      </c>
      <c r="Z1682" s="909"/>
      <c r="AA1682" s="909"/>
      <c r="AB1682" s="909"/>
      <c r="AC1682" s="909"/>
      <c r="AD1682" s="909"/>
      <c r="AE1682" s="909"/>
      <c r="AF1682" s="909"/>
      <c r="AG1682" s="909"/>
      <c r="BB1682" s="784"/>
      <c r="BC1682" s="785"/>
      <c r="BD1682" s="900"/>
      <c r="BE1682" s="797"/>
    </row>
    <row r="1683" spans="1:57" s="65" customFormat="1" ht="15" hidden="1" customHeight="1" outlineLevel="1" x14ac:dyDescent="0.25">
      <c r="A1683" s="718"/>
      <c r="B1683" s="177"/>
      <c r="C1683" s="455"/>
      <c r="D1683" s="2806"/>
      <c r="E1683" s="2856"/>
      <c r="F1683" s="2908" t="str">
        <f>$E$1426</f>
        <v>ASHP SEER 15 MF ER replace Elec Resist Furnace: HVAC ER2_CompE</v>
      </c>
      <c r="G1683" s="2909"/>
      <c r="H1683" s="2909"/>
      <c r="I1683" s="2910"/>
      <c r="J1683" s="1657" t="str">
        <f>$C$1426</f>
        <v>352751_2019_12_</v>
      </c>
      <c r="K1683" s="1663">
        <f>K1681</f>
        <v>33600</v>
      </c>
      <c r="L1683" s="95">
        <f t="shared" si="200"/>
        <v>2.8</v>
      </c>
      <c r="M1683" s="1108"/>
      <c r="N1683" s="177"/>
      <c r="O1683" s="332"/>
      <c r="P1683" s="177"/>
      <c r="Q1683" s="177"/>
      <c r="R1683" s="177"/>
      <c r="S1683" s="177"/>
      <c r="T1683" s="177"/>
      <c r="U1683" s="177"/>
      <c r="V1683" s="2866"/>
      <c r="W1683" s="909"/>
      <c r="X1683" s="909"/>
      <c r="Y1683" s="908">
        <v>33600</v>
      </c>
      <c r="Z1683" s="909"/>
      <c r="AA1683" s="909"/>
      <c r="AB1683" s="909"/>
      <c r="AC1683" s="909"/>
      <c r="AD1683" s="909"/>
      <c r="AE1683" s="909"/>
      <c r="AF1683" s="909"/>
      <c r="AG1683" s="909"/>
      <c r="BB1683" s="784"/>
      <c r="BC1683" s="785"/>
      <c r="BD1683" s="900"/>
      <c r="BE1683" s="797"/>
    </row>
    <row r="1684" spans="1:57" s="65" customFormat="1" ht="15" hidden="1" customHeight="1" outlineLevel="1" x14ac:dyDescent="0.25">
      <c r="A1684" s="718"/>
      <c r="B1684" s="177"/>
      <c r="C1684" s="455"/>
      <c r="D1684" s="2806"/>
      <c r="E1684" s="2856"/>
      <c r="F1684" s="2908" t="str">
        <f>$E$1428</f>
        <v>ASHP SEER 15 MF replace at Fail Elec Resist Furnace: HVAC</v>
      </c>
      <c r="G1684" s="2909"/>
      <c r="H1684" s="2909"/>
      <c r="I1684" s="2910"/>
      <c r="J1684" s="1657" t="str">
        <f>$C$1428</f>
        <v>352800_2019_12_</v>
      </c>
      <c r="K1684" s="1663">
        <v>31200</v>
      </c>
      <c r="L1684" s="95">
        <f t="shared" si="200"/>
        <v>2.6</v>
      </c>
      <c r="M1684" s="1108" t="s">
        <v>1380</v>
      </c>
      <c r="N1684" s="177"/>
      <c r="O1684" s="332"/>
      <c r="P1684" s="177"/>
      <c r="Q1684" s="177"/>
      <c r="R1684" s="177"/>
      <c r="S1684" s="177"/>
      <c r="T1684" s="177"/>
      <c r="U1684" s="177"/>
      <c r="V1684" s="2866"/>
      <c r="W1684" s="909">
        <v>31200</v>
      </c>
      <c r="X1684" s="909">
        <v>31200</v>
      </c>
      <c r="Y1684" s="909">
        <v>31200</v>
      </c>
      <c r="Z1684" s="909"/>
      <c r="AA1684" s="909"/>
      <c r="AB1684" s="909"/>
      <c r="AC1684" s="909"/>
      <c r="AD1684" s="909"/>
      <c r="AE1684" s="909"/>
      <c r="AF1684" s="909"/>
      <c r="AG1684" s="909"/>
      <c r="BB1684" s="784"/>
      <c r="BC1684" s="785"/>
      <c r="BD1684" s="900"/>
      <c r="BE1684" s="797"/>
    </row>
    <row r="1685" spans="1:57" s="65" customFormat="1" ht="15" hidden="1" customHeight="1" outlineLevel="1" x14ac:dyDescent="0.25">
      <c r="A1685" s="718"/>
      <c r="B1685" s="177"/>
      <c r="C1685" s="455"/>
      <c r="D1685" s="2806"/>
      <c r="E1685" s="2856"/>
      <c r="F1685" s="2908" t="str">
        <f>$E$1430</f>
        <v>ASHP SEER 15 MF replace at Fail Elec Resist Furnace: HVAC_CompE</v>
      </c>
      <c r="G1685" s="2909"/>
      <c r="H1685" s="2909"/>
      <c r="I1685" s="2910"/>
      <c r="J1685" s="1657" t="str">
        <f>$C$1430</f>
        <v>352801_2019_12_</v>
      </c>
      <c r="K1685" s="1663">
        <f>K1684</f>
        <v>31200</v>
      </c>
      <c r="L1685" s="95">
        <f t="shared" si="200"/>
        <v>2.6</v>
      </c>
      <c r="M1685" s="1108"/>
      <c r="N1685" s="177"/>
      <c r="O1685" s="332"/>
      <c r="P1685" s="177"/>
      <c r="Q1685" s="177"/>
      <c r="R1685" s="177"/>
      <c r="S1685" s="177"/>
      <c r="T1685" s="177"/>
      <c r="U1685" s="177"/>
      <c r="V1685" s="2866"/>
      <c r="W1685" s="909"/>
      <c r="X1685" s="909"/>
      <c r="Y1685" s="908">
        <v>31200</v>
      </c>
      <c r="Z1685" s="909"/>
      <c r="AA1685" s="909"/>
      <c r="AB1685" s="909"/>
      <c r="AC1685" s="909"/>
      <c r="AD1685" s="909"/>
      <c r="AE1685" s="909"/>
      <c r="AF1685" s="909"/>
      <c r="AG1685" s="909"/>
      <c r="BB1685" s="784"/>
      <c r="BC1685" s="785"/>
      <c r="BD1685" s="900"/>
      <c r="BE1685" s="797"/>
    </row>
    <row r="1686" spans="1:57" s="65" customFormat="1" ht="15" hidden="1" customHeight="1" outlineLevel="1" x14ac:dyDescent="0.25">
      <c r="A1686" s="718"/>
      <c r="B1686" s="177"/>
      <c r="C1686" s="455"/>
      <c r="D1686" s="2806"/>
      <c r="E1686" s="2856"/>
      <c r="F1686" s="2908" t="str">
        <f>$E$1432</f>
        <v>ASHP SEER 16 MF ER replace ASHP: HVAC ER1</v>
      </c>
      <c r="G1686" s="2909"/>
      <c r="H1686" s="2909"/>
      <c r="I1686" s="2910"/>
      <c r="J1686" s="1657" t="str">
        <f>$C$1432</f>
        <v>352850_2019_12_</v>
      </c>
      <c r="K1686" s="1663">
        <v>39600</v>
      </c>
      <c r="L1686" s="95">
        <f t="shared" si="200"/>
        <v>3.3</v>
      </c>
      <c r="M1686" s="1108" t="s">
        <v>1380</v>
      </c>
      <c r="N1686" s="177"/>
      <c r="O1686" s="332"/>
      <c r="P1686" s="1116"/>
      <c r="Q1686" s="1117"/>
      <c r="R1686" s="1116"/>
      <c r="S1686" s="1103"/>
      <c r="T1686" s="1639"/>
      <c r="U1686" s="177"/>
      <c r="V1686" s="2866"/>
      <c r="W1686" s="909">
        <v>39600</v>
      </c>
      <c r="X1686" s="909">
        <v>39600</v>
      </c>
      <c r="Y1686" s="909">
        <v>39600</v>
      </c>
      <c r="Z1686" s="909"/>
      <c r="AA1686" s="909"/>
      <c r="AB1686" s="909"/>
      <c r="AC1686" s="909"/>
      <c r="AD1686" s="909"/>
      <c r="AE1686" s="909"/>
      <c r="AF1686" s="909"/>
      <c r="AG1686" s="909"/>
      <c r="BB1686" s="784"/>
      <c r="BC1686" s="785"/>
      <c r="BD1686" s="900"/>
      <c r="BE1686" s="797"/>
    </row>
    <row r="1687" spans="1:57" s="65" customFormat="1" ht="15" hidden="1" customHeight="1" outlineLevel="1" x14ac:dyDescent="0.25">
      <c r="A1687" s="718"/>
      <c r="B1687" s="177"/>
      <c r="C1687" s="455"/>
      <c r="D1687" s="2806"/>
      <c r="E1687" s="2856"/>
      <c r="F1687" s="2908" t="str">
        <f>$E$1434</f>
        <v>ASHP SEER 16 MF ER replace ASHP: HVAC ER2</v>
      </c>
      <c r="G1687" s="2909"/>
      <c r="H1687" s="2909"/>
      <c r="I1687" s="2910"/>
      <c r="J1687" s="1657" t="str">
        <f>$C$1434</f>
        <v>352850_2019_12_</v>
      </c>
      <c r="K1687" s="1663">
        <v>39600</v>
      </c>
      <c r="L1687" s="95">
        <f t="shared" si="200"/>
        <v>3.3</v>
      </c>
      <c r="M1687" s="1108" t="s">
        <v>1380</v>
      </c>
      <c r="N1687" s="177"/>
      <c r="O1687" s="332"/>
      <c r="P1687" s="1116"/>
      <c r="Q1687" s="1117"/>
      <c r="R1687" s="1116"/>
      <c r="S1687" s="1103"/>
      <c r="T1687" s="1639"/>
      <c r="U1687" s="177"/>
      <c r="V1687" s="2866"/>
      <c r="W1687" s="909">
        <v>39600</v>
      </c>
      <c r="X1687" s="909">
        <v>39600</v>
      </c>
      <c r="Y1687" s="909">
        <v>39600</v>
      </c>
      <c r="Z1687" s="909"/>
      <c r="AA1687" s="909"/>
      <c r="AB1687" s="909"/>
      <c r="AC1687" s="909"/>
      <c r="AD1687" s="909"/>
      <c r="AE1687" s="909"/>
      <c r="AF1687" s="909"/>
      <c r="AG1687" s="909"/>
      <c r="BB1687" s="784"/>
      <c r="BC1687" s="785"/>
      <c r="BD1687" s="900"/>
      <c r="BE1687" s="797"/>
    </row>
    <row r="1688" spans="1:57" s="65" customFormat="1" ht="15" hidden="1" customHeight="1" outlineLevel="1" x14ac:dyDescent="0.25">
      <c r="A1688" s="718"/>
      <c r="B1688" s="177"/>
      <c r="C1688" s="455"/>
      <c r="D1688" s="2806"/>
      <c r="E1688" s="2856"/>
      <c r="F1688" s="2908" t="str">
        <f>$E$1436</f>
        <v>ASHP SEER 16 MF ER replace ASHP: HVAC ER1_CompE</v>
      </c>
      <c r="G1688" s="2909"/>
      <c r="H1688" s="2909"/>
      <c r="I1688" s="2910"/>
      <c r="J1688" s="1657" t="str">
        <f>$C$1436</f>
        <v>352851_2019_12_</v>
      </c>
      <c r="K1688" s="1663">
        <f>K1686</f>
        <v>39600</v>
      </c>
      <c r="L1688" s="95">
        <f t="shared" si="200"/>
        <v>3.3</v>
      </c>
      <c r="M1688" s="1108"/>
      <c r="N1688" s="177"/>
      <c r="O1688" s="332"/>
      <c r="P1688" s="1116"/>
      <c r="Q1688" s="1117"/>
      <c r="R1688" s="1116"/>
      <c r="S1688" s="1103"/>
      <c r="T1688" s="1639"/>
      <c r="U1688" s="177"/>
      <c r="V1688" s="2866"/>
      <c r="W1688" s="909"/>
      <c r="X1688" s="909"/>
      <c r="Y1688" s="908">
        <v>39600</v>
      </c>
      <c r="Z1688" s="909"/>
      <c r="AA1688" s="909"/>
      <c r="AB1688" s="909"/>
      <c r="AC1688" s="909"/>
      <c r="AD1688" s="909"/>
      <c r="AE1688" s="909"/>
      <c r="AF1688" s="909"/>
      <c r="AG1688" s="909"/>
      <c r="BB1688" s="784"/>
      <c r="BC1688" s="785"/>
      <c r="BD1688" s="900"/>
      <c r="BE1688" s="797"/>
    </row>
    <row r="1689" spans="1:57" s="65" customFormat="1" ht="15" hidden="1" customHeight="1" outlineLevel="1" x14ac:dyDescent="0.25">
      <c r="A1689" s="718"/>
      <c r="B1689" s="177"/>
      <c r="C1689" s="455"/>
      <c r="D1689" s="2806"/>
      <c r="E1689" s="2856"/>
      <c r="F1689" s="2908" t="str">
        <f>$E$1438</f>
        <v>ASHP SEER 16 MF ER replace ASHP: HVAC ER2_CompE</v>
      </c>
      <c r="G1689" s="2909"/>
      <c r="H1689" s="2909"/>
      <c r="I1689" s="2910"/>
      <c r="J1689" s="1657" t="str">
        <f>$C$1438</f>
        <v>352851_2019_12_</v>
      </c>
      <c r="K1689" s="1663">
        <f>K1687</f>
        <v>39600</v>
      </c>
      <c r="L1689" s="95">
        <f t="shared" si="200"/>
        <v>3.3</v>
      </c>
      <c r="M1689" s="1108"/>
      <c r="N1689" s="177"/>
      <c r="O1689" s="332"/>
      <c r="P1689" s="1116"/>
      <c r="Q1689" s="1117"/>
      <c r="R1689" s="1116"/>
      <c r="S1689" s="1103"/>
      <c r="T1689" s="1639"/>
      <c r="U1689" s="177"/>
      <c r="V1689" s="2866"/>
      <c r="W1689" s="909"/>
      <c r="X1689" s="909"/>
      <c r="Y1689" s="908">
        <v>39600</v>
      </c>
      <c r="Z1689" s="909"/>
      <c r="AA1689" s="909"/>
      <c r="AB1689" s="909"/>
      <c r="AC1689" s="909"/>
      <c r="AD1689" s="909"/>
      <c r="AE1689" s="909"/>
      <c r="AF1689" s="909"/>
      <c r="AG1689" s="909"/>
      <c r="BB1689" s="784"/>
      <c r="BC1689" s="785"/>
      <c r="BD1689" s="900"/>
      <c r="BE1689" s="797"/>
    </row>
    <row r="1690" spans="1:57" s="65" customFormat="1" ht="15" hidden="1" customHeight="1" outlineLevel="1" x14ac:dyDescent="0.25">
      <c r="A1690" s="718"/>
      <c r="B1690" s="177"/>
      <c r="C1690" s="455"/>
      <c r="D1690" s="2806"/>
      <c r="E1690" s="2856"/>
      <c r="F1690" s="2908" t="str">
        <f>$E$1440</f>
        <v>ASHP - SEER 16 - replace on fail MF</v>
      </c>
      <c r="G1690" s="2909"/>
      <c r="H1690" s="2909"/>
      <c r="I1690" s="2910"/>
      <c r="J1690" s="1657" t="str">
        <f>$C$1440</f>
        <v>352900_2019_12_</v>
      </c>
      <c r="K1690" s="1663">
        <v>39600</v>
      </c>
      <c r="L1690" s="95">
        <f t="shared" si="200"/>
        <v>3.3</v>
      </c>
      <c r="M1690" s="1108" t="s">
        <v>1380</v>
      </c>
      <c r="N1690" s="177"/>
      <c r="O1690" s="332"/>
      <c r="P1690" s="1116"/>
      <c r="Q1690" s="1117"/>
      <c r="R1690" s="1116"/>
      <c r="S1690" s="1103"/>
      <c r="T1690" s="1639"/>
      <c r="U1690" s="177"/>
      <c r="V1690" s="2866"/>
      <c r="W1690" s="909">
        <v>39600</v>
      </c>
      <c r="X1690" s="909">
        <v>39600</v>
      </c>
      <c r="Y1690" s="909">
        <v>39600</v>
      </c>
      <c r="Z1690" s="909"/>
      <c r="AA1690" s="909"/>
      <c r="AB1690" s="909"/>
      <c r="AC1690" s="909"/>
      <c r="AD1690" s="909"/>
      <c r="AE1690" s="909"/>
      <c r="AF1690" s="909"/>
      <c r="AG1690" s="909"/>
      <c r="BB1690" s="784"/>
      <c r="BC1690" s="785"/>
      <c r="BD1690" s="900"/>
      <c r="BE1690" s="797"/>
    </row>
    <row r="1691" spans="1:57" s="65" customFormat="1" ht="15" hidden="1" customHeight="1" outlineLevel="1" x14ac:dyDescent="0.25">
      <c r="A1691" s="718"/>
      <c r="B1691" s="177"/>
      <c r="C1691" s="455"/>
      <c r="D1691" s="2806"/>
      <c r="E1691" s="2856"/>
      <c r="F1691" s="2908" t="str">
        <f>$E$1442</f>
        <v>ASHP - SEER 16 - replace on fail MF_CompE</v>
      </c>
      <c r="G1691" s="2909"/>
      <c r="H1691" s="2909"/>
      <c r="I1691" s="2910"/>
      <c r="J1691" s="1657" t="str">
        <f>$C$1442</f>
        <v>352901_2019_12_</v>
      </c>
      <c r="K1691" s="1663">
        <f>K1690</f>
        <v>39600</v>
      </c>
      <c r="L1691" s="95">
        <f t="shared" si="200"/>
        <v>3.3</v>
      </c>
      <c r="M1691" s="1108"/>
      <c r="N1691" s="177"/>
      <c r="O1691" s="332"/>
      <c r="P1691" s="1116"/>
      <c r="Q1691" s="1117"/>
      <c r="R1691" s="1116"/>
      <c r="S1691" s="1103"/>
      <c r="T1691" s="1639"/>
      <c r="U1691" s="177"/>
      <c r="V1691" s="2866"/>
      <c r="W1691" s="909"/>
      <c r="X1691" s="909"/>
      <c r="Y1691" s="908">
        <v>39600</v>
      </c>
      <c r="Z1691" s="909"/>
      <c r="AA1691" s="909"/>
      <c r="AB1691" s="909"/>
      <c r="AC1691" s="909"/>
      <c r="AD1691" s="909"/>
      <c r="AE1691" s="909"/>
      <c r="AF1691" s="909"/>
      <c r="AG1691" s="909"/>
      <c r="BB1691" s="784"/>
      <c r="BC1691" s="785"/>
      <c r="BD1691" s="900"/>
      <c r="BE1691" s="797"/>
    </row>
    <row r="1692" spans="1:57" s="65" customFormat="1" ht="15" hidden="1" customHeight="1" outlineLevel="1" x14ac:dyDescent="0.25">
      <c r="A1692" s="718"/>
      <c r="B1692" s="177"/>
      <c r="C1692" s="455"/>
      <c r="D1692" s="2806"/>
      <c r="E1692" s="2856"/>
      <c r="F1692" s="2908" t="str">
        <f>$E$1444</f>
        <v>ASHP - SEER 16 - replace electric furnace / CAC MF</v>
      </c>
      <c r="G1692" s="2909"/>
      <c r="H1692" s="2909"/>
      <c r="I1692" s="2910"/>
      <c r="J1692" s="1657" t="str">
        <f>$C$1444</f>
        <v>352950_2019_12_</v>
      </c>
      <c r="K1692" s="1663">
        <v>38400</v>
      </c>
      <c r="L1692" s="95">
        <f t="shared" si="200"/>
        <v>3.2</v>
      </c>
      <c r="M1692" s="1108" t="s">
        <v>1380</v>
      </c>
      <c r="N1692" s="177"/>
      <c r="O1692" s="332"/>
      <c r="P1692" s="1116"/>
      <c r="Q1692" s="1117"/>
      <c r="R1692" s="1116"/>
      <c r="S1692" s="1103"/>
      <c r="T1692" s="1639"/>
      <c r="U1692" s="177"/>
      <c r="V1692" s="2866"/>
      <c r="W1692" s="909">
        <v>38400</v>
      </c>
      <c r="X1692" s="909">
        <v>38400</v>
      </c>
      <c r="Y1692" s="909">
        <v>38400</v>
      </c>
      <c r="Z1692" s="909"/>
      <c r="AA1692" s="909"/>
      <c r="AB1692" s="909"/>
      <c r="AC1692" s="909"/>
      <c r="AD1692" s="909"/>
      <c r="AE1692" s="909"/>
      <c r="AF1692" s="909"/>
      <c r="AG1692" s="909"/>
      <c r="BB1692" s="784"/>
      <c r="BC1692" s="785"/>
      <c r="BD1692" s="900"/>
      <c r="BE1692" s="797"/>
    </row>
    <row r="1693" spans="1:57" s="65" customFormat="1" ht="15" hidden="1" customHeight="1" outlineLevel="1" x14ac:dyDescent="0.25">
      <c r="A1693" s="718"/>
      <c r="B1693" s="177"/>
      <c r="C1693" s="455"/>
      <c r="D1693" s="2806"/>
      <c r="E1693" s="2856"/>
      <c r="F1693" s="2908" t="str">
        <f>$E$1446</f>
        <v>ASHP - SEER 16 - replace electric furnace / CAC MF_CompE</v>
      </c>
      <c r="G1693" s="2909"/>
      <c r="H1693" s="2909"/>
      <c r="I1693" s="2910"/>
      <c r="J1693" s="1657" t="str">
        <f>$C$1446</f>
        <v>352951_2019_12_</v>
      </c>
      <c r="K1693" s="1663">
        <f>K1692</f>
        <v>38400</v>
      </c>
      <c r="L1693" s="95">
        <f t="shared" si="200"/>
        <v>3.2</v>
      </c>
      <c r="M1693" s="1108"/>
      <c r="N1693" s="177"/>
      <c r="O1693" s="332"/>
      <c r="P1693" s="1116"/>
      <c r="Q1693" s="1117"/>
      <c r="R1693" s="1116"/>
      <c r="S1693" s="1103"/>
      <c r="T1693" s="1639"/>
      <c r="U1693" s="177"/>
      <c r="V1693" s="2866"/>
      <c r="W1693" s="909"/>
      <c r="X1693" s="909"/>
      <c r="Y1693" s="908">
        <v>38400</v>
      </c>
      <c r="Z1693" s="909"/>
      <c r="AA1693" s="909"/>
      <c r="AB1693" s="909"/>
      <c r="AC1693" s="909"/>
      <c r="AD1693" s="909"/>
      <c r="AE1693" s="909"/>
      <c r="AF1693" s="909"/>
      <c r="AG1693" s="909"/>
      <c r="BB1693" s="784"/>
      <c r="BC1693" s="785"/>
      <c r="BD1693" s="900"/>
      <c r="BE1693" s="797"/>
    </row>
    <row r="1694" spans="1:57" s="65" customFormat="1" ht="15" hidden="1" customHeight="1" outlineLevel="1" x14ac:dyDescent="0.25">
      <c r="A1694" s="718"/>
      <c r="B1694" s="177"/>
      <c r="C1694" s="455"/>
      <c r="D1694" s="2806"/>
      <c r="E1694" s="2856"/>
      <c r="F1694" s="2908" t="str">
        <f>$E$1448</f>
        <v>ASHP - SEER 16 - replace electric furnace / CAC - early replacement MF ER1</v>
      </c>
      <c r="G1694" s="2909"/>
      <c r="H1694" s="2909"/>
      <c r="I1694" s="2910"/>
      <c r="J1694" s="1657" t="str">
        <f>$C$1448</f>
        <v>353000_2019_12_</v>
      </c>
      <c r="K1694" s="1663">
        <v>37200</v>
      </c>
      <c r="L1694" s="95">
        <f t="shared" si="200"/>
        <v>3.1</v>
      </c>
      <c r="M1694" s="1108" t="s">
        <v>1380</v>
      </c>
      <c r="N1694" s="177"/>
      <c r="O1694" s="332"/>
      <c r="P1694" s="1116"/>
      <c r="Q1694" s="1117"/>
      <c r="R1694" s="1116"/>
      <c r="S1694" s="1103"/>
      <c r="T1694" s="1639"/>
      <c r="U1694" s="177"/>
      <c r="V1694" s="2866"/>
      <c r="W1694" s="909">
        <v>37200</v>
      </c>
      <c r="X1694" s="909">
        <v>37200</v>
      </c>
      <c r="Y1694" s="909">
        <v>37200</v>
      </c>
      <c r="Z1694" s="909"/>
      <c r="AA1694" s="909"/>
      <c r="AB1694" s="909"/>
      <c r="AC1694" s="909"/>
      <c r="AD1694" s="909"/>
      <c r="AE1694" s="909"/>
      <c r="AF1694" s="909"/>
      <c r="AG1694" s="909"/>
      <c r="BB1694" s="784"/>
      <c r="BC1694" s="785"/>
      <c r="BD1694" s="900"/>
      <c r="BE1694" s="797"/>
    </row>
    <row r="1695" spans="1:57" s="65" customFormat="1" ht="15" hidden="1" customHeight="1" outlineLevel="1" x14ac:dyDescent="0.25">
      <c r="A1695" s="718"/>
      <c r="B1695" s="177"/>
      <c r="C1695" s="455"/>
      <c r="D1695" s="2806"/>
      <c r="E1695" s="2856"/>
      <c r="F1695" s="2908" t="str">
        <f>$E$1450</f>
        <v>ASHP - SEER 16 - replace electric furnace / CAC - early replacement MF ER2</v>
      </c>
      <c r="G1695" s="2909"/>
      <c r="H1695" s="2909"/>
      <c r="I1695" s="2910"/>
      <c r="J1695" s="1657" t="str">
        <f>$C$1450</f>
        <v>353000_2019_12_</v>
      </c>
      <c r="K1695" s="1663">
        <v>37200</v>
      </c>
      <c r="L1695" s="95">
        <f t="shared" si="200"/>
        <v>3.1</v>
      </c>
      <c r="M1695" s="1108" t="s">
        <v>1380</v>
      </c>
      <c r="N1695" s="177"/>
      <c r="O1695" s="332"/>
      <c r="P1695" s="1116"/>
      <c r="Q1695" s="1117"/>
      <c r="R1695" s="1116"/>
      <c r="S1695" s="1103"/>
      <c r="T1695" s="1639"/>
      <c r="U1695" s="177"/>
      <c r="V1695" s="2866"/>
      <c r="W1695" s="909">
        <v>37200</v>
      </c>
      <c r="X1695" s="909">
        <v>37200</v>
      </c>
      <c r="Y1695" s="909">
        <v>37200</v>
      </c>
      <c r="Z1695" s="909"/>
      <c r="AA1695" s="909"/>
      <c r="AB1695" s="909"/>
      <c r="AC1695" s="909"/>
      <c r="AD1695" s="909"/>
      <c r="AE1695" s="909"/>
      <c r="AF1695" s="909"/>
      <c r="AG1695" s="909"/>
      <c r="BB1695" s="784"/>
      <c r="BC1695" s="785"/>
      <c r="BD1695" s="900"/>
      <c r="BE1695" s="797"/>
    </row>
    <row r="1696" spans="1:57" s="65" customFormat="1" ht="15" hidden="1" customHeight="1" outlineLevel="1" x14ac:dyDescent="0.25">
      <c r="A1696" s="718"/>
      <c r="B1696" s="177"/>
      <c r="C1696" s="455"/>
      <c r="D1696" s="2806"/>
      <c r="E1696" s="2856"/>
      <c r="F1696" s="2908" t="str">
        <f>$E$1452</f>
        <v>ASHP - SEER 16 - replace electric furnace / CAC - early replacement MF ER1_CompE</v>
      </c>
      <c r="G1696" s="2909"/>
      <c r="H1696" s="2909"/>
      <c r="I1696" s="2910"/>
      <c r="J1696" s="1657" t="str">
        <f>$C$1452</f>
        <v>353001_2019_12_</v>
      </c>
      <c r="K1696" s="1663">
        <f>K1694</f>
        <v>37200</v>
      </c>
      <c r="L1696" s="95">
        <f t="shared" si="200"/>
        <v>3.1</v>
      </c>
      <c r="M1696" s="1108"/>
      <c r="N1696" s="177"/>
      <c r="O1696" s="332"/>
      <c r="P1696" s="1116"/>
      <c r="Q1696" s="1117"/>
      <c r="R1696" s="1116"/>
      <c r="S1696" s="1103"/>
      <c r="T1696" s="1639"/>
      <c r="U1696" s="177"/>
      <c r="V1696" s="2866"/>
      <c r="W1696" s="909"/>
      <c r="X1696" s="909"/>
      <c r="Y1696" s="908">
        <v>37200</v>
      </c>
      <c r="Z1696" s="909"/>
      <c r="AA1696" s="909"/>
      <c r="AB1696" s="909"/>
      <c r="AC1696" s="909"/>
      <c r="AD1696" s="909"/>
      <c r="AE1696" s="909"/>
      <c r="AF1696" s="909"/>
      <c r="AG1696" s="909"/>
      <c r="BB1696" s="784"/>
      <c r="BC1696" s="785"/>
      <c r="BD1696" s="900"/>
      <c r="BE1696" s="797"/>
    </row>
    <row r="1697" spans="1:57" s="65" customFormat="1" ht="15" hidden="1" customHeight="1" outlineLevel="1" x14ac:dyDescent="0.25">
      <c r="A1697" s="718"/>
      <c r="B1697" s="177"/>
      <c r="C1697" s="455"/>
      <c r="D1697" s="2806"/>
      <c r="E1697" s="2856"/>
      <c r="F1697" s="2908" t="str">
        <f>$E$1454</f>
        <v>ASHP - SEER 16 - replace electric furnace / CAC - early replacement MF ER2_CompE</v>
      </c>
      <c r="G1697" s="2909"/>
      <c r="H1697" s="2909"/>
      <c r="I1697" s="2910"/>
      <c r="J1697" s="1657" t="str">
        <f>$C$1454</f>
        <v>353001_2019_12_</v>
      </c>
      <c r="K1697" s="1663">
        <f>K1695</f>
        <v>37200</v>
      </c>
      <c r="L1697" s="95">
        <f t="shared" si="200"/>
        <v>3.1</v>
      </c>
      <c r="M1697" s="1108"/>
      <c r="N1697" s="177"/>
      <c r="O1697" s="332"/>
      <c r="P1697" s="1116"/>
      <c r="Q1697" s="1117"/>
      <c r="R1697" s="1116"/>
      <c r="S1697" s="1103"/>
      <c r="T1697" s="1639"/>
      <c r="U1697" s="177"/>
      <c r="V1697" s="2866"/>
      <c r="W1697" s="909"/>
      <c r="X1697" s="909"/>
      <c r="Y1697" s="908">
        <v>37200</v>
      </c>
      <c r="Z1697" s="909"/>
      <c r="AA1697" s="909"/>
      <c r="AB1697" s="909"/>
      <c r="AC1697" s="909"/>
      <c r="AD1697" s="909"/>
      <c r="AE1697" s="909"/>
      <c r="AF1697" s="909"/>
      <c r="AG1697" s="909"/>
      <c r="BB1697" s="784"/>
      <c r="BC1697" s="785"/>
      <c r="BD1697" s="900"/>
      <c r="BE1697" s="797"/>
    </row>
    <row r="1698" spans="1:57" s="65" customFormat="1" ht="15" hidden="1" customHeight="1" outlineLevel="1" x14ac:dyDescent="0.25">
      <c r="A1698" s="718"/>
      <c r="B1698" s="177"/>
      <c r="C1698" s="455"/>
      <c r="D1698" s="2806"/>
      <c r="E1698" s="2856"/>
      <c r="F1698" s="2911" t="str">
        <f>$E$1456</f>
        <v xml:space="preserve">ASHP SEER 15 - replace on Fail MF </v>
      </c>
      <c r="G1698" s="2912"/>
      <c r="H1698" s="2912"/>
      <c r="I1698" s="2913"/>
      <c r="J1698" s="1658" t="str">
        <f>$C$1456</f>
        <v>353050_2019_12_</v>
      </c>
      <c r="K1698" s="1663">
        <v>37200</v>
      </c>
      <c r="L1698" s="95">
        <f t="shared" si="200"/>
        <v>3.1</v>
      </c>
      <c r="M1698" s="1108" t="s">
        <v>1380</v>
      </c>
      <c r="N1698" s="177"/>
      <c r="O1698" s="332"/>
      <c r="P1698" s="1116"/>
      <c r="Q1698" s="1117"/>
      <c r="R1698" s="1116"/>
      <c r="S1698" s="1103"/>
      <c r="T1698" s="1639"/>
      <c r="U1698" s="177"/>
      <c r="V1698" s="2866"/>
      <c r="W1698" s="909">
        <v>37200</v>
      </c>
      <c r="X1698" s="909">
        <v>37200</v>
      </c>
      <c r="Y1698" s="909">
        <v>37200</v>
      </c>
      <c r="Z1698" s="909"/>
      <c r="AA1698" s="909"/>
      <c r="AB1698" s="909"/>
      <c r="AC1698" s="909"/>
      <c r="AD1698" s="909"/>
      <c r="AE1698" s="909"/>
      <c r="AF1698" s="909"/>
      <c r="AG1698" s="909"/>
      <c r="BB1698" s="784"/>
      <c r="BC1698" s="785"/>
      <c r="BD1698" s="900"/>
      <c r="BE1698" s="797"/>
    </row>
    <row r="1699" spans="1:57" s="65" customFormat="1" ht="15" hidden="1" customHeight="1" outlineLevel="1" x14ac:dyDescent="0.25">
      <c r="A1699" s="718"/>
      <c r="B1699" s="177"/>
      <c r="C1699" s="455"/>
      <c r="D1699" s="2806"/>
      <c r="E1699" s="2856"/>
      <c r="F1699" s="2911" t="str">
        <f>$E$1458</f>
        <v>ASHP SEER 15 - replace on Fail MF _CompE</v>
      </c>
      <c r="G1699" s="2912"/>
      <c r="H1699" s="2912"/>
      <c r="I1699" s="2913"/>
      <c r="J1699" s="1658" t="str">
        <f>$C$1458</f>
        <v>353051_2019_12_</v>
      </c>
      <c r="K1699" s="1663">
        <f>K1698</f>
        <v>37200</v>
      </c>
      <c r="L1699" s="95">
        <f t="shared" si="200"/>
        <v>3.1</v>
      </c>
      <c r="M1699" s="1108"/>
      <c r="N1699" s="177"/>
      <c r="O1699" s="332"/>
      <c r="P1699" s="1116"/>
      <c r="Q1699" s="1117"/>
      <c r="R1699" s="1116"/>
      <c r="S1699" s="1103"/>
      <c r="T1699" s="1639"/>
      <c r="U1699" s="177"/>
      <c r="V1699" s="2866"/>
      <c r="W1699" s="909"/>
      <c r="X1699" s="909"/>
      <c r="Y1699" s="908">
        <v>37200</v>
      </c>
      <c r="Z1699" s="909"/>
      <c r="AA1699" s="909"/>
      <c r="AB1699" s="909"/>
      <c r="AC1699" s="909"/>
      <c r="AD1699" s="909"/>
      <c r="AE1699" s="909"/>
      <c r="AF1699" s="909"/>
      <c r="AG1699" s="909"/>
      <c r="BB1699" s="784"/>
      <c r="BC1699" s="785"/>
      <c r="BD1699" s="900"/>
      <c r="BE1699" s="797"/>
    </row>
    <row r="1700" spans="1:57" s="65" customFormat="1" ht="15" hidden="1" customHeight="1" outlineLevel="1" x14ac:dyDescent="0.25">
      <c r="A1700" s="718"/>
      <c r="B1700" s="177"/>
      <c r="C1700" s="455"/>
      <c r="D1700" s="2806"/>
      <c r="E1700" s="2856"/>
      <c r="F1700" s="2908" t="str">
        <f>$E$1460</f>
        <v>ASHP - SEER 17 - replace electric furnace / CAC SF</v>
      </c>
      <c r="G1700" s="2909"/>
      <c r="H1700" s="2909"/>
      <c r="I1700" s="2910"/>
      <c r="J1700" s="1657" t="str">
        <f>$C$1460</f>
        <v>353100_2019_12_</v>
      </c>
      <c r="K1700" s="1663">
        <v>33600</v>
      </c>
      <c r="L1700" s="95">
        <f t="shared" si="200"/>
        <v>2.8</v>
      </c>
      <c r="M1700" s="1108" t="s">
        <v>1598</v>
      </c>
      <c r="N1700" s="177"/>
      <c r="O1700" s="332"/>
      <c r="P1700" s="1116"/>
      <c r="Q1700" s="1117"/>
      <c r="R1700" s="1116"/>
      <c r="S1700" s="1103"/>
      <c r="T1700" s="1639"/>
      <c r="U1700" s="177"/>
      <c r="V1700" s="2866"/>
      <c r="W1700" s="909">
        <v>33600</v>
      </c>
      <c r="X1700" s="909">
        <v>33600</v>
      </c>
      <c r="Y1700" s="909">
        <v>33600</v>
      </c>
      <c r="Z1700" s="909"/>
      <c r="AA1700" s="909"/>
      <c r="AB1700" s="909"/>
      <c r="AC1700" s="909"/>
      <c r="AD1700" s="909"/>
      <c r="AE1700" s="909"/>
      <c r="AF1700" s="909"/>
      <c r="AG1700" s="909"/>
      <c r="BB1700" s="784"/>
      <c r="BC1700" s="785"/>
      <c r="BD1700" s="900"/>
      <c r="BE1700" s="797"/>
    </row>
    <row r="1701" spans="1:57" s="65" customFormat="1" ht="15" hidden="1" customHeight="1" outlineLevel="1" x14ac:dyDescent="0.25">
      <c r="A1701" s="718"/>
      <c r="B1701" s="177"/>
      <c r="C1701" s="455"/>
      <c r="D1701" s="2806"/>
      <c r="E1701" s="2856"/>
      <c r="F1701" s="2908" t="str">
        <f>$E$1462</f>
        <v>ASHP - SEER 17 - replace electric furnace / CAC MF</v>
      </c>
      <c r="G1701" s="2909"/>
      <c r="H1701" s="2909"/>
      <c r="I1701" s="2910"/>
      <c r="J1701" s="1657" t="str">
        <f>$C$1462</f>
        <v>353150_2019_12_</v>
      </c>
      <c r="K1701" s="1663">
        <v>33600</v>
      </c>
      <c r="L1701" s="95">
        <f t="shared" si="200"/>
        <v>2.8</v>
      </c>
      <c r="M1701" s="1108" t="s">
        <v>1598</v>
      </c>
      <c r="N1701" s="177"/>
      <c r="O1701" s="332"/>
      <c r="P1701" s="1116"/>
      <c r="Q1701" s="1117"/>
      <c r="R1701" s="1116"/>
      <c r="S1701" s="1103"/>
      <c r="T1701" s="1639"/>
      <c r="U1701" s="177"/>
      <c r="V1701" s="2866"/>
      <c r="W1701" s="909">
        <v>33600</v>
      </c>
      <c r="X1701" s="909">
        <v>33600</v>
      </c>
      <c r="Y1701" s="909">
        <v>33600</v>
      </c>
      <c r="Z1701" s="909"/>
      <c r="AA1701" s="909"/>
      <c r="AB1701" s="909"/>
      <c r="AC1701" s="909"/>
      <c r="AD1701" s="909"/>
      <c r="AE1701" s="909"/>
      <c r="AF1701" s="909"/>
      <c r="AG1701" s="909"/>
      <c r="BB1701" s="784"/>
      <c r="BC1701" s="785"/>
      <c r="BD1701" s="900"/>
      <c r="BE1701" s="797"/>
    </row>
    <row r="1702" spans="1:57" s="65" customFormat="1" ht="15" hidden="1" customHeight="1" outlineLevel="1" x14ac:dyDescent="0.25">
      <c r="A1702" s="718"/>
      <c r="B1702" s="177"/>
      <c r="C1702" s="455"/>
      <c r="D1702" s="2806"/>
      <c r="E1702" s="2856"/>
      <c r="F1702" s="2908" t="str">
        <f>$E$1464</f>
        <v>ASHP - SEER 17 - replace electric furnace / CAC MF_CompE</v>
      </c>
      <c r="G1702" s="2909"/>
      <c r="H1702" s="2909"/>
      <c r="I1702" s="2910"/>
      <c r="J1702" s="1657" t="str">
        <f>$C$1464</f>
        <v>353151_2019_12_</v>
      </c>
      <c r="K1702" s="1663">
        <f>K1701</f>
        <v>33600</v>
      </c>
      <c r="L1702" s="95">
        <f t="shared" si="200"/>
        <v>2.8</v>
      </c>
      <c r="M1702" s="1108"/>
      <c r="N1702" s="177"/>
      <c r="O1702" s="332"/>
      <c r="P1702" s="1116"/>
      <c r="Q1702" s="1117"/>
      <c r="R1702" s="1116"/>
      <c r="S1702" s="1103"/>
      <c r="T1702" s="1639"/>
      <c r="U1702" s="177"/>
      <c r="V1702" s="2866"/>
      <c r="W1702" s="909"/>
      <c r="X1702" s="909"/>
      <c r="Y1702" s="908">
        <v>33600</v>
      </c>
      <c r="Z1702" s="909"/>
      <c r="AA1702" s="909"/>
      <c r="AB1702" s="909"/>
      <c r="AC1702" s="909"/>
      <c r="AD1702" s="909"/>
      <c r="AE1702" s="909"/>
      <c r="AF1702" s="909"/>
      <c r="AG1702" s="909"/>
      <c r="BB1702" s="784"/>
      <c r="BC1702" s="785"/>
      <c r="BD1702" s="900"/>
      <c r="BE1702" s="797"/>
    </row>
    <row r="1703" spans="1:57" s="65" customFormat="1" ht="15" hidden="1" customHeight="1" outlineLevel="1" x14ac:dyDescent="0.25">
      <c r="A1703" s="718"/>
      <c r="B1703" s="177"/>
      <c r="C1703" s="455"/>
      <c r="D1703" s="2806"/>
      <c r="E1703" s="2856"/>
      <c r="F1703" s="2908" t="str">
        <f>$E$1466</f>
        <v>ASHP - SEER 18 - replace electric furnace / CAC SF</v>
      </c>
      <c r="G1703" s="2909"/>
      <c r="H1703" s="2909"/>
      <c r="I1703" s="2910"/>
      <c r="J1703" s="1657" t="str">
        <f>$C$1466</f>
        <v>353200_2019_12_</v>
      </c>
      <c r="K1703" s="1663">
        <v>33600</v>
      </c>
      <c r="L1703" s="95">
        <f t="shared" si="200"/>
        <v>2.8</v>
      </c>
      <c r="M1703" s="1108" t="s">
        <v>1598</v>
      </c>
      <c r="N1703" s="177"/>
      <c r="O1703" s="332"/>
      <c r="P1703" s="1116"/>
      <c r="Q1703" s="1117"/>
      <c r="R1703" s="1116"/>
      <c r="S1703" s="1103"/>
      <c r="T1703" s="1639"/>
      <c r="U1703" s="177"/>
      <c r="V1703" s="2866"/>
      <c r="W1703" s="909">
        <v>33600</v>
      </c>
      <c r="X1703" s="909">
        <v>33600</v>
      </c>
      <c r="Y1703" s="909">
        <v>33600</v>
      </c>
      <c r="Z1703" s="909"/>
      <c r="AA1703" s="909"/>
      <c r="AB1703" s="909"/>
      <c r="AC1703" s="909"/>
      <c r="AD1703" s="909"/>
      <c r="AE1703" s="909"/>
      <c r="AF1703" s="909"/>
      <c r="AG1703" s="909"/>
      <c r="BB1703" s="784"/>
      <c r="BC1703" s="785"/>
      <c r="BD1703" s="900"/>
      <c r="BE1703" s="797"/>
    </row>
    <row r="1704" spans="1:57" s="65" customFormat="1" ht="15" hidden="1" customHeight="1" outlineLevel="1" x14ac:dyDescent="0.25">
      <c r="A1704" s="718"/>
      <c r="B1704" s="177"/>
      <c r="C1704" s="455"/>
      <c r="D1704" s="2806"/>
      <c r="E1704" s="2856"/>
      <c r="F1704" s="2908" t="str">
        <f>$E$1468</f>
        <v>ASHP - SEER 18 - replace electric furnace / CAC MF</v>
      </c>
      <c r="G1704" s="2909"/>
      <c r="H1704" s="2909"/>
      <c r="I1704" s="2910"/>
      <c r="J1704" s="1657" t="str">
        <f>$C$1468</f>
        <v>353250_2019_12_</v>
      </c>
      <c r="K1704" s="1663">
        <v>33600</v>
      </c>
      <c r="L1704" s="95">
        <f t="shared" si="200"/>
        <v>2.8</v>
      </c>
      <c r="M1704" s="1108" t="s">
        <v>1598</v>
      </c>
      <c r="N1704" s="177"/>
      <c r="O1704" s="332"/>
      <c r="P1704" s="1116"/>
      <c r="Q1704" s="1117"/>
      <c r="R1704" s="1116"/>
      <c r="S1704" s="1103"/>
      <c r="T1704" s="1639"/>
      <c r="U1704" s="177"/>
      <c r="V1704" s="2866"/>
      <c r="W1704" s="909">
        <v>33600</v>
      </c>
      <c r="X1704" s="909">
        <v>33600</v>
      </c>
      <c r="Y1704" s="909">
        <v>33600</v>
      </c>
      <c r="Z1704" s="909"/>
      <c r="AA1704" s="909"/>
      <c r="AB1704" s="909"/>
      <c r="AC1704" s="909"/>
      <c r="AD1704" s="909"/>
      <c r="AE1704" s="909"/>
      <c r="AF1704" s="909"/>
      <c r="AG1704" s="909"/>
      <c r="BB1704" s="784"/>
      <c r="BC1704" s="785"/>
      <c r="BD1704" s="900"/>
      <c r="BE1704" s="797"/>
    </row>
    <row r="1705" spans="1:57" s="65" customFormat="1" ht="15" hidden="1" customHeight="1" outlineLevel="1" x14ac:dyDescent="0.25">
      <c r="A1705" s="718"/>
      <c r="B1705" s="177"/>
      <c r="C1705" s="455"/>
      <c r="D1705" s="2806"/>
      <c r="E1705" s="2856"/>
      <c r="F1705" s="2908" t="str">
        <f>$E$1470</f>
        <v>ASHP - SEER 18 - replace electric furnace / CAC MF_CompE</v>
      </c>
      <c r="G1705" s="2909"/>
      <c r="H1705" s="2909"/>
      <c r="I1705" s="2910"/>
      <c r="J1705" s="1657" t="str">
        <f>$C$1470</f>
        <v>353251_2019_12_</v>
      </c>
      <c r="K1705" s="1663">
        <f>K1704</f>
        <v>33600</v>
      </c>
      <c r="L1705" s="95">
        <f t="shared" si="200"/>
        <v>2.8</v>
      </c>
      <c r="M1705" s="1108"/>
      <c r="N1705" s="177"/>
      <c r="O1705" s="332"/>
      <c r="P1705" s="1116"/>
      <c r="Q1705" s="1117"/>
      <c r="R1705" s="1116"/>
      <c r="S1705" s="1103"/>
      <c r="T1705" s="1639"/>
      <c r="U1705" s="177"/>
      <c r="V1705" s="2866"/>
      <c r="W1705" s="909"/>
      <c r="X1705" s="909"/>
      <c r="Y1705" s="908">
        <v>33600</v>
      </c>
      <c r="Z1705" s="909"/>
      <c r="AA1705" s="909"/>
      <c r="AB1705" s="909"/>
      <c r="AC1705" s="909"/>
      <c r="AD1705" s="909"/>
      <c r="AE1705" s="909"/>
      <c r="AF1705" s="909"/>
      <c r="AG1705" s="909"/>
      <c r="BB1705" s="784"/>
      <c r="BC1705" s="785"/>
      <c r="BD1705" s="900"/>
      <c r="BE1705" s="797"/>
    </row>
    <row r="1706" spans="1:57" s="65" customFormat="1" ht="15" hidden="1" customHeight="1" outlineLevel="1" x14ac:dyDescent="0.25">
      <c r="A1706" s="718"/>
      <c r="B1706" s="177"/>
      <c r="C1706" s="455"/>
      <c r="D1706" s="2806"/>
      <c r="E1706" s="2856"/>
      <c r="F1706" s="2908" t="str">
        <f>$E$1472</f>
        <v>ASHP - SEER 19 - replace electric furnace / CAC SF</v>
      </c>
      <c r="G1706" s="2909"/>
      <c r="H1706" s="2909"/>
      <c r="I1706" s="2910"/>
      <c r="J1706" s="1657" t="str">
        <f>$C$1472</f>
        <v>353300_2019_12_</v>
      </c>
      <c r="K1706" s="1663">
        <v>33600</v>
      </c>
      <c r="L1706" s="95">
        <f t="shared" si="200"/>
        <v>2.8</v>
      </c>
      <c r="M1706" s="1108" t="s">
        <v>1598</v>
      </c>
      <c r="N1706" s="177"/>
      <c r="O1706" s="332"/>
      <c r="P1706" s="1116"/>
      <c r="Q1706" s="1117"/>
      <c r="R1706" s="1116"/>
      <c r="S1706" s="1103"/>
      <c r="T1706" s="1639"/>
      <c r="U1706" s="177"/>
      <c r="V1706" s="2866"/>
      <c r="W1706" s="909">
        <v>33600</v>
      </c>
      <c r="X1706" s="909">
        <v>33600</v>
      </c>
      <c r="Y1706" s="909">
        <v>33600</v>
      </c>
      <c r="Z1706" s="909"/>
      <c r="AA1706" s="909"/>
      <c r="AB1706" s="909"/>
      <c r="AC1706" s="909"/>
      <c r="AD1706" s="909"/>
      <c r="AE1706" s="909"/>
      <c r="AF1706" s="909"/>
      <c r="AG1706" s="909"/>
      <c r="BB1706" s="784"/>
      <c r="BC1706" s="785"/>
      <c r="BD1706" s="900"/>
      <c r="BE1706" s="797"/>
    </row>
    <row r="1707" spans="1:57" s="65" customFormat="1" ht="15" hidden="1" customHeight="1" outlineLevel="1" x14ac:dyDescent="0.25">
      <c r="A1707" s="718"/>
      <c r="B1707" s="177"/>
      <c r="C1707" s="455"/>
      <c r="D1707" s="2806"/>
      <c r="E1707" s="2856"/>
      <c r="F1707" s="2908" t="str">
        <f>$E$1474</f>
        <v>ASHP - SEER 19 - replace electric furnace / CAC MF</v>
      </c>
      <c r="G1707" s="2909"/>
      <c r="H1707" s="2909"/>
      <c r="I1707" s="2910"/>
      <c r="J1707" s="1657" t="str">
        <f>$C$1474</f>
        <v>353350_2019_12_</v>
      </c>
      <c r="K1707" s="1663">
        <v>33600</v>
      </c>
      <c r="L1707" s="95">
        <f t="shared" si="200"/>
        <v>2.8</v>
      </c>
      <c r="M1707" s="1108" t="s">
        <v>1598</v>
      </c>
      <c r="N1707" s="177"/>
      <c r="O1707" s="332"/>
      <c r="P1707" s="1116"/>
      <c r="Q1707" s="1117"/>
      <c r="R1707" s="1116"/>
      <c r="S1707" s="1103"/>
      <c r="T1707" s="1639"/>
      <c r="U1707" s="177"/>
      <c r="V1707" s="2866"/>
      <c r="W1707" s="909">
        <v>33600</v>
      </c>
      <c r="X1707" s="909">
        <v>33600</v>
      </c>
      <c r="Y1707" s="909">
        <v>33600</v>
      </c>
      <c r="Z1707" s="909"/>
      <c r="AA1707" s="909"/>
      <c r="AB1707" s="909"/>
      <c r="AC1707" s="909"/>
      <c r="AD1707" s="909"/>
      <c r="AE1707" s="909"/>
      <c r="AF1707" s="909"/>
      <c r="AG1707" s="909"/>
      <c r="BB1707" s="784"/>
      <c r="BC1707" s="785"/>
      <c r="BD1707" s="900"/>
      <c r="BE1707" s="797"/>
    </row>
    <row r="1708" spans="1:57" s="65" customFormat="1" ht="15" hidden="1" customHeight="1" outlineLevel="1" x14ac:dyDescent="0.25">
      <c r="A1708" s="718"/>
      <c r="B1708" s="177"/>
      <c r="C1708" s="455"/>
      <c r="D1708" s="2806"/>
      <c r="E1708" s="2856"/>
      <c r="F1708" s="2908" t="str">
        <f>$E$1476</f>
        <v>ASHP - SEER 19 - replace electric furnace / CAC MF_CompE</v>
      </c>
      <c r="G1708" s="2909"/>
      <c r="H1708" s="2909"/>
      <c r="I1708" s="2910"/>
      <c r="J1708" s="1657" t="str">
        <f>$C$1476</f>
        <v>353351_2019_12_</v>
      </c>
      <c r="K1708" s="1663">
        <f>K1707</f>
        <v>33600</v>
      </c>
      <c r="L1708" s="95">
        <f t="shared" si="200"/>
        <v>2.8</v>
      </c>
      <c r="M1708" s="1108"/>
      <c r="N1708" s="177"/>
      <c r="O1708" s="332"/>
      <c r="P1708" s="1116"/>
      <c r="Q1708" s="1117"/>
      <c r="R1708" s="1116"/>
      <c r="S1708" s="1103"/>
      <c r="T1708" s="1639"/>
      <c r="U1708" s="177"/>
      <c r="V1708" s="2866"/>
      <c r="W1708" s="909"/>
      <c r="X1708" s="909"/>
      <c r="Y1708" s="908">
        <v>33600</v>
      </c>
      <c r="Z1708" s="909"/>
      <c r="AA1708" s="909"/>
      <c r="AB1708" s="909"/>
      <c r="AC1708" s="909"/>
      <c r="AD1708" s="909"/>
      <c r="AE1708" s="909"/>
      <c r="AF1708" s="909"/>
      <c r="AG1708" s="909"/>
      <c r="BB1708" s="784"/>
      <c r="BC1708" s="785"/>
      <c r="BD1708" s="900"/>
      <c r="BE1708" s="797"/>
    </row>
    <row r="1709" spans="1:57" s="65" customFormat="1" ht="15" hidden="1" customHeight="1" outlineLevel="1" x14ac:dyDescent="0.25">
      <c r="A1709" s="718"/>
      <c r="B1709" s="177"/>
      <c r="C1709" s="455"/>
      <c r="D1709" s="2806"/>
      <c r="E1709" s="2856"/>
      <c r="F1709" s="2908" t="str">
        <f>$E$1478</f>
        <v>ASHP - SEER 20 - replace electric furnace / CAC - early replacement SF ER1</v>
      </c>
      <c r="G1709" s="2909"/>
      <c r="H1709" s="2909"/>
      <c r="I1709" s="2910"/>
      <c r="J1709" s="1657" t="str">
        <f>$C$1478</f>
        <v>353400_2019_12_</v>
      </c>
      <c r="K1709" s="1663">
        <v>37200</v>
      </c>
      <c r="L1709" s="95">
        <f t="shared" si="200"/>
        <v>3.1</v>
      </c>
      <c r="M1709" s="1108" t="s">
        <v>1598</v>
      </c>
      <c r="N1709" s="177"/>
      <c r="O1709" s="332"/>
      <c r="P1709" s="1116"/>
      <c r="Q1709" s="1117"/>
      <c r="R1709" s="1116"/>
      <c r="S1709" s="1103"/>
      <c r="T1709" s="1639"/>
      <c r="U1709" s="177"/>
      <c r="V1709" s="2866"/>
      <c r="W1709" s="909">
        <v>37200</v>
      </c>
      <c r="X1709" s="909">
        <v>37200</v>
      </c>
      <c r="Y1709" s="909">
        <v>37200</v>
      </c>
      <c r="Z1709" s="909"/>
      <c r="AA1709" s="909"/>
      <c r="AB1709" s="909"/>
      <c r="AC1709" s="909"/>
      <c r="AD1709" s="909"/>
      <c r="AE1709" s="909"/>
      <c r="AF1709" s="909"/>
      <c r="AG1709" s="909"/>
      <c r="BB1709" s="784"/>
      <c r="BC1709" s="785"/>
      <c r="BD1709" s="900"/>
      <c r="BE1709" s="797"/>
    </row>
    <row r="1710" spans="1:57" s="65" customFormat="1" ht="15" hidden="1" customHeight="1" outlineLevel="1" x14ac:dyDescent="0.25">
      <c r="A1710" s="718"/>
      <c r="B1710" s="177"/>
      <c r="C1710" s="455"/>
      <c r="D1710" s="2806"/>
      <c r="E1710" s="2856"/>
      <c r="F1710" s="2908" t="str">
        <f>$E$1480</f>
        <v>ASHP - SEER 20 - replace electric furnace / CAC - early replacement SF ER2</v>
      </c>
      <c r="G1710" s="2909"/>
      <c r="H1710" s="2909"/>
      <c r="I1710" s="2910"/>
      <c r="J1710" s="1657" t="str">
        <f>$C$1480</f>
        <v>353400_2019_12_</v>
      </c>
      <c r="K1710" s="1663">
        <v>37200</v>
      </c>
      <c r="L1710" s="95">
        <f t="shared" si="200"/>
        <v>3.1</v>
      </c>
      <c r="M1710" s="1108" t="s">
        <v>1598</v>
      </c>
      <c r="N1710" s="177"/>
      <c r="O1710" s="332"/>
      <c r="P1710" s="1116"/>
      <c r="Q1710" s="1117"/>
      <c r="R1710" s="1116"/>
      <c r="S1710" s="1103"/>
      <c r="T1710" s="1639"/>
      <c r="U1710" s="177"/>
      <c r="V1710" s="2866"/>
      <c r="W1710" s="909">
        <v>37200</v>
      </c>
      <c r="X1710" s="909">
        <v>37200</v>
      </c>
      <c r="Y1710" s="909">
        <v>37200</v>
      </c>
      <c r="Z1710" s="909"/>
      <c r="AA1710" s="909"/>
      <c r="AB1710" s="909"/>
      <c r="AC1710" s="909"/>
      <c r="AD1710" s="909"/>
      <c r="AE1710" s="909"/>
      <c r="AF1710" s="909"/>
      <c r="AG1710" s="909"/>
      <c r="BB1710" s="784"/>
      <c r="BC1710" s="785"/>
      <c r="BD1710" s="900"/>
      <c r="BE1710" s="797"/>
    </row>
    <row r="1711" spans="1:57" s="65" customFormat="1" ht="15" hidden="1" customHeight="1" outlineLevel="1" x14ac:dyDescent="0.25">
      <c r="A1711" s="718"/>
      <c r="B1711" s="177"/>
      <c r="C1711" s="455"/>
      <c r="D1711" s="2806"/>
      <c r="E1711" s="2856"/>
      <c r="F1711" s="2908" t="str">
        <f>$E$1482</f>
        <v>ASHP - SEER 20 - replace electric furnace / CAC SF</v>
      </c>
      <c r="G1711" s="2909"/>
      <c r="H1711" s="2909"/>
      <c r="I1711" s="2910"/>
      <c r="J1711" s="1657" t="str">
        <f>$C$1482</f>
        <v>353450_2019_12_</v>
      </c>
      <c r="K1711" s="1663">
        <v>38400</v>
      </c>
      <c r="L1711" s="95">
        <f t="shared" si="200"/>
        <v>3.2</v>
      </c>
      <c r="M1711" s="1108" t="s">
        <v>1598</v>
      </c>
      <c r="N1711" s="177"/>
      <c r="O1711" s="332"/>
      <c r="P1711" s="1116"/>
      <c r="Q1711" s="1117"/>
      <c r="R1711" s="1116"/>
      <c r="S1711" s="1103"/>
      <c r="T1711" s="1639"/>
      <c r="U1711" s="177"/>
      <c r="V1711" s="2866"/>
      <c r="W1711" s="909">
        <v>38400</v>
      </c>
      <c r="X1711" s="909">
        <v>38400</v>
      </c>
      <c r="Y1711" s="909">
        <v>38400</v>
      </c>
      <c r="Z1711" s="909"/>
      <c r="AA1711" s="909"/>
      <c r="AB1711" s="909"/>
      <c r="AC1711" s="909"/>
      <c r="AD1711" s="909"/>
      <c r="AE1711" s="909"/>
      <c r="AF1711" s="909"/>
      <c r="AG1711" s="909"/>
      <c r="BB1711" s="784"/>
      <c r="BC1711" s="785"/>
      <c r="BD1711" s="900"/>
      <c r="BE1711" s="797"/>
    </row>
    <row r="1712" spans="1:57" s="65" customFormat="1" ht="15" hidden="1" customHeight="1" outlineLevel="1" x14ac:dyDescent="0.25">
      <c r="A1712" s="718"/>
      <c r="B1712" s="177"/>
      <c r="C1712" s="455"/>
      <c r="D1712" s="2806"/>
      <c r="E1712" s="2856"/>
      <c r="F1712" s="2908" t="str">
        <f>$E$1484</f>
        <v>ASHP - SEER 20 - replace electric furnace / CAC MF</v>
      </c>
      <c r="G1712" s="2909"/>
      <c r="H1712" s="2909"/>
      <c r="I1712" s="2910"/>
      <c r="J1712" s="1657" t="str">
        <f>$C$1484</f>
        <v>353500_2019_12_</v>
      </c>
      <c r="K1712" s="1663">
        <v>38400</v>
      </c>
      <c r="L1712" s="95">
        <f t="shared" si="200"/>
        <v>3.2</v>
      </c>
      <c r="M1712" s="1108" t="s">
        <v>1598</v>
      </c>
      <c r="N1712" s="177"/>
      <c r="O1712" s="332"/>
      <c r="P1712" s="1116"/>
      <c r="Q1712" s="1117"/>
      <c r="R1712" s="1116"/>
      <c r="S1712" s="1103"/>
      <c r="T1712" s="1639"/>
      <c r="U1712" s="177"/>
      <c r="V1712" s="2866"/>
      <c r="W1712" s="909">
        <v>38400</v>
      </c>
      <c r="X1712" s="909">
        <v>38400</v>
      </c>
      <c r="Y1712" s="909">
        <v>38400</v>
      </c>
      <c r="Z1712" s="909"/>
      <c r="AA1712" s="909"/>
      <c r="AB1712" s="909"/>
      <c r="AC1712" s="909"/>
      <c r="AD1712" s="909"/>
      <c r="AE1712" s="909"/>
      <c r="AF1712" s="909"/>
      <c r="AG1712" s="909"/>
      <c r="BB1712" s="784"/>
      <c r="BC1712" s="785"/>
      <c r="BD1712" s="900"/>
      <c r="BE1712" s="797"/>
    </row>
    <row r="1713" spans="1:57" s="65" customFormat="1" ht="15" hidden="1" customHeight="1" outlineLevel="1" x14ac:dyDescent="0.25">
      <c r="A1713" s="718"/>
      <c r="B1713" s="177"/>
      <c r="C1713" s="455"/>
      <c r="D1713" s="2806"/>
      <c r="E1713" s="2856"/>
      <c r="F1713" s="2908" t="str">
        <f>$E$1486</f>
        <v>ASHP - SEER 20 - replace electric furnace / CAC MF_CompE</v>
      </c>
      <c r="G1713" s="2909"/>
      <c r="H1713" s="2909"/>
      <c r="I1713" s="2910"/>
      <c r="J1713" s="1657" t="str">
        <f>$C$1486</f>
        <v>353501_2019_12_</v>
      </c>
      <c r="K1713" s="1663">
        <f>K1712</f>
        <v>38400</v>
      </c>
      <c r="L1713" s="95">
        <f t="shared" si="200"/>
        <v>3.2</v>
      </c>
      <c r="M1713" s="1108"/>
      <c r="N1713" s="177"/>
      <c r="O1713" s="332"/>
      <c r="P1713" s="1116"/>
      <c r="Q1713" s="1117"/>
      <c r="R1713" s="1116"/>
      <c r="S1713" s="1103"/>
      <c r="T1713" s="1639"/>
      <c r="U1713" s="177"/>
      <c r="V1713" s="2866"/>
      <c r="W1713" s="909"/>
      <c r="X1713" s="909"/>
      <c r="Y1713" s="908">
        <v>38400</v>
      </c>
      <c r="Z1713" s="909"/>
      <c r="AA1713" s="909"/>
      <c r="AB1713" s="909"/>
      <c r="AC1713" s="909"/>
      <c r="AD1713" s="909"/>
      <c r="AE1713" s="909"/>
      <c r="AF1713" s="909"/>
      <c r="AG1713" s="909"/>
      <c r="BB1713" s="784"/>
      <c r="BC1713" s="785"/>
      <c r="BD1713" s="900"/>
      <c r="BE1713" s="797"/>
    </row>
    <row r="1714" spans="1:57" s="65" customFormat="1" ht="15" hidden="1" customHeight="1" outlineLevel="1" x14ac:dyDescent="0.25">
      <c r="A1714" s="718"/>
      <c r="B1714" s="177"/>
      <c r="C1714" s="455"/>
      <c r="D1714" s="2806"/>
      <c r="E1714" s="2856"/>
      <c r="F1714" s="2908" t="str">
        <f>$E$1488</f>
        <v>ASHP - SEER 21 - replace electric furnace / CAC - early replacement SF ER1</v>
      </c>
      <c r="G1714" s="2909"/>
      <c r="H1714" s="2909"/>
      <c r="I1714" s="2910"/>
      <c r="J1714" s="1657" t="str">
        <f>$C$1488</f>
        <v>353550_2019_12_</v>
      </c>
      <c r="K1714" s="1663">
        <v>37200</v>
      </c>
      <c r="L1714" s="95">
        <f t="shared" si="200"/>
        <v>3.1</v>
      </c>
      <c r="M1714" s="1108" t="s">
        <v>1598</v>
      </c>
      <c r="N1714" s="177"/>
      <c r="O1714" s="332"/>
      <c r="P1714" s="177"/>
      <c r="Q1714" s="177"/>
      <c r="R1714" s="177"/>
      <c r="S1714" s="177"/>
      <c r="T1714" s="177"/>
      <c r="U1714" s="177"/>
      <c r="V1714" s="2866"/>
      <c r="W1714" s="909">
        <v>37200</v>
      </c>
      <c r="X1714" s="909">
        <v>37200</v>
      </c>
      <c r="Y1714" s="909">
        <v>37200</v>
      </c>
      <c r="Z1714" s="909"/>
      <c r="AA1714" s="909"/>
      <c r="AB1714" s="909"/>
      <c r="AC1714" s="909"/>
      <c r="AD1714" s="909"/>
      <c r="AE1714" s="909"/>
      <c r="AF1714" s="909"/>
      <c r="AG1714" s="909"/>
      <c r="BB1714" s="784"/>
      <c r="BC1714" s="785"/>
      <c r="BD1714" s="900"/>
      <c r="BE1714" s="797"/>
    </row>
    <row r="1715" spans="1:57" s="65" customFormat="1" ht="15" hidden="1" customHeight="1" outlineLevel="1" x14ac:dyDescent="0.25">
      <c r="A1715" s="718"/>
      <c r="B1715" s="177"/>
      <c r="C1715" s="455"/>
      <c r="D1715" s="2806"/>
      <c r="E1715" s="2856"/>
      <c r="F1715" s="2908" t="str">
        <f>$E$1490</f>
        <v>ASHP - SEER 21 - replace electric furnace / CAC - early replacement SF ER2</v>
      </c>
      <c r="G1715" s="2909"/>
      <c r="H1715" s="2909"/>
      <c r="I1715" s="2910"/>
      <c r="J1715" s="1657" t="str">
        <f>$C$1490</f>
        <v>353550_2019_12_</v>
      </c>
      <c r="K1715" s="1663">
        <v>37200</v>
      </c>
      <c r="L1715" s="95">
        <f t="shared" si="200"/>
        <v>3.1</v>
      </c>
      <c r="M1715" s="1108" t="s">
        <v>1598</v>
      </c>
      <c r="N1715" s="177"/>
      <c r="O1715" s="332"/>
      <c r="P1715" s="177"/>
      <c r="Q1715" s="177"/>
      <c r="R1715" s="177"/>
      <c r="S1715" s="177"/>
      <c r="T1715" s="177"/>
      <c r="U1715" s="177"/>
      <c r="V1715" s="2866"/>
      <c r="W1715" s="909">
        <v>37200</v>
      </c>
      <c r="X1715" s="909">
        <v>37200</v>
      </c>
      <c r="Y1715" s="909">
        <v>37200</v>
      </c>
      <c r="Z1715" s="909"/>
      <c r="AA1715" s="909"/>
      <c r="AB1715" s="909"/>
      <c r="AC1715" s="909"/>
      <c r="AD1715" s="909"/>
      <c r="AE1715" s="909"/>
      <c r="AF1715" s="909"/>
      <c r="AG1715" s="909"/>
      <c r="BB1715" s="784"/>
      <c r="BC1715" s="785"/>
      <c r="BD1715" s="900"/>
      <c r="BE1715" s="797"/>
    </row>
    <row r="1716" spans="1:57" s="65" customFormat="1" ht="15" hidden="1" customHeight="1" outlineLevel="1" x14ac:dyDescent="0.25">
      <c r="A1716" s="718"/>
      <c r="B1716" s="177"/>
      <c r="C1716" s="455"/>
      <c r="D1716" s="2806"/>
      <c r="E1716" s="2856"/>
      <c r="F1716" s="2908" t="str">
        <f>$E$1492</f>
        <v>ASHP - SEER 21 - replace electric furnace / CAC - early replacement MF ER1</v>
      </c>
      <c r="G1716" s="2909"/>
      <c r="H1716" s="2909"/>
      <c r="I1716" s="2910"/>
      <c r="J1716" s="1657" t="str">
        <f>$C$1492</f>
        <v>353600_2019_12_</v>
      </c>
      <c r="K1716" s="1663">
        <v>37200</v>
      </c>
      <c r="L1716" s="95">
        <f t="shared" si="200"/>
        <v>3.1</v>
      </c>
      <c r="M1716" s="1108" t="s">
        <v>1598</v>
      </c>
      <c r="N1716" s="177"/>
      <c r="O1716" s="332"/>
      <c r="P1716" s="177"/>
      <c r="Q1716" s="177"/>
      <c r="R1716" s="177"/>
      <c r="S1716" s="177"/>
      <c r="T1716" s="177"/>
      <c r="U1716" s="177"/>
      <c r="V1716" s="2866"/>
      <c r="W1716" s="909">
        <v>37200</v>
      </c>
      <c r="X1716" s="909">
        <v>37200</v>
      </c>
      <c r="Y1716" s="909">
        <v>37200</v>
      </c>
      <c r="Z1716" s="909"/>
      <c r="AA1716" s="909"/>
      <c r="AB1716" s="909"/>
      <c r="AC1716" s="909"/>
      <c r="AD1716" s="909"/>
      <c r="AE1716" s="909"/>
      <c r="AF1716" s="909"/>
      <c r="AG1716" s="909"/>
      <c r="BB1716" s="784"/>
      <c r="BC1716" s="785"/>
      <c r="BD1716" s="900"/>
      <c r="BE1716" s="797"/>
    </row>
    <row r="1717" spans="1:57" s="65" customFormat="1" ht="15" hidden="1" customHeight="1" outlineLevel="1" x14ac:dyDescent="0.25">
      <c r="A1717" s="718"/>
      <c r="B1717" s="177"/>
      <c r="C1717" s="455"/>
      <c r="D1717" s="2806"/>
      <c r="E1717" s="2856"/>
      <c r="F1717" s="2908" t="str">
        <f>$E$1494</f>
        <v>ASHP - SEER 21 - replace electric furnace / CAC - early replacement MF ER2</v>
      </c>
      <c r="G1717" s="2909"/>
      <c r="H1717" s="2909"/>
      <c r="I1717" s="2910"/>
      <c r="J1717" s="1657" t="str">
        <f>$C$1494</f>
        <v>353600_2019_12_</v>
      </c>
      <c r="K1717" s="1663">
        <v>37200</v>
      </c>
      <c r="L1717" s="95">
        <f t="shared" si="200"/>
        <v>3.1</v>
      </c>
      <c r="M1717" s="1108" t="s">
        <v>1598</v>
      </c>
      <c r="N1717" s="177"/>
      <c r="O1717" s="332"/>
      <c r="P1717" s="177"/>
      <c r="Q1717" s="177"/>
      <c r="R1717" s="177"/>
      <c r="S1717" s="177"/>
      <c r="T1717" s="177"/>
      <c r="U1717" s="177"/>
      <c r="V1717" s="2866"/>
      <c r="W1717" s="909">
        <v>37200</v>
      </c>
      <c r="X1717" s="909">
        <v>37200</v>
      </c>
      <c r="Y1717" s="909">
        <v>37200</v>
      </c>
      <c r="Z1717" s="909"/>
      <c r="AA1717" s="909"/>
      <c r="AB1717" s="909"/>
      <c r="AC1717" s="909"/>
      <c r="AD1717" s="909"/>
      <c r="AE1717" s="909"/>
      <c r="AF1717" s="909"/>
      <c r="AG1717" s="909"/>
      <c r="BB1717" s="784"/>
      <c r="BC1717" s="785"/>
      <c r="BD1717" s="900"/>
      <c r="BE1717" s="797"/>
    </row>
    <row r="1718" spans="1:57" s="65" customFormat="1" ht="15" hidden="1" customHeight="1" outlineLevel="1" x14ac:dyDescent="0.25">
      <c r="A1718" s="718"/>
      <c r="B1718" s="177"/>
      <c r="C1718" s="455"/>
      <c r="D1718" s="2806"/>
      <c r="E1718" s="2856"/>
      <c r="F1718" s="2908" t="str">
        <f>$E$1496</f>
        <v>ASHP - SEER 21 - replace electric furnace / CAC - early replacement MF ER1_CompE</v>
      </c>
      <c r="G1718" s="2909"/>
      <c r="H1718" s="2909"/>
      <c r="I1718" s="2910"/>
      <c r="J1718" s="1657" t="str">
        <f>$C$1496</f>
        <v>353601_2019_12_</v>
      </c>
      <c r="K1718" s="1663">
        <f>K1716</f>
        <v>37200</v>
      </c>
      <c r="L1718" s="95">
        <f t="shared" si="200"/>
        <v>3.1</v>
      </c>
      <c r="M1718" s="1108"/>
      <c r="N1718" s="177"/>
      <c r="O1718" s="332"/>
      <c r="P1718" s="177"/>
      <c r="Q1718" s="177"/>
      <c r="R1718" s="177"/>
      <c r="S1718" s="177"/>
      <c r="T1718" s="177"/>
      <c r="U1718" s="177"/>
      <c r="V1718" s="2866"/>
      <c r="W1718" s="909"/>
      <c r="X1718" s="909"/>
      <c r="Y1718" s="908">
        <v>37200</v>
      </c>
      <c r="Z1718" s="909"/>
      <c r="AA1718" s="909"/>
      <c r="AB1718" s="909"/>
      <c r="AC1718" s="909"/>
      <c r="AD1718" s="909"/>
      <c r="AE1718" s="909"/>
      <c r="AF1718" s="909"/>
      <c r="AG1718" s="909"/>
      <c r="BB1718" s="784"/>
      <c r="BC1718" s="785"/>
      <c r="BD1718" s="900"/>
      <c r="BE1718" s="797"/>
    </row>
    <row r="1719" spans="1:57" s="65" customFormat="1" ht="15" hidden="1" customHeight="1" outlineLevel="1" x14ac:dyDescent="0.25">
      <c r="A1719" s="718"/>
      <c r="B1719" s="177"/>
      <c r="C1719" s="455"/>
      <c r="D1719" s="2806"/>
      <c r="E1719" s="2856"/>
      <c r="F1719" s="2908" t="str">
        <f>$E$1498</f>
        <v>ASHP - SEER 21 - replace electric furnace / CAC - early replacement MF ER2_CompE</v>
      </c>
      <c r="G1719" s="2909"/>
      <c r="H1719" s="2909"/>
      <c r="I1719" s="2910"/>
      <c r="J1719" s="1657" t="str">
        <f>$C$1498</f>
        <v>353601_2019_12_</v>
      </c>
      <c r="K1719" s="1663">
        <f>K1717</f>
        <v>37200</v>
      </c>
      <c r="L1719" s="95">
        <f t="shared" si="200"/>
        <v>3.1</v>
      </c>
      <c r="M1719" s="1108"/>
      <c r="N1719" s="177"/>
      <c r="O1719" s="332"/>
      <c r="P1719" s="177"/>
      <c r="Q1719" s="177"/>
      <c r="R1719" s="177"/>
      <c r="S1719" s="177"/>
      <c r="T1719" s="177"/>
      <c r="U1719" s="177"/>
      <c r="V1719" s="2866"/>
      <c r="W1719" s="909"/>
      <c r="X1719" s="909"/>
      <c r="Y1719" s="908">
        <v>37200</v>
      </c>
      <c r="Z1719" s="909"/>
      <c r="AA1719" s="909"/>
      <c r="AB1719" s="909"/>
      <c r="AC1719" s="909"/>
      <c r="AD1719" s="909"/>
      <c r="AE1719" s="909"/>
      <c r="AF1719" s="909"/>
      <c r="AG1719" s="909"/>
      <c r="BB1719" s="784"/>
      <c r="BC1719" s="785"/>
      <c r="BD1719" s="900"/>
      <c r="BE1719" s="797"/>
    </row>
    <row r="1720" spans="1:57" s="65" customFormat="1" ht="15" hidden="1" customHeight="1" outlineLevel="1" x14ac:dyDescent="0.25">
      <c r="A1720" s="718"/>
      <c r="B1720" s="177"/>
      <c r="C1720" s="455"/>
      <c r="D1720" s="2806"/>
      <c r="E1720" s="2856"/>
      <c r="F1720" s="2908" t="str">
        <f>$E$1500</f>
        <v>ASHP - SEER 21 - replace electric furnace / CAC SF</v>
      </c>
      <c r="G1720" s="2909"/>
      <c r="H1720" s="2909"/>
      <c r="I1720" s="2910"/>
      <c r="J1720" s="1657" t="str">
        <f>$C$1500</f>
        <v>353650_2019_12_</v>
      </c>
      <c r="K1720" s="1663">
        <v>38400</v>
      </c>
      <c r="L1720" s="95">
        <f t="shared" si="200"/>
        <v>3.2</v>
      </c>
      <c r="M1720" s="1108" t="s">
        <v>1598</v>
      </c>
      <c r="N1720" s="177"/>
      <c r="O1720" s="332"/>
      <c r="P1720" s="177"/>
      <c r="Q1720" s="177"/>
      <c r="R1720" s="177"/>
      <c r="S1720" s="177"/>
      <c r="T1720" s="177"/>
      <c r="U1720" s="177"/>
      <c r="V1720" s="2866"/>
      <c r="W1720" s="909">
        <v>38400</v>
      </c>
      <c r="X1720" s="909">
        <v>38400</v>
      </c>
      <c r="Y1720" s="909">
        <v>38400</v>
      </c>
      <c r="Z1720" s="909"/>
      <c r="AA1720" s="909"/>
      <c r="AB1720" s="909"/>
      <c r="AC1720" s="909"/>
      <c r="AD1720" s="909"/>
      <c r="AE1720" s="909"/>
      <c r="AF1720" s="909"/>
      <c r="AG1720" s="909"/>
      <c r="BB1720" s="784"/>
      <c r="BC1720" s="785"/>
      <c r="BD1720" s="900"/>
      <c r="BE1720" s="797"/>
    </row>
    <row r="1721" spans="1:57" s="65" customFormat="1" ht="15" hidden="1" customHeight="1" outlineLevel="1" x14ac:dyDescent="0.25">
      <c r="A1721" s="785"/>
      <c r="B1721" s="177"/>
      <c r="C1721" s="455"/>
      <c r="D1721" s="2806"/>
      <c r="E1721" s="2856"/>
      <c r="F1721" s="2908" t="str">
        <f>$E$1502</f>
        <v>ASHP-  SEER 21+ replace at Fail Elec Resist Furnace MF</v>
      </c>
      <c r="G1721" s="2909"/>
      <c r="H1721" s="2909"/>
      <c r="I1721" s="2910"/>
      <c r="J1721" s="1657" t="str">
        <f>$C$1502</f>
        <v>353700_2019_12_</v>
      </c>
      <c r="K1721" s="1663">
        <v>38400</v>
      </c>
      <c r="L1721" s="95">
        <f t="shared" si="200"/>
        <v>3.2</v>
      </c>
      <c r="M1721" s="1108" t="s">
        <v>1598</v>
      </c>
      <c r="N1721" s="177"/>
      <c r="O1721" s="332"/>
      <c r="P1721" s="177"/>
      <c r="Q1721" s="177"/>
      <c r="R1721" s="177"/>
      <c r="S1721" s="177"/>
      <c r="T1721" s="177"/>
      <c r="U1721" s="177"/>
      <c r="V1721" s="2866"/>
      <c r="W1721" s="909">
        <v>38400</v>
      </c>
      <c r="X1721" s="909">
        <v>38400</v>
      </c>
      <c r="Y1721" s="909">
        <v>38400</v>
      </c>
      <c r="Z1721" s="909"/>
      <c r="AA1721" s="909"/>
      <c r="AB1721" s="909"/>
      <c r="AC1721" s="909"/>
      <c r="AD1721" s="909"/>
      <c r="AE1721" s="909"/>
      <c r="AF1721" s="909"/>
      <c r="AG1721" s="909"/>
      <c r="BB1721" s="784"/>
      <c r="BC1721" s="785"/>
      <c r="BD1721" s="900"/>
      <c r="BE1721" s="797"/>
    </row>
    <row r="1722" spans="1:57" s="65" customFormat="1" ht="15" hidden="1" customHeight="1" outlineLevel="1" x14ac:dyDescent="0.25">
      <c r="A1722" s="785"/>
      <c r="B1722" s="177"/>
      <c r="C1722" s="455"/>
      <c r="D1722" s="2806"/>
      <c r="E1722" s="2856"/>
      <c r="F1722" s="2908" t="str">
        <f>$E$1504</f>
        <v>ASHP-  SEER 21+ replace at Fail Elec Resist Furnace MF_CompE</v>
      </c>
      <c r="G1722" s="2909"/>
      <c r="H1722" s="2909"/>
      <c r="I1722" s="2910"/>
      <c r="J1722" s="1657" t="str">
        <f>$C$1504</f>
        <v>353701_2019_12_</v>
      </c>
      <c r="K1722" s="1663">
        <v>38400</v>
      </c>
      <c r="L1722" s="95">
        <f t="shared" si="200"/>
        <v>3.2</v>
      </c>
      <c r="M1722" s="1108"/>
      <c r="N1722" s="177"/>
      <c r="O1722" s="332"/>
      <c r="P1722" s="177"/>
      <c r="Q1722" s="177"/>
      <c r="R1722" s="177"/>
      <c r="S1722" s="177"/>
      <c r="T1722" s="177"/>
      <c r="U1722" s="177"/>
      <c r="V1722" s="2866"/>
      <c r="W1722" s="909"/>
      <c r="X1722" s="909"/>
      <c r="Y1722" s="908">
        <v>38400</v>
      </c>
      <c r="Z1722" s="909"/>
      <c r="AA1722" s="909"/>
      <c r="AB1722" s="909"/>
      <c r="AC1722" s="909"/>
      <c r="AD1722" s="909"/>
      <c r="AE1722" s="909"/>
      <c r="AF1722" s="909"/>
      <c r="AG1722" s="909"/>
      <c r="BB1722" s="784"/>
      <c r="BC1722" s="785"/>
      <c r="BD1722" s="900"/>
      <c r="BE1722" s="797"/>
    </row>
    <row r="1723" spans="1:57" s="65" customFormat="1" ht="15" hidden="1" customHeight="1" outlineLevel="1" x14ac:dyDescent="0.25">
      <c r="A1723" s="785"/>
      <c r="B1723" s="177"/>
      <c r="C1723" s="455"/>
      <c r="D1723" s="2806"/>
      <c r="E1723" s="2856"/>
      <c r="F1723" s="2908" t="str">
        <f>$E$1506</f>
        <v>ASHP SEER 17 replace ASHP - early replacement SF ER1</v>
      </c>
      <c r="G1723" s="2909"/>
      <c r="H1723" s="2909"/>
      <c r="I1723" s="2910"/>
      <c r="J1723" s="1657" t="str">
        <f>$C$1506</f>
        <v>353750_2019_12_</v>
      </c>
      <c r="K1723" s="1663">
        <v>39600</v>
      </c>
      <c r="L1723" s="95">
        <f t="shared" si="200"/>
        <v>3.3</v>
      </c>
      <c r="M1723" s="1108" t="s">
        <v>1598</v>
      </c>
      <c r="N1723" s="177"/>
      <c r="O1723" s="332"/>
      <c r="P1723" s="177"/>
      <c r="Q1723" s="177"/>
      <c r="R1723" s="177"/>
      <c r="S1723" s="177"/>
      <c r="T1723" s="177"/>
      <c r="U1723" s="177"/>
      <c r="V1723" s="2866"/>
      <c r="W1723" s="909">
        <v>39600</v>
      </c>
      <c r="X1723" s="909">
        <v>39600</v>
      </c>
      <c r="Y1723" s="909">
        <v>39600</v>
      </c>
      <c r="Z1723" s="909"/>
      <c r="AA1723" s="909"/>
      <c r="AB1723" s="909"/>
      <c r="AC1723" s="909"/>
      <c r="AD1723" s="909"/>
      <c r="AE1723" s="909"/>
      <c r="AF1723" s="909"/>
      <c r="AG1723" s="909"/>
      <c r="BB1723" s="784"/>
      <c r="BC1723" s="785"/>
      <c r="BD1723" s="900"/>
      <c r="BE1723" s="797"/>
    </row>
    <row r="1724" spans="1:57" s="65" customFormat="1" ht="15" hidden="1" customHeight="1" outlineLevel="1" x14ac:dyDescent="0.25">
      <c r="A1724" s="785"/>
      <c r="B1724" s="177"/>
      <c r="C1724" s="455"/>
      <c r="D1724" s="2806"/>
      <c r="E1724" s="2856"/>
      <c r="F1724" s="2908" t="str">
        <f>$E$1508</f>
        <v>ASHP SEER 17 replace ASHP - early replacement SF ER2</v>
      </c>
      <c r="G1724" s="2909"/>
      <c r="H1724" s="2909"/>
      <c r="I1724" s="2910"/>
      <c r="J1724" s="1657" t="str">
        <f>$C$1508</f>
        <v>353750_2019_12_</v>
      </c>
      <c r="K1724" s="1663">
        <v>39600</v>
      </c>
      <c r="L1724" s="95">
        <f t="shared" si="200"/>
        <v>3.3</v>
      </c>
      <c r="M1724" s="1108" t="s">
        <v>1598</v>
      </c>
      <c r="N1724" s="177"/>
      <c r="O1724" s="332"/>
      <c r="P1724" s="177"/>
      <c r="Q1724" s="177"/>
      <c r="R1724" s="177"/>
      <c r="S1724" s="177"/>
      <c r="T1724" s="177"/>
      <c r="U1724" s="177"/>
      <c r="V1724" s="2866"/>
      <c r="W1724" s="909">
        <v>39600</v>
      </c>
      <c r="X1724" s="909">
        <v>39600</v>
      </c>
      <c r="Y1724" s="909">
        <v>39600</v>
      </c>
      <c r="Z1724" s="909"/>
      <c r="AA1724" s="909"/>
      <c r="AB1724" s="909"/>
      <c r="AC1724" s="909"/>
      <c r="AD1724" s="909"/>
      <c r="AE1724" s="909"/>
      <c r="AF1724" s="909"/>
      <c r="AG1724" s="909"/>
      <c r="BB1724" s="784"/>
      <c r="BC1724" s="785"/>
      <c r="BD1724" s="900"/>
      <c r="BE1724" s="797"/>
    </row>
    <row r="1725" spans="1:57" s="65" customFormat="1" ht="15" hidden="1" customHeight="1" outlineLevel="1" x14ac:dyDescent="0.25">
      <c r="A1725" s="718"/>
      <c r="B1725" s="177"/>
      <c r="C1725" s="455"/>
      <c r="D1725" s="2806"/>
      <c r="E1725" s="2856"/>
      <c r="F1725" s="2908" t="str">
        <f>$E$1510</f>
        <v>ASHP SEER 17 replace ASHP - replace on fail SF</v>
      </c>
      <c r="G1725" s="2909"/>
      <c r="H1725" s="2909"/>
      <c r="I1725" s="2910"/>
      <c r="J1725" s="1657" t="str">
        <f>$C$1510</f>
        <v>353800_2019_12_</v>
      </c>
      <c r="K1725" s="1663">
        <v>39600</v>
      </c>
      <c r="L1725" s="95">
        <f t="shared" si="200"/>
        <v>3.3</v>
      </c>
      <c r="M1725" s="1108" t="s">
        <v>1598</v>
      </c>
      <c r="N1725" s="177"/>
      <c r="O1725" s="332"/>
      <c r="P1725" s="177"/>
      <c r="Q1725" s="177"/>
      <c r="R1725" s="177"/>
      <c r="S1725" s="177"/>
      <c r="T1725" s="177"/>
      <c r="U1725" s="177"/>
      <c r="V1725" s="2866"/>
      <c r="W1725" s="909">
        <v>39600</v>
      </c>
      <c r="X1725" s="909">
        <v>39600</v>
      </c>
      <c r="Y1725" s="909">
        <v>39600</v>
      </c>
      <c r="Z1725" s="909"/>
      <c r="AA1725" s="909"/>
      <c r="AB1725" s="909"/>
      <c r="AC1725" s="909"/>
      <c r="AD1725" s="909"/>
      <c r="AE1725" s="909"/>
      <c r="AF1725" s="909"/>
      <c r="AG1725" s="909"/>
      <c r="BB1725" s="784"/>
      <c r="BC1725" s="785"/>
      <c r="BD1725" s="900"/>
      <c r="BE1725" s="797"/>
    </row>
    <row r="1726" spans="1:57" s="65" customFormat="1" ht="15" hidden="1" customHeight="1" outlineLevel="1" x14ac:dyDescent="0.25">
      <c r="A1726" s="785"/>
      <c r="B1726" s="177"/>
      <c r="C1726" s="455"/>
      <c r="D1726" s="2806"/>
      <c r="E1726" s="2856"/>
      <c r="F1726" s="2908" t="str">
        <f>$E$1512</f>
        <v>ASHP SEER 18 replace ASHP - early replacement SF ER1</v>
      </c>
      <c r="G1726" s="2909"/>
      <c r="H1726" s="2909"/>
      <c r="I1726" s="2910"/>
      <c r="J1726" s="1657" t="str">
        <f>$C$1512</f>
        <v>353850_2019_12_</v>
      </c>
      <c r="K1726" s="1663">
        <v>39600</v>
      </c>
      <c r="L1726" s="95">
        <f t="shared" si="200"/>
        <v>3.3</v>
      </c>
      <c r="M1726" s="1108" t="s">
        <v>1598</v>
      </c>
      <c r="N1726" s="177"/>
      <c r="O1726" s="332"/>
      <c r="P1726" s="177"/>
      <c r="Q1726" s="177"/>
      <c r="R1726" s="177"/>
      <c r="S1726" s="177"/>
      <c r="T1726" s="177"/>
      <c r="U1726" s="177"/>
      <c r="V1726" s="2866"/>
      <c r="W1726" s="909">
        <v>39600</v>
      </c>
      <c r="X1726" s="909">
        <v>39600</v>
      </c>
      <c r="Y1726" s="909">
        <v>39600</v>
      </c>
      <c r="Z1726" s="909"/>
      <c r="AA1726" s="909"/>
      <c r="AB1726" s="909"/>
      <c r="AC1726" s="909"/>
      <c r="AD1726" s="909"/>
      <c r="AE1726" s="909"/>
      <c r="AF1726" s="909"/>
      <c r="AG1726" s="909"/>
      <c r="BB1726" s="784"/>
      <c r="BC1726" s="785"/>
      <c r="BD1726" s="900"/>
      <c r="BE1726" s="797"/>
    </row>
    <row r="1727" spans="1:57" s="65" customFormat="1" ht="15" hidden="1" customHeight="1" outlineLevel="1" x14ac:dyDescent="0.25">
      <c r="A1727" s="718"/>
      <c r="B1727" s="177"/>
      <c r="C1727" s="455"/>
      <c r="D1727" s="2806"/>
      <c r="E1727" s="2856"/>
      <c r="F1727" s="2908" t="str">
        <f>$E$1514</f>
        <v>ASHP SEER 18 replace ASHP - early replacement SF ER2</v>
      </c>
      <c r="G1727" s="2909"/>
      <c r="H1727" s="2909"/>
      <c r="I1727" s="2910"/>
      <c r="J1727" s="1657" t="str">
        <f>$C$1514</f>
        <v>353850_2019_12_</v>
      </c>
      <c r="K1727" s="1663">
        <v>39600</v>
      </c>
      <c r="L1727" s="95">
        <f t="shared" si="200"/>
        <v>3.3</v>
      </c>
      <c r="M1727" s="1108" t="s">
        <v>1598</v>
      </c>
      <c r="N1727" s="177"/>
      <c r="O1727" s="332"/>
      <c r="P1727" s="177"/>
      <c r="Q1727" s="177"/>
      <c r="R1727" s="177"/>
      <c r="S1727" s="177"/>
      <c r="T1727" s="177"/>
      <c r="U1727" s="177"/>
      <c r="V1727" s="2866"/>
      <c r="W1727" s="909">
        <v>39600</v>
      </c>
      <c r="X1727" s="909">
        <v>39600</v>
      </c>
      <c r="Y1727" s="909">
        <v>39600</v>
      </c>
      <c r="Z1727" s="909"/>
      <c r="AA1727" s="909"/>
      <c r="AB1727" s="909"/>
      <c r="AC1727" s="909"/>
      <c r="AD1727" s="909"/>
      <c r="AE1727" s="909"/>
      <c r="AF1727" s="909"/>
      <c r="AG1727" s="909"/>
      <c r="BB1727" s="784"/>
      <c r="BC1727" s="785"/>
      <c r="BD1727" s="900"/>
      <c r="BE1727" s="797"/>
    </row>
    <row r="1728" spans="1:57" s="65" customFormat="1" ht="15" hidden="1" customHeight="1" outlineLevel="1" x14ac:dyDescent="0.25">
      <c r="A1728" s="785"/>
      <c r="B1728" s="177"/>
      <c r="C1728" s="455"/>
      <c r="D1728" s="2806"/>
      <c r="E1728" s="2856"/>
      <c r="F1728" s="2908" t="str">
        <f>$E$1516</f>
        <v>ASHP - SEER 18 - replace on fail SF</v>
      </c>
      <c r="G1728" s="2909"/>
      <c r="H1728" s="2909"/>
      <c r="I1728" s="2910"/>
      <c r="J1728" s="1657" t="str">
        <f>$C$1516</f>
        <v>353950_2019_12_</v>
      </c>
      <c r="K1728" s="1663">
        <v>39600</v>
      </c>
      <c r="L1728" s="95">
        <f t="shared" si="200"/>
        <v>3.3</v>
      </c>
      <c r="M1728" s="1108" t="s">
        <v>1598</v>
      </c>
      <c r="N1728" s="177"/>
      <c r="O1728" s="332"/>
      <c r="P1728" s="177"/>
      <c r="Q1728" s="177"/>
      <c r="R1728" s="177"/>
      <c r="S1728" s="177"/>
      <c r="T1728" s="177"/>
      <c r="U1728" s="177"/>
      <c r="V1728" s="2866"/>
      <c r="W1728" s="909">
        <v>39600</v>
      </c>
      <c r="X1728" s="909">
        <v>39600</v>
      </c>
      <c r="Y1728" s="909">
        <v>39600</v>
      </c>
      <c r="Z1728" s="909"/>
      <c r="AA1728" s="909"/>
      <c r="AB1728" s="909"/>
      <c r="AC1728" s="909"/>
      <c r="AD1728" s="909"/>
      <c r="AE1728" s="909"/>
      <c r="AF1728" s="909"/>
      <c r="AG1728" s="909"/>
      <c r="BB1728" s="784"/>
      <c r="BC1728" s="785"/>
      <c r="BD1728" s="900"/>
      <c r="BE1728" s="797"/>
    </row>
    <row r="1729" spans="1:57" s="65" customFormat="1" ht="15" hidden="1" customHeight="1" outlineLevel="1" x14ac:dyDescent="0.25">
      <c r="A1729" s="718"/>
      <c r="B1729" s="177"/>
      <c r="C1729" s="455"/>
      <c r="D1729" s="2806"/>
      <c r="E1729" s="2856"/>
      <c r="F1729" s="2908" t="str">
        <f>$E$1518</f>
        <v>ASHP SEER 19 replace ASHP - early replacement SF ER1</v>
      </c>
      <c r="G1729" s="2909"/>
      <c r="H1729" s="2909"/>
      <c r="I1729" s="2910"/>
      <c r="J1729" s="1657" t="str">
        <f>$C$1518</f>
        <v>354000_2019_12_</v>
      </c>
      <c r="K1729" s="1663">
        <v>39600</v>
      </c>
      <c r="L1729" s="95">
        <f t="shared" si="200"/>
        <v>3.3</v>
      </c>
      <c r="M1729" s="1108" t="s">
        <v>1598</v>
      </c>
      <c r="N1729" s="177"/>
      <c r="O1729" s="332"/>
      <c r="P1729" s="177"/>
      <c r="Q1729" s="177"/>
      <c r="R1729" s="177"/>
      <c r="S1729" s="177"/>
      <c r="T1729" s="177"/>
      <c r="U1729" s="177"/>
      <c r="V1729" s="2866"/>
      <c r="W1729" s="909">
        <v>39600</v>
      </c>
      <c r="X1729" s="909">
        <v>39600</v>
      </c>
      <c r="Y1729" s="909">
        <v>39600</v>
      </c>
      <c r="Z1729" s="909"/>
      <c r="AA1729" s="909"/>
      <c r="AB1729" s="909"/>
      <c r="AC1729" s="909"/>
      <c r="AD1729" s="909"/>
      <c r="AE1729" s="909"/>
      <c r="AF1729" s="909"/>
      <c r="AG1729" s="909"/>
      <c r="BB1729" s="784"/>
      <c r="BC1729" s="785"/>
      <c r="BD1729" s="900"/>
      <c r="BE1729" s="797"/>
    </row>
    <row r="1730" spans="1:57" s="65" customFormat="1" ht="15" hidden="1" customHeight="1" outlineLevel="1" x14ac:dyDescent="0.25">
      <c r="A1730" s="718"/>
      <c r="B1730" s="177"/>
      <c r="C1730" s="455"/>
      <c r="D1730" s="2806"/>
      <c r="E1730" s="2856"/>
      <c r="F1730" s="2908" t="str">
        <f>$E$1520</f>
        <v>ASHP SEER 19 replace ASHP - early replacement SF ER2</v>
      </c>
      <c r="G1730" s="2909"/>
      <c r="H1730" s="2909"/>
      <c r="I1730" s="2910"/>
      <c r="J1730" s="1657" t="str">
        <f>$C$1520</f>
        <v>354000_2019_12_</v>
      </c>
      <c r="K1730" s="1663">
        <v>39600</v>
      </c>
      <c r="L1730" s="95">
        <f t="shared" si="200"/>
        <v>3.3</v>
      </c>
      <c r="M1730" s="1108" t="s">
        <v>1598</v>
      </c>
      <c r="N1730" s="177"/>
      <c r="O1730" s="332"/>
      <c r="P1730" s="177"/>
      <c r="Q1730" s="177"/>
      <c r="R1730" s="177"/>
      <c r="S1730" s="177"/>
      <c r="T1730" s="177"/>
      <c r="U1730" s="177"/>
      <c r="V1730" s="2866"/>
      <c r="W1730" s="909">
        <v>39600</v>
      </c>
      <c r="X1730" s="909">
        <v>39600</v>
      </c>
      <c r="Y1730" s="909">
        <v>39600</v>
      </c>
      <c r="Z1730" s="909"/>
      <c r="AA1730" s="909"/>
      <c r="AB1730" s="909"/>
      <c r="AC1730" s="909"/>
      <c r="AD1730" s="909"/>
      <c r="AE1730" s="909"/>
      <c r="AF1730" s="909"/>
      <c r="AG1730" s="909"/>
      <c r="BB1730" s="784"/>
      <c r="BC1730" s="785"/>
      <c r="BD1730" s="900"/>
      <c r="BE1730" s="797"/>
    </row>
    <row r="1731" spans="1:57" s="65" customFormat="1" ht="15" hidden="1" customHeight="1" outlineLevel="1" x14ac:dyDescent="0.25">
      <c r="A1731" s="785"/>
      <c r="B1731" s="177"/>
      <c r="C1731" s="455"/>
      <c r="D1731" s="2806"/>
      <c r="E1731" s="2856"/>
      <c r="F1731" s="2908" t="str">
        <f>$E$1522</f>
        <v>ASHP SEER 19 replace ASHP - replace on fail SF</v>
      </c>
      <c r="G1731" s="2909"/>
      <c r="H1731" s="2909"/>
      <c r="I1731" s="2910"/>
      <c r="J1731" s="1657" t="str">
        <f>$C$1522</f>
        <v>354050_2019_12_</v>
      </c>
      <c r="K1731" s="1663">
        <v>39600</v>
      </c>
      <c r="L1731" s="95">
        <f t="shared" si="200"/>
        <v>3.3</v>
      </c>
      <c r="M1731" s="1108" t="s">
        <v>1598</v>
      </c>
      <c r="N1731" s="177"/>
      <c r="O1731" s="332"/>
      <c r="P1731" s="177"/>
      <c r="Q1731" s="177"/>
      <c r="R1731" s="177"/>
      <c r="S1731" s="177"/>
      <c r="T1731" s="177"/>
      <c r="U1731" s="177"/>
      <c r="V1731" s="2866"/>
      <c r="W1731" s="909">
        <v>39600</v>
      </c>
      <c r="X1731" s="909">
        <v>39600</v>
      </c>
      <c r="Y1731" s="909">
        <v>39600</v>
      </c>
      <c r="Z1731" s="909"/>
      <c r="AA1731" s="909"/>
      <c r="AB1731" s="909"/>
      <c r="AC1731" s="909"/>
      <c r="AD1731" s="909"/>
      <c r="AE1731" s="909"/>
      <c r="AF1731" s="909"/>
      <c r="AG1731" s="909"/>
      <c r="BB1731" s="784"/>
      <c r="BC1731" s="785"/>
      <c r="BD1731" s="900"/>
      <c r="BE1731" s="797"/>
    </row>
    <row r="1732" spans="1:57" s="65" customFormat="1" ht="15" hidden="1" customHeight="1" outlineLevel="1" x14ac:dyDescent="0.25">
      <c r="A1732" s="785"/>
      <c r="B1732" s="177"/>
      <c r="C1732" s="455"/>
      <c r="D1732" s="2806"/>
      <c r="E1732" s="2856"/>
      <c r="F1732" s="2908" t="str">
        <f>$E$1524</f>
        <v>ASHP - SEER 17 - replace electric furnace / CAC - early replacement SF ER1</v>
      </c>
      <c r="G1732" s="2909"/>
      <c r="H1732" s="2909"/>
      <c r="I1732" s="2910"/>
      <c r="J1732" s="1657" t="str">
        <f>$C$1524</f>
        <v>354100_2019_12_</v>
      </c>
      <c r="K1732" s="1663">
        <v>37200</v>
      </c>
      <c r="L1732" s="95">
        <f t="shared" si="200"/>
        <v>3.1</v>
      </c>
      <c r="M1732" s="1108"/>
      <c r="N1732" s="177"/>
      <c r="O1732" s="332"/>
      <c r="P1732" s="177"/>
      <c r="Q1732" s="177"/>
      <c r="R1732" s="177"/>
      <c r="S1732" s="177"/>
      <c r="T1732" s="177"/>
      <c r="U1732" s="177"/>
      <c r="V1732" s="2866"/>
      <c r="W1732" s="909">
        <v>37200</v>
      </c>
      <c r="X1732" s="909">
        <v>37200</v>
      </c>
      <c r="Y1732" s="909">
        <v>37200</v>
      </c>
      <c r="Z1732" s="909"/>
      <c r="AA1732" s="909"/>
      <c r="AB1732" s="909"/>
      <c r="AC1732" s="909"/>
      <c r="AD1732" s="909"/>
      <c r="AE1732" s="909"/>
      <c r="AF1732" s="909"/>
      <c r="AG1732" s="909"/>
      <c r="BB1732" s="784"/>
      <c r="BC1732" s="785"/>
      <c r="BD1732" s="900"/>
      <c r="BE1732" s="797"/>
    </row>
    <row r="1733" spans="1:57" s="65" customFormat="1" ht="15" hidden="1" customHeight="1" outlineLevel="1" x14ac:dyDescent="0.25">
      <c r="A1733" s="785"/>
      <c r="B1733" s="177"/>
      <c r="C1733" s="455"/>
      <c r="D1733" s="2806"/>
      <c r="E1733" s="2856"/>
      <c r="F1733" s="2908" t="str">
        <f>$E$1526</f>
        <v>ASHP - SEER 17 - replace electric furnace / CAC - early replacement SF ER2</v>
      </c>
      <c r="G1733" s="2909"/>
      <c r="H1733" s="2909"/>
      <c r="I1733" s="2910"/>
      <c r="J1733" s="1657" t="str">
        <f>$C$1526</f>
        <v>354100_2019_12_</v>
      </c>
      <c r="K1733" s="1663">
        <v>37200</v>
      </c>
      <c r="L1733" s="95">
        <f t="shared" si="200"/>
        <v>3.1</v>
      </c>
      <c r="M1733" s="1108"/>
      <c r="N1733" s="177"/>
      <c r="O1733" s="332"/>
      <c r="P1733" s="177"/>
      <c r="Q1733" s="177"/>
      <c r="R1733" s="177"/>
      <c r="S1733" s="177"/>
      <c r="T1733" s="177"/>
      <c r="U1733" s="177"/>
      <c r="V1733" s="2866"/>
      <c r="W1733" s="909">
        <v>37200</v>
      </c>
      <c r="X1733" s="909">
        <v>37200</v>
      </c>
      <c r="Y1733" s="909">
        <v>37200</v>
      </c>
      <c r="Z1733" s="909"/>
      <c r="AA1733" s="909"/>
      <c r="AB1733" s="909"/>
      <c r="AC1733" s="909"/>
      <c r="AD1733" s="909"/>
      <c r="AE1733" s="909"/>
      <c r="AF1733" s="909"/>
      <c r="AG1733" s="909"/>
      <c r="BB1733" s="784"/>
      <c r="BC1733" s="785"/>
      <c r="BD1733" s="900"/>
      <c r="BE1733" s="797"/>
    </row>
    <row r="1734" spans="1:57" s="65" customFormat="1" ht="15" hidden="1" customHeight="1" outlineLevel="1" x14ac:dyDescent="0.25">
      <c r="A1734" s="785"/>
      <c r="B1734" s="177"/>
      <c r="C1734" s="455"/>
      <c r="D1734" s="2806"/>
      <c r="E1734" s="2856"/>
      <c r="F1734" s="2908" t="str">
        <f>$E$1528</f>
        <v>ASHP - SEER 17 - replace electric furnace / CAC - early replacement MF ER1</v>
      </c>
      <c r="G1734" s="2909"/>
      <c r="H1734" s="2909"/>
      <c r="I1734" s="2910"/>
      <c r="J1734" s="1657" t="str">
        <f>$C$1528</f>
        <v>354150_2019_12_</v>
      </c>
      <c r="K1734" s="1663">
        <v>37200</v>
      </c>
      <c r="L1734" s="95">
        <f t="shared" si="200"/>
        <v>3.1</v>
      </c>
      <c r="M1734" s="1108"/>
      <c r="N1734" s="177"/>
      <c r="O1734" s="332"/>
      <c r="P1734" s="1116"/>
      <c r="Q1734" s="1117"/>
      <c r="R1734" s="1116"/>
      <c r="S1734" s="1103"/>
      <c r="T1734" s="1639"/>
      <c r="U1734" s="177"/>
      <c r="V1734" s="2866"/>
      <c r="W1734" s="909">
        <v>37200</v>
      </c>
      <c r="X1734" s="909">
        <v>37200</v>
      </c>
      <c r="Y1734" s="909">
        <v>37200</v>
      </c>
      <c r="Z1734" s="909"/>
      <c r="AA1734" s="909"/>
      <c r="AB1734" s="909"/>
      <c r="AC1734" s="909"/>
      <c r="AD1734" s="909"/>
      <c r="AE1734" s="909"/>
      <c r="AF1734" s="909"/>
      <c r="AG1734" s="909"/>
      <c r="BB1734" s="784"/>
      <c r="BC1734" s="785"/>
      <c r="BD1734" s="900"/>
      <c r="BE1734" s="797"/>
    </row>
    <row r="1735" spans="1:57" s="65" customFormat="1" ht="15" hidden="1" customHeight="1" outlineLevel="1" x14ac:dyDescent="0.25">
      <c r="A1735" s="785"/>
      <c r="B1735" s="177"/>
      <c r="C1735" s="455"/>
      <c r="D1735" s="2806"/>
      <c r="E1735" s="2856"/>
      <c r="F1735" s="2908" t="str">
        <f>$E$1530</f>
        <v>ASHP - SEER 17 - replace electric furnace / CAC - early replacement MF ER2</v>
      </c>
      <c r="G1735" s="2909"/>
      <c r="H1735" s="2909"/>
      <c r="I1735" s="2910"/>
      <c r="J1735" s="1657" t="str">
        <f>$C$1530</f>
        <v>354150_2019_12_</v>
      </c>
      <c r="K1735" s="1663">
        <v>37200</v>
      </c>
      <c r="L1735" s="95">
        <f t="shared" si="200"/>
        <v>3.1</v>
      </c>
      <c r="M1735" s="1108"/>
      <c r="N1735" s="177"/>
      <c r="O1735" s="332"/>
      <c r="P1735" s="332"/>
      <c r="Q1735" s="332"/>
      <c r="R1735" s="332"/>
      <c r="S1735" s="177"/>
      <c r="T1735" s="177"/>
      <c r="U1735" s="177"/>
      <c r="V1735" s="2866"/>
      <c r="W1735" s="909">
        <v>37200</v>
      </c>
      <c r="X1735" s="909">
        <v>37200</v>
      </c>
      <c r="Y1735" s="909">
        <v>37200</v>
      </c>
      <c r="Z1735" s="909"/>
      <c r="AA1735" s="909"/>
      <c r="AB1735" s="909"/>
      <c r="AC1735" s="909"/>
      <c r="AD1735" s="909"/>
      <c r="AE1735" s="909"/>
      <c r="AF1735" s="909"/>
      <c r="AG1735" s="909"/>
      <c r="BB1735" s="784"/>
      <c r="BC1735" s="785"/>
      <c r="BD1735" s="900"/>
      <c r="BE1735" s="797"/>
    </row>
    <row r="1736" spans="1:57" s="65" customFormat="1" ht="15" hidden="1" customHeight="1" outlineLevel="1" x14ac:dyDescent="0.25">
      <c r="A1736" s="785"/>
      <c r="B1736" s="177"/>
      <c r="C1736" s="455"/>
      <c r="D1736" s="2806"/>
      <c r="E1736" s="2856"/>
      <c r="F1736" s="2908" t="str">
        <f>$E$1532</f>
        <v>ASHP - SEER 17 - replace electric furnace / CAC - early replacement MF ER1_CompE</v>
      </c>
      <c r="G1736" s="2909"/>
      <c r="H1736" s="2909"/>
      <c r="I1736" s="2910"/>
      <c r="J1736" s="1657" t="str">
        <f>$C$1532</f>
        <v>354151_2019_12_</v>
      </c>
      <c r="K1736" s="1663">
        <f>K1734</f>
        <v>37200</v>
      </c>
      <c r="L1736" s="95">
        <f t="shared" si="200"/>
        <v>3.1</v>
      </c>
      <c r="M1736" s="1108"/>
      <c r="N1736" s="177"/>
      <c r="O1736" s="332"/>
      <c r="P1736" s="332"/>
      <c r="Q1736" s="332"/>
      <c r="R1736" s="332"/>
      <c r="S1736" s="177"/>
      <c r="T1736" s="177"/>
      <c r="U1736" s="177"/>
      <c r="V1736" s="2866"/>
      <c r="W1736" s="909"/>
      <c r="X1736" s="909"/>
      <c r="Y1736" s="908">
        <v>37200</v>
      </c>
      <c r="Z1736" s="909"/>
      <c r="AA1736" s="909"/>
      <c r="AB1736" s="909"/>
      <c r="AC1736" s="909"/>
      <c r="AD1736" s="909"/>
      <c r="AE1736" s="909"/>
      <c r="AF1736" s="909"/>
      <c r="AG1736" s="909"/>
      <c r="BB1736" s="784"/>
      <c r="BC1736" s="785"/>
      <c r="BD1736" s="900"/>
      <c r="BE1736" s="797"/>
    </row>
    <row r="1737" spans="1:57" s="65" customFormat="1" ht="15" hidden="1" customHeight="1" outlineLevel="1" x14ac:dyDescent="0.25">
      <c r="A1737" s="785"/>
      <c r="B1737" s="177"/>
      <c r="C1737" s="455"/>
      <c r="D1737" s="2806"/>
      <c r="E1737" s="2856"/>
      <c r="F1737" s="2908" t="str">
        <f>$E$1534</f>
        <v>ASHP - SEER 17 - replace electric furnace / CAC - early replacement MF ER2_CompE</v>
      </c>
      <c r="G1737" s="2909"/>
      <c r="H1737" s="2909"/>
      <c r="I1737" s="2910"/>
      <c r="J1737" s="1657" t="str">
        <f>$C$1534</f>
        <v>354151_2019_12_</v>
      </c>
      <c r="K1737" s="1663">
        <f>K1735</f>
        <v>37200</v>
      </c>
      <c r="L1737" s="95">
        <f t="shared" si="200"/>
        <v>3.1</v>
      </c>
      <c r="M1737" s="1108"/>
      <c r="N1737" s="177"/>
      <c r="O1737" s="332"/>
      <c r="P1737" s="332"/>
      <c r="Q1737" s="332"/>
      <c r="R1737" s="332"/>
      <c r="S1737" s="177"/>
      <c r="T1737" s="177"/>
      <c r="U1737" s="177"/>
      <c r="V1737" s="2866"/>
      <c r="W1737" s="909"/>
      <c r="X1737" s="909"/>
      <c r="Y1737" s="908">
        <v>37200</v>
      </c>
      <c r="Z1737" s="909"/>
      <c r="AA1737" s="909"/>
      <c r="AB1737" s="909"/>
      <c r="AC1737" s="909"/>
      <c r="AD1737" s="909"/>
      <c r="AE1737" s="909"/>
      <c r="AF1737" s="909"/>
      <c r="AG1737" s="909"/>
      <c r="BB1737" s="784"/>
      <c r="BC1737" s="785"/>
      <c r="BD1737" s="900"/>
      <c r="BE1737" s="797"/>
    </row>
    <row r="1738" spans="1:57" s="65" customFormat="1" ht="15" hidden="1" customHeight="1" outlineLevel="1" x14ac:dyDescent="0.25">
      <c r="A1738" s="785"/>
      <c r="B1738" s="177"/>
      <c r="C1738" s="455"/>
      <c r="D1738" s="2806"/>
      <c r="E1738" s="2856"/>
      <c r="F1738" s="2908" t="str">
        <f>$E$1536</f>
        <v>ASHP SEER 17 replace ASHP - early replacement MF ER1</v>
      </c>
      <c r="G1738" s="2909"/>
      <c r="H1738" s="2909"/>
      <c r="I1738" s="2910"/>
      <c r="J1738" s="1657" t="str">
        <f>$C$1536</f>
        <v>354200_2019_12_</v>
      </c>
      <c r="K1738" s="1663">
        <v>39600</v>
      </c>
      <c r="L1738" s="95">
        <f t="shared" si="200"/>
        <v>3.3</v>
      </c>
      <c r="M1738" s="1108"/>
      <c r="N1738" s="177"/>
      <c r="O1738" s="332"/>
      <c r="P1738" s="332"/>
      <c r="Q1738" s="332"/>
      <c r="R1738" s="332"/>
      <c r="S1738" s="177"/>
      <c r="T1738" s="177"/>
      <c r="U1738" s="177"/>
      <c r="V1738" s="2866"/>
      <c r="W1738" s="909">
        <v>39600</v>
      </c>
      <c r="X1738" s="909">
        <v>39600</v>
      </c>
      <c r="Y1738" s="909">
        <v>39600</v>
      </c>
      <c r="Z1738" s="909"/>
      <c r="AA1738" s="909"/>
      <c r="AB1738" s="909"/>
      <c r="AC1738" s="909"/>
      <c r="AD1738" s="909"/>
      <c r="AE1738" s="909"/>
      <c r="AF1738" s="909"/>
      <c r="AG1738" s="909"/>
      <c r="BB1738" s="784"/>
      <c r="BC1738" s="785"/>
      <c r="BD1738" s="900"/>
      <c r="BE1738" s="797"/>
    </row>
    <row r="1739" spans="1:57" s="65" customFormat="1" ht="15" hidden="1" customHeight="1" outlineLevel="1" x14ac:dyDescent="0.25">
      <c r="A1739" s="785"/>
      <c r="B1739" s="177"/>
      <c r="C1739" s="455"/>
      <c r="D1739" s="2806"/>
      <c r="E1739" s="2856"/>
      <c r="F1739" s="2908" t="str">
        <f>$E$1538</f>
        <v>ASHP SEER 17 replace ASHP - early replacement MF ER2</v>
      </c>
      <c r="G1739" s="2909"/>
      <c r="H1739" s="2909"/>
      <c r="I1739" s="2910"/>
      <c r="J1739" s="1657" t="str">
        <f>$C$1538</f>
        <v>354200_2019_12_</v>
      </c>
      <c r="K1739" s="1663">
        <v>39600</v>
      </c>
      <c r="L1739" s="95">
        <f t="shared" si="200"/>
        <v>3.3</v>
      </c>
      <c r="M1739" s="1108"/>
      <c r="N1739" s="177"/>
      <c r="O1739" s="332"/>
      <c r="P1739" s="332"/>
      <c r="Q1739" s="332"/>
      <c r="R1739" s="332"/>
      <c r="S1739" s="177"/>
      <c r="T1739" s="177"/>
      <c r="U1739" s="177"/>
      <c r="V1739" s="2866"/>
      <c r="W1739" s="909">
        <v>39600</v>
      </c>
      <c r="X1739" s="909">
        <v>39600</v>
      </c>
      <c r="Y1739" s="909">
        <v>39600</v>
      </c>
      <c r="Z1739" s="909"/>
      <c r="AA1739" s="909"/>
      <c r="AB1739" s="909"/>
      <c r="AC1739" s="909"/>
      <c r="AD1739" s="909"/>
      <c r="AE1739" s="909"/>
      <c r="AF1739" s="909"/>
      <c r="AG1739" s="909"/>
      <c r="BB1739" s="784"/>
      <c r="BC1739" s="785"/>
      <c r="BD1739" s="900"/>
      <c r="BE1739" s="797"/>
    </row>
    <row r="1740" spans="1:57" s="65" customFormat="1" ht="15" hidden="1" customHeight="1" outlineLevel="1" x14ac:dyDescent="0.25">
      <c r="A1740" s="785"/>
      <c r="B1740" s="177"/>
      <c r="C1740" s="455"/>
      <c r="D1740" s="2806"/>
      <c r="E1740" s="2856"/>
      <c r="F1740" s="2908" t="str">
        <f>$E$1540</f>
        <v>ASHP SEER 17 replace ASHP - early replacement MF ER1_CompE</v>
      </c>
      <c r="G1740" s="2909"/>
      <c r="H1740" s="2909"/>
      <c r="I1740" s="2910"/>
      <c r="J1740" s="1657" t="str">
        <f>$C$1540</f>
        <v>354201_2019_12_</v>
      </c>
      <c r="K1740" s="1663">
        <f>K1738</f>
        <v>39600</v>
      </c>
      <c r="L1740" s="95">
        <f t="shared" si="200"/>
        <v>3.3</v>
      </c>
      <c r="M1740" s="1108"/>
      <c r="N1740" s="177"/>
      <c r="O1740" s="332"/>
      <c r="P1740" s="332"/>
      <c r="Q1740" s="332"/>
      <c r="R1740" s="332"/>
      <c r="S1740" s="177"/>
      <c r="T1740" s="177"/>
      <c r="U1740" s="177"/>
      <c r="V1740" s="2866"/>
      <c r="W1740" s="909"/>
      <c r="X1740" s="909"/>
      <c r="Y1740" s="908">
        <v>39600</v>
      </c>
      <c r="Z1740" s="909"/>
      <c r="AA1740" s="909"/>
      <c r="AB1740" s="909"/>
      <c r="AC1740" s="909"/>
      <c r="AD1740" s="909"/>
      <c r="AE1740" s="909"/>
      <c r="AF1740" s="909"/>
      <c r="AG1740" s="909"/>
      <c r="BB1740" s="784"/>
      <c r="BC1740" s="785"/>
      <c r="BD1740" s="900"/>
      <c r="BE1740" s="797"/>
    </row>
    <row r="1741" spans="1:57" s="65" customFormat="1" ht="15" hidden="1" customHeight="1" outlineLevel="1" x14ac:dyDescent="0.25">
      <c r="A1741" s="785"/>
      <c r="B1741" s="177"/>
      <c r="C1741" s="455"/>
      <c r="D1741" s="2806"/>
      <c r="E1741" s="2856"/>
      <c r="F1741" s="2908" t="str">
        <f>$E$1542</f>
        <v>ASHP SEER 17 replace ASHP - early replacement MF ER2_CompE</v>
      </c>
      <c r="G1741" s="2909"/>
      <c r="H1741" s="2909"/>
      <c r="I1741" s="2910"/>
      <c r="J1741" s="1657" t="str">
        <f>$C$1542</f>
        <v>354201_2019_12_</v>
      </c>
      <c r="K1741" s="1663">
        <f>K1739</f>
        <v>39600</v>
      </c>
      <c r="L1741" s="95">
        <f t="shared" si="200"/>
        <v>3.3</v>
      </c>
      <c r="M1741" s="1108"/>
      <c r="N1741" s="177"/>
      <c r="O1741" s="332"/>
      <c r="P1741" s="332"/>
      <c r="Q1741" s="332"/>
      <c r="R1741" s="332"/>
      <c r="S1741" s="177"/>
      <c r="T1741" s="177"/>
      <c r="U1741" s="177"/>
      <c r="V1741" s="2866"/>
      <c r="W1741" s="909"/>
      <c r="X1741" s="909"/>
      <c r="Y1741" s="908">
        <v>39600</v>
      </c>
      <c r="Z1741" s="909"/>
      <c r="AA1741" s="909"/>
      <c r="AB1741" s="909"/>
      <c r="AC1741" s="909"/>
      <c r="AD1741" s="909"/>
      <c r="AE1741" s="909"/>
      <c r="AF1741" s="909"/>
      <c r="AG1741" s="909"/>
      <c r="BB1741" s="784"/>
      <c r="BC1741" s="785"/>
      <c r="BD1741" s="900"/>
      <c r="BE1741" s="797"/>
    </row>
    <row r="1742" spans="1:57" s="65" customFormat="1" ht="15" hidden="1" customHeight="1" outlineLevel="1" x14ac:dyDescent="0.25">
      <c r="A1742" s="785"/>
      <c r="B1742" s="177"/>
      <c r="C1742" s="455"/>
      <c r="D1742" s="2806"/>
      <c r="E1742" s="2856"/>
      <c r="F1742" s="2908" t="str">
        <f>$E$1544</f>
        <v>ASHP - SEER 18 - replace electric furnace / CAC - early replacement SF ER1</v>
      </c>
      <c r="G1742" s="2909"/>
      <c r="H1742" s="2909"/>
      <c r="I1742" s="2910"/>
      <c r="J1742" s="1657" t="str">
        <f>$C$1544</f>
        <v>354250_2019_12_</v>
      </c>
      <c r="K1742" s="1663">
        <v>37200</v>
      </c>
      <c r="L1742" s="95">
        <f t="shared" si="200"/>
        <v>3.1</v>
      </c>
      <c r="M1742" s="1108"/>
      <c r="N1742" s="177"/>
      <c r="O1742" s="332"/>
      <c r="P1742" s="332"/>
      <c r="Q1742" s="332"/>
      <c r="R1742" s="332"/>
      <c r="S1742" s="177"/>
      <c r="T1742" s="177"/>
      <c r="U1742" s="177"/>
      <c r="V1742" s="2866"/>
      <c r="W1742" s="909">
        <v>37200</v>
      </c>
      <c r="X1742" s="909">
        <v>37200</v>
      </c>
      <c r="Y1742" s="909">
        <v>37200</v>
      </c>
      <c r="Z1742" s="909"/>
      <c r="AA1742" s="909"/>
      <c r="AB1742" s="909"/>
      <c r="AC1742" s="909"/>
      <c r="AD1742" s="909"/>
      <c r="AE1742" s="909"/>
      <c r="AF1742" s="909"/>
      <c r="AG1742" s="909"/>
      <c r="BB1742" s="784"/>
      <c r="BC1742" s="785"/>
      <c r="BD1742" s="900"/>
      <c r="BE1742" s="797"/>
    </row>
    <row r="1743" spans="1:57" s="65" customFormat="1" ht="15" hidden="1" customHeight="1" outlineLevel="1" x14ac:dyDescent="0.25">
      <c r="A1743" s="785"/>
      <c r="B1743" s="177"/>
      <c r="C1743" s="455"/>
      <c r="D1743" s="2806"/>
      <c r="E1743" s="2856"/>
      <c r="F1743" s="2908" t="str">
        <f>$E$1546</f>
        <v>ASHP - SEER 18 - replace electric furnace / CAC - early replacement SF ER2</v>
      </c>
      <c r="G1743" s="2909"/>
      <c r="H1743" s="2909"/>
      <c r="I1743" s="2910"/>
      <c r="J1743" s="1657" t="str">
        <f>$C$1546</f>
        <v>354250_2019_12_</v>
      </c>
      <c r="K1743" s="1663">
        <v>37200</v>
      </c>
      <c r="L1743" s="95">
        <f t="shared" si="200"/>
        <v>3.1</v>
      </c>
      <c r="M1743" s="1108"/>
      <c r="N1743" s="177"/>
      <c r="O1743" s="332"/>
      <c r="P1743" s="332"/>
      <c r="Q1743" s="332"/>
      <c r="R1743" s="332"/>
      <c r="S1743" s="177"/>
      <c r="T1743" s="177"/>
      <c r="U1743" s="177"/>
      <c r="V1743" s="2866"/>
      <c r="W1743" s="909">
        <v>37200</v>
      </c>
      <c r="X1743" s="909">
        <v>37200</v>
      </c>
      <c r="Y1743" s="909">
        <v>37200</v>
      </c>
      <c r="Z1743" s="909"/>
      <c r="AA1743" s="909"/>
      <c r="AB1743" s="909"/>
      <c r="AC1743" s="909"/>
      <c r="AD1743" s="909"/>
      <c r="AE1743" s="909"/>
      <c r="AF1743" s="909"/>
      <c r="AG1743" s="909"/>
      <c r="BB1743" s="784"/>
      <c r="BC1743" s="785"/>
      <c r="BD1743" s="900"/>
      <c r="BE1743" s="797"/>
    </row>
    <row r="1744" spans="1:57" s="65" customFormat="1" ht="15" hidden="1" customHeight="1" outlineLevel="1" x14ac:dyDescent="0.25">
      <c r="A1744" s="785"/>
      <c r="B1744" s="177"/>
      <c r="C1744" s="455"/>
      <c r="D1744" s="2806"/>
      <c r="E1744" s="2856"/>
      <c r="F1744" s="2908" t="str">
        <f>$E$1548</f>
        <v>ASHP - SEER 18 - replace electric furnace / CAC - early replacement MF ER1</v>
      </c>
      <c r="G1744" s="2909"/>
      <c r="H1744" s="2909"/>
      <c r="I1744" s="2910"/>
      <c r="J1744" s="1657" t="str">
        <f>$C$1548</f>
        <v>354300_2019_12_</v>
      </c>
      <c r="K1744" s="1663">
        <v>37200</v>
      </c>
      <c r="L1744" s="95">
        <f t="shared" si="200"/>
        <v>3.1</v>
      </c>
      <c r="M1744" s="1108"/>
      <c r="N1744" s="177"/>
      <c r="O1744" s="332"/>
      <c r="P1744" s="332"/>
      <c r="Q1744" s="332"/>
      <c r="R1744" s="332"/>
      <c r="S1744" s="177"/>
      <c r="T1744" s="177"/>
      <c r="U1744" s="177"/>
      <c r="V1744" s="2866"/>
      <c r="W1744" s="909">
        <v>37200</v>
      </c>
      <c r="X1744" s="909">
        <v>37200</v>
      </c>
      <c r="Y1744" s="909">
        <v>37200</v>
      </c>
      <c r="Z1744" s="909"/>
      <c r="AA1744" s="909"/>
      <c r="AB1744" s="909"/>
      <c r="AC1744" s="909"/>
      <c r="AD1744" s="909"/>
      <c r="AE1744" s="909"/>
      <c r="AF1744" s="909"/>
      <c r="AG1744" s="909"/>
      <c r="BB1744" s="784"/>
      <c r="BC1744" s="785"/>
      <c r="BD1744" s="900"/>
      <c r="BE1744" s="797"/>
    </row>
    <row r="1745" spans="1:57" s="65" customFormat="1" ht="15" hidden="1" customHeight="1" outlineLevel="1" x14ac:dyDescent="0.25">
      <c r="A1745" s="785"/>
      <c r="B1745" s="177"/>
      <c r="C1745" s="455"/>
      <c r="D1745" s="2806"/>
      <c r="E1745" s="2856"/>
      <c r="F1745" s="2908" t="str">
        <f>$E$1550</f>
        <v>ASHP - SEER 18 - replace electric furnace / CAC - early replacement MF ER2</v>
      </c>
      <c r="G1745" s="2909"/>
      <c r="H1745" s="2909"/>
      <c r="I1745" s="2910"/>
      <c r="J1745" s="1657" t="str">
        <f>$C$1550</f>
        <v>354300_2019_12_</v>
      </c>
      <c r="K1745" s="1663">
        <v>37200</v>
      </c>
      <c r="L1745" s="95">
        <f t="shared" si="200"/>
        <v>3.1</v>
      </c>
      <c r="M1745" s="1108"/>
      <c r="N1745" s="177"/>
      <c r="O1745" s="332"/>
      <c r="P1745" s="332"/>
      <c r="Q1745" s="332"/>
      <c r="R1745" s="332"/>
      <c r="S1745" s="177"/>
      <c r="T1745" s="177"/>
      <c r="U1745" s="177"/>
      <c r="V1745" s="2866"/>
      <c r="W1745" s="909">
        <v>37200</v>
      </c>
      <c r="X1745" s="909">
        <v>37200</v>
      </c>
      <c r="Y1745" s="909">
        <v>37200</v>
      </c>
      <c r="Z1745" s="909"/>
      <c r="AA1745" s="909"/>
      <c r="AB1745" s="909"/>
      <c r="AC1745" s="909"/>
      <c r="AD1745" s="909"/>
      <c r="AE1745" s="909"/>
      <c r="AF1745" s="909"/>
      <c r="AG1745" s="909"/>
      <c r="BB1745" s="784"/>
      <c r="BC1745" s="785"/>
      <c r="BD1745" s="900"/>
      <c r="BE1745" s="797"/>
    </row>
    <row r="1746" spans="1:57" s="65" customFormat="1" ht="15" hidden="1" customHeight="1" outlineLevel="1" x14ac:dyDescent="0.25">
      <c r="A1746" s="785"/>
      <c r="B1746" s="177"/>
      <c r="C1746" s="455"/>
      <c r="D1746" s="2806"/>
      <c r="E1746" s="2856"/>
      <c r="F1746" s="2908" t="str">
        <f>$E$1552</f>
        <v>ASHP - SEER 18 - replace electric furnace / CAC - early replacement MF ER1_CompE</v>
      </c>
      <c r="G1746" s="2909"/>
      <c r="H1746" s="2909"/>
      <c r="I1746" s="2910"/>
      <c r="J1746" s="1657" t="str">
        <f>$C$1552</f>
        <v>354301_2019_12_</v>
      </c>
      <c r="K1746" s="1663">
        <f>K1744</f>
        <v>37200</v>
      </c>
      <c r="L1746" s="95">
        <f t="shared" si="200"/>
        <v>3.1</v>
      </c>
      <c r="M1746" s="1108"/>
      <c r="N1746" s="177"/>
      <c r="O1746" s="332"/>
      <c r="P1746" s="332"/>
      <c r="Q1746" s="332"/>
      <c r="R1746" s="332"/>
      <c r="S1746" s="177"/>
      <c r="T1746" s="177"/>
      <c r="U1746" s="177"/>
      <c r="V1746" s="2866"/>
      <c r="W1746" s="909"/>
      <c r="X1746" s="909"/>
      <c r="Y1746" s="908">
        <v>37200</v>
      </c>
      <c r="Z1746" s="909"/>
      <c r="AA1746" s="909"/>
      <c r="AB1746" s="909"/>
      <c r="AC1746" s="909"/>
      <c r="AD1746" s="909"/>
      <c r="AE1746" s="909"/>
      <c r="AF1746" s="909"/>
      <c r="AG1746" s="909"/>
      <c r="BB1746" s="784"/>
      <c r="BC1746" s="785"/>
      <c r="BD1746" s="900"/>
      <c r="BE1746" s="797"/>
    </row>
    <row r="1747" spans="1:57" s="65" customFormat="1" ht="15" hidden="1" customHeight="1" outlineLevel="1" x14ac:dyDescent="0.25">
      <c r="A1747" s="785"/>
      <c r="B1747" s="177"/>
      <c r="C1747" s="455"/>
      <c r="D1747" s="2806"/>
      <c r="E1747" s="2856"/>
      <c r="F1747" s="2908" t="str">
        <f>$E$1554</f>
        <v>ASHP - SEER 18 - replace electric furnace / CAC - early replacement MF ER2_CompE</v>
      </c>
      <c r="G1747" s="2909"/>
      <c r="H1747" s="2909"/>
      <c r="I1747" s="2910"/>
      <c r="J1747" s="1657" t="str">
        <f>$C$1554</f>
        <v>354301_2019_12_</v>
      </c>
      <c r="K1747" s="1663">
        <f>K1745</f>
        <v>37200</v>
      </c>
      <c r="L1747" s="95">
        <f t="shared" si="200"/>
        <v>3.1</v>
      </c>
      <c r="M1747" s="1108"/>
      <c r="N1747" s="177"/>
      <c r="O1747" s="332"/>
      <c r="P1747" s="332"/>
      <c r="Q1747" s="332"/>
      <c r="R1747" s="332"/>
      <c r="S1747" s="177"/>
      <c r="T1747" s="177"/>
      <c r="U1747" s="177"/>
      <c r="V1747" s="2866"/>
      <c r="W1747" s="909"/>
      <c r="X1747" s="909"/>
      <c r="Y1747" s="908">
        <v>37200</v>
      </c>
      <c r="Z1747" s="909"/>
      <c r="AA1747" s="909"/>
      <c r="AB1747" s="909"/>
      <c r="AC1747" s="909"/>
      <c r="AD1747" s="909"/>
      <c r="AE1747" s="909"/>
      <c r="AF1747" s="909"/>
      <c r="AG1747" s="909"/>
      <c r="BB1747" s="784"/>
      <c r="BC1747" s="785"/>
      <c r="BD1747" s="900"/>
      <c r="BE1747" s="797"/>
    </row>
    <row r="1748" spans="1:57" s="65" customFormat="1" ht="15" hidden="1" customHeight="1" outlineLevel="1" x14ac:dyDescent="0.25">
      <c r="A1748" s="785"/>
      <c r="B1748" s="177"/>
      <c r="C1748" s="455"/>
      <c r="D1748" s="2806"/>
      <c r="E1748" s="2856"/>
      <c r="F1748" s="2908" t="str">
        <f>$E$1556</f>
        <v>ASHP SEER 18 replace ASHP - early replacement MF ER1</v>
      </c>
      <c r="G1748" s="2909"/>
      <c r="H1748" s="2909"/>
      <c r="I1748" s="2910"/>
      <c r="J1748" s="1657" t="str">
        <f>$C$1556</f>
        <v>354350_2019_12_</v>
      </c>
      <c r="K1748" s="1663">
        <v>39600</v>
      </c>
      <c r="L1748" s="95">
        <f t="shared" si="200"/>
        <v>3.3</v>
      </c>
      <c r="M1748" s="1108"/>
      <c r="N1748" s="177"/>
      <c r="O1748" s="332"/>
      <c r="P1748" s="332"/>
      <c r="Q1748" s="332"/>
      <c r="R1748" s="332"/>
      <c r="S1748" s="177"/>
      <c r="T1748" s="177"/>
      <c r="U1748" s="177"/>
      <c r="V1748" s="2866"/>
      <c r="W1748" s="909">
        <v>39600</v>
      </c>
      <c r="X1748" s="909">
        <v>39600</v>
      </c>
      <c r="Y1748" s="909">
        <v>39600</v>
      </c>
      <c r="Z1748" s="909"/>
      <c r="AA1748" s="909"/>
      <c r="AB1748" s="909"/>
      <c r="AC1748" s="909"/>
      <c r="AD1748" s="909"/>
      <c r="AE1748" s="909"/>
      <c r="AF1748" s="909"/>
      <c r="AG1748" s="909"/>
      <c r="BB1748" s="784"/>
      <c r="BC1748" s="785"/>
      <c r="BD1748" s="900"/>
      <c r="BE1748" s="797"/>
    </row>
    <row r="1749" spans="1:57" s="65" customFormat="1" ht="15" hidden="1" customHeight="1" outlineLevel="1" x14ac:dyDescent="0.25">
      <c r="A1749" s="785"/>
      <c r="B1749" s="177"/>
      <c r="C1749" s="455"/>
      <c r="D1749" s="2806"/>
      <c r="E1749" s="2856"/>
      <c r="F1749" s="2908" t="str">
        <f>$E$1558</f>
        <v>ASHP SEER 18 replace ASHP - early replacement MF ER2</v>
      </c>
      <c r="G1749" s="2909"/>
      <c r="H1749" s="2909"/>
      <c r="I1749" s="2910"/>
      <c r="J1749" s="1657" t="str">
        <f>$C$1558</f>
        <v>354350_2019_12_</v>
      </c>
      <c r="K1749" s="1663">
        <v>39600</v>
      </c>
      <c r="L1749" s="95">
        <f t="shared" si="200"/>
        <v>3.3</v>
      </c>
      <c r="M1749" s="1108"/>
      <c r="N1749" s="177"/>
      <c r="O1749" s="332"/>
      <c r="P1749" s="332"/>
      <c r="Q1749" s="332"/>
      <c r="R1749" s="332"/>
      <c r="S1749" s="177"/>
      <c r="T1749" s="177"/>
      <c r="U1749" s="177"/>
      <c r="V1749" s="2866"/>
      <c r="W1749" s="909">
        <v>39600</v>
      </c>
      <c r="X1749" s="909">
        <v>39600</v>
      </c>
      <c r="Y1749" s="909">
        <v>39600</v>
      </c>
      <c r="Z1749" s="909"/>
      <c r="AA1749" s="909"/>
      <c r="AB1749" s="909"/>
      <c r="AC1749" s="909"/>
      <c r="AD1749" s="909"/>
      <c r="AE1749" s="909"/>
      <c r="AF1749" s="909"/>
      <c r="AG1749" s="909"/>
      <c r="BB1749" s="784"/>
      <c r="BC1749" s="785"/>
      <c r="BD1749" s="900"/>
      <c r="BE1749" s="797"/>
    </row>
    <row r="1750" spans="1:57" s="65" customFormat="1" ht="15" hidden="1" customHeight="1" outlineLevel="1" x14ac:dyDescent="0.25">
      <c r="A1750" s="785"/>
      <c r="B1750" s="177"/>
      <c r="C1750" s="455"/>
      <c r="D1750" s="2806"/>
      <c r="E1750" s="2856"/>
      <c r="F1750" s="2908" t="str">
        <f>$E$1560</f>
        <v>ASHP SEER 18 replace ASHP - early replacement MF ER1_CompE</v>
      </c>
      <c r="G1750" s="2909"/>
      <c r="H1750" s="2909"/>
      <c r="I1750" s="2910"/>
      <c r="J1750" s="1657" t="str">
        <f>$C$1560</f>
        <v>354351_2019_12_</v>
      </c>
      <c r="K1750" s="1663">
        <f>K1748</f>
        <v>39600</v>
      </c>
      <c r="L1750" s="95">
        <f t="shared" si="200"/>
        <v>3.3</v>
      </c>
      <c r="M1750" s="1108"/>
      <c r="N1750" s="177"/>
      <c r="O1750" s="332"/>
      <c r="P1750" s="332"/>
      <c r="Q1750" s="332"/>
      <c r="R1750" s="332"/>
      <c r="S1750" s="177"/>
      <c r="T1750" s="177"/>
      <c r="U1750" s="177"/>
      <c r="V1750" s="2866"/>
      <c r="W1750" s="909"/>
      <c r="X1750" s="909"/>
      <c r="Y1750" s="908">
        <v>39600</v>
      </c>
      <c r="Z1750" s="909"/>
      <c r="AA1750" s="909"/>
      <c r="AB1750" s="909"/>
      <c r="AC1750" s="909"/>
      <c r="AD1750" s="909"/>
      <c r="AE1750" s="909"/>
      <c r="AF1750" s="909"/>
      <c r="AG1750" s="909"/>
      <c r="BB1750" s="784"/>
      <c r="BC1750" s="785"/>
      <c r="BD1750" s="900"/>
      <c r="BE1750" s="797"/>
    </row>
    <row r="1751" spans="1:57" s="65" customFormat="1" ht="15" hidden="1" customHeight="1" outlineLevel="1" x14ac:dyDescent="0.25">
      <c r="A1751" s="785"/>
      <c r="B1751" s="177"/>
      <c r="C1751" s="455"/>
      <c r="D1751" s="2806"/>
      <c r="E1751" s="2856"/>
      <c r="F1751" s="2908" t="str">
        <f>$E$1562</f>
        <v>ASHP SEER 18 replace ASHP - early replacement MF ER2_CompE</v>
      </c>
      <c r="G1751" s="2909"/>
      <c r="H1751" s="2909"/>
      <c r="I1751" s="2910"/>
      <c r="J1751" s="1657" t="str">
        <f>$C$1562</f>
        <v>354351_2019_12_</v>
      </c>
      <c r="K1751" s="1663">
        <f>K1749</f>
        <v>39600</v>
      </c>
      <c r="L1751" s="95">
        <f t="shared" si="200"/>
        <v>3.3</v>
      </c>
      <c r="M1751" s="1108"/>
      <c r="N1751" s="177"/>
      <c r="O1751" s="332"/>
      <c r="P1751" s="332"/>
      <c r="Q1751" s="332"/>
      <c r="R1751" s="332"/>
      <c r="S1751" s="177"/>
      <c r="T1751" s="177"/>
      <c r="U1751" s="177"/>
      <c r="V1751" s="2866"/>
      <c r="W1751" s="909"/>
      <c r="X1751" s="909"/>
      <c r="Y1751" s="908">
        <v>39600</v>
      </c>
      <c r="Z1751" s="909"/>
      <c r="AA1751" s="909"/>
      <c r="AB1751" s="909"/>
      <c r="AC1751" s="909"/>
      <c r="AD1751" s="909"/>
      <c r="AE1751" s="909"/>
      <c r="AF1751" s="909"/>
      <c r="AG1751" s="909"/>
      <c r="BB1751" s="784"/>
      <c r="BC1751" s="785"/>
      <c r="BD1751" s="900"/>
      <c r="BE1751" s="797"/>
    </row>
    <row r="1752" spans="1:57" s="65" customFormat="1" ht="15" hidden="1" customHeight="1" outlineLevel="1" x14ac:dyDescent="0.25">
      <c r="A1752" s="785"/>
      <c r="B1752" s="177"/>
      <c r="C1752" s="455"/>
      <c r="D1752" s="2806"/>
      <c r="E1752" s="2856"/>
      <c r="F1752" s="2908" t="str">
        <f>$E$1564</f>
        <v>ASHP - SEER 19 - replace electric furnace / CAC - early replacement SF ER1</v>
      </c>
      <c r="G1752" s="2909"/>
      <c r="H1752" s="2909"/>
      <c r="I1752" s="2910"/>
      <c r="J1752" s="1657" t="str">
        <f>$C$1564</f>
        <v>354400_2019_12_</v>
      </c>
      <c r="K1752" s="1663">
        <v>37200</v>
      </c>
      <c r="L1752" s="95">
        <f t="shared" si="200"/>
        <v>3.1</v>
      </c>
      <c r="M1752" s="1108"/>
      <c r="N1752" s="177"/>
      <c r="O1752" s="332"/>
      <c r="P1752" s="332"/>
      <c r="Q1752" s="332"/>
      <c r="R1752" s="332"/>
      <c r="S1752" s="177"/>
      <c r="T1752" s="177"/>
      <c r="U1752" s="177"/>
      <c r="V1752" s="2866"/>
      <c r="W1752" s="909">
        <v>37200</v>
      </c>
      <c r="X1752" s="909">
        <v>37200</v>
      </c>
      <c r="Y1752" s="909">
        <v>37200</v>
      </c>
      <c r="Z1752" s="909"/>
      <c r="AA1752" s="909"/>
      <c r="AB1752" s="909"/>
      <c r="AC1752" s="909"/>
      <c r="AD1752" s="909"/>
      <c r="AE1752" s="909"/>
      <c r="AF1752" s="909"/>
      <c r="AG1752" s="909"/>
      <c r="BB1752" s="784"/>
      <c r="BC1752" s="785"/>
      <c r="BD1752" s="900"/>
      <c r="BE1752" s="797"/>
    </row>
    <row r="1753" spans="1:57" s="65" customFormat="1" ht="15" hidden="1" customHeight="1" outlineLevel="1" x14ac:dyDescent="0.25">
      <c r="A1753" s="785"/>
      <c r="B1753" s="177"/>
      <c r="C1753" s="455"/>
      <c r="D1753" s="2806"/>
      <c r="E1753" s="2856"/>
      <c r="F1753" s="2908" t="str">
        <f>$E$1566</f>
        <v>ASHP - SEER 19 - replace electric furnace / CAC - early replacement SF ER2</v>
      </c>
      <c r="G1753" s="2909"/>
      <c r="H1753" s="2909"/>
      <c r="I1753" s="2910"/>
      <c r="J1753" s="1657" t="str">
        <f>$C$1566</f>
        <v>354400_2019_12_</v>
      </c>
      <c r="K1753" s="1663">
        <v>37200</v>
      </c>
      <c r="L1753" s="95">
        <f t="shared" si="200"/>
        <v>3.1</v>
      </c>
      <c r="M1753" s="1108"/>
      <c r="N1753" s="177"/>
      <c r="O1753" s="332"/>
      <c r="P1753" s="332"/>
      <c r="Q1753" s="332"/>
      <c r="R1753" s="332"/>
      <c r="S1753" s="177"/>
      <c r="T1753" s="177"/>
      <c r="U1753" s="177"/>
      <c r="V1753" s="2866"/>
      <c r="W1753" s="909">
        <v>37200</v>
      </c>
      <c r="X1753" s="909">
        <v>37200</v>
      </c>
      <c r="Y1753" s="909">
        <v>37200</v>
      </c>
      <c r="Z1753" s="909"/>
      <c r="AA1753" s="909"/>
      <c r="AB1753" s="909"/>
      <c r="AC1753" s="909"/>
      <c r="AD1753" s="909"/>
      <c r="AE1753" s="909"/>
      <c r="AF1753" s="909"/>
      <c r="AG1753" s="909"/>
      <c r="BB1753" s="784"/>
      <c r="BC1753" s="785"/>
      <c r="BD1753" s="900"/>
      <c r="BE1753" s="797"/>
    </row>
    <row r="1754" spans="1:57" s="65" customFormat="1" ht="15" hidden="1" customHeight="1" outlineLevel="1" x14ac:dyDescent="0.25">
      <c r="A1754" s="785"/>
      <c r="B1754" s="177"/>
      <c r="C1754" s="455"/>
      <c r="D1754" s="2806"/>
      <c r="E1754" s="2856"/>
      <c r="F1754" s="2908" t="str">
        <f>$E$1568</f>
        <v>ASHP - SEER 19 - replace electric furnace / CAC - early replacement MF ER1</v>
      </c>
      <c r="G1754" s="2909"/>
      <c r="H1754" s="2909"/>
      <c r="I1754" s="2910"/>
      <c r="J1754" s="1657" t="str">
        <f>$C$1568</f>
        <v>354450_2019_12_</v>
      </c>
      <c r="K1754" s="1663">
        <v>37200</v>
      </c>
      <c r="L1754" s="95">
        <f t="shared" si="200"/>
        <v>3.1</v>
      </c>
      <c r="M1754" s="1108"/>
      <c r="N1754" s="177"/>
      <c r="O1754" s="332"/>
      <c r="P1754" s="332"/>
      <c r="Q1754" s="332"/>
      <c r="R1754" s="332"/>
      <c r="S1754" s="177"/>
      <c r="T1754" s="177"/>
      <c r="U1754" s="177"/>
      <c r="V1754" s="2866"/>
      <c r="W1754" s="909">
        <v>37200</v>
      </c>
      <c r="X1754" s="909">
        <v>37200</v>
      </c>
      <c r="Y1754" s="909">
        <v>37200</v>
      </c>
      <c r="Z1754" s="909"/>
      <c r="AA1754" s="909"/>
      <c r="AB1754" s="909"/>
      <c r="AC1754" s="909"/>
      <c r="AD1754" s="909"/>
      <c r="AE1754" s="909"/>
      <c r="AF1754" s="909"/>
      <c r="AG1754" s="909"/>
      <c r="BB1754" s="784"/>
      <c r="BC1754" s="785"/>
      <c r="BD1754" s="900"/>
      <c r="BE1754" s="797"/>
    </row>
    <row r="1755" spans="1:57" s="65" customFormat="1" ht="15" hidden="1" customHeight="1" outlineLevel="1" x14ac:dyDescent="0.25">
      <c r="A1755" s="785"/>
      <c r="B1755" s="177"/>
      <c r="C1755" s="455"/>
      <c r="D1755" s="2806"/>
      <c r="E1755" s="2856"/>
      <c r="F1755" s="2908" t="str">
        <f>$E$1570</f>
        <v>ASHP - SEER 19 - replace electric furnace / CAC - early replacement MF ER2</v>
      </c>
      <c r="G1755" s="2909"/>
      <c r="H1755" s="2909"/>
      <c r="I1755" s="2910"/>
      <c r="J1755" s="1657" t="str">
        <f>$C$1570</f>
        <v>354450_2019_12_</v>
      </c>
      <c r="K1755" s="1663">
        <v>37200</v>
      </c>
      <c r="L1755" s="95">
        <f t="shared" ref="L1755:L1791" si="204">K1755/12000</f>
        <v>3.1</v>
      </c>
      <c r="M1755" s="1108"/>
      <c r="N1755" s="177"/>
      <c r="O1755" s="332"/>
      <c r="P1755" s="332"/>
      <c r="Q1755" s="332"/>
      <c r="R1755" s="332"/>
      <c r="S1755" s="177"/>
      <c r="T1755" s="177"/>
      <c r="U1755" s="177"/>
      <c r="V1755" s="2866"/>
      <c r="W1755" s="909">
        <v>37200</v>
      </c>
      <c r="X1755" s="909">
        <v>37200</v>
      </c>
      <c r="Y1755" s="909">
        <v>37200</v>
      </c>
      <c r="Z1755" s="909"/>
      <c r="AA1755" s="909"/>
      <c r="AB1755" s="909"/>
      <c r="AC1755" s="909"/>
      <c r="AD1755" s="909"/>
      <c r="AE1755" s="909"/>
      <c r="AF1755" s="909"/>
      <c r="AG1755" s="909"/>
      <c r="BB1755" s="784"/>
      <c r="BC1755" s="785"/>
      <c r="BD1755" s="900"/>
      <c r="BE1755" s="797"/>
    </row>
    <row r="1756" spans="1:57" s="65" customFormat="1" ht="15" hidden="1" customHeight="1" outlineLevel="1" x14ac:dyDescent="0.25">
      <c r="A1756" s="785"/>
      <c r="B1756" s="177"/>
      <c r="C1756" s="455"/>
      <c r="D1756" s="2806"/>
      <c r="E1756" s="2856"/>
      <c r="F1756" s="2908" t="str">
        <f>$E$1572</f>
        <v>ASHP - SEER 19 - replace electric furnace / CAC - early replacement MF ER1_CompE</v>
      </c>
      <c r="G1756" s="2909"/>
      <c r="H1756" s="2909"/>
      <c r="I1756" s="2910"/>
      <c r="J1756" s="1657" t="str">
        <f>$C$1572</f>
        <v>354451_2019_12_</v>
      </c>
      <c r="K1756" s="1663">
        <f>K1754</f>
        <v>37200</v>
      </c>
      <c r="L1756" s="95">
        <f t="shared" si="204"/>
        <v>3.1</v>
      </c>
      <c r="M1756" s="1108"/>
      <c r="N1756" s="177"/>
      <c r="O1756" s="332"/>
      <c r="P1756" s="332"/>
      <c r="Q1756" s="332"/>
      <c r="R1756" s="332"/>
      <c r="S1756" s="177"/>
      <c r="T1756" s="177"/>
      <c r="U1756" s="177"/>
      <c r="V1756" s="2866"/>
      <c r="W1756" s="909"/>
      <c r="X1756" s="909"/>
      <c r="Y1756" s="908">
        <v>37200</v>
      </c>
      <c r="Z1756" s="909"/>
      <c r="AA1756" s="909"/>
      <c r="AB1756" s="909"/>
      <c r="AC1756" s="909"/>
      <c r="AD1756" s="909"/>
      <c r="AE1756" s="909"/>
      <c r="AF1756" s="909"/>
      <c r="AG1756" s="909"/>
      <c r="BB1756" s="784"/>
      <c r="BC1756" s="785"/>
      <c r="BD1756" s="900"/>
      <c r="BE1756" s="797"/>
    </row>
    <row r="1757" spans="1:57" s="65" customFormat="1" ht="15" hidden="1" customHeight="1" outlineLevel="1" x14ac:dyDescent="0.25">
      <c r="A1757" s="785"/>
      <c r="B1757" s="177"/>
      <c r="C1757" s="455"/>
      <c r="D1757" s="2806"/>
      <c r="E1757" s="2856"/>
      <c r="F1757" s="2908" t="str">
        <f>$E$1574</f>
        <v>ASHP - SEER 19 - replace electric furnace / CAC - early replacement MF ER2_CompE</v>
      </c>
      <c r="G1757" s="2909"/>
      <c r="H1757" s="2909"/>
      <c r="I1757" s="2910"/>
      <c r="J1757" s="1657" t="str">
        <f>$C$1574</f>
        <v>354451_2019_12_</v>
      </c>
      <c r="K1757" s="1663">
        <f>K1755</f>
        <v>37200</v>
      </c>
      <c r="L1757" s="95">
        <f t="shared" si="204"/>
        <v>3.1</v>
      </c>
      <c r="M1757" s="1108"/>
      <c r="N1757" s="177"/>
      <c r="O1757" s="332"/>
      <c r="P1757" s="332"/>
      <c r="Q1757" s="332"/>
      <c r="R1757" s="332"/>
      <c r="S1757" s="177"/>
      <c r="T1757" s="177"/>
      <c r="U1757" s="177"/>
      <c r="V1757" s="2866"/>
      <c r="W1757" s="909"/>
      <c r="X1757" s="909"/>
      <c r="Y1757" s="908">
        <v>37200</v>
      </c>
      <c r="Z1757" s="909"/>
      <c r="AA1757" s="909"/>
      <c r="AB1757" s="909"/>
      <c r="AC1757" s="909"/>
      <c r="AD1757" s="909"/>
      <c r="AE1757" s="909"/>
      <c r="AF1757" s="909"/>
      <c r="AG1757" s="909"/>
      <c r="BB1757" s="784"/>
      <c r="BC1757" s="785"/>
      <c r="BD1757" s="900"/>
      <c r="BE1757" s="797"/>
    </row>
    <row r="1758" spans="1:57" s="65" customFormat="1" ht="15" hidden="1" customHeight="1" outlineLevel="1" x14ac:dyDescent="0.25">
      <c r="A1758" s="785"/>
      <c r="B1758" s="177"/>
      <c r="C1758" s="455"/>
      <c r="D1758" s="2806"/>
      <c r="E1758" s="2856"/>
      <c r="F1758" s="2908" t="str">
        <f>$E$1576</f>
        <v>ASHP SEER 19 replace ASHP - early replacement MF ER1</v>
      </c>
      <c r="G1758" s="2909"/>
      <c r="H1758" s="2909"/>
      <c r="I1758" s="2910"/>
      <c r="J1758" s="1657" t="str">
        <f>$C$1576</f>
        <v>354500_2019_12_</v>
      </c>
      <c r="K1758" s="1663">
        <v>39600</v>
      </c>
      <c r="L1758" s="95">
        <f t="shared" si="204"/>
        <v>3.3</v>
      </c>
      <c r="M1758" s="1108"/>
      <c r="N1758" s="177"/>
      <c r="O1758" s="332"/>
      <c r="P1758" s="332"/>
      <c r="Q1758" s="332"/>
      <c r="R1758" s="332"/>
      <c r="S1758" s="177"/>
      <c r="T1758" s="177"/>
      <c r="U1758" s="177"/>
      <c r="V1758" s="2866"/>
      <c r="W1758" s="909">
        <v>39600</v>
      </c>
      <c r="X1758" s="909">
        <v>39600</v>
      </c>
      <c r="Y1758" s="909">
        <v>39600</v>
      </c>
      <c r="Z1758" s="909"/>
      <c r="AA1758" s="909"/>
      <c r="AB1758" s="909"/>
      <c r="AC1758" s="909"/>
      <c r="AD1758" s="909"/>
      <c r="AE1758" s="909"/>
      <c r="AF1758" s="909"/>
      <c r="AG1758" s="909"/>
      <c r="BB1758" s="784"/>
      <c r="BC1758" s="785"/>
      <c r="BD1758" s="900"/>
      <c r="BE1758" s="797"/>
    </row>
    <row r="1759" spans="1:57" s="65" customFormat="1" ht="15" hidden="1" customHeight="1" outlineLevel="1" x14ac:dyDescent="0.25">
      <c r="A1759" s="785"/>
      <c r="B1759" s="177"/>
      <c r="C1759" s="455"/>
      <c r="D1759" s="2806"/>
      <c r="E1759" s="2856"/>
      <c r="F1759" s="2908" t="str">
        <f>$E$1578</f>
        <v>ASHP SEER 19 replace ASHP - early replacement MF ER2</v>
      </c>
      <c r="G1759" s="2909"/>
      <c r="H1759" s="2909"/>
      <c r="I1759" s="2910"/>
      <c r="J1759" s="1657" t="str">
        <f>$C$1578</f>
        <v>354500_2019_12_</v>
      </c>
      <c r="K1759" s="1663">
        <v>39600</v>
      </c>
      <c r="L1759" s="95">
        <f t="shared" si="204"/>
        <v>3.3</v>
      </c>
      <c r="M1759" s="1108"/>
      <c r="N1759" s="177"/>
      <c r="O1759" s="332"/>
      <c r="P1759" s="332"/>
      <c r="Q1759" s="332"/>
      <c r="R1759" s="332"/>
      <c r="S1759" s="177"/>
      <c r="T1759" s="177"/>
      <c r="U1759" s="177"/>
      <c r="V1759" s="2866"/>
      <c r="W1759" s="909">
        <v>39600</v>
      </c>
      <c r="X1759" s="909">
        <v>39600</v>
      </c>
      <c r="Y1759" s="909">
        <v>39600</v>
      </c>
      <c r="Z1759" s="909"/>
      <c r="AA1759" s="909"/>
      <c r="AB1759" s="909"/>
      <c r="AC1759" s="909"/>
      <c r="AD1759" s="909"/>
      <c r="AE1759" s="909"/>
      <c r="AF1759" s="909"/>
      <c r="AG1759" s="909"/>
      <c r="BB1759" s="784"/>
      <c r="BC1759" s="785"/>
      <c r="BD1759" s="900"/>
      <c r="BE1759" s="797"/>
    </row>
    <row r="1760" spans="1:57" s="65" customFormat="1" ht="15" hidden="1" customHeight="1" outlineLevel="1" x14ac:dyDescent="0.25">
      <c r="A1760" s="785"/>
      <c r="B1760" s="177"/>
      <c r="C1760" s="455"/>
      <c r="D1760" s="2806"/>
      <c r="E1760" s="2856"/>
      <c r="F1760" s="2908" t="str">
        <f>$E$1580</f>
        <v>ASHP SEER 19 replace ASHP - early replacement MF ER1_CompE</v>
      </c>
      <c r="G1760" s="2909"/>
      <c r="H1760" s="2909"/>
      <c r="I1760" s="2910"/>
      <c r="J1760" s="1657" t="str">
        <f>$C$1580</f>
        <v>354501_2019_12_</v>
      </c>
      <c r="K1760" s="1663">
        <f>K1758</f>
        <v>39600</v>
      </c>
      <c r="L1760" s="95">
        <f t="shared" si="204"/>
        <v>3.3</v>
      </c>
      <c r="M1760" s="1108"/>
      <c r="N1760" s="177"/>
      <c r="O1760" s="332"/>
      <c r="P1760" s="332"/>
      <c r="Q1760" s="332"/>
      <c r="R1760" s="332"/>
      <c r="S1760" s="177"/>
      <c r="T1760" s="177"/>
      <c r="U1760" s="177"/>
      <c r="V1760" s="2866"/>
      <c r="W1760" s="909"/>
      <c r="X1760" s="909"/>
      <c r="Y1760" s="908">
        <v>39600</v>
      </c>
      <c r="Z1760" s="909"/>
      <c r="AA1760" s="909"/>
      <c r="AB1760" s="909"/>
      <c r="AC1760" s="909"/>
      <c r="AD1760" s="909"/>
      <c r="AE1760" s="909"/>
      <c r="AF1760" s="909"/>
      <c r="AG1760" s="909"/>
      <c r="BB1760" s="784"/>
      <c r="BC1760" s="785"/>
      <c r="BD1760" s="900"/>
      <c r="BE1760" s="797"/>
    </row>
    <row r="1761" spans="1:57" s="65" customFormat="1" ht="15" hidden="1" customHeight="1" outlineLevel="1" x14ac:dyDescent="0.25">
      <c r="A1761" s="785"/>
      <c r="B1761" s="177"/>
      <c r="C1761" s="455"/>
      <c r="D1761" s="2806"/>
      <c r="E1761" s="2856"/>
      <c r="F1761" s="2908" t="str">
        <f>$E$1582</f>
        <v>ASHP SEER 19 replace ASHP - early replacement MF ER2_CompE</v>
      </c>
      <c r="G1761" s="2909"/>
      <c r="H1761" s="2909"/>
      <c r="I1761" s="2910"/>
      <c r="J1761" s="1657" t="str">
        <f>$C$1582</f>
        <v>354501_2019_12_</v>
      </c>
      <c r="K1761" s="1663">
        <f>K1759</f>
        <v>39600</v>
      </c>
      <c r="L1761" s="95">
        <f t="shared" si="204"/>
        <v>3.3</v>
      </c>
      <c r="M1761" s="1108"/>
      <c r="N1761" s="177"/>
      <c r="O1761" s="332"/>
      <c r="P1761" s="332"/>
      <c r="Q1761" s="332"/>
      <c r="R1761" s="332"/>
      <c r="S1761" s="177"/>
      <c r="T1761" s="177"/>
      <c r="U1761" s="177"/>
      <c r="V1761" s="2866"/>
      <c r="W1761" s="909"/>
      <c r="X1761" s="909"/>
      <c r="Y1761" s="908">
        <v>39600</v>
      </c>
      <c r="Z1761" s="909"/>
      <c r="AA1761" s="909"/>
      <c r="AB1761" s="909"/>
      <c r="AC1761" s="909"/>
      <c r="AD1761" s="909"/>
      <c r="AE1761" s="909"/>
      <c r="AF1761" s="909"/>
      <c r="AG1761" s="909"/>
      <c r="BB1761" s="784"/>
      <c r="BC1761" s="785"/>
      <c r="BD1761" s="900"/>
      <c r="BE1761" s="797"/>
    </row>
    <row r="1762" spans="1:57" s="65" customFormat="1" ht="15" hidden="1" customHeight="1" outlineLevel="1" x14ac:dyDescent="0.25">
      <c r="A1762" s="785"/>
      <c r="B1762" s="177"/>
      <c r="C1762" s="455"/>
      <c r="D1762" s="2806"/>
      <c r="E1762" s="2856"/>
      <c r="F1762" s="2908" t="str">
        <f>$E$1584</f>
        <v>ASHP SEER 20 replace ASHP - early replacement SF ER1</v>
      </c>
      <c r="G1762" s="2909"/>
      <c r="H1762" s="2909"/>
      <c r="I1762" s="2910"/>
      <c r="J1762" s="1657" t="str">
        <f>$C$1584</f>
        <v>354550_2019_12_</v>
      </c>
      <c r="K1762" s="1663">
        <v>39600</v>
      </c>
      <c r="L1762" s="95">
        <f t="shared" si="204"/>
        <v>3.3</v>
      </c>
      <c r="M1762" s="1108"/>
      <c r="N1762" s="177"/>
      <c r="O1762" s="332"/>
      <c r="P1762" s="332"/>
      <c r="Q1762" s="332"/>
      <c r="R1762" s="332"/>
      <c r="S1762" s="177"/>
      <c r="T1762" s="177"/>
      <c r="U1762" s="177"/>
      <c r="V1762" s="2866"/>
      <c r="W1762" s="909">
        <v>39600</v>
      </c>
      <c r="X1762" s="909">
        <v>39600</v>
      </c>
      <c r="Y1762" s="909">
        <v>39600</v>
      </c>
      <c r="Z1762" s="909"/>
      <c r="AA1762" s="909"/>
      <c r="AB1762" s="909"/>
      <c r="AC1762" s="909"/>
      <c r="AD1762" s="909"/>
      <c r="AE1762" s="909"/>
      <c r="AF1762" s="909"/>
      <c r="AG1762" s="909"/>
      <c r="BB1762" s="784"/>
      <c r="BC1762" s="785"/>
      <c r="BD1762" s="900"/>
      <c r="BE1762" s="797"/>
    </row>
    <row r="1763" spans="1:57" s="65" customFormat="1" ht="15" hidden="1" customHeight="1" outlineLevel="1" x14ac:dyDescent="0.25">
      <c r="A1763" s="785"/>
      <c r="B1763" s="177"/>
      <c r="C1763" s="455"/>
      <c r="D1763" s="2806"/>
      <c r="E1763" s="2856"/>
      <c r="F1763" s="2908" t="str">
        <f>$E$1586</f>
        <v>ASHP SEER 20 replace ASHP - early replacement SF ER2</v>
      </c>
      <c r="G1763" s="2909"/>
      <c r="H1763" s="2909"/>
      <c r="I1763" s="2910"/>
      <c r="J1763" s="1657" t="str">
        <f>$C$1586</f>
        <v>354550_2019_12_</v>
      </c>
      <c r="K1763" s="1663">
        <v>39600</v>
      </c>
      <c r="L1763" s="95">
        <f t="shared" si="204"/>
        <v>3.3</v>
      </c>
      <c r="M1763" s="1108"/>
      <c r="N1763" s="177"/>
      <c r="O1763" s="332"/>
      <c r="P1763" s="332"/>
      <c r="Q1763" s="332"/>
      <c r="R1763" s="332"/>
      <c r="S1763" s="177"/>
      <c r="T1763" s="177"/>
      <c r="U1763" s="177"/>
      <c r="V1763" s="2866"/>
      <c r="W1763" s="909">
        <v>39600</v>
      </c>
      <c r="X1763" s="909">
        <v>39600</v>
      </c>
      <c r="Y1763" s="909">
        <v>39600</v>
      </c>
      <c r="Z1763" s="909"/>
      <c r="AA1763" s="909"/>
      <c r="AB1763" s="909"/>
      <c r="AC1763" s="909"/>
      <c r="AD1763" s="909"/>
      <c r="AE1763" s="909"/>
      <c r="AF1763" s="909"/>
      <c r="AG1763" s="909"/>
      <c r="BB1763" s="784"/>
      <c r="BC1763" s="785"/>
      <c r="BD1763" s="900"/>
      <c r="BE1763" s="797"/>
    </row>
    <row r="1764" spans="1:57" s="65" customFormat="1" ht="15" hidden="1" customHeight="1" outlineLevel="1" x14ac:dyDescent="0.25">
      <c r="A1764" s="785"/>
      <c r="B1764" s="177"/>
      <c r="C1764" s="455"/>
      <c r="D1764" s="2806"/>
      <c r="E1764" s="2856"/>
      <c r="F1764" s="2908" t="str">
        <f>$E$1588</f>
        <v>ASHP SEER 20 replace ASHP - replace on fail SF</v>
      </c>
      <c r="G1764" s="2909"/>
      <c r="H1764" s="2909"/>
      <c r="I1764" s="2910"/>
      <c r="J1764" s="1657" t="str">
        <f>$C$1588</f>
        <v>354600_2019_12_</v>
      </c>
      <c r="K1764" s="1663">
        <v>39600</v>
      </c>
      <c r="L1764" s="95">
        <f t="shared" si="204"/>
        <v>3.3</v>
      </c>
      <c r="M1764" s="1108"/>
      <c r="N1764" s="177"/>
      <c r="O1764" s="332"/>
      <c r="P1764" s="332"/>
      <c r="Q1764" s="332"/>
      <c r="R1764" s="332"/>
      <c r="S1764" s="177"/>
      <c r="T1764" s="177"/>
      <c r="U1764" s="177"/>
      <c r="V1764" s="2866"/>
      <c r="W1764" s="909">
        <v>39600</v>
      </c>
      <c r="X1764" s="909">
        <v>39600</v>
      </c>
      <c r="Y1764" s="909">
        <v>39600</v>
      </c>
      <c r="Z1764" s="909"/>
      <c r="AA1764" s="909"/>
      <c r="AB1764" s="909"/>
      <c r="AC1764" s="909"/>
      <c r="AD1764" s="909"/>
      <c r="AE1764" s="909"/>
      <c r="AF1764" s="909"/>
      <c r="AG1764" s="909"/>
      <c r="BB1764" s="784"/>
      <c r="BC1764" s="785"/>
      <c r="BD1764" s="900"/>
      <c r="BE1764" s="797"/>
    </row>
    <row r="1765" spans="1:57" s="65" customFormat="1" ht="15" hidden="1" customHeight="1" outlineLevel="1" x14ac:dyDescent="0.25">
      <c r="A1765" s="785"/>
      <c r="B1765" s="177"/>
      <c r="C1765" s="455"/>
      <c r="D1765" s="2806"/>
      <c r="E1765" s="2856"/>
      <c r="F1765" s="2908" t="str">
        <f>$E$1590</f>
        <v>ASHP - SEER 20 - replace electric furnace / CAC - early replacement MF ER1</v>
      </c>
      <c r="G1765" s="2909"/>
      <c r="H1765" s="2909"/>
      <c r="I1765" s="2910"/>
      <c r="J1765" s="1657" t="str">
        <f>$C$1590</f>
        <v>354650_2019_12_</v>
      </c>
      <c r="K1765" s="1663">
        <v>37200</v>
      </c>
      <c r="L1765" s="95">
        <f t="shared" si="204"/>
        <v>3.1</v>
      </c>
      <c r="M1765" s="1108"/>
      <c r="N1765" s="177"/>
      <c r="O1765" s="332"/>
      <c r="P1765" s="332"/>
      <c r="Q1765" s="332"/>
      <c r="R1765" s="332"/>
      <c r="S1765" s="177"/>
      <c r="T1765" s="177"/>
      <c r="U1765" s="177"/>
      <c r="V1765" s="2866"/>
      <c r="W1765" s="909">
        <v>37200</v>
      </c>
      <c r="X1765" s="909">
        <v>37200</v>
      </c>
      <c r="Y1765" s="909">
        <v>37200</v>
      </c>
      <c r="Z1765" s="909"/>
      <c r="AA1765" s="909"/>
      <c r="AB1765" s="909"/>
      <c r="AC1765" s="909"/>
      <c r="AD1765" s="909"/>
      <c r="AE1765" s="909"/>
      <c r="AF1765" s="909"/>
      <c r="AG1765" s="909"/>
      <c r="BB1765" s="784"/>
      <c r="BC1765" s="785"/>
      <c r="BD1765" s="900"/>
      <c r="BE1765" s="797"/>
    </row>
    <row r="1766" spans="1:57" s="65" customFormat="1" ht="15" hidden="1" customHeight="1" outlineLevel="1" x14ac:dyDescent="0.25">
      <c r="A1766" s="785"/>
      <c r="B1766" s="177"/>
      <c r="C1766" s="455"/>
      <c r="D1766" s="2806"/>
      <c r="E1766" s="2856"/>
      <c r="F1766" s="2908" t="str">
        <f>$E$1592</f>
        <v>ASHP - SEER 20 - replace electric furnace / CAC - early replacement MF ER2</v>
      </c>
      <c r="G1766" s="2909"/>
      <c r="H1766" s="2909"/>
      <c r="I1766" s="2910"/>
      <c r="J1766" s="1657" t="str">
        <f>$C$1592</f>
        <v>354650_2019_12_</v>
      </c>
      <c r="K1766" s="1663">
        <v>37200</v>
      </c>
      <c r="L1766" s="95">
        <f t="shared" si="204"/>
        <v>3.1</v>
      </c>
      <c r="M1766" s="1108"/>
      <c r="N1766" s="177"/>
      <c r="O1766" s="332"/>
      <c r="P1766" s="332"/>
      <c r="Q1766" s="332"/>
      <c r="R1766" s="332"/>
      <c r="S1766" s="177"/>
      <c r="T1766" s="177"/>
      <c r="U1766" s="177"/>
      <c r="V1766" s="2866"/>
      <c r="W1766" s="909">
        <v>37200</v>
      </c>
      <c r="X1766" s="909">
        <v>37200</v>
      </c>
      <c r="Y1766" s="909">
        <v>37200</v>
      </c>
      <c r="Z1766" s="909"/>
      <c r="AA1766" s="909"/>
      <c r="AB1766" s="909"/>
      <c r="AC1766" s="909"/>
      <c r="AD1766" s="909"/>
      <c r="AE1766" s="909"/>
      <c r="AF1766" s="909"/>
      <c r="AG1766" s="909"/>
      <c r="BB1766" s="784"/>
      <c r="BC1766" s="785"/>
      <c r="BD1766" s="900"/>
      <c r="BE1766" s="797"/>
    </row>
    <row r="1767" spans="1:57" s="65" customFormat="1" ht="15" hidden="1" customHeight="1" outlineLevel="1" x14ac:dyDescent="0.25">
      <c r="A1767" s="785"/>
      <c r="B1767" s="177"/>
      <c r="C1767" s="455"/>
      <c r="D1767" s="2806"/>
      <c r="E1767" s="2856"/>
      <c r="F1767" s="2908" t="str">
        <f>$E$1594</f>
        <v>ASHP - SEER 20 - replace electric furnace / CAC - early replacement MF ER1_CompE</v>
      </c>
      <c r="G1767" s="2909"/>
      <c r="H1767" s="2909"/>
      <c r="I1767" s="2910"/>
      <c r="J1767" s="1657" t="str">
        <f>$C$1594</f>
        <v>354651_2019_12_</v>
      </c>
      <c r="K1767" s="1663">
        <f>K1765</f>
        <v>37200</v>
      </c>
      <c r="L1767" s="95">
        <f t="shared" si="204"/>
        <v>3.1</v>
      </c>
      <c r="M1767" s="1108"/>
      <c r="N1767" s="177"/>
      <c r="O1767" s="332"/>
      <c r="P1767" s="332"/>
      <c r="Q1767" s="332"/>
      <c r="R1767" s="332"/>
      <c r="S1767" s="177"/>
      <c r="T1767" s="177"/>
      <c r="U1767" s="177"/>
      <c r="V1767" s="2866"/>
      <c r="W1767" s="909"/>
      <c r="X1767" s="909"/>
      <c r="Y1767" s="908">
        <v>37200</v>
      </c>
      <c r="Z1767" s="909"/>
      <c r="AA1767" s="909"/>
      <c r="AB1767" s="909"/>
      <c r="AC1767" s="909"/>
      <c r="AD1767" s="909"/>
      <c r="AE1767" s="909"/>
      <c r="AF1767" s="909"/>
      <c r="AG1767" s="909"/>
      <c r="BB1767" s="784"/>
      <c r="BC1767" s="785"/>
      <c r="BD1767" s="900"/>
      <c r="BE1767" s="797"/>
    </row>
    <row r="1768" spans="1:57" s="65" customFormat="1" ht="15" hidden="1" customHeight="1" outlineLevel="1" x14ac:dyDescent="0.25">
      <c r="A1768" s="785"/>
      <c r="B1768" s="177"/>
      <c r="C1768" s="455"/>
      <c r="D1768" s="2806"/>
      <c r="E1768" s="2856"/>
      <c r="F1768" s="2908" t="str">
        <f>$E$1596</f>
        <v>ASHP - SEER 20 - replace electric furnace / CAC - early replacement MF ER2_CompE</v>
      </c>
      <c r="G1768" s="2909"/>
      <c r="H1768" s="2909"/>
      <c r="I1768" s="2910"/>
      <c r="J1768" s="1657" t="str">
        <f>$C$1596</f>
        <v>354651_2019_12_</v>
      </c>
      <c r="K1768" s="1663">
        <f>K1766</f>
        <v>37200</v>
      </c>
      <c r="L1768" s="95">
        <f t="shared" si="204"/>
        <v>3.1</v>
      </c>
      <c r="M1768" s="1108"/>
      <c r="N1768" s="177"/>
      <c r="O1768" s="332"/>
      <c r="P1768" s="332"/>
      <c r="Q1768" s="332"/>
      <c r="R1768" s="332"/>
      <c r="S1768" s="177"/>
      <c r="T1768" s="177"/>
      <c r="U1768" s="177"/>
      <c r="V1768" s="2866"/>
      <c r="W1768" s="909"/>
      <c r="X1768" s="909"/>
      <c r="Y1768" s="908">
        <v>37200</v>
      </c>
      <c r="Z1768" s="909"/>
      <c r="AA1768" s="909"/>
      <c r="AB1768" s="909"/>
      <c r="AC1768" s="909"/>
      <c r="AD1768" s="909"/>
      <c r="AE1768" s="909"/>
      <c r="AF1768" s="909"/>
      <c r="AG1768" s="909"/>
      <c r="BB1768" s="784"/>
      <c r="BC1768" s="785"/>
      <c r="BD1768" s="900"/>
      <c r="BE1768" s="797"/>
    </row>
    <row r="1769" spans="1:57" s="65" customFormat="1" ht="15" hidden="1" customHeight="1" outlineLevel="1" x14ac:dyDescent="0.25">
      <c r="A1769" s="785"/>
      <c r="B1769" s="177"/>
      <c r="C1769" s="455"/>
      <c r="D1769" s="2806"/>
      <c r="E1769" s="2856"/>
      <c r="F1769" s="2908" t="str">
        <f>$E$1598</f>
        <v>ASHP SEER 20 replace ASHP - early replacement MF ER1</v>
      </c>
      <c r="G1769" s="2909"/>
      <c r="H1769" s="2909"/>
      <c r="I1769" s="2910"/>
      <c r="J1769" s="1657" t="str">
        <f>$C$1598</f>
        <v>354700_2019_12_</v>
      </c>
      <c r="K1769" s="1663">
        <v>39600</v>
      </c>
      <c r="L1769" s="95">
        <f t="shared" si="204"/>
        <v>3.3</v>
      </c>
      <c r="M1769" s="1108"/>
      <c r="N1769" s="177"/>
      <c r="O1769" s="332"/>
      <c r="P1769" s="332"/>
      <c r="Q1769" s="332"/>
      <c r="R1769" s="332"/>
      <c r="S1769" s="177"/>
      <c r="T1769" s="177"/>
      <c r="U1769" s="177"/>
      <c r="V1769" s="2866"/>
      <c r="W1769" s="909">
        <v>39600</v>
      </c>
      <c r="X1769" s="909">
        <v>39600</v>
      </c>
      <c r="Y1769" s="909">
        <v>39600</v>
      </c>
      <c r="Z1769" s="909"/>
      <c r="AA1769" s="909"/>
      <c r="AB1769" s="909"/>
      <c r="AC1769" s="909"/>
      <c r="AD1769" s="909"/>
      <c r="AE1769" s="909"/>
      <c r="AF1769" s="909"/>
      <c r="AG1769" s="909"/>
      <c r="BB1769" s="784"/>
      <c r="BC1769" s="785"/>
      <c r="BD1769" s="900"/>
      <c r="BE1769" s="797"/>
    </row>
    <row r="1770" spans="1:57" s="65" customFormat="1" ht="15" hidden="1" customHeight="1" outlineLevel="1" x14ac:dyDescent="0.25">
      <c r="A1770" s="785"/>
      <c r="B1770" s="177"/>
      <c r="C1770" s="455"/>
      <c r="D1770" s="2806"/>
      <c r="E1770" s="2856"/>
      <c r="F1770" s="2908" t="str">
        <f>$E$1600</f>
        <v>ASHP SEER 20 replace ASHP - early replacement MF ER2</v>
      </c>
      <c r="G1770" s="2909"/>
      <c r="H1770" s="2909"/>
      <c r="I1770" s="2910"/>
      <c r="J1770" s="1657" t="str">
        <f>$C$1600</f>
        <v>354700_2019_12_</v>
      </c>
      <c r="K1770" s="1663">
        <v>39600</v>
      </c>
      <c r="L1770" s="95">
        <f t="shared" si="204"/>
        <v>3.3</v>
      </c>
      <c r="M1770" s="1108"/>
      <c r="N1770" s="177"/>
      <c r="O1770" s="332"/>
      <c r="P1770" s="332"/>
      <c r="Q1770" s="332"/>
      <c r="R1770" s="332"/>
      <c r="S1770" s="177"/>
      <c r="T1770" s="177"/>
      <c r="U1770" s="177"/>
      <c r="V1770" s="2866"/>
      <c r="W1770" s="909">
        <v>39600</v>
      </c>
      <c r="X1770" s="909">
        <v>39600</v>
      </c>
      <c r="Y1770" s="909">
        <v>39600</v>
      </c>
      <c r="Z1770" s="909"/>
      <c r="AA1770" s="909"/>
      <c r="AB1770" s="909"/>
      <c r="AC1770" s="909"/>
      <c r="AD1770" s="909"/>
      <c r="AE1770" s="909"/>
      <c r="AF1770" s="909"/>
      <c r="AG1770" s="909"/>
      <c r="BB1770" s="784"/>
      <c r="BC1770" s="785"/>
      <c r="BD1770" s="900"/>
      <c r="BE1770" s="797"/>
    </row>
    <row r="1771" spans="1:57" s="65" customFormat="1" ht="15" hidden="1" customHeight="1" outlineLevel="1" x14ac:dyDescent="0.25">
      <c r="A1771" s="785"/>
      <c r="B1771" s="177"/>
      <c r="C1771" s="455"/>
      <c r="D1771" s="2806"/>
      <c r="E1771" s="2856"/>
      <c r="F1771" s="2908" t="str">
        <f>$E$1602</f>
        <v>ASHP SEER 20 replace ASHP - early replacement MF ER1_CompE</v>
      </c>
      <c r="G1771" s="2909"/>
      <c r="H1771" s="2909"/>
      <c r="I1771" s="2910"/>
      <c r="J1771" s="1657" t="str">
        <f>$C$1602</f>
        <v>354701_2019_12_</v>
      </c>
      <c r="K1771" s="1663">
        <f>K1769</f>
        <v>39600</v>
      </c>
      <c r="L1771" s="95">
        <f t="shared" si="204"/>
        <v>3.3</v>
      </c>
      <c r="M1771" s="1108"/>
      <c r="N1771" s="177"/>
      <c r="O1771" s="332"/>
      <c r="P1771" s="332"/>
      <c r="Q1771" s="332"/>
      <c r="R1771" s="332"/>
      <c r="S1771" s="177"/>
      <c r="T1771" s="177"/>
      <c r="U1771" s="177"/>
      <c r="V1771" s="2866"/>
      <c r="W1771" s="909"/>
      <c r="X1771" s="909"/>
      <c r="Y1771" s="908">
        <v>39600</v>
      </c>
      <c r="Z1771" s="909"/>
      <c r="AA1771" s="909"/>
      <c r="AB1771" s="909"/>
      <c r="AC1771" s="909"/>
      <c r="AD1771" s="909"/>
      <c r="AE1771" s="909"/>
      <c r="AF1771" s="909"/>
      <c r="AG1771" s="909"/>
      <c r="BB1771" s="784"/>
      <c r="BC1771" s="785"/>
      <c r="BD1771" s="900"/>
      <c r="BE1771" s="797"/>
    </row>
    <row r="1772" spans="1:57" s="65" customFormat="1" ht="15" hidden="1" customHeight="1" outlineLevel="1" x14ac:dyDescent="0.25">
      <c r="A1772" s="785"/>
      <c r="B1772" s="177"/>
      <c r="C1772" s="455"/>
      <c r="D1772" s="2806"/>
      <c r="E1772" s="2856"/>
      <c r="F1772" s="2908" t="str">
        <f>$E$1604</f>
        <v>ASHP SEER 20 replace ASHP - early replacement MF ER2_CompE</v>
      </c>
      <c r="G1772" s="2909"/>
      <c r="H1772" s="2909"/>
      <c r="I1772" s="2910"/>
      <c r="J1772" s="1657" t="str">
        <f>$C$1604</f>
        <v>354701_2019_12_</v>
      </c>
      <c r="K1772" s="1663">
        <f>K1770</f>
        <v>39600</v>
      </c>
      <c r="L1772" s="95">
        <f t="shared" si="204"/>
        <v>3.3</v>
      </c>
      <c r="M1772" s="1108"/>
      <c r="N1772" s="177"/>
      <c r="O1772" s="332"/>
      <c r="P1772" s="332"/>
      <c r="Q1772" s="332"/>
      <c r="R1772" s="332"/>
      <c r="S1772" s="177"/>
      <c r="T1772" s="177"/>
      <c r="U1772" s="177"/>
      <c r="V1772" s="2866"/>
      <c r="W1772" s="909"/>
      <c r="X1772" s="909"/>
      <c r="Y1772" s="908">
        <v>39600</v>
      </c>
      <c r="Z1772" s="909"/>
      <c r="AA1772" s="909"/>
      <c r="AB1772" s="909"/>
      <c r="AC1772" s="909"/>
      <c r="AD1772" s="909"/>
      <c r="AE1772" s="909"/>
      <c r="AF1772" s="909"/>
      <c r="AG1772" s="909"/>
      <c r="BB1772" s="784"/>
      <c r="BC1772" s="785"/>
      <c r="BD1772" s="900"/>
      <c r="BE1772" s="797"/>
    </row>
    <row r="1773" spans="1:57" s="65" customFormat="1" ht="15" hidden="1" customHeight="1" outlineLevel="1" x14ac:dyDescent="0.25">
      <c r="A1773" s="785"/>
      <c r="B1773" s="177"/>
      <c r="C1773" s="455"/>
      <c r="D1773" s="2806"/>
      <c r="E1773" s="2856"/>
      <c r="F1773" s="2908" t="str">
        <f>$E$1606</f>
        <v>ASHP SEER 21 replace ASHP - early replacement SF ER1</v>
      </c>
      <c r="G1773" s="2909"/>
      <c r="H1773" s="2909"/>
      <c r="I1773" s="2910"/>
      <c r="J1773" s="1657" t="str">
        <f>$C$1606</f>
        <v>354750_2019_12_</v>
      </c>
      <c r="K1773" s="1663">
        <v>39600</v>
      </c>
      <c r="L1773" s="95">
        <f t="shared" si="204"/>
        <v>3.3</v>
      </c>
      <c r="M1773" s="1108"/>
      <c r="N1773" s="177"/>
      <c r="O1773" s="332"/>
      <c r="P1773" s="332"/>
      <c r="Q1773" s="332"/>
      <c r="R1773" s="332"/>
      <c r="S1773" s="177"/>
      <c r="T1773" s="177"/>
      <c r="U1773" s="177"/>
      <c r="V1773" s="2866"/>
      <c r="W1773" s="909">
        <v>39600</v>
      </c>
      <c r="X1773" s="909">
        <v>39600</v>
      </c>
      <c r="Y1773" s="909">
        <v>39600</v>
      </c>
      <c r="Z1773" s="909"/>
      <c r="AA1773" s="909"/>
      <c r="AB1773" s="909"/>
      <c r="AC1773" s="909"/>
      <c r="AD1773" s="909"/>
      <c r="AE1773" s="909"/>
      <c r="AF1773" s="909"/>
      <c r="AG1773" s="909"/>
      <c r="BB1773" s="784"/>
      <c r="BC1773" s="785"/>
      <c r="BD1773" s="900"/>
      <c r="BE1773" s="797"/>
    </row>
    <row r="1774" spans="1:57" s="65" customFormat="1" ht="15" hidden="1" customHeight="1" outlineLevel="1" x14ac:dyDescent="0.25">
      <c r="A1774" s="785"/>
      <c r="B1774" s="177"/>
      <c r="C1774" s="455"/>
      <c r="D1774" s="2806"/>
      <c r="E1774" s="2856"/>
      <c r="F1774" s="2908" t="str">
        <f>$E$1608</f>
        <v>ASHP SEER 21 replace ASHP - early replacement SF ER2</v>
      </c>
      <c r="G1774" s="2909"/>
      <c r="H1774" s="2909"/>
      <c r="I1774" s="2910"/>
      <c r="J1774" s="1657" t="str">
        <f>$C$1608</f>
        <v>354750_2019_12_</v>
      </c>
      <c r="K1774" s="1663">
        <v>39600</v>
      </c>
      <c r="L1774" s="95">
        <f t="shared" si="204"/>
        <v>3.3</v>
      </c>
      <c r="M1774" s="1108"/>
      <c r="N1774" s="177"/>
      <c r="O1774" s="332"/>
      <c r="P1774" s="332"/>
      <c r="Q1774" s="332"/>
      <c r="R1774" s="332"/>
      <c r="S1774" s="177"/>
      <c r="T1774" s="177"/>
      <c r="U1774" s="177"/>
      <c r="V1774" s="2866"/>
      <c r="W1774" s="909">
        <v>39600</v>
      </c>
      <c r="X1774" s="909">
        <v>39600</v>
      </c>
      <c r="Y1774" s="909">
        <v>39600</v>
      </c>
      <c r="Z1774" s="909"/>
      <c r="AA1774" s="909"/>
      <c r="AB1774" s="909"/>
      <c r="AC1774" s="909"/>
      <c r="AD1774" s="909"/>
      <c r="AE1774" s="909"/>
      <c r="AF1774" s="909"/>
      <c r="AG1774" s="909"/>
      <c r="BB1774" s="784"/>
      <c r="BC1774" s="785"/>
      <c r="BD1774" s="900"/>
      <c r="BE1774" s="797"/>
    </row>
    <row r="1775" spans="1:57" s="65" customFormat="1" ht="15" hidden="1" customHeight="1" outlineLevel="1" x14ac:dyDescent="0.25">
      <c r="A1775" s="785"/>
      <c r="B1775" s="177"/>
      <c r="C1775" s="455"/>
      <c r="D1775" s="2806"/>
      <c r="E1775" s="2856"/>
      <c r="F1775" s="2908" t="str">
        <f>$E$1610</f>
        <v>ASHP SEER 21 replace ASHP - replace on fail SF</v>
      </c>
      <c r="G1775" s="2909"/>
      <c r="H1775" s="2909"/>
      <c r="I1775" s="2910"/>
      <c r="J1775" s="1657" t="str">
        <f>$C$1610</f>
        <v>354800_2019_12_</v>
      </c>
      <c r="K1775" s="1663">
        <v>39600</v>
      </c>
      <c r="L1775" s="95">
        <f t="shared" si="204"/>
        <v>3.3</v>
      </c>
      <c r="M1775" s="1108"/>
      <c r="N1775" s="177"/>
      <c r="O1775" s="332"/>
      <c r="P1775" s="332"/>
      <c r="Q1775" s="332"/>
      <c r="R1775" s="332"/>
      <c r="S1775" s="177"/>
      <c r="T1775" s="177"/>
      <c r="U1775" s="177"/>
      <c r="V1775" s="2866"/>
      <c r="W1775" s="909">
        <v>39600</v>
      </c>
      <c r="X1775" s="909">
        <v>39600</v>
      </c>
      <c r="Y1775" s="909">
        <v>39600</v>
      </c>
      <c r="Z1775" s="909"/>
      <c r="AA1775" s="909"/>
      <c r="AB1775" s="909"/>
      <c r="AC1775" s="909"/>
      <c r="AD1775" s="909"/>
      <c r="AE1775" s="909"/>
      <c r="AF1775" s="909"/>
      <c r="AG1775" s="909"/>
      <c r="BB1775" s="784"/>
      <c r="BC1775" s="785"/>
      <c r="BD1775" s="900"/>
      <c r="BE1775" s="797"/>
    </row>
    <row r="1776" spans="1:57" s="65" customFormat="1" ht="15" hidden="1" customHeight="1" outlineLevel="1" x14ac:dyDescent="0.25">
      <c r="A1776" s="785"/>
      <c r="B1776" s="177"/>
      <c r="C1776" s="455"/>
      <c r="D1776" s="2806"/>
      <c r="E1776" s="2856"/>
      <c r="F1776" s="2908" t="str">
        <f>$E$1612</f>
        <v>ASHP - SEER 21 - replace electric furnace / CAC MF</v>
      </c>
      <c r="G1776" s="2909"/>
      <c r="H1776" s="2909"/>
      <c r="I1776" s="2910"/>
      <c r="J1776" s="1657" t="str">
        <f>$C$1612</f>
        <v>354850_2019_12_</v>
      </c>
      <c r="K1776" s="1663">
        <v>33600</v>
      </c>
      <c r="L1776" s="95">
        <f t="shared" si="204"/>
        <v>2.8</v>
      </c>
      <c r="M1776" s="1108"/>
      <c r="N1776" s="177"/>
      <c r="O1776" s="332"/>
      <c r="P1776" s="332"/>
      <c r="Q1776" s="332"/>
      <c r="R1776" s="332"/>
      <c r="S1776" s="177"/>
      <c r="T1776" s="177"/>
      <c r="U1776" s="177"/>
      <c r="V1776" s="2866"/>
      <c r="W1776" s="909">
        <v>33600</v>
      </c>
      <c r="X1776" s="909">
        <v>33600</v>
      </c>
      <c r="Y1776" s="909">
        <v>33600</v>
      </c>
      <c r="Z1776" s="909"/>
      <c r="AA1776" s="909"/>
      <c r="AB1776" s="909"/>
      <c r="AC1776" s="909"/>
      <c r="AD1776" s="909"/>
      <c r="AE1776" s="909"/>
      <c r="AF1776" s="909"/>
      <c r="AG1776" s="909"/>
      <c r="BB1776" s="784"/>
      <c r="BC1776" s="785"/>
      <c r="BD1776" s="900"/>
      <c r="BE1776" s="797"/>
    </row>
    <row r="1777" spans="1:57" s="65" customFormat="1" ht="15" hidden="1" customHeight="1" outlineLevel="1" x14ac:dyDescent="0.25">
      <c r="A1777" s="785"/>
      <c r="B1777" s="177"/>
      <c r="C1777" s="455"/>
      <c r="D1777" s="2806"/>
      <c r="E1777" s="2856"/>
      <c r="F1777" s="2908" t="str">
        <f>$E$1614</f>
        <v>ASHP - SEER 21 - replace electric furnace / CAC MF_CompE</v>
      </c>
      <c r="G1777" s="2909"/>
      <c r="H1777" s="2909"/>
      <c r="I1777" s="2910"/>
      <c r="J1777" s="1657" t="str">
        <f>$C$1614</f>
        <v>354851_2019_12_</v>
      </c>
      <c r="K1777" s="1663">
        <f>K1776</f>
        <v>33600</v>
      </c>
      <c r="L1777" s="95">
        <f t="shared" si="204"/>
        <v>2.8</v>
      </c>
      <c r="M1777" s="1108"/>
      <c r="N1777" s="177"/>
      <c r="O1777" s="332"/>
      <c r="P1777" s="332"/>
      <c r="Q1777" s="332"/>
      <c r="R1777" s="332"/>
      <c r="S1777" s="177"/>
      <c r="T1777" s="177"/>
      <c r="U1777" s="177"/>
      <c r="V1777" s="2866"/>
      <c r="W1777" s="909"/>
      <c r="X1777" s="909"/>
      <c r="Y1777" s="908">
        <v>33600</v>
      </c>
      <c r="Z1777" s="909"/>
      <c r="AA1777" s="909"/>
      <c r="AB1777" s="909"/>
      <c r="AC1777" s="909"/>
      <c r="AD1777" s="909"/>
      <c r="AE1777" s="909"/>
      <c r="AF1777" s="909"/>
      <c r="AG1777" s="909"/>
      <c r="BB1777" s="784"/>
      <c r="BC1777" s="785"/>
      <c r="BD1777" s="900"/>
      <c r="BE1777" s="797"/>
    </row>
    <row r="1778" spans="1:57" s="65" customFormat="1" ht="15" hidden="1" customHeight="1" outlineLevel="1" x14ac:dyDescent="0.25">
      <c r="A1778" s="785"/>
      <c r="B1778" s="177"/>
      <c r="C1778" s="455"/>
      <c r="D1778" s="2806"/>
      <c r="E1778" s="2856"/>
      <c r="F1778" s="2908" t="str">
        <f>$E$1616</f>
        <v>ASHP SEER 21 replace ASHP - early replacement MF ER1</v>
      </c>
      <c r="G1778" s="2909"/>
      <c r="H1778" s="2909"/>
      <c r="I1778" s="2910"/>
      <c r="J1778" s="1657" t="str">
        <f>$C$1616</f>
        <v>354900_2019_12_</v>
      </c>
      <c r="K1778" s="1663">
        <v>39600</v>
      </c>
      <c r="L1778" s="95">
        <f t="shared" si="204"/>
        <v>3.3</v>
      </c>
      <c r="M1778" s="1108"/>
      <c r="N1778" s="177"/>
      <c r="O1778" s="332"/>
      <c r="P1778" s="332"/>
      <c r="Q1778" s="332"/>
      <c r="R1778" s="332"/>
      <c r="S1778" s="177"/>
      <c r="T1778" s="177"/>
      <c r="U1778" s="177"/>
      <c r="V1778" s="2866"/>
      <c r="W1778" s="909">
        <v>39600</v>
      </c>
      <c r="X1778" s="909">
        <v>39600</v>
      </c>
      <c r="Y1778" s="909">
        <v>39600</v>
      </c>
      <c r="Z1778" s="909"/>
      <c r="AA1778" s="909"/>
      <c r="AB1778" s="909"/>
      <c r="AC1778" s="909"/>
      <c r="AD1778" s="909"/>
      <c r="AE1778" s="909"/>
      <c r="AF1778" s="909"/>
      <c r="AG1778" s="909"/>
      <c r="BB1778" s="784"/>
      <c r="BC1778" s="785"/>
      <c r="BD1778" s="900"/>
      <c r="BE1778" s="797"/>
    </row>
    <row r="1779" spans="1:57" s="65" customFormat="1" ht="15" hidden="1" customHeight="1" outlineLevel="1" x14ac:dyDescent="0.25">
      <c r="A1779" s="785"/>
      <c r="B1779" s="177"/>
      <c r="C1779" s="455"/>
      <c r="D1779" s="2806"/>
      <c r="E1779" s="2856"/>
      <c r="F1779" s="2908" t="str">
        <f>$E$1618</f>
        <v>ASHP SEER 21 replace ASHP - early replacement MF ER2</v>
      </c>
      <c r="G1779" s="2909"/>
      <c r="H1779" s="2909"/>
      <c r="I1779" s="2910"/>
      <c r="J1779" s="1657" t="str">
        <f>$C$1618</f>
        <v>354900_2019_12_</v>
      </c>
      <c r="K1779" s="1663">
        <v>39600</v>
      </c>
      <c r="L1779" s="95">
        <f t="shared" si="204"/>
        <v>3.3</v>
      </c>
      <c r="M1779" s="1108"/>
      <c r="N1779" s="177"/>
      <c r="O1779" s="332"/>
      <c r="P1779" s="332"/>
      <c r="Q1779" s="332"/>
      <c r="R1779" s="332"/>
      <c r="S1779" s="177"/>
      <c r="T1779" s="177"/>
      <c r="U1779" s="177"/>
      <c r="V1779" s="2866"/>
      <c r="W1779" s="909">
        <v>39600</v>
      </c>
      <c r="X1779" s="909">
        <v>39600</v>
      </c>
      <c r="Y1779" s="909">
        <v>39600</v>
      </c>
      <c r="Z1779" s="909"/>
      <c r="AA1779" s="909"/>
      <c r="AB1779" s="909"/>
      <c r="AC1779" s="909"/>
      <c r="AD1779" s="909"/>
      <c r="AE1779" s="909"/>
      <c r="AF1779" s="909"/>
      <c r="AG1779" s="909"/>
      <c r="BB1779" s="784"/>
      <c r="BC1779" s="785"/>
      <c r="BD1779" s="900"/>
      <c r="BE1779" s="797"/>
    </row>
    <row r="1780" spans="1:57" s="65" customFormat="1" ht="15" hidden="1" customHeight="1" outlineLevel="1" x14ac:dyDescent="0.25">
      <c r="A1780" s="785"/>
      <c r="B1780" s="177"/>
      <c r="C1780" s="455"/>
      <c r="D1780" s="2806"/>
      <c r="E1780" s="2856"/>
      <c r="F1780" s="2908" t="str">
        <f>$E$1620</f>
        <v>ASHP SEER 21 replace ASHP - early replacement MF ER1_CompE</v>
      </c>
      <c r="G1780" s="2909"/>
      <c r="H1780" s="2909"/>
      <c r="I1780" s="2910"/>
      <c r="J1780" s="1657" t="str">
        <f>$C$1620</f>
        <v>354901_2019_12_</v>
      </c>
      <c r="K1780" s="1663">
        <f>K1778</f>
        <v>39600</v>
      </c>
      <c r="L1780" s="95">
        <f t="shared" si="204"/>
        <v>3.3</v>
      </c>
      <c r="M1780" s="1108"/>
      <c r="N1780" s="177"/>
      <c r="O1780" s="332"/>
      <c r="P1780" s="332"/>
      <c r="Q1780" s="332"/>
      <c r="R1780" s="332"/>
      <c r="S1780" s="177"/>
      <c r="T1780" s="177"/>
      <c r="U1780" s="177"/>
      <c r="V1780" s="2866"/>
      <c r="W1780" s="909"/>
      <c r="X1780" s="909"/>
      <c r="Y1780" s="908">
        <v>39600</v>
      </c>
      <c r="Z1780" s="909"/>
      <c r="AA1780" s="909"/>
      <c r="AB1780" s="909"/>
      <c r="AC1780" s="909"/>
      <c r="AD1780" s="909"/>
      <c r="AE1780" s="909"/>
      <c r="AF1780" s="909"/>
      <c r="AG1780" s="909"/>
      <c r="BB1780" s="784"/>
      <c r="BC1780" s="785"/>
      <c r="BD1780" s="900"/>
      <c r="BE1780" s="797"/>
    </row>
    <row r="1781" spans="1:57" s="65" customFormat="1" ht="15" hidden="1" customHeight="1" outlineLevel="1" x14ac:dyDescent="0.25">
      <c r="A1781" s="785"/>
      <c r="B1781" s="177"/>
      <c r="C1781" s="455"/>
      <c r="D1781" s="2806"/>
      <c r="E1781" s="2856"/>
      <c r="F1781" s="2908" t="str">
        <f>$E$1622</f>
        <v>ASHP SEER 21 replace ASHP - early replacement MF ER2_CompE</v>
      </c>
      <c r="G1781" s="2909"/>
      <c r="H1781" s="2909"/>
      <c r="I1781" s="2910"/>
      <c r="J1781" s="1657" t="str">
        <f>$C$1622</f>
        <v>354901_2019_12_</v>
      </c>
      <c r="K1781" s="1663">
        <f>K1779</f>
        <v>39600</v>
      </c>
      <c r="L1781" s="95">
        <f t="shared" si="204"/>
        <v>3.3</v>
      </c>
      <c r="M1781" s="1108"/>
      <c r="N1781" s="177"/>
      <c r="O1781" s="332"/>
      <c r="P1781" s="332"/>
      <c r="Q1781" s="332"/>
      <c r="R1781" s="332"/>
      <c r="S1781" s="177"/>
      <c r="T1781" s="177"/>
      <c r="U1781" s="177"/>
      <c r="V1781" s="2866"/>
      <c r="W1781" s="909"/>
      <c r="X1781" s="909"/>
      <c r="Y1781" s="908">
        <v>39600</v>
      </c>
      <c r="Z1781" s="909"/>
      <c r="AA1781" s="909"/>
      <c r="AB1781" s="909"/>
      <c r="AC1781" s="909"/>
      <c r="AD1781" s="909"/>
      <c r="AE1781" s="909"/>
      <c r="AF1781" s="909"/>
      <c r="AG1781" s="909"/>
      <c r="BB1781" s="784"/>
      <c r="BC1781" s="785"/>
      <c r="BD1781" s="900"/>
      <c r="BE1781" s="797"/>
    </row>
    <row r="1782" spans="1:57" s="65" customFormat="1" ht="15" hidden="1" customHeight="1" outlineLevel="1" x14ac:dyDescent="0.25">
      <c r="A1782" s="785"/>
      <c r="B1782" s="177"/>
      <c r="C1782" s="455"/>
      <c r="D1782" s="2806"/>
      <c r="E1782" s="2856"/>
      <c r="F1782" s="2908" t="str">
        <f>$E$1624</f>
        <v>ASHP - SEER 17 - replace on fail MF</v>
      </c>
      <c r="G1782" s="2909"/>
      <c r="H1782" s="2909"/>
      <c r="I1782" s="2910"/>
      <c r="J1782" s="1657" t="str">
        <f>$C$1624</f>
        <v>354950_2019_12_</v>
      </c>
      <c r="K1782" s="1663">
        <v>39600</v>
      </c>
      <c r="L1782" s="95">
        <f t="shared" si="204"/>
        <v>3.3</v>
      </c>
      <c r="M1782" s="1108" t="s">
        <v>1598</v>
      </c>
      <c r="N1782" s="177"/>
      <c r="O1782" s="332"/>
      <c r="P1782" s="332"/>
      <c r="Q1782" s="332"/>
      <c r="R1782" s="332"/>
      <c r="S1782" s="177"/>
      <c r="T1782" s="177"/>
      <c r="U1782" s="177"/>
      <c r="V1782" s="2866"/>
      <c r="W1782" s="909">
        <v>39600</v>
      </c>
      <c r="X1782" s="909">
        <v>39600</v>
      </c>
      <c r="Y1782" s="909">
        <v>39600</v>
      </c>
      <c r="Z1782" s="909"/>
      <c r="AA1782" s="909"/>
      <c r="AB1782" s="909"/>
      <c r="AC1782" s="909"/>
      <c r="AD1782" s="909"/>
      <c r="AE1782" s="909"/>
      <c r="AF1782" s="909"/>
      <c r="AG1782" s="909"/>
      <c r="BB1782" s="784"/>
      <c r="BC1782" s="785"/>
      <c r="BD1782" s="900"/>
      <c r="BE1782" s="797"/>
    </row>
    <row r="1783" spans="1:57" s="65" customFormat="1" ht="15" hidden="1" customHeight="1" outlineLevel="1" x14ac:dyDescent="0.25">
      <c r="A1783" s="785"/>
      <c r="B1783" s="177"/>
      <c r="C1783" s="455"/>
      <c r="D1783" s="2806"/>
      <c r="E1783" s="2856"/>
      <c r="F1783" s="2908" t="str">
        <f>$E$1626</f>
        <v>ASHP - SEER 17 - replace on fail MF_CompE</v>
      </c>
      <c r="G1783" s="2909"/>
      <c r="H1783" s="2909"/>
      <c r="I1783" s="2910"/>
      <c r="J1783" s="1657" t="str">
        <f>$C$1626</f>
        <v>354951_2019_12_</v>
      </c>
      <c r="K1783" s="1663">
        <f>K1782</f>
        <v>39600</v>
      </c>
      <c r="L1783" s="95">
        <f t="shared" si="204"/>
        <v>3.3</v>
      </c>
      <c r="M1783" s="1108"/>
      <c r="N1783" s="177"/>
      <c r="O1783" s="332"/>
      <c r="P1783" s="332"/>
      <c r="Q1783" s="332"/>
      <c r="R1783" s="332"/>
      <c r="S1783" s="177"/>
      <c r="T1783" s="177"/>
      <c r="U1783" s="177"/>
      <c r="V1783" s="2866"/>
      <c r="W1783" s="909"/>
      <c r="X1783" s="909"/>
      <c r="Y1783" s="908">
        <v>39600</v>
      </c>
      <c r="Z1783" s="909"/>
      <c r="AA1783" s="909"/>
      <c r="AB1783" s="909"/>
      <c r="AC1783" s="909"/>
      <c r="AD1783" s="909"/>
      <c r="AE1783" s="909"/>
      <c r="AF1783" s="909"/>
      <c r="AG1783" s="909"/>
      <c r="BB1783" s="784"/>
      <c r="BC1783" s="785"/>
      <c r="BD1783" s="900"/>
      <c r="BE1783" s="797"/>
    </row>
    <row r="1784" spans="1:57" s="65" customFormat="1" ht="15" hidden="1" customHeight="1" outlineLevel="1" x14ac:dyDescent="0.25">
      <c r="A1784" s="718"/>
      <c r="B1784" s="177"/>
      <c r="C1784" s="455"/>
      <c r="D1784" s="2806"/>
      <c r="E1784" s="2856"/>
      <c r="F1784" s="2908" t="str">
        <f>$E$1628</f>
        <v>ASHP - SEER 18 - replace on fail MF</v>
      </c>
      <c r="G1784" s="2909"/>
      <c r="H1784" s="2909"/>
      <c r="I1784" s="2910"/>
      <c r="J1784" s="1657" t="str">
        <f>$C$1628</f>
        <v>355000_2019_12_</v>
      </c>
      <c r="K1784" s="1663">
        <v>39600</v>
      </c>
      <c r="L1784" s="95">
        <f t="shared" si="204"/>
        <v>3.3</v>
      </c>
      <c r="M1784" s="1108" t="s">
        <v>1598</v>
      </c>
      <c r="N1784" s="177"/>
      <c r="O1784" s="332"/>
      <c r="P1784" s="1116"/>
      <c r="Q1784" s="1117"/>
      <c r="R1784" s="1116"/>
      <c r="S1784" s="1103"/>
      <c r="T1784" s="1639"/>
      <c r="U1784" s="177"/>
      <c r="V1784" s="2866"/>
      <c r="W1784" s="909">
        <v>39600</v>
      </c>
      <c r="X1784" s="909">
        <v>39600</v>
      </c>
      <c r="Y1784" s="909">
        <v>39600</v>
      </c>
      <c r="Z1784" s="909"/>
      <c r="AA1784" s="909"/>
      <c r="AB1784" s="909"/>
      <c r="AC1784" s="909"/>
      <c r="AD1784" s="909"/>
      <c r="AE1784" s="909"/>
      <c r="AF1784" s="909"/>
      <c r="AG1784" s="909"/>
      <c r="BB1784" s="784"/>
      <c r="BC1784" s="785"/>
      <c r="BD1784" s="900"/>
      <c r="BE1784" s="797"/>
    </row>
    <row r="1785" spans="1:57" s="65" customFormat="1" ht="15" hidden="1" customHeight="1" outlineLevel="1" x14ac:dyDescent="0.25">
      <c r="A1785" s="718"/>
      <c r="B1785" s="177"/>
      <c r="C1785" s="455"/>
      <c r="D1785" s="2806"/>
      <c r="E1785" s="2856"/>
      <c r="F1785" s="2908" t="str">
        <f>$E$1630</f>
        <v>ASHP - SEER 18 - replace on fail MF_CompE</v>
      </c>
      <c r="G1785" s="2909"/>
      <c r="H1785" s="2909"/>
      <c r="I1785" s="2910"/>
      <c r="J1785" s="1657" t="str">
        <f>$C$1630</f>
        <v>355001_2019_12_</v>
      </c>
      <c r="K1785" s="1663">
        <f>K1784</f>
        <v>39600</v>
      </c>
      <c r="L1785" s="95">
        <f t="shared" si="204"/>
        <v>3.3</v>
      </c>
      <c r="M1785" s="1108"/>
      <c r="N1785" s="177"/>
      <c r="O1785" s="332"/>
      <c r="P1785" s="1116"/>
      <c r="Q1785" s="1117"/>
      <c r="R1785" s="1116"/>
      <c r="S1785" s="1103"/>
      <c r="T1785" s="1639"/>
      <c r="U1785" s="177"/>
      <c r="V1785" s="2866"/>
      <c r="W1785" s="909"/>
      <c r="X1785" s="909"/>
      <c r="Y1785" s="908">
        <v>39600</v>
      </c>
      <c r="Z1785" s="909"/>
      <c r="AA1785" s="909"/>
      <c r="AB1785" s="909"/>
      <c r="AC1785" s="909"/>
      <c r="AD1785" s="909"/>
      <c r="AE1785" s="909"/>
      <c r="AF1785" s="909"/>
      <c r="AG1785" s="909"/>
      <c r="BB1785" s="784"/>
      <c r="BC1785" s="785"/>
      <c r="BD1785" s="900"/>
      <c r="BE1785" s="797"/>
    </row>
    <row r="1786" spans="1:57" s="65" customFormat="1" ht="15" hidden="1" customHeight="1" outlineLevel="1" x14ac:dyDescent="0.25">
      <c r="A1786" s="718"/>
      <c r="B1786" s="177"/>
      <c r="C1786" s="455"/>
      <c r="D1786" s="2806"/>
      <c r="E1786" s="2856"/>
      <c r="F1786" s="2908" t="str">
        <f>$E$1632</f>
        <v>ASHP - SEER 19 - replace on fail MF</v>
      </c>
      <c r="G1786" s="2909"/>
      <c r="H1786" s="2909"/>
      <c r="I1786" s="2910"/>
      <c r="J1786" s="1657" t="str">
        <f>$C$1632</f>
        <v>355050_2019_12_</v>
      </c>
      <c r="K1786" s="1663">
        <v>39600</v>
      </c>
      <c r="L1786" s="95">
        <f t="shared" si="204"/>
        <v>3.3</v>
      </c>
      <c r="M1786" s="1108" t="s">
        <v>1598</v>
      </c>
      <c r="N1786" s="177"/>
      <c r="O1786" s="332"/>
      <c r="P1786" s="1116"/>
      <c r="Q1786" s="1117"/>
      <c r="R1786" s="1116"/>
      <c r="S1786" s="1103"/>
      <c r="T1786" s="1639"/>
      <c r="U1786" s="177"/>
      <c r="V1786" s="2866"/>
      <c r="W1786" s="909">
        <v>39600</v>
      </c>
      <c r="X1786" s="909">
        <v>39600</v>
      </c>
      <c r="Y1786" s="909">
        <v>39600</v>
      </c>
      <c r="Z1786" s="909"/>
      <c r="AA1786" s="909"/>
      <c r="AB1786" s="909"/>
      <c r="AC1786" s="909"/>
      <c r="AD1786" s="909"/>
      <c r="AE1786" s="909"/>
      <c r="AF1786" s="909"/>
      <c r="AG1786" s="909"/>
      <c r="BB1786" s="784"/>
      <c r="BC1786" s="785"/>
      <c r="BD1786" s="900"/>
      <c r="BE1786" s="797"/>
    </row>
    <row r="1787" spans="1:57" s="65" customFormat="1" ht="15" hidden="1" customHeight="1" outlineLevel="1" x14ac:dyDescent="0.25">
      <c r="A1787" s="718"/>
      <c r="B1787" s="177"/>
      <c r="C1787" s="455"/>
      <c r="D1787" s="2806"/>
      <c r="E1787" s="2856"/>
      <c r="F1787" s="2908" t="str">
        <f>$E$1634</f>
        <v>ASHP - SEER 19 - replace on fail MF_CompE</v>
      </c>
      <c r="G1787" s="2909"/>
      <c r="H1787" s="2909"/>
      <c r="I1787" s="2910"/>
      <c r="J1787" s="1657" t="str">
        <f>$C$1634</f>
        <v>355051_2019_12_</v>
      </c>
      <c r="K1787" s="1663">
        <f>K1786</f>
        <v>39600</v>
      </c>
      <c r="L1787" s="95">
        <f t="shared" si="204"/>
        <v>3.3</v>
      </c>
      <c r="M1787" s="1108"/>
      <c r="N1787" s="177"/>
      <c r="O1787" s="332"/>
      <c r="P1787" s="1116"/>
      <c r="Q1787" s="1117"/>
      <c r="R1787" s="1116"/>
      <c r="S1787" s="1103"/>
      <c r="T1787" s="1639"/>
      <c r="U1787" s="177"/>
      <c r="V1787" s="2866"/>
      <c r="W1787" s="909"/>
      <c r="X1787" s="909"/>
      <c r="Y1787" s="908">
        <v>39600</v>
      </c>
      <c r="Z1787" s="909"/>
      <c r="AA1787" s="909"/>
      <c r="AB1787" s="909"/>
      <c r="AC1787" s="909"/>
      <c r="AD1787" s="909"/>
      <c r="AE1787" s="909"/>
      <c r="AF1787" s="909"/>
      <c r="AG1787" s="909"/>
      <c r="BB1787" s="784"/>
      <c r="BC1787" s="785"/>
      <c r="BD1787" s="900"/>
      <c r="BE1787" s="797"/>
    </row>
    <row r="1788" spans="1:57" s="65" customFormat="1" ht="15" hidden="1" customHeight="1" outlineLevel="1" x14ac:dyDescent="0.25">
      <c r="A1788" s="785"/>
      <c r="B1788" s="177"/>
      <c r="C1788" s="455"/>
      <c r="D1788" s="2806"/>
      <c r="E1788" s="2856"/>
      <c r="F1788" s="2908" t="str">
        <f>$E$1636</f>
        <v>ASHP - SEER 20 - replace on fail MF</v>
      </c>
      <c r="G1788" s="2909"/>
      <c r="H1788" s="2909"/>
      <c r="I1788" s="2910"/>
      <c r="J1788" s="1657" t="str">
        <f>$C$1636</f>
        <v>355100_2019_12_</v>
      </c>
      <c r="K1788" s="1663">
        <v>39600</v>
      </c>
      <c r="L1788" s="95">
        <f t="shared" si="204"/>
        <v>3.3</v>
      </c>
      <c r="M1788" s="1108" t="s">
        <v>1598</v>
      </c>
      <c r="N1788" s="177"/>
      <c r="O1788" s="332"/>
      <c r="P1788" s="332"/>
      <c r="Q1788" s="332"/>
      <c r="R1788" s="332"/>
      <c r="S1788" s="177"/>
      <c r="T1788" s="177"/>
      <c r="U1788" s="177"/>
      <c r="V1788" s="2866"/>
      <c r="W1788" s="909">
        <v>39600</v>
      </c>
      <c r="X1788" s="909">
        <v>39600</v>
      </c>
      <c r="Y1788" s="909">
        <v>39600</v>
      </c>
      <c r="Z1788" s="909"/>
      <c r="AA1788" s="909"/>
      <c r="AB1788" s="909"/>
      <c r="AC1788" s="909"/>
      <c r="AD1788" s="909"/>
      <c r="AE1788" s="909"/>
      <c r="AF1788" s="909"/>
      <c r="AG1788" s="909"/>
      <c r="BB1788" s="784"/>
      <c r="BC1788" s="785"/>
      <c r="BD1788" s="900"/>
      <c r="BE1788" s="797"/>
    </row>
    <row r="1789" spans="1:57" s="65" customFormat="1" ht="15" hidden="1" customHeight="1" outlineLevel="1" x14ac:dyDescent="0.25">
      <c r="A1789" s="785"/>
      <c r="B1789" s="177"/>
      <c r="C1789" s="455"/>
      <c r="D1789" s="2806"/>
      <c r="E1789" s="2856"/>
      <c r="F1789" s="2908" t="str">
        <f>$E$1638</f>
        <v>ASHP - SEER 20 - replace on fail MF_CompE</v>
      </c>
      <c r="G1789" s="2909"/>
      <c r="H1789" s="2909"/>
      <c r="I1789" s="2910"/>
      <c r="J1789" s="1657" t="str">
        <f>$C$1638</f>
        <v>355101_2019_12_</v>
      </c>
      <c r="K1789" s="1663">
        <f>K1788</f>
        <v>39600</v>
      </c>
      <c r="L1789" s="95">
        <f t="shared" si="204"/>
        <v>3.3</v>
      </c>
      <c r="M1789" s="1118"/>
      <c r="N1789" s="177"/>
      <c r="O1789" s="332"/>
      <c r="P1789" s="332"/>
      <c r="Q1789" s="332"/>
      <c r="R1789" s="332"/>
      <c r="S1789" s="177"/>
      <c r="T1789" s="177"/>
      <c r="U1789" s="177"/>
      <c r="V1789" s="2866"/>
      <c r="W1789" s="921"/>
      <c r="X1789" s="921"/>
      <c r="Y1789" s="908">
        <v>39600</v>
      </c>
      <c r="Z1789" s="921"/>
      <c r="AA1789" s="921"/>
      <c r="AB1789" s="921"/>
      <c r="AC1789" s="921"/>
      <c r="AD1789" s="921"/>
      <c r="AE1789" s="921"/>
      <c r="AF1789" s="921"/>
      <c r="AG1789" s="921"/>
      <c r="BB1789" s="784"/>
      <c r="BC1789" s="785"/>
      <c r="BD1789" s="900"/>
      <c r="BE1789" s="797"/>
    </row>
    <row r="1790" spans="1:57" s="65" customFormat="1" ht="15.75" hidden="1" customHeight="1" outlineLevel="1" x14ac:dyDescent="0.25">
      <c r="A1790" s="785"/>
      <c r="B1790" s="177"/>
      <c r="C1790" s="455"/>
      <c r="D1790" s="2806"/>
      <c r="E1790" s="2856"/>
      <c r="F1790" s="2908" t="str">
        <f>$E$1640</f>
        <v>ASHP - SEER 21 - replace on fail MF</v>
      </c>
      <c r="G1790" s="2909"/>
      <c r="H1790" s="2909"/>
      <c r="I1790" s="2910"/>
      <c r="J1790" s="1657" t="str">
        <f>$C$1640</f>
        <v>355150_2019_12_</v>
      </c>
      <c r="K1790" s="1663">
        <v>39600</v>
      </c>
      <c r="L1790" s="95">
        <f t="shared" si="204"/>
        <v>3.3</v>
      </c>
      <c r="M1790" s="1108" t="s">
        <v>1598</v>
      </c>
      <c r="N1790" s="177"/>
      <c r="O1790" s="332"/>
      <c r="P1790" s="332"/>
      <c r="Q1790" s="332"/>
      <c r="R1790" s="332"/>
      <c r="S1790" s="177"/>
      <c r="T1790" s="177"/>
      <c r="U1790" s="177"/>
      <c r="V1790" s="2866"/>
      <c r="W1790" s="909">
        <v>39600</v>
      </c>
      <c r="X1790" s="909">
        <v>39600</v>
      </c>
      <c r="Y1790" s="909">
        <v>39600</v>
      </c>
      <c r="Z1790" s="909"/>
      <c r="AA1790" s="909"/>
      <c r="AB1790" s="909"/>
      <c r="AC1790" s="909"/>
      <c r="AD1790" s="909"/>
      <c r="AE1790" s="909"/>
      <c r="AF1790" s="909"/>
      <c r="AG1790" s="909"/>
      <c r="BB1790" s="784"/>
      <c r="BC1790" s="785"/>
      <c r="BD1790" s="900"/>
      <c r="BE1790" s="797"/>
    </row>
    <row r="1791" spans="1:57" s="65" customFormat="1" ht="15.75" hidden="1" customHeight="1" outlineLevel="1" thickBot="1" x14ac:dyDescent="0.3">
      <c r="A1791" s="785"/>
      <c r="B1791" s="177"/>
      <c r="C1791" s="455"/>
      <c r="D1791" s="2808"/>
      <c r="E1791" s="2858"/>
      <c r="F1791" s="2100" t="str">
        <f>$E$1642</f>
        <v>ASHP - SEER 21 - replace on fail MF_CompE</v>
      </c>
      <c r="G1791" s="1119"/>
      <c r="H1791" s="1119"/>
      <c r="I1791" s="1120"/>
      <c r="J1791" s="2100" t="str">
        <f>$C$1642</f>
        <v>355151_2019_12_</v>
      </c>
      <c r="K1791" s="1663">
        <f>K1790</f>
        <v>39600</v>
      </c>
      <c r="L1791" s="95">
        <f t="shared" si="204"/>
        <v>3.3</v>
      </c>
      <c r="M1791" s="1121"/>
      <c r="N1791" s="177"/>
      <c r="O1791" s="332"/>
      <c r="P1791" s="332"/>
      <c r="Q1791" s="332"/>
      <c r="R1791" s="332"/>
      <c r="S1791" s="177"/>
      <c r="T1791" s="177"/>
      <c r="U1791" s="177"/>
      <c r="V1791" s="2848"/>
      <c r="W1791" s="924"/>
      <c r="X1791" s="924"/>
      <c r="Y1791" s="933">
        <v>39600</v>
      </c>
      <c r="Z1791" s="924"/>
      <c r="AA1791" s="924"/>
      <c r="AB1791" s="924"/>
      <c r="AC1791" s="924"/>
      <c r="AD1791" s="924"/>
      <c r="AE1791" s="924"/>
      <c r="AF1791" s="924"/>
      <c r="AG1791" s="924"/>
      <c r="BB1791" s="784"/>
      <c r="BC1791" s="785"/>
      <c r="BD1791" s="900"/>
      <c r="BE1791" s="797"/>
    </row>
    <row r="1792" spans="1:57" s="65" customFormat="1" ht="15" hidden="1" customHeight="1" outlineLevel="1" thickBot="1" x14ac:dyDescent="0.3">
      <c r="A1792" s="785"/>
      <c r="B1792" s="177"/>
      <c r="C1792" s="455"/>
      <c r="D1792" s="2805" t="s">
        <v>1381</v>
      </c>
      <c r="E1792" s="2855" t="s">
        <v>1382</v>
      </c>
      <c r="F1792" s="2905" t="str">
        <f>$E$1388</f>
        <v>ASHP - SEER 15 ER Elec Resist Furnace: HVAC ER1</v>
      </c>
      <c r="G1792" s="2905"/>
      <c r="H1792" s="2905"/>
      <c r="I1792" s="2905"/>
      <c r="J1792" s="1656" t="str">
        <f>$C$1388</f>
        <v>352300_2019_12_</v>
      </c>
      <c r="K1792" s="1667">
        <v>1496</v>
      </c>
      <c r="L1792" s="1008"/>
      <c r="M1792" s="1122" t="s">
        <v>1599</v>
      </c>
      <c r="N1792" s="177"/>
      <c r="O1792" s="332"/>
      <c r="P1792" s="332"/>
      <c r="Q1792" s="332"/>
      <c r="R1792" s="332"/>
      <c r="S1792" s="177"/>
      <c r="T1792" s="177"/>
      <c r="U1792" s="177"/>
      <c r="V1792" s="2867" t="s">
        <v>1381</v>
      </c>
      <c r="W1792" s="903">
        <v>2009</v>
      </c>
      <c r="X1792" s="902">
        <v>1496</v>
      </c>
      <c r="Y1792" s="903">
        <v>1496</v>
      </c>
      <c r="Z1792" s="903"/>
      <c r="AA1792" s="903"/>
      <c r="AB1792" s="903"/>
      <c r="AC1792" s="903"/>
      <c r="AD1792" s="903"/>
      <c r="AE1792" s="903"/>
      <c r="AF1792" s="903"/>
      <c r="AG1792" s="903"/>
      <c r="BB1792" s="784"/>
      <c r="BC1792" s="785"/>
      <c r="BD1792" s="900"/>
      <c r="BE1792" s="797"/>
    </row>
    <row r="1793" spans="1:57" s="65" customFormat="1" ht="15" hidden="1" customHeight="1" outlineLevel="1" x14ac:dyDescent="0.25">
      <c r="A1793" s="785"/>
      <c r="B1793" s="177"/>
      <c r="C1793" s="455"/>
      <c r="D1793" s="2806"/>
      <c r="E1793" s="2856"/>
      <c r="F1793" s="2908" t="str">
        <f>$E$1390</f>
        <v>ASHP - SEER 15 ER Elec Resist Furnace: HVAC ER2</v>
      </c>
      <c r="G1793" s="2909"/>
      <c r="H1793" s="2909"/>
      <c r="I1793" s="2910"/>
      <c r="J1793" s="1657" t="str">
        <f>$C$1390</f>
        <v>352300_2019_12_</v>
      </c>
      <c r="K1793" s="1663">
        <v>1496</v>
      </c>
      <c r="L1793" s="1123"/>
      <c r="M1793" s="2101"/>
      <c r="N1793" s="177"/>
      <c r="O1793" s="332"/>
      <c r="P1793" s="332"/>
      <c r="Q1793" s="332"/>
      <c r="R1793" s="332"/>
      <c r="S1793" s="177"/>
      <c r="T1793" s="177"/>
      <c r="U1793" s="177"/>
      <c r="V1793" s="2866"/>
      <c r="W1793" s="909">
        <v>2009</v>
      </c>
      <c r="X1793" s="902">
        <v>1496</v>
      </c>
      <c r="Y1793" s="909">
        <v>1496</v>
      </c>
      <c r="Z1793" s="909"/>
      <c r="AA1793" s="909"/>
      <c r="AB1793" s="909"/>
      <c r="AC1793" s="909"/>
      <c r="AD1793" s="909"/>
      <c r="AE1793" s="909"/>
      <c r="AF1793" s="909"/>
      <c r="AG1793" s="909"/>
      <c r="BB1793" s="784"/>
      <c r="BC1793" s="785"/>
      <c r="BD1793" s="900"/>
      <c r="BE1793" s="797"/>
    </row>
    <row r="1794" spans="1:57" s="65" customFormat="1" ht="15" hidden="1" customHeight="1" outlineLevel="1" x14ac:dyDescent="0.25">
      <c r="A1794" s="785"/>
      <c r="B1794" s="177"/>
      <c r="C1794" s="455"/>
      <c r="D1794" s="2806"/>
      <c r="E1794" s="2856"/>
      <c r="F1794" s="2908" t="str">
        <f>$E$1392</f>
        <v>ASHP - SEER 15 ER with ASHP: HVAC ER1</v>
      </c>
      <c r="G1794" s="2909"/>
      <c r="H1794" s="2909"/>
      <c r="I1794" s="2910"/>
      <c r="J1794" s="1657" t="str">
        <f>$C$1392</f>
        <v>352350_2019_12_</v>
      </c>
      <c r="K1794" s="1663">
        <v>1496</v>
      </c>
      <c r="L1794" s="1123"/>
      <c r="M1794" s="2101"/>
      <c r="N1794" s="177"/>
      <c r="O1794" s="332"/>
      <c r="P1794" s="332"/>
      <c r="Q1794" s="332"/>
      <c r="R1794" s="332"/>
      <c r="S1794" s="177"/>
      <c r="T1794" s="177"/>
      <c r="U1794" s="177"/>
      <c r="V1794" s="2866"/>
      <c r="W1794" s="909">
        <v>2009</v>
      </c>
      <c r="X1794" s="908">
        <v>1496</v>
      </c>
      <c r="Y1794" s="909">
        <v>1496</v>
      </c>
      <c r="Z1794" s="909"/>
      <c r="AA1794" s="909"/>
      <c r="AB1794" s="909"/>
      <c r="AC1794" s="909"/>
      <c r="AD1794" s="909"/>
      <c r="AE1794" s="909"/>
      <c r="AF1794" s="909"/>
      <c r="AG1794" s="909"/>
      <c r="BB1794" s="784"/>
      <c r="BC1794" s="785"/>
      <c r="BD1794" s="900"/>
      <c r="BE1794" s="797"/>
    </row>
    <row r="1795" spans="1:57" s="65" customFormat="1" ht="15" hidden="1" customHeight="1" outlineLevel="1" x14ac:dyDescent="0.25">
      <c r="A1795" s="718"/>
      <c r="B1795" s="177"/>
      <c r="C1795" s="455"/>
      <c r="D1795" s="2806"/>
      <c r="E1795" s="2856"/>
      <c r="F1795" s="2908" t="str">
        <f>$E$1394</f>
        <v>ASHP - SEER 15 ER with ASHP: HVAC ER2</v>
      </c>
      <c r="G1795" s="2909"/>
      <c r="H1795" s="2909"/>
      <c r="I1795" s="2910"/>
      <c r="J1795" s="1657" t="str">
        <f>$C$1394</f>
        <v>352350_2019_12_</v>
      </c>
      <c r="K1795" s="1663">
        <v>1496</v>
      </c>
      <c r="L1795" s="1123"/>
      <c r="M1795" s="2101"/>
      <c r="N1795" s="177"/>
      <c r="O1795" s="332"/>
      <c r="P1795" s="1116"/>
      <c r="Q1795" s="1116"/>
      <c r="R1795" s="1116"/>
      <c r="S1795" s="1103"/>
      <c r="T1795" s="1639"/>
      <c r="U1795" s="177"/>
      <c r="V1795" s="2866"/>
      <c r="W1795" s="909">
        <v>2009</v>
      </c>
      <c r="X1795" s="908">
        <v>1496</v>
      </c>
      <c r="Y1795" s="909">
        <v>1496</v>
      </c>
      <c r="Z1795" s="909"/>
      <c r="AA1795" s="909"/>
      <c r="AB1795" s="909"/>
      <c r="AC1795" s="909"/>
      <c r="AD1795" s="909"/>
      <c r="AE1795" s="909"/>
      <c r="AF1795" s="909"/>
      <c r="AG1795" s="909"/>
      <c r="BB1795" s="784"/>
      <c r="BC1795" s="785"/>
      <c r="BD1795" s="900"/>
      <c r="BE1795" s="797"/>
    </row>
    <row r="1796" spans="1:57" s="65" customFormat="1" ht="15" hidden="1" customHeight="1" outlineLevel="1" x14ac:dyDescent="0.25">
      <c r="A1796" s="718"/>
      <c r="B1796" s="177"/>
      <c r="C1796" s="455"/>
      <c r="D1796" s="2806"/>
      <c r="E1796" s="2856"/>
      <c r="F1796" s="2908" t="str">
        <f>$E$1396</f>
        <v>ASHP-  SEER 15 Replace at Fail Elec Resist Furnace: HVAC</v>
      </c>
      <c r="G1796" s="2909"/>
      <c r="H1796" s="2909"/>
      <c r="I1796" s="2910"/>
      <c r="J1796" s="1657" t="str">
        <f>$C$1396</f>
        <v>352400_2019_12_</v>
      </c>
      <c r="K1796" s="1663">
        <v>1496</v>
      </c>
      <c r="L1796" s="1123"/>
      <c r="M1796" s="2101"/>
      <c r="N1796" s="177"/>
      <c r="O1796" s="332"/>
      <c r="P1796" s="1116"/>
      <c r="Q1796" s="1116"/>
      <c r="R1796" s="1116"/>
      <c r="S1796" s="1103"/>
      <c r="T1796" s="1639"/>
      <c r="U1796" s="177"/>
      <c r="V1796" s="2866"/>
      <c r="W1796" s="909">
        <v>2009</v>
      </c>
      <c r="X1796" s="908">
        <v>1496</v>
      </c>
      <c r="Y1796" s="909">
        <v>1496</v>
      </c>
      <c r="Z1796" s="909"/>
      <c r="AA1796" s="909"/>
      <c r="AB1796" s="909"/>
      <c r="AC1796" s="909"/>
      <c r="AD1796" s="909"/>
      <c r="AE1796" s="909"/>
      <c r="AF1796" s="909"/>
      <c r="AG1796" s="909"/>
      <c r="BB1796" s="784"/>
      <c r="BC1796" s="785"/>
      <c r="BD1796" s="900"/>
      <c r="BE1796" s="797"/>
    </row>
    <row r="1797" spans="1:57" s="65" customFormat="1" ht="15" hidden="1" customHeight="1" outlineLevel="1" x14ac:dyDescent="0.25">
      <c r="A1797" s="718"/>
      <c r="B1797" s="177"/>
      <c r="C1797" s="455"/>
      <c r="D1797" s="2806"/>
      <c r="E1797" s="2856"/>
      <c r="F1797" s="2908" t="str">
        <f>$E$1398</f>
        <v>ASHP - SEER 15 Replace at Fail with ASHP: HVAC</v>
      </c>
      <c r="G1797" s="2909"/>
      <c r="H1797" s="2909"/>
      <c r="I1797" s="2910"/>
      <c r="J1797" s="1657" t="str">
        <f>$C$1398</f>
        <v>352450_2019_12_</v>
      </c>
      <c r="K1797" s="1663">
        <v>1496</v>
      </c>
      <c r="L1797" s="1123"/>
      <c r="M1797" s="2101"/>
      <c r="N1797" s="177"/>
      <c r="O1797" s="332"/>
      <c r="P1797" s="1116"/>
      <c r="Q1797" s="1116"/>
      <c r="R1797" s="1116"/>
      <c r="S1797" s="1103"/>
      <c r="T1797" s="1639"/>
      <c r="U1797" s="177"/>
      <c r="V1797" s="2866"/>
      <c r="W1797" s="909">
        <v>2009</v>
      </c>
      <c r="X1797" s="908">
        <v>1496</v>
      </c>
      <c r="Y1797" s="909">
        <v>1496</v>
      </c>
      <c r="Z1797" s="909"/>
      <c r="AA1797" s="909"/>
      <c r="AB1797" s="909"/>
      <c r="AC1797" s="909"/>
      <c r="AD1797" s="909"/>
      <c r="AE1797" s="909"/>
      <c r="AF1797" s="909"/>
      <c r="AG1797" s="909"/>
      <c r="BB1797" s="784"/>
      <c r="BC1797" s="785"/>
      <c r="BD1797" s="900"/>
      <c r="BE1797" s="797"/>
    </row>
    <row r="1798" spans="1:57" s="65" customFormat="1" ht="15" hidden="1" customHeight="1" outlineLevel="1" x14ac:dyDescent="0.25">
      <c r="A1798" s="718"/>
      <c r="B1798" s="177"/>
      <c r="C1798" s="455"/>
      <c r="D1798" s="2806"/>
      <c r="E1798" s="2856"/>
      <c r="F1798" s="2908" t="str">
        <f>$E$1400</f>
        <v>ASHP - SEER 16 - replace electric furnace / CAC - early replacement SF ER1</v>
      </c>
      <c r="G1798" s="2909"/>
      <c r="H1798" s="2909"/>
      <c r="I1798" s="2910"/>
      <c r="J1798" s="1657" t="str">
        <f>$C$1400</f>
        <v>352500_2019_12_</v>
      </c>
      <c r="K1798" s="1663">
        <v>1496</v>
      </c>
      <c r="L1798" s="1123"/>
      <c r="M1798" s="2101"/>
      <c r="N1798" s="177"/>
      <c r="O1798" s="332"/>
      <c r="P1798" s="1116"/>
      <c r="Q1798" s="1116"/>
      <c r="R1798" s="1116"/>
      <c r="S1798" s="1103"/>
      <c r="T1798" s="1639"/>
      <c r="U1798" s="177"/>
      <c r="V1798" s="2866"/>
      <c r="W1798" s="909">
        <v>2009</v>
      </c>
      <c r="X1798" s="908">
        <v>1496</v>
      </c>
      <c r="Y1798" s="909">
        <v>1496</v>
      </c>
      <c r="Z1798" s="909"/>
      <c r="AA1798" s="909"/>
      <c r="AB1798" s="909"/>
      <c r="AC1798" s="909"/>
      <c r="AD1798" s="909"/>
      <c r="AE1798" s="909"/>
      <c r="AF1798" s="909"/>
      <c r="AG1798" s="909"/>
      <c r="BB1798" s="784"/>
      <c r="BC1798" s="785"/>
      <c r="BD1798" s="900"/>
      <c r="BE1798" s="797"/>
    </row>
    <row r="1799" spans="1:57" s="65" customFormat="1" ht="15" hidden="1" customHeight="1" outlineLevel="1" x14ac:dyDescent="0.25">
      <c r="A1799" s="785"/>
      <c r="B1799" s="177"/>
      <c r="C1799" s="455"/>
      <c r="D1799" s="2806"/>
      <c r="E1799" s="2856"/>
      <c r="F1799" s="2908" t="str">
        <f>$E$1402</f>
        <v>ASHP - SEER 16 - replace electric furnace / CAC - early replacement SF ER2</v>
      </c>
      <c r="G1799" s="2909"/>
      <c r="H1799" s="2909"/>
      <c r="I1799" s="2910"/>
      <c r="J1799" s="1657" t="str">
        <f>$C$1402</f>
        <v>352500_2019_12_</v>
      </c>
      <c r="K1799" s="1663">
        <v>1496</v>
      </c>
      <c r="L1799" s="1123"/>
      <c r="M1799" s="2101"/>
      <c r="N1799" s="177"/>
      <c r="O1799" s="332"/>
      <c r="P1799" s="332"/>
      <c r="Q1799" s="332"/>
      <c r="R1799" s="332"/>
      <c r="S1799" s="177"/>
      <c r="T1799" s="177"/>
      <c r="U1799" s="177"/>
      <c r="V1799" s="2866"/>
      <c r="W1799" s="909">
        <v>2009</v>
      </c>
      <c r="X1799" s="908">
        <v>1496</v>
      </c>
      <c r="Y1799" s="909">
        <v>1496</v>
      </c>
      <c r="Z1799" s="909"/>
      <c r="AA1799" s="909"/>
      <c r="AB1799" s="909"/>
      <c r="AC1799" s="909"/>
      <c r="AD1799" s="909"/>
      <c r="AE1799" s="909"/>
      <c r="AF1799" s="909"/>
      <c r="AG1799" s="909"/>
      <c r="BB1799" s="784"/>
      <c r="BC1799" s="785"/>
      <c r="BD1799" s="900"/>
      <c r="BE1799" s="797"/>
    </row>
    <row r="1800" spans="1:57" s="65" customFormat="1" ht="15" hidden="1" customHeight="1" outlineLevel="1" x14ac:dyDescent="0.25">
      <c r="A1800" s="785"/>
      <c r="B1800" s="177"/>
      <c r="C1800" s="455"/>
      <c r="D1800" s="2806"/>
      <c r="E1800" s="2856"/>
      <c r="F1800" s="2908" t="str">
        <f>$E$1404</f>
        <v>ASHP SEER 16 replace ASHP - early replacement SF ER1</v>
      </c>
      <c r="G1800" s="2909"/>
      <c r="H1800" s="2909"/>
      <c r="I1800" s="2910"/>
      <c r="J1800" s="1657" t="str">
        <f>$C$1404</f>
        <v>352550_2019_12_</v>
      </c>
      <c r="K1800" s="1663">
        <v>1496</v>
      </c>
      <c r="L1800" s="1123"/>
      <c r="M1800" s="2101"/>
      <c r="N1800" s="177"/>
      <c r="O1800" s="332"/>
      <c r="P1800" s="332"/>
      <c r="Q1800" s="332"/>
      <c r="R1800" s="332"/>
      <c r="S1800" s="177"/>
      <c r="T1800" s="177"/>
      <c r="U1800" s="177"/>
      <c r="V1800" s="2866"/>
      <c r="W1800" s="909">
        <v>2009</v>
      </c>
      <c r="X1800" s="908">
        <v>1496</v>
      </c>
      <c r="Y1800" s="909">
        <v>1496</v>
      </c>
      <c r="Z1800" s="909"/>
      <c r="AA1800" s="909"/>
      <c r="AB1800" s="909"/>
      <c r="AC1800" s="909"/>
      <c r="AD1800" s="909"/>
      <c r="AE1800" s="909"/>
      <c r="AF1800" s="909"/>
      <c r="AG1800" s="909"/>
      <c r="BB1800" s="784"/>
      <c r="BC1800" s="785"/>
      <c r="BD1800" s="900"/>
      <c r="BE1800" s="797"/>
    </row>
    <row r="1801" spans="1:57" s="65" customFormat="1" ht="15" hidden="1" customHeight="1" outlineLevel="1" x14ac:dyDescent="0.25">
      <c r="A1801" s="785"/>
      <c r="B1801" s="177"/>
      <c r="C1801" s="455"/>
      <c r="D1801" s="2806"/>
      <c r="E1801" s="2856"/>
      <c r="F1801" s="2908" t="str">
        <f>$E$1406</f>
        <v>ASHP SEER 16 replace ASHP - early replacement SF ER2</v>
      </c>
      <c r="G1801" s="2909"/>
      <c r="H1801" s="2909"/>
      <c r="I1801" s="2910"/>
      <c r="J1801" s="1657" t="str">
        <f>$C$1406</f>
        <v>352550_2019_12_</v>
      </c>
      <c r="K1801" s="1663">
        <v>1496</v>
      </c>
      <c r="L1801" s="1124"/>
      <c r="M1801" s="2101"/>
      <c r="N1801" s="177"/>
      <c r="O1801" s="332"/>
      <c r="P1801" s="332"/>
      <c r="Q1801" s="332"/>
      <c r="R1801" s="332"/>
      <c r="S1801" s="177"/>
      <c r="T1801" s="177"/>
      <c r="U1801" s="177"/>
      <c r="V1801" s="2866"/>
      <c r="W1801" s="909">
        <v>2009</v>
      </c>
      <c r="X1801" s="908">
        <v>1496</v>
      </c>
      <c r="Y1801" s="909">
        <v>1496</v>
      </c>
      <c r="Z1801" s="909"/>
      <c r="AA1801" s="909"/>
      <c r="AB1801" s="909"/>
      <c r="AC1801" s="909"/>
      <c r="AD1801" s="909"/>
      <c r="AE1801" s="909"/>
      <c r="AF1801" s="909"/>
      <c r="AG1801" s="909"/>
      <c r="BB1801" s="784"/>
      <c r="BC1801" s="785"/>
      <c r="BD1801" s="900"/>
      <c r="BE1801" s="797"/>
    </row>
    <row r="1802" spans="1:57" s="65" customFormat="1" ht="15" hidden="1" customHeight="1" outlineLevel="1" x14ac:dyDescent="0.25">
      <c r="A1802" s="785"/>
      <c r="B1802" s="177"/>
      <c r="C1802" s="455"/>
      <c r="D1802" s="2806"/>
      <c r="E1802" s="2856"/>
      <c r="F1802" s="2908" t="str">
        <f>$E$1408</f>
        <v>ASHP - SEER 16 - replace electric furnace / CAC SF</v>
      </c>
      <c r="G1802" s="2909"/>
      <c r="H1802" s="2909"/>
      <c r="I1802" s="2910"/>
      <c r="J1802" s="1657" t="str">
        <f>$C$1408</f>
        <v>352600_2019_12_</v>
      </c>
      <c r="K1802" s="1663">
        <v>1496</v>
      </c>
      <c r="L1802" s="1124"/>
      <c r="M1802" s="2101"/>
      <c r="N1802" s="177"/>
      <c r="O1802" s="332"/>
      <c r="P1802" s="332"/>
      <c r="Q1802" s="332"/>
      <c r="R1802" s="332"/>
      <c r="S1802" s="177"/>
      <c r="T1802" s="177"/>
      <c r="U1802" s="177"/>
      <c r="V1802" s="2866"/>
      <c r="W1802" s="909">
        <v>2009</v>
      </c>
      <c r="X1802" s="908">
        <v>1496</v>
      </c>
      <c r="Y1802" s="909">
        <v>1496</v>
      </c>
      <c r="Z1802" s="909"/>
      <c r="AA1802" s="909"/>
      <c r="AB1802" s="909"/>
      <c r="AC1802" s="909"/>
      <c r="AD1802" s="909"/>
      <c r="AE1802" s="909"/>
      <c r="AF1802" s="909"/>
      <c r="AG1802" s="909"/>
      <c r="BB1802" s="784"/>
      <c r="BC1802" s="785"/>
      <c r="BD1802" s="900"/>
      <c r="BE1802" s="797"/>
    </row>
    <row r="1803" spans="1:57" s="65" customFormat="1" ht="15" hidden="1" customHeight="1" outlineLevel="1" x14ac:dyDescent="0.25">
      <c r="A1803" s="785"/>
      <c r="B1803" s="177"/>
      <c r="C1803" s="455"/>
      <c r="D1803" s="2806"/>
      <c r="E1803" s="2856"/>
      <c r="F1803" s="2908" t="str">
        <f>$E$1410</f>
        <v>ASHP SEER 16 replace ASHP - replace on fail SF</v>
      </c>
      <c r="G1803" s="2909"/>
      <c r="H1803" s="2909"/>
      <c r="I1803" s="2910"/>
      <c r="J1803" s="1657" t="str">
        <f>$C$1410</f>
        <v>352650_2019_12_</v>
      </c>
      <c r="K1803" s="1663">
        <v>1496</v>
      </c>
      <c r="L1803" s="1124"/>
      <c r="M1803" s="2101"/>
      <c r="N1803" s="177"/>
      <c r="O1803" s="332"/>
      <c r="P1803" s="332"/>
      <c r="Q1803" s="332"/>
      <c r="R1803" s="332"/>
      <c r="S1803" s="177"/>
      <c r="T1803" s="177"/>
      <c r="U1803" s="177"/>
      <c r="V1803" s="2866"/>
      <c r="W1803" s="909">
        <v>2009</v>
      </c>
      <c r="X1803" s="908">
        <v>1496</v>
      </c>
      <c r="Y1803" s="909">
        <v>1496</v>
      </c>
      <c r="Z1803" s="909"/>
      <c r="AA1803" s="909"/>
      <c r="AB1803" s="909"/>
      <c r="AC1803" s="909"/>
      <c r="AD1803" s="909"/>
      <c r="AE1803" s="909"/>
      <c r="AF1803" s="909"/>
      <c r="AG1803" s="909"/>
      <c r="BB1803" s="784"/>
      <c r="BC1803" s="785"/>
      <c r="BD1803" s="900"/>
      <c r="BE1803" s="797"/>
    </row>
    <row r="1804" spans="1:57" s="65" customFormat="1" ht="15" hidden="1" customHeight="1" outlineLevel="1" x14ac:dyDescent="0.25">
      <c r="A1804" s="785"/>
      <c r="B1804" s="177"/>
      <c r="C1804" s="455"/>
      <c r="D1804" s="2806"/>
      <c r="E1804" s="2856"/>
      <c r="F1804" s="2908" t="str">
        <f>$E$1412</f>
        <v>ASHP SEER 15 MF ER replace ASHP: HVAC ER1</v>
      </c>
      <c r="G1804" s="2909"/>
      <c r="H1804" s="2909"/>
      <c r="I1804" s="2910"/>
      <c r="J1804" s="1657" t="str">
        <f>$C$1412</f>
        <v>352700_2019_12_</v>
      </c>
      <c r="K1804" s="1663">
        <v>1496</v>
      </c>
      <c r="L1804" s="1124"/>
      <c r="M1804" s="2101"/>
      <c r="N1804" s="177"/>
      <c r="O1804" s="332"/>
      <c r="P1804" s="332"/>
      <c r="Q1804" s="332"/>
      <c r="R1804" s="332"/>
      <c r="S1804" s="177"/>
      <c r="T1804" s="177"/>
      <c r="U1804" s="177"/>
      <c r="V1804" s="2866"/>
      <c r="W1804" s="909">
        <v>2009</v>
      </c>
      <c r="X1804" s="908">
        <v>1496</v>
      </c>
      <c r="Y1804" s="909">
        <v>1496</v>
      </c>
      <c r="Z1804" s="909"/>
      <c r="AA1804" s="909"/>
      <c r="AB1804" s="909"/>
      <c r="AC1804" s="909"/>
      <c r="AD1804" s="909"/>
      <c r="AE1804" s="909"/>
      <c r="AF1804" s="909"/>
      <c r="AG1804" s="909"/>
      <c r="BB1804" s="784"/>
      <c r="BC1804" s="785"/>
      <c r="BD1804" s="900"/>
      <c r="BE1804" s="797"/>
    </row>
    <row r="1805" spans="1:57" s="65" customFormat="1" ht="15" hidden="1" customHeight="1" outlineLevel="1" x14ac:dyDescent="0.25">
      <c r="A1805" s="718"/>
      <c r="B1805" s="177"/>
      <c r="C1805" s="455"/>
      <c r="D1805" s="2806"/>
      <c r="E1805" s="2856"/>
      <c r="F1805" s="2908" t="str">
        <f>$E$1414</f>
        <v>ASHP SEER 15 MF ER replace ASHP: HVAC ER2</v>
      </c>
      <c r="G1805" s="2909"/>
      <c r="H1805" s="2909"/>
      <c r="I1805" s="2910"/>
      <c r="J1805" s="1657" t="str">
        <f>$C$1414</f>
        <v>352700_2019_12_</v>
      </c>
      <c r="K1805" s="1663">
        <v>1496</v>
      </c>
      <c r="L1805" s="1124"/>
      <c r="M1805" s="2101"/>
      <c r="N1805" s="177"/>
      <c r="O1805" s="332"/>
      <c r="P1805" s="1116"/>
      <c r="Q1805" s="1116"/>
      <c r="R1805" s="1116"/>
      <c r="S1805" s="1103"/>
      <c r="T1805" s="1639"/>
      <c r="U1805" s="177"/>
      <c r="V1805" s="2866"/>
      <c r="W1805" s="909">
        <v>2009</v>
      </c>
      <c r="X1805" s="908">
        <v>1496</v>
      </c>
      <c r="Y1805" s="909">
        <v>1496</v>
      </c>
      <c r="Z1805" s="909"/>
      <c r="AA1805" s="909"/>
      <c r="AB1805" s="909"/>
      <c r="AC1805" s="909"/>
      <c r="AD1805" s="909"/>
      <c r="AE1805" s="909"/>
      <c r="AF1805" s="909"/>
      <c r="AG1805" s="909"/>
      <c r="BB1805" s="784"/>
      <c r="BC1805" s="785"/>
      <c r="BD1805" s="900"/>
      <c r="BE1805" s="797"/>
    </row>
    <row r="1806" spans="1:57" s="65" customFormat="1" ht="15" hidden="1" customHeight="1" outlineLevel="1" x14ac:dyDescent="0.25">
      <c r="A1806" s="718"/>
      <c r="B1806" s="177"/>
      <c r="C1806" s="455"/>
      <c r="D1806" s="2806"/>
      <c r="E1806" s="2856"/>
      <c r="F1806" s="2908" t="str">
        <f>$E$1416</f>
        <v>ASHP SEER 15 MF ER replace ASHP: HVAC ER1_CompE</v>
      </c>
      <c r="G1806" s="2909"/>
      <c r="H1806" s="2909"/>
      <c r="I1806" s="2910"/>
      <c r="J1806" s="1657" t="str">
        <f>$C$1416</f>
        <v>352701_2019_12_</v>
      </c>
      <c r="K1806" s="1663">
        <v>510</v>
      </c>
      <c r="L1806" s="1124"/>
      <c r="M1806" s="2101" t="s">
        <v>953</v>
      </c>
      <c r="N1806" s="177"/>
      <c r="O1806" s="332"/>
      <c r="P1806" s="1116"/>
      <c r="Q1806" s="1116"/>
      <c r="R1806" s="1116"/>
      <c r="S1806" s="1103"/>
      <c r="T1806" s="1639"/>
      <c r="U1806" s="177"/>
      <c r="V1806" s="2866"/>
      <c r="W1806" s="909"/>
      <c r="X1806" s="908"/>
      <c r="Y1806" s="908">
        <v>510</v>
      </c>
      <c r="Z1806" s="909"/>
      <c r="AA1806" s="909"/>
      <c r="AB1806" s="909"/>
      <c r="AC1806" s="909"/>
      <c r="AD1806" s="909"/>
      <c r="AE1806" s="909"/>
      <c r="AF1806" s="909"/>
      <c r="AG1806" s="909"/>
      <c r="BB1806" s="784"/>
      <c r="BC1806" s="785"/>
      <c r="BD1806" s="900"/>
      <c r="BE1806" s="797"/>
    </row>
    <row r="1807" spans="1:57" s="65" customFormat="1" ht="15" hidden="1" customHeight="1" outlineLevel="1" x14ac:dyDescent="0.25">
      <c r="A1807" s="718"/>
      <c r="B1807" s="177"/>
      <c r="C1807" s="455"/>
      <c r="D1807" s="2806"/>
      <c r="E1807" s="2856"/>
      <c r="F1807" s="2908" t="str">
        <f>$E$1418</f>
        <v>ASHP SEER 15 MF ER replace ASHP: HVAC ER2_CompE</v>
      </c>
      <c r="G1807" s="2909"/>
      <c r="H1807" s="2909"/>
      <c r="I1807" s="2910"/>
      <c r="J1807" s="1657" t="str">
        <f>$C$1418</f>
        <v>352701_2019_12_</v>
      </c>
      <c r="K1807" s="1663">
        <v>510</v>
      </c>
      <c r="L1807" s="1124"/>
      <c r="M1807" s="2101" t="s">
        <v>953</v>
      </c>
      <c r="N1807" s="177"/>
      <c r="O1807" s="332"/>
      <c r="P1807" s="1116"/>
      <c r="Q1807" s="1116"/>
      <c r="R1807" s="1116"/>
      <c r="S1807" s="1103"/>
      <c r="T1807" s="1639"/>
      <c r="U1807" s="177"/>
      <c r="V1807" s="2866"/>
      <c r="W1807" s="909"/>
      <c r="X1807" s="908"/>
      <c r="Y1807" s="908">
        <v>510</v>
      </c>
      <c r="Z1807" s="909"/>
      <c r="AA1807" s="909"/>
      <c r="AB1807" s="909"/>
      <c r="AC1807" s="909"/>
      <c r="AD1807" s="909"/>
      <c r="AE1807" s="909"/>
      <c r="AF1807" s="909"/>
      <c r="AG1807" s="909"/>
      <c r="BB1807" s="784"/>
      <c r="BC1807" s="785"/>
      <c r="BD1807" s="900"/>
      <c r="BE1807" s="797"/>
    </row>
    <row r="1808" spans="1:57" s="65" customFormat="1" ht="15" hidden="1" customHeight="1" outlineLevel="1" x14ac:dyDescent="0.25">
      <c r="A1808" s="718"/>
      <c r="B1808" s="177"/>
      <c r="C1808" s="455"/>
      <c r="D1808" s="2806"/>
      <c r="E1808" s="2856"/>
      <c r="F1808" s="2908" t="str">
        <f>$E$1420</f>
        <v>ASHP SEER 15 MF ER replace Elec Resist Furnace: HVAC ER1</v>
      </c>
      <c r="G1808" s="2909"/>
      <c r="H1808" s="2909"/>
      <c r="I1808" s="2910"/>
      <c r="J1808" s="1657" t="str">
        <f>$C$1420</f>
        <v>352750_2019_12_</v>
      </c>
      <c r="K1808" s="1663">
        <v>1496</v>
      </c>
      <c r="L1808" s="1124"/>
      <c r="M1808" s="2101"/>
      <c r="N1808" s="177"/>
      <c r="O1808" s="332"/>
      <c r="P1808" s="1116"/>
      <c r="Q1808" s="1116"/>
      <c r="R1808" s="1116"/>
      <c r="S1808" s="1103"/>
      <c r="T1808" s="1639"/>
      <c r="U1808" s="177"/>
      <c r="V1808" s="2866"/>
      <c r="W1808" s="909">
        <v>2009</v>
      </c>
      <c r="X1808" s="908">
        <v>1496</v>
      </c>
      <c r="Y1808" s="909">
        <v>1496</v>
      </c>
      <c r="Z1808" s="909"/>
      <c r="AA1808" s="909"/>
      <c r="AB1808" s="909"/>
      <c r="AC1808" s="909"/>
      <c r="AD1808" s="909"/>
      <c r="AE1808" s="909"/>
      <c r="AF1808" s="909"/>
      <c r="AG1808" s="909"/>
      <c r="BB1808" s="784"/>
      <c r="BC1808" s="785"/>
      <c r="BD1808" s="900"/>
      <c r="BE1808" s="797"/>
    </row>
    <row r="1809" spans="1:57" s="65" customFormat="1" ht="15" hidden="1" customHeight="1" outlineLevel="1" x14ac:dyDescent="0.25">
      <c r="A1809" s="718"/>
      <c r="B1809" s="177"/>
      <c r="C1809" s="455"/>
      <c r="D1809" s="2806"/>
      <c r="E1809" s="2856"/>
      <c r="F1809" s="2908" t="str">
        <f>$E$1422</f>
        <v>ASHP SEER 15 MF ER replace Elec Resist Furnace: HVAC ER2</v>
      </c>
      <c r="G1809" s="2909"/>
      <c r="H1809" s="2909"/>
      <c r="I1809" s="2910"/>
      <c r="J1809" s="1657" t="str">
        <f>$C$1422</f>
        <v>352750_2019_12_</v>
      </c>
      <c r="K1809" s="1663">
        <v>1496</v>
      </c>
      <c r="L1809" s="1124"/>
      <c r="M1809" s="2101"/>
      <c r="N1809" s="177"/>
      <c r="O1809" s="332"/>
      <c r="P1809" s="1116"/>
      <c r="Q1809" s="1116"/>
      <c r="R1809" s="1116"/>
      <c r="S1809" s="1103"/>
      <c r="T1809" s="1639"/>
      <c r="U1809" s="177"/>
      <c r="V1809" s="2866"/>
      <c r="W1809" s="909">
        <v>2009</v>
      </c>
      <c r="X1809" s="908">
        <v>1496</v>
      </c>
      <c r="Y1809" s="909">
        <v>1496</v>
      </c>
      <c r="Z1809" s="909"/>
      <c r="AA1809" s="909"/>
      <c r="AB1809" s="909"/>
      <c r="AC1809" s="909"/>
      <c r="AD1809" s="909"/>
      <c r="AE1809" s="909"/>
      <c r="AF1809" s="909"/>
      <c r="AG1809" s="909"/>
      <c r="BB1809" s="784"/>
      <c r="BC1809" s="785"/>
      <c r="BD1809" s="900"/>
      <c r="BE1809" s="797"/>
    </row>
    <row r="1810" spans="1:57" s="65" customFormat="1" ht="15" hidden="1" customHeight="1" outlineLevel="1" x14ac:dyDescent="0.25">
      <c r="A1810" s="718"/>
      <c r="B1810" s="177"/>
      <c r="C1810" s="455"/>
      <c r="D1810" s="2806"/>
      <c r="E1810" s="2856"/>
      <c r="F1810" s="2908" t="str">
        <f>$E$1424</f>
        <v>ASHP SEER 15 MF ER replace Elec Resist Furnace: HVAC ER1_CompE</v>
      </c>
      <c r="G1810" s="2909"/>
      <c r="H1810" s="2909"/>
      <c r="I1810" s="2910"/>
      <c r="J1810" s="1657" t="str">
        <f>$C$1424</f>
        <v>352751_2019_12_</v>
      </c>
      <c r="K1810" s="1663">
        <v>510</v>
      </c>
      <c r="L1810" s="1124"/>
      <c r="M1810" s="2101" t="s">
        <v>953</v>
      </c>
      <c r="N1810" s="177"/>
      <c r="O1810" s="332"/>
      <c r="P1810" s="1116"/>
      <c r="Q1810" s="1116"/>
      <c r="R1810" s="1116"/>
      <c r="S1810" s="1103"/>
      <c r="T1810" s="1639"/>
      <c r="U1810" s="177"/>
      <c r="V1810" s="2866"/>
      <c r="W1810" s="909"/>
      <c r="X1810" s="908"/>
      <c r="Y1810" s="908">
        <v>510</v>
      </c>
      <c r="Z1810" s="909"/>
      <c r="AA1810" s="909"/>
      <c r="AB1810" s="909"/>
      <c r="AC1810" s="909"/>
      <c r="AD1810" s="909"/>
      <c r="AE1810" s="909"/>
      <c r="AF1810" s="909"/>
      <c r="AG1810" s="909"/>
      <c r="BB1810" s="784"/>
      <c r="BC1810" s="785"/>
      <c r="BD1810" s="900"/>
      <c r="BE1810" s="797"/>
    </row>
    <row r="1811" spans="1:57" s="65" customFormat="1" ht="15" hidden="1" customHeight="1" outlineLevel="1" x14ac:dyDescent="0.25">
      <c r="A1811" s="718"/>
      <c r="B1811" s="177"/>
      <c r="C1811" s="455"/>
      <c r="D1811" s="2806"/>
      <c r="E1811" s="2856"/>
      <c r="F1811" s="2908" t="str">
        <f>$E$1426</f>
        <v>ASHP SEER 15 MF ER replace Elec Resist Furnace: HVAC ER2_CompE</v>
      </c>
      <c r="G1811" s="2909"/>
      <c r="H1811" s="2909"/>
      <c r="I1811" s="2910"/>
      <c r="J1811" s="1657" t="str">
        <f>$C$1426</f>
        <v>352751_2019_12_</v>
      </c>
      <c r="K1811" s="1663">
        <v>510</v>
      </c>
      <c r="L1811" s="1124"/>
      <c r="M1811" s="2101"/>
      <c r="N1811" s="177"/>
      <c r="O1811" s="332"/>
      <c r="P1811" s="1116"/>
      <c r="Q1811" s="1116"/>
      <c r="R1811" s="1116"/>
      <c r="S1811" s="1103"/>
      <c r="T1811" s="1639"/>
      <c r="U1811" s="177"/>
      <c r="V1811" s="2866"/>
      <c r="W1811" s="909"/>
      <c r="X1811" s="908"/>
      <c r="Y1811" s="908">
        <v>510</v>
      </c>
      <c r="Z1811" s="909"/>
      <c r="AA1811" s="909"/>
      <c r="AB1811" s="909"/>
      <c r="AC1811" s="909"/>
      <c r="AD1811" s="909"/>
      <c r="AE1811" s="909"/>
      <c r="AF1811" s="909"/>
      <c r="AG1811" s="909"/>
      <c r="BB1811" s="784"/>
      <c r="BC1811" s="785"/>
      <c r="BD1811" s="900"/>
      <c r="BE1811" s="797"/>
    </row>
    <row r="1812" spans="1:57" s="65" customFormat="1" ht="15" hidden="1" customHeight="1" outlineLevel="1" x14ac:dyDescent="0.25">
      <c r="A1812" s="718"/>
      <c r="B1812" s="177"/>
      <c r="C1812" s="455"/>
      <c r="D1812" s="2806"/>
      <c r="E1812" s="2856"/>
      <c r="F1812" s="2908" t="str">
        <f>$E$1428</f>
        <v>ASHP SEER 15 MF replace at Fail Elec Resist Furnace: HVAC</v>
      </c>
      <c r="G1812" s="2909"/>
      <c r="H1812" s="2909"/>
      <c r="I1812" s="2910"/>
      <c r="J1812" s="1657" t="str">
        <f>$C$1428</f>
        <v>352800_2019_12_</v>
      </c>
      <c r="K1812" s="1663">
        <v>1496</v>
      </c>
      <c r="L1812" s="1124"/>
      <c r="M1812" s="2101"/>
      <c r="N1812" s="177"/>
      <c r="O1812" s="332"/>
      <c r="P1812" s="1116"/>
      <c r="Q1812" s="1116"/>
      <c r="R1812" s="1116"/>
      <c r="S1812" s="1103"/>
      <c r="T1812" s="1639"/>
      <c r="U1812" s="177"/>
      <c r="V1812" s="2866"/>
      <c r="W1812" s="909">
        <v>2009</v>
      </c>
      <c r="X1812" s="908">
        <v>1496</v>
      </c>
      <c r="Y1812" s="909">
        <v>1496</v>
      </c>
      <c r="Z1812" s="909"/>
      <c r="AA1812" s="909"/>
      <c r="AB1812" s="909"/>
      <c r="AC1812" s="909"/>
      <c r="AD1812" s="909"/>
      <c r="AE1812" s="909"/>
      <c r="AF1812" s="909"/>
      <c r="AG1812" s="909"/>
      <c r="BB1812" s="784"/>
      <c r="BC1812" s="785"/>
      <c r="BD1812" s="900"/>
      <c r="BE1812" s="797"/>
    </row>
    <row r="1813" spans="1:57" s="65" customFormat="1" ht="15" hidden="1" customHeight="1" outlineLevel="1" x14ac:dyDescent="0.25">
      <c r="A1813" s="718"/>
      <c r="B1813" s="177"/>
      <c r="C1813" s="455"/>
      <c r="D1813" s="2806"/>
      <c r="E1813" s="2856"/>
      <c r="F1813" s="2908" t="str">
        <f>$E$1430</f>
        <v>ASHP SEER 15 MF replace at Fail Elec Resist Furnace: HVAC_CompE</v>
      </c>
      <c r="G1813" s="2909"/>
      <c r="H1813" s="2909"/>
      <c r="I1813" s="2910"/>
      <c r="J1813" s="1657" t="str">
        <f>$C$1430</f>
        <v>352801_2019_12_</v>
      </c>
      <c r="K1813" s="1663">
        <v>510</v>
      </c>
      <c r="L1813" s="1124"/>
      <c r="M1813" s="2101" t="s">
        <v>953</v>
      </c>
      <c r="N1813" s="177"/>
      <c r="O1813" s="332"/>
      <c r="P1813" s="1116"/>
      <c r="Q1813" s="1116"/>
      <c r="R1813" s="1116"/>
      <c r="S1813" s="1103"/>
      <c r="T1813" s="1639"/>
      <c r="U1813" s="177"/>
      <c r="V1813" s="2866"/>
      <c r="W1813" s="909"/>
      <c r="X1813" s="908"/>
      <c r="Y1813" s="908">
        <v>510</v>
      </c>
      <c r="Z1813" s="909"/>
      <c r="AA1813" s="909"/>
      <c r="AB1813" s="909"/>
      <c r="AC1813" s="909"/>
      <c r="AD1813" s="909"/>
      <c r="AE1813" s="909"/>
      <c r="AF1813" s="909"/>
      <c r="AG1813" s="909"/>
      <c r="BB1813" s="784"/>
      <c r="BC1813" s="785"/>
      <c r="BD1813" s="900"/>
      <c r="BE1813" s="797"/>
    </row>
    <row r="1814" spans="1:57" s="65" customFormat="1" ht="15" hidden="1" customHeight="1" outlineLevel="1" x14ac:dyDescent="0.25">
      <c r="A1814" s="718"/>
      <c r="B1814" s="177"/>
      <c r="C1814" s="455"/>
      <c r="D1814" s="2806"/>
      <c r="E1814" s="2856"/>
      <c r="F1814" s="2908" t="str">
        <f>$E$1432</f>
        <v>ASHP SEER 16 MF ER replace ASHP: HVAC ER1</v>
      </c>
      <c r="G1814" s="2909"/>
      <c r="H1814" s="2909"/>
      <c r="I1814" s="2910"/>
      <c r="J1814" s="1657" t="str">
        <f>$C$1432</f>
        <v>352850_2019_12_</v>
      </c>
      <c r="K1814" s="1663">
        <v>1496</v>
      </c>
      <c r="L1814" s="1124"/>
      <c r="M1814" s="2101"/>
      <c r="N1814" s="177"/>
      <c r="O1814" s="332"/>
      <c r="P1814" s="1116"/>
      <c r="Q1814" s="1116"/>
      <c r="R1814" s="1116"/>
      <c r="S1814" s="1103"/>
      <c r="T1814" s="1639"/>
      <c r="U1814" s="177"/>
      <c r="V1814" s="2866"/>
      <c r="W1814" s="909">
        <v>2009</v>
      </c>
      <c r="X1814" s="908">
        <v>1496</v>
      </c>
      <c r="Y1814" s="909">
        <v>1496</v>
      </c>
      <c r="Z1814" s="909"/>
      <c r="AA1814" s="909"/>
      <c r="AB1814" s="909"/>
      <c r="AC1814" s="909"/>
      <c r="AD1814" s="909"/>
      <c r="AE1814" s="909"/>
      <c r="AF1814" s="909"/>
      <c r="AG1814" s="909"/>
      <c r="BB1814" s="784"/>
      <c r="BC1814" s="785"/>
      <c r="BD1814" s="900"/>
      <c r="BE1814" s="797"/>
    </row>
    <row r="1815" spans="1:57" s="65" customFormat="1" ht="15" hidden="1" customHeight="1" outlineLevel="1" x14ac:dyDescent="0.25">
      <c r="A1815" s="718"/>
      <c r="B1815" s="177"/>
      <c r="C1815" s="455"/>
      <c r="D1815" s="2806"/>
      <c r="E1815" s="2856"/>
      <c r="F1815" s="2908" t="str">
        <f>$E$1434</f>
        <v>ASHP SEER 16 MF ER replace ASHP: HVAC ER2</v>
      </c>
      <c r="G1815" s="2909"/>
      <c r="H1815" s="2909"/>
      <c r="I1815" s="2910"/>
      <c r="J1815" s="1657" t="str">
        <f>$C$1434</f>
        <v>352850_2019_12_</v>
      </c>
      <c r="K1815" s="1663">
        <v>1496</v>
      </c>
      <c r="L1815" s="1124"/>
      <c r="M1815" s="2101"/>
      <c r="N1815" s="177"/>
      <c r="O1815" s="332"/>
      <c r="P1815" s="1116"/>
      <c r="Q1815" s="1116"/>
      <c r="R1815" s="1116"/>
      <c r="S1815" s="1103"/>
      <c r="T1815" s="1639"/>
      <c r="U1815" s="177"/>
      <c r="V1815" s="2866"/>
      <c r="W1815" s="909">
        <v>2009</v>
      </c>
      <c r="X1815" s="908">
        <v>1496</v>
      </c>
      <c r="Y1815" s="909">
        <v>1496</v>
      </c>
      <c r="Z1815" s="909"/>
      <c r="AA1815" s="909"/>
      <c r="AB1815" s="909"/>
      <c r="AC1815" s="909"/>
      <c r="AD1815" s="909"/>
      <c r="AE1815" s="909"/>
      <c r="AF1815" s="909"/>
      <c r="AG1815" s="909"/>
      <c r="BB1815" s="784"/>
      <c r="BC1815" s="785"/>
      <c r="BD1815" s="900"/>
      <c r="BE1815" s="797"/>
    </row>
    <row r="1816" spans="1:57" s="65" customFormat="1" ht="15" hidden="1" customHeight="1" outlineLevel="1" x14ac:dyDescent="0.25">
      <c r="A1816" s="718"/>
      <c r="B1816" s="177"/>
      <c r="C1816" s="455"/>
      <c r="D1816" s="2806"/>
      <c r="E1816" s="2856"/>
      <c r="F1816" s="2908" t="str">
        <f>$E$1436</f>
        <v>ASHP SEER 16 MF ER replace ASHP: HVAC ER1_CompE</v>
      </c>
      <c r="G1816" s="2909"/>
      <c r="H1816" s="2909"/>
      <c r="I1816" s="2910"/>
      <c r="J1816" s="1657" t="str">
        <f>$C$1436</f>
        <v>352851_2019_12_</v>
      </c>
      <c r="K1816" s="1663">
        <v>510</v>
      </c>
      <c r="L1816" s="1124"/>
      <c r="M1816" s="2101" t="s">
        <v>953</v>
      </c>
      <c r="N1816" s="177"/>
      <c r="O1816" s="332"/>
      <c r="P1816" s="1116"/>
      <c r="Q1816" s="1116"/>
      <c r="R1816" s="1116"/>
      <c r="S1816" s="1103"/>
      <c r="T1816" s="1639"/>
      <c r="U1816" s="177"/>
      <c r="V1816" s="2866"/>
      <c r="W1816" s="909"/>
      <c r="X1816" s="908"/>
      <c r="Y1816" s="908">
        <v>510</v>
      </c>
      <c r="Z1816" s="909"/>
      <c r="AA1816" s="909"/>
      <c r="AB1816" s="909"/>
      <c r="AC1816" s="909"/>
      <c r="AD1816" s="909"/>
      <c r="AE1816" s="909"/>
      <c r="AF1816" s="909"/>
      <c r="AG1816" s="909"/>
      <c r="BB1816" s="784"/>
      <c r="BC1816" s="785"/>
      <c r="BD1816" s="900"/>
      <c r="BE1816" s="797"/>
    </row>
    <row r="1817" spans="1:57" s="65" customFormat="1" ht="15" hidden="1" customHeight="1" outlineLevel="1" x14ac:dyDescent="0.25">
      <c r="A1817" s="718"/>
      <c r="B1817" s="177"/>
      <c r="C1817" s="455"/>
      <c r="D1817" s="2806"/>
      <c r="E1817" s="2856"/>
      <c r="F1817" s="2908" t="str">
        <f>$E$1438</f>
        <v>ASHP SEER 16 MF ER replace ASHP: HVAC ER2_CompE</v>
      </c>
      <c r="G1817" s="2909"/>
      <c r="H1817" s="2909"/>
      <c r="I1817" s="2910"/>
      <c r="J1817" s="1657" t="str">
        <f>$C$1438</f>
        <v>352851_2019_12_</v>
      </c>
      <c r="K1817" s="1663">
        <v>510</v>
      </c>
      <c r="L1817" s="1124"/>
      <c r="M1817" s="2101" t="s">
        <v>953</v>
      </c>
      <c r="N1817" s="177"/>
      <c r="O1817" s="332"/>
      <c r="P1817" s="1116"/>
      <c r="Q1817" s="1116"/>
      <c r="R1817" s="1116"/>
      <c r="S1817" s="1103"/>
      <c r="T1817" s="1639"/>
      <c r="U1817" s="177"/>
      <c r="V1817" s="2866"/>
      <c r="W1817" s="909"/>
      <c r="X1817" s="908"/>
      <c r="Y1817" s="908">
        <v>510</v>
      </c>
      <c r="Z1817" s="909"/>
      <c r="AA1817" s="909"/>
      <c r="AB1817" s="909"/>
      <c r="AC1817" s="909"/>
      <c r="AD1817" s="909"/>
      <c r="AE1817" s="909"/>
      <c r="AF1817" s="909"/>
      <c r="AG1817" s="909"/>
      <c r="BB1817" s="784"/>
      <c r="BC1817" s="785"/>
      <c r="BD1817" s="900"/>
      <c r="BE1817" s="797"/>
    </row>
    <row r="1818" spans="1:57" s="65" customFormat="1" ht="15" hidden="1" customHeight="1" outlineLevel="1" x14ac:dyDescent="0.25">
      <c r="A1818" s="718"/>
      <c r="B1818" s="177"/>
      <c r="C1818" s="455"/>
      <c r="D1818" s="2806"/>
      <c r="E1818" s="2856"/>
      <c r="F1818" s="2908" t="str">
        <f>$E$1440</f>
        <v>ASHP - SEER 16 - replace on fail MF</v>
      </c>
      <c r="G1818" s="2909"/>
      <c r="H1818" s="2909"/>
      <c r="I1818" s="2910"/>
      <c r="J1818" s="1657" t="str">
        <f>$C$1440</f>
        <v>352900_2019_12_</v>
      </c>
      <c r="K1818" s="1663">
        <v>1496</v>
      </c>
      <c r="L1818" s="1124"/>
      <c r="M1818" s="2101"/>
      <c r="N1818" s="177"/>
      <c r="O1818" s="332"/>
      <c r="P1818" s="1116"/>
      <c r="Q1818" s="1116"/>
      <c r="R1818" s="1116"/>
      <c r="S1818" s="1103"/>
      <c r="T1818" s="1639"/>
      <c r="U1818" s="177"/>
      <c r="V1818" s="2866"/>
      <c r="W1818" s="909">
        <v>2009</v>
      </c>
      <c r="X1818" s="908">
        <v>1496</v>
      </c>
      <c r="Y1818" s="909">
        <v>1496</v>
      </c>
      <c r="Z1818" s="909"/>
      <c r="AA1818" s="909"/>
      <c r="AB1818" s="909"/>
      <c r="AC1818" s="909"/>
      <c r="AD1818" s="909"/>
      <c r="AE1818" s="909"/>
      <c r="AF1818" s="909"/>
      <c r="AG1818" s="909"/>
      <c r="BB1818" s="784"/>
      <c r="BC1818" s="785"/>
      <c r="BD1818" s="900"/>
      <c r="BE1818" s="797"/>
    </row>
    <row r="1819" spans="1:57" s="65" customFormat="1" ht="15" hidden="1" customHeight="1" outlineLevel="1" x14ac:dyDescent="0.25">
      <c r="A1819" s="718"/>
      <c r="B1819" s="177"/>
      <c r="C1819" s="455"/>
      <c r="D1819" s="2806"/>
      <c r="E1819" s="2856"/>
      <c r="F1819" s="2908" t="str">
        <f>$E$1442</f>
        <v>ASHP - SEER 16 - replace on fail MF_CompE</v>
      </c>
      <c r="G1819" s="2909"/>
      <c r="H1819" s="2909"/>
      <c r="I1819" s="2910"/>
      <c r="J1819" s="1657" t="str">
        <f>$C$1442</f>
        <v>352901_2019_12_</v>
      </c>
      <c r="K1819" s="1663">
        <v>510</v>
      </c>
      <c r="L1819" s="1124"/>
      <c r="M1819" s="2101" t="s">
        <v>953</v>
      </c>
      <c r="N1819" s="177"/>
      <c r="O1819" s="332"/>
      <c r="P1819" s="1116"/>
      <c r="Q1819" s="1116"/>
      <c r="R1819" s="1116"/>
      <c r="S1819" s="1103"/>
      <c r="T1819" s="1639"/>
      <c r="U1819" s="177"/>
      <c r="V1819" s="2866"/>
      <c r="W1819" s="909"/>
      <c r="X1819" s="908"/>
      <c r="Y1819" s="908">
        <v>510</v>
      </c>
      <c r="Z1819" s="909"/>
      <c r="AA1819" s="909"/>
      <c r="AB1819" s="909"/>
      <c r="AC1819" s="909"/>
      <c r="AD1819" s="909"/>
      <c r="AE1819" s="909"/>
      <c r="AF1819" s="909"/>
      <c r="AG1819" s="909"/>
      <c r="BB1819" s="784"/>
      <c r="BC1819" s="785"/>
      <c r="BD1819" s="900"/>
      <c r="BE1819" s="797"/>
    </row>
    <row r="1820" spans="1:57" s="65" customFormat="1" ht="15" hidden="1" customHeight="1" outlineLevel="1" x14ac:dyDescent="0.25">
      <c r="A1820" s="718"/>
      <c r="B1820" s="177"/>
      <c r="C1820" s="455"/>
      <c r="D1820" s="2806"/>
      <c r="E1820" s="2856"/>
      <c r="F1820" s="2908" t="str">
        <f>$E$1444</f>
        <v>ASHP - SEER 16 - replace electric furnace / CAC MF</v>
      </c>
      <c r="G1820" s="2909"/>
      <c r="H1820" s="2909"/>
      <c r="I1820" s="2910"/>
      <c r="J1820" s="1657" t="str">
        <f>$C$1444</f>
        <v>352950_2019_12_</v>
      </c>
      <c r="K1820" s="1663">
        <v>1496</v>
      </c>
      <c r="L1820" s="1124"/>
      <c r="M1820" s="2101"/>
      <c r="N1820" s="177"/>
      <c r="O1820" s="332"/>
      <c r="P1820" s="1116"/>
      <c r="Q1820" s="1116"/>
      <c r="R1820" s="1116"/>
      <c r="S1820" s="1103"/>
      <c r="T1820" s="1639"/>
      <c r="U1820" s="177"/>
      <c r="V1820" s="2866"/>
      <c r="W1820" s="909">
        <v>2009</v>
      </c>
      <c r="X1820" s="908">
        <v>1496</v>
      </c>
      <c r="Y1820" s="909">
        <v>1496</v>
      </c>
      <c r="Z1820" s="909"/>
      <c r="AA1820" s="909"/>
      <c r="AB1820" s="909"/>
      <c r="AC1820" s="909"/>
      <c r="AD1820" s="909"/>
      <c r="AE1820" s="909"/>
      <c r="AF1820" s="909"/>
      <c r="AG1820" s="909"/>
      <c r="BB1820" s="784"/>
      <c r="BC1820" s="785"/>
      <c r="BD1820" s="900"/>
      <c r="BE1820" s="797"/>
    </row>
    <row r="1821" spans="1:57" s="65" customFormat="1" ht="15" hidden="1" customHeight="1" outlineLevel="1" x14ac:dyDescent="0.25">
      <c r="A1821" s="718"/>
      <c r="B1821" s="177"/>
      <c r="C1821" s="455"/>
      <c r="D1821" s="2806"/>
      <c r="E1821" s="2856"/>
      <c r="F1821" s="2908" t="str">
        <f>$E$1446</f>
        <v>ASHP - SEER 16 - replace electric furnace / CAC MF_CompE</v>
      </c>
      <c r="G1821" s="2909"/>
      <c r="H1821" s="2909"/>
      <c r="I1821" s="2910"/>
      <c r="J1821" s="1657" t="str">
        <f>$C$1446</f>
        <v>352951_2019_12_</v>
      </c>
      <c r="K1821" s="1663">
        <v>510</v>
      </c>
      <c r="L1821" s="1124"/>
      <c r="M1821" s="2101" t="s">
        <v>953</v>
      </c>
      <c r="N1821" s="177"/>
      <c r="O1821" s="332"/>
      <c r="P1821" s="1116"/>
      <c r="Q1821" s="1116"/>
      <c r="R1821" s="1116"/>
      <c r="S1821" s="1103"/>
      <c r="T1821" s="1639"/>
      <c r="U1821" s="177"/>
      <c r="V1821" s="2866"/>
      <c r="W1821" s="909"/>
      <c r="X1821" s="908"/>
      <c r="Y1821" s="908">
        <v>510</v>
      </c>
      <c r="Z1821" s="909"/>
      <c r="AA1821" s="909"/>
      <c r="AB1821" s="909"/>
      <c r="AC1821" s="909"/>
      <c r="AD1821" s="909"/>
      <c r="AE1821" s="909"/>
      <c r="AF1821" s="909"/>
      <c r="AG1821" s="909"/>
      <c r="BB1821" s="784"/>
      <c r="BC1821" s="785"/>
      <c r="BD1821" s="900"/>
      <c r="BE1821" s="797"/>
    </row>
    <row r="1822" spans="1:57" s="65" customFormat="1" ht="15" hidden="1" customHeight="1" outlineLevel="1" x14ac:dyDescent="0.25">
      <c r="A1822" s="718"/>
      <c r="B1822" s="177"/>
      <c r="C1822" s="455"/>
      <c r="D1822" s="2806"/>
      <c r="E1822" s="2856"/>
      <c r="F1822" s="2908" t="str">
        <f>$E$1448</f>
        <v>ASHP - SEER 16 - replace electric furnace / CAC - early replacement MF ER1</v>
      </c>
      <c r="G1822" s="2909"/>
      <c r="H1822" s="2909"/>
      <c r="I1822" s="2910"/>
      <c r="J1822" s="1657" t="str">
        <f>$C$1448</f>
        <v>353000_2019_12_</v>
      </c>
      <c r="K1822" s="1663">
        <v>1496</v>
      </c>
      <c r="L1822" s="1124"/>
      <c r="M1822" s="2101"/>
      <c r="N1822" s="177"/>
      <c r="O1822" s="332"/>
      <c r="P1822" s="1116"/>
      <c r="Q1822" s="1116"/>
      <c r="R1822" s="1116"/>
      <c r="S1822" s="1103"/>
      <c r="T1822" s="1639"/>
      <c r="U1822" s="177"/>
      <c r="V1822" s="2866"/>
      <c r="W1822" s="909">
        <v>2009</v>
      </c>
      <c r="X1822" s="908">
        <v>1496</v>
      </c>
      <c r="Y1822" s="909">
        <v>1496</v>
      </c>
      <c r="Z1822" s="909"/>
      <c r="AA1822" s="909"/>
      <c r="AB1822" s="909"/>
      <c r="AC1822" s="909"/>
      <c r="AD1822" s="909"/>
      <c r="AE1822" s="909"/>
      <c r="AF1822" s="909"/>
      <c r="AG1822" s="909"/>
      <c r="BB1822" s="784"/>
      <c r="BC1822" s="785"/>
      <c r="BD1822" s="900"/>
      <c r="BE1822" s="797"/>
    </row>
    <row r="1823" spans="1:57" s="65" customFormat="1" ht="15" hidden="1" customHeight="1" outlineLevel="1" x14ac:dyDescent="0.25">
      <c r="A1823" s="718"/>
      <c r="B1823" s="177"/>
      <c r="C1823" s="455"/>
      <c r="D1823" s="2806"/>
      <c r="E1823" s="2856"/>
      <c r="F1823" s="2908" t="str">
        <f>$E$1450</f>
        <v>ASHP - SEER 16 - replace electric furnace / CAC - early replacement MF ER2</v>
      </c>
      <c r="G1823" s="2909"/>
      <c r="H1823" s="2909"/>
      <c r="I1823" s="2910"/>
      <c r="J1823" s="1657" t="str">
        <f>$C$1450</f>
        <v>353000_2019_12_</v>
      </c>
      <c r="K1823" s="1663">
        <v>1496</v>
      </c>
      <c r="L1823" s="1124"/>
      <c r="M1823" s="2101"/>
      <c r="N1823" s="177"/>
      <c r="O1823" s="332"/>
      <c r="P1823" s="1116"/>
      <c r="Q1823" s="1116"/>
      <c r="R1823" s="1116"/>
      <c r="S1823" s="1103"/>
      <c r="T1823" s="1639"/>
      <c r="U1823" s="177"/>
      <c r="V1823" s="2866"/>
      <c r="W1823" s="909">
        <v>2009</v>
      </c>
      <c r="X1823" s="908">
        <v>1496</v>
      </c>
      <c r="Y1823" s="909">
        <v>1496</v>
      </c>
      <c r="Z1823" s="909"/>
      <c r="AA1823" s="909"/>
      <c r="AB1823" s="909"/>
      <c r="AC1823" s="909"/>
      <c r="AD1823" s="909"/>
      <c r="AE1823" s="909"/>
      <c r="AF1823" s="909"/>
      <c r="AG1823" s="909"/>
      <c r="BB1823" s="784"/>
      <c r="BC1823" s="785"/>
      <c r="BD1823" s="900"/>
      <c r="BE1823" s="797"/>
    </row>
    <row r="1824" spans="1:57" s="65" customFormat="1" ht="15" hidden="1" customHeight="1" outlineLevel="1" x14ac:dyDescent="0.25">
      <c r="A1824" s="718"/>
      <c r="B1824" s="177"/>
      <c r="C1824" s="455"/>
      <c r="D1824" s="2806"/>
      <c r="E1824" s="2856"/>
      <c r="F1824" s="2908" t="str">
        <f>$E$1452</f>
        <v>ASHP - SEER 16 - replace electric furnace / CAC - early replacement MF ER1_CompE</v>
      </c>
      <c r="G1824" s="2909"/>
      <c r="H1824" s="2909"/>
      <c r="I1824" s="2910"/>
      <c r="J1824" s="1657" t="str">
        <f>$C$1452</f>
        <v>353001_2019_12_</v>
      </c>
      <c r="K1824" s="1663">
        <v>510</v>
      </c>
      <c r="L1824" s="1124"/>
      <c r="M1824" s="2101" t="s">
        <v>953</v>
      </c>
      <c r="N1824" s="177"/>
      <c r="O1824" s="332"/>
      <c r="P1824" s="1116"/>
      <c r="Q1824" s="1116"/>
      <c r="R1824" s="1116"/>
      <c r="S1824" s="1103"/>
      <c r="T1824" s="1639"/>
      <c r="U1824" s="177"/>
      <c r="V1824" s="2866"/>
      <c r="W1824" s="909"/>
      <c r="X1824" s="908"/>
      <c r="Y1824" s="908">
        <v>510</v>
      </c>
      <c r="Z1824" s="909"/>
      <c r="AA1824" s="909"/>
      <c r="AB1824" s="909"/>
      <c r="AC1824" s="909"/>
      <c r="AD1824" s="909"/>
      <c r="AE1824" s="909"/>
      <c r="AF1824" s="909"/>
      <c r="AG1824" s="909"/>
      <c r="BB1824" s="784"/>
      <c r="BC1824" s="785"/>
      <c r="BD1824" s="900"/>
      <c r="BE1824" s="797"/>
    </row>
    <row r="1825" spans="1:57" s="65" customFormat="1" ht="15" hidden="1" customHeight="1" outlineLevel="1" x14ac:dyDescent="0.25">
      <c r="A1825" s="718"/>
      <c r="B1825" s="177"/>
      <c r="C1825" s="455"/>
      <c r="D1825" s="2806"/>
      <c r="E1825" s="2856"/>
      <c r="F1825" s="2908" t="str">
        <f>$E$1454</f>
        <v>ASHP - SEER 16 - replace electric furnace / CAC - early replacement MF ER2_CompE</v>
      </c>
      <c r="G1825" s="2909"/>
      <c r="H1825" s="2909"/>
      <c r="I1825" s="2910"/>
      <c r="J1825" s="1657" t="str">
        <f>$C$1454</f>
        <v>353001_2019_12_</v>
      </c>
      <c r="K1825" s="1663">
        <v>510</v>
      </c>
      <c r="L1825" s="1124"/>
      <c r="M1825" s="2101" t="s">
        <v>953</v>
      </c>
      <c r="N1825" s="177"/>
      <c r="O1825" s="332"/>
      <c r="P1825" s="1116"/>
      <c r="Q1825" s="1116"/>
      <c r="R1825" s="1116"/>
      <c r="S1825" s="1103"/>
      <c r="T1825" s="1639"/>
      <c r="U1825" s="177"/>
      <c r="V1825" s="2866"/>
      <c r="W1825" s="909"/>
      <c r="X1825" s="908"/>
      <c r="Y1825" s="908">
        <v>510</v>
      </c>
      <c r="Z1825" s="909"/>
      <c r="AA1825" s="909"/>
      <c r="AB1825" s="909"/>
      <c r="AC1825" s="909"/>
      <c r="AD1825" s="909"/>
      <c r="AE1825" s="909"/>
      <c r="AF1825" s="909"/>
      <c r="AG1825" s="909"/>
      <c r="BB1825" s="784"/>
      <c r="BC1825" s="785"/>
      <c r="BD1825" s="900"/>
      <c r="BE1825" s="797"/>
    </row>
    <row r="1826" spans="1:57" s="65" customFormat="1" ht="15" hidden="1" customHeight="1" outlineLevel="1" x14ac:dyDescent="0.25">
      <c r="A1826" s="718"/>
      <c r="B1826" s="177"/>
      <c r="C1826" s="455"/>
      <c r="D1826" s="2806"/>
      <c r="E1826" s="2856"/>
      <c r="F1826" s="2911" t="str">
        <f>$E$1456</f>
        <v xml:space="preserve">ASHP SEER 15 - replace on Fail MF </v>
      </c>
      <c r="G1826" s="2912"/>
      <c r="H1826" s="2912"/>
      <c r="I1826" s="2913"/>
      <c r="J1826" s="1658" t="str">
        <f>$C$1456</f>
        <v>353050_2019_12_</v>
      </c>
      <c r="K1826" s="1663">
        <v>1496</v>
      </c>
      <c r="L1826" s="1124"/>
      <c r="M1826" s="2101"/>
      <c r="N1826" s="177"/>
      <c r="O1826" s="332"/>
      <c r="P1826" s="1116"/>
      <c r="Q1826" s="1116"/>
      <c r="R1826" s="1116"/>
      <c r="S1826" s="1103"/>
      <c r="T1826" s="1639"/>
      <c r="U1826" s="177"/>
      <c r="V1826" s="2866"/>
      <c r="W1826" s="909">
        <v>2009</v>
      </c>
      <c r="X1826" s="908">
        <v>1496</v>
      </c>
      <c r="Y1826" s="909">
        <v>1496</v>
      </c>
      <c r="Z1826" s="909"/>
      <c r="AA1826" s="909"/>
      <c r="AB1826" s="909"/>
      <c r="AC1826" s="909"/>
      <c r="AD1826" s="909"/>
      <c r="AE1826" s="909"/>
      <c r="AF1826" s="909"/>
      <c r="AG1826" s="909"/>
      <c r="BB1826" s="784"/>
      <c r="BC1826" s="785"/>
      <c r="BD1826" s="900"/>
      <c r="BE1826" s="797"/>
    </row>
    <row r="1827" spans="1:57" s="65" customFormat="1" ht="15" hidden="1" customHeight="1" outlineLevel="1" x14ac:dyDescent="0.25">
      <c r="A1827" s="718"/>
      <c r="B1827" s="177"/>
      <c r="C1827" s="455"/>
      <c r="D1827" s="2806"/>
      <c r="E1827" s="2856"/>
      <c r="F1827" s="2911" t="str">
        <f>$E$1458</f>
        <v>ASHP SEER 15 - replace on Fail MF _CompE</v>
      </c>
      <c r="G1827" s="2912"/>
      <c r="H1827" s="2912"/>
      <c r="I1827" s="2913"/>
      <c r="J1827" s="1658" t="str">
        <f>$C$1458</f>
        <v>353051_2019_12_</v>
      </c>
      <c r="K1827" s="1663">
        <v>510</v>
      </c>
      <c r="L1827" s="1124"/>
      <c r="M1827" s="2101" t="s">
        <v>953</v>
      </c>
      <c r="N1827" s="177"/>
      <c r="O1827" s="332"/>
      <c r="P1827" s="1116"/>
      <c r="Q1827" s="1116"/>
      <c r="R1827" s="1116"/>
      <c r="S1827" s="1103"/>
      <c r="T1827" s="1639"/>
      <c r="U1827" s="177"/>
      <c r="V1827" s="2866"/>
      <c r="W1827" s="909"/>
      <c r="X1827" s="908"/>
      <c r="Y1827" s="908">
        <v>510</v>
      </c>
      <c r="Z1827" s="909"/>
      <c r="AA1827" s="909"/>
      <c r="AB1827" s="909"/>
      <c r="AC1827" s="909"/>
      <c r="AD1827" s="909"/>
      <c r="AE1827" s="909"/>
      <c r="AF1827" s="909"/>
      <c r="AG1827" s="909"/>
      <c r="BB1827" s="784"/>
      <c r="BC1827" s="785"/>
      <c r="BD1827" s="900"/>
      <c r="BE1827" s="797"/>
    </row>
    <row r="1828" spans="1:57" s="65" customFormat="1" ht="15" hidden="1" customHeight="1" outlineLevel="1" x14ac:dyDescent="0.25">
      <c r="A1828" s="718"/>
      <c r="B1828" s="177"/>
      <c r="C1828" s="455"/>
      <c r="D1828" s="2806"/>
      <c r="E1828" s="2856"/>
      <c r="F1828" s="2908" t="str">
        <f>$E$1460</f>
        <v>ASHP - SEER 17 - replace electric furnace / CAC SF</v>
      </c>
      <c r="G1828" s="2909"/>
      <c r="H1828" s="2909"/>
      <c r="I1828" s="2910"/>
      <c r="J1828" s="1657" t="str">
        <f>$C$1460</f>
        <v>353100_2019_12_</v>
      </c>
      <c r="K1828" s="1663">
        <v>1496</v>
      </c>
      <c r="L1828" s="1124"/>
      <c r="M1828" s="2101"/>
      <c r="N1828" s="177"/>
      <c r="O1828" s="332"/>
      <c r="P1828" s="1116"/>
      <c r="Q1828" s="1116"/>
      <c r="R1828" s="1116"/>
      <c r="S1828" s="1103"/>
      <c r="T1828" s="1639"/>
      <c r="U1828" s="177"/>
      <c r="V1828" s="2866"/>
      <c r="W1828" s="909">
        <v>2009</v>
      </c>
      <c r="X1828" s="908">
        <v>1496</v>
      </c>
      <c r="Y1828" s="909">
        <v>1496</v>
      </c>
      <c r="Z1828" s="909"/>
      <c r="AA1828" s="909"/>
      <c r="AB1828" s="909"/>
      <c r="AC1828" s="909"/>
      <c r="AD1828" s="909"/>
      <c r="AE1828" s="909"/>
      <c r="AF1828" s="909"/>
      <c r="AG1828" s="909"/>
      <c r="BB1828" s="784"/>
      <c r="BC1828" s="785"/>
      <c r="BD1828" s="900"/>
      <c r="BE1828" s="797"/>
    </row>
    <row r="1829" spans="1:57" s="65" customFormat="1" ht="15" hidden="1" customHeight="1" outlineLevel="1" x14ac:dyDescent="0.25">
      <c r="A1829" s="718"/>
      <c r="B1829" s="177"/>
      <c r="C1829" s="455"/>
      <c r="D1829" s="2806"/>
      <c r="E1829" s="2856"/>
      <c r="F1829" s="2908" t="str">
        <f>$E$1462</f>
        <v>ASHP - SEER 17 - replace electric furnace / CAC MF</v>
      </c>
      <c r="G1829" s="2909"/>
      <c r="H1829" s="2909"/>
      <c r="I1829" s="2910"/>
      <c r="J1829" s="1657" t="str">
        <f>$C$1462</f>
        <v>353150_2019_12_</v>
      </c>
      <c r="K1829" s="1663">
        <v>1496</v>
      </c>
      <c r="L1829" s="1124"/>
      <c r="M1829" s="2101"/>
      <c r="N1829" s="177"/>
      <c r="O1829" s="332"/>
      <c r="P1829" s="1116"/>
      <c r="Q1829" s="1116"/>
      <c r="R1829" s="1116"/>
      <c r="S1829" s="1103"/>
      <c r="T1829" s="1639"/>
      <c r="U1829" s="177"/>
      <c r="V1829" s="2866"/>
      <c r="W1829" s="909">
        <v>2009</v>
      </c>
      <c r="X1829" s="908">
        <v>1496</v>
      </c>
      <c r="Y1829" s="909">
        <v>1496</v>
      </c>
      <c r="Z1829" s="909"/>
      <c r="AA1829" s="909"/>
      <c r="AB1829" s="909"/>
      <c r="AC1829" s="909"/>
      <c r="AD1829" s="909"/>
      <c r="AE1829" s="909"/>
      <c r="AF1829" s="909"/>
      <c r="AG1829" s="909"/>
      <c r="BB1829" s="784"/>
      <c r="BC1829" s="785"/>
      <c r="BD1829" s="900"/>
      <c r="BE1829" s="797"/>
    </row>
    <row r="1830" spans="1:57" s="65" customFormat="1" ht="15" hidden="1" customHeight="1" outlineLevel="1" x14ac:dyDescent="0.25">
      <c r="A1830" s="718"/>
      <c r="B1830" s="177"/>
      <c r="C1830" s="455"/>
      <c r="D1830" s="2806"/>
      <c r="E1830" s="2856"/>
      <c r="F1830" s="2908" t="str">
        <f>$E$1464</f>
        <v>ASHP - SEER 17 - replace electric furnace / CAC MF_CompE</v>
      </c>
      <c r="G1830" s="2909"/>
      <c r="H1830" s="2909"/>
      <c r="I1830" s="2910"/>
      <c r="J1830" s="1657" t="str">
        <f>$C$1464</f>
        <v>353151_2019_12_</v>
      </c>
      <c r="K1830" s="1663">
        <v>510</v>
      </c>
      <c r="L1830" s="1124"/>
      <c r="M1830" s="2101" t="s">
        <v>953</v>
      </c>
      <c r="N1830" s="177"/>
      <c r="O1830" s="332"/>
      <c r="P1830" s="1116"/>
      <c r="Q1830" s="1116"/>
      <c r="R1830" s="1116"/>
      <c r="S1830" s="1103"/>
      <c r="T1830" s="1639"/>
      <c r="U1830" s="177"/>
      <c r="V1830" s="2866"/>
      <c r="W1830" s="909"/>
      <c r="X1830" s="908"/>
      <c r="Y1830" s="908">
        <v>510</v>
      </c>
      <c r="Z1830" s="909"/>
      <c r="AA1830" s="909"/>
      <c r="AB1830" s="909"/>
      <c r="AC1830" s="909"/>
      <c r="AD1830" s="909"/>
      <c r="AE1830" s="909"/>
      <c r="AF1830" s="909"/>
      <c r="AG1830" s="909"/>
      <c r="BB1830" s="784"/>
      <c r="BC1830" s="785"/>
      <c r="BD1830" s="900"/>
      <c r="BE1830" s="797"/>
    </row>
    <row r="1831" spans="1:57" s="65" customFormat="1" ht="15" hidden="1" customHeight="1" outlineLevel="1" x14ac:dyDescent="0.25">
      <c r="A1831" s="718"/>
      <c r="B1831" s="177"/>
      <c r="C1831" s="455"/>
      <c r="D1831" s="2806"/>
      <c r="E1831" s="2856"/>
      <c r="F1831" s="2908" t="str">
        <f>$E$1466</f>
        <v>ASHP - SEER 18 - replace electric furnace / CAC SF</v>
      </c>
      <c r="G1831" s="2909"/>
      <c r="H1831" s="2909"/>
      <c r="I1831" s="2910"/>
      <c r="J1831" s="1657" t="str">
        <f>$C$1466</f>
        <v>353200_2019_12_</v>
      </c>
      <c r="K1831" s="1663">
        <v>1496</v>
      </c>
      <c r="L1831" s="1124"/>
      <c r="M1831" s="2101"/>
      <c r="N1831" s="177"/>
      <c r="O1831" s="332"/>
      <c r="P1831" s="1116"/>
      <c r="Q1831" s="1116"/>
      <c r="R1831" s="1116"/>
      <c r="S1831" s="1103"/>
      <c r="T1831" s="1639"/>
      <c r="U1831" s="177"/>
      <c r="V1831" s="2866"/>
      <c r="W1831" s="909">
        <v>2009</v>
      </c>
      <c r="X1831" s="908">
        <v>1496</v>
      </c>
      <c r="Y1831" s="909">
        <v>1496</v>
      </c>
      <c r="Z1831" s="909"/>
      <c r="AA1831" s="909"/>
      <c r="AB1831" s="909"/>
      <c r="AC1831" s="909"/>
      <c r="AD1831" s="909"/>
      <c r="AE1831" s="909"/>
      <c r="AF1831" s="909"/>
      <c r="AG1831" s="909"/>
      <c r="BB1831" s="784"/>
      <c r="BC1831" s="785"/>
      <c r="BD1831" s="900"/>
      <c r="BE1831" s="797"/>
    </row>
    <row r="1832" spans="1:57" s="65" customFormat="1" ht="15" hidden="1" customHeight="1" outlineLevel="1" x14ac:dyDescent="0.25">
      <c r="A1832" s="718"/>
      <c r="B1832" s="177"/>
      <c r="C1832" s="455"/>
      <c r="D1832" s="2806"/>
      <c r="E1832" s="2856"/>
      <c r="F1832" s="2908" t="str">
        <f>$E$1468</f>
        <v>ASHP - SEER 18 - replace electric furnace / CAC MF</v>
      </c>
      <c r="G1832" s="2909"/>
      <c r="H1832" s="2909"/>
      <c r="I1832" s="2910"/>
      <c r="J1832" s="1657" t="str">
        <f>$C$1468</f>
        <v>353250_2019_12_</v>
      </c>
      <c r="K1832" s="1663">
        <v>1496</v>
      </c>
      <c r="L1832" s="1124"/>
      <c r="M1832" s="2101"/>
      <c r="N1832" s="177"/>
      <c r="O1832" s="332"/>
      <c r="P1832" s="1116"/>
      <c r="Q1832" s="1116"/>
      <c r="R1832" s="1116"/>
      <c r="S1832" s="1103"/>
      <c r="T1832" s="1639"/>
      <c r="U1832" s="177"/>
      <c r="V1832" s="2866"/>
      <c r="W1832" s="909">
        <v>2009</v>
      </c>
      <c r="X1832" s="908">
        <v>1496</v>
      </c>
      <c r="Y1832" s="909">
        <v>1496</v>
      </c>
      <c r="Z1832" s="909"/>
      <c r="AA1832" s="909"/>
      <c r="AB1832" s="909"/>
      <c r="AC1832" s="909"/>
      <c r="AD1832" s="909"/>
      <c r="AE1832" s="909"/>
      <c r="AF1832" s="909"/>
      <c r="AG1832" s="909"/>
      <c r="BB1832" s="784"/>
      <c r="BC1832" s="785"/>
      <c r="BD1832" s="900"/>
      <c r="BE1832" s="797"/>
    </row>
    <row r="1833" spans="1:57" s="65" customFormat="1" ht="15" hidden="1" customHeight="1" outlineLevel="1" x14ac:dyDescent="0.25">
      <c r="A1833" s="718"/>
      <c r="B1833" s="177"/>
      <c r="C1833" s="455"/>
      <c r="D1833" s="2806"/>
      <c r="E1833" s="2856"/>
      <c r="F1833" s="2908" t="str">
        <f>$E$1470</f>
        <v>ASHP - SEER 18 - replace electric furnace / CAC MF_CompE</v>
      </c>
      <c r="G1833" s="2909"/>
      <c r="H1833" s="2909"/>
      <c r="I1833" s="2910"/>
      <c r="J1833" s="1657" t="str">
        <f>$C$1470</f>
        <v>353251_2019_12_</v>
      </c>
      <c r="K1833" s="1663">
        <v>510</v>
      </c>
      <c r="L1833" s="1124"/>
      <c r="M1833" s="2101" t="s">
        <v>953</v>
      </c>
      <c r="N1833" s="177"/>
      <c r="O1833" s="332"/>
      <c r="P1833" s="1116"/>
      <c r="Q1833" s="1116"/>
      <c r="R1833" s="1116"/>
      <c r="S1833" s="1103"/>
      <c r="T1833" s="1639"/>
      <c r="U1833" s="177"/>
      <c r="V1833" s="2866"/>
      <c r="W1833" s="909"/>
      <c r="X1833" s="908"/>
      <c r="Y1833" s="908">
        <v>510</v>
      </c>
      <c r="Z1833" s="909"/>
      <c r="AA1833" s="909"/>
      <c r="AB1833" s="909"/>
      <c r="AC1833" s="909"/>
      <c r="AD1833" s="909"/>
      <c r="AE1833" s="909"/>
      <c r="AF1833" s="909"/>
      <c r="AG1833" s="909"/>
      <c r="BB1833" s="784"/>
      <c r="BC1833" s="785"/>
      <c r="BD1833" s="900"/>
      <c r="BE1833" s="797"/>
    </row>
    <row r="1834" spans="1:57" s="65" customFormat="1" ht="15" hidden="1" customHeight="1" outlineLevel="1" x14ac:dyDescent="0.25">
      <c r="A1834" s="718"/>
      <c r="B1834" s="177"/>
      <c r="C1834" s="455"/>
      <c r="D1834" s="2806"/>
      <c r="E1834" s="2856"/>
      <c r="F1834" s="2908" t="str">
        <f>$E$1472</f>
        <v>ASHP - SEER 19 - replace electric furnace / CAC SF</v>
      </c>
      <c r="G1834" s="2909"/>
      <c r="H1834" s="2909"/>
      <c r="I1834" s="2910"/>
      <c r="J1834" s="1657" t="str">
        <f>$C$1472</f>
        <v>353300_2019_12_</v>
      </c>
      <c r="K1834" s="1663">
        <v>1496</v>
      </c>
      <c r="L1834" s="1124"/>
      <c r="M1834" s="2101"/>
      <c r="N1834" s="177"/>
      <c r="O1834" s="332"/>
      <c r="P1834" s="1116"/>
      <c r="Q1834" s="1116"/>
      <c r="R1834" s="1116"/>
      <c r="S1834" s="1103"/>
      <c r="T1834" s="1639"/>
      <c r="U1834" s="177"/>
      <c r="V1834" s="2866"/>
      <c r="W1834" s="909">
        <v>2009</v>
      </c>
      <c r="X1834" s="908">
        <v>1496</v>
      </c>
      <c r="Y1834" s="909">
        <v>1496</v>
      </c>
      <c r="Z1834" s="909"/>
      <c r="AA1834" s="909"/>
      <c r="AB1834" s="909"/>
      <c r="AC1834" s="909"/>
      <c r="AD1834" s="909"/>
      <c r="AE1834" s="909"/>
      <c r="AF1834" s="909"/>
      <c r="AG1834" s="909"/>
      <c r="BB1834" s="784"/>
      <c r="BC1834" s="785"/>
      <c r="BD1834" s="900"/>
      <c r="BE1834" s="797"/>
    </row>
    <row r="1835" spans="1:57" s="65" customFormat="1" ht="15" hidden="1" customHeight="1" outlineLevel="1" x14ac:dyDescent="0.25">
      <c r="A1835" s="718"/>
      <c r="B1835" s="177"/>
      <c r="C1835" s="455"/>
      <c r="D1835" s="2806"/>
      <c r="E1835" s="2856"/>
      <c r="F1835" s="2908" t="str">
        <f>$E$1474</f>
        <v>ASHP - SEER 19 - replace electric furnace / CAC MF</v>
      </c>
      <c r="G1835" s="2909"/>
      <c r="H1835" s="2909"/>
      <c r="I1835" s="2910"/>
      <c r="J1835" s="1657" t="str">
        <f>$C$1474</f>
        <v>353350_2019_12_</v>
      </c>
      <c r="K1835" s="1663">
        <v>1496</v>
      </c>
      <c r="L1835" s="1124"/>
      <c r="M1835" s="2101"/>
      <c r="N1835" s="177"/>
      <c r="O1835" s="332"/>
      <c r="P1835" s="1116"/>
      <c r="Q1835" s="1116"/>
      <c r="R1835" s="1116"/>
      <c r="S1835" s="1103"/>
      <c r="T1835" s="1639"/>
      <c r="U1835" s="177"/>
      <c r="V1835" s="2866"/>
      <c r="W1835" s="909">
        <v>2009</v>
      </c>
      <c r="X1835" s="908">
        <v>1496</v>
      </c>
      <c r="Y1835" s="909">
        <v>1496</v>
      </c>
      <c r="Z1835" s="909"/>
      <c r="AA1835" s="909"/>
      <c r="AB1835" s="909"/>
      <c r="AC1835" s="909"/>
      <c r="AD1835" s="909"/>
      <c r="AE1835" s="909"/>
      <c r="AF1835" s="909"/>
      <c r="AG1835" s="909"/>
      <c r="BB1835" s="784"/>
      <c r="BC1835" s="785"/>
      <c r="BD1835" s="900"/>
      <c r="BE1835" s="797"/>
    </row>
    <row r="1836" spans="1:57" s="65" customFormat="1" ht="15" hidden="1" customHeight="1" outlineLevel="1" x14ac:dyDescent="0.25">
      <c r="A1836" s="718"/>
      <c r="B1836" s="177"/>
      <c r="C1836" s="455"/>
      <c r="D1836" s="2806"/>
      <c r="E1836" s="2856"/>
      <c r="F1836" s="2908" t="str">
        <f>$E$1476</f>
        <v>ASHP - SEER 19 - replace electric furnace / CAC MF_CompE</v>
      </c>
      <c r="G1836" s="2909"/>
      <c r="H1836" s="2909"/>
      <c r="I1836" s="2910"/>
      <c r="J1836" s="1657" t="str">
        <f>$C$1476</f>
        <v>353351_2019_12_</v>
      </c>
      <c r="K1836" s="1663">
        <v>510</v>
      </c>
      <c r="L1836" s="1124"/>
      <c r="M1836" s="2101" t="s">
        <v>953</v>
      </c>
      <c r="N1836" s="177"/>
      <c r="O1836" s="332"/>
      <c r="P1836" s="1116"/>
      <c r="Q1836" s="1116"/>
      <c r="R1836" s="1116"/>
      <c r="S1836" s="1103"/>
      <c r="T1836" s="1639"/>
      <c r="U1836" s="177"/>
      <c r="V1836" s="2866"/>
      <c r="W1836" s="909"/>
      <c r="X1836" s="908"/>
      <c r="Y1836" s="908">
        <v>510</v>
      </c>
      <c r="Z1836" s="909"/>
      <c r="AA1836" s="909"/>
      <c r="AB1836" s="909"/>
      <c r="AC1836" s="909"/>
      <c r="AD1836" s="909"/>
      <c r="AE1836" s="909"/>
      <c r="AF1836" s="909"/>
      <c r="AG1836" s="909"/>
      <c r="BB1836" s="784"/>
      <c r="BC1836" s="785"/>
      <c r="BD1836" s="900"/>
      <c r="BE1836" s="797"/>
    </row>
    <row r="1837" spans="1:57" s="65" customFormat="1" ht="15" hidden="1" customHeight="1" outlineLevel="1" x14ac:dyDescent="0.25">
      <c r="A1837" s="718"/>
      <c r="B1837" s="177"/>
      <c r="C1837" s="455"/>
      <c r="D1837" s="2806"/>
      <c r="E1837" s="2856"/>
      <c r="F1837" s="2908" t="str">
        <f>$E$1478</f>
        <v>ASHP - SEER 20 - replace electric furnace / CAC - early replacement SF ER1</v>
      </c>
      <c r="G1837" s="2909"/>
      <c r="H1837" s="2909"/>
      <c r="I1837" s="2910"/>
      <c r="J1837" s="1657" t="str">
        <f>$C$1478</f>
        <v>353400_2019_12_</v>
      </c>
      <c r="K1837" s="1663">
        <v>1496</v>
      </c>
      <c r="L1837" s="1124"/>
      <c r="M1837" s="2101"/>
      <c r="N1837" s="177"/>
      <c r="O1837" s="332"/>
      <c r="P1837" s="1116"/>
      <c r="Q1837" s="1116"/>
      <c r="R1837" s="1116"/>
      <c r="S1837" s="1103"/>
      <c r="T1837" s="1639"/>
      <c r="U1837" s="177"/>
      <c r="V1837" s="2866"/>
      <c r="W1837" s="909">
        <v>2009</v>
      </c>
      <c r="X1837" s="908">
        <v>1496</v>
      </c>
      <c r="Y1837" s="909">
        <v>1496</v>
      </c>
      <c r="Z1837" s="909"/>
      <c r="AA1837" s="909"/>
      <c r="AB1837" s="909"/>
      <c r="AC1837" s="909"/>
      <c r="AD1837" s="909"/>
      <c r="AE1837" s="909"/>
      <c r="AF1837" s="909"/>
      <c r="AG1837" s="909"/>
      <c r="BB1837" s="784"/>
      <c r="BC1837" s="785"/>
      <c r="BD1837" s="900"/>
      <c r="BE1837" s="797"/>
    </row>
    <row r="1838" spans="1:57" s="65" customFormat="1" ht="15" hidden="1" customHeight="1" outlineLevel="1" x14ac:dyDescent="0.25">
      <c r="A1838" s="718"/>
      <c r="B1838" s="177"/>
      <c r="C1838" s="455"/>
      <c r="D1838" s="2806"/>
      <c r="E1838" s="2856"/>
      <c r="F1838" s="2908" t="str">
        <f>$E$1480</f>
        <v>ASHP - SEER 20 - replace electric furnace / CAC - early replacement SF ER2</v>
      </c>
      <c r="G1838" s="2909"/>
      <c r="H1838" s="2909"/>
      <c r="I1838" s="2910"/>
      <c r="J1838" s="1657" t="str">
        <f>$C$1480</f>
        <v>353400_2019_12_</v>
      </c>
      <c r="K1838" s="1663">
        <v>1496</v>
      </c>
      <c r="L1838" s="1124"/>
      <c r="M1838" s="2101"/>
      <c r="N1838" s="177"/>
      <c r="O1838" s="332"/>
      <c r="P1838" s="1116"/>
      <c r="Q1838" s="1116"/>
      <c r="R1838" s="1116"/>
      <c r="S1838" s="1103"/>
      <c r="T1838" s="1639"/>
      <c r="U1838" s="177"/>
      <c r="V1838" s="2866"/>
      <c r="W1838" s="909">
        <v>2009</v>
      </c>
      <c r="X1838" s="908">
        <v>1496</v>
      </c>
      <c r="Y1838" s="909">
        <v>1496</v>
      </c>
      <c r="Z1838" s="909"/>
      <c r="AA1838" s="909"/>
      <c r="AB1838" s="909"/>
      <c r="AC1838" s="909"/>
      <c r="AD1838" s="909"/>
      <c r="AE1838" s="909"/>
      <c r="AF1838" s="909"/>
      <c r="AG1838" s="909"/>
      <c r="BB1838" s="784"/>
      <c r="BC1838" s="785"/>
      <c r="BD1838" s="900"/>
      <c r="BE1838" s="797"/>
    </row>
    <row r="1839" spans="1:57" s="65" customFormat="1" ht="15" hidden="1" customHeight="1" outlineLevel="1" x14ac:dyDescent="0.25">
      <c r="A1839" s="718"/>
      <c r="B1839" s="177"/>
      <c r="C1839" s="455"/>
      <c r="D1839" s="2806"/>
      <c r="E1839" s="2856"/>
      <c r="F1839" s="2908" t="str">
        <f>$E$1482</f>
        <v>ASHP - SEER 20 - replace electric furnace / CAC SF</v>
      </c>
      <c r="G1839" s="2909"/>
      <c r="H1839" s="2909"/>
      <c r="I1839" s="2910"/>
      <c r="J1839" s="1657" t="str">
        <f>$C$1482</f>
        <v>353450_2019_12_</v>
      </c>
      <c r="K1839" s="1663">
        <v>1496</v>
      </c>
      <c r="L1839" s="1124"/>
      <c r="M1839" s="2101"/>
      <c r="N1839" s="177"/>
      <c r="O1839" s="332"/>
      <c r="P1839" s="1116"/>
      <c r="Q1839" s="1116"/>
      <c r="R1839" s="1116"/>
      <c r="S1839" s="1103"/>
      <c r="T1839" s="1639"/>
      <c r="U1839" s="177"/>
      <c r="V1839" s="2866"/>
      <c r="W1839" s="909">
        <v>2009</v>
      </c>
      <c r="X1839" s="908">
        <v>1496</v>
      </c>
      <c r="Y1839" s="909">
        <v>1496</v>
      </c>
      <c r="Z1839" s="909"/>
      <c r="AA1839" s="909"/>
      <c r="AB1839" s="909"/>
      <c r="AC1839" s="909"/>
      <c r="AD1839" s="909"/>
      <c r="AE1839" s="909"/>
      <c r="AF1839" s="909"/>
      <c r="AG1839" s="909"/>
      <c r="BB1839" s="784"/>
      <c r="BC1839" s="785"/>
      <c r="BD1839" s="900"/>
      <c r="BE1839" s="797"/>
    </row>
    <row r="1840" spans="1:57" s="65" customFormat="1" ht="15" hidden="1" customHeight="1" outlineLevel="1" x14ac:dyDescent="0.25">
      <c r="A1840" s="718"/>
      <c r="B1840" s="177"/>
      <c r="C1840" s="455"/>
      <c r="D1840" s="2806"/>
      <c r="E1840" s="2856"/>
      <c r="F1840" s="2908" t="str">
        <f>$E$1484</f>
        <v>ASHP - SEER 20 - replace electric furnace / CAC MF</v>
      </c>
      <c r="G1840" s="2909"/>
      <c r="H1840" s="2909"/>
      <c r="I1840" s="2910"/>
      <c r="J1840" s="1657" t="str">
        <f>$C$1484</f>
        <v>353500_2019_12_</v>
      </c>
      <c r="K1840" s="1663">
        <v>1496</v>
      </c>
      <c r="L1840" s="1124"/>
      <c r="M1840" s="2101"/>
      <c r="N1840" s="177"/>
      <c r="O1840" s="332"/>
      <c r="P1840" s="1116"/>
      <c r="Q1840" s="1116"/>
      <c r="R1840" s="1116"/>
      <c r="S1840" s="1103"/>
      <c r="T1840" s="1639"/>
      <c r="U1840" s="177"/>
      <c r="V1840" s="2866"/>
      <c r="W1840" s="909">
        <v>2009</v>
      </c>
      <c r="X1840" s="908">
        <v>1496</v>
      </c>
      <c r="Y1840" s="909">
        <v>1496</v>
      </c>
      <c r="Z1840" s="909"/>
      <c r="AA1840" s="909"/>
      <c r="AB1840" s="909"/>
      <c r="AC1840" s="909"/>
      <c r="AD1840" s="909"/>
      <c r="AE1840" s="909"/>
      <c r="AF1840" s="909"/>
      <c r="AG1840" s="909"/>
      <c r="BB1840" s="784"/>
      <c r="BC1840" s="785"/>
      <c r="BD1840" s="900"/>
      <c r="BE1840" s="797"/>
    </row>
    <row r="1841" spans="1:57" s="65" customFormat="1" ht="15" hidden="1" customHeight="1" outlineLevel="1" x14ac:dyDescent="0.25">
      <c r="A1841" s="718"/>
      <c r="B1841" s="177"/>
      <c r="C1841" s="455"/>
      <c r="D1841" s="2806"/>
      <c r="E1841" s="2856"/>
      <c r="F1841" s="2908" t="str">
        <f>$E$1486</f>
        <v>ASHP - SEER 20 - replace electric furnace / CAC MF_CompE</v>
      </c>
      <c r="G1841" s="2909"/>
      <c r="H1841" s="2909"/>
      <c r="I1841" s="2910"/>
      <c r="J1841" s="1657" t="str">
        <f>$C$1486</f>
        <v>353501_2019_12_</v>
      </c>
      <c r="K1841" s="1663">
        <v>510</v>
      </c>
      <c r="L1841" s="1124"/>
      <c r="M1841" s="2101" t="s">
        <v>953</v>
      </c>
      <c r="N1841" s="177"/>
      <c r="O1841" s="332"/>
      <c r="P1841" s="1116"/>
      <c r="Q1841" s="1116"/>
      <c r="R1841" s="1116"/>
      <c r="S1841" s="1103"/>
      <c r="T1841" s="1639"/>
      <c r="U1841" s="177"/>
      <c r="V1841" s="2866"/>
      <c r="W1841" s="909"/>
      <c r="X1841" s="908"/>
      <c r="Y1841" s="908">
        <v>510</v>
      </c>
      <c r="Z1841" s="909"/>
      <c r="AA1841" s="909"/>
      <c r="AB1841" s="909"/>
      <c r="AC1841" s="909"/>
      <c r="AD1841" s="909"/>
      <c r="AE1841" s="909"/>
      <c r="AF1841" s="909"/>
      <c r="AG1841" s="909"/>
      <c r="BB1841" s="784"/>
      <c r="BC1841" s="785"/>
      <c r="BD1841" s="900"/>
      <c r="BE1841" s="797"/>
    </row>
    <row r="1842" spans="1:57" s="65" customFormat="1" ht="15" hidden="1" customHeight="1" outlineLevel="1" x14ac:dyDescent="0.25">
      <c r="A1842" s="718"/>
      <c r="B1842" s="177"/>
      <c r="C1842" s="455"/>
      <c r="D1842" s="2806"/>
      <c r="E1842" s="2856"/>
      <c r="F1842" s="2908" t="str">
        <f>$E$1488</f>
        <v>ASHP - SEER 21 - replace electric furnace / CAC - early replacement SF ER1</v>
      </c>
      <c r="G1842" s="2909"/>
      <c r="H1842" s="2909"/>
      <c r="I1842" s="2910"/>
      <c r="J1842" s="1657" t="str">
        <f>$C$1488</f>
        <v>353550_2019_12_</v>
      </c>
      <c r="K1842" s="1663">
        <v>1496</v>
      </c>
      <c r="L1842" s="1124"/>
      <c r="M1842" s="2101"/>
      <c r="N1842" s="177"/>
      <c r="O1842" s="332"/>
      <c r="P1842" s="1116"/>
      <c r="Q1842" s="1116"/>
      <c r="R1842" s="1116"/>
      <c r="S1842" s="1103"/>
      <c r="T1842" s="1639"/>
      <c r="U1842" s="177"/>
      <c r="V1842" s="2866"/>
      <c r="W1842" s="909">
        <v>2009</v>
      </c>
      <c r="X1842" s="908">
        <v>1496</v>
      </c>
      <c r="Y1842" s="909">
        <v>1496</v>
      </c>
      <c r="Z1842" s="909"/>
      <c r="AA1842" s="909"/>
      <c r="AB1842" s="909"/>
      <c r="AC1842" s="909"/>
      <c r="AD1842" s="909"/>
      <c r="AE1842" s="909"/>
      <c r="AF1842" s="909"/>
      <c r="AG1842" s="909"/>
      <c r="BB1842" s="784"/>
      <c r="BC1842" s="785"/>
      <c r="BD1842" s="900"/>
      <c r="BE1842" s="797"/>
    </row>
    <row r="1843" spans="1:57" s="65" customFormat="1" ht="15" hidden="1" customHeight="1" outlineLevel="1" x14ac:dyDescent="0.25">
      <c r="A1843" s="718"/>
      <c r="B1843" s="177"/>
      <c r="C1843" s="455"/>
      <c r="D1843" s="2806"/>
      <c r="E1843" s="2856"/>
      <c r="F1843" s="2908" t="str">
        <f>$E$1490</f>
        <v>ASHP - SEER 21 - replace electric furnace / CAC - early replacement SF ER2</v>
      </c>
      <c r="G1843" s="2909"/>
      <c r="H1843" s="2909"/>
      <c r="I1843" s="2910"/>
      <c r="J1843" s="1657" t="str">
        <f>$C$1490</f>
        <v>353550_2019_12_</v>
      </c>
      <c r="K1843" s="1663">
        <v>1496</v>
      </c>
      <c r="L1843" s="1124"/>
      <c r="M1843" s="2101"/>
      <c r="N1843" s="177"/>
      <c r="O1843" s="332"/>
      <c r="P1843" s="1116"/>
      <c r="Q1843" s="1117"/>
      <c r="R1843" s="1116"/>
      <c r="S1843" s="1103"/>
      <c r="T1843" s="1639"/>
      <c r="U1843" s="177"/>
      <c r="V1843" s="2866"/>
      <c r="W1843" s="909">
        <v>2009</v>
      </c>
      <c r="X1843" s="908">
        <v>1496</v>
      </c>
      <c r="Y1843" s="909">
        <v>1496</v>
      </c>
      <c r="Z1843" s="909"/>
      <c r="AA1843" s="909"/>
      <c r="AB1843" s="909"/>
      <c r="AC1843" s="909"/>
      <c r="AD1843" s="909"/>
      <c r="AE1843" s="909"/>
      <c r="AF1843" s="909"/>
      <c r="AG1843" s="909"/>
      <c r="BB1843" s="784"/>
      <c r="BC1843" s="785"/>
      <c r="BD1843" s="900"/>
      <c r="BE1843" s="797"/>
    </row>
    <row r="1844" spans="1:57" s="65" customFormat="1" ht="15" hidden="1" customHeight="1" outlineLevel="1" x14ac:dyDescent="0.25">
      <c r="A1844" s="718"/>
      <c r="B1844" s="177"/>
      <c r="C1844" s="455"/>
      <c r="D1844" s="2806"/>
      <c r="E1844" s="2856"/>
      <c r="F1844" s="2908" t="str">
        <f>$E$1492</f>
        <v>ASHP - SEER 21 - replace electric furnace / CAC - early replacement MF ER1</v>
      </c>
      <c r="G1844" s="2909"/>
      <c r="H1844" s="2909"/>
      <c r="I1844" s="2910"/>
      <c r="J1844" s="1657" t="str">
        <f>$C$1492</f>
        <v>353600_2019_12_</v>
      </c>
      <c r="K1844" s="1663">
        <v>1496</v>
      </c>
      <c r="L1844" s="1124"/>
      <c r="M1844" s="2101"/>
      <c r="N1844" s="177"/>
      <c r="O1844" s="332"/>
      <c r="P1844" s="1116"/>
      <c r="Q1844" s="1117"/>
      <c r="R1844" s="1116"/>
      <c r="S1844" s="1103"/>
      <c r="T1844" s="1639"/>
      <c r="U1844" s="177"/>
      <c r="V1844" s="2866"/>
      <c r="W1844" s="909">
        <v>2009</v>
      </c>
      <c r="X1844" s="908">
        <v>1496</v>
      </c>
      <c r="Y1844" s="909">
        <v>1496</v>
      </c>
      <c r="Z1844" s="909"/>
      <c r="AA1844" s="909"/>
      <c r="AB1844" s="909"/>
      <c r="AC1844" s="909"/>
      <c r="AD1844" s="909"/>
      <c r="AE1844" s="909"/>
      <c r="AF1844" s="909"/>
      <c r="AG1844" s="909"/>
      <c r="BB1844" s="784"/>
      <c r="BC1844" s="785"/>
      <c r="BD1844" s="900"/>
      <c r="BE1844" s="797"/>
    </row>
    <row r="1845" spans="1:57" s="65" customFormat="1" ht="15" hidden="1" customHeight="1" outlineLevel="1" x14ac:dyDescent="0.25">
      <c r="A1845" s="718"/>
      <c r="B1845" s="177"/>
      <c r="C1845" s="455"/>
      <c r="D1845" s="2806"/>
      <c r="E1845" s="2856"/>
      <c r="F1845" s="2908" t="str">
        <f>$E$1494</f>
        <v>ASHP - SEER 21 - replace electric furnace / CAC - early replacement MF ER2</v>
      </c>
      <c r="G1845" s="2909"/>
      <c r="H1845" s="2909"/>
      <c r="I1845" s="2910"/>
      <c r="J1845" s="1657" t="str">
        <f>$C$1494</f>
        <v>353600_2019_12_</v>
      </c>
      <c r="K1845" s="1663">
        <v>1496</v>
      </c>
      <c r="L1845" s="1124"/>
      <c r="M1845" s="2101"/>
      <c r="N1845" s="177"/>
      <c r="O1845" s="332"/>
      <c r="P1845" s="1116"/>
      <c r="Q1845" s="1117"/>
      <c r="R1845" s="1116"/>
      <c r="S1845" s="1103"/>
      <c r="T1845" s="1639"/>
      <c r="U1845" s="177"/>
      <c r="V1845" s="2866"/>
      <c r="W1845" s="909">
        <v>2009</v>
      </c>
      <c r="X1845" s="908">
        <v>1496</v>
      </c>
      <c r="Y1845" s="909">
        <v>1496</v>
      </c>
      <c r="Z1845" s="909"/>
      <c r="AA1845" s="909"/>
      <c r="AB1845" s="909"/>
      <c r="AC1845" s="909"/>
      <c r="AD1845" s="909"/>
      <c r="AE1845" s="909"/>
      <c r="AF1845" s="909"/>
      <c r="AG1845" s="909"/>
      <c r="BB1845" s="784"/>
      <c r="BC1845" s="785"/>
      <c r="BD1845" s="900"/>
      <c r="BE1845" s="797"/>
    </row>
    <row r="1846" spans="1:57" s="65" customFormat="1" ht="15" hidden="1" customHeight="1" outlineLevel="1" x14ac:dyDescent="0.25">
      <c r="A1846" s="718"/>
      <c r="B1846" s="177"/>
      <c r="C1846" s="455"/>
      <c r="D1846" s="2806"/>
      <c r="E1846" s="2856"/>
      <c r="F1846" s="2908" t="str">
        <f>$E$1496</f>
        <v>ASHP - SEER 21 - replace electric furnace / CAC - early replacement MF ER1_CompE</v>
      </c>
      <c r="G1846" s="2909"/>
      <c r="H1846" s="2909"/>
      <c r="I1846" s="2910"/>
      <c r="J1846" s="1657" t="str">
        <f>$C$1496</f>
        <v>353601_2019_12_</v>
      </c>
      <c r="K1846" s="1663">
        <v>510</v>
      </c>
      <c r="L1846" s="1124"/>
      <c r="M1846" s="2101" t="s">
        <v>953</v>
      </c>
      <c r="N1846" s="177"/>
      <c r="O1846" s="332"/>
      <c r="P1846" s="1116"/>
      <c r="Q1846" s="1117"/>
      <c r="R1846" s="1116"/>
      <c r="S1846" s="1103"/>
      <c r="T1846" s="1639"/>
      <c r="U1846" s="177"/>
      <c r="V1846" s="2866"/>
      <c r="W1846" s="909"/>
      <c r="X1846" s="908"/>
      <c r="Y1846" s="908">
        <v>510</v>
      </c>
      <c r="Z1846" s="909"/>
      <c r="AA1846" s="909"/>
      <c r="AB1846" s="909"/>
      <c r="AC1846" s="909"/>
      <c r="AD1846" s="909"/>
      <c r="AE1846" s="909"/>
      <c r="AF1846" s="909"/>
      <c r="AG1846" s="909"/>
      <c r="BB1846" s="784"/>
      <c r="BC1846" s="785"/>
      <c r="BD1846" s="900"/>
      <c r="BE1846" s="797"/>
    </row>
    <row r="1847" spans="1:57" s="65" customFormat="1" ht="15" hidden="1" customHeight="1" outlineLevel="1" x14ac:dyDescent="0.25">
      <c r="A1847" s="718"/>
      <c r="B1847" s="177"/>
      <c r="C1847" s="455"/>
      <c r="D1847" s="2806"/>
      <c r="E1847" s="2856"/>
      <c r="F1847" s="2908" t="str">
        <f>$E$1498</f>
        <v>ASHP - SEER 21 - replace electric furnace / CAC - early replacement MF ER2_CompE</v>
      </c>
      <c r="G1847" s="2909"/>
      <c r="H1847" s="2909"/>
      <c r="I1847" s="2910"/>
      <c r="J1847" s="1657" t="str">
        <f>$C$1498</f>
        <v>353601_2019_12_</v>
      </c>
      <c r="K1847" s="1663">
        <v>510</v>
      </c>
      <c r="L1847" s="1124"/>
      <c r="M1847" s="2101" t="s">
        <v>953</v>
      </c>
      <c r="N1847" s="177"/>
      <c r="O1847" s="332"/>
      <c r="P1847" s="1116"/>
      <c r="Q1847" s="1117"/>
      <c r="R1847" s="1116"/>
      <c r="S1847" s="1103"/>
      <c r="T1847" s="1639"/>
      <c r="U1847" s="177"/>
      <c r="V1847" s="2866"/>
      <c r="W1847" s="909"/>
      <c r="X1847" s="908"/>
      <c r="Y1847" s="908">
        <v>510</v>
      </c>
      <c r="Z1847" s="909"/>
      <c r="AA1847" s="909"/>
      <c r="AB1847" s="909"/>
      <c r="AC1847" s="909"/>
      <c r="AD1847" s="909"/>
      <c r="AE1847" s="909"/>
      <c r="AF1847" s="909"/>
      <c r="AG1847" s="909"/>
      <c r="BB1847" s="784"/>
      <c r="BC1847" s="785"/>
      <c r="BD1847" s="900"/>
      <c r="BE1847" s="797"/>
    </row>
    <row r="1848" spans="1:57" s="65" customFormat="1" ht="15" hidden="1" customHeight="1" outlineLevel="1" x14ac:dyDescent="0.25">
      <c r="A1848" s="718"/>
      <c r="B1848" s="177"/>
      <c r="C1848" s="455"/>
      <c r="D1848" s="2806"/>
      <c r="E1848" s="2856"/>
      <c r="F1848" s="2908" t="str">
        <f>$E$1500</f>
        <v>ASHP - SEER 21 - replace electric furnace / CAC SF</v>
      </c>
      <c r="G1848" s="2909"/>
      <c r="H1848" s="2909"/>
      <c r="I1848" s="2910"/>
      <c r="J1848" s="1657" t="str">
        <f>$C$1500</f>
        <v>353650_2019_12_</v>
      </c>
      <c r="K1848" s="1663">
        <v>1496</v>
      </c>
      <c r="L1848" s="1124"/>
      <c r="M1848" s="2101"/>
      <c r="N1848" s="177"/>
      <c r="O1848" s="332"/>
      <c r="P1848" s="1116"/>
      <c r="Q1848" s="1117"/>
      <c r="R1848" s="1116"/>
      <c r="S1848" s="1103"/>
      <c r="T1848" s="1639"/>
      <c r="U1848" s="177"/>
      <c r="V1848" s="2866"/>
      <c r="W1848" s="909">
        <v>2009</v>
      </c>
      <c r="X1848" s="908">
        <v>1496</v>
      </c>
      <c r="Y1848" s="909">
        <v>1496</v>
      </c>
      <c r="Z1848" s="909"/>
      <c r="AA1848" s="909"/>
      <c r="AB1848" s="909"/>
      <c r="AC1848" s="909"/>
      <c r="AD1848" s="909"/>
      <c r="AE1848" s="909"/>
      <c r="AF1848" s="909"/>
      <c r="AG1848" s="909"/>
      <c r="BB1848" s="784"/>
      <c r="BC1848" s="785"/>
      <c r="BD1848" s="900"/>
      <c r="BE1848" s="797"/>
    </row>
    <row r="1849" spans="1:57" s="65" customFormat="1" ht="15" hidden="1" customHeight="1" outlineLevel="1" x14ac:dyDescent="0.25">
      <c r="A1849" s="718"/>
      <c r="B1849" s="177"/>
      <c r="C1849" s="455"/>
      <c r="D1849" s="2806"/>
      <c r="E1849" s="2856"/>
      <c r="F1849" s="2908" t="str">
        <f>$E$1502</f>
        <v>ASHP-  SEER 21+ replace at Fail Elec Resist Furnace MF</v>
      </c>
      <c r="G1849" s="2909"/>
      <c r="H1849" s="2909"/>
      <c r="I1849" s="2910"/>
      <c r="J1849" s="1657" t="str">
        <f>$C$1502</f>
        <v>353700_2019_12_</v>
      </c>
      <c r="K1849" s="1663">
        <v>1496</v>
      </c>
      <c r="L1849" s="1124"/>
      <c r="M1849" s="2101"/>
      <c r="N1849" s="177"/>
      <c r="O1849" s="332"/>
      <c r="P1849" s="1116"/>
      <c r="Q1849" s="1117"/>
      <c r="R1849" s="1116"/>
      <c r="S1849" s="1103"/>
      <c r="T1849" s="1639"/>
      <c r="U1849" s="177"/>
      <c r="V1849" s="2866"/>
      <c r="W1849" s="909">
        <v>2009</v>
      </c>
      <c r="X1849" s="908">
        <v>1496</v>
      </c>
      <c r="Y1849" s="909">
        <v>1496</v>
      </c>
      <c r="Z1849" s="909"/>
      <c r="AA1849" s="909"/>
      <c r="AB1849" s="909"/>
      <c r="AC1849" s="909"/>
      <c r="AD1849" s="909"/>
      <c r="AE1849" s="909"/>
      <c r="AF1849" s="909"/>
      <c r="AG1849" s="909"/>
      <c r="BB1849" s="784"/>
      <c r="BC1849" s="785"/>
      <c r="BD1849" s="900"/>
      <c r="BE1849" s="797"/>
    </row>
    <row r="1850" spans="1:57" s="65" customFormat="1" ht="15" hidden="1" customHeight="1" outlineLevel="1" x14ac:dyDescent="0.25">
      <c r="A1850" s="718"/>
      <c r="B1850" s="177"/>
      <c r="C1850" s="455"/>
      <c r="D1850" s="2806"/>
      <c r="E1850" s="2856"/>
      <c r="F1850" s="2908" t="str">
        <f>$E$1504</f>
        <v>ASHP-  SEER 21+ replace at Fail Elec Resist Furnace MF_CompE</v>
      </c>
      <c r="G1850" s="2909"/>
      <c r="H1850" s="2909"/>
      <c r="I1850" s="2910"/>
      <c r="J1850" s="1657" t="str">
        <f>$C$1504</f>
        <v>353701_2019_12_</v>
      </c>
      <c r="K1850" s="1663">
        <v>510</v>
      </c>
      <c r="L1850" s="1124"/>
      <c r="M1850" s="2101" t="s">
        <v>953</v>
      </c>
      <c r="N1850" s="177"/>
      <c r="O1850" s="332"/>
      <c r="P1850" s="1116"/>
      <c r="Q1850" s="1117"/>
      <c r="R1850" s="1116"/>
      <c r="S1850" s="1103"/>
      <c r="T1850" s="1639"/>
      <c r="U1850" s="177"/>
      <c r="V1850" s="2866"/>
      <c r="W1850" s="909"/>
      <c r="X1850" s="908"/>
      <c r="Y1850" s="909">
        <v>510</v>
      </c>
      <c r="Z1850" s="909"/>
      <c r="AA1850" s="909"/>
      <c r="AB1850" s="909"/>
      <c r="AC1850" s="909"/>
      <c r="AD1850" s="909"/>
      <c r="AE1850" s="909"/>
      <c r="AF1850" s="909"/>
      <c r="AG1850" s="909"/>
      <c r="BB1850" s="784"/>
      <c r="BC1850" s="785"/>
      <c r="BD1850" s="900"/>
      <c r="BE1850" s="797"/>
    </row>
    <row r="1851" spans="1:57" s="65" customFormat="1" ht="15" hidden="1" customHeight="1" outlineLevel="1" x14ac:dyDescent="0.25">
      <c r="A1851" s="718"/>
      <c r="B1851" s="177"/>
      <c r="C1851" s="455"/>
      <c r="D1851" s="2806"/>
      <c r="E1851" s="2856"/>
      <c r="F1851" s="2908" t="str">
        <f>$E$1506</f>
        <v>ASHP SEER 17 replace ASHP - early replacement SF ER1</v>
      </c>
      <c r="G1851" s="2909"/>
      <c r="H1851" s="2909"/>
      <c r="I1851" s="2910"/>
      <c r="J1851" s="1657" t="str">
        <f>$C$1506</f>
        <v>353750_2019_12_</v>
      </c>
      <c r="K1851" s="1663">
        <v>1496</v>
      </c>
      <c r="L1851" s="1124"/>
      <c r="M1851" s="2101"/>
      <c r="N1851" s="177"/>
      <c r="O1851" s="332"/>
      <c r="P1851" s="1116"/>
      <c r="Q1851" s="1117"/>
      <c r="R1851" s="1116"/>
      <c r="S1851" s="1103"/>
      <c r="T1851" s="1639"/>
      <c r="U1851" s="177"/>
      <c r="V1851" s="2866"/>
      <c r="W1851" s="909">
        <v>2009</v>
      </c>
      <c r="X1851" s="908">
        <v>1496</v>
      </c>
      <c r="Y1851" s="909">
        <v>1496</v>
      </c>
      <c r="Z1851" s="909"/>
      <c r="AA1851" s="909"/>
      <c r="AB1851" s="909"/>
      <c r="AC1851" s="909"/>
      <c r="AD1851" s="909"/>
      <c r="AE1851" s="909"/>
      <c r="AF1851" s="909"/>
      <c r="AG1851" s="909"/>
      <c r="BB1851" s="784"/>
      <c r="BC1851" s="785"/>
      <c r="BD1851" s="900"/>
      <c r="BE1851" s="797"/>
    </row>
    <row r="1852" spans="1:57" s="65" customFormat="1" ht="15" hidden="1" customHeight="1" outlineLevel="1" x14ac:dyDescent="0.25">
      <c r="A1852" s="785"/>
      <c r="B1852" s="177"/>
      <c r="C1852" s="455"/>
      <c r="D1852" s="2806"/>
      <c r="E1852" s="2856"/>
      <c r="F1852" s="2908" t="str">
        <f>$E$1508</f>
        <v>ASHP SEER 17 replace ASHP - early replacement SF ER2</v>
      </c>
      <c r="G1852" s="2909"/>
      <c r="H1852" s="2909"/>
      <c r="I1852" s="2910"/>
      <c r="J1852" s="1657" t="str">
        <f>$C$1508</f>
        <v>353750_2019_12_</v>
      </c>
      <c r="K1852" s="1663">
        <v>1496</v>
      </c>
      <c r="L1852" s="1124"/>
      <c r="M1852" s="2101"/>
      <c r="N1852" s="177"/>
      <c r="O1852" s="332"/>
      <c r="P1852" s="332"/>
      <c r="Q1852" s="332"/>
      <c r="R1852" s="332"/>
      <c r="S1852" s="177"/>
      <c r="T1852" s="177"/>
      <c r="U1852" s="177"/>
      <c r="V1852" s="2866"/>
      <c r="W1852" s="909">
        <v>2009</v>
      </c>
      <c r="X1852" s="908">
        <v>1496</v>
      </c>
      <c r="Y1852" s="909">
        <v>1496</v>
      </c>
      <c r="Z1852" s="909"/>
      <c r="AA1852" s="909"/>
      <c r="AB1852" s="909"/>
      <c r="AC1852" s="909"/>
      <c r="AD1852" s="909"/>
      <c r="AE1852" s="909"/>
      <c r="AF1852" s="909"/>
      <c r="AG1852" s="909"/>
      <c r="BB1852" s="784"/>
      <c r="BC1852" s="785"/>
      <c r="BD1852" s="900"/>
      <c r="BE1852" s="797"/>
    </row>
    <row r="1853" spans="1:57" s="65" customFormat="1" ht="15" hidden="1" customHeight="1" outlineLevel="1" x14ac:dyDescent="0.25">
      <c r="A1853" s="718"/>
      <c r="B1853" s="177"/>
      <c r="C1853" s="455"/>
      <c r="D1853" s="2806"/>
      <c r="E1853" s="2856"/>
      <c r="F1853" s="2908" t="str">
        <f>$E$1510</f>
        <v>ASHP SEER 17 replace ASHP - replace on fail SF</v>
      </c>
      <c r="G1853" s="2909"/>
      <c r="H1853" s="2909"/>
      <c r="I1853" s="2910"/>
      <c r="J1853" s="1657" t="str">
        <f>$C$1510</f>
        <v>353800_2019_12_</v>
      </c>
      <c r="K1853" s="1663">
        <v>1496</v>
      </c>
      <c r="L1853" s="1124"/>
      <c r="M1853" s="2101"/>
      <c r="N1853" s="177"/>
      <c r="O1853" s="332"/>
      <c r="P1853" s="1116"/>
      <c r="Q1853" s="1117"/>
      <c r="R1853" s="1116"/>
      <c r="S1853" s="1103"/>
      <c r="T1853" s="1639"/>
      <c r="U1853" s="177"/>
      <c r="V1853" s="2866"/>
      <c r="W1853" s="909">
        <v>2009</v>
      </c>
      <c r="X1853" s="908">
        <v>1496</v>
      </c>
      <c r="Y1853" s="909">
        <v>1496</v>
      </c>
      <c r="Z1853" s="909"/>
      <c r="AA1853" s="909"/>
      <c r="AB1853" s="909"/>
      <c r="AC1853" s="909"/>
      <c r="AD1853" s="909"/>
      <c r="AE1853" s="909"/>
      <c r="AF1853" s="909"/>
      <c r="AG1853" s="909"/>
      <c r="BB1853" s="784"/>
      <c r="BC1853" s="785"/>
      <c r="BD1853" s="900"/>
      <c r="BE1853" s="797"/>
    </row>
    <row r="1854" spans="1:57" s="65" customFormat="1" ht="15" hidden="1" customHeight="1" outlineLevel="1" x14ac:dyDescent="0.25">
      <c r="A1854" s="785"/>
      <c r="B1854" s="177"/>
      <c r="C1854" s="455"/>
      <c r="D1854" s="2806"/>
      <c r="E1854" s="2856"/>
      <c r="F1854" s="2908" t="str">
        <f>$E$1512</f>
        <v>ASHP SEER 18 replace ASHP - early replacement SF ER1</v>
      </c>
      <c r="G1854" s="2909"/>
      <c r="H1854" s="2909"/>
      <c r="I1854" s="2910"/>
      <c r="J1854" s="1657" t="str">
        <f>$C$1512</f>
        <v>353850_2019_12_</v>
      </c>
      <c r="K1854" s="1663">
        <v>1496</v>
      </c>
      <c r="L1854" s="1124"/>
      <c r="M1854" s="2101"/>
      <c r="N1854" s="177"/>
      <c r="O1854" s="332"/>
      <c r="P1854" s="332"/>
      <c r="Q1854" s="332"/>
      <c r="R1854" s="332"/>
      <c r="S1854" s="177"/>
      <c r="T1854" s="177"/>
      <c r="U1854" s="177"/>
      <c r="V1854" s="2866"/>
      <c r="W1854" s="909">
        <v>2009</v>
      </c>
      <c r="X1854" s="908">
        <v>1496</v>
      </c>
      <c r="Y1854" s="909">
        <v>1496</v>
      </c>
      <c r="Z1854" s="909"/>
      <c r="AA1854" s="909"/>
      <c r="AB1854" s="909"/>
      <c r="AC1854" s="909"/>
      <c r="AD1854" s="909"/>
      <c r="AE1854" s="909"/>
      <c r="AF1854" s="909"/>
      <c r="AG1854" s="909"/>
      <c r="BB1854" s="784"/>
      <c r="BC1854" s="785"/>
      <c r="BD1854" s="900"/>
      <c r="BE1854" s="797"/>
    </row>
    <row r="1855" spans="1:57" s="65" customFormat="1" ht="15" hidden="1" customHeight="1" outlineLevel="1" x14ac:dyDescent="0.25">
      <c r="A1855" s="718"/>
      <c r="B1855" s="177"/>
      <c r="C1855" s="455"/>
      <c r="D1855" s="2806"/>
      <c r="E1855" s="2856"/>
      <c r="F1855" s="2908" t="str">
        <f>$E$1514</f>
        <v>ASHP SEER 18 replace ASHP - early replacement SF ER2</v>
      </c>
      <c r="G1855" s="2909"/>
      <c r="H1855" s="2909"/>
      <c r="I1855" s="2910"/>
      <c r="J1855" s="1657" t="str">
        <f>$C$1514</f>
        <v>353850_2019_12_</v>
      </c>
      <c r="K1855" s="1663">
        <v>1496</v>
      </c>
      <c r="L1855" s="1124"/>
      <c r="M1855" s="2101"/>
      <c r="N1855" s="177"/>
      <c r="O1855" s="332"/>
      <c r="P1855" s="1116"/>
      <c r="Q1855" s="1117"/>
      <c r="R1855" s="1116"/>
      <c r="S1855" s="1103"/>
      <c r="T1855" s="1639"/>
      <c r="U1855" s="177"/>
      <c r="V1855" s="2866"/>
      <c r="W1855" s="909">
        <v>2009</v>
      </c>
      <c r="X1855" s="908">
        <v>1496</v>
      </c>
      <c r="Y1855" s="909">
        <v>1496</v>
      </c>
      <c r="Z1855" s="909"/>
      <c r="AA1855" s="909"/>
      <c r="AB1855" s="909"/>
      <c r="AC1855" s="909"/>
      <c r="AD1855" s="909"/>
      <c r="AE1855" s="909"/>
      <c r="AF1855" s="909"/>
      <c r="AG1855" s="909"/>
      <c r="BB1855" s="784"/>
      <c r="BC1855" s="785"/>
      <c r="BD1855" s="900"/>
      <c r="BE1855" s="797"/>
    </row>
    <row r="1856" spans="1:57" s="65" customFormat="1" ht="15" hidden="1" customHeight="1" outlineLevel="1" x14ac:dyDescent="0.25">
      <c r="A1856" s="785"/>
      <c r="B1856" s="177"/>
      <c r="C1856" s="455"/>
      <c r="D1856" s="2806"/>
      <c r="E1856" s="2856"/>
      <c r="F1856" s="2908" t="str">
        <f>$E$1516</f>
        <v>ASHP - SEER 18 - replace on fail SF</v>
      </c>
      <c r="G1856" s="2909"/>
      <c r="H1856" s="2909"/>
      <c r="I1856" s="2910"/>
      <c r="J1856" s="1657" t="str">
        <f>$C$1516</f>
        <v>353950_2019_12_</v>
      </c>
      <c r="K1856" s="1663">
        <v>1496</v>
      </c>
      <c r="L1856" s="1124"/>
      <c r="M1856" s="2101"/>
      <c r="N1856" s="177"/>
      <c r="O1856" s="332"/>
      <c r="P1856" s="332"/>
      <c r="Q1856" s="332"/>
      <c r="R1856" s="332"/>
      <c r="S1856" s="177"/>
      <c r="T1856" s="177"/>
      <c r="U1856" s="177"/>
      <c r="V1856" s="2866"/>
      <c r="W1856" s="909">
        <v>2009</v>
      </c>
      <c r="X1856" s="908">
        <v>1496</v>
      </c>
      <c r="Y1856" s="909">
        <v>1496</v>
      </c>
      <c r="Z1856" s="909"/>
      <c r="AA1856" s="909"/>
      <c r="AB1856" s="909"/>
      <c r="AC1856" s="909"/>
      <c r="AD1856" s="909"/>
      <c r="AE1856" s="909"/>
      <c r="AF1856" s="909"/>
      <c r="AG1856" s="909"/>
      <c r="BB1856" s="784"/>
      <c r="BC1856" s="785"/>
      <c r="BD1856" s="900"/>
      <c r="BE1856" s="797"/>
    </row>
    <row r="1857" spans="1:57" s="65" customFormat="1" ht="15" hidden="1" customHeight="1" outlineLevel="1" x14ac:dyDescent="0.25">
      <c r="A1857" s="718"/>
      <c r="B1857" s="177"/>
      <c r="C1857" s="455"/>
      <c r="D1857" s="2806"/>
      <c r="E1857" s="2856"/>
      <c r="F1857" s="2908" t="str">
        <f>$E$1518</f>
        <v>ASHP SEER 19 replace ASHP - early replacement SF ER1</v>
      </c>
      <c r="G1857" s="2909"/>
      <c r="H1857" s="2909"/>
      <c r="I1857" s="2910"/>
      <c r="J1857" s="1657" t="str">
        <f>$C$1518</f>
        <v>354000_2019_12_</v>
      </c>
      <c r="K1857" s="1663">
        <v>1496</v>
      </c>
      <c r="L1857" s="1124"/>
      <c r="M1857" s="2101"/>
      <c r="N1857" s="177"/>
      <c r="O1857" s="332"/>
      <c r="P1857" s="1116"/>
      <c r="Q1857" s="1117"/>
      <c r="R1857" s="1116"/>
      <c r="S1857" s="1103"/>
      <c r="T1857" s="1639"/>
      <c r="U1857" s="177"/>
      <c r="V1857" s="2866"/>
      <c r="W1857" s="909">
        <v>2009</v>
      </c>
      <c r="X1857" s="908">
        <v>1496</v>
      </c>
      <c r="Y1857" s="909">
        <v>1496</v>
      </c>
      <c r="Z1857" s="909"/>
      <c r="AA1857" s="909"/>
      <c r="AB1857" s="909"/>
      <c r="AC1857" s="909"/>
      <c r="AD1857" s="909"/>
      <c r="AE1857" s="909"/>
      <c r="AF1857" s="909"/>
      <c r="AG1857" s="909"/>
      <c r="BB1857" s="784"/>
      <c r="BC1857" s="785"/>
      <c r="BD1857" s="900"/>
      <c r="BE1857" s="797"/>
    </row>
    <row r="1858" spans="1:57" s="65" customFormat="1" ht="15" hidden="1" customHeight="1" outlineLevel="1" x14ac:dyDescent="0.25">
      <c r="A1858" s="718"/>
      <c r="B1858" s="177"/>
      <c r="C1858" s="455"/>
      <c r="D1858" s="2806"/>
      <c r="E1858" s="2856"/>
      <c r="F1858" s="2908" t="str">
        <f>$E$1520</f>
        <v>ASHP SEER 19 replace ASHP - early replacement SF ER2</v>
      </c>
      <c r="G1858" s="2909"/>
      <c r="H1858" s="2909"/>
      <c r="I1858" s="2910"/>
      <c r="J1858" s="1657" t="str">
        <f>$C$1520</f>
        <v>354000_2019_12_</v>
      </c>
      <c r="K1858" s="1663">
        <v>1496</v>
      </c>
      <c r="L1858" s="1124"/>
      <c r="M1858" s="2101"/>
      <c r="N1858" s="177"/>
      <c r="O1858" s="332"/>
      <c r="P1858" s="1116"/>
      <c r="Q1858" s="1117"/>
      <c r="R1858" s="1116"/>
      <c r="S1858" s="1103"/>
      <c r="T1858" s="1639"/>
      <c r="U1858" s="177"/>
      <c r="V1858" s="2866"/>
      <c r="W1858" s="909">
        <v>2009</v>
      </c>
      <c r="X1858" s="908">
        <v>1496</v>
      </c>
      <c r="Y1858" s="909">
        <v>1496</v>
      </c>
      <c r="Z1858" s="909"/>
      <c r="AA1858" s="909"/>
      <c r="AB1858" s="909"/>
      <c r="AC1858" s="909"/>
      <c r="AD1858" s="909"/>
      <c r="AE1858" s="909"/>
      <c r="AF1858" s="909"/>
      <c r="AG1858" s="909"/>
      <c r="BB1858" s="784"/>
      <c r="BC1858" s="785"/>
      <c r="BD1858" s="900"/>
      <c r="BE1858" s="797"/>
    </row>
    <row r="1859" spans="1:57" s="65" customFormat="1" ht="15" hidden="1" customHeight="1" outlineLevel="1" x14ac:dyDescent="0.25">
      <c r="A1859" s="785"/>
      <c r="B1859" s="177"/>
      <c r="C1859" s="455"/>
      <c r="D1859" s="2806"/>
      <c r="E1859" s="2856"/>
      <c r="F1859" s="2908" t="str">
        <f>$E$1522</f>
        <v>ASHP SEER 19 replace ASHP - replace on fail SF</v>
      </c>
      <c r="G1859" s="2909"/>
      <c r="H1859" s="2909"/>
      <c r="I1859" s="2910"/>
      <c r="J1859" s="1657" t="str">
        <f>$C$1522</f>
        <v>354050_2019_12_</v>
      </c>
      <c r="K1859" s="1663">
        <v>1496</v>
      </c>
      <c r="L1859" s="1124"/>
      <c r="M1859" s="2101"/>
      <c r="N1859" s="177"/>
      <c r="O1859" s="332"/>
      <c r="P1859" s="332"/>
      <c r="Q1859" s="332"/>
      <c r="R1859" s="332"/>
      <c r="S1859" s="177"/>
      <c r="T1859" s="177"/>
      <c r="U1859" s="177"/>
      <c r="V1859" s="2866"/>
      <c r="W1859" s="909">
        <v>2009</v>
      </c>
      <c r="X1859" s="908">
        <v>1496</v>
      </c>
      <c r="Y1859" s="909">
        <v>1496</v>
      </c>
      <c r="Z1859" s="909"/>
      <c r="AA1859" s="909"/>
      <c r="AB1859" s="909"/>
      <c r="AC1859" s="909"/>
      <c r="AD1859" s="909"/>
      <c r="AE1859" s="909"/>
      <c r="AF1859" s="909"/>
      <c r="AG1859" s="909"/>
      <c r="BB1859" s="784"/>
      <c r="BC1859" s="785"/>
      <c r="BD1859" s="900"/>
      <c r="BE1859" s="797"/>
    </row>
    <row r="1860" spans="1:57" s="65" customFormat="1" ht="15" hidden="1" customHeight="1" outlineLevel="1" x14ac:dyDescent="0.25">
      <c r="A1860" s="785"/>
      <c r="B1860" s="177"/>
      <c r="C1860" s="455"/>
      <c r="D1860" s="2806"/>
      <c r="E1860" s="2856"/>
      <c r="F1860" s="2908" t="str">
        <f>$E$1524</f>
        <v>ASHP - SEER 17 - replace electric furnace / CAC - early replacement SF ER1</v>
      </c>
      <c r="G1860" s="2909"/>
      <c r="H1860" s="2909"/>
      <c r="I1860" s="2910"/>
      <c r="J1860" s="1657" t="str">
        <f>$C$1524</f>
        <v>354100_2019_12_</v>
      </c>
      <c r="K1860" s="1663">
        <v>1496</v>
      </c>
      <c r="L1860" s="1124"/>
      <c r="M1860" s="2101"/>
      <c r="N1860" s="177"/>
      <c r="O1860" s="332"/>
      <c r="P1860" s="332"/>
      <c r="Q1860" s="332"/>
      <c r="R1860" s="332"/>
      <c r="S1860" s="177"/>
      <c r="T1860" s="177"/>
      <c r="U1860" s="177"/>
      <c r="V1860" s="2866"/>
      <c r="W1860" s="909">
        <v>2009</v>
      </c>
      <c r="X1860" s="908">
        <v>1496</v>
      </c>
      <c r="Y1860" s="909">
        <v>1496</v>
      </c>
      <c r="Z1860" s="909"/>
      <c r="AA1860" s="909"/>
      <c r="AB1860" s="909"/>
      <c r="AC1860" s="909"/>
      <c r="AD1860" s="909"/>
      <c r="AE1860" s="909"/>
      <c r="AF1860" s="909"/>
      <c r="AG1860" s="909"/>
      <c r="BB1860" s="784"/>
      <c r="BC1860" s="785"/>
      <c r="BD1860" s="900"/>
      <c r="BE1860" s="797"/>
    </row>
    <row r="1861" spans="1:57" s="65" customFormat="1" ht="15" hidden="1" customHeight="1" outlineLevel="1" x14ac:dyDescent="0.25">
      <c r="A1861" s="785"/>
      <c r="B1861" s="177"/>
      <c r="C1861" s="455"/>
      <c r="D1861" s="2806"/>
      <c r="E1861" s="2856"/>
      <c r="F1861" s="2908" t="str">
        <f>$E$1526</f>
        <v>ASHP - SEER 17 - replace electric furnace / CAC - early replacement SF ER2</v>
      </c>
      <c r="G1861" s="2909"/>
      <c r="H1861" s="2909"/>
      <c r="I1861" s="2910"/>
      <c r="J1861" s="1657" t="str">
        <f>$C$1526</f>
        <v>354100_2019_12_</v>
      </c>
      <c r="K1861" s="1663">
        <v>1496</v>
      </c>
      <c r="L1861" s="1124"/>
      <c r="M1861" s="2101"/>
      <c r="N1861" s="177"/>
      <c r="O1861" s="332"/>
      <c r="P1861" s="332"/>
      <c r="Q1861" s="332"/>
      <c r="R1861" s="332"/>
      <c r="S1861" s="177"/>
      <c r="T1861" s="177"/>
      <c r="U1861" s="177"/>
      <c r="V1861" s="2866"/>
      <c r="W1861" s="909">
        <v>2009</v>
      </c>
      <c r="X1861" s="908">
        <v>1496</v>
      </c>
      <c r="Y1861" s="909">
        <v>1496</v>
      </c>
      <c r="Z1861" s="909"/>
      <c r="AA1861" s="909"/>
      <c r="AB1861" s="909"/>
      <c r="AC1861" s="909"/>
      <c r="AD1861" s="909"/>
      <c r="AE1861" s="909"/>
      <c r="AF1861" s="909"/>
      <c r="AG1861" s="909"/>
      <c r="BB1861" s="784"/>
      <c r="BC1861" s="785"/>
      <c r="BD1861" s="900"/>
      <c r="BE1861" s="797"/>
    </row>
    <row r="1862" spans="1:57" s="65" customFormat="1" ht="15" hidden="1" customHeight="1" outlineLevel="1" x14ac:dyDescent="0.25">
      <c r="A1862" s="785"/>
      <c r="B1862" s="177"/>
      <c r="C1862" s="455"/>
      <c r="D1862" s="2806"/>
      <c r="E1862" s="2856"/>
      <c r="F1862" s="2908" t="str">
        <f>$E$1528</f>
        <v>ASHP - SEER 17 - replace electric furnace / CAC - early replacement MF ER1</v>
      </c>
      <c r="G1862" s="2909"/>
      <c r="H1862" s="2909"/>
      <c r="I1862" s="2910"/>
      <c r="J1862" s="1657" t="str">
        <f>$C$1528</f>
        <v>354150_2019_12_</v>
      </c>
      <c r="K1862" s="1663">
        <v>1496</v>
      </c>
      <c r="L1862" s="1124"/>
      <c r="M1862" s="2101"/>
      <c r="N1862" s="177"/>
      <c r="O1862" s="332"/>
      <c r="P1862" s="332"/>
      <c r="Q1862" s="332"/>
      <c r="R1862" s="332"/>
      <c r="S1862" s="177"/>
      <c r="T1862" s="177"/>
      <c r="U1862" s="177"/>
      <c r="V1862" s="2866"/>
      <c r="W1862" s="909">
        <v>2009</v>
      </c>
      <c r="X1862" s="908">
        <v>1496</v>
      </c>
      <c r="Y1862" s="909">
        <v>1496</v>
      </c>
      <c r="Z1862" s="909"/>
      <c r="AA1862" s="909"/>
      <c r="AB1862" s="909"/>
      <c r="AC1862" s="909"/>
      <c r="AD1862" s="909"/>
      <c r="AE1862" s="909"/>
      <c r="AF1862" s="909"/>
      <c r="AG1862" s="909"/>
      <c r="BB1862" s="784"/>
      <c r="BC1862" s="785"/>
      <c r="BD1862" s="900"/>
      <c r="BE1862" s="797"/>
    </row>
    <row r="1863" spans="1:57" s="65" customFormat="1" ht="15" hidden="1" customHeight="1" outlineLevel="1" x14ac:dyDescent="0.25">
      <c r="A1863" s="785"/>
      <c r="B1863" s="177"/>
      <c r="C1863" s="455"/>
      <c r="D1863" s="2806"/>
      <c r="E1863" s="2856"/>
      <c r="F1863" s="2908" t="str">
        <f>$E$1530</f>
        <v>ASHP - SEER 17 - replace electric furnace / CAC - early replacement MF ER2</v>
      </c>
      <c r="G1863" s="2909"/>
      <c r="H1863" s="2909"/>
      <c r="I1863" s="2910"/>
      <c r="J1863" s="1657" t="str">
        <f>$C$1530</f>
        <v>354150_2019_12_</v>
      </c>
      <c r="K1863" s="1663">
        <v>1496</v>
      </c>
      <c r="L1863" s="1124"/>
      <c r="M1863" s="2101"/>
      <c r="N1863" s="177"/>
      <c r="O1863" s="332"/>
      <c r="P1863" s="332"/>
      <c r="Q1863" s="332"/>
      <c r="R1863" s="332"/>
      <c r="S1863" s="177"/>
      <c r="T1863" s="177"/>
      <c r="U1863" s="177"/>
      <c r="V1863" s="2866"/>
      <c r="W1863" s="909">
        <v>2009</v>
      </c>
      <c r="X1863" s="908">
        <v>1496</v>
      </c>
      <c r="Y1863" s="909">
        <v>1496</v>
      </c>
      <c r="Z1863" s="909"/>
      <c r="AA1863" s="909"/>
      <c r="AB1863" s="909"/>
      <c r="AC1863" s="909"/>
      <c r="AD1863" s="909"/>
      <c r="AE1863" s="909"/>
      <c r="AF1863" s="909"/>
      <c r="AG1863" s="909"/>
      <c r="BB1863" s="784"/>
      <c r="BC1863" s="785"/>
      <c r="BD1863" s="900"/>
      <c r="BE1863" s="797"/>
    </row>
    <row r="1864" spans="1:57" s="65" customFormat="1" ht="15" hidden="1" customHeight="1" outlineLevel="1" x14ac:dyDescent="0.25">
      <c r="A1864" s="785"/>
      <c r="B1864" s="177"/>
      <c r="C1864" s="455"/>
      <c r="D1864" s="2806"/>
      <c r="E1864" s="2856"/>
      <c r="F1864" s="2908" t="str">
        <f>$E$1532</f>
        <v>ASHP - SEER 17 - replace electric furnace / CAC - early replacement MF ER1_CompE</v>
      </c>
      <c r="G1864" s="2909"/>
      <c r="H1864" s="2909"/>
      <c r="I1864" s="2910"/>
      <c r="J1864" s="1657" t="str">
        <f>$C$1532</f>
        <v>354151_2019_12_</v>
      </c>
      <c r="K1864" s="1663">
        <v>510</v>
      </c>
      <c r="L1864" s="1124"/>
      <c r="M1864" s="2101" t="s">
        <v>953</v>
      </c>
      <c r="N1864" s="177"/>
      <c r="O1864" s="332"/>
      <c r="P1864" s="332"/>
      <c r="Q1864" s="332"/>
      <c r="R1864" s="332"/>
      <c r="S1864" s="177"/>
      <c r="T1864" s="177"/>
      <c r="U1864" s="177"/>
      <c r="V1864" s="2866"/>
      <c r="W1864" s="909"/>
      <c r="X1864" s="908"/>
      <c r="Y1864" s="908">
        <v>510</v>
      </c>
      <c r="Z1864" s="909"/>
      <c r="AA1864" s="909"/>
      <c r="AB1864" s="909"/>
      <c r="AC1864" s="909"/>
      <c r="AD1864" s="909"/>
      <c r="AE1864" s="909"/>
      <c r="AF1864" s="909"/>
      <c r="AG1864" s="909"/>
      <c r="BB1864" s="784"/>
      <c r="BC1864" s="785"/>
      <c r="BD1864" s="900"/>
      <c r="BE1864" s="797"/>
    </row>
    <row r="1865" spans="1:57" s="65" customFormat="1" ht="15" hidden="1" customHeight="1" outlineLevel="1" x14ac:dyDescent="0.25">
      <c r="A1865" s="785"/>
      <c r="B1865" s="177"/>
      <c r="C1865" s="455"/>
      <c r="D1865" s="2806"/>
      <c r="E1865" s="2856"/>
      <c r="F1865" s="2908" t="str">
        <f>$E$1534</f>
        <v>ASHP - SEER 17 - replace electric furnace / CAC - early replacement MF ER2_CompE</v>
      </c>
      <c r="G1865" s="2909"/>
      <c r="H1865" s="2909"/>
      <c r="I1865" s="2910"/>
      <c r="J1865" s="1657" t="str">
        <f>$C$1534</f>
        <v>354151_2019_12_</v>
      </c>
      <c r="K1865" s="1663">
        <v>510</v>
      </c>
      <c r="L1865" s="1124"/>
      <c r="M1865" s="2101" t="s">
        <v>953</v>
      </c>
      <c r="N1865" s="177"/>
      <c r="O1865" s="332"/>
      <c r="P1865" s="332"/>
      <c r="Q1865" s="332"/>
      <c r="R1865" s="332"/>
      <c r="S1865" s="177"/>
      <c r="T1865" s="177"/>
      <c r="U1865" s="177"/>
      <c r="V1865" s="2866"/>
      <c r="W1865" s="909"/>
      <c r="X1865" s="908"/>
      <c r="Y1865" s="908">
        <v>510</v>
      </c>
      <c r="Z1865" s="909"/>
      <c r="AA1865" s="909"/>
      <c r="AB1865" s="909"/>
      <c r="AC1865" s="909"/>
      <c r="AD1865" s="909"/>
      <c r="AE1865" s="909"/>
      <c r="AF1865" s="909"/>
      <c r="AG1865" s="909"/>
      <c r="BB1865" s="784"/>
      <c r="BC1865" s="785"/>
      <c r="BD1865" s="900"/>
      <c r="BE1865" s="797"/>
    </row>
    <row r="1866" spans="1:57" s="65" customFormat="1" ht="15" hidden="1" customHeight="1" outlineLevel="1" x14ac:dyDescent="0.25">
      <c r="A1866" s="785"/>
      <c r="B1866" s="177"/>
      <c r="C1866" s="455"/>
      <c r="D1866" s="2806"/>
      <c r="E1866" s="2856"/>
      <c r="F1866" s="2908" t="str">
        <f>$E$1536</f>
        <v>ASHP SEER 17 replace ASHP - early replacement MF ER1</v>
      </c>
      <c r="G1866" s="2909"/>
      <c r="H1866" s="2909"/>
      <c r="I1866" s="2910"/>
      <c r="J1866" s="1657" t="str">
        <f>$C$1536</f>
        <v>354200_2019_12_</v>
      </c>
      <c r="K1866" s="1663">
        <v>1496</v>
      </c>
      <c r="L1866" s="1124"/>
      <c r="M1866" s="2101"/>
      <c r="N1866" s="177"/>
      <c r="O1866" s="332"/>
      <c r="P1866" s="332"/>
      <c r="Q1866" s="332"/>
      <c r="R1866" s="332"/>
      <c r="S1866" s="177"/>
      <c r="T1866" s="177"/>
      <c r="U1866" s="177"/>
      <c r="V1866" s="2866"/>
      <c r="W1866" s="909">
        <v>2009</v>
      </c>
      <c r="X1866" s="908">
        <v>1496</v>
      </c>
      <c r="Y1866" s="909">
        <v>1496</v>
      </c>
      <c r="Z1866" s="909"/>
      <c r="AA1866" s="909"/>
      <c r="AB1866" s="909"/>
      <c r="AC1866" s="909"/>
      <c r="AD1866" s="909"/>
      <c r="AE1866" s="909"/>
      <c r="AF1866" s="909"/>
      <c r="AG1866" s="909"/>
      <c r="BB1866" s="784"/>
      <c r="BC1866" s="785"/>
      <c r="BD1866" s="900"/>
      <c r="BE1866" s="797"/>
    </row>
    <row r="1867" spans="1:57" s="65" customFormat="1" ht="15" hidden="1" customHeight="1" outlineLevel="1" x14ac:dyDescent="0.25">
      <c r="A1867" s="785"/>
      <c r="B1867" s="177"/>
      <c r="C1867" s="455"/>
      <c r="D1867" s="2806"/>
      <c r="E1867" s="2856"/>
      <c r="F1867" s="2908" t="str">
        <f>$E$1538</f>
        <v>ASHP SEER 17 replace ASHP - early replacement MF ER2</v>
      </c>
      <c r="G1867" s="2909"/>
      <c r="H1867" s="2909"/>
      <c r="I1867" s="2910"/>
      <c r="J1867" s="1657" t="str">
        <f>$C$1538</f>
        <v>354200_2019_12_</v>
      </c>
      <c r="K1867" s="1663">
        <v>1496</v>
      </c>
      <c r="L1867" s="1124"/>
      <c r="M1867" s="2101"/>
      <c r="N1867" s="177"/>
      <c r="O1867" s="332"/>
      <c r="P1867" s="332"/>
      <c r="Q1867" s="332"/>
      <c r="R1867" s="332"/>
      <c r="S1867" s="177"/>
      <c r="T1867" s="177"/>
      <c r="U1867" s="177"/>
      <c r="V1867" s="2866"/>
      <c r="W1867" s="909">
        <v>2009</v>
      </c>
      <c r="X1867" s="908">
        <v>1496</v>
      </c>
      <c r="Y1867" s="909">
        <v>1496</v>
      </c>
      <c r="Z1867" s="909"/>
      <c r="AA1867" s="909"/>
      <c r="AB1867" s="909"/>
      <c r="AC1867" s="909"/>
      <c r="AD1867" s="909"/>
      <c r="AE1867" s="909"/>
      <c r="AF1867" s="909"/>
      <c r="AG1867" s="909"/>
      <c r="BB1867" s="784"/>
      <c r="BC1867" s="785"/>
      <c r="BD1867" s="900"/>
      <c r="BE1867" s="797"/>
    </row>
    <row r="1868" spans="1:57" s="65" customFormat="1" ht="15" hidden="1" customHeight="1" outlineLevel="1" x14ac:dyDescent="0.25">
      <c r="A1868" s="785"/>
      <c r="B1868" s="177"/>
      <c r="C1868" s="455"/>
      <c r="D1868" s="2806"/>
      <c r="E1868" s="2856"/>
      <c r="F1868" s="2908" t="str">
        <f>$E$1540</f>
        <v>ASHP SEER 17 replace ASHP - early replacement MF ER1_CompE</v>
      </c>
      <c r="G1868" s="2909"/>
      <c r="H1868" s="2909"/>
      <c r="I1868" s="2910"/>
      <c r="J1868" s="1657" t="str">
        <f>$C$1540</f>
        <v>354201_2019_12_</v>
      </c>
      <c r="K1868" s="1663">
        <v>510</v>
      </c>
      <c r="L1868" s="1124"/>
      <c r="M1868" s="2101" t="s">
        <v>953</v>
      </c>
      <c r="N1868" s="177"/>
      <c r="O1868" s="332"/>
      <c r="P1868" s="332"/>
      <c r="Q1868" s="332"/>
      <c r="R1868" s="332"/>
      <c r="S1868" s="177"/>
      <c r="T1868" s="177"/>
      <c r="U1868" s="177"/>
      <c r="V1868" s="2866"/>
      <c r="W1868" s="909"/>
      <c r="X1868" s="908"/>
      <c r="Y1868" s="908">
        <v>510</v>
      </c>
      <c r="Z1868" s="909"/>
      <c r="AA1868" s="909"/>
      <c r="AB1868" s="909"/>
      <c r="AC1868" s="909"/>
      <c r="AD1868" s="909"/>
      <c r="AE1868" s="909"/>
      <c r="AF1868" s="909"/>
      <c r="AG1868" s="909"/>
      <c r="BB1868" s="784"/>
      <c r="BC1868" s="785"/>
      <c r="BD1868" s="900"/>
      <c r="BE1868" s="797"/>
    </row>
    <row r="1869" spans="1:57" s="65" customFormat="1" ht="15" hidden="1" customHeight="1" outlineLevel="1" x14ac:dyDescent="0.25">
      <c r="A1869" s="785"/>
      <c r="B1869" s="177"/>
      <c r="C1869" s="455"/>
      <c r="D1869" s="2806"/>
      <c r="E1869" s="2856"/>
      <c r="F1869" s="2908" t="str">
        <f>$E$1542</f>
        <v>ASHP SEER 17 replace ASHP - early replacement MF ER2_CompE</v>
      </c>
      <c r="G1869" s="2909"/>
      <c r="H1869" s="2909"/>
      <c r="I1869" s="2910"/>
      <c r="J1869" s="1657" t="str">
        <f>$C$1542</f>
        <v>354201_2019_12_</v>
      </c>
      <c r="K1869" s="1663">
        <v>510</v>
      </c>
      <c r="L1869" s="1124"/>
      <c r="M1869" s="2101" t="s">
        <v>953</v>
      </c>
      <c r="N1869" s="177"/>
      <c r="O1869" s="332"/>
      <c r="P1869" s="332"/>
      <c r="Q1869" s="332"/>
      <c r="R1869" s="332"/>
      <c r="S1869" s="177"/>
      <c r="T1869" s="177"/>
      <c r="U1869" s="177"/>
      <c r="V1869" s="2866"/>
      <c r="W1869" s="909"/>
      <c r="X1869" s="908"/>
      <c r="Y1869" s="908">
        <v>510</v>
      </c>
      <c r="Z1869" s="909"/>
      <c r="AA1869" s="909"/>
      <c r="AB1869" s="909"/>
      <c r="AC1869" s="909"/>
      <c r="AD1869" s="909"/>
      <c r="AE1869" s="909"/>
      <c r="AF1869" s="909"/>
      <c r="AG1869" s="909"/>
      <c r="BB1869" s="784"/>
      <c r="BC1869" s="785"/>
      <c r="BD1869" s="900"/>
      <c r="BE1869" s="797"/>
    </row>
    <row r="1870" spans="1:57" s="65" customFormat="1" ht="15" hidden="1" customHeight="1" outlineLevel="1" x14ac:dyDescent="0.25">
      <c r="A1870" s="785"/>
      <c r="B1870" s="177"/>
      <c r="C1870" s="455"/>
      <c r="D1870" s="2806"/>
      <c r="E1870" s="2856"/>
      <c r="F1870" s="2908" t="str">
        <f>$E$1544</f>
        <v>ASHP - SEER 18 - replace electric furnace / CAC - early replacement SF ER1</v>
      </c>
      <c r="G1870" s="2909"/>
      <c r="H1870" s="2909"/>
      <c r="I1870" s="2910"/>
      <c r="J1870" s="1657" t="str">
        <f>$C$1544</f>
        <v>354250_2019_12_</v>
      </c>
      <c r="K1870" s="1663">
        <v>1496</v>
      </c>
      <c r="L1870" s="1124"/>
      <c r="M1870" s="2101"/>
      <c r="N1870" s="177"/>
      <c r="O1870" s="332"/>
      <c r="P1870" s="332"/>
      <c r="Q1870" s="332"/>
      <c r="R1870" s="332"/>
      <c r="S1870" s="177"/>
      <c r="T1870" s="177"/>
      <c r="U1870" s="177"/>
      <c r="V1870" s="2866"/>
      <c r="W1870" s="909">
        <v>2009</v>
      </c>
      <c r="X1870" s="908">
        <v>1496</v>
      </c>
      <c r="Y1870" s="909">
        <v>1496</v>
      </c>
      <c r="Z1870" s="909"/>
      <c r="AA1870" s="909"/>
      <c r="AB1870" s="909"/>
      <c r="AC1870" s="909"/>
      <c r="AD1870" s="909"/>
      <c r="AE1870" s="909"/>
      <c r="AF1870" s="909"/>
      <c r="AG1870" s="909"/>
      <c r="BB1870" s="784"/>
      <c r="BC1870" s="785"/>
      <c r="BD1870" s="900"/>
      <c r="BE1870" s="797"/>
    </row>
    <row r="1871" spans="1:57" s="65" customFormat="1" ht="15" hidden="1" customHeight="1" outlineLevel="1" x14ac:dyDescent="0.25">
      <c r="A1871" s="785"/>
      <c r="B1871" s="177"/>
      <c r="C1871" s="455"/>
      <c r="D1871" s="2806"/>
      <c r="E1871" s="2856"/>
      <c r="F1871" s="2908" t="str">
        <f>$E$1546</f>
        <v>ASHP - SEER 18 - replace electric furnace / CAC - early replacement SF ER2</v>
      </c>
      <c r="G1871" s="2909"/>
      <c r="H1871" s="2909"/>
      <c r="I1871" s="2910"/>
      <c r="J1871" s="1657" t="str">
        <f>$C$1546</f>
        <v>354250_2019_12_</v>
      </c>
      <c r="K1871" s="1663">
        <v>1496</v>
      </c>
      <c r="L1871" s="1124"/>
      <c r="M1871" s="2101"/>
      <c r="N1871" s="177"/>
      <c r="O1871" s="332"/>
      <c r="P1871" s="332"/>
      <c r="Q1871" s="332"/>
      <c r="R1871" s="332"/>
      <c r="S1871" s="177"/>
      <c r="T1871" s="177"/>
      <c r="U1871" s="177"/>
      <c r="V1871" s="2866"/>
      <c r="W1871" s="909">
        <v>2009</v>
      </c>
      <c r="X1871" s="908">
        <v>1496</v>
      </c>
      <c r="Y1871" s="909">
        <v>1496</v>
      </c>
      <c r="Z1871" s="909"/>
      <c r="AA1871" s="909"/>
      <c r="AB1871" s="909"/>
      <c r="AC1871" s="909"/>
      <c r="AD1871" s="909"/>
      <c r="AE1871" s="909"/>
      <c r="AF1871" s="909"/>
      <c r="AG1871" s="909"/>
      <c r="BB1871" s="784"/>
      <c r="BC1871" s="785"/>
      <c r="BD1871" s="900"/>
      <c r="BE1871" s="797"/>
    </row>
    <row r="1872" spans="1:57" s="65" customFormat="1" ht="15" hidden="1" customHeight="1" outlineLevel="1" x14ac:dyDescent="0.25">
      <c r="A1872" s="785"/>
      <c r="B1872" s="177"/>
      <c r="C1872" s="455"/>
      <c r="D1872" s="2806"/>
      <c r="E1872" s="2856"/>
      <c r="F1872" s="2908" t="str">
        <f>$E$1548</f>
        <v>ASHP - SEER 18 - replace electric furnace / CAC - early replacement MF ER1</v>
      </c>
      <c r="G1872" s="2909"/>
      <c r="H1872" s="2909"/>
      <c r="I1872" s="2910"/>
      <c r="J1872" s="1657" t="str">
        <f>$C$1548</f>
        <v>354300_2019_12_</v>
      </c>
      <c r="K1872" s="1663">
        <v>1496</v>
      </c>
      <c r="L1872" s="1124"/>
      <c r="M1872" s="2101"/>
      <c r="N1872" s="177"/>
      <c r="O1872" s="332"/>
      <c r="P1872" s="332"/>
      <c r="Q1872" s="332"/>
      <c r="R1872" s="332"/>
      <c r="S1872" s="177"/>
      <c r="T1872" s="177"/>
      <c r="U1872" s="177"/>
      <c r="V1872" s="2866"/>
      <c r="W1872" s="909">
        <v>2009</v>
      </c>
      <c r="X1872" s="908">
        <v>1496</v>
      </c>
      <c r="Y1872" s="909">
        <v>1496</v>
      </c>
      <c r="Z1872" s="909"/>
      <c r="AA1872" s="909"/>
      <c r="AB1872" s="909"/>
      <c r="AC1872" s="909"/>
      <c r="AD1872" s="909"/>
      <c r="AE1872" s="909"/>
      <c r="AF1872" s="909"/>
      <c r="AG1872" s="909"/>
      <c r="BB1872" s="784"/>
      <c r="BC1872" s="785"/>
      <c r="BD1872" s="900"/>
      <c r="BE1872" s="797"/>
    </row>
    <row r="1873" spans="1:57" s="65" customFormat="1" ht="15" hidden="1" customHeight="1" outlineLevel="1" x14ac:dyDescent="0.25">
      <c r="A1873" s="785"/>
      <c r="B1873" s="177"/>
      <c r="C1873" s="455"/>
      <c r="D1873" s="2806"/>
      <c r="E1873" s="2856"/>
      <c r="F1873" s="2908" t="str">
        <f>$E$1550</f>
        <v>ASHP - SEER 18 - replace electric furnace / CAC - early replacement MF ER2</v>
      </c>
      <c r="G1873" s="2909"/>
      <c r="H1873" s="2909"/>
      <c r="I1873" s="2910"/>
      <c r="J1873" s="1657" t="str">
        <f>$C$1550</f>
        <v>354300_2019_12_</v>
      </c>
      <c r="K1873" s="1663">
        <v>1496</v>
      </c>
      <c r="L1873" s="1124"/>
      <c r="M1873" s="2101"/>
      <c r="N1873" s="177"/>
      <c r="O1873" s="332"/>
      <c r="P1873" s="332"/>
      <c r="Q1873" s="332"/>
      <c r="R1873" s="332"/>
      <c r="S1873" s="177"/>
      <c r="T1873" s="177"/>
      <c r="U1873" s="177"/>
      <c r="V1873" s="2866"/>
      <c r="W1873" s="909">
        <v>2009</v>
      </c>
      <c r="X1873" s="908">
        <v>1496</v>
      </c>
      <c r="Y1873" s="909">
        <v>1496</v>
      </c>
      <c r="Z1873" s="909"/>
      <c r="AA1873" s="909"/>
      <c r="AB1873" s="909"/>
      <c r="AC1873" s="909"/>
      <c r="AD1873" s="909"/>
      <c r="AE1873" s="909"/>
      <c r="AF1873" s="909"/>
      <c r="AG1873" s="909"/>
      <c r="BB1873" s="784"/>
      <c r="BC1873" s="785"/>
      <c r="BD1873" s="900"/>
      <c r="BE1873" s="797"/>
    </row>
    <row r="1874" spans="1:57" s="65" customFormat="1" ht="15" hidden="1" customHeight="1" outlineLevel="1" x14ac:dyDescent="0.25">
      <c r="A1874" s="785"/>
      <c r="B1874" s="177"/>
      <c r="C1874" s="455"/>
      <c r="D1874" s="2806"/>
      <c r="E1874" s="2856"/>
      <c r="F1874" s="2908" t="str">
        <f>$E$1552</f>
        <v>ASHP - SEER 18 - replace electric furnace / CAC - early replacement MF ER1_CompE</v>
      </c>
      <c r="G1874" s="2909"/>
      <c r="H1874" s="2909"/>
      <c r="I1874" s="2910"/>
      <c r="J1874" s="1657" t="str">
        <f>$C$1552</f>
        <v>354301_2019_12_</v>
      </c>
      <c r="K1874" s="1663">
        <v>510</v>
      </c>
      <c r="L1874" s="1124"/>
      <c r="M1874" s="2101" t="s">
        <v>953</v>
      </c>
      <c r="N1874" s="177"/>
      <c r="O1874" s="332"/>
      <c r="P1874" s="332"/>
      <c r="Q1874" s="332"/>
      <c r="R1874" s="332"/>
      <c r="S1874" s="177"/>
      <c r="T1874" s="177"/>
      <c r="U1874" s="177"/>
      <c r="V1874" s="2866"/>
      <c r="W1874" s="909"/>
      <c r="X1874" s="908"/>
      <c r="Y1874" s="908">
        <v>510</v>
      </c>
      <c r="Z1874" s="909"/>
      <c r="AA1874" s="909"/>
      <c r="AB1874" s="909"/>
      <c r="AC1874" s="909"/>
      <c r="AD1874" s="909"/>
      <c r="AE1874" s="909"/>
      <c r="AF1874" s="909"/>
      <c r="AG1874" s="909"/>
      <c r="BB1874" s="784"/>
      <c r="BC1874" s="785"/>
      <c r="BD1874" s="900"/>
      <c r="BE1874" s="797"/>
    </row>
    <row r="1875" spans="1:57" s="65" customFormat="1" ht="15" hidden="1" customHeight="1" outlineLevel="1" x14ac:dyDescent="0.25">
      <c r="A1875" s="785"/>
      <c r="B1875" s="177"/>
      <c r="C1875" s="455"/>
      <c r="D1875" s="2806"/>
      <c r="E1875" s="2856"/>
      <c r="F1875" s="2908" t="str">
        <f>$E$1554</f>
        <v>ASHP - SEER 18 - replace electric furnace / CAC - early replacement MF ER2_CompE</v>
      </c>
      <c r="G1875" s="2909"/>
      <c r="H1875" s="2909"/>
      <c r="I1875" s="2910"/>
      <c r="J1875" s="1657" t="str">
        <f>$C$1554</f>
        <v>354301_2019_12_</v>
      </c>
      <c r="K1875" s="1663">
        <v>510</v>
      </c>
      <c r="L1875" s="1124"/>
      <c r="M1875" s="2101" t="s">
        <v>953</v>
      </c>
      <c r="N1875" s="177"/>
      <c r="O1875" s="332"/>
      <c r="P1875" s="332"/>
      <c r="Q1875" s="332"/>
      <c r="R1875" s="332"/>
      <c r="S1875" s="177"/>
      <c r="T1875" s="177"/>
      <c r="U1875" s="177"/>
      <c r="V1875" s="2866"/>
      <c r="W1875" s="909"/>
      <c r="X1875" s="908"/>
      <c r="Y1875" s="908">
        <v>510</v>
      </c>
      <c r="Z1875" s="909"/>
      <c r="AA1875" s="909"/>
      <c r="AB1875" s="909"/>
      <c r="AC1875" s="909"/>
      <c r="AD1875" s="909"/>
      <c r="AE1875" s="909"/>
      <c r="AF1875" s="909"/>
      <c r="AG1875" s="909"/>
      <c r="BB1875" s="784"/>
      <c r="BC1875" s="785"/>
      <c r="BD1875" s="900"/>
      <c r="BE1875" s="797"/>
    </row>
    <row r="1876" spans="1:57" s="65" customFormat="1" ht="15" hidden="1" customHeight="1" outlineLevel="1" x14ac:dyDescent="0.25">
      <c r="A1876" s="785"/>
      <c r="B1876" s="177"/>
      <c r="C1876" s="455"/>
      <c r="D1876" s="2806"/>
      <c r="E1876" s="2856"/>
      <c r="F1876" s="2908" t="str">
        <f>$E$1556</f>
        <v>ASHP SEER 18 replace ASHP - early replacement MF ER1</v>
      </c>
      <c r="G1876" s="2909"/>
      <c r="H1876" s="2909"/>
      <c r="I1876" s="2910"/>
      <c r="J1876" s="1657" t="str">
        <f>$C$1556</f>
        <v>354350_2019_12_</v>
      </c>
      <c r="K1876" s="1663">
        <v>1496</v>
      </c>
      <c r="L1876" s="1124"/>
      <c r="M1876" s="2101"/>
      <c r="N1876" s="177"/>
      <c r="O1876" s="332"/>
      <c r="P1876" s="332"/>
      <c r="Q1876" s="332"/>
      <c r="R1876" s="332"/>
      <c r="S1876" s="177"/>
      <c r="T1876" s="177"/>
      <c r="U1876" s="177"/>
      <c r="V1876" s="2866"/>
      <c r="W1876" s="909">
        <v>2009</v>
      </c>
      <c r="X1876" s="908">
        <v>1496</v>
      </c>
      <c r="Y1876" s="909">
        <v>1496</v>
      </c>
      <c r="Z1876" s="909"/>
      <c r="AA1876" s="909"/>
      <c r="AB1876" s="909"/>
      <c r="AC1876" s="909"/>
      <c r="AD1876" s="909"/>
      <c r="AE1876" s="909"/>
      <c r="AF1876" s="909"/>
      <c r="AG1876" s="909"/>
      <c r="BB1876" s="784"/>
      <c r="BC1876" s="785"/>
      <c r="BD1876" s="900"/>
      <c r="BE1876" s="797"/>
    </row>
    <row r="1877" spans="1:57" s="65" customFormat="1" ht="15" hidden="1" customHeight="1" outlineLevel="1" x14ac:dyDescent="0.25">
      <c r="A1877" s="785"/>
      <c r="B1877" s="177"/>
      <c r="C1877" s="455"/>
      <c r="D1877" s="2806"/>
      <c r="E1877" s="2856"/>
      <c r="F1877" s="2908" t="str">
        <f>$E$1558</f>
        <v>ASHP SEER 18 replace ASHP - early replacement MF ER2</v>
      </c>
      <c r="G1877" s="2909"/>
      <c r="H1877" s="2909"/>
      <c r="I1877" s="2910"/>
      <c r="J1877" s="1657" t="str">
        <f>$C$1558</f>
        <v>354350_2019_12_</v>
      </c>
      <c r="K1877" s="1663">
        <v>1496</v>
      </c>
      <c r="L1877" s="1124"/>
      <c r="M1877" s="2101"/>
      <c r="N1877" s="177"/>
      <c r="O1877" s="332"/>
      <c r="P1877" s="332"/>
      <c r="Q1877" s="332"/>
      <c r="R1877" s="332"/>
      <c r="S1877" s="177"/>
      <c r="T1877" s="177"/>
      <c r="U1877" s="177"/>
      <c r="V1877" s="2866"/>
      <c r="W1877" s="909">
        <v>2009</v>
      </c>
      <c r="X1877" s="908">
        <v>1496</v>
      </c>
      <c r="Y1877" s="909">
        <v>1496</v>
      </c>
      <c r="Z1877" s="909"/>
      <c r="AA1877" s="909"/>
      <c r="AB1877" s="909"/>
      <c r="AC1877" s="909"/>
      <c r="AD1877" s="909"/>
      <c r="AE1877" s="909"/>
      <c r="AF1877" s="909"/>
      <c r="AG1877" s="909"/>
      <c r="BB1877" s="784"/>
      <c r="BC1877" s="785"/>
      <c r="BD1877" s="900"/>
      <c r="BE1877" s="797"/>
    </row>
    <row r="1878" spans="1:57" s="65" customFormat="1" ht="15" hidden="1" customHeight="1" outlineLevel="1" x14ac:dyDescent="0.25">
      <c r="A1878" s="785"/>
      <c r="B1878" s="177"/>
      <c r="C1878" s="455"/>
      <c r="D1878" s="2806"/>
      <c r="E1878" s="2856"/>
      <c r="F1878" s="2908" t="str">
        <f>$E$1560</f>
        <v>ASHP SEER 18 replace ASHP - early replacement MF ER1_CompE</v>
      </c>
      <c r="G1878" s="2909"/>
      <c r="H1878" s="2909"/>
      <c r="I1878" s="2910"/>
      <c r="J1878" s="1657" t="str">
        <f>$C$1560</f>
        <v>354351_2019_12_</v>
      </c>
      <c r="K1878" s="1663">
        <v>510</v>
      </c>
      <c r="L1878" s="1124"/>
      <c r="M1878" s="2101" t="s">
        <v>953</v>
      </c>
      <c r="N1878" s="177"/>
      <c r="O1878" s="332"/>
      <c r="P1878" s="332"/>
      <c r="Q1878" s="332"/>
      <c r="R1878" s="332"/>
      <c r="S1878" s="177"/>
      <c r="T1878" s="177"/>
      <c r="U1878" s="177"/>
      <c r="V1878" s="2866"/>
      <c r="W1878" s="909"/>
      <c r="X1878" s="908"/>
      <c r="Y1878" s="908">
        <v>510</v>
      </c>
      <c r="Z1878" s="909"/>
      <c r="AA1878" s="909"/>
      <c r="AB1878" s="909"/>
      <c r="AC1878" s="909"/>
      <c r="AD1878" s="909"/>
      <c r="AE1878" s="909"/>
      <c r="AF1878" s="909"/>
      <c r="AG1878" s="909"/>
      <c r="BB1878" s="784"/>
      <c r="BC1878" s="785"/>
      <c r="BD1878" s="900"/>
      <c r="BE1878" s="797"/>
    </row>
    <row r="1879" spans="1:57" s="65" customFormat="1" ht="15" hidden="1" customHeight="1" outlineLevel="1" x14ac:dyDescent="0.25">
      <c r="A1879" s="785"/>
      <c r="B1879" s="177"/>
      <c r="C1879" s="455"/>
      <c r="D1879" s="2806"/>
      <c r="E1879" s="2856"/>
      <c r="F1879" s="2908" t="str">
        <f>$E$1562</f>
        <v>ASHP SEER 18 replace ASHP - early replacement MF ER2_CompE</v>
      </c>
      <c r="G1879" s="2909"/>
      <c r="H1879" s="2909"/>
      <c r="I1879" s="2910"/>
      <c r="J1879" s="1657" t="str">
        <f>$C$1562</f>
        <v>354351_2019_12_</v>
      </c>
      <c r="K1879" s="1663">
        <v>510</v>
      </c>
      <c r="L1879" s="1124"/>
      <c r="M1879" s="2101" t="s">
        <v>953</v>
      </c>
      <c r="N1879" s="177"/>
      <c r="O1879" s="332"/>
      <c r="P1879" s="332"/>
      <c r="Q1879" s="332"/>
      <c r="R1879" s="332"/>
      <c r="S1879" s="177"/>
      <c r="T1879" s="177"/>
      <c r="U1879" s="177"/>
      <c r="V1879" s="2866"/>
      <c r="W1879" s="909"/>
      <c r="X1879" s="908"/>
      <c r="Y1879" s="908">
        <v>510</v>
      </c>
      <c r="Z1879" s="909"/>
      <c r="AA1879" s="909"/>
      <c r="AB1879" s="909"/>
      <c r="AC1879" s="909"/>
      <c r="AD1879" s="909"/>
      <c r="AE1879" s="909"/>
      <c r="AF1879" s="909"/>
      <c r="AG1879" s="909"/>
      <c r="BB1879" s="784"/>
      <c r="BC1879" s="785"/>
      <c r="BD1879" s="900"/>
      <c r="BE1879" s="797"/>
    </row>
    <row r="1880" spans="1:57" s="65" customFormat="1" ht="15" hidden="1" customHeight="1" outlineLevel="1" x14ac:dyDescent="0.25">
      <c r="A1880" s="785"/>
      <c r="B1880" s="177"/>
      <c r="C1880" s="455"/>
      <c r="D1880" s="2806"/>
      <c r="E1880" s="2856"/>
      <c r="F1880" s="2908" t="str">
        <f>$E$1564</f>
        <v>ASHP - SEER 19 - replace electric furnace / CAC - early replacement SF ER1</v>
      </c>
      <c r="G1880" s="2909"/>
      <c r="H1880" s="2909"/>
      <c r="I1880" s="2910"/>
      <c r="J1880" s="1657" t="str">
        <f>$C$1564</f>
        <v>354400_2019_12_</v>
      </c>
      <c r="K1880" s="1663">
        <v>1496</v>
      </c>
      <c r="L1880" s="1124"/>
      <c r="M1880" s="2101"/>
      <c r="N1880" s="177"/>
      <c r="O1880" s="332"/>
      <c r="P1880" s="332"/>
      <c r="Q1880" s="332"/>
      <c r="R1880" s="332"/>
      <c r="S1880" s="177"/>
      <c r="T1880" s="177"/>
      <c r="U1880" s="177"/>
      <c r="V1880" s="2866"/>
      <c r="W1880" s="909">
        <v>2009</v>
      </c>
      <c r="X1880" s="908">
        <v>1496</v>
      </c>
      <c r="Y1880" s="909">
        <v>1496</v>
      </c>
      <c r="Z1880" s="909"/>
      <c r="AA1880" s="909"/>
      <c r="AB1880" s="909"/>
      <c r="AC1880" s="909"/>
      <c r="AD1880" s="909"/>
      <c r="AE1880" s="909"/>
      <c r="AF1880" s="909"/>
      <c r="AG1880" s="909"/>
      <c r="BB1880" s="784"/>
      <c r="BC1880" s="785"/>
      <c r="BD1880" s="900"/>
      <c r="BE1880" s="797"/>
    </row>
    <row r="1881" spans="1:57" s="65" customFormat="1" ht="15" hidden="1" customHeight="1" outlineLevel="1" x14ac:dyDescent="0.25">
      <c r="A1881" s="785"/>
      <c r="B1881" s="177"/>
      <c r="C1881" s="455"/>
      <c r="D1881" s="2806"/>
      <c r="E1881" s="2856"/>
      <c r="F1881" s="2908" t="str">
        <f>$E$1566</f>
        <v>ASHP - SEER 19 - replace electric furnace / CAC - early replacement SF ER2</v>
      </c>
      <c r="G1881" s="2909"/>
      <c r="H1881" s="2909"/>
      <c r="I1881" s="2910"/>
      <c r="J1881" s="1657" t="str">
        <f>$C$1566</f>
        <v>354400_2019_12_</v>
      </c>
      <c r="K1881" s="1663">
        <v>1496</v>
      </c>
      <c r="L1881" s="1124"/>
      <c r="M1881" s="2101"/>
      <c r="N1881" s="177"/>
      <c r="O1881" s="332"/>
      <c r="P1881" s="332"/>
      <c r="Q1881" s="332"/>
      <c r="R1881" s="332"/>
      <c r="S1881" s="177"/>
      <c r="T1881" s="177"/>
      <c r="U1881" s="177"/>
      <c r="V1881" s="2866"/>
      <c r="W1881" s="909">
        <v>2009</v>
      </c>
      <c r="X1881" s="908">
        <v>1496</v>
      </c>
      <c r="Y1881" s="909">
        <v>1496</v>
      </c>
      <c r="Z1881" s="909"/>
      <c r="AA1881" s="909"/>
      <c r="AB1881" s="909"/>
      <c r="AC1881" s="909"/>
      <c r="AD1881" s="909"/>
      <c r="AE1881" s="909"/>
      <c r="AF1881" s="909"/>
      <c r="AG1881" s="909"/>
      <c r="BB1881" s="784"/>
      <c r="BC1881" s="785"/>
      <c r="BD1881" s="900"/>
      <c r="BE1881" s="797"/>
    </row>
    <row r="1882" spans="1:57" s="65" customFormat="1" ht="15" hidden="1" customHeight="1" outlineLevel="1" x14ac:dyDescent="0.25">
      <c r="A1882" s="785"/>
      <c r="B1882" s="177"/>
      <c r="C1882" s="455"/>
      <c r="D1882" s="2806"/>
      <c r="E1882" s="2856"/>
      <c r="F1882" s="2908" t="str">
        <f>$E$1568</f>
        <v>ASHP - SEER 19 - replace electric furnace / CAC - early replacement MF ER1</v>
      </c>
      <c r="G1882" s="2909"/>
      <c r="H1882" s="2909"/>
      <c r="I1882" s="2910"/>
      <c r="J1882" s="1657" t="str">
        <f>$C$1568</f>
        <v>354450_2019_12_</v>
      </c>
      <c r="K1882" s="1663">
        <v>1496</v>
      </c>
      <c r="L1882" s="1124"/>
      <c r="M1882" s="2101"/>
      <c r="N1882" s="177"/>
      <c r="O1882" s="332"/>
      <c r="P1882" s="332"/>
      <c r="Q1882" s="332"/>
      <c r="R1882" s="332"/>
      <c r="S1882" s="177"/>
      <c r="T1882" s="177"/>
      <c r="U1882" s="177"/>
      <c r="V1882" s="2866"/>
      <c r="W1882" s="909">
        <v>2009</v>
      </c>
      <c r="X1882" s="908">
        <v>1496</v>
      </c>
      <c r="Y1882" s="909">
        <v>1496</v>
      </c>
      <c r="Z1882" s="909"/>
      <c r="AA1882" s="909"/>
      <c r="AB1882" s="909"/>
      <c r="AC1882" s="909"/>
      <c r="AD1882" s="909"/>
      <c r="AE1882" s="909"/>
      <c r="AF1882" s="909"/>
      <c r="AG1882" s="909"/>
      <c r="BB1882" s="784"/>
      <c r="BC1882" s="785"/>
      <c r="BD1882" s="900"/>
      <c r="BE1882" s="797"/>
    </row>
    <row r="1883" spans="1:57" s="65" customFormat="1" ht="15" hidden="1" customHeight="1" outlineLevel="1" x14ac:dyDescent="0.25">
      <c r="A1883" s="785"/>
      <c r="B1883" s="177"/>
      <c r="C1883" s="455"/>
      <c r="D1883" s="2806"/>
      <c r="E1883" s="2856"/>
      <c r="F1883" s="2908" t="str">
        <f>$E$1570</f>
        <v>ASHP - SEER 19 - replace electric furnace / CAC - early replacement MF ER2</v>
      </c>
      <c r="G1883" s="2909"/>
      <c r="H1883" s="2909"/>
      <c r="I1883" s="2910"/>
      <c r="J1883" s="1657" t="str">
        <f>$C$1570</f>
        <v>354450_2019_12_</v>
      </c>
      <c r="K1883" s="1663">
        <v>1496</v>
      </c>
      <c r="L1883" s="1124"/>
      <c r="M1883" s="2101"/>
      <c r="N1883" s="177"/>
      <c r="O1883" s="332"/>
      <c r="P1883" s="332"/>
      <c r="Q1883" s="332"/>
      <c r="R1883" s="332"/>
      <c r="S1883" s="177"/>
      <c r="T1883" s="177"/>
      <c r="U1883" s="177"/>
      <c r="V1883" s="2866"/>
      <c r="W1883" s="909">
        <v>2009</v>
      </c>
      <c r="X1883" s="908">
        <v>1496</v>
      </c>
      <c r="Y1883" s="909">
        <v>1496</v>
      </c>
      <c r="Z1883" s="909"/>
      <c r="AA1883" s="909"/>
      <c r="AB1883" s="909"/>
      <c r="AC1883" s="909"/>
      <c r="AD1883" s="909"/>
      <c r="AE1883" s="909"/>
      <c r="AF1883" s="909"/>
      <c r="AG1883" s="909"/>
      <c r="BB1883" s="784"/>
      <c r="BC1883" s="785"/>
      <c r="BD1883" s="900"/>
      <c r="BE1883" s="797"/>
    </row>
    <row r="1884" spans="1:57" s="65" customFormat="1" ht="15" hidden="1" customHeight="1" outlineLevel="1" x14ac:dyDescent="0.25">
      <c r="A1884" s="785"/>
      <c r="B1884" s="177"/>
      <c r="C1884" s="455"/>
      <c r="D1884" s="2806"/>
      <c r="E1884" s="2856"/>
      <c r="F1884" s="2908" t="str">
        <f>$E$1572</f>
        <v>ASHP - SEER 19 - replace electric furnace / CAC - early replacement MF ER1_CompE</v>
      </c>
      <c r="G1884" s="2909"/>
      <c r="H1884" s="2909"/>
      <c r="I1884" s="2910"/>
      <c r="J1884" s="1657" t="str">
        <f>$C$1572</f>
        <v>354451_2019_12_</v>
      </c>
      <c r="K1884" s="1663">
        <v>510</v>
      </c>
      <c r="L1884" s="1124"/>
      <c r="M1884" s="2101" t="s">
        <v>953</v>
      </c>
      <c r="N1884" s="177"/>
      <c r="O1884" s="332"/>
      <c r="P1884" s="332"/>
      <c r="Q1884" s="332"/>
      <c r="R1884" s="332"/>
      <c r="S1884" s="177"/>
      <c r="T1884" s="177"/>
      <c r="U1884" s="177"/>
      <c r="V1884" s="2866"/>
      <c r="W1884" s="909"/>
      <c r="X1884" s="908"/>
      <c r="Y1884" s="908">
        <v>510</v>
      </c>
      <c r="Z1884" s="909"/>
      <c r="AA1884" s="909"/>
      <c r="AB1884" s="909"/>
      <c r="AC1884" s="909"/>
      <c r="AD1884" s="909"/>
      <c r="AE1884" s="909"/>
      <c r="AF1884" s="909"/>
      <c r="AG1884" s="909"/>
      <c r="BB1884" s="784"/>
      <c r="BC1884" s="785"/>
      <c r="BD1884" s="900"/>
      <c r="BE1884" s="797"/>
    </row>
    <row r="1885" spans="1:57" s="65" customFormat="1" ht="15" hidden="1" customHeight="1" outlineLevel="1" x14ac:dyDescent="0.25">
      <c r="A1885" s="785"/>
      <c r="B1885" s="177"/>
      <c r="C1885" s="455"/>
      <c r="D1885" s="2806"/>
      <c r="E1885" s="2856"/>
      <c r="F1885" s="2908" t="str">
        <f>$E$1574</f>
        <v>ASHP - SEER 19 - replace electric furnace / CAC - early replacement MF ER2_CompE</v>
      </c>
      <c r="G1885" s="2909"/>
      <c r="H1885" s="2909"/>
      <c r="I1885" s="2910"/>
      <c r="J1885" s="1657" t="str">
        <f>$C$1574</f>
        <v>354451_2019_12_</v>
      </c>
      <c r="K1885" s="1663">
        <v>510</v>
      </c>
      <c r="L1885" s="1124"/>
      <c r="M1885" s="2101" t="s">
        <v>953</v>
      </c>
      <c r="N1885" s="177"/>
      <c r="O1885" s="332"/>
      <c r="P1885" s="332"/>
      <c r="Q1885" s="332"/>
      <c r="R1885" s="332"/>
      <c r="S1885" s="177"/>
      <c r="T1885" s="177"/>
      <c r="U1885" s="177"/>
      <c r="V1885" s="2866"/>
      <c r="W1885" s="909"/>
      <c r="X1885" s="908"/>
      <c r="Y1885" s="908">
        <v>510</v>
      </c>
      <c r="Z1885" s="909"/>
      <c r="AA1885" s="909"/>
      <c r="AB1885" s="909"/>
      <c r="AC1885" s="909"/>
      <c r="AD1885" s="909"/>
      <c r="AE1885" s="909"/>
      <c r="AF1885" s="909"/>
      <c r="AG1885" s="909"/>
      <c r="BB1885" s="784"/>
      <c r="BC1885" s="785"/>
      <c r="BD1885" s="900"/>
      <c r="BE1885" s="797"/>
    </row>
    <row r="1886" spans="1:57" s="65" customFormat="1" ht="15" hidden="1" customHeight="1" outlineLevel="1" x14ac:dyDescent="0.25">
      <c r="A1886" s="785"/>
      <c r="B1886" s="177"/>
      <c r="C1886" s="455"/>
      <c r="D1886" s="2806"/>
      <c r="E1886" s="2856"/>
      <c r="F1886" s="2908" t="str">
        <f>$E$1576</f>
        <v>ASHP SEER 19 replace ASHP - early replacement MF ER1</v>
      </c>
      <c r="G1886" s="2909"/>
      <c r="H1886" s="2909"/>
      <c r="I1886" s="2910"/>
      <c r="J1886" s="1657" t="str">
        <f>$C$1576</f>
        <v>354500_2019_12_</v>
      </c>
      <c r="K1886" s="1663">
        <v>1496</v>
      </c>
      <c r="L1886" s="1124"/>
      <c r="M1886" s="2101"/>
      <c r="N1886" s="177"/>
      <c r="O1886" s="332"/>
      <c r="P1886" s="332"/>
      <c r="Q1886" s="332"/>
      <c r="R1886" s="332"/>
      <c r="S1886" s="177"/>
      <c r="T1886" s="177"/>
      <c r="U1886" s="177"/>
      <c r="V1886" s="2866"/>
      <c r="W1886" s="909">
        <v>2009</v>
      </c>
      <c r="X1886" s="908">
        <v>1496</v>
      </c>
      <c r="Y1886" s="909">
        <v>1496</v>
      </c>
      <c r="Z1886" s="909"/>
      <c r="AA1886" s="909"/>
      <c r="AB1886" s="909"/>
      <c r="AC1886" s="909"/>
      <c r="AD1886" s="909"/>
      <c r="AE1886" s="909"/>
      <c r="AF1886" s="909"/>
      <c r="AG1886" s="909"/>
      <c r="BB1886" s="784"/>
      <c r="BC1886" s="785"/>
      <c r="BD1886" s="900"/>
      <c r="BE1886" s="797"/>
    </row>
    <row r="1887" spans="1:57" s="65" customFormat="1" ht="15" hidden="1" customHeight="1" outlineLevel="1" x14ac:dyDescent="0.25">
      <c r="A1887" s="785"/>
      <c r="B1887" s="177"/>
      <c r="C1887" s="455"/>
      <c r="D1887" s="2806"/>
      <c r="E1887" s="2856"/>
      <c r="F1887" s="2908" t="str">
        <f>$E$1578</f>
        <v>ASHP SEER 19 replace ASHP - early replacement MF ER2</v>
      </c>
      <c r="G1887" s="2909"/>
      <c r="H1887" s="2909"/>
      <c r="I1887" s="2910"/>
      <c r="J1887" s="1657" t="str">
        <f>$C$1578</f>
        <v>354500_2019_12_</v>
      </c>
      <c r="K1887" s="1663">
        <v>1496</v>
      </c>
      <c r="L1887" s="1124"/>
      <c r="M1887" s="2101"/>
      <c r="N1887" s="177"/>
      <c r="O1887" s="332"/>
      <c r="P1887" s="332"/>
      <c r="Q1887" s="332"/>
      <c r="R1887" s="332"/>
      <c r="S1887" s="177"/>
      <c r="T1887" s="177"/>
      <c r="U1887" s="177"/>
      <c r="V1887" s="2866"/>
      <c r="W1887" s="909">
        <v>2009</v>
      </c>
      <c r="X1887" s="908">
        <v>1496</v>
      </c>
      <c r="Y1887" s="909">
        <v>1496</v>
      </c>
      <c r="Z1887" s="909"/>
      <c r="AA1887" s="909"/>
      <c r="AB1887" s="909"/>
      <c r="AC1887" s="909"/>
      <c r="AD1887" s="909"/>
      <c r="AE1887" s="909"/>
      <c r="AF1887" s="909"/>
      <c r="AG1887" s="909"/>
      <c r="BB1887" s="784"/>
      <c r="BC1887" s="785"/>
      <c r="BD1887" s="900"/>
      <c r="BE1887" s="797"/>
    </row>
    <row r="1888" spans="1:57" s="65" customFormat="1" ht="15" hidden="1" customHeight="1" outlineLevel="1" x14ac:dyDescent="0.25">
      <c r="A1888" s="785"/>
      <c r="B1888" s="177"/>
      <c r="C1888" s="455"/>
      <c r="D1888" s="2806"/>
      <c r="E1888" s="2856"/>
      <c r="F1888" s="2908" t="str">
        <f>$E$1580</f>
        <v>ASHP SEER 19 replace ASHP - early replacement MF ER1_CompE</v>
      </c>
      <c r="G1888" s="2909"/>
      <c r="H1888" s="2909"/>
      <c r="I1888" s="2910"/>
      <c r="J1888" s="1657" t="str">
        <f>$C$1580</f>
        <v>354501_2019_12_</v>
      </c>
      <c r="K1888" s="1663">
        <v>510</v>
      </c>
      <c r="L1888" s="1124"/>
      <c r="M1888" s="2101" t="s">
        <v>953</v>
      </c>
      <c r="N1888" s="177"/>
      <c r="O1888" s="332"/>
      <c r="P1888" s="332"/>
      <c r="Q1888" s="332"/>
      <c r="R1888" s="332"/>
      <c r="S1888" s="177"/>
      <c r="T1888" s="177"/>
      <c r="U1888" s="177"/>
      <c r="V1888" s="2866"/>
      <c r="W1888" s="909"/>
      <c r="X1888" s="908"/>
      <c r="Y1888" s="908">
        <v>510</v>
      </c>
      <c r="Z1888" s="909"/>
      <c r="AA1888" s="909"/>
      <c r="AB1888" s="909"/>
      <c r="AC1888" s="909"/>
      <c r="AD1888" s="909"/>
      <c r="AE1888" s="909"/>
      <c r="AF1888" s="909"/>
      <c r="AG1888" s="909"/>
      <c r="BB1888" s="784"/>
      <c r="BC1888" s="785"/>
      <c r="BD1888" s="900"/>
      <c r="BE1888" s="797"/>
    </row>
    <row r="1889" spans="1:57" s="65" customFormat="1" ht="15" hidden="1" customHeight="1" outlineLevel="1" x14ac:dyDescent="0.25">
      <c r="A1889" s="785"/>
      <c r="B1889" s="177"/>
      <c r="C1889" s="455"/>
      <c r="D1889" s="2806"/>
      <c r="E1889" s="2856"/>
      <c r="F1889" s="2908" t="str">
        <f>$E$1582</f>
        <v>ASHP SEER 19 replace ASHP - early replacement MF ER2_CompE</v>
      </c>
      <c r="G1889" s="2909"/>
      <c r="H1889" s="2909"/>
      <c r="I1889" s="2910"/>
      <c r="J1889" s="1657" t="str">
        <f>$C$1582</f>
        <v>354501_2019_12_</v>
      </c>
      <c r="K1889" s="1663">
        <v>510</v>
      </c>
      <c r="L1889" s="1124"/>
      <c r="M1889" s="2101" t="s">
        <v>953</v>
      </c>
      <c r="N1889" s="177"/>
      <c r="O1889" s="332"/>
      <c r="P1889" s="332"/>
      <c r="Q1889" s="332"/>
      <c r="R1889" s="332"/>
      <c r="S1889" s="177"/>
      <c r="T1889" s="177"/>
      <c r="U1889" s="177"/>
      <c r="V1889" s="2866"/>
      <c r="W1889" s="909"/>
      <c r="X1889" s="908"/>
      <c r="Y1889" s="908">
        <v>510</v>
      </c>
      <c r="Z1889" s="909"/>
      <c r="AA1889" s="909"/>
      <c r="AB1889" s="909"/>
      <c r="AC1889" s="909"/>
      <c r="AD1889" s="909"/>
      <c r="AE1889" s="909"/>
      <c r="AF1889" s="909"/>
      <c r="AG1889" s="909"/>
      <c r="BB1889" s="784"/>
      <c r="BC1889" s="785"/>
      <c r="BD1889" s="900"/>
      <c r="BE1889" s="797"/>
    </row>
    <row r="1890" spans="1:57" s="65" customFormat="1" ht="15" hidden="1" customHeight="1" outlineLevel="1" x14ac:dyDescent="0.25">
      <c r="A1890" s="785"/>
      <c r="B1890" s="177"/>
      <c r="C1890" s="455"/>
      <c r="D1890" s="2806"/>
      <c r="E1890" s="2856"/>
      <c r="F1890" s="2908" t="str">
        <f>$E$1584</f>
        <v>ASHP SEER 20 replace ASHP - early replacement SF ER1</v>
      </c>
      <c r="G1890" s="2909"/>
      <c r="H1890" s="2909"/>
      <c r="I1890" s="2910"/>
      <c r="J1890" s="1657" t="str">
        <f>$C$1584</f>
        <v>354550_2019_12_</v>
      </c>
      <c r="K1890" s="1663">
        <v>1496</v>
      </c>
      <c r="L1890" s="1124"/>
      <c r="M1890" s="2101"/>
      <c r="N1890" s="177"/>
      <c r="O1890" s="332"/>
      <c r="P1890" s="332"/>
      <c r="Q1890" s="332"/>
      <c r="R1890" s="332"/>
      <c r="S1890" s="177"/>
      <c r="T1890" s="177"/>
      <c r="U1890" s="177"/>
      <c r="V1890" s="2866"/>
      <c r="W1890" s="909">
        <v>2009</v>
      </c>
      <c r="X1890" s="908">
        <v>1496</v>
      </c>
      <c r="Y1890" s="909">
        <v>1496</v>
      </c>
      <c r="Z1890" s="909"/>
      <c r="AA1890" s="909"/>
      <c r="AB1890" s="909"/>
      <c r="AC1890" s="909"/>
      <c r="AD1890" s="909"/>
      <c r="AE1890" s="909"/>
      <c r="AF1890" s="909"/>
      <c r="AG1890" s="909"/>
      <c r="BB1890" s="784"/>
      <c r="BC1890" s="785"/>
      <c r="BD1890" s="900"/>
      <c r="BE1890" s="797"/>
    </row>
    <row r="1891" spans="1:57" s="65" customFormat="1" ht="15" hidden="1" customHeight="1" outlineLevel="1" x14ac:dyDescent="0.25">
      <c r="A1891" s="785"/>
      <c r="B1891" s="177"/>
      <c r="C1891" s="455"/>
      <c r="D1891" s="2806"/>
      <c r="E1891" s="2856"/>
      <c r="F1891" s="2908" t="str">
        <f>$E$1586</f>
        <v>ASHP SEER 20 replace ASHP - early replacement SF ER2</v>
      </c>
      <c r="G1891" s="2909"/>
      <c r="H1891" s="2909"/>
      <c r="I1891" s="2910"/>
      <c r="J1891" s="1657" t="str">
        <f>$C$1586</f>
        <v>354550_2019_12_</v>
      </c>
      <c r="K1891" s="1663">
        <v>1496</v>
      </c>
      <c r="L1891" s="1124"/>
      <c r="M1891" s="2101"/>
      <c r="N1891" s="177"/>
      <c r="O1891" s="332"/>
      <c r="P1891" s="332"/>
      <c r="Q1891" s="332"/>
      <c r="R1891" s="332"/>
      <c r="S1891" s="177"/>
      <c r="T1891" s="177"/>
      <c r="U1891" s="177"/>
      <c r="V1891" s="2866"/>
      <c r="W1891" s="909">
        <v>2009</v>
      </c>
      <c r="X1891" s="908">
        <v>1496</v>
      </c>
      <c r="Y1891" s="909">
        <v>1496</v>
      </c>
      <c r="Z1891" s="909"/>
      <c r="AA1891" s="909"/>
      <c r="AB1891" s="909"/>
      <c r="AC1891" s="909"/>
      <c r="AD1891" s="909"/>
      <c r="AE1891" s="909"/>
      <c r="AF1891" s="909"/>
      <c r="AG1891" s="909"/>
      <c r="BB1891" s="784"/>
      <c r="BC1891" s="785"/>
      <c r="BD1891" s="900"/>
      <c r="BE1891" s="797"/>
    </row>
    <row r="1892" spans="1:57" s="65" customFormat="1" ht="15" hidden="1" customHeight="1" outlineLevel="1" x14ac:dyDescent="0.25">
      <c r="A1892" s="785"/>
      <c r="B1892" s="177"/>
      <c r="C1892" s="455"/>
      <c r="D1892" s="2806"/>
      <c r="E1892" s="2856"/>
      <c r="F1892" s="2908" t="str">
        <f>$E$1588</f>
        <v>ASHP SEER 20 replace ASHP - replace on fail SF</v>
      </c>
      <c r="G1892" s="2909"/>
      <c r="H1892" s="2909"/>
      <c r="I1892" s="2910"/>
      <c r="J1892" s="1657" t="str">
        <f>$C$1588</f>
        <v>354600_2019_12_</v>
      </c>
      <c r="K1892" s="1663">
        <v>1496</v>
      </c>
      <c r="L1892" s="1124"/>
      <c r="M1892" s="2101"/>
      <c r="N1892" s="177"/>
      <c r="O1892" s="332"/>
      <c r="P1892" s="332"/>
      <c r="Q1892" s="332"/>
      <c r="R1892" s="332"/>
      <c r="S1892" s="177"/>
      <c r="T1892" s="177"/>
      <c r="U1892" s="177"/>
      <c r="V1892" s="2866"/>
      <c r="W1892" s="909">
        <v>2009</v>
      </c>
      <c r="X1892" s="908">
        <v>1496</v>
      </c>
      <c r="Y1892" s="909">
        <v>1496</v>
      </c>
      <c r="Z1892" s="909"/>
      <c r="AA1892" s="909"/>
      <c r="AB1892" s="909"/>
      <c r="AC1892" s="909"/>
      <c r="AD1892" s="909"/>
      <c r="AE1892" s="909"/>
      <c r="AF1892" s="909"/>
      <c r="AG1892" s="909"/>
      <c r="BB1892" s="784"/>
      <c r="BC1892" s="785"/>
      <c r="BD1892" s="900"/>
      <c r="BE1892" s="797"/>
    </row>
    <row r="1893" spans="1:57" s="65" customFormat="1" ht="15" hidden="1" customHeight="1" outlineLevel="1" x14ac:dyDescent="0.25">
      <c r="A1893" s="785"/>
      <c r="B1893" s="177"/>
      <c r="C1893" s="455"/>
      <c r="D1893" s="2806"/>
      <c r="E1893" s="2856"/>
      <c r="F1893" s="2908" t="str">
        <f>$E$1590</f>
        <v>ASHP - SEER 20 - replace electric furnace / CAC - early replacement MF ER1</v>
      </c>
      <c r="G1893" s="2909"/>
      <c r="H1893" s="2909"/>
      <c r="I1893" s="2910"/>
      <c r="J1893" s="1657" t="str">
        <f>$C$1590</f>
        <v>354650_2019_12_</v>
      </c>
      <c r="K1893" s="1663">
        <v>1496</v>
      </c>
      <c r="L1893" s="1124"/>
      <c r="M1893" s="2101"/>
      <c r="N1893" s="177"/>
      <c r="O1893" s="332"/>
      <c r="P1893" s="332"/>
      <c r="Q1893" s="332"/>
      <c r="R1893" s="332"/>
      <c r="S1893" s="177"/>
      <c r="T1893" s="177"/>
      <c r="U1893" s="177"/>
      <c r="V1893" s="2866"/>
      <c r="W1893" s="909">
        <v>2009</v>
      </c>
      <c r="X1893" s="908">
        <v>1496</v>
      </c>
      <c r="Y1893" s="909">
        <v>1496</v>
      </c>
      <c r="Z1893" s="909"/>
      <c r="AA1893" s="909"/>
      <c r="AB1893" s="909"/>
      <c r="AC1893" s="909"/>
      <c r="AD1893" s="909"/>
      <c r="AE1893" s="909"/>
      <c r="AF1893" s="909"/>
      <c r="AG1893" s="909"/>
      <c r="BB1893" s="784"/>
      <c r="BC1893" s="785"/>
      <c r="BD1893" s="900"/>
      <c r="BE1893" s="797"/>
    </row>
    <row r="1894" spans="1:57" s="65" customFormat="1" ht="15" hidden="1" customHeight="1" outlineLevel="1" x14ac:dyDescent="0.25">
      <c r="A1894" s="785"/>
      <c r="B1894" s="177"/>
      <c r="C1894" s="455"/>
      <c r="D1894" s="2806"/>
      <c r="E1894" s="2856"/>
      <c r="F1894" s="2908" t="str">
        <f>$E$1592</f>
        <v>ASHP - SEER 20 - replace electric furnace / CAC - early replacement MF ER2</v>
      </c>
      <c r="G1894" s="2909"/>
      <c r="H1894" s="2909"/>
      <c r="I1894" s="2910"/>
      <c r="J1894" s="1657" t="str">
        <f>$C$1592</f>
        <v>354650_2019_12_</v>
      </c>
      <c r="K1894" s="1663">
        <v>1496</v>
      </c>
      <c r="L1894" s="1124"/>
      <c r="M1894" s="2101"/>
      <c r="N1894" s="177"/>
      <c r="O1894" s="332"/>
      <c r="P1894" s="332"/>
      <c r="Q1894" s="332"/>
      <c r="R1894" s="332"/>
      <c r="S1894" s="177"/>
      <c r="T1894" s="177"/>
      <c r="U1894" s="177"/>
      <c r="V1894" s="2866"/>
      <c r="W1894" s="909">
        <v>2009</v>
      </c>
      <c r="X1894" s="908">
        <v>1496</v>
      </c>
      <c r="Y1894" s="909">
        <v>1496</v>
      </c>
      <c r="Z1894" s="909"/>
      <c r="AA1894" s="909"/>
      <c r="AB1894" s="909"/>
      <c r="AC1894" s="909"/>
      <c r="AD1894" s="909"/>
      <c r="AE1894" s="909"/>
      <c r="AF1894" s="909"/>
      <c r="AG1894" s="909"/>
      <c r="BB1894" s="784"/>
      <c r="BC1894" s="785"/>
      <c r="BD1894" s="900"/>
      <c r="BE1894" s="797"/>
    </row>
    <row r="1895" spans="1:57" s="65" customFormat="1" ht="15" hidden="1" customHeight="1" outlineLevel="1" x14ac:dyDescent="0.25">
      <c r="A1895" s="785"/>
      <c r="B1895" s="177"/>
      <c r="C1895" s="455"/>
      <c r="D1895" s="2806"/>
      <c r="E1895" s="2856"/>
      <c r="F1895" s="2908" t="str">
        <f>$E$1594</f>
        <v>ASHP - SEER 20 - replace electric furnace / CAC - early replacement MF ER1_CompE</v>
      </c>
      <c r="G1895" s="2909"/>
      <c r="H1895" s="2909"/>
      <c r="I1895" s="2910"/>
      <c r="J1895" s="1657" t="str">
        <f>$C$1594</f>
        <v>354651_2019_12_</v>
      </c>
      <c r="K1895" s="1663">
        <v>510</v>
      </c>
      <c r="L1895" s="1124"/>
      <c r="M1895" s="2101" t="s">
        <v>953</v>
      </c>
      <c r="N1895" s="177"/>
      <c r="O1895" s="332"/>
      <c r="P1895" s="332"/>
      <c r="Q1895" s="332"/>
      <c r="R1895" s="332"/>
      <c r="S1895" s="177"/>
      <c r="T1895" s="177"/>
      <c r="U1895" s="177"/>
      <c r="V1895" s="2866"/>
      <c r="W1895" s="909"/>
      <c r="X1895" s="908"/>
      <c r="Y1895" s="908">
        <v>510</v>
      </c>
      <c r="Z1895" s="909"/>
      <c r="AA1895" s="909"/>
      <c r="AB1895" s="909"/>
      <c r="AC1895" s="909"/>
      <c r="AD1895" s="909"/>
      <c r="AE1895" s="909"/>
      <c r="AF1895" s="909"/>
      <c r="AG1895" s="909"/>
      <c r="BB1895" s="784"/>
      <c r="BC1895" s="785"/>
      <c r="BD1895" s="900"/>
      <c r="BE1895" s="797"/>
    </row>
    <row r="1896" spans="1:57" s="65" customFormat="1" ht="15" hidden="1" customHeight="1" outlineLevel="1" x14ac:dyDescent="0.25">
      <c r="A1896" s="785"/>
      <c r="B1896" s="177"/>
      <c r="C1896" s="455"/>
      <c r="D1896" s="2806"/>
      <c r="E1896" s="2856"/>
      <c r="F1896" s="2908" t="str">
        <f>$E$1596</f>
        <v>ASHP - SEER 20 - replace electric furnace / CAC - early replacement MF ER2_CompE</v>
      </c>
      <c r="G1896" s="2909"/>
      <c r="H1896" s="2909"/>
      <c r="I1896" s="2910"/>
      <c r="J1896" s="1657" t="str">
        <f>$C$1596</f>
        <v>354651_2019_12_</v>
      </c>
      <c r="K1896" s="1663">
        <v>510</v>
      </c>
      <c r="L1896" s="1124"/>
      <c r="M1896" s="2101" t="s">
        <v>953</v>
      </c>
      <c r="N1896" s="177"/>
      <c r="O1896" s="332"/>
      <c r="P1896" s="332"/>
      <c r="Q1896" s="332"/>
      <c r="R1896" s="332"/>
      <c r="S1896" s="177"/>
      <c r="T1896" s="177"/>
      <c r="U1896" s="177"/>
      <c r="V1896" s="2866"/>
      <c r="W1896" s="909"/>
      <c r="X1896" s="908"/>
      <c r="Y1896" s="908">
        <v>510</v>
      </c>
      <c r="Z1896" s="909"/>
      <c r="AA1896" s="909"/>
      <c r="AB1896" s="909"/>
      <c r="AC1896" s="909"/>
      <c r="AD1896" s="909"/>
      <c r="AE1896" s="909"/>
      <c r="AF1896" s="909"/>
      <c r="AG1896" s="909"/>
      <c r="BB1896" s="784"/>
      <c r="BC1896" s="785"/>
      <c r="BD1896" s="900"/>
      <c r="BE1896" s="797"/>
    </row>
    <row r="1897" spans="1:57" s="65" customFormat="1" ht="15" hidden="1" customHeight="1" outlineLevel="1" x14ac:dyDescent="0.25">
      <c r="A1897" s="785"/>
      <c r="B1897" s="177"/>
      <c r="C1897" s="455"/>
      <c r="D1897" s="2806"/>
      <c r="E1897" s="2856"/>
      <c r="F1897" s="2908" t="str">
        <f>$E$1598</f>
        <v>ASHP SEER 20 replace ASHP - early replacement MF ER1</v>
      </c>
      <c r="G1897" s="2909"/>
      <c r="H1897" s="2909"/>
      <c r="I1897" s="2910"/>
      <c r="J1897" s="1657" t="str">
        <f>$C$1598</f>
        <v>354700_2019_12_</v>
      </c>
      <c r="K1897" s="1663">
        <v>1496</v>
      </c>
      <c r="L1897" s="1124"/>
      <c r="M1897" s="2101"/>
      <c r="N1897" s="177"/>
      <c r="O1897" s="332"/>
      <c r="P1897" s="332"/>
      <c r="Q1897" s="332"/>
      <c r="R1897" s="332"/>
      <c r="S1897" s="177"/>
      <c r="T1897" s="177"/>
      <c r="U1897" s="177"/>
      <c r="V1897" s="2866"/>
      <c r="W1897" s="909">
        <v>2009</v>
      </c>
      <c r="X1897" s="908">
        <v>1496</v>
      </c>
      <c r="Y1897" s="909">
        <v>1496</v>
      </c>
      <c r="Z1897" s="909"/>
      <c r="AA1897" s="909"/>
      <c r="AB1897" s="909"/>
      <c r="AC1897" s="909"/>
      <c r="AD1897" s="909"/>
      <c r="AE1897" s="909"/>
      <c r="AF1897" s="909"/>
      <c r="AG1897" s="909"/>
      <c r="BB1897" s="784"/>
      <c r="BC1897" s="785"/>
      <c r="BD1897" s="900"/>
      <c r="BE1897" s="797"/>
    </row>
    <row r="1898" spans="1:57" s="65" customFormat="1" ht="15" hidden="1" customHeight="1" outlineLevel="1" x14ac:dyDescent="0.25">
      <c r="A1898" s="785"/>
      <c r="B1898" s="177"/>
      <c r="C1898" s="455"/>
      <c r="D1898" s="2806"/>
      <c r="E1898" s="2856"/>
      <c r="F1898" s="2908" t="str">
        <f>$E$1600</f>
        <v>ASHP SEER 20 replace ASHP - early replacement MF ER2</v>
      </c>
      <c r="G1898" s="2909"/>
      <c r="H1898" s="2909"/>
      <c r="I1898" s="2910"/>
      <c r="J1898" s="1657" t="str">
        <f>$C$1600</f>
        <v>354700_2019_12_</v>
      </c>
      <c r="K1898" s="1663">
        <v>1496</v>
      </c>
      <c r="L1898" s="1124"/>
      <c r="M1898" s="2101"/>
      <c r="N1898" s="177"/>
      <c r="O1898" s="332"/>
      <c r="P1898" s="332"/>
      <c r="Q1898" s="332"/>
      <c r="R1898" s="332"/>
      <c r="S1898" s="177"/>
      <c r="T1898" s="177"/>
      <c r="U1898" s="177"/>
      <c r="V1898" s="2866"/>
      <c r="W1898" s="909">
        <v>2009</v>
      </c>
      <c r="X1898" s="908">
        <v>1496</v>
      </c>
      <c r="Y1898" s="909">
        <v>1496</v>
      </c>
      <c r="Z1898" s="909"/>
      <c r="AA1898" s="909"/>
      <c r="AB1898" s="909"/>
      <c r="AC1898" s="909"/>
      <c r="AD1898" s="909"/>
      <c r="AE1898" s="909"/>
      <c r="AF1898" s="909"/>
      <c r="AG1898" s="909"/>
      <c r="BB1898" s="784"/>
      <c r="BC1898" s="785"/>
      <c r="BD1898" s="900"/>
      <c r="BE1898" s="797"/>
    </row>
    <row r="1899" spans="1:57" s="65" customFormat="1" ht="15" hidden="1" customHeight="1" outlineLevel="1" x14ac:dyDescent="0.25">
      <c r="A1899" s="785"/>
      <c r="B1899" s="177"/>
      <c r="C1899" s="455"/>
      <c r="D1899" s="2806"/>
      <c r="E1899" s="2856"/>
      <c r="F1899" s="2908" t="str">
        <f>$E$1602</f>
        <v>ASHP SEER 20 replace ASHP - early replacement MF ER1_CompE</v>
      </c>
      <c r="G1899" s="2909"/>
      <c r="H1899" s="2909"/>
      <c r="I1899" s="2910"/>
      <c r="J1899" s="1657" t="str">
        <f>$C$1602</f>
        <v>354701_2019_12_</v>
      </c>
      <c r="K1899" s="1663">
        <v>510</v>
      </c>
      <c r="L1899" s="1124"/>
      <c r="M1899" s="2101" t="s">
        <v>953</v>
      </c>
      <c r="N1899" s="177"/>
      <c r="O1899" s="332"/>
      <c r="P1899" s="332"/>
      <c r="Q1899" s="332"/>
      <c r="R1899" s="332"/>
      <c r="S1899" s="177"/>
      <c r="T1899" s="177"/>
      <c r="U1899" s="177"/>
      <c r="V1899" s="2866"/>
      <c r="W1899" s="909"/>
      <c r="X1899" s="908"/>
      <c r="Y1899" s="908">
        <v>510</v>
      </c>
      <c r="Z1899" s="909"/>
      <c r="AA1899" s="909"/>
      <c r="AB1899" s="909"/>
      <c r="AC1899" s="909"/>
      <c r="AD1899" s="909"/>
      <c r="AE1899" s="909"/>
      <c r="AF1899" s="909"/>
      <c r="AG1899" s="909"/>
      <c r="BB1899" s="784"/>
      <c r="BC1899" s="785"/>
      <c r="BD1899" s="900"/>
      <c r="BE1899" s="797"/>
    </row>
    <row r="1900" spans="1:57" s="65" customFormat="1" ht="15" hidden="1" customHeight="1" outlineLevel="1" x14ac:dyDescent="0.25">
      <c r="A1900" s="785"/>
      <c r="B1900" s="177"/>
      <c r="C1900" s="455"/>
      <c r="D1900" s="2806"/>
      <c r="E1900" s="2856"/>
      <c r="F1900" s="2908" t="str">
        <f>$E$1604</f>
        <v>ASHP SEER 20 replace ASHP - early replacement MF ER2_CompE</v>
      </c>
      <c r="G1900" s="2909"/>
      <c r="H1900" s="2909"/>
      <c r="I1900" s="2910"/>
      <c r="J1900" s="1657" t="str">
        <f>$C$1604</f>
        <v>354701_2019_12_</v>
      </c>
      <c r="K1900" s="1663">
        <v>510</v>
      </c>
      <c r="L1900" s="1124"/>
      <c r="M1900" s="2101" t="s">
        <v>953</v>
      </c>
      <c r="N1900" s="177"/>
      <c r="O1900" s="332"/>
      <c r="P1900" s="332"/>
      <c r="Q1900" s="332"/>
      <c r="R1900" s="332"/>
      <c r="S1900" s="177"/>
      <c r="T1900" s="177"/>
      <c r="U1900" s="177"/>
      <c r="V1900" s="2866"/>
      <c r="W1900" s="909"/>
      <c r="X1900" s="908"/>
      <c r="Y1900" s="908">
        <v>510</v>
      </c>
      <c r="Z1900" s="909"/>
      <c r="AA1900" s="909"/>
      <c r="AB1900" s="909"/>
      <c r="AC1900" s="909"/>
      <c r="AD1900" s="909"/>
      <c r="AE1900" s="909"/>
      <c r="AF1900" s="909"/>
      <c r="AG1900" s="909"/>
      <c r="BB1900" s="784"/>
      <c r="BC1900" s="785"/>
      <c r="BD1900" s="900"/>
      <c r="BE1900" s="797"/>
    </row>
    <row r="1901" spans="1:57" s="65" customFormat="1" ht="15" hidden="1" customHeight="1" outlineLevel="1" x14ac:dyDescent="0.25">
      <c r="A1901" s="785"/>
      <c r="B1901" s="177"/>
      <c r="C1901" s="455"/>
      <c r="D1901" s="2806"/>
      <c r="E1901" s="2856"/>
      <c r="F1901" s="2908" t="str">
        <f>$E$1606</f>
        <v>ASHP SEER 21 replace ASHP - early replacement SF ER1</v>
      </c>
      <c r="G1901" s="2909"/>
      <c r="H1901" s="2909"/>
      <c r="I1901" s="2910"/>
      <c r="J1901" s="1657" t="str">
        <f>$C$1606</f>
        <v>354750_2019_12_</v>
      </c>
      <c r="K1901" s="1663">
        <v>1496</v>
      </c>
      <c r="L1901" s="1124"/>
      <c r="M1901" s="2101"/>
      <c r="N1901" s="177"/>
      <c r="O1901" s="332"/>
      <c r="P1901" s="332"/>
      <c r="Q1901" s="332"/>
      <c r="R1901" s="332"/>
      <c r="S1901" s="177"/>
      <c r="T1901" s="177"/>
      <c r="U1901" s="177"/>
      <c r="V1901" s="2866"/>
      <c r="W1901" s="909">
        <v>2009</v>
      </c>
      <c r="X1901" s="908">
        <v>1496</v>
      </c>
      <c r="Y1901" s="909">
        <v>1496</v>
      </c>
      <c r="Z1901" s="909"/>
      <c r="AA1901" s="909"/>
      <c r="AB1901" s="909"/>
      <c r="AC1901" s="909"/>
      <c r="AD1901" s="909"/>
      <c r="AE1901" s="909"/>
      <c r="AF1901" s="909"/>
      <c r="AG1901" s="909"/>
      <c r="BB1901" s="784"/>
      <c r="BC1901" s="785"/>
      <c r="BD1901" s="900"/>
      <c r="BE1901" s="797"/>
    </row>
    <row r="1902" spans="1:57" s="65" customFormat="1" ht="15" hidden="1" customHeight="1" outlineLevel="1" x14ac:dyDescent="0.25">
      <c r="A1902" s="785"/>
      <c r="B1902" s="177"/>
      <c r="C1902" s="455"/>
      <c r="D1902" s="2806"/>
      <c r="E1902" s="2856"/>
      <c r="F1902" s="2908" t="str">
        <f>$E$1608</f>
        <v>ASHP SEER 21 replace ASHP - early replacement SF ER2</v>
      </c>
      <c r="G1902" s="2909"/>
      <c r="H1902" s="2909"/>
      <c r="I1902" s="2910"/>
      <c r="J1902" s="1657" t="str">
        <f>$C$1608</f>
        <v>354750_2019_12_</v>
      </c>
      <c r="K1902" s="1663">
        <v>1496</v>
      </c>
      <c r="L1902" s="1124"/>
      <c r="M1902" s="2101"/>
      <c r="N1902" s="177"/>
      <c r="O1902" s="332"/>
      <c r="P1902" s="332"/>
      <c r="Q1902" s="332"/>
      <c r="R1902" s="332"/>
      <c r="S1902" s="177"/>
      <c r="T1902" s="177"/>
      <c r="U1902" s="177"/>
      <c r="V1902" s="2866"/>
      <c r="W1902" s="909">
        <v>2009</v>
      </c>
      <c r="X1902" s="908">
        <v>1496</v>
      </c>
      <c r="Y1902" s="909">
        <v>1496</v>
      </c>
      <c r="Z1902" s="909"/>
      <c r="AA1902" s="909"/>
      <c r="AB1902" s="909"/>
      <c r="AC1902" s="909"/>
      <c r="AD1902" s="909"/>
      <c r="AE1902" s="909"/>
      <c r="AF1902" s="909"/>
      <c r="AG1902" s="909"/>
      <c r="BB1902" s="784"/>
      <c r="BC1902" s="785"/>
      <c r="BD1902" s="900"/>
      <c r="BE1902" s="797"/>
    </row>
    <row r="1903" spans="1:57" s="65" customFormat="1" ht="15" hidden="1" customHeight="1" outlineLevel="1" x14ac:dyDescent="0.25">
      <c r="A1903" s="785"/>
      <c r="B1903" s="177"/>
      <c r="C1903" s="455"/>
      <c r="D1903" s="2806"/>
      <c r="E1903" s="2856"/>
      <c r="F1903" s="2908" t="str">
        <f>$E$1610</f>
        <v>ASHP SEER 21 replace ASHP - replace on fail SF</v>
      </c>
      <c r="G1903" s="2909"/>
      <c r="H1903" s="2909"/>
      <c r="I1903" s="2910"/>
      <c r="J1903" s="1657" t="str">
        <f>$C$1610</f>
        <v>354800_2019_12_</v>
      </c>
      <c r="K1903" s="1663">
        <v>1496</v>
      </c>
      <c r="L1903" s="1124"/>
      <c r="M1903" s="2101"/>
      <c r="N1903" s="177"/>
      <c r="O1903" s="332"/>
      <c r="P1903" s="332"/>
      <c r="Q1903" s="332"/>
      <c r="R1903" s="332"/>
      <c r="S1903" s="177"/>
      <c r="T1903" s="177"/>
      <c r="U1903" s="177"/>
      <c r="V1903" s="2866"/>
      <c r="W1903" s="909">
        <v>2009</v>
      </c>
      <c r="X1903" s="908">
        <v>1496</v>
      </c>
      <c r="Y1903" s="909">
        <v>1496</v>
      </c>
      <c r="Z1903" s="909"/>
      <c r="AA1903" s="909"/>
      <c r="AB1903" s="909"/>
      <c r="AC1903" s="909"/>
      <c r="AD1903" s="909"/>
      <c r="AE1903" s="909"/>
      <c r="AF1903" s="909"/>
      <c r="AG1903" s="909"/>
      <c r="BB1903" s="784"/>
      <c r="BC1903" s="785"/>
      <c r="BD1903" s="900"/>
      <c r="BE1903" s="797"/>
    </row>
    <row r="1904" spans="1:57" s="65" customFormat="1" ht="15" hidden="1" customHeight="1" outlineLevel="1" x14ac:dyDescent="0.25">
      <c r="A1904" s="785"/>
      <c r="B1904" s="177"/>
      <c r="C1904" s="455"/>
      <c r="D1904" s="2806"/>
      <c r="E1904" s="2856"/>
      <c r="F1904" s="2908" t="str">
        <f>$E$1612</f>
        <v>ASHP - SEER 21 - replace electric furnace / CAC MF</v>
      </c>
      <c r="G1904" s="2909"/>
      <c r="H1904" s="2909"/>
      <c r="I1904" s="2910"/>
      <c r="J1904" s="1657" t="str">
        <f>$C$1612</f>
        <v>354850_2019_12_</v>
      </c>
      <c r="K1904" s="1663">
        <v>1496</v>
      </c>
      <c r="L1904" s="1124"/>
      <c r="M1904" s="2101"/>
      <c r="N1904" s="177"/>
      <c r="O1904" s="332"/>
      <c r="P1904" s="332"/>
      <c r="Q1904" s="332"/>
      <c r="R1904" s="332"/>
      <c r="S1904" s="177"/>
      <c r="T1904" s="177"/>
      <c r="U1904" s="177"/>
      <c r="V1904" s="2866"/>
      <c r="W1904" s="909">
        <v>2009</v>
      </c>
      <c r="X1904" s="908">
        <v>1496</v>
      </c>
      <c r="Y1904" s="909">
        <v>1496</v>
      </c>
      <c r="Z1904" s="909"/>
      <c r="AA1904" s="909"/>
      <c r="AB1904" s="909"/>
      <c r="AC1904" s="909"/>
      <c r="AD1904" s="909"/>
      <c r="AE1904" s="909"/>
      <c r="AF1904" s="909"/>
      <c r="AG1904" s="909"/>
      <c r="BB1904" s="784"/>
      <c r="BC1904" s="785"/>
      <c r="BD1904" s="900"/>
      <c r="BE1904" s="797"/>
    </row>
    <row r="1905" spans="1:57" s="65" customFormat="1" ht="15" hidden="1" customHeight="1" outlineLevel="1" x14ac:dyDescent="0.25">
      <c r="A1905" s="785"/>
      <c r="B1905" s="177"/>
      <c r="C1905" s="455"/>
      <c r="D1905" s="2806"/>
      <c r="E1905" s="2856"/>
      <c r="F1905" s="2908" t="str">
        <f>$E$1614</f>
        <v>ASHP - SEER 21 - replace electric furnace / CAC MF_CompE</v>
      </c>
      <c r="G1905" s="2909"/>
      <c r="H1905" s="2909"/>
      <c r="I1905" s="2910"/>
      <c r="J1905" s="1657" t="str">
        <f>$C$1614</f>
        <v>354851_2019_12_</v>
      </c>
      <c r="K1905" s="1663">
        <v>510</v>
      </c>
      <c r="L1905" s="1124"/>
      <c r="M1905" s="2101" t="s">
        <v>953</v>
      </c>
      <c r="N1905" s="177"/>
      <c r="O1905" s="332"/>
      <c r="P1905" s="332"/>
      <c r="Q1905" s="332"/>
      <c r="R1905" s="332"/>
      <c r="S1905" s="177"/>
      <c r="T1905" s="177"/>
      <c r="U1905" s="177"/>
      <c r="V1905" s="2866"/>
      <c r="W1905" s="909"/>
      <c r="X1905" s="908"/>
      <c r="Y1905" s="908">
        <v>510</v>
      </c>
      <c r="Z1905" s="909"/>
      <c r="AA1905" s="909"/>
      <c r="AB1905" s="909"/>
      <c r="AC1905" s="909"/>
      <c r="AD1905" s="909"/>
      <c r="AE1905" s="909"/>
      <c r="AF1905" s="909"/>
      <c r="AG1905" s="909"/>
      <c r="BB1905" s="784"/>
      <c r="BC1905" s="785"/>
      <c r="BD1905" s="900"/>
      <c r="BE1905" s="797"/>
    </row>
    <row r="1906" spans="1:57" s="65" customFormat="1" ht="15" hidden="1" customHeight="1" outlineLevel="1" x14ac:dyDescent="0.25">
      <c r="A1906" s="785"/>
      <c r="B1906" s="177"/>
      <c r="C1906" s="455"/>
      <c r="D1906" s="2806"/>
      <c r="E1906" s="2856"/>
      <c r="F1906" s="2908" t="str">
        <f>$E$1616</f>
        <v>ASHP SEER 21 replace ASHP - early replacement MF ER1</v>
      </c>
      <c r="G1906" s="2909"/>
      <c r="H1906" s="2909"/>
      <c r="I1906" s="2910"/>
      <c r="J1906" s="1657" t="str">
        <f>$C$1616</f>
        <v>354900_2019_12_</v>
      </c>
      <c r="K1906" s="1663">
        <v>1496</v>
      </c>
      <c r="L1906" s="1124"/>
      <c r="M1906" s="2101"/>
      <c r="N1906" s="177"/>
      <c r="O1906" s="332"/>
      <c r="P1906" s="332"/>
      <c r="Q1906" s="332"/>
      <c r="R1906" s="332"/>
      <c r="S1906" s="177"/>
      <c r="T1906" s="177"/>
      <c r="U1906" s="177"/>
      <c r="V1906" s="2866"/>
      <c r="W1906" s="909">
        <v>2009</v>
      </c>
      <c r="X1906" s="908">
        <v>1496</v>
      </c>
      <c r="Y1906" s="909">
        <v>1496</v>
      </c>
      <c r="Z1906" s="909"/>
      <c r="AA1906" s="909"/>
      <c r="AB1906" s="909"/>
      <c r="AC1906" s="909"/>
      <c r="AD1906" s="909"/>
      <c r="AE1906" s="909"/>
      <c r="AF1906" s="909"/>
      <c r="AG1906" s="909"/>
      <c r="BB1906" s="784"/>
      <c r="BC1906" s="785"/>
      <c r="BD1906" s="900"/>
      <c r="BE1906" s="797"/>
    </row>
    <row r="1907" spans="1:57" s="65" customFormat="1" ht="15" hidden="1" customHeight="1" outlineLevel="1" x14ac:dyDescent="0.25">
      <c r="A1907" s="785"/>
      <c r="B1907" s="177"/>
      <c r="C1907" s="455"/>
      <c r="D1907" s="2806"/>
      <c r="E1907" s="2856"/>
      <c r="F1907" s="2908" t="str">
        <f>$E$1618</f>
        <v>ASHP SEER 21 replace ASHP - early replacement MF ER2</v>
      </c>
      <c r="G1907" s="2909"/>
      <c r="H1907" s="2909"/>
      <c r="I1907" s="2910"/>
      <c r="J1907" s="1657" t="str">
        <f>$C$1618</f>
        <v>354900_2019_12_</v>
      </c>
      <c r="K1907" s="1663">
        <v>1496</v>
      </c>
      <c r="L1907" s="1124"/>
      <c r="M1907" s="2101"/>
      <c r="N1907" s="177"/>
      <c r="O1907" s="332"/>
      <c r="P1907" s="332"/>
      <c r="Q1907" s="332"/>
      <c r="R1907" s="332"/>
      <c r="S1907" s="177"/>
      <c r="T1907" s="177"/>
      <c r="U1907" s="177"/>
      <c r="V1907" s="2866"/>
      <c r="W1907" s="909">
        <v>2009</v>
      </c>
      <c r="X1907" s="908">
        <v>1496</v>
      </c>
      <c r="Y1907" s="909">
        <v>1496</v>
      </c>
      <c r="Z1907" s="909"/>
      <c r="AA1907" s="909"/>
      <c r="AB1907" s="909"/>
      <c r="AC1907" s="909"/>
      <c r="AD1907" s="909"/>
      <c r="AE1907" s="909"/>
      <c r="AF1907" s="909"/>
      <c r="AG1907" s="909"/>
      <c r="BB1907" s="784"/>
      <c r="BC1907" s="785"/>
      <c r="BD1907" s="900"/>
      <c r="BE1907" s="797"/>
    </row>
    <row r="1908" spans="1:57" s="65" customFormat="1" ht="15" hidden="1" customHeight="1" outlineLevel="1" x14ac:dyDescent="0.25">
      <c r="A1908" s="785"/>
      <c r="B1908" s="177"/>
      <c r="C1908" s="455"/>
      <c r="D1908" s="2806"/>
      <c r="E1908" s="2856"/>
      <c r="F1908" s="2908" t="str">
        <f>$E$1620</f>
        <v>ASHP SEER 21 replace ASHP - early replacement MF ER1_CompE</v>
      </c>
      <c r="G1908" s="2909"/>
      <c r="H1908" s="2909"/>
      <c r="I1908" s="2910"/>
      <c r="J1908" s="1657" t="str">
        <f>$C$1620</f>
        <v>354901_2019_12_</v>
      </c>
      <c r="K1908" s="1663">
        <v>510</v>
      </c>
      <c r="L1908" s="1124"/>
      <c r="M1908" s="2101" t="s">
        <v>953</v>
      </c>
      <c r="N1908" s="177"/>
      <c r="O1908" s="332"/>
      <c r="P1908" s="332"/>
      <c r="Q1908" s="332"/>
      <c r="R1908" s="332"/>
      <c r="S1908" s="177"/>
      <c r="T1908" s="177"/>
      <c r="U1908" s="177"/>
      <c r="V1908" s="2866"/>
      <c r="W1908" s="909"/>
      <c r="X1908" s="908"/>
      <c r="Y1908" s="908">
        <v>510</v>
      </c>
      <c r="Z1908" s="909"/>
      <c r="AA1908" s="909"/>
      <c r="AB1908" s="909"/>
      <c r="AC1908" s="909"/>
      <c r="AD1908" s="909"/>
      <c r="AE1908" s="909"/>
      <c r="AF1908" s="909"/>
      <c r="AG1908" s="909"/>
      <c r="BB1908" s="784"/>
      <c r="BC1908" s="785"/>
      <c r="BD1908" s="900"/>
      <c r="BE1908" s="797"/>
    </row>
    <row r="1909" spans="1:57" s="65" customFormat="1" ht="15" hidden="1" customHeight="1" outlineLevel="1" x14ac:dyDescent="0.25">
      <c r="A1909" s="785"/>
      <c r="B1909" s="177"/>
      <c r="C1909" s="455"/>
      <c r="D1909" s="2806"/>
      <c r="E1909" s="2856"/>
      <c r="F1909" s="2908" t="str">
        <f>$E$1622</f>
        <v>ASHP SEER 21 replace ASHP - early replacement MF ER2_CompE</v>
      </c>
      <c r="G1909" s="2909"/>
      <c r="H1909" s="2909"/>
      <c r="I1909" s="2910"/>
      <c r="J1909" s="1657" t="str">
        <f>$C$1622</f>
        <v>354901_2019_12_</v>
      </c>
      <c r="K1909" s="1663">
        <v>510</v>
      </c>
      <c r="L1909" s="1124"/>
      <c r="M1909" s="2101" t="s">
        <v>953</v>
      </c>
      <c r="N1909" s="177"/>
      <c r="O1909" s="332"/>
      <c r="P1909" s="332"/>
      <c r="Q1909" s="332"/>
      <c r="R1909" s="332"/>
      <c r="S1909" s="177"/>
      <c r="T1909" s="177"/>
      <c r="U1909" s="177"/>
      <c r="V1909" s="2866"/>
      <c r="W1909" s="909"/>
      <c r="X1909" s="908"/>
      <c r="Y1909" s="908">
        <v>510</v>
      </c>
      <c r="Z1909" s="909"/>
      <c r="AA1909" s="909"/>
      <c r="AB1909" s="909"/>
      <c r="AC1909" s="909"/>
      <c r="AD1909" s="909"/>
      <c r="AE1909" s="909"/>
      <c r="AF1909" s="909"/>
      <c r="AG1909" s="909"/>
      <c r="BB1909" s="784"/>
      <c r="BC1909" s="785"/>
      <c r="BD1909" s="900"/>
      <c r="BE1909" s="797"/>
    </row>
    <row r="1910" spans="1:57" s="65" customFormat="1" ht="15" hidden="1" customHeight="1" outlineLevel="1" x14ac:dyDescent="0.25">
      <c r="A1910" s="785"/>
      <c r="B1910" s="177"/>
      <c r="C1910" s="455"/>
      <c r="D1910" s="2806"/>
      <c r="E1910" s="2856"/>
      <c r="F1910" s="2908" t="str">
        <f>$E$1624</f>
        <v>ASHP - SEER 17 - replace on fail MF</v>
      </c>
      <c r="G1910" s="2909"/>
      <c r="H1910" s="2909"/>
      <c r="I1910" s="2910"/>
      <c r="J1910" s="1657" t="str">
        <f>$C$1624</f>
        <v>354950_2019_12_</v>
      </c>
      <c r="K1910" s="1663">
        <v>1496</v>
      </c>
      <c r="L1910" s="1124"/>
      <c r="M1910" s="2101"/>
      <c r="N1910" s="177"/>
      <c r="O1910" s="332"/>
      <c r="P1910" s="332"/>
      <c r="Q1910" s="332"/>
      <c r="R1910" s="332"/>
      <c r="S1910" s="177"/>
      <c r="T1910" s="177"/>
      <c r="U1910" s="177"/>
      <c r="V1910" s="2866"/>
      <c r="W1910" s="909">
        <v>2009</v>
      </c>
      <c r="X1910" s="908">
        <v>1496</v>
      </c>
      <c r="Y1910" s="909">
        <v>1496</v>
      </c>
      <c r="Z1910" s="909"/>
      <c r="AA1910" s="909"/>
      <c r="AB1910" s="909"/>
      <c r="AC1910" s="909"/>
      <c r="AD1910" s="909"/>
      <c r="AE1910" s="909"/>
      <c r="AF1910" s="909"/>
      <c r="AG1910" s="909"/>
      <c r="BB1910" s="784"/>
      <c r="BC1910" s="785"/>
      <c r="BD1910" s="900"/>
      <c r="BE1910" s="797"/>
    </row>
    <row r="1911" spans="1:57" s="65" customFormat="1" ht="15" hidden="1" customHeight="1" outlineLevel="1" x14ac:dyDescent="0.25">
      <c r="A1911" s="785"/>
      <c r="B1911" s="177"/>
      <c r="C1911" s="455"/>
      <c r="D1911" s="2806"/>
      <c r="E1911" s="2856"/>
      <c r="F1911" s="2908" t="str">
        <f>$E$1626</f>
        <v>ASHP - SEER 17 - replace on fail MF_CompE</v>
      </c>
      <c r="G1911" s="2909"/>
      <c r="H1911" s="2909"/>
      <c r="I1911" s="2910"/>
      <c r="J1911" s="1657" t="str">
        <f>$C$1626</f>
        <v>354951_2019_12_</v>
      </c>
      <c r="K1911" s="1663">
        <v>510</v>
      </c>
      <c r="L1911" s="1124"/>
      <c r="M1911" s="2101" t="s">
        <v>953</v>
      </c>
      <c r="N1911" s="177"/>
      <c r="O1911" s="332"/>
      <c r="P1911" s="332"/>
      <c r="Q1911" s="332"/>
      <c r="R1911" s="332"/>
      <c r="S1911" s="177"/>
      <c r="T1911" s="177"/>
      <c r="U1911" s="177"/>
      <c r="V1911" s="2866"/>
      <c r="W1911" s="909"/>
      <c r="X1911" s="908"/>
      <c r="Y1911" s="908">
        <v>510</v>
      </c>
      <c r="Z1911" s="909"/>
      <c r="AA1911" s="909"/>
      <c r="AB1911" s="909"/>
      <c r="AC1911" s="909"/>
      <c r="AD1911" s="909"/>
      <c r="AE1911" s="909"/>
      <c r="AF1911" s="909"/>
      <c r="AG1911" s="909"/>
      <c r="BB1911" s="784"/>
      <c r="BC1911" s="785"/>
      <c r="BD1911" s="900"/>
      <c r="BE1911" s="797"/>
    </row>
    <row r="1912" spans="1:57" s="65" customFormat="1" ht="15" hidden="1" customHeight="1" outlineLevel="1" x14ac:dyDescent="0.25">
      <c r="A1912" s="718"/>
      <c r="B1912" s="177"/>
      <c r="C1912" s="455"/>
      <c r="D1912" s="2806"/>
      <c r="E1912" s="2856"/>
      <c r="F1912" s="2908" t="str">
        <f>$E$1628</f>
        <v>ASHP - SEER 18 - replace on fail MF</v>
      </c>
      <c r="G1912" s="2909"/>
      <c r="H1912" s="2909"/>
      <c r="I1912" s="2910"/>
      <c r="J1912" s="1657" t="str">
        <f>$C$1628</f>
        <v>355000_2019_12_</v>
      </c>
      <c r="K1912" s="1663">
        <v>1496</v>
      </c>
      <c r="L1912" s="1124"/>
      <c r="M1912" s="2101"/>
      <c r="N1912" s="177"/>
      <c r="O1912" s="332"/>
      <c r="P1912" s="1116"/>
      <c r="Q1912" s="1117"/>
      <c r="R1912" s="1116"/>
      <c r="S1912" s="1103"/>
      <c r="T1912" s="1639"/>
      <c r="U1912" s="177"/>
      <c r="V1912" s="2866"/>
      <c r="W1912" s="909">
        <v>2009</v>
      </c>
      <c r="X1912" s="908">
        <v>1496</v>
      </c>
      <c r="Y1912" s="909">
        <v>1496</v>
      </c>
      <c r="Z1912" s="909"/>
      <c r="AA1912" s="909"/>
      <c r="AB1912" s="909"/>
      <c r="AC1912" s="909"/>
      <c r="AD1912" s="909"/>
      <c r="AE1912" s="909"/>
      <c r="AF1912" s="909"/>
      <c r="AG1912" s="909"/>
      <c r="BB1912" s="784"/>
      <c r="BC1912" s="785"/>
      <c r="BD1912" s="900"/>
      <c r="BE1912" s="797"/>
    </row>
    <row r="1913" spans="1:57" s="65" customFormat="1" ht="15" hidden="1" customHeight="1" outlineLevel="1" x14ac:dyDescent="0.25">
      <c r="A1913" s="718"/>
      <c r="B1913" s="177"/>
      <c r="C1913" s="455"/>
      <c r="D1913" s="2806"/>
      <c r="E1913" s="2856"/>
      <c r="F1913" s="2908" t="str">
        <f>$E$1630</f>
        <v>ASHP - SEER 18 - replace on fail MF_CompE</v>
      </c>
      <c r="G1913" s="2909"/>
      <c r="H1913" s="2909"/>
      <c r="I1913" s="2910"/>
      <c r="J1913" s="1657" t="str">
        <f>$C$1630</f>
        <v>355001_2019_12_</v>
      </c>
      <c r="K1913" s="1663">
        <v>510</v>
      </c>
      <c r="L1913" s="1124"/>
      <c r="M1913" s="2101" t="s">
        <v>953</v>
      </c>
      <c r="N1913" s="177"/>
      <c r="O1913" s="332"/>
      <c r="P1913" s="1116"/>
      <c r="Q1913" s="1117"/>
      <c r="R1913" s="1116"/>
      <c r="S1913" s="1103"/>
      <c r="T1913" s="1639"/>
      <c r="U1913" s="177"/>
      <c r="V1913" s="2866"/>
      <c r="W1913" s="909"/>
      <c r="X1913" s="908"/>
      <c r="Y1913" s="908">
        <v>510</v>
      </c>
      <c r="Z1913" s="909"/>
      <c r="AA1913" s="909"/>
      <c r="AB1913" s="909"/>
      <c r="AC1913" s="909"/>
      <c r="AD1913" s="909"/>
      <c r="AE1913" s="909"/>
      <c r="AF1913" s="909"/>
      <c r="AG1913" s="909"/>
      <c r="BB1913" s="784"/>
      <c r="BC1913" s="785"/>
      <c r="BD1913" s="900"/>
      <c r="BE1913" s="797"/>
    </row>
    <row r="1914" spans="1:57" s="65" customFormat="1" ht="15" hidden="1" customHeight="1" outlineLevel="1" x14ac:dyDescent="0.25">
      <c r="A1914" s="718"/>
      <c r="B1914" s="177"/>
      <c r="C1914" s="455"/>
      <c r="D1914" s="2806"/>
      <c r="E1914" s="2856"/>
      <c r="F1914" s="2908" t="str">
        <f>$E$1632</f>
        <v>ASHP - SEER 19 - replace on fail MF</v>
      </c>
      <c r="G1914" s="2909"/>
      <c r="H1914" s="2909"/>
      <c r="I1914" s="2910"/>
      <c r="J1914" s="1657" t="str">
        <f>$C$1632</f>
        <v>355050_2019_12_</v>
      </c>
      <c r="K1914" s="1663">
        <v>1496</v>
      </c>
      <c r="L1914" s="1124"/>
      <c r="M1914" s="2101"/>
      <c r="N1914" s="177"/>
      <c r="O1914" s="332"/>
      <c r="P1914" s="1116"/>
      <c r="Q1914" s="1117"/>
      <c r="R1914" s="1116"/>
      <c r="S1914" s="1103"/>
      <c r="T1914" s="1639"/>
      <c r="U1914" s="177"/>
      <c r="V1914" s="2866"/>
      <c r="W1914" s="909">
        <v>2009</v>
      </c>
      <c r="X1914" s="908">
        <v>1496</v>
      </c>
      <c r="Y1914" s="909">
        <v>1496</v>
      </c>
      <c r="Z1914" s="909"/>
      <c r="AA1914" s="909"/>
      <c r="AB1914" s="909"/>
      <c r="AC1914" s="909"/>
      <c r="AD1914" s="909"/>
      <c r="AE1914" s="909"/>
      <c r="AF1914" s="909"/>
      <c r="AG1914" s="909"/>
      <c r="BB1914" s="784"/>
      <c r="BC1914" s="785"/>
      <c r="BD1914" s="900"/>
      <c r="BE1914" s="797"/>
    </row>
    <row r="1915" spans="1:57" s="65" customFormat="1" ht="15" hidden="1" customHeight="1" outlineLevel="1" x14ac:dyDescent="0.25">
      <c r="A1915" s="718"/>
      <c r="B1915" s="177"/>
      <c r="C1915" s="455"/>
      <c r="D1915" s="2806"/>
      <c r="E1915" s="2856"/>
      <c r="F1915" s="2908" t="str">
        <f>$E$1634</f>
        <v>ASHP - SEER 19 - replace on fail MF_CompE</v>
      </c>
      <c r="G1915" s="2909"/>
      <c r="H1915" s="2909"/>
      <c r="I1915" s="2910"/>
      <c r="J1915" s="1657" t="str">
        <f>$C$1634</f>
        <v>355051_2019_12_</v>
      </c>
      <c r="K1915" s="1663">
        <v>510</v>
      </c>
      <c r="L1915" s="1124"/>
      <c r="M1915" s="2101" t="s">
        <v>953</v>
      </c>
      <c r="N1915" s="177"/>
      <c r="O1915" s="332"/>
      <c r="P1915" s="1116"/>
      <c r="Q1915" s="1117"/>
      <c r="R1915" s="1116"/>
      <c r="S1915" s="1103"/>
      <c r="T1915" s="1639"/>
      <c r="U1915" s="177"/>
      <c r="V1915" s="2866"/>
      <c r="W1915" s="909"/>
      <c r="X1915" s="908"/>
      <c r="Y1915" s="908">
        <v>510</v>
      </c>
      <c r="Z1915" s="909"/>
      <c r="AA1915" s="909"/>
      <c r="AB1915" s="909"/>
      <c r="AC1915" s="909"/>
      <c r="AD1915" s="909"/>
      <c r="AE1915" s="909"/>
      <c r="AF1915" s="909"/>
      <c r="AG1915" s="909"/>
      <c r="BB1915" s="784"/>
      <c r="BC1915" s="785"/>
      <c r="BD1915" s="900"/>
      <c r="BE1915" s="797"/>
    </row>
    <row r="1916" spans="1:57" s="65" customFormat="1" ht="15" hidden="1" customHeight="1" outlineLevel="1" x14ac:dyDescent="0.25">
      <c r="A1916" s="785"/>
      <c r="B1916" s="177"/>
      <c r="C1916" s="455"/>
      <c r="D1916" s="2806"/>
      <c r="E1916" s="2856"/>
      <c r="F1916" s="2908" t="str">
        <f>$E$1636</f>
        <v>ASHP - SEER 20 - replace on fail MF</v>
      </c>
      <c r="G1916" s="2909"/>
      <c r="H1916" s="2909"/>
      <c r="I1916" s="2910"/>
      <c r="J1916" s="1657" t="str">
        <f>$C$1636</f>
        <v>355100_2019_12_</v>
      </c>
      <c r="K1916" s="1663">
        <v>1496</v>
      </c>
      <c r="L1916" s="1124"/>
      <c r="M1916" s="2101"/>
      <c r="N1916" s="177"/>
      <c r="O1916" s="332"/>
      <c r="P1916" s="332"/>
      <c r="Q1916" s="332"/>
      <c r="R1916" s="332"/>
      <c r="S1916" s="177"/>
      <c r="T1916" s="177"/>
      <c r="U1916" s="177"/>
      <c r="V1916" s="2866"/>
      <c r="W1916" s="909">
        <v>2009</v>
      </c>
      <c r="X1916" s="908">
        <v>1496</v>
      </c>
      <c r="Y1916" s="909">
        <v>1496</v>
      </c>
      <c r="Z1916" s="909"/>
      <c r="AA1916" s="909"/>
      <c r="AB1916" s="909"/>
      <c r="AC1916" s="909"/>
      <c r="AD1916" s="909"/>
      <c r="AE1916" s="909"/>
      <c r="AF1916" s="909"/>
      <c r="AG1916" s="909"/>
      <c r="BB1916" s="784"/>
      <c r="BC1916" s="785"/>
      <c r="BD1916" s="900"/>
      <c r="BE1916" s="797"/>
    </row>
    <row r="1917" spans="1:57" s="65" customFormat="1" ht="15" hidden="1" customHeight="1" outlineLevel="1" x14ac:dyDescent="0.25">
      <c r="A1917" s="785"/>
      <c r="B1917" s="177"/>
      <c r="C1917" s="455"/>
      <c r="D1917" s="2806"/>
      <c r="E1917" s="2856"/>
      <c r="F1917" s="2908" t="str">
        <f>$E$1638</f>
        <v>ASHP - SEER 20 - replace on fail MF_CompE</v>
      </c>
      <c r="G1917" s="2909"/>
      <c r="H1917" s="2909"/>
      <c r="I1917" s="2910"/>
      <c r="J1917" s="1657" t="str">
        <f>$C$1638</f>
        <v>355101_2019_12_</v>
      </c>
      <c r="K1917" s="1663">
        <v>510</v>
      </c>
      <c r="L1917" s="1125"/>
      <c r="M1917" s="2101" t="s">
        <v>953</v>
      </c>
      <c r="N1917" s="177"/>
      <c r="O1917" s="332"/>
      <c r="P1917" s="332"/>
      <c r="Q1917" s="332"/>
      <c r="R1917" s="332"/>
      <c r="S1917" s="177"/>
      <c r="T1917" s="177"/>
      <c r="U1917" s="177"/>
      <c r="V1917" s="2866"/>
      <c r="W1917" s="921"/>
      <c r="X1917" s="920"/>
      <c r="Y1917" s="908">
        <v>510</v>
      </c>
      <c r="Z1917" s="921"/>
      <c r="AA1917" s="921"/>
      <c r="AB1917" s="921"/>
      <c r="AC1917" s="921"/>
      <c r="AD1917" s="921"/>
      <c r="AE1917" s="921"/>
      <c r="AF1917" s="921"/>
      <c r="AG1917" s="921"/>
      <c r="BB1917" s="784"/>
      <c r="BC1917" s="785"/>
      <c r="BD1917" s="900"/>
      <c r="BE1917" s="797"/>
    </row>
    <row r="1918" spans="1:57" s="65" customFormat="1" ht="15.75" hidden="1" customHeight="1" outlineLevel="1" x14ac:dyDescent="0.25">
      <c r="A1918" s="785"/>
      <c r="B1918" s="177"/>
      <c r="C1918" s="455"/>
      <c r="D1918" s="2806"/>
      <c r="E1918" s="2856"/>
      <c r="F1918" s="2908" t="str">
        <f>$E$1640</f>
        <v>ASHP - SEER 21 - replace on fail MF</v>
      </c>
      <c r="G1918" s="2909"/>
      <c r="H1918" s="2909"/>
      <c r="I1918" s="2910"/>
      <c r="J1918" s="1657" t="str">
        <f>$C$1640</f>
        <v>355150_2019_12_</v>
      </c>
      <c r="K1918" s="1663">
        <v>1496</v>
      </c>
      <c r="L1918" s="1124"/>
      <c r="M1918" s="2101"/>
      <c r="N1918" s="177"/>
      <c r="O1918" s="332"/>
      <c r="P1918" s="332"/>
      <c r="Q1918" s="332"/>
      <c r="R1918" s="332"/>
      <c r="S1918" s="177"/>
      <c r="T1918" s="177"/>
      <c r="U1918" s="177"/>
      <c r="V1918" s="2866"/>
      <c r="W1918" s="909">
        <v>2009</v>
      </c>
      <c r="X1918" s="908">
        <v>1496</v>
      </c>
      <c r="Y1918" s="909">
        <v>1496</v>
      </c>
      <c r="Z1918" s="909"/>
      <c r="AA1918" s="909"/>
      <c r="AB1918" s="909"/>
      <c r="AC1918" s="909"/>
      <c r="AD1918" s="909"/>
      <c r="AE1918" s="909"/>
      <c r="AF1918" s="909"/>
      <c r="AG1918" s="909"/>
      <c r="BB1918" s="784"/>
      <c r="BC1918" s="785"/>
      <c r="BD1918" s="900"/>
      <c r="BE1918" s="797"/>
    </row>
    <row r="1919" spans="1:57" s="65" customFormat="1" ht="15.75" hidden="1" outlineLevel="1" thickBot="1" x14ac:dyDescent="0.3">
      <c r="A1919" s="785"/>
      <c r="B1919" s="177"/>
      <c r="C1919" s="455"/>
      <c r="D1919" s="2808"/>
      <c r="E1919" s="2858"/>
      <c r="F1919" s="2100" t="str">
        <f>$E$1642</f>
        <v>ASHP - SEER 21 - replace on fail MF_CompE</v>
      </c>
      <c r="G1919" s="1119"/>
      <c r="H1919" s="1119"/>
      <c r="I1919" s="1120"/>
      <c r="J1919" s="2100" t="str">
        <f>$C$1642</f>
        <v>355151_2019_12_</v>
      </c>
      <c r="K1919" s="1128">
        <v>510</v>
      </c>
      <c r="L1919" s="1127"/>
      <c r="M1919" s="2101" t="s">
        <v>953</v>
      </c>
      <c r="N1919" s="177"/>
      <c r="O1919" s="332"/>
      <c r="P1919" s="332"/>
      <c r="Q1919" s="332"/>
      <c r="R1919" s="332"/>
      <c r="S1919" s="177"/>
      <c r="T1919" s="177"/>
      <c r="U1919" s="177"/>
      <c r="V1919" s="2848"/>
      <c r="W1919" s="924"/>
      <c r="X1919" s="923"/>
      <c r="Y1919" s="1126">
        <v>510</v>
      </c>
      <c r="Z1919" s="924"/>
      <c r="AA1919" s="924"/>
      <c r="AB1919" s="924"/>
      <c r="AC1919" s="924"/>
      <c r="AD1919" s="924"/>
      <c r="AE1919" s="924"/>
      <c r="AF1919" s="924"/>
      <c r="AG1919" s="924"/>
      <c r="BB1919" s="784"/>
      <c r="BC1919" s="785"/>
      <c r="BD1919" s="900"/>
      <c r="BE1919" s="797"/>
    </row>
    <row r="1920" spans="1:57" s="65" customFormat="1" ht="15" hidden="1" customHeight="1" outlineLevel="1" x14ac:dyDescent="0.25">
      <c r="A1920" s="718"/>
      <c r="B1920" s="177"/>
      <c r="C1920" s="455"/>
      <c r="D1920" s="2805" t="s">
        <v>1385</v>
      </c>
      <c r="E1920" s="2855" t="s">
        <v>1386</v>
      </c>
      <c r="F1920" s="2905" t="str">
        <f>$E$1388</f>
        <v>ASHP - SEER 15 ER Elec Resist Furnace: HVAC ER1</v>
      </c>
      <c r="G1920" s="2905"/>
      <c r="H1920" s="2905"/>
      <c r="I1920" s="2905"/>
      <c r="J1920" s="1656" t="str">
        <f>$C$1388</f>
        <v>352300_2019_12_</v>
      </c>
      <c r="K1920" s="1667">
        <v>3.41</v>
      </c>
      <c r="L1920" s="1008"/>
      <c r="M1920" s="1132" t="s">
        <v>1178</v>
      </c>
      <c r="N1920" s="177"/>
      <c r="O1920" s="332"/>
      <c r="P1920" s="1116"/>
      <c r="Q1920" s="1116"/>
      <c r="R1920" s="1116"/>
      <c r="S1920" s="1103"/>
      <c r="T1920" s="1639"/>
      <c r="U1920" s="177"/>
      <c r="V1920" s="2867" t="s">
        <v>1385</v>
      </c>
      <c r="W1920" s="903">
        <v>3.41</v>
      </c>
      <c r="X1920" s="903">
        <v>3.41</v>
      </c>
      <c r="Y1920" s="903">
        <v>3.41</v>
      </c>
      <c r="Z1920" s="903"/>
      <c r="AA1920" s="903"/>
      <c r="AB1920" s="903"/>
      <c r="AC1920" s="903"/>
      <c r="AD1920" s="903"/>
      <c r="AE1920" s="903"/>
      <c r="AF1920" s="903"/>
      <c r="AG1920" s="903"/>
      <c r="BB1920" s="784"/>
      <c r="BC1920" s="785"/>
      <c r="BD1920" s="900"/>
      <c r="BE1920" s="797"/>
    </row>
    <row r="1921" spans="1:57" s="65" customFormat="1" ht="15" hidden="1" customHeight="1" outlineLevel="1" x14ac:dyDescent="0.25">
      <c r="A1921" s="718"/>
      <c r="B1921" s="177"/>
      <c r="C1921" s="455"/>
      <c r="D1921" s="2806"/>
      <c r="E1921" s="2856"/>
      <c r="F1921" s="2908" t="str">
        <f>$E$1390</f>
        <v>ASHP - SEER 15 ER Elec Resist Furnace: HVAC ER2</v>
      </c>
      <c r="G1921" s="2909"/>
      <c r="H1921" s="2909"/>
      <c r="I1921" s="2910"/>
      <c r="J1921" s="1657" t="str">
        <f>$C$1390</f>
        <v>352300_2019_12_</v>
      </c>
      <c r="K1921" s="1663">
        <v>3.41</v>
      </c>
      <c r="L1921" s="1123"/>
      <c r="M1921" s="928" t="s">
        <v>1178</v>
      </c>
      <c r="N1921" s="177"/>
      <c r="O1921" s="332"/>
      <c r="P1921" s="1116"/>
      <c r="Q1921" s="1116"/>
      <c r="R1921" s="1116"/>
      <c r="S1921" s="1103"/>
      <c r="T1921" s="1639"/>
      <c r="U1921" s="177"/>
      <c r="V1921" s="2866"/>
      <c r="W1921" s="909">
        <v>3.41</v>
      </c>
      <c r="X1921" s="909">
        <v>3.41</v>
      </c>
      <c r="Y1921" s="909">
        <v>3.41</v>
      </c>
      <c r="Z1921" s="909"/>
      <c r="AA1921" s="909"/>
      <c r="AB1921" s="909"/>
      <c r="AC1921" s="909"/>
      <c r="AD1921" s="909"/>
      <c r="AE1921" s="909"/>
      <c r="AF1921" s="909"/>
      <c r="AG1921" s="909"/>
      <c r="BB1921" s="784"/>
      <c r="BC1921" s="785"/>
      <c r="BD1921" s="900"/>
      <c r="BE1921" s="797"/>
    </row>
    <row r="1922" spans="1:57" s="65" customFormat="1" ht="15" hidden="1" customHeight="1" outlineLevel="1" x14ac:dyDescent="0.25">
      <c r="A1922" s="718"/>
      <c r="B1922" s="177"/>
      <c r="C1922" s="455"/>
      <c r="D1922" s="2806"/>
      <c r="E1922" s="2856"/>
      <c r="F1922" s="2908" t="str">
        <f>$E$1392</f>
        <v>ASHP - SEER 15 ER with ASHP: HVAC ER1</v>
      </c>
      <c r="G1922" s="2909"/>
      <c r="H1922" s="2909"/>
      <c r="I1922" s="2910"/>
      <c r="J1922" s="1657" t="str">
        <f>$C$1392</f>
        <v>352350_2019_12_</v>
      </c>
      <c r="K1922" s="1663">
        <v>6.58</v>
      </c>
      <c r="L1922" s="1123"/>
      <c r="M1922" s="928" t="s">
        <v>1178</v>
      </c>
      <c r="N1922" s="177"/>
      <c r="O1922" s="332"/>
      <c r="P1922" s="1116"/>
      <c r="Q1922" s="1116"/>
      <c r="R1922" s="1116"/>
      <c r="S1922" s="1103"/>
      <c r="T1922" s="1639"/>
      <c r="U1922" s="177"/>
      <c r="V1922" s="2866"/>
      <c r="W1922" s="909">
        <v>5.44</v>
      </c>
      <c r="X1922" s="908">
        <v>6.58</v>
      </c>
      <c r="Y1922" s="909">
        <v>6.58</v>
      </c>
      <c r="Z1922" s="909"/>
      <c r="AA1922" s="909"/>
      <c r="AB1922" s="909"/>
      <c r="AC1922" s="909"/>
      <c r="AD1922" s="909"/>
      <c r="AE1922" s="909"/>
      <c r="AF1922" s="909"/>
      <c r="AG1922" s="909"/>
      <c r="BB1922" s="784"/>
      <c r="BC1922" s="785"/>
      <c r="BD1922" s="900"/>
      <c r="BE1922" s="797"/>
    </row>
    <row r="1923" spans="1:57" s="65" customFormat="1" ht="15" hidden="1" customHeight="1" outlineLevel="1" x14ac:dyDescent="0.25">
      <c r="A1923" s="718"/>
      <c r="B1923" s="177"/>
      <c r="C1923" s="455"/>
      <c r="D1923" s="2806"/>
      <c r="E1923" s="2856"/>
      <c r="F1923" s="2908" t="str">
        <f>$E$1394</f>
        <v>ASHP - SEER 15 ER with ASHP: HVAC ER2</v>
      </c>
      <c r="G1923" s="2909"/>
      <c r="H1923" s="2909"/>
      <c r="I1923" s="2910"/>
      <c r="J1923" s="1657" t="str">
        <f>$C$1394</f>
        <v>352350_2019_12_</v>
      </c>
      <c r="K1923" s="1663">
        <v>8.1999999999999993</v>
      </c>
      <c r="L1923" s="1123"/>
      <c r="M1923" s="928" t="s">
        <v>1178</v>
      </c>
      <c r="N1923" s="177"/>
      <c r="O1923" s="332"/>
      <c r="P1923" s="1116"/>
      <c r="Q1923" s="1116"/>
      <c r="R1923" s="1116"/>
      <c r="S1923" s="1103"/>
      <c r="T1923" s="1639"/>
      <c r="U1923" s="177"/>
      <c r="V1923" s="2866"/>
      <c r="W1923" s="909">
        <v>8.1999999999999993</v>
      </c>
      <c r="X1923" s="909">
        <v>8.1999999999999993</v>
      </c>
      <c r="Y1923" s="909">
        <v>8.1999999999999993</v>
      </c>
      <c r="Z1923" s="909"/>
      <c r="AA1923" s="909"/>
      <c r="AB1923" s="909"/>
      <c r="AC1923" s="909"/>
      <c r="AD1923" s="909"/>
      <c r="AE1923" s="909"/>
      <c r="AF1923" s="909"/>
      <c r="AG1923" s="909"/>
      <c r="BB1923" s="784"/>
      <c r="BC1923" s="785"/>
      <c r="BD1923" s="900"/>
      <c r="BE1923" s="797"/>
    </row>
    <row r="1924" spans="1:57" s="65" customFormat="1" ht="15" hidden="1" customHeight="1" outlineLevel="1" x14ac:dyDescent="0.25">
      <c r="A1924" s="718"/>
      <c r="B1924" s="177"/>
      <c r="C1924" s="455"/>
      <c r="D1924" s="2806"/>
      <c r="E1924" s="2856"/>
      <c r="F1924" s="2908" t="str">
        <f>$E$1396</f>
        <v>ASHP-  SEER 15 Replace at Fail Elec Resist Furnace: HVAC</v>
      </c>
      <c r="G1924" s="2909"/>
      <c r="H1924" s="2909"/>
      <c r="I1924" s="2910"/>
      <c r="J1924" s="1657" t="str">
        <f>$C$1396</f>
        <v>352400_2019_12_</v>
      </c>
      <c r="K1924" s="1663">
        <v>3.41</v>
      </c>
      <c r="L1924" s="1123"/>
      <c r="M1924" s="928" t="s">
        <v>1178</v>
      </c>
      <c r="N1924" s="177"/>
      <c r="O1924" s="332"/>
      <c r="P1924" s="1116"/>
      <c r="Q1924" s="1116"/>
      <c r="R1924" s="1116"/>
      <c r="S1924" s="1103"/>
      <c r="T1924" s="1639"/>
      <c r="U1924" s="177"/>
      <c r="V1924" s="2866"/>
      <c r="W1924" s="909">
        <v>3.41</v>
      </c>
      <c r="X1924" s="909">
        <v>3.41</v>
      </c>
      <c r="Y1924" s="909">
        <v>3.41</v>
      </c>
      <c r="Z1924" s="909"/>
      <c r="AA1924" s="909"/>
      <c r="AB1924" s="909"/>
      <c r="AC1924" s="909"/>
      <c r="AD1924" s="909"/>
      <c r="AE1924" s="909"/>
      <c r="AF1924" s="909"/>
      <c r="AG1924" s="909"/>
      <c r="BB1924" s="784"/>
      <c r="BC1924" s="785"/>
      <c r="BD1924" s="900"/>
      <c r="BE1924" s="797"/>
    </row>
    <row r="1925" spans="1:57" s="65" customFormat="1" ht="15" hidden="1" customHeight="1" outlineLevel="1" x14ac:dyDescent="0.25">
      <c r="A1925" s="718"/>
      <c r="B1925" s="177"/>
      <c r="C1925" s="455"/>
      <c r="D1925" s="2806"/>
      <c r="E1925" s="2856"/>
      <c r="F1925" s="2908" t="str">
        <f>$E$1398</f>
        <v>ASHP - SEER 15 Replace at Fail with ASHP: HVAC</v>
      </c>
      <c r="G1925" s="2909"/>
      <c r="H1925" s="2909"/>
      <c r="I1925" s="2910"/>
      <c r="J1925" s="1657" t="str">
        <f>$C$1398</f>
        <v>352450_2019_12_</v>
      </c>
      <c r="K1925" s="1663">
        <v>8.1999999999999993</v>
      </c>
      <c r="L1925" s="1123"/>
      <c r="M1925" s="928" t="s">
        <v>1178</v>
      </c>
      <c r="N1925" s="177"/>
      <c r="O1925" s="332"/>
      <c r="P1925" s="1116"/>
      <c r="Q1925" s="1116"/>
      <c r="R1925" s="1116"/>
      <c r="S1925" s="1103"/>
      <c r="T1925" s="1639"/>
      <c r="U1925" s="177"/>
      <c r="V1925" s="2866"/>
      <c r="W1925" s="909">
        <v>8.1999999999999993</v>
      </c>
      <c r="X1925" s="909">
        <v>8.1999999999999993</v>
      </c>
      <c r="Y1925" s="909">
        <v>8.1999999999999993</v>
      </c>
      <c r="Z1925" s="909"/>
      <c r="AA1925" s="909"/>
      <c r="AB1925" s="909"/>
      <c r="AC1925" s="909"/>
      <c r="AD1925" s="909"/>
      <c r="AE1925" s="909"/>
      <c r="AF1925" s="909"/>
      <c r="AG1925" s="909"/>
      <c r="BB1925" s="784"/>
      <c r="BC1925" s="785"/>
      <c r="BD1925" s="900"/>
      <c r="BE1925" s="797"/>
    </row>
    <row r="1926" spans="1:57" s="65" customFormat="1" ht="15" hidden="1" customHeight="1" outlineLevel="1" x14ac:dyDescent="0.25">
      <c r="A1926" s="718"/>
      <c r="B1926" s="177"/>
      <c r="C1926" s="455"/>
      <c r="D1926" s="2806"/>
      <c r="E1926" s="2856"/>
      <c r="F1926" s="2908" t="str">
        <f>$E$1400</f>
        <v>ASHP - SEER 16 - replace electric furnace / CAC - early replacement SF ER1</v>
      </c>
      <c r="G1926" s="2909"/>
      <c r="H1926" s="2909"/>
      <c r="I1926" s="2910"/>
      <c r="J1926" s="1657" t="str">
        <f>$C$1400</f>
        <v>352500_2019_12_</v>
      </c>
      <c r="K1926" s="1663">
        <v>3.41</v>
      </c>
      <c r="L1926" s="1123"/>
      <c r="M1926" s="928" t="s">
        <v>1178</v>
      </c>
      <c r="N1926" s="177"/>
      <c r="O1926" s="332"/>
      <c r="P1926" s="1116"/>
      <c r="Q1926" s="1116"/>
      <c r="R1926" s="1116"/>
      <c r="S1926" s="1103"/>
      <c r="T1926" s="1639"/>
      <c r="U1926" s="177"/>
      <c r="V1926" s="2866"/>
      <c r="W1926" s="909">
        <v>3.41</v>
      </c>
      <c r="X1926" s="909">
        <v>3.41</v>
      </c>
      <c r="Y1926" s="909">
        <v>3.41</v>
      </c>
      <c r="Z1926" s="909"/>
      <c r="AA1926" s="909"/>
      <c r="AB1926" s="909"/>
      <c r="AC1926" s="909"/>
      <c r="AD1926" s="909"/>
      <c r="AE1926" s="909"/>
      <c r="AF1926" s="909"/>
      <c r="AG1926" s="909"/>
      <c r="BB1926" s="784"/>
      <c r="BC1926" s="785"/>
      <c r="BD1926" s="900"/>
      <c r="BE1926" s="797"/>
    </row>
    <row r="1927" spans="1:57" s="65" customFormat="1" ht="15" hidden="1" customHeight="1" outlineLevel="1" x14ac:dyDescent="0.25">
      <c r="A1927" s="718"/>
      <c r="B1927" s="177"/>
      <c r="C1927" s="455"/>
      <c r="D1927" s="2806"/>
      <c r="E1927" s="2856"/>
      <c r="F1927" s="2908" t="str">
        <f>$E$1402</f>
        <v>ASHP - SEER 16 - replace electric furnace / CAC - early replacement SF ER2</v>
      </c>
      <c r="G1927" s="2909"/>
      <c r="H1927" s="2909"/>
      <c r="I1927" s="2910"/>
      <c r="J1927" s="1657" t="str">
        <f>$C$1402</f>
        <v>352500_2019_12_</v>
      </c>
      <c r="K1927" s="1663">
        <v>3.41</v>
      </c>
      <c r="L1927" s="1123"/>
      <c r="M1927" s="928" t="s">
        <v>1178</v>
      </c>
      <c r="N1927" s="177"/>
      <c r="O1927" s="332"/>
      <c r="P1927" s="1116"/>
      <c r="Q1927" s="1116"/>
      <c r="R1927" s="1116"/>
      <c r="S1927" s="1103"/>
      <c r="T1927" s="1639"/>
      <c r="U1927" s="177"/>
      <c r="V1927" s="2866"/>
      <c r="W1927" s="909">
        <v>3.41</v>
      </c>
      <c r="X1927" s="909">
        <v>3.41</v>
      </c>
      <c r="Y1927" s="909">
        <v>3.41</v>
      </c>
      <c r="Z1927" s="909"/>
      <c r="AA1927" s="909"/>
      <c r="AB1927" s="909"/>
      <c r="AC1927" s="909"/>
      <c r="AD1927" s="909"/>
      <c r="AE1927" s="909"/>
      <c r="AF1927" s="909"/>
      <c r="AG1927" s="909"/>
      <c r="BB1927" s="784"/>
      <c r="BC1927" s="785"/>
      <c r="BD1927" s="900"/>
      <c r="BE1927" s="797"/>
    </row>
    <row r="1928" spans="1:57" s="65" customFormat="1" ht="15" hidden="1" customHeight="1" outlineLevel="1" x14ac:dyDescent="0.25">
      <c r="A1928" s="718"/>
      <c r="B1928" s="177"/>
      <c r="C1928" s="455"/>
      <c r="D1928" s="2806"/>
      <c r="E1928" s="2856"/>
      <c r="F1928" s="2908" t="str">
        <f>$E$1404</f>
        <v>ASHP SEER 16 replace ASHP - early replacement SF ER1</v>
      </c>
      <c r="G1928" s="2909"/>
      <c r="H1928" s="2909"/>
      <c r="I1928" s="2910"/>
      <c r="J1928" s="1657" t="str">
        <f>$C$1404</f>
        <v>352550_2019_12_</v>
      </c>
      <c r="K1928" s="1663">
        <v>6.58</v>
      </c>
      <c r="L1928" s="1123"/>
      <c r="M1928" s="928" t="s">
        <v>1178</v>
      </c>
      <c r="N1928" s="177"/>
      <c r="O1928" s="332"/>
      <c r="P1928" s="1116"/>
      <c r="Q1928" s="1116"/>
      <c r="R1928" s="1116"/>
      <c r="S1928" s="1103"/>
      <c r="T1928" s="1639"/>
      <c r="U1928" s="177"/>
      <c r="V1928" s="2866"/>
      <c r="W1928" s="909">
        <v>5.44</v>
      </c>
      <c r="X1928" s="908">
        <v>6.58</v>
      </c>
      <c r="Y1928" s="909">
        <v>6.58</v>
      </c>
      <c r="Z1928" s="909"/>
      <c r="AA1928" s="909"/>
      <c r="AB1928" s="909"/>
      <c r="AC1928" s="909"/>
      <c r="AD1928" s="909"/>
      <c r="AE1928" s="909"/>
      <c r="AF1928" s="909"/>
      <c r="AG1928" s="909"/>
      <c r="BB1928" s="784"/>
      <c r="BC1928" s="785"/>
      <c r="BD1928" s="900"/>
      <c r="BE1928" s="797"/>
    </row>
    <row r="1929" spans="1:57" s="65" customFormat="1" ht="15" hidden="1" customHeight="1" outlineLevel="1" x14ac:dyDescent="0.25">
      <c r="A1929" s="785"/>
      <c r="B1929" s="177"/>
      <c r="C1929" s="455"/>
      <c r="D1929" s="2806"/>
      <c r="E1929" s="2856"/>
      <c r="F1929" s="2908" t="str">
        <f>$E$1406</f>
        <v>ASHP SEER 16 replace ASHP - early replacement SF ER2</v>
      </c>
      <c r="G1929" s="2909"/>
      <c r="H1929" s="2909"/>
      <c r="I1929" s="2910"/>
      <c r="J1929" s="1657" t="str">
        <f>$C$1406</f>
        <v>352550_2019_12_</v>
      </c>
      <c r="K1929" s="1663">
        <v>8.1999999999999993</v>
      </c>
      <c r="L1929" s="1124"/>
      <c r="M1929" s="928" t="s">
        <v>1178</v>
      </c>
      <c r="N1929" s="177"/>
      <c r="O1929" s="332"/>
      <c r="P1929" s="1116"/>
      <c r="Q1929" s="1116"/>
      <c r="R1929" s="1116"/>
      <c r="S1929" s="1103"/>
      <c r="T1929" s="1639"/>
      <c r="U1929" s="177"/>
      <c r="V1929" s="2866"/>
      <c r="W1929" s="909">
        <v>8.1999999999999993</v>
      </c>
      <c r="X1929" s="909">
        <v>8.1999999999999993</v>
      </c>
      <c r="Y1929" s="909">
        <v>8.1999999999999993</v>
      </c>
      <c r="Z1929" s="909"/>
      <c r="AA1929" s="909"/>
      <c r="AB1929" s="909"/>
      <c r="AC1929" s="909"/>
      <c r="AD1929" s="909"/>
      <c r="AE1929" s="909"/>
      <c r="AF1929" s="909"/>
      <c r="AG1929" s="909"/>
      <c r="BB1929" s="784"/>
      <c r="BC1929" s="785"/>
      <c r="BD1929" s="900"/>
      <c r="BE1929" s="797"/>
    </row>
    <row r="1930" spans="1:57" s="65" customFormat="1" ht="15" hidden="1" customHeight="1" outlineLevel="1" x14ac:dyDescent="0.25">
      <c r="A1930" s="718"/>
      <c r="B1930" s="177"/>
      <c r="C1930" s="455"/>
      <c r="D1930" s="2806"/>
      <c r="E1930" s="2856"/>
      <c r="F1930" s="2908" t="str">
        <f>$E$1408</f>
        <v>ASHP - SEER 16 - replace electric furnace / CAC SF</v>
      </c>
      <c r="G1930" s="2909"/>
      <c r="H1930" s="2909"/>
      <c r="I1930" s="2910"/>
      <c r="J1930" s="1657" t="str">
        <f>$C$1408</f>
        <v>352600_2019_12_</v>
      </c>
      <c r="K1930" s="1663">
        <v>3.41</v>
      </c>
      <c r="L1930" s="1124"/>
      <c r="M1930" s="928" t="s">
        <v>1178</v>
      </c>
      <c r="N1930" s="177"/>
      <c r="O1930" s="332"/>
      <c r="P1930" s="1116"/>
      <c r="Q1930" s="1116"/>
      <c r="R1930" s="1116"/>
      <c r="S1930" s="1103"/>
      <c r="T1930" s="1639"/>
      <c r="U1930" s="177"/>
      <c r="V1930" s="2866"/>
      <c r="W1930" s="909">
        <v>3.41</v>
      </c>
      <c r="X1930" s="909">
        <v>3.41</v>
      </c>
      <c r="Y1930" s="909">
        <v>3.41</v>
      </c>
      <c r="Z1930" s="909"/>
      <c r="AA1930" s="909"/>
      <c r="AB1930" s="909"/>
      <c r="AC1930" s="909"/>
      <c r="AD1930" s="909"/>
      <c r="AE1930" s="909"/>
      <c r="AF1930" s="909"/>
      <c r="AG1930" s="909"/>
      <c r="BB1930" s="784"/>
      <c r="BC1930" s="785"/>
      <c r="BD1930" s="900"/>
      <c r="BE1930" s="797"/>
    </row>
    <row r="1931" spans="1:57" s="65" customFormat="1" ht="15" hidden="1" customHeight="1" outlineLevel="1" x14ac:dyDescent="0.25">
      <c r="A1931" s="718"/>
      <c r="B1931" s="177"/>
      <c r="C1931" s="455"/>
      <c r="D1931" s="2806"/>
      <c r="E1931" s="2856"/>
      <c r="F1931" s="2908" t="str">
        <f>$E$1410</f>
        <v>ASHP SEER 16 replace ASHP - replace on fail SF</v>
      </c>
      <c r="G1931" s="2909"/>
      <c r="H1931" s="2909"/>
      <c r="I1931" s="2910"/>
      <c r="J1931" s="1657" t="str">
        <f>$C$1410</f>
        <v>352650_2019_12_</v>
      </c>
      <c r="K1931" s="1663">
        <v>8.1999999999999993</v>
      </c>
      <c r="L1931" s="1124"/>
      <c r="M1931" s="928" t="s">
        <v>1178</v>
      </c>
      <c r="N1931" s="177"/>
      <c r="O1931" s="332"/>
      <c r="P1931" s="1116"/>
      <c r="Q1931" s="1116"/>
      <c r="R1931" s="1116"/>
      <c r="S1931" s="1103"/>
      <c r="T1931" s="1639"/>
      <c r="U1931" s="177"/>
      <c r="V1931" s="2866"/>
      <c r="W1931" s="909">
        <v>8.1999999999999993</v>
      </c>
      <c r="X1931" s="909">
        <v>8.1999999999999993</v>
      </c>
      <c r="Y1931" s="909">
        <v>8.1999999999999993</v>
      </c>
      <c r="Z1931" s="909"/>
      <c r="AA1931" s="909"/>
      <c r="AB1931" s="909"/>
      <c r="AC1931" s="909"/>
      <c r="AD1931" s="909"/>
      <c r="AE1931" s="909"/>
      <c r="AF1931" s="909"/>
      <c r="AG1931" s="909"/>
      <c r="BB1931" s="784"/>
      <c r="BC1931" s="785"/>
      <c r="BD1931" s="900"/>
      <c r="BE1931" s="797"/>
    </row>
    <row r="1932" spans="1:57" s="65" customFormat="1" ht="15" hidden="1" customHeight="1" outlineLevel="1" x14ac:dyDescent="0.25">
      <c r="A1932" s="718"/>
      <c r="B1932" s="177"/>
      <c r="C1932" s="455"/>
      <c r="D1932" s="2806"/>
      <c r="E1932" s="2856"/>
      <c r="F1932" s="2908" t="str">
        <f>$E$1412</f>
        <v>ASHP SEER 15 MF ER replace ASHP: HVAC ER1</v>
      </c>
      <c r="G1932" s="2909"/>
      <c r="H1932" s="2909"/>
      <c r="I1932" s="2910"/>
      <c r="J1932" s="1657" t="str">
        <f>$C$1412</f>
        <v>352700_2019_12_</v>
      </c>
      <c r="K1932" s="1663">
        <v>6.58</v>
      </c>
      <c r="L1932" s="1124"/>
      <c r="M1932" s="928" t="s">
        <v>1600</v>
      </c>
      <c r="N1932" s="177"/>
      <c r="O1932" s="332"/>
      <c r="P1932" s="1116"/>
      <c r="Q1932" s="1116"/>
      <c r="R1932" s="1116"/>
      <c r="S1932" s="1103"/>
      <c r="T1932" s="1639"/>
      <c r="U1932" s="177"/>
      <c r="V1932" s="2866"/>
      <c r="W1932" s="909">
        <v>5.44</v>
      </c>
      <c r="X1932" s="908">
        <v>5.44</v>
      </c>
      <c r="Y1932" s="908">
        <v>6.58</v>
      </c>
      <c r="Z1932" s="909"/>
      <c r="AA1932" s="909"/>
      <c r="AB1932" s="909"/>
      <c r="AC1932" s="909"/>
      <c r="AD1932" s="909"/>
      <c r="AE1932" s="909"/>
      <c r="AF1932" s="909"/>
      <c r="AG1932" s="909"/>
      <c r="BB1932" s="784"/>
      <c r="BC1932" s="785"/>
      <c r="BD1932" s="900"/>
      <c r="BE1932" s="797"/>
    </row>
    <row r="1933" spans="1:57" s="65" customFormat="1" ht="15" hidden="1" customHeight="1" outlineLevel="1" x14ac:dyDescent="0.25">
      <c r="A1933" s="718"/>
      <c r="B1933" s="177"/>
      <c r="C1933" s="455"/>
      <c r="D1933" s="2806"/>
      <c r="E1933" s="2856"/>
      <c r="F1933" s="2908" t="str">
        <f>$E$1414</f>
        <v>ASHP SEER 15 MF ER replace ASHP: HVAC ER2</v>
      </c>
      <c r="G1933" s="2909"/>
      <c r="H1933" s="2909"/>
      <c r="I1933" s="2910"/>
      <c r="J1933" s="1657" t="str">
        <f>$C$1414</f>
        <v>352700_2019_12_</v>
      </c>
      <c r="K1933" s="1663">
        <v>8.1999999999999993</v>
      </c>
      <c r="L1933" s="1124"/>
      <c r="M1933" s="928" t="s">
        <v>1600</v>
      </c>
      <c r="N1933" s="177"/>
      <c r="O1933" s="332"/>
      <c r="P1933" s="1116"/>
      <c r="Q1933" s="1116"/>
      <c r="R1933" s="1116"/>
      <c r="S1933" s="1103"/>
      <c r="T1933" s="1639"/>
      <c r="U1933" s="177"/>
      <c r="V1933" s="2866"/>
      <c r="W1933" s="909">
        <v>8.1999999999999993</v>
      </c>
      <c r="X1933" s="909">
        <v>8.1999999999999993</v>
      </c>
      <c r="Y1933" s="909">
        <v>8.1999999999999993</v>
      </c>
      <c r="Z1933" s="909"/>
      <c r="AA1933" s="909"/>
      <c r="AB1933" s="909"/>
      <c r="AC1933" s="909"/>
      <c r="AD1933" s="909"/>
      <c r="AE1933" s="909"/>
      <c r="AF1933" s="909"/>
      <c r="AG1933" s="909"/>
      <c r="BB1933" s="784"/>
      <c r="BC1933" s="785"/>
      <c r="BD1933" s="900"/>
      <c r="BE1933" s="797"/>
    </row>
    <row r="1934" spans="1:57" s="65" customFormat="1" ht="15" hidden="1" customHeight="1" outlineLevel="1" x14ac:dyDescent="0.25">
      <c r="A1934" s="718"/>
      <c r="B1934" s="177"/>
      <c r="C1934" s="455"/>
      <c r="D1934" s="2806"/>
      <c r="E1934" s="2856"/>
      <c r="F1934" s="2908" t="str">
        <f>$E$1416</f>
        <v>ASHP SEER 15 MF ER replace ASHP: HVAC ER1_CompE</v>
      </c>
      <c r="G1934" s="2909"/>
      <c r="H1934" s="2909"/>
      <c r="I1934" s="2910"/>
      <c r="J1934" s="1657" t="str">
        <f>$C$1416</f>
        <v>352701_2019_12_</v>
      </c>
      <c r="K1934" s="1663">
        <v>6.58</v>
      </c>
      <c r="L1934" s="1124"/>
      <c r="M1934" s="928" t="s">
        <v>1600</v>
      </c>
      <c r="N1934" s="177"/>
      <c r="O1934" s="332"/>
      <c r="P1934" s="1116"/>
      <c r="Q1934" s="1116"/>
      <c r="R1934" s="1116"/>
      <c r="S1934" s="1103"/>
      <c r="T1934" s="1639"/>
      <c r="U1934" s="177"/>
      <c r="V1934" s="2866"/>
      <c r="W1934" s="909"/>
      <c r="X1934" s="909"/>
      <c r="Y1934" s="908">
        <v>6.58</v>
      </c>
      <c r="Z1934" s="909"/>
      <c r="AA1934" s="909"/>
      <c r="AB1934" s="909"/>
      <c r="AC1934" s="909"/>
      <c r="AD1934" s="909"/>
      <c r="AE1934" s="909"/>
      <c r="AF1934" s="909"/>
      <c r="AG1934" s="909"/>
      <c r="BB1934" s="784"/>
      <c r="BC1934" s="785"/>
      <c r="BD1934" s="900"/>
      <c r="BE1934" s="797"/>
    </row>
    <row r="1935" spans="1:57" s="65" customFormat="1" ht="15" hidden="1" customHeight="1" outlineLevel="1" x14ac:dyDescent="0.25">
      <c r="A1935" s="718"/>
      <c r="B1935" s="177"/>
      <c r="C1935" s="455"/>
      <c r="D1935" s="2806"/>
      <c r="E1935" s="2856"/>
      <c r="F1935" s="2908" t="str">
        <f>$E$1418</f>
        <v>ASHP SEER 15 MF ER replace ASHP: HVAC ER2_CompE</v>
      </c>
      <c r="G1935" s="2909"/>
      <c r="H1935" s="2909"/>
      <c r="I1935" s="2910"/>
      <c r="J1935" s="1657" t="str">
        <f>$C$1418</f>
        <v>352701_2019_12_</v>
      </c>
      <c r="K1935" s="1663">
        <v>8.1999999999999993</v>
      </c>
      <c r="L1935" s="1124"/>
      <c r="M1935" s="928" t="s">
        <v>1600</v>
      </c>
      <c r="N1935" s="177"/>
      <c r="O1935" s="332"/>
      <c r="P1935" s="1116"/>
      <c r="Q1935" s="1116"/>
      <c r="R1935" s="1116"/>
      <c r="S1935" s="1103"/>
      <c r="T1935" s="1639"/>
      <c r="U1935" s="177"/>
      <c r="V1935" s="2866"/>
      <c r="W1935" s="909"/>
      <c r="X1935" s="909"/>
      <c r="Y1935" s="908">
        <v>8.1999999999999993</v>
      </c>
      <c r="Z1935" s="909"/>
      <c r="AA1935" s="909"/>
      <c r="AB1935" s="909"/>
      <c r="AC1935" s="909"/>
      <c r="AD1935" s="909"/>
      <c r="AE1935" s="909"/>
      <c r="AF1935" s="909"/>
      <c r="AG1935" s="909"/>
      <c r="BB1935" s="784"/>
      <c r="BC1935" s="785"/>
      <c r="BD1935" s="900"/>
      <c r="BE1935" s="797"/>
    </row>
    <row r="1936" spans="1:57" s="65" customFormat="1" ht="15" hidden="1" customHeight="1" outlineLevel="1" x14ac:dyDescent="0.25">
      <c r="A1936" s="785"/>
      <c r="B1936" s="177"/>
      <c r="C1936" s="455"/>
      <c r="D1936" s="2806"/>
      <c r="E1936" s="2856"/>
      <c r="F1936" s="2908" t="str">
        <f>$E$1420</f>
        <v>ASHP SEER 15 MF ER replace Elec Resist Furnace: HVAC ER1</v>
      </c>
      <c r="G1936" s="2909"/>
      <c r="H1936" s="2909"/>
      <c r="I1936" s="2910"/>
      <c r="J1936" s="1657" t="str">
        <f>$C$1420</f>
        <v>352750_2019_12_</v>
      </c>
      <c r="K1936" s="1663">
        <v>3.41</v>
      </c>
      <c r="L1936" s="1124"/>
      <c r="M1936" s="928" t="s">
        <v>1600</v>
      </c>
      <c r="N1936" s="177"/>
      <c r="O1936" s="332"/>
      <c r="P1936" s="1116"/>
      <c r="Q1936" s="1116"/>
      <c r="R1936" s="1116"/>
      <c r="S1936" s="1103"/>
      <c r="T1936" s="1639"/>
      <c r="U1936" s="177"/>
      <c r="V1936" s="2866"/>
      <c r="W1936" s="909">
        <v>3.41</v>
      </c>
      <c r="X1936" s="909">
        <v>3.41</v>
      </c>
      <c r="Y1936" s="909">
        <v>3.41</v>
      </c>
      <c r="Z1936" s="909"/>
      <c r="AA1936" s="909"/>
      <c r="AB1936" s="909"/>
      <c r="AC1936" s="909"/>
      <c r="AD1936" s="909"/>
      <c r="AE1936" s="909"/>
      <c r="AF1936" s="909"/>
      <c r="AG1936" s="909"/>
      <c r="BB1936" s="784"/>
      <c r="BC1936" s="785"/>
      <c r="BD1936" s="900"/>
      <c r="BE1936" s="797"/>
    </row>
    <row r="1937" spans="1:57" s="65" customFormat="1" ht="15" hidden="1" customHeight="1" outlineLevel="1" x14ac:dyDescent="0.25">
      <c r="A1937" s="718"/>
      <c r="B1937" s="177"/>
      <c r="C1937" s="455"/>
      <c r="D1937" s="2806"/>
      <c r="E1937" s="2856"/>
      <c r="F1937" s="2908" t="str">
        <f>$E$1422</f>
        <v>ASHP SEER 15 MF ER replace Elec Resist Furnace: HVAC ER2</v>
      </c>
      <c r="G1937" s="2909"/>
      <c r="H1937" s="2909"/>
      <c r="I1937" s="2910"/>
      <c r="J1937" s="1657" t="str">
        <f>$C$1422</f>
        <v>352750_2019_12_</v>
      </c>
      <c r="K1937" s="1663">
        <v>3.41</v>
      </c>
      <c r="L1937" s="1124"/>
      <c r="M1937" s="928" t="s">
        <v>1600</v>
      </c>
      <c r="N1937" s="177"/>
      <c r="O1937" s="332"/>
      <c r="P1937" s="1116"/>
      <c r="Q1937" s="1116"/>
      <c r="R1937" s="1116"/>
      <c r="S1937" s="1103"/>
      <c r="T1937" s="1639"/>
      <c r="U1937" s="177"/>
      <c r="V1937" s="2866"/>
      <c r="W1937" s="909">
        <v>3.41</v>
      </c>
      <c r="X1937" s="909">
        <v>3.41</v>
      </c>
      <c r="Y1937" s="909">
        <v>3.41</v>
      </c>
      <c r="Z1937" s="909"/>
      <c r="AA1937" s="909"/>
      <c r="AB1937" s="909"/>
      <c r="AC1937" s="909"/>
      <c r="AD1937" s="909"/>
      <c r="AE1937" s="909"/>
      <c r="AF1937" s="909"/>
      <c r="AG1937" s="909"/>
      <c r="BB1937" s="784"/>
      <c r="BC1937" s="785"/>
      <c r="BD1937" s="900"/>
      <c r="BE1937" s="797"/>
    </row>
    <row r="1938" spans="1:57" s="65" customFormat="1" ht="15" hidden="1" customHeight="1" outlineLevel="1" x14ac:dyDescent="0.25">
      <c r="A1938" s="718"/>
      <c r="B1938" s="177"/>
      <c r="C1938" s="455"/>
      <c r="D1938" s="2806"/>
      <c r="E1938" s="2856"/>
      <c r="F1938" s="2908" t="str">
        <f>$E$1424</f>
        <v>ASHP SEER 15 MF ER replace Elec Resist Furnace: HVAC ER1_CompE</v>
      </c>
      <c r="G1938" s="2909"/>
      <c r="H1938" s="2909"/>
      <c r="I1938" s="2910"/>
      <c r="J1938" s="1657" t="str">
        <f>$C$1424</f>
        <v>352751_2019_12_</v>
      </c>
      <c r="K1938" s="1663">
        <v>3.41</v>
      </c>
      <c r="L1938" s="1124"/>
      <c r="M1938" s="928" t="s">
        <v>1600</v>
      </c>
      <c r="N1938" s="177"/>
      <c r="O1938" s="332"/>
      <c r="P1938" s="1116"/>
      <c r="Q1938" s="1116"/>
      <c r="R1938" s="1116"/>
      <c r="S1938" s="1103"/>
      <c r="T1938" s="1639"/>
      <c r="U1938" s="177"/>
      <c r="V1938" s="2866"/>
      <c r="W1938" s="909"/>
      <c r="X1938" s="909"/>
      <c r="Y1938" s="908">
        <v>3.41</v>
      </c>
      <c r="Z1938" s="909"/>
      <c r="AA1938" s="909"/>
      <c r="AB1938" s="909"/>
      <c r="AC1938" s="909"/>
      <c r="AD1938" s="909"/>
      <c r="AE1938" s="909"/>
      <c r="AF1938" s="909"/>
      <c r="AG1938" s="909"/>
      <c r="BB1938" s="784"/>
      <c r="BC1938" s="785"/>
      <c r="BD1938" s="900"/>
      <c r="BE1938" s="797"/>
    </row>
    <row r="1939" spans="1:57" s="65" customFormat="1" ht="15" hidden="1" customHeight="1" outlineLevel="1" x14ac:dyDescent="0.25">
      <c r="A1939" s="718"/>
      <c r="B1939" s="177"/>
      <c r="C1939" s="455"/>
      <c r="D1939" s="2806"/>
      <c r="E1939" s="2856"/>
      <c r="F1939" s="2908" t="str">
        <f>$E$1426</f>
        <v>ASHP SEER 15 MF ER replace Elec Resist Furnace: HVAC ER2_CompE</v>
      </c>
      <c r="G1939" s="2909"/>
      <c r="H1939" s="2909"/>
      <c r="I1939" s="2910"/>
      <c r="J1939" s="1657" t="str">
        <f>$C$1426</f>
        <v>352751_2019_12_</v>
      </c>
      <c r="K1939" s="1663">
        <v>3.41</v>
      </c>
      <c r="L1939" s="1124"/>
      <c r="M1939" s="928" t="s">
        <v>1600</v>
      </c>
      <c r="N1939" s="177"/>
      <c r="O1939" s="332"/>
      <c r="P1939" s="1116"/>
      <c r="Q1939" s="1116"/>
      <c r="R1939" s="1116"/>
      <c r="S1939" s="1103"/>
      <c r="T1939" s="1639"/>
      <c r="U1939" s="177"/>
      <c r="V1939" s="2866"/>
      <c r="W1939" s="909"/>
      <c r="X1939" s="909"/>
      <c r="Y1939" s="908">
        <v>3.41</v>
      </c>
      <c r="Z1939" s="909"/>
      <c r="AA1939" s="909"/>
      <c r="AB1939" s="909"/>
      <c r="AC1939" s="909"/>
      <c r="AD1939" s="909"/>
      <c r="AE1939" s="909"/>
      <c r="AF1939" s="909"/>
      <c r="AG1939" s="909"/>
      <c r="BB1939" s="784"/>
      <c r="BC1939" s="785"/>
      <c r="BD1939" s="900"/>
      <c r="BE1939" s="797"/>
    </row>
    <row r="1940" spans="1:57" s="65" customFormat="1" ht="15" hidden="1" customHeight="1" outlineLevel="1" x14ac:dyDescent="0.25">
      <c r="A1940" s="718"/>
      <c r="B1940" s="177"/>
      <c r="C1940" s="455"/>
      <c r="D1940" s="2806"/>
      <c r="E1940" s="2856"/>
      <c r="F1940" s="2908" t="str">
        <f>$E$1428</f>
        <v>ASHP SEER 15 MF replace at Fail Elec Resist Furnace: HVAC</v>
      </c>
      <c r="G1940" s="2909"/>
      <c r="H1940" s="2909"/>
      <c r="I1940" s="2910"/>
      <c r="J1940" s="1657" t="str">
        <f>$C$1428</f>
        <v>352800_2019_12_</v>
      </c>
      <c r="K1940" s="1663">
        <v>3.41</v>
      </c>
      <c r="L1940" s="1124"/>
      <c r="M1940" s="928" t="s">
        <v>1600</v>
      </c>
      <c r="N1940" s="177"/>
      <c r="O1940" s="332"/>
      <c r="P1940" s="1116"/>
      <c r="Q1940" s="1116"/>
      <c r="R1940" s="1116"/>
      <c r="S1940" s="1103"/>
      <c r="T1940" s="1639"/>
      <c r="U1940" s="177"/>
      <c r="V1940" s="2866"/>
      <c r="W1940" s="909">
        <v>3.41</v>
      </c>
      <c r="X1940" s="909">
        <v>3.41</v>
      </c>
      <c r="Y1940" s="909">
        <v>3.41</v>
      </c>
      <c r="Z1940" s="909"/>
      <c r="AA1940" s="909"/>
      <c r="AB1940" s="909"/>
      <c r="AC1940" s="909"/>
      <c r="AD1940" s="909"/>
      <c r="AE1940" s="909"/>
      <c r="AF1940" s="909"/>
      <c r="AG1940" s="909"/>
      <c r="BB1940" s="784"/>
      <c r="BC1940" s="785"/>
      <c r="BD1940" s="900"/>
      <c r="BE1940" s="797"/>
    </row>
    <row r="1941" spans="1:57" s="65" customFormat="1" ht="15" hidden="1" customHeight="1" outlineLevel="1" x14ac:dyDescent="0.25">
      <c r="A1941" s="718"/>
      <c r="B1941" s="177"/>
      <c r="C1941" s="455"/>
      <c r="D1941" s="2806"/>
      <c r="E1941" s="2856"/>
      <c r="F1941" s="2908" t="str">
        <f>$E$1430</f>
        <v>ASHP SEER 15 MF replace at Fail Elec Resist Furnace: HVAC_CompE</v>
      </c>
      <c r="G1941" s="2909"/>
      <c r="H1941" s="2909"/>
      <c r="I1941" s="2910"/>
      <c r="J1941" s="1657" t="str">
        <f>$C$1430</f>
        <v>352801_2019_12_</v>
      </c>
      <c r="K1941" s="1663">
        <v>3.41</v>
      </c>
      <c r="L1941" s="1124"/>
      <c r="M1941" s="928" t="s">
        <v>1600</v>
      </c>
      <c r="N1941" s="177"/>
      <c r="O1941" s="332"/>
      <c r="P1941" s="1116"/>
      <c r="Q1941" s="1116"/>
      <c r="R1941" s="1116"/>
      <c r="S1941" s="1103"/>
      <c r="T1941" s="1639"/>
      <c r="U1941" s="177"/>
      <c r="V1941" s="2866"/>
      <c r="W1941" s="909"/>
      <c r="X1941" s="909"/>
      <c r="Y1941" s="908">
        <v>3.41</v>
      </c>
      <c r="Z1941" s="909"/>
      <c r="AA1941" s="909"/>
      <c r="AB1941" s="909"/>
      <c r="AC1941" s="909"/>
      <c r="AD1941" s="909"/>
      <c r="AE1941" s="909"/>
      <c r="AF1941" s="909"/>
      <c r="AG1941" s="909"/>
      <c r="BB1941" s="784"/>
      <c r="BC1941" s="785"/>
      <c r="BD1941" s="900"/>
      <c r="BE1941" s="797"/>
    </row>
    <row r="1942" spans="1:57" s="65" customFormat="1" ht="15" hidden="1" customHeight="1" outlineLevel="1" x14ac:dyDescent="0.25">
      <c r="A1942" s="718"/>
      <c r="B1942" s="177"/>
      <c r="C1942" s="455"/>
      <c r="D1942" s="2806"/>
      <c r="E1942" s="2856"/>
      <c r="F1942" s="2908" t="str">
        <f>$E$1432</f>
        <v>ASHP SEER 16 MF ER replace ASHP: HVAC ER1</v>
      </c>
      <c r="G1942" s="2909"/>
      <c r="H1942" s="2909"/>
      <c r="I1942" s="2910"/>
      <c r="J1942" s="1657" t="str">
        <f>$C$1432</f>
        <v>352850_2019_12_</v>
      </c>
      <c r="K1942" s="1663">
        <v>6.58</v>
      </c>
      <c r="L1942" s="1124"/>
      <c r="M1942" s="928" t="s">
        <v>1600</v>
      </c>
      <c r="N1942" s="177"/>
      <c r="O1942" s="332"/>
      <c r="P1942" s="1116"/>
      <c r="Q1942" s="1116"/>
      <c r="R1942" s="1116"/>
      <c r="S1942" s="1103"/>
      <c r="T1942" s="1639"/>
      <c r="U1942" s="177"/>
      <c r="V1942" s="2866"/>
      <c r="W1942" s="909">
        <v>5.44</v>
      </c>
      <c r="X1942" s="908">
        <v>6.58</v>
      </c>
      <c r="Y1942" s="909">
        <v>6.58</v>
      </c>
      <c r="Z1942" s="909"/>
      <c r="AA1942" s="909"/>
      <c r="AB1942" s="909"/>
      <c r="AC1942" s="909"/>
      <c r="AD1942" s="909"/>
      <c r="AE1942" s="909"/>
      <c r="AF1942" s="909"/>
      <c r="AG1942" s="909"/>
      <c r="BB1942" s="784"/>
      <c r="BC1942" s="785"/>
      <c r="BD1942" s="900"/>
      <c r="BE1942" s="797"/>
    </row>
    <row r="1943" spans="1:57" s="65" customFormat="1" ht="15" hidden="1" customHeight="1" outlineLevel="1" x14ac:dyDescent="0.25">
      <c r="A1943" s="718"/>
      <c r="B1943" s="177"/>
      <c r="C1943" s="455"/>
      <c r="D1943" s="2806"/>
      <c r="E1943" s="2856"/>
      <c r="F1943" s="2908" t="str">
        <f>$E$1434</f>
        <v>ASHP SEER 16 MF ER replace ASHP: HVAC ER2</v>
      </c>
      <c r="G1943" s="2909"/>
      <c r="H1943" s="2909"/>
      <c r="I1943" s="2910"/>
      <c r="J1943" s="1657" t="str">
        <f>$C$1434</f>
        <v>352850_2019_12_</v>
      </c>
      <c r="K1943" s="1663">
        <v>8.1999999999999993</v>
      </c>
      <c r="L1943" s="1124"/>
      <c r="M1943" s="928" t="s">
        <v>1600</v>
      </c>
      <c r="N1943" s="177"/>
      <c r="O1943" s="332"/>
      <c r="P1943" s="1116"/>
      <c r="Q1943" s="1116"/>
      <c r="R1943" s="1116"/>
      <c r="S1943" s="1103"/>
      <c r="T1943" s="1639"/>
      <c r="U1943" s="177"/>
      <c r="V1943" s="2866"/>
      <c r="W1943" s="909">
        <v>8.1999999999999993</v>
      </c>
      <c r="X1943" s="909">
        <v>8.1999999999999993</v>
      </c>
      <c r="Y1943" s="909">
        <v>8.1999999999999993</v>
      </c>
      <c r="Z1943" s="909"/>
      <c r="AA1943" s="909"/>
      <c r="AB1943" s="909"/>
      <c r="AC1943" s="909"/>
      <c r="AD1943" s="909"/>
      <c r="AE1943" s="909"/>
      <c r="AF1943" s="909"/>
      <c r="AG1943" s="909"/>
      <c r="BB1943" s="784"/>
      <c r="BC1943" s="785"/>
      <c r="BD1943" s="900"/>
      <c r="BE1943" s="797"/>
    </row>
    <row r="1944" spans="1:57" s="65" customFormat="1" ht="15" hidden="1" customHeight="1" outlineLevel="1" x14ac:dyDescent="0.25">
      <c r="A1944" s="718"/>
      <c r="B1944" s="177"/>
      <c r="C1944" s="455"/>
      <c r="D1944" s="2806"/>
      <c r="E1944" s="2856"/>
      <c r="F1944" s="2908" t="str">
        <f>$E$1436</f>
        <v>ASHP SEER 16 MF ER replace ASHP: HVAC ER1_CompE</v>
      </c>
      <c r="G1944" s="2909"/>
      <c r="H1944" s="2909"/>
      <c r="I1944" s="2910"/>
      <c r="J1944" s="1657" t="str">
        <f>$C$1436</f>
        <v>352851_2019_12_</v>
      </c>
      <c r="K1944" s="1663">
        <v>6.58</v>
      </c>
      <c r="L1944" s="1124"/>
      <c r="M1944" s="928" t="s">
        <v>1600</v>
      </c>
      <c r="N1944" s="177"/>
      <c r="O1944" s="332"/>
      <c r="P1944" s="1116"/>
      <c r="Q1944" s="1116"/>
      <c r="R1944" s="1116"/>
      <c r="S1944" s="1103"/>
      <c r="T1944" s="1639"/>
      <c r="U1944" s="177"/>
      <c r="V1944" s="2866"/>
      <c r="W1944" s="909"/>
      <c r="X1944" s="909"/>
      <c r="Y1944" s="908">
        <v>6.58</v>
      </c>
      <c r="Z1944" s="909"/>
      <c r="AA1944" s="909"/>
      <c r="AB1944" s="909"/>
      <c r="AC1944" s="909"/>
      <c r="AD1944" s="909"/>
      <c r="AE1944" s="909"/>
      <c r="AF1944" s="909"/>
      <c r="AG1944" s="909"/>
      <c r="BB1944" s="784"/>
      <c r="BC1944" s="785"/>
      <c r="BD1944" s="900"/>
      <c r="BE1944" s="797"/>
    </row>
    <row r="1945" spans="1:57" s="65" customFormat="1" ht="15" hidden="1" customHeight="1" outlineLevel="1" x14ac:dyDescent="0.25">
      <c r="A1945" s="718"/>
      <c r="B1945" s="177"/>
      <c r="C1945" s="455"/>
      <c r="D1945" s="2806"/>
      <c r="E1945" s="2856"/>
      <c r="F1945" s="2908" t="str">
        <f>$E$1438</f>
        <v>ASHP SEER 16 MF ER replace ASHP: HVAC ER2_CompE</v>
      </c>
      <c r="G1945" s="2909"/>
      <c r="H1945" s="2909"/>
      <c r="I1945" s="2910"/>
      <c r="J1945" s="1657" t="str">
        <f>$C$1438</f>
        <v>352851_2019_12_</v>
      </c>
      <c r="K1945" s="1663">
        <v>8.1999999999999993</v>
      </c>
      <c r="L1945" s="1124"/>
      <c r="M1945" s="928" t="s">
        <v>1600</v>
      </c>
      <c r="N1945" s="177"/>
      <c r="O1945" s="332"/>
      <c r="P1945" s="1116"/>
      <c r="Q1945" s="1116"/>
      <c r="R1945" s="1116"/>
      <c r="S1945" s="1103"/>
      <c r="T1945" s="1639"/>
      <c r="U1945" s="177"/>
      <c r="V1945" s="2866"/>
      <c r="W1945" s="909"/>
      <c r="X1945" s="909"/>
      <c r="Y1945" s="908">
        <v>8.1999999999999993</v>
      </c>
      <c r="Z1945" s="909"/>
      <c r="AA1945" s="909"/>
      <c r="AB1945" s="909"/>
      <c r="AC1945" s="909"/>
      <c r="AD1945" s="909"/>
      <c r="AE1945" s="909"/>
      <c r="AF1945" s="909"/>
      <c r="AG1945" s="909"/>
      <c r="BB1945" s="784"/>
      <c r="BC1945" s="785"/>
      <c r="BD1945" s="900"/>
      <c r="BE1945" s="797"/>
    </row>
    <row r="1946" spans="1:57" s="65" customFormat="1" ht="15" hidden="1" customHeight="1" outlineLevel="1" x14ac:dyDescent="0.25">
      <c r="A1946" s="718"/>
      <c r="B1946" s="177"/>
      <c r="C1946" s="455"/>
      <c r="D1946" s="2806"/>
      <c r="E1946" s="2856"/>
      <c r="F1946" s="2908" t="str">
        <f>$E$1440</f>
        <v>ASHP - SEER 16 - replace on fail MF</v>
      </c>
      <c r="G1946" s="2909"/>
      <c r="H1946" s="2909"/>
      <c r="I1946" s="2910"/>
      <c r="J1946" s="1657" t="str">
        <f>$C$1440</f>
        <v>352900_2019_12_</v>
      </c>
      <c r="K1946" s="1663">
        <v>8.1999999999999993</v>
      </c>
      <c r="L1946" s="1124"/>
      <c r="M1946" s="928" t="s">
        <v>1600</v>
      </c>
      <c r="N1946" s="177"/>
      <c r="O1946" s="332"/>
      <c r="P1946" s="1116"/>
      <c r="Q1946" s="1116"/>
      <c r="R1946" s="1116"/>
      <c r="S1946" s="1103"/>
      <c r="T1946" s="1639"/>
      <c r="U1946" s="177"/>
      <c r="V1946" s="2866"/>
      <c r="W1946" s="909">
        <v>8.1999999999999993</v>
      </c>
      <c r="X1946" s="909">
        <v>8.1999999999999993</v>
      </c>
      <c r="Y1946" s="909">
        <v>8.1999999999999993</v>
      </c>
      <c r="Z1946" s="909"/>
      <c r="AA1946" s="909"/>
      <c r="AB1946" s="909"/>
      <c r="AC1946" s="909"/>
      <c r="AD1946" s="909"/>
      <c r="AE1946" s="909"/>
      <c r="AF1946" s="909"/>
      <c r="AG1946" s="909"/>
      <c r="BB1946" s="784"/>
      <c r="BC1946" s="785"/>
      <c r="BD1946" s="900"/>
      <c r="BE1946" s="797"/>
    </row>
    <row r="1947" spans="1:57" s="65" customFormat="1" ht="15" hidden="1" customHeight="1" outlineLevel="1" x14ac:dyDescent="0.25">
      <c r="A1947" s="718"/>
      <c r="B1947" s="177"/>
      <c r="C1947" s="455"/>
      <c r="D1947" s="2806"/>
      <c r="E1947" s="2856"/>
      <c r="F1947" s="2908" t="str">
        <f>$E$1442</f>
        <v>ASHP - SEER 16 - replace on fail MF_CompE</v>
      </c>
      <c r="G1947" s="2909"/>
      <c r="H1947" s="2909"/>
      <c r="I1947" s="2910"/>
      <c r="J1947" s="1657" t="str">
        <f>$C$1442</f>
        <v>352901_2019_12_</v>
      </c>
      <c r="K1947" s="1663">
        <v>8.1999999999999993</v>
      </c>
      <c r="L1947" s="1124"/>
      <c r="M1947" s="928" t="s">
        <v>1600</v>
      </c>
      <c r="N1947" s="177"/>
      <c r="O1947" s="332"/>
      <c r="P1947" s="1116"/>
      <c r="Q1947" s="1116"/>
      <c r="R1947" s="1116"/>
      <c r="S1947" s="1103"/>
      <c r="T1947" s="1639"/>
      <c r="U1947" s="177"/>
      <c r="V1947" s="2866"/>
      <c r="W1947" s="909"/>
      <c r="X1947" s="909"/>
      <c r="Y1947" s="908">
        <v>8.1999999999999993</v>
      </c>
      <c r="Z1947" s="909"/>
      <c r="AA1947" s="909"/>
      <c r="AB1947" s="909"/>
      <c r="AC1947" s="909"/>
      <c r="AD1947" s="909"/>
      <c r="AE1947" s="909"/>
      <c r="AF1947" s="909"/>
      <c r="AG1947" s="909"/>
      <c r="BB1947" s="784"/>
      <c r="BC1947" s="785"/>
      <c r="BD1947" s="900"/>
      <c r="BE1947" s="797"/>
    </row>
    <row r="1948" spans="1:57" s="65" customFormat="1" ht="15" hidden="1" customHeight="1" outlineLevel="1" x14ac:dyDescent="0.25">
      <c r="A1948" s="718"/>
      <c r="B1948" s="177"/>
      <c r="C1948" s="455"/>
      <c r="D1948" s="2806"/>
      <c r="E1948" s="2856"/>
      <c r="F1948" s="2908" t="str">
        <f>$E$1444</f>
        <v>ASHP - SEER 16 - replace electric furnace / CAC MF</v>
      </c>
      <c r="G1948" s="2909"/>
      <c r="H1948" s="2909"/>
      <c r="I1948" s="2910"/>
      <c r="J1948" s="1657" t="str">
        <f>$C$1444</f>
        <v>352950_2019_12_</v>
      </c>
      <c r="K1948" s="1663">
        <v>3.41</v>
      </c>
      <c r="L1948" s="1124"/>
      <c r="M1948" s="928" t="s">
        <v>1600</v>
      </c>
      <c r="N1948" s="177"/>
      <c r="O1948" s="332"/>
      <c r="P1948" s="1116"/>
      <c r="Q1948" s="1116"/>
      <c r="R1948" s="1116"/>
      <c r="S1948" s="1103"/>
      <c r="T1948" s="1639"/>
      <c r="U1948" s="177"/>
      <c r="V1948" s="2866"/>
      <c r="W1948" s="909">
        <v>3.41</v>
      </c>
      <c r="X1948" s="909">
        <v>3.41</v>
      </c>
      <c r="Y1948" s="909">
        <v>3.41</v>
      </c>
      <c r="Z1948" s="909"/>
      <c r="AA1948" s="909"/>
      <c r="AB1948" s="909"/>
      <c r="AC1948" s="909"/>
      <c r="AD1948" s="909"/>
      <c r="AE1948" s="909"/>
      <c r="AF1948" s="909"/>
      <c r="AG1948" s="909"/>
      <c r="BB1948" s="784"/>
      <c r="BC1948" s="785"/>
      <c r="BD1948" s="900"/>
      <c r="BE1948" s="797"/>
    </row>
    <row r="1949" spans="1:57" s="65" customFormat="1" ht="15" hidden="1" customHeight="1" outlineLevel="1" x14ac:dyDescent="0.25">
      <c r="A1949" s="718"/>
      <c r="B1949" s="177"/>
      <c r="C1949" s="455"/>
      <c r="D1949" s="2806"/>
      <c r="E1949" s="2856"/>
      <c r="F1949" s="2908" t="str">
        <f>$E$1446</f>
        <v>ASHP - SEER 16 - replace electric furnace / CAC MF_CompE</v>
      </c>
      <c r="G1949" s="2909"/>
      <c r="H1949" s="2909"/>
      <c r="I1949" s="2910"/>
      <c r="J1949" s="1657" t="str">
        <f>$C$1446</f>
        <v>352951_2019_12_</v>
      </c>
      <c r="K1949" s="1663">
        <v>3.41</v>
      </c>
      <c r="L1949" s="1124"/>
      <c r="M1949" s="928" t="s">
        <v>1600</v>
      </c>
      <c r="N1949" s="177"/>
      <c r="O1949" s="332"/>
      <c r="P1949" s="1116"/>
      <c r="Q1949" s="1116"/>
      <c r="R1949" s="1116"/>
      <c r="S1949" s="1103"/>
      <c r="T1949" s="1639"/>
      <c r="U1949" s="177"/>
      <c r="V1949" s="2866"/>
      <c r="W1949" s="909"/>
      <c r="X1949" s="909"/>
      <c r="Y1949" s="908">
        <v>3.41</v>
      </c>
      <c r="Z1949" s="909"/>
      <c r="AA1949" s="909"/>
      <c r="AB1949" s="909"/>
      <c r="AC1949" s="909"/>
      <c r="AD1949" s="909"/>
      <c r="AE1949" s="909"/>
      <c r="AF1949" s="909"/>
      <c r="AG1949" s="909"/>
      <c r="BB1949" s="784"/>
      <c r="BC1949" s="785"/>
      <c r="BD1949" s="900"/>
      <c r="BE1949" s="797"/>
    </row>
    <row r="1950" spans="1:57" s="65" customFormat="1" ht="15" hidden="1" customHeight="1" outlineLevel="1" x14ac:dyDescent="0.25">
      <c r="A1950" s="718"/>
      <c r="B1950" s="177"/>
      <c r="C1950" s="455"/>
      <c r="D1950" s="2806"/>
      <c r="E1950" s="2856"/>
      <c r="F1950" s="2908" t="str">
        <f>$E$1448</f>
        <v>ASHP - SEER 16 - replace electric furnace / CAC - early replacement MF ER1</v>
      </c>
      <c r="G1950" s="2909"/>
      <c r="H1950" s="2909"/>
      <c r="I1950" s="2910"/>
      <c r="J1950" s="1657" t="str">
        <f>$C$1448</f>
        <v>353000_2019_12_</v>
      </c>
      <c r="K1950" s="1663">
        <v>3.41</v>
      </c>
      <c r="L1950" s="1124"/>
      <c r="M1950" s="928" t="s">
        <v>1600</v>
      </c>
      <c r="N1950" s="177"/>
      <c r="O1950" s="332"/>
      <c r="P1950" s="1116"/>
      <c r="Q1950" s="1116"/>
      <c r="R1950" s="1116"/>
      <c r="S1950" s="1103"/>
      <c r="T1950" s="1639"/>
      <c r="U1950" s="177"/>
      <c r="V1950" s="2866"/>
      <c r="W1950" s="909">
        <v>3.41</v>
      </c>
      <c r="X1950" s="909">
        <v>3.41</v>
      </c>
      <c r="Y1950" s="909">
        <v>3.41</v>
      </c>
      <c r="Z1950" s="909"/>
      <c r="AA1950" s="909"/>
      <c r="AB1950" s="909"/>
      <c r="AC1950" s="909"/>
      <c r="AD1950" s="909"/>
      <c r="AE1950" s="909"/>
      <c r="AF1950" s="909"/>
      <c r="AG1950" s="909"/>
      <c r="BB1950" s="784"/>
      <c r="BC1950" s="785"/>
      <c r="BD1950" s="900"/>
      <c r="BE1950" s="797"/>
    </row>
    <row r="1951" spans="1:57" s="65" customFormat="1" ht="15" hidden="1" customHeight="1" outlineLevel="1" x14ac:dyDescent="0.25">
      <c r="A1951" s="718"/>
      <c r="B1951" s="177"/>
      <c r="C1951" s="455"/>
      <c r="D1951" s="2806"/>
      <c r="E1951" s="2856"/>
      <c r="F1951" s="2908" t="str">
        <f>$E$1450</f>
        <v>ASHP - SEER 16 - replace electric furnace / CAC - early replacement MF ER2</v>
      </c>
      <c r="G1951" s="2909"/>
      <c r="H1951" s="2909"/>
      <c r="I1951" s="2910"/>
      <c r="J1951" s="1657" t="str">
        <f>$C$1450</f>
        <v>353000_2019_12_</v>
      </c>
      <c r="K1951" s="1663">
        <v>3.41</v>
      </c>
      <c r="L1951" s="1124"/>
      <c r="M1951" s="928" t="s">
        <v>1600</v>
      </c>
      <c r="N1951" s="177"/>
      <c r="O1951" s="332"/>
      <c r="P1951" s="1116"/>
      <c r="Q1951" s="1116"/>
      <c r="R1951" s="1116"/>
      <c r="S1951" s="1103"/>
      <c r="T1951" s="1639"/>
      <c r="U1951" s="177"/>
      <c r="V1951" s="2866"/>
      <c r="W1951" s="909">
        <v>3.41</v>
      </c>
      <c r="X1951" s="909">
        <v>3.41</v>
      </c>
      <c r="Y1951" s="909">
        <v>3.41</v>
      </c>
      <c r="Z1951" s="909"/>
      <c r="AA1951" s="909"/>
      <c r="AB1951" s="909"/>
      <c r="AC1951" s="909"/>
      <c r="AD1951" s="909"/>
      <c r="AE1951" s="909"/>
      <c r="AF1951" s="909"/>
      <c r="AG1951" s="909"/>
      <c r="BB1951" s="784"/>
      <c r="BC1951" s="785"/>
      <c r="BD1951" s="900"/>
      <c r="BE1951" s="797"/>
    </row>
    <row r="1952" spans="1:57" s="65" customFormat="1" ht="15" hidden="1" customHeight="1" outlineLevel="1" x14ac:dyDescent="0.25">
      <c r="A1952" s="718"/>
      <c r="B1952" s="177"/>
      <c r="C1952" s="455"/>
      <c r="D1952" s="2806"/>
      <c r="E1952" s="2856"/>
      <c r="F1952" s="2908" t="str">
        <f>$E$1452</f>
        <v>ASHP - SEER 16 - replace electric furnace / CAC - early replacement MF ER1_CompE</v>
      </c>
      <c r="G1952" s="2909"/>
      <c r="H1952" s="2909"/>
      <c r="I1952" s="2910"/>
      <c r="J1952" s="1657" t="str">
        <f>$C$1452</f>
        <v>353001_2019_12_</v>
      </c>
      <c r="K1952" s="1663">
        <v>3.41</v>
      </c>
      <c r="L1952" s="1124"/>
      <c r="M1952" s="928" t="s">
        <v>1600</v>
      </c>
      <c r="N1952" s="177"/>
      <c r="O1952" s="332"/>
      <c r="P1952" s="1116"/>
      <c r="Q1952" s="1116"/>
      <c r="R1952" s="1116"/>
      <c r="S1952" s="1103"/>
      <c r="T1952" s="1639"/>
      <c r="U1952" s="177"/>
      <c r="V1952" s="2866"/>
      <c r="W1952" s="909"/>
      <c r="X1952" s="909"/>
      <c r="Y1952" s="908">
        <v>3.41</v>
      </c>
      <c r="Z1952" s="909"/>
      <c r="AA1952" s="909"/>
      <c r="AB1952" s="909"/>
      <c r="AC1952" s="909"/>
      <c r="AD1952" s="909"/>
      <c r="AE1952" s="909"/>
      <c r="AF1952" s="909"/>
      <c r="AG1952" s="909"/>
      <c r="BB1952" s="784"/>
      <c r="BC1952" s="785"/>
      <c r="BD1952" s="900"/>
      <c r="BE1952" s="797"/>
    </row>
    <row r="1953" spans="1:57" s="65" customFormat="1" ht="15" hidden="1" customHeight="1" outlineLevel="1" x14ac:dyDescent="0.25">
      <c r="A1953" s="718"/>
      <c r="B1953" s="177"/>
      <c r="C1953" s="455"/>
      <c r="D1953" s="2806"/>
      <c r="E1953" s="2856"/>
      <c r="F1953" s="2908" t="str">
        <f>$E$1454</f>
        <v>ASHP - SEER 16 - replace electric furnace / CAC - early replacement MF ER2_CompE</v>
      </c>
      <c r="G1953" s="2909"/>
      <c r="H1953" s="2909"/>
      <c r="I1953" s="2910"/>
      <c r="J1953" s="1657" t="str">
        <f>$C$1454</f>
        <v>353001_2019_12_</v>
      </c>
      <c r="K1953" s="1663">
        <v>3.41</v>
      </c>
      <c r="L1953" s="1124"/>
      <c r="M1953" s="928" t="s">
        <v>1600</v>
      </c>
      <c r="N1953" s="177"/>
      <c r="O1953" s="332"/>
      <c r="P1953" s="1116"/>
      <c r="Q1953" s="1116"/>
      <c r="R1953" s="1116"/>
      <c r="S1953" s="1103"/>
      <c r="T1953" s="1639"/>
      <c r="U1953" s="177"/>
      <c r="V1953" s="2866"/>
      <c r="W1953" s="909"/>
      <c r="X1953" s="909"/>
      <c r="Y1953" s="908">
        <v>3.41</v>
      </c>
      <c r="Z1953" s="909"/>
      <c r="AA1953" s="909"/>
      <c r="AB1953" s="909"/>
      <c r="AC1953" s="909"/>
      <c r="AD1953" s="909"/>
      <c r="AE1953" s="909"/>
      <c r="AF1953" s="909"/>
      <c r="AG1953" s="909"/>
      <c r="BB1953" s="784"/>
      <c r="BC1953" s="785"/>
      <c r="BD1953" s="900"/>
      <c r="BE1953" s="797"/>
    </row>
    <row r="1954" spans="1:57" s="65" customFormat="1" ht="15" hidden="1" customHeight="1" outlineLevel="1" x14ac:dyDescent="0.25">
      <c r="A1954" s="718"/>
      <c r="B1954" s="177"/>
      <c r="C1954" s="455"/>
      <c r="D1954" s="2806"/>
      <c r="E1954" s="2856"/>
      <c r="F1954" s="2911" t="str">
        <f>$E$1456</f>
        <v xml:space="preserve">ASHP SEER 15 - replace on Fail MF </v>
      </c>
      <c r="G1954" s="2912"/>
      <c r="H1954" s="2912"/>
      <c r="I1954" s="2913"/>
      <c r="J1954" s="1658" t="str">
        <f>$C$1456</f>
        <v>353050_2019_12_</v>
      </c>
      <c r="K1954" s="1663">
        <v>8.1999999999999993</v>
      </c>
      <c r="L1954" s="1124"/>
      <c r="M1954" s="928" t="s">
        <v>1600</v>
      </c>
      <c r="N1954" s="177"/>
      <c r="O1954" s="332"/>
      <c r="P1954" s="1116"/>
      <c r="Q1954" s="1116"/>
      <c r="R1954" s="1116"/>
      <c r="S1954" s="1103"/>
      <c r="T1954" s="1639"/>
      <c r="U1954" s="177"/>
      <c r="V1954" s="2866"/>
      <c r="W1954" s="909">
        <v>8.1999999999999993</v>
      </c>
      <c r="X1954" s="909">
        <v>8.1999999999999993</v>
      </c>
      <c r="Y1954" s="909">
        <v>8.1999999999999993</v>
      </c>
      <c r="Z1954" s="909"/>
      <c r="AA1954" s="909"/>
      <c r="AB1954" s="909"/>
      <c r="AC1954" s="909"/>
      <c r="AD1954" s="909"/>
      <c r="AE1954" s="909"/>
      <c r="AF1954" s="909"/>
      <c r="AG1954" s="909"/>
      <c r="BB1954" s="784"/>
      <c r="BC1954" s="785"/>
      <c r="BD1954" s="900"/>
      <c r="BE1954" s="797"/>
    </row>
    <row r="1955" spans="1:57" s="65" customFormat="1" ht="15" hidden="1" customHeight="1" outlineLevel="1" x14ac:dyDescent="0.25">
      <c r="A1955" s="718"/>
      <c r="B1955" s="177"/>
      <c r="C1955" s="455"/>
      <c r="D1955" s="2806"/>
      <c r="E1955" s="2856"/>
      <c r="F1955" s="2911" t="str">
        <f>$E$1458</f>
        <v>ASHP SEER 15 - replace on Fail MF _CompE</v>
      </c>
      <c r="G1955" s="2912"/>
      <c r="H1955" s="2912"/>
      <c r="I1955" s="2913"/>
      <c r="J1955" s="1658" t="str">
        <f>$C$1458</f>
        <v>353051_2019_12_</v>
      </c>
      <c r="K1955" s="1663">
        <v>8.1999999999999993</v>
      </c>
      <c r="L1955" s="1124"/>
      <c r="M1955" s="928" t="s">
        <v>1600</v>
      </c>
      <c r="N1955" s="177"/>
      <c r="O1955" s="332"/>
      <c r="P1955" s="1116"/>
      <c r="Q1955" s="1116"/>
      <c r="R1955" s="1116"/>
      <c r="S1955" s="1103"/>
      <c r="T1955" s="1639"/>
      <c r="U1955" s="177"/>
      <c r="V1955" s="2866"/>
      <c r="W1955" s="909"/>
      <c r="X1955" s="909"/>
      <c r="Y1955" s="908">
        <v>8.1999999999999993</v>
      </c>
      <c r="Z1955" s="909"/>
      <c r="AA1955" s="909"/>
      <c r="AB1955" s="909"/>
      <c r="AC1955" s="909"/>
      <c r="AD1955" s="909"/>
      <c r="AE1955" s="909"/>
      <c r="AF1955" s="909"/>
      <c r="AG1955" s="909"/>
      <c r="BB1955" s="784"/>
      <c r="BC1955" s="785"/>
      <c r="BD1955" s="900"/>
      <c r="BE1955" s="797"/>
    </row>
    <row r="1956" spans="1:57" s="65" customFormat="1" ht="15" hidden="1" customHeight="1" outlineLevel="1" x14ac:dyDescent="0.25">
      <c r="A1956" s="718"/>
      <c r="B1956" s="177"/>
      <c r="C1956" s="455"/>
      <c r="D1956" s="2806"/>
      <c r="E1956" s="2856"/>
      <c r="F1956" s="2908" t="str">
        <f>$E$1460</f>
        <v>ASHP - SEER 17 - replace electric furnace / CAC SF</v>
      </c>
      <c r="G1956" s="2909"/>
      <c r="H1956" s="2909"/>
      <c r="I1956" s="2910"/>
      <c r="J1956" s="1657" t="str">
        <f>$C$1460</f>
        <v>353100_2019_12_</v>
      </c>
      <c r="K1956" s="1663">
        <v>3.41</v>
      </c>
      <c r="L1956" s="1124"/>
      <c r="M1956" s="928" t="s">
        <v>1178</v>
      </c>
      <c r="N1956" s="177"/>
      <c r="O1956" s="332"/>
      <c r="P1956" s="1116"/>
      <c r="Q1956" s="1116"/>
      <c r="R1956" s="1116"/>
      <c r="S1956" s="1103"/>
      <c r="T1956" s="1639"/>
      <c r="U1956" s="177"/>
      <c r="V1956" s="2866"/>
      <c r="W1956" s="909">
        <v>3.41</v>
      </c>
      <c r="X1956" s="909">
        <v>3.41</v>
      </c>
      <c r="Y1956" s="909">
        <v>3.41</v>
      </c>
      <c r="Z1956" s="909"/>
      <c r="AA1956" s="909"/>
      <c r="AB1956" s="909"/>
      <c r="AC1956" s="909"/>
      <c r="AD1956" s="909"/>
      <c r="AE1956" s="909"/>
      <c r="AF1956" s="909"/>
      <c r="AG1956" s="909"/>
      <c r="BB1956" s="784"/>
      <c r="BC1956" s="785"/>
      <c r="BD1956" s="900"/>
      <c r="BE1956" s="797"/>
    </row>
    <row r="1957" spans="1:57" s="65" customFormat="1" ht="15" hidden="1" customHeight="1" outlineLevel="1" x14ac:dyDescent="0.25">
      <c r="A1957" s="718"/>
      <c r="B1957" s="177"/>
      <c r="C1957" s="455"/>
      <c r="D1957" s="2806"/>
      <c r="E1957" s="2856"/>
      <c r="F1957" s="2908" t="str">
        <f>$E$1462</f>
        <v>ASHP - SEER 17 - replace electric furnace / CAC MF</v>
      </c>
      <c r="G1957" s="2909"/>
      <c r="H1957" s="2909"/>
      <c r="I1957" s="2910"/>
      <c r="J1957" s="1657" t="str">
        <f>$C$1462</f>
        <v>353150_2019_12_</v>
      </c>
      <c r="K1957" s="1663">
        <v>3.41</v>
      </c>
      <c r="L1957" s="1124"/>
      <c r="M1957" s="928" t="s">
        <v>1600</v>
      </c>
      <c r="N1957" s="177"/>
      <c r="O1957" s="332"/>
      <c r="P1957" s="1116"/>
      <c r="Q1957" s="1116"/>
      <c r="R1957" s="1116"/>
      <c r="S1957" s="1103"/>
      <c r="T1957" s="1639"/>
      <c r="U1957" s="177"/>
      <c r="V1957" s="2866"/>
      <c r="W1957" s="909">
        <v>3.41</v>
      </c>
      <c r="X1957" s="909">
        <v>3.41</v>
      </c>
      <c r="Y1957" s="909">
        <v>3.41</v>
      </c>
      <c r="Z1957" s="909"/>
      <c r="AA1957" s="909"/>
      <c r="AB1957" s="909"/>
      <c r="AC1957" s="909"/>
      <c r="AD1957" s="909"/>
      <c r="AE1957" s="909"/>
      <c r="AF1957" s="909"/>
      <c r="AG1957" s="909"/>
      <c r="BB1957" s="784"/>
      <c r="BC1957" s="785"/>
      <c r="BD1957" s="900"/>
      <c r="BE1957" s="797"/>
    </row>
    <row r="1958" spans="1:57" s="65" customFormat="1" ht="15" hidden="1" customHeight="1" outlineLevel="1" x14ac:dyDescent="0.25">
      <c r="A1958" s="718"/>
      <c r="B1958" s="177"/>
      <c r="C1958" s="455"/>
      <c r="D1958" s="2806"/>
      <c r="E1958" s="2856"/>
      <c r="F1958" s="2908" t="str">
        <f>$E$1464</f>
        <v>ASHP - SEER 17 - replace electric furnace / CAC MF_CompE</v>
      </c>
      <c r="G1958" s="2909"/>
      <c r="H1958" s="2909"/>
      <c r="I1958" s="2910"/>
      <c r="J1958" s="1657" t="str">
        <f>$C$1464</f>
        <v>353151_2019_12_</v>
      </c>
      <c r="K1958" s="1663">
        <v>3.41</v>
      </c>
      <c r="L1958" s="1124"/>
      <c r="M1958" s="928" t="s">
        <v>1600</v>
      </c>
      <c r="N1958" s="177"/>
      <c r="O1958" s="332"/>
      <c r="P1958" s="1116"/>
      <c r="Q1958" s="1116"/>
      <c r="R1958" s="1116"/>
      <c r="S1958" s="1103"/>
      <c r="T1958" s="1639"/>
      <c r="U1958" s="177"/>
      <c r="V1958" s="2866"/>
      <c r="W1958" s="909"/>
      <c r="X1958" s="909"/>
      <c r="Y1958" s="908">
        <v>3.41</v>
      </c>
      <c r="Z1958" s="909"/>
      <c r="AA1958" s="909"/>
      <c r="AB1958" s="909"/>
      <c r="AC1958" s="909"/>
      <c r="AD1958" s="909"/>
      <c r="AE1958" s="909"/>
      <c r="AF1958" s="909"/>
      <c r="AG1958" s="909"/>
      <c r="BB1958" s="784"/>
      <c r="BC1958" s="785"/>
      <c r="BD1958" s="900"/>
      <c r="BE1958" s="797"/>
    </row>
    <row r="1959" spans="1:57" s="65" customFormat="1" ht="15" hidden="1" customHeight="1" outlineLevel="1" x14ac:dyDescent="0.25">
      <c r="A1959" s="718"/>
      <c r="B1959" s="177"/>
      <c r="C1959" s="455"/>
      <c r="D1959" s="2806"/>
      <c r="E1959" s="2856"/>
      <c r="F1959" s="2908" t="str">
        <f>$E$1466</f>
        <v>ASHP - SEER 18 - replace electric furnace / CAC SF</v>
      </c>
      <c r="G1959" s="2909"/>
      <c r="H1959" s="2909"/>
      <c r="I1959" s="2910"/>
      <c r="J1959" s="1657" t="str">
        <f>$C$1466</f>
        <v>353200_2019_12_</v>
      </c>
      <c r="K1959" s="1663">
        <v>3.41</v>
      </c>
      <c r="L1959" s="1124"/>
      <c r="M1959" s="928" t="s">
        <v>1178</v>
      </c>
      <c r="N1959" s="177"/>
      <c r="O1959" s="332"/>
      <c r="P1959" s="1116"/>
      <c r="Q1959" s="1116"/>
      <c r="R1959" s="1116"/>
      <c r="S1959" s="1103"/>
      <c r="T1959" s="1639"/>
      <c r="U1959" s="177"/>
      <c r="V1959" s="2866"/>
      <c r="W1959" s="909">
        <v>3.41</v>
      </c>
      <c r="X1959" s="909">
        <v>3.41</v>
      </c>
      <c r="Y1959" s="909">
        <v>3.41</v>
      </c>
      <c r="Z1959" s="909"/>
      <c r="AA1959" s="909"/>
      <c r="AB1959" s="909"/>
      <c r="AC1959" s="909"/>
      <c r="AD1959" s="909"/>
      <c r="AE1959" s="909"/>
      <c r="AF1959" s="909"/>
      <c r="AG1959" s="909"/>
      <c r="BB1959" s="784"/>
      <c r="BC1959" s="785"/>
      <c r="BD1959" s="900"/>
      <c r="BE1959" s="797"/>
    </row>
    <row r="1960" spans="1:57" s="65" customFormat="1" ht="15" hidden="1" customHeight="1" outlineLevel="1" x14ac:dyDescent="0.25">
      <c r="A1960" s="718"/>
      <c r="B1960" s="177"/>
      <c r="C1960" s="455"/>
      <c r="D1960" s="2806"/>
      <c r="E1960" s="2856"/>
      <c r="F1960" s="2908" t="str">
        <f>$E$1468</f>
        <v>ASHP - SEER 18 - replace electric furnace / CAC MF</v>
      </c>
      <c r="G1960" s="2909"/>
      <c r="H1960" s="2909"/>
      <c r="I1960" s="2910"/>
      <c r="J1960" s="1657" t="str">
        <f>$C$1468</f>
        <v>353250_2019_12_</v>
      </c>
      <c r="K1960" s="1663">
        <v>3.41</v>
      </c>
      <c r="L1960" s="1124"/>
      <c r="M1960" s="928" t="s">
        <v>1600</v>
      </c>
      <c r="N1960" s="177"/>
      <c r="O1960" s="332"/>
      <c r="P1960" s="1116"/>
      <c r="Q1960" s="1116"/>
      <c r="R1960" s="1116"/>
      <c r="S1960" s="1103"/>
      <c r="T1960" s="1639"/>
      <c r="U1960" s="177"/>
      <c r="V1960" s="2866"/>
      <c r="W1960" s="909">
        <v>3.41</v>
      </c>
      <c r="X1960" s="909">
        <v>3.41</v>
      </c>
      <c r="Y1960" s="909">
        <v>3.41</v>
      </c>
      <c r="Z1960" s="909"/>
      <c r="AA1960" s="909"/>
      <c r="AB1960" s="909"/>
      <c r="AC1960" s="909"/>
      <c r="AD1960" s="909"/>
      <c r="AE1960" s="909"/>
      <c r="AF1960" s="909"/>
      <c r="AG1960" s="909"/>
      <c r="BB1960" s="784"/>
      <c r="BC1960" s="785"/>
      <c r="BD1960" s="900"/>
      <c r="BE1960" s="797"/>
    </row>
    <row r="1961" spans="1:57" s="65" customFormat="1" ht="15" hidden="1" customHeight="1" outlineLevel="1" x14ac:dyDescent="0.25">
      <c r="A1961" s="718"/>
      <c r="B1961" s="177"/>
      <c r="C1961" s="455"/>
      <c r="D1961" s="2806"/>
      <c r="E1961" s="2856"/>
      <c r="F1961" s="2908" t="str">
        <f>$E$1470</f>
        <v>ASHP - SEER 18 - replace electric furnace / CAC MF_CompE</v>
      </c>
      <c r="G1961" s="2909"/>
      <c r="H1961" s="2909"/>
      <c r="I1961" s="2910"/>
      <c r="J1961" s="1657" t="str">
        <f>$C$1470</f>
        <v>353251_2019_12_</v>
      </c>
      <c r="K1961" s="1663">
        <v>3.41</v>
      </c>
      <c r="L1961" s="1124"/>
      <c r="M1961" s="928" t="s">
        <v>1600</v>
      </c>
      <c r="N1961" s="177"/>
      <c r="O1961" s="332"/>
      <c r="P1961" s="1116"/>
      <c r="Q1961" s="1116"/>
      <c r="R1961" s="1116"/>
      <c r="S1961" s="1103"/>
      <c r="T1961" s="1639"/>
      <c r="U1961" s="177"/>
      <c r="V1961" s="2866"/>
      <c r="W1961" s="909"/>
      <c r="X1961" s="909"/>
      <c r="Y1961" s="908">
        <v>3.41</v>
      </c>
      <c r="Z1961" s="909"/>
      <c r="AA1961" s="909"/>
      <c r="AB1961" s="909"/>
      <c r="AC1961" s="909"/>
      <c r="AD1961" s="909"/>
      <c r="AE1961" s="909"/>
      <c r="AF1961" s="909"/>
      <c r="AG1961" s="909"/>
      <c r="BB1961" s="784"/>
      <c r="BC1961" s="785"/>
      <c r="BD1961" s="900"/>
      <c r="BE1961" s="797"/>
    </row>
    <row r="1962" spans="1:57" s="65" customFormat="1" ht="15" hidden="1" customHeight="1" outlineLevel="1" x14ac:dyDescent="0.25">
      <c r="A1962" s="718"/>
      <c r="B1962" s="177"/>
      <c r="C1962" s="455"/>
      <c r="D1962" s="2806"/>
      <c r="E1962" s="2856"/>
      <c r="F1962" s="2908" t="str">
        <f>$E$1472</f>
        <v>ASHP - SEER 19 - replace electric furnace / CAC SF</v>
      </c>
      <c r="G1962" s="2909"/>
      <c r="H1962" s="2909"/>
      <c r="I1962" s="2910"/>
      <c r="J1962" s="1657" t="str">
        <f>$C$1472</f>
        <v>353300_2019_12_</v>
      </c>
      <c r="K1962" s="1663">
        <v>3.41</v>
      </c>
      <c r="L1962" s="1124"/>
      <c r="M1962" s="928" t="s">
        <v>1178</v>
      </c>
      <c r="N1962" s="177"/>
      <c r="O1962" s="332"/>
      <c r="P1962" s="1116"/>
      <c r="Q1962" s="1116"/>
      <c r="R1962" s="1116"/>
      <c r="S1962" s="1103"/>
      <c r="T1962" s="1639"/>
      <c r="U1962" s="177"/>
      <c r="V1962" s="2866"/>
      <c r="W1962" s="909">
        <v>3.41</v>
      </c>
      <c r="X1962" s="909">
        <v>3.41</v>
      </c>
      <c r="Y1962" s="909">
        <v>3.41</v>
      </c>
      <c r="Z1962" s="909"/>
      <c r="AA1962" s="909"/>
      <c r="AB1962" s="909"/>
      <c r="AC1962" s="909"/>
      <c r="AD1962" s="909"/>
      <c r="AE1962" s="909"/>
      <c r="AF1962" s="909"/>
      <c r="AG1962" s="909"/>
      <c r="BB1962" s="784"/>
      <c r="BC1962" s="785"/>
      <c r="BD1962" s="900"/>
      <c r="BE1962" s="797"/>
    </row>
    <row r="1963" spans="1:57" s="65" customFormat="1" ht="15" hidden="1" customHeight="1" outlineLevel="1" x14ac:dyDescent="0.25">
      <c r="A1963" s="718"/>
      <c r="B1963" s="177"/>
      <c r="C1963" s="455"/>
      <c r="D1963" s="2806"/>
      <c r="E1963" s="2856"/>
      <c r="F1963" s="2908" t="str">
        <f>$E$1474</f>
        <v>ASHP - SEER 19 - replace electric furnace / CAC MF</v>
      </c>
      <c r="G1963" s="2909"/>
      <c r="H1963" s="2909"/>
      <c r="I1963" s="2910"/>
      <c r="J1963" s="1657" t="str">
        <f>$C$1474</f>
        <v>353350_2019_12_</v>
      </c>
      <c r="K1963" s="1663">
        <v>3.41</v>
      </c>
      <c r="L1963" s="1124"/>
      <c r="M1963" s="928" t="s">
        <v>1600</v>
      </c>
      <c r="N1963" s="177"/>
      <c r="O1963" s="332"/>
      <c r="P1963" s="1116"/>
      <c r="Q1963" s="1116"/>
      <c r="R1963" s="1116"/>
      <c r="S1963" s="1103"/>
      <c r="T1963" s="1639"/>
      <c r="U1963" s="177"/>
      <c r="V1963" s="2866"/>
      <c r="W1963" s="909">
        <v>3.41</v>
      </c>
      <c r="X1963" s="909">
        <v>3.41</v>
      </c>
      <c r="Y1963" s="909">
        <v>3.41</v>
      </c>
      <c r="Z1963" s="909"/>
      <c r="AA1963" s="909"/>
      <c r="AB1963" s="909"/>
      <c r="AC1963" s="909"/>
      <c r="AD1963" s="909"/>
      <c r="AE1963" s="909"/>
      <c r="AF1963" s="909"/>
      <c r="AG1963" s="909"/>
      <c r="BB1963" s="784"/>
      <c r="BC1963" s="785"/>
      <c r="BD1963" s="900"/>
      <c r="BE1963" s="797"/>
    </row>
    <row r="1964" spans="1:57" s="65" customFormat="1" ht="15" hidden="1" customHeight="1" outlineLevel="1" x14ac:dyDescent="0.25">
      <c r="A1964" s="718"/>
      <c r="B1964" s="177"/>
      <c r="C1964" s="455"/>
      <c r="D1964" s="2806"/>
      <c r="E1964" s="2856"/>
      <c r="F1964" s="2908" t="str">
        <f>$E$1476</f>
        <v>ASHP - SEER 19 - replace electric furnace / CAC MF_CompE</v>
      </c>
      <c r="G1964" s="2909"/>
      <c r="H1964" s="2909"/>
      <c r="I1964" s="2910"/>
      <c r="J1964" s="1657" t="str">
        <f>$C$1476</f>
        <v>353351_2019_12_</v>
      </c>
      <c r="K1964" s="1663">
        <v>3.41</v>
      </c>
      <c r="L1964" s="1124"/>
      <c r="M1964" s="928" t="s">
        <v>1600</v>
      </c>
      <c r="N1964" s="177"/>
      <c r="O1964" s="332"/>
      <c r="P1964" s="1116"/>
      <c r="Q1964" s="1116"/>
      <c r="R1964" s="1116"/>
      <c r="S1964" s="1103"/>
      <c r="T1964" s="1639"/>
      <c r="U1964" s="177"/>
      <c r="V1964" s="2866"/>
      <c r="W1964" s="909"/>
      <c r="X1964" s="909"/>
      <c r="Y1964" s="908">
        <v>3.41</v>
      </c>
      <c r="Z1964" s="909"/>
      <c r="AA1964" s="909"/>
      <c r="AB1964" s="909"/>
      <c r="AC1964" s="909"/>
      <c r="AD1964" s="909"/>
      <c r="AE1964" s="909"/>
      <c r="AF1964" s="909"/>
      <c r="AG1964" s="909"/>
      <c r="BB1964" s="784"/>
      <c r="BC1964" s="785"/>
      <c r="BD1964" s="900"/>
      <c r="BE1964" s="797"/>
    </row>
    <row r="1965" spans="1:57" s="65" customFormat="1" ht="15" hidden="1" customHeight="1" outlineLevel="1" x14ac:dyDescent="0.25">
      <c r="A1965" s="718"/>
      <c r="B1965" s="177"/>
      <c r="C1965" s="455"/>
      <c r="D1965" s="2806"/>
      <c r="E1965" s="2856"/>
      <c r="F1965" s="2908" t="str">
        <f>$E$1478</f>
        <v>ASHP - SEER 20 - replace electric furnace / CAC - early replacement SF ER1</v>
      </c>
      <c r="G1965" s="2909"/>
      <c r="H1965" s="2909"/>
      <c r="I1965" s="2910"/>
      <c r="J1965" s="1657" t="str">
        <f>$C$1478</f>
        <v>353400_2019_12_</v>
      </c>
      <c r="K1965" s="1663">
        <v>3.41</v>
      </c>
      <c r="L1965" s="1124"/>
      <c r="M1965" s="928" t="s">
        <v>1178</v>
      </c>
      <c r="N1965" s="177"/>
      <c r="O1965" s="332"/>
      <c r="P1965" s="1116"/>
      <c r="Q1965" s="1116"/>
      <c r="R1965" s="1116"/>
      <c r="S1965" s="1103"/>
      <c r="T1965" s="1639"/>
      <c r="U1965" s="177"/>
      <c r="V1965" s="2866"/>
      <c r="W1965" s="909">
        <v>3.41</v>
      </c>
      <c r="X1965" s="909">
        <v>3.41</v>
      </c>
      <c r="Y1965" s="909">
        <v>3.41</v>
      </c>
      <c r="Z1965" s="909"/>
      <c r="AA1965" s="909"/>
      <c r="AB1965" s="909"/>
      <c r="AC1965" s="909"/>
      <c r="AD1965" s="909"/>
      <c r="AE1965" s="909"/>
      <c r="AF1965" s="909"/>
      <c r="AG1965" s="909"/>
      <c r="BB1965" s="784"/>
      <c r="BC1965" s="785"/>
      <c r="BD1965" s="900"/>
      <c r="BE1965" s="797"/>
    </row>
    <row r="1966" spans="1:57" s="65" customFormat="1" ht="15" hidden="1" customHeight="1" outlineLevel="1" x14ac:dyDescent="0.25">
      <c r="A1966" s="718"/>
      <c r="B1966" s="177"/>
      <c r="C1966" s="455"/>
      <c r="D1966" s="2806"/>
      <c r="E1966" s="2856"/>
      <c r="F1966" s="2908" t="str">
        <f>$E$1480</f>
        <v>ASHP - SEER 20 - replace electric furnace / CAC - early replacement SF ER2</v>
      </c>
      <c r="G1966" s="2909"/>
      <c r="H1966" s="2909"/>
      <c r="I1966" s="2910"/>
      <c r="J1966" s="1657" t="str">
        <f>$C$1480</f>
        <v>353400_2019_12_</v>
      </c>
      <c r="K1966" s="1663">
        <v>3.41</v>
      </c>
      <c r="L1966" s="1124"/>
      <c r="M1966" s="928" t="s">
        <v>1178</v>
      </c>
      <c r="N1966" s="177"/>
      <c r="O1966" s="332"/>
      <c r="P1966" s="1116"/>
      <c r="Q1966" s="1116"/>
      <c r="R1966" s="1116"/>
      <c r="S1966" s="1103"/>
      <c r="T1966" s="1639"/>
      <c r="U1966" s="177"/>
      <c r="V1966" s="2866"/>
      <c r="W1966" s="909">
        <v>3.41</v>
      </c>
      <c r="X1966" s="909">
        <v>3.41</v>
      </c>
      <c r="Y1966" s="909">
        <v>3.41</v>
      </c>
      <c r="Z1966" s="909"/>
      <c r="AA1966" s="909"/>
      <c r="AB1966" s="909"/>
      <c r="AC1966" s="909"/>
      <c r="AD1966" s="909"/>
      <c r="AE1966" s="909"/>
      <c r="AF1966" s="909"/>
      <c r="AG1966" s="909"/>
      <c r="BB1966" s="784"/>
      <c r="BC1966" s="785"/>
      <c r="BD1966" s="900"/>
      <c r="BE1966" s="797"/>
    </row>
    <row r="1967" spans="1:57" s="65" customFormat="1" ht="15" hidden="1" customHeight="1" outlineLevel="1" x14ac:dyDescent="0.25">
      <c r="A1967" s="718"/>
      <c r="B1967" s="177"/>
      <c r="C1967" s="455"/>
      <c r="D1967" s="2806"/>
      <c r="E1967" s="2856"/>
      <c r="F1967" s="2908" t="str">
        <f>$E$1482</f>
        <v>ASHP - SEER 20 - replace electric furnace / CAC SF</v>
      </c>
      <c r="G1967" s="2909"/>
      <c r="H1967" s="2909"/>
      <c r="I1967" s="2910"/>
      <c r="J1967" s="1657" t="str">
        <f>$C$1482</f>
        <v>353450_2019_12_</v>
      </c>
      <c r="K1967" s="1663">
        <v>3.41</v>
      </c>
      <c r="L1967" s="1124"/>
      <c r="M1967" s="928" t="s">
        <v>1178</v>
      </c>
      <c r="N1967" s="177"/>
      <c r="O1967" s="332"/>
      <c r="P1967" s="1116"/>
      <c r="Q1967" s="1116"/>
      <c r="R1967" s="1116"/>
      <c r="S1967" s="1103"/>
      <c r="T1967" s="1639"/>
      <c r="U1967" s="177"/>
      <c r="V1967" s="2866"/>
      <c r="W1967" s="909">
        <v>3.41</v>
      </c>
      <c r="X1967" s="909">
        <v>3.41</v>
      </c>
      <c r="Y1967" s="909">
        <v>3.41</v>
      </c>
      <c r="Z1967" s="909"/>
      <c r="AA1967" s="909"/>
      <c r="AB1967" s="909"/>
      <c r="AC1967" s="909"/>
      <c r="AD1967" s="909"/>
      <c r="AE1967" s="909"/>
      <c r="AF1967" s="909"/>
      <c r="AG1967" s="909"/>
      <c r="BB1967" s="784"/>
      <c r="BC1967" s="785"/>
      <c r="BD1967" s="900"/>
      <c r="BE1967" s="797"/>
    </row>
    <row r="1968" spans="1:57" s="65" customFormat="1" ht="15" hidden="1" customHeight="1" outlineLevel="1" x14ac:dyDescent="0.25">
      <c r="A1968" s="718"/>
      <c r="B1968" s="177"/>
      <c r="C1968" s="455"/>
      <c r="D1968" s="2806"/>
      <c r="E1968" s="2856"/>
      <c r="F1968" s="2908" t="str">
        <f>$E$1484</f>
        <v>ASHP - SEER 20 - replace electric furnace / CAC MF</v>
      </c>
      <c r="G1968" s="2909"/>
      <c r="H1968" s="2909"/>
      <c r="I1968" s="2910"/>
      <c r="J1968" s="1657" t="str">
        <f>$C$1484</f>
        <v>353500_2019_12_</v>
      </c>
      <c r="K1968" s="1663">
        <v>3.41</v>
      </c>
      <c r="L1968" s="1124"/>
      <c r="M1968" s="928" t="s">
        <v>1600</v>
      </c>
      <c r="N1968" s="177"/>
      <c r="O1968" s="332"/>
      <c r="P1968" s="1116"/>
      <c r="Q1968" s="1116"/>
      <c r="R1968" s="1116"/>
      <c r="S1968" s="1103"/>
      <c r="T1968" s="1639"/>
      <c r="U1968" s="177"/>
      <c r="V1968" s="2866"/>
      <c r="W1968" s="909">
        <v>3.41</v>
      </c>
      <c r="X1968" s="909">
        <v>3.41</v>
      </c>
      <c r="Y1968" s="909">
        <v>3.41</v>
      </c>
      <c r="Z1968" s="909"/>
      <c r="AA1968" s="909"/>
      <c r="AB1968" s="909"/>
      <c r="AC1968" s="909"/>
      <c r="AD1968" s="909"/>
      <c r="AE1968" s="909"/>
      <c r="AF1968" s="909"/>
      <c r="AG1968" s="909"/>
      <c r="BB1968" s="784"/>
      <c r="BC1968" s="785"/>
      <c r="BD1968" s="900"/>
      <c r="BE1968" s="797"/>
    </row>
    <row r="1969" spans="1:57" s="65" customFormat="1" ht="15" hidden="1" customHeight="1" outlineLevel="1" x14ac:dyDescent="0.25">
      <c r="A1969" s="718"/>
      <c r="B1969" s="177"/>
      <c r="C1969" s="455"/>
      <c r="D1969" s="2806"/>
      <c r="E1969" s="2856"/>
      <c r="F1969" s="2908" t="str">
        <f>$E$1486</f>
        <v>ASHP - SEER 20 - replace electric furnace / CAC MF_CompE</v>
      </c>
      <c r="G1969" s="2909"/>
      <c r="H1969" s="2909"/>
      <c r="I1969" s="2910"/>
      <c r="J1969" s="1657" t="str">
        <f>$C$1486</f>
        <v>353501_2019_12_</v>
      </c>
      <c r="K1969" s="1663">
        <v>3.41</v>
      </c>
      <c r="L1969" s="1124"/>
      <c r="M1969" s="928" t="s">
        <v>1600</v>
      </c>
      <c r="N1969" s="177"/>
      <c r="O1969" s="332"/>
      <c r="P1969" s="1116"/>
      <c r="Q1969" s="1116"/>
      <c r="R1969" s="1116"/>
      <c r="S1969" s="1103"/>
      <c r="T1969" s="1639"/>
      <c r="U1969" s="177"/>
      <c r="V1969" s="2866"/>
      <c r="W1969" s="909"/>
      <c r="X1969" s="909"/>
      <c r="Y1969" s="908">
        <v>3.41</v>
      </c>
      <c r="Z1969" s="909"/>
      <c r="AA1969" s="909"/>
      <c r="AB1969" s="909"/>
      <c r="AC1969" s="909"/>
      <c r="AD1969" s="909"/>
      <c r="AE1969" s="909"/>
      <c r="AF1969" s="909"/>
      <c r="AG1969" s="909"/>
      <c r="BB1969" s="784"/>
      <c r="BC1969" s="785"/>
      <c r="BD1969" s="900"/>
      <c r="BE1969" s="797"/>
    </row>
    <row r="1970" spans="1:57" s="65" customFormat="1" ht="15" hidden="1" customHeight="1" outlineLevel="1" x14ac:dyDescent="0.25">
      <c r="A1970" s="718"/>
      <c r="B1970" s="177"/>
      <c r="C1970" s="455"/>
      <c r="D1970" s="2806"/>
      <c r="E1970" s="2856"/>
      <c r="F1970" s="2908" t="str">
        <f>$E$1488</f>
        <v>ASHP - SEER 21 - replace electric furnace / CAC - early replacement SF ER1</v>
      </c>
      <c r="G1970" s="2909"/>
      <c r="H1970" s="2909"/>
      <c r="I1970" s="2910"/>
      <c r="J1970" s="1657" t="str">
        <f>$C$1488</f>
        <v>353550_2019_12_</v>
      </c>
      <c r="K1970" s="1663">
        <v>3.41</v>
      </c>
      <c r="L1970" s="1124"/>
      <c r="M1970" s="928" t="s">
        <v>1178</v>
      </c>
      <c r="N1970" s="177"/>
      <c r="O1970" s="332"/>
      <c r="P1970" s="1116"/>
      <c r="Q1970" s="1117"/>
      <c r="R1970" s="1116"/>
      <c r="S1970" s="1103"/>
      <c r="T1970" s="1639"/>
      <c r="U1970" s="177"/>
      <c r="V1970" s="2866"/>
      <c r="W1970" s="909">
        <v>3.41</v>
      </c>
      <c r="X1970" s="909">
        <v>3.41</v>
      </c>
      <c r="Y1970" s="909">
        <v>3.41</v>
      </c>
      <c r="Z1970" s="909"/>
      <c r="AA1970" s="909"/>
      <c r="AB1970" s="909"/>
      <c r="AC1970" s="909"/>
      <c r="AD1970" s="909"/>
      <c r="AE1970" s="909"/>
      <c r="AF1970" s="909"/>
      <c r="AG1970" s="909"/>
      <c r="BB1970" s="784"/>
      <c r="BC1970" s="785"/>
      <c r="BD1970" s="900"/>
      <c r="BE1970" s="797"/>
    </row>
    <row r="1971" spans="1:57" s="65" customFormat="1" ht="15" hidden="1" customHeight="1" outlineLevel="1" x14ac:dyDescent="0.25">
      <c r="A1971" s="718"/>
      <c r="B1971" s="177"/>
      <c r="C1971" s="455"/>
      <c r="D1971" s="2806"/>
      <c r="E1971" s="2856"/>
      <c r="F1971" s="2908" t="str">
        <f>$E$1490</f>
        <v>ASHP - SEER 21 - replace electric furnace / CAC - early replacement SF ER2</v>
      </c>
      <c r="G1971" s="2909"/>
      <c r="H1971" s="2909"/>
      <c r="I1971" s="2910"/>
      <c r="J1971" s="1657" t="str">
        <f>$C$1490</f>
        <v>353550_2019_12_</v>
      </c>
      <c r="K1971" s="1663">
        <v>3.41</v>
      </c>
      <c r="L1971" s="1124"/>
      <c r="M1971" s="928" t="s">
        <v>1178</v>
      </c>
      <c r="N1971" s="177"/>
      <c r="O1971" s="332"/>
      <c r="P1971" s="1116"/>
      <c r="Q1971" s="1117"/>
      <c r="R1971" s="1116"/>
      <c r="S1971" s="1103"/>
      <c r="T1971" s="1639"/>
      <c r="U1971" s="177"/>
      <c r="V1971" s="2866"/>
      <c r="W1971" s="909">
        <v>3.41</v>
      </c>
      <c r="X1971" s="909">
        <v>3.41</v>
      </c>
      <c r="Y1971" s="909">
        <v>3.41</v>
      </c>
      <c r="Z1971" s="909"/>
      <c r="AA1971" s="909"/>
      <c r="AB1971" s="909"/>
      <c r="AC1971" s="909"/>
      <c r="AD1971" s="909"/>
      <c r="AE1971" s="909"/>
      <c r="AF1971" s="909"/>
      <c r="AG1971" s="909"/>
      <c r="BB1971" s="784"/>
      <c r="BC1971" s="785"/>
      <c r="BD1971" s="900"/>
      <c r="BE1971" s="797"/>
    </row>
    <row r="1972" spans="1:57" s="65" customFormat="1" ht="15" hidden="1" customHeight="1" outlineLevel="1" x14ac:dyDescent="0.25">
      <c r="A1972" s="718"/>
      <c r="B1972" s="177"/>
      <c r="C1972" s="455"/>
      <c r="D1972" s="2806"/>
      <c r="E1972" s="2856"/>
      <c r="F1972" s="2908" t="str">
        <f>$E$1492</f>
        <v>ASHP - SEER 21 - replace electric furnace / CAC - early replacement MF ER1</v>
      </c>
      <c r="G1972" s="2909"/>
      <c r="H1972" s="2909"/>
      <c r="I1972" s="2910"/>
      <c r="J1972" s="1657" t="str">
        <f>$C$1492</f>
        <v>353600_2019_12_</v>
      </c>
      <c r="K1972" s="1663">
        <v>3.41</v>
      </c>
      <c r="L1972" s="1124"/>
      <c r="M1972" s="928" t="s">
        <v>1600</v>
      </c>
      <c r="N1972" s="177"/>
      <c r="O1972" s="332"/>
      <c r="P1972" s="1116"/>
      <c r="Q1972" s="1117"/>
      <c r="R1972" s="1116"/>
      <c r="S1972" s="1103"/>
      <c r="T1972" s="1639"/>
      <c r="U1972" s="177"/>
      <c r="V1972" s="2866"/>
      <c r="W1972" s="909">
        <v>3.41</v>
      </c>
      <c r="X1972" s="909">
        <v>3.41</v>
      </c>
      <c r="Y1972" s="909">
        <v>3.41</v>
      </c>
      <c r="Z1972" s="909"/>
      <c r="AA1972" s="909"/>
      <c r="AB1972" s="909"/>
      <c r="AC1972" s="909"/>
      <c r="AD1972" s="909"/>
      <c r="AE1972" s="909"/>
      <c r="AF1972" s="909"/>
      <c r="AG1972" s="909"/>
      <c r="BB1972" s="784"/>
      <c r="BC1972" s="785"/>
      <c r="BD1972" s="900"/>
      <c r="BE1972" s="797"/>
    </row>
    <row r="1973" spans="1:57" s="65" customFormat="1" ht="15" hidden="1" customHeight="1" outlineLevel="1" x14ac:dyDescent="0.25">
      <c r="A1973" s="718"/>
      <c r="B1973" s="177"/>
      <c r="C1973" s="455"/>
      <c r="D1973" s="2806"/>
      <c r="E1973" s="2856"/>
      <c r="F1973" s="2908" t="str">
        <f>$E$1494</f>
        <v>ASHP - SEER 21 - replace electric furnace / CAC - early replacement MF ER2</v>
      </c>
      <c r="G1973" s="2909"/>
      <c r="H1973" s="2909"/>
      <c r="I1973" s="2910"/>
      <c r="J1973" s="1657" t="str">
        <f>$C$1494</f>
        <v>353600_2019_12_</v>
      </c>
      <c r="K1973" s="1663">
        <v>3.41</v>
      </c>
      <c r="L1973" s="1124"/>
      <c r="M1973" s="928" t="s">
        <v>1600</v>
      </c>
      <c r="N1973" s="177"/>
      <c r="O1973" s="332"/>
      <c r="P1973" s="1116"/>
      <c r="Q1973" s="1117"/>
      <c r="R1973" s="1116"/>
      <c r="S1973" s="1103"/>
      <c r="T1973" s="1639"/>
      <c r="U1973" s="177"/>
      <c r="V1973" s="2866"/>
      <c r="W1973" s="909">
        <v>3.41</v>
      </c>
      <c r="X1973" s="909">
        <v>3.41</v>
      </c>
      <c r="Y1973" s="909">
        <v>3.41</v>
      </c>
      <c r="Z1973" s="909"/>
      <c r="AA1973" s="909"/>
      <c r="AB1973" s="909"/>
      <c r="AC1973" s="909"/>
      <c r="AD1973" s="909"/>
      <c r="AE1973" s="909"/>
      <c r="AF1973" s="909"/>
      <c r="AG1973" s="909"/>
      <c r="BB1973" s="784"/>
      <c r="BC1973" s="785"/>
      <c r="BD1973" s="900"/>
      <c r="BE1973" s="797"/>
    </row>
    <row r="1974" spans="1:57" s="65" customFormat="1" ht="15" hidden="1" customHeight="1" outlineLevel="1" x14ac:dyDescent="0.25">
      <c r="A1974" s="718"/>
      <c r="B1974" s="177"/>
      <c r="C1974" s="455"/>
      <c r="D1974" s="2806"/>
      <c r="E1974" s="2856"/>
      <c r="F1974" s="2908" t="str">
        <f>$E$1496</f>
        <v>ASHP - SEER 21 - replace electric furnace / CAC - early replacement MF ER1_CompE</v>
      </c>
      <c r="G1974" s="2909"/>
      <c r="H1974" s="2909"/>
      <c r="I1974" s="2910"/>
      <c r="J1974" s="1657" t="str">
        <f>$C$1496</f>
        <v>353601_2019_12_</v>
      </c>
      <c r="K1974" s="1663">
        <v>3.41</v>
      </c>
      <c r="L1974" s="1124"/>
      <c r="M1974" s="928" t="s">
        <v>1600</v>
      </c>
      <c r="N1974" s="177"/>
      <c r="O1974" s="332"/>
      <c r="P1974" s="1116"/>
      <c r="Q1974" s="1117"/>
      <c r="R1974" s="1116"/>
      <c r="S1974" s="1103"/>
      <c r="T1974" s="1639"/>
      <c r="U1974" s="177"/>
      <c r="V1974" s="2866"/>
      <c r="W1974" s="909"/>
      <c r="X1974" s="909"/>
      <c r="Y1974" s="908">
        <v>3.41</v>
      </c>
      <c r="Z1974" s="909"/>
      <c r="AA1974" s="909"/>
      <c r="AB1974" s="909"/>
      <c r="AC1974" s="909"/>
      <c r="AD1974" s="909"/>
      <c r="AE1974" s="909"/>
      <c r="AF1974" s="909"/>
      <c r="AG1974" s="909"/>
      <c r="BB1974" s="784"/>
      <c r="BC1974" s="785"/>
      <c r="BD1974" s="900"/>
      <c r="BE1974" s="797"/>
    </row>
    <row r="1975" spans="1:57" s="65" customFormat="1" ht="15" hidden="1" customHeight="1" outlineLevel="1" x14ac:dyDescent="0.25">
      <c r="A1975" s="718"/>
      <c r="B1975" s="177"/>
      <c r="C1975" s="455"/>
      <c r="D1975" s="2806"/>
      <c r="E1975" s="2856"/>
      <c r="F1975" s="2908" t="str">
        <f>$E$1498</f>
        <v>ASHP - SEER 21 - replace electric furnace / CAC - early replacement MF ER2_CompE</v>
      </c>
      <c r="G1975" s="2909"/>
      <c r="H1975" s="2909"/>
      <c r="I1975" s="2910"/>
      <c r="J1975" s="1657" t="str">
        <f>$C$1498</f>
        <v>353601_2019_12_</v>
      </c>
      <c r="K1975" s="1663">
        <v>3.41</v>
      </c>
      <c r="L1975" s="1124"/>
      <c r="M1975" s="928" t="s">
        <v>1600</v>
      </c>
      <c r="N1975" s="177"/>
      <c r="O1975" s="332"/>
      <c r="P1975" s="1116"/>
      <c r="Q1975" s="1117"/>
      <c r="R1975" s="1116"/>
      <c r="S1975" s="1103"/>
      <c r="T1975" s="1639"/>
      <c r="U1975" s="177"/>
      <c r="V1975" s="2866"/>
      <c r="W1975" s="909"/>
      <c r="X1975" s="909"/>
      <c r="Y1975" s="908">
        <v>3.41</v>
      </c>
      <c r="Z1975" s="909"/>
      <c r="AA1975" s="909"/>
      <c r="AB1975" s="909"/>
      <c r="AC1975" s="909"/>
      <c r="AD1975" s="909"/>
      <c r="AE1975" s="909"/>
      <c r="AF1975" s="909"/>
      <c r="AG1975" s="909"/>
      <c r="BB1975" s="784"/>
      <c r="BC1975" s="785"/>
      <c r="BD1975" s="900"/>
      <c r="BE1975" s="797"/>
    </row>
    <row r="1976" spans="1:57" s="65" customFormat="1" ht="15" hidden="1" customHeight="1" outlineLevel="1" x14ac:dyDescent="0.25">
      <c r="A1976" s="718"/>
      <c r="B1976" s="177"/>
      <c r="C1976" s="455"/>
      <c r="D1976" s="2806"/>
      <c r="E1976" s="2856"/>
      <c r="F1976" s="2908" t="str">
        <f>$E$1500</f>
        <v>ASHP - SEER 21 - replace electric furnace / CAC SF</v>
      </c>
      <c r="G1976" s="2909"/>
      <c r="H1976" s="2909"/>
      <c r="I1976" s="2910"/>
      <c r="J1976" s="1657" t="str">
        <f>$C$1500</f>
        <v>353650_2019_12_</v>
      </c>
      <c r="K1976" s="1663">
        <v>3.41</v>
      </c>
      <c r="L1976" s="1124"/>
      <c r="M1976" s="928" t="s">
        <v>1178</v>
      </c>
      <c r="N1976" s="177"/>
      <c r="O1976" s="332"/>
      <c r="P1976" s="1116"/>
      <c r="Q1976" s="1117"/>
      <c r="R1976" s="1116"/>
      <c r="S1976" s="1103"/>
      <c r="T1976" s="1639"/>
      <c r="U1976" s="177"/>
      <c r="V1976" s="2866"/>
      <c r="W1976" s="909">
        <v>3.41</v>
      </c>
      <c r="X1976" s="909">
        <v>3.41</v>
      </c>
      <c r="Y1976" s="909">
        <v>3.41</v>
      </c>
      <c r="Z1976" s="909"/>
      <c r="AA1976" s="909"/>
      <c r="AB1976" s="909"/>
      <c r="AC1976" s="909"/>
      <c r="AD1976" s="909"/>
      <c r="AE1976" s="909"/>
      <c r="AF1976" s="909"/>
      <c r="AG1976" s="909"/>
      <c r="BB1976" s="784"/>
      <c r="BC1976" s="785"/>
      <c r="BD1976" s="900"/>
      <c r="BE1976" s="797"/>
    </row>
    <row r="1977" spans="1:57" s="65" customFormat="1" ht="15" hidden="1" customHeight="1" outlineLevel="1" x14ac:dyDescent="0.25">
      <c r="A1977" s="718"/>
      <c r="B1977" s="177"/>
      <c r="C1977" s="455"/>
      <c r="D1977" s="2806"/>
      <c r="E1977" s="2856"/>
      <c r="F1977" s="2908" t="str">
        <f>$E$1502</f>
        <v>ASHP-  SEER 21+ replace at Fail Elec Resist Furnace MF</v>
      </c>
      <c r="G1977" s="2909"/>
      <c r="H1977" s="2909"/>
      <c r="I1977" s="2910"/>
      <c r="J1977" s="1657" t="str">
        <f>$C$1502</f>
        <v>353700_2019_12_</v>
      </c>
      <c r="K1977" s="1663">
        <v>3.41</v>
      </c>
      <c r="L1977" s="1124"/>
      <c r="M1977" s="928" t="s">
        <v>1600</v>
      </c>
      <c r="N1977" s="177"/>
      <c r="O1977" s="332"/>
      <c r="P1977" s="1116"/>
      <c r="Q1977" s="1117"/>
      <c r="R1977" s="1116"/>
      <c r="S1977" s="1103"/>
      <c r="T1977" s="1639"/>
      <c r="U1977" s="177"/>
      <c r="V1977" s="2866"/>
      <c r="W1977" s="909">
        <v>3.41</v>
      </c>
      <c r="X1977" s="909">
        <v>3.41</v>
      </c>
      <c r="Y1977" s="909">
        <v>3.41</v>
      </c>
      <c r="Z1977" s="909"/>
      <c r="AA1977" s="909"/>
      <c r="AB1977" s="909"/>
      <c r="AC1977" s="909"/>
      <c r="AD1977" s="909"/>
      <c r="AE1977" s="909"/>
      <c r="AF1977" s="909"/>
      <c r="AG1977" s="909"/>
      <c r="BB1977" s="784"/>
      <c r="BC1977" s="785"/>
      <c r="BD1977" s="900"/>
      <c r="BE1977" s="797"/>
    </row>
    <row r="1978" spans="1:57" s="65" customFormat="1" ht="15" hidden="1" customHeight="1" outlineLevel="1" x14ac:dyDescent="0.25">
      <c r="A1978" s="718"/>
      <c r="B1978" s="177"/>
      <c r="C1978" s="455"/>
      <c r="D1978" s="2806"/>
      <c r="E1978" s="2856"/>
      <c r="F1978" s="2908" t="str">
        <f>$E$1504</f>
        <v>ASHP-  SEER 21+ replace at Fail Elec Resist Furnace MF_CompE</v>
      </c>
      <c r="G1978" s="2909"/>
      <c r="H1978" s="2909"/>
      <c r="I1978" s="2910"/>
      <c r="J1978" s="1657" t="str">
        <f>$C$1504</f>
        <v>353701_2019_12_</v>
      </c>
      <c r="K1978" s="1663">
        <v>3.41</v>
      </c>
      <c r="L1978" s="1124"/>
      <c r="M1978" s="928" t="s">
        <v>1600</v>
      </c>
      <c r="N1978" s="177"/>
      <c r="O1978" s="332"/>
      <c r="P1978" s="1116"/>
      <c r="Q1978" s="1117"/>
      <c r="R1978" s="1116"/>
      <c r="S1978" s="1103"/>
      <c r="T1978" s="1639"/>
      <c r="U1978" s="177"/>
      <c r="V1978" s="2866"/>
      <c r="W1978" s="909"/>
      <c r="X1978" s="909"/>
      <c r="Y1978" s="908">
        <v>3.41</v>
      </c>
      <c r="Z1978" s="909"/>
      <c r="AA1978" s="909"/>
      <c r="AB1978" s="909"/>
      <c r="AC1978" s="909"/>
      <c r="AD1978" s="909"/>
      <c r="AE1978" s="909"/>
      <c r="AF1978" s="909"/>
      <c r="AG1978" s="909"/>
      <c r="BB1978" s="784"/>
      <c r="BC1978" s="785"/>
      <c r="BD1978" s="900"/>
      <c r="BE1978" s="797"/>
    </row>
    <row r="1979" spans="1:57" s="65" customFormat="1" ht="15" hidden="1" customHeight="1" outlineLevel="1" x14ac:dyDescent="0.25">
      <c r="A1979" s="785"/>
      <c r="B1979" s="177"/>
      <c r="C1979" s="455"/>
      <c r="D1979" s="2806"/>
      <c r="E1979" s="2856"/>
      <c r="F1979" s="2908" t="str">
        <f>$E$1506</f>
        <v>ASHP SEER 17 replace ASHP - early replacement SF ER1</v>
      </c>
      <c r="G1979" s="2909"/>
      <c r="H1979" s="2909"/>
      <c r="I1979" s="2910"/>
      <c r="J1979" s="1657" t="str">
        <f>$C$1506</f>
        <v>353750_2019_12_</v>
      </c>
      <c r="K1979" s="1663">
        <v>6.58</v>
      </c>
      <c r="L1979" s="1124"/>
      <c r="M1979" s="928" t="s">
        <v>1178</v>
      </c>
      <c r="N1979" s="177"/>
      <c r="O1979" s="332"/>
      <c r="P1979" s="332"/>
      <c r="Q1979" s="332"/>
      <c r="R1979" s="332"/>
      <c r="S1979" s="177"/>
      <c r="T1979" s="177"/>
      <c r="U1979" s="177"/>
      <c r="V1979" s="2866"/>
      <c r="W1979" s="909">
        <v>5.44</v>
      </c>
      <c r="X1979" s="908">
        <v>6.58</v>
      </c>
      <c r="Y1979" s="909">
        <v>6.58</v>
      </c>
      <c r="Z1979" s="909"/>
      <c r="AA1979" s="909"/>
      <c r="AB1979" s="909"/>
      <c r="AC1979" s="909"/>
      <c r="AD1979" s="909"/>
      <c r="AE1979" s="909"/>
      <c r="AF1979" s="909"/>
      <c r="AG1979" s="909"/>
      <c r="BB1979" s="784"/>
      <c r="BC1979" s="785"/>
      <c r="BD1979" s="900"/>
      <c r="BE1979" s="797"/>
    </row>
    <row r="1980" spans="1:57" s="65" customFormat="1" ht="15" hidden="1" customHeight="1" outlineLevel="1" x14ac:dyDescent="0.25">
      <c r="A1980" s="718"/>
      <c r="B1980" s="177"/>
      <c r="C1980" s="455"/>
      <c r="D1980" s="2806"/>
      <c r="E1980" s="2856"/>
      <c r="F1980" s="2908" t="str">
        <f>$E$1508</f>
        <v>ASHP SEER 17 replace ASHP - early replacement SF ER2</v>
      </c>
      <c r="G1980" s="2909"/>
      <c r="H1980" s="2909"/>
      <c r="I1980" s="2910"/>
      <c r="J1980" s="1657" t="str">
        <f>$C$1508</f>
        <v>353750_2019_12_</v>
      </c>
      <c r="K1980" s="1663">
        <v>8.1999999999999993</v>
      </c>
      <c r="L1980" s="1124"/>
      <c r="M1980" s="928" t="s">
        <v>1178</v>
      </c>
      <c r="N1980" s="177"/>
      <c r="O1980" s="332"/>
      <c r="P1980" s="1116"/>
      <c r="Q1980" s="1117"/>
      <c r="R1980" s="1116"/>
      <c r="S1980" s="1103"/>
      <c r="T1980" s="1639"/>
      <c r="U1980" s="177"/>
      <c r="V1980" s="2866"/>
      <c r="W1980" s="909">
        <v>8.1999999999999993</v>
      </c>
      <c r="X1980" s="909">
        <v>8.1999999999999993</v>
      </c>
      <c r="Y1980" s="909">
        <v>8.1999999999999993</v>
      </c>
      <c r="Z1980" s="909"/>
      <c r="AA1980" s="909"/>
      <c r="AB1980" s="909"/>
      <c r="AC1980" s="909"/>
      <c r="AD1980" s="909"/>
      <c r="AE1980" s="909"/>
      <c r="AF1980" s="909"/>
      <c r="AG1980" s="909"/>
      <c r="BB1980" s="784"/>
      <c r="BC1980" s="785"/>
      <c r="BD1980" s="900"/>
      <c r="BE1980" s="797"/>
    </row>
    <row r="1981" spans="1:57" s="65" customFormat="1" ht="15" hidden="1" customHeight="1" outlineLevel="1" x14ac:dyDescent="0.25">
      <c r="A1981" s="785"/>
      <c r="B1981" s="177"/>
      <c r="C1981" s="455"/>
      <c r="D1981" s="2806"/>
      <c r="E1981" s="2856"/>
      <c r="F1981" s="2908" t="str">
        <f>$E$1510</f>
        <v>ASHP SEER 17 replace ASHP - replace on fail SF</v>
      </c>
      <c r="G1981" s="2909"/>
      <c r="H1981" s="2909"/>
      <c r="I1981" s="2910"/>
      <c r="J1981" s="1657" t="str">
        <f>$C$1510</f>
        <v>353800_2019_12_</v>
      </c>
      <c r="K1981" s="1663">
        <v>8.1999999999999993</v>
      </c>
      <c r="L1981" s="1124"/>
      <c r="M1981" s="928" t="s">
        <v>1178</v>
      </c>
      <c r="N1981" s="177"/>
      <c r="O1981" s="332"/>
      <c r="P1981" s="332"/>
      <c r="Q1981" s="332"/>
      <c r="R1981" s="332"/>
      <c r="S1981" s="177"/>
      <c r="T1981" s="177"/>
      <c r="U1981" s="177"/>
      <c r="V1981" s="2866"/>
      <c r="W1981" s="909">
        <v>8.1999999999999993</v>
      </c>
      <c r="X1981" s="909">
        <v>8.1999999999999993</v>
      </c>
      <c r="Y1981" s="909">
        <v>8.1999999999999993</v>
      </c>
      <c r="Z1981" s="909"/>
      <c r="AA1981" s="909"/>
      <c r="AB1981" s="909"/>
      <c r="AC1981" s="909"/>
      <c r="AD1981" s="909"/>
      <c r="AE1981" s="909"/>
      <c r="AF1981" s="909"/>
      <c r="AG1981" s="909"/>
      <c r="BB1981" s="784"/>
      <c r="BC1981" s="785"/>
      <c r="BD1981" s="900"/>
      <c r="BE1981" s="797"/>
    </row>
    <row r="1982" spans="1:57" s="65" customFormat="1" ht="15" hidden="1" customHeight="1" outlineLevel="1" x14ac:dyDescent="0.25">
      <c r="A1982" s="718"/>
      <c r="B1982" s="177"/>
      <c r="C1982" s="455"/>
      <c r="D1982" s="2806"/>
      <c r="E1982" s="2856"/>
      <c r="F1982" s="2908" t="str">
        <f>$E$1512</f>
        <v>ASHP SEER 18 replace ASHP - early replacement SF ER1</v>
      </c>
      <c r="G1982" s="2909"/>
      <c r="H1982" s="2909"/>
      <c r="I1982" s="2910"/>
      <c r="J1982" s="1657" t="str">
        <f>$C$1512</f>
        <v>353850_2019_12_</v>
      </c>
      <c r="K1982" s="1663">
        <v>6.58</v>
      </c>
      <c r="L1982" s="1124"/>
      <c r="M1982" s="928" t="s">
        <v>1178</v>
      </c>
      <c r="N1982" s="177"/>
      <c r="O1982" s="332"/>
      <c r="P1982" s="1116"/>
      <c r="Q1982" s="1117"/>
      <c r="R1982" s="1116"/>
      <c r="S1982" s="1103"/>
      <c r="T1982" s="1639"/>
      <c r="U1982" s="177"/>
      <c r="V1982" s="2866"/>
      <c r="W1982" s="909">
        <v>5.44</v>
      </c>
      <c r="X1982" s="908">
        <v>6.58</v>
      </c>
      <c r="Y1982" s="909">
        <v>6.58</v>
      </c>
      <c r="Z1982" s="909"/>
      <c r="AA1982" s="909"/>
      <c r="AB1982" s="909"/>
      <c r="AC1982" s="909"/>
      <c r="AD1982" s="909"/>
      <c r="AE1982" s="909"/>
      <c r="AF1982" s="909"/>
      <c r="AG1982" s="909"/>
      <c r="BB1982" s="784"/>
      <c r="BC1982" s="785"/>
      <c r="BD1982" s="900"/>
      <c r="BE1982" s="797"/>
    </row>
    <row r="1983" spans="1:57" s="65" customFormat="1" ht="15" hidden="1" customHeight="1" outlineLevel="1" x14ac:dyDescent="0.25">
      <c r="A1983" s="785"/>
      <c r="B1983" s="177"/>
      <c r="C1983" s="455"/>
      <c r="D1983" s="2806"/>
      <c r="E1983" s="2856"/>
      <c r="F1983" s="2908" t="str">
        <f>$E$1514</f>
        <v>ASHP SEER 18 replace ASHP - early replacement SF ER2</v>
      </c>
      <c r="G1983" s="2909"/>
      <c r="H1983" s="2909"/>
      <c r="I1983" s="2910"/>
      <c r="J1983" s="1657" t="str">
        <f>$C$1514</f>
        <v>353850_2019_12_</v>
      </c>
      <c r="K1983" s="1663">
        <v>8.1999999999999993</v>
      </c>
      <c r="L1983" s="1124"/>
      <c r="M1983" s="928" t="s">
        <v>1178</v>
      </c>
      <c r="N1983" s="177"/>
      <c r="O1983" s="332"/>
      <c r="P1983" s="332"/>
      <c r="Q1983" s="332"/>
      <c r="R1983" s="332"/>
      <c r="S1983" s="177"/>
      <c r="T1983" s="177"/>
      <c r="U1983" s="177"/>
      <c r="V1983" s="2866"/>
      <c r="W1983" s="909">
        <v>8.1999999999999993</v>
      </c>
      <c r="X1983" s="909">
        <v>8.1999999999999993</v>
      </c>
      <c r="Y1983" s="909">
        <v>8.1999999999999993</v>
      </c>
      <c r="Z1983" s="909"/>
      <c r="AA1983" s="909"/>
      <c r="AB1983" s="909"/>
      <c r="AC1983" s="909"/>
      <c r="AD1983" s="909"/>
      <c r="AE1983" s="909"/>
      <c r="AF1983" s="909"/>
      <c r="AG1983" s="909"/>
      <c r="BB1983" s="784"/>
      <c r="BC1983" s="785"/>
      <c r="BD1983" s="900"/>
      <c r="BE1983" s="797"/>
    </row>
    <row r="1984" spans="1:57" s="65" customFormat="1" ht="15" hidden="1" customHeight="1" outlineLevel="1" x14ac:dyDescent="0.25">
      <c r="A1984" s="718"/>
      <c r="B1984" s="177"/>
      <c r="C1984" s="455"/>
      <c r="D1984" s="2806"/>
      <c r="E1984" s="2856"/>
      <c r="F1984" s="2908" t="str">
        <f>$E$1516</f>
        <v>ASHP - SEER 18 - replace on fail SF</v>
      </c>
      <c r="G1984" s="2909"/>
      <c r="H1984" s="2909"/>
      <c r="I1984" s="2910"/>
      <c r="J1984" s="1657" t="str">
        <f>$C$1516</f>
        <v>353950_2019_12_</v>
      </c>
      <c r="K1984" s="1663">
        <v>8.1999999999999993</v>
      </c>
      <c r="L1984" s="1124"/>
      <c r="M1984" s="928" t="s">
        <v>1178</v>
      </c>
      <c r="N1984" s="177"/>
      <c r="O1984" s="332"/>
      <c r="P1984" s="1116"/>
      <c r="Q1984" s="1117"/>
      <c r="R1984" s="1116"/>
      <c r="S1984" s="1103"/>
      <c r="T1984" s="1639"/>
      <c r="U1984" s="177"/>
      <c r="V1984" s="2866"/>
      <c r="W1984" s="909">
        <v>8.1999999999999993</v>
      </c>
      <c r="X1984" s="909">
        <v>8.1999999999999993</v>
      </c>
      <c r="Y1984" s="909">
        <v>8.1999999999999993</v>
      </c>
      <c r="Z1984" s="909"/>
      <c r="AA1984" s="909"/>
      <c r="AB1984" s="909"/>
      <c r="AC1984" s="909"/>
      <c r="AD1984" s="909"/>
      <c r="AE1984" s="909"/>
      <c r="AF1984" s="909"/>
      <c r="AG1984" s="909"/>
      <c r="BB1984" s="784"/>
      <c r="BC1984" s="785"/>
      <c r="BD1984" s="900"/>
      <c r="BE1984" s="797"/>
    </row>
    <row r="1985" spans="1:57" s="65" customFormat="1" ht="15" hidden="1" customHeight="1" outlineLevel="1" x14ac:dyDescent="0.25">
      <c r="A1985" s="718"/>
      <c r="B1985" s="177"/>
      <c r="C1985" s="455"/>
      <c r="D1985" s="2806"/>
      <c r="E1985" s="2856"/>
      <c r="F1985" s="2908" t="str">
        <f>$E$1518</f>
        <v>ASHP SEER 19 replace ASHP - early replacement SF ER1</v>
      </c>
      <c r="G1985" s="2909"/>
      <c r="H1985" s="2909"/>
      <c r="I1985" s="2910"/>
      <c r="J1985" s="1657" t="str">
        <f>$C$1518</f>
        <v>354000_2019_12_</v>
      </c>
      <c r="K1985" s="1663">
        <v>6.58</v>
      </c>
      <c r="L1985" s="1124"/>
      <c r="M1985" s="928" t="s">
        <v>1178</v>
      </c>
      <c r="N1985" s="177"/>
      <c r="O1985" s="332"/>
      <c r="P1985" s="1116"/>
      <c r="Q1985" s="1117"/>
      <c r="R1985" s="1116"/>
      <c r="S1985" s="1103"/>
      <c r="T1985" s="1639"/>
      <c r="U1985" s="177"/>
      <c r="V1985" s="2866"/>
      <c r="W1985" s="909">
        <v>5.44</v>
      </c>
      <c r="X1985" s="908">
        <v>6.58</v>
      </c>
      <c r="Y1985" s="909">
        <v>6.58</v>
      </c>
      <c r="Z1985" s="909"/>
      <c r="AA1985" s="909"/>
      <c r="AB1985" s="909"/>
      <c r="AC1985" s="909"/>
      <c r="AD1985" s="909"/>
      <c r="AE1985" s="909"/>
      <c r="AF1985" s="909"/>
      <c r="AG1985" s="909"/>
      <c r="BB1985" s="784"/>
      <c r="BC1985" s="785"/>
      <c r="BD1985" s="900"/>
      <c r="BE1985" s="797"/>
    </row>
    <row r="1986" spans="1:57" s="65" customFormat="1" ht="15" hidden="1" customHeight="1" outlineLevel="1" x14ac:dyDescent="0.25">
      <c r="A1986" s="785"/>
      <c r="B1986" s="177"/>
      <c r="C1986" s="455"/>
      <c r="D1986" s="2806"/>
      <c r="E1986" s="2856"/>
      <c r="F1986" s="2908" t="str">
        <f>$E$1520</f>
        <v>ASHP SEER 19 replace ASHP - early replacement SF ER2</v>
      </c>
      <c r="G1986" s="2909"/>
      <c r="H1986" s="2909"/>
      <c r="I1986" s="2910"/>
      <c r="J1986" s="1657" t="str">
        <f>$C$1520</f>
        <v>354000_2019_12_</v>
      </c>
      <c r="K1986" s="1663">
        <v>8.1999999999999993</v>
      </c>
      <c r="L1986" s="1124"/>
      <c r="M1986" s="928" t="s">
        <v>1178</v>
      </c>
      <c r="N1986" s="177"/>
      <c r="O1986" s="332"/>
      <c r="P1986" s="332"/>
      <c r="Q1986" s="332"/>
      <c r="R1986" s="332"/>
      <c r="S1986" s="177"/>
      <c r="T1986" s="177"/>
      <c r="U1986" s="177"/>
      <c r="V1986" s="2866"/>
      <c r="W1986" s="909">
        <v>8.1999999999999993</v>
      </c>
      <c r="X1986" s="909">
        <v>8.1999999999999993</v>
      </c>
      <c r="Y1986" s="909">
        <v>8.1999999999999993</v>
      </c>
      <c r="Z1986" s="909"/>
      <c r="AA1986" s="909"/>
      <c r="AB1986" s="909"/>
      <c r="AC1986" s="909"/>
      <c r="AD1986" s="909"/>
      <c r="AE1986" s="909"/>
      <c r="AF1986" s="909"/>
      <c r="AG1986" s="909"/>
      <c r="BB1986" s="784"/>
      <c r="BC1986" s="785"/>
      <c r="BD1986" s="900"/>
      <c r="BE1986" s="797"/>
    </row>
    <row r="1987" spans="1:57" s="65" customFormat="1" ht="15" hidden="1" customHeight="1" outlineLevel="1" x14ac:dyDescent="0.25">
      <c r="A1987" s="785"/>
      <c r="B1987" s="177"/>
      <c r="C1987" s="455"/>
      <c r="D1987" s="2806"/>
      <c r="E1987" s="2856"/>
      <c r="F1987" s="2908" t="str">
        <f>$E$1522</f>
        <v>ASHP SEER 19 replace ASHP - replace on fail SF</v>
      </c>
      <c r="G1987" s="2909"/>
      <c r="H1987" s="2909"/>
      <c r="I1987" s="2910"/>
      <c r="J1987" s="1657" t="str">
        <f>$C$1522</f>
        <v>354050_2019_12_</v>
      </c>
      <c r="K1987" s="1663">
        <v>8.1999999999999993</v>
      </c>
      <c r="L1987" s="1124"/>
      <c r="M1987" s="928" t="s">
        <v>1178</v>
      </c>
      <c r="N1987" s="177"/>
      <c r="O1987" s="332"/>
      <c r="P1987" s="332"/>
      <c r="Q1987" s="332"/>
      <c r="R1987" s="332"/>
      <c r="S1987" s="177"/>
      <c r="T1987" s="177"/>
      <c r="U1987" s="177"/>
      <c r="V1987" s="2866"/>
      <c r="W1987" s="909">
        <v>8.1999999999999993</v>
      </c>
      <c r="X1987" s="909">
        <v>8.1999999999999993</v>
      </c>
      <c r="Y1987" s="909">
        <v>8.1999999999999993</v>
      </c>
      <c r="Z1987" s="909"/>
      <c r="AA1987" s="909"/>
      <c r="AB1987" s="909"/>
      <c r="AC1987" s="909"/>
      <c r="AD1987" s="909"/>
      <c r="AE1987" s="909"/>
      <c r="AF1987" s="909"/>
      <c r="AG1987" s="909"/>
      <c r="BB1987" s="784"/>
      <c r="BC1987" s="785"/>
      <c r="BD1987" s="900"/>
      <c r="BE1987" s="797"/>
    </row>
    <row r="1988" spans="1:57" s="65" customFormat="1" ht="15" hidden="1" customHeight="1" outlineLevel="1" x14ac:dyDescent="0.25">
      <c r="A1988" s="785"/>
      <c r="B1988" s="177"/>
      <c r="C1988" s="455"/>
      <c r="D1988" s="2806"/>
      <c r="E1988" s="2856"/>
      <c r="F1988" s="2908" t="str">
        <f>$E$1524</f>
        <v>ASHP - SEER 17 - replace electric furnace / CAC - early replacement SF ER1</v>
      </c>
      <c r="G1988" s="2909"/>
      <c r="H1988" s="2909"/>
      <c r="I1988" s="2910"/>
      <c r="J1988" s="1657" t="str">
        <f>$C$1524</f>
        <v>354100_2019_12_</v>
      </c>
      <c r="K1988" s="1663">
        <v>3.41</v>
      </c>
      <c r="L1988" s="1124"/>
      <c r="M1988" s="928" t="s">
        <v>1178</v>
      </c>
      <c r="N1988" s="177"/>
      <c r="O1988" s="332"/>
      <c r="P1988" s="332"/>
      <c r="Q1988" s="332"/>
      <c r="R1988" s="332"/>
      <c r="S1988" s="177"/>
      <c r="T1988" s="177"/>
      <c r="U1988" s="177"/>
      <c r="V1988" s="2866"/>
      <c r="W1988" s="909">
        <v>3.41</v>
      </c>
      <c r="X1988" s="909">
        <v>3.41</v>
      </c>
      <c r="Y1988" s="909">
        <v>3.41</v>
      </c>
      <c r="Z1988" s="909"/>
      <c r="AA1988" s="909"/>
      <c r="AB1988" s="909"/>
      <c r="AC1988" s="909"/>
      <c r="AD1988" s="909"/>
      <c r="AE1988" s="909"/>
      <c r="AF1988" s="909"/>
      <c r="AG1988" s="909"/>
      <c r="BB1988" s="784"/>
      <c r="BC1988" s="785"/>
      <c r="BD1988" s="900"/>
      <c r="BE1988" s="797"/>
    </row>
    <row r="1989" spans="1:57" s="65" customFormat="1" ht="15" hidden="1" customHeight="1" outlineLevel="1" x14ac:dyDescent="0.25">
      <c r="A1989" s="785"/>
      <c r="B1989" s="177"/>
      <c r="C1989" s="455"/>
      <c r="D1989" s="2806"/>
      <c r="E1989" s="2856"/>
      <c r="F1989" s="2908" t="str">
        <f>$E$1526</f>
        <v>ASHP - SEER 17 - replace electric furnace / CAC - early replacement SF ER2</v>
      </c>
      <c r="G1989" s="2909"/>
      <c r="H1989" s="2909"/>
      <c r="I1989" s="2910"/>
      <c r="J1989" s="1657" t="str">
        <f>$C$1526</f>
        <v>354100_2019_12_</v>
      </c>
      <c r="K1989" s="1663">
        <v>3.41</v>
      </c>
      <c r="L1989" s="1124"/>
      <c r="M1989" s="928" t="s">
        <v>1178</v>
      </c>
      <c r="N1989" s="177"/>
      <c r="O1989" s="332"/>
      <c r="P1989" s="332"/>
      <c r="Q1989" s="332"/>
      <c r="R1989" s="332"/>
      <c r="S1989" s="177"/>
      <c r="T1989" s="177"/>
      <c r="U1989" s="177"/>
      <c r="V1989" s="2866"/>
      <c r="W1989" s="909">
        <v>3.41</v>
      </c>
      <c r="X1989" s="909">
        <v>3.41</v>
      </c>
      <c r="Y1989" s="909">
        <v>3.41</v>
      </c>
      <c r="Z1989" s="909"/>
      <c r="AA1989" s="909"/>
      <c r="AB1989" s="909"/>
      <c r="AC1989" s="909"/>
      <c r="AD1989" s="909"/>
      <c r="AE1989" s="909"/>
      <c r="AF1989" s="909"/>
      <c r="AG1989" s="909"/>
      <c r="BB1989" s="784"/>
      <c r="BC1989" s="785"/>
      <c r="BD1989" s="900"/>
      <c r="BE1989" s="797"/>
    </row>
    <row r="1990" spans="1:57" s="65" customFormat="1" ht="15" hidden="1" customHeight="1" outlineLevel="1" x14ac:dyDescent="0.25">
      <c r="A1990" s="785"/>
      <c r="B1990" s="177"/>
      <c r="C1990" s="455"/>
      <c r="D1990" s="2806"/>
      <c r="E1990" s="2856"/>
      <c r="F1990" s="2908" t="str">
        <f>$E$1528</f>
        <v>ASHP - SEER 17 - replace electric furnace / CAC - early replacement MF ER1</v>
      </c>
      <c r="G1990" s="2909"/>
      <c r="H1990" s="2909"/>
      <c r="I1990" s="2910"/>
      <c r="J1990" s="1657" t="str">
        <f>$C$1528</f>
        <v>354150_2019_12_</v>
      </c>
      <c r="K1990" s="1663">
        <v>3.41</v>
      </c>
      <c r="L1990" s="1124"/>
      <c r="M1990" s="928" t="s">
        <v>1600</v>
      </c>
      <c r="N1990" s="177"/>
      <c r="O1990" s="332"/>
      <c r="P1990" s="332"/>
      <c r="Q1990" s="332"/>
      <c r="R1990" s="332"/>
      <c r="S1990" s="177"/>
      <c r="T1990" s="177"/>
      <c r="U1990" s="177"/>
      <c r="V1990" s="2866"/>
      <c r="W1990" s="909">
        <v>3.41</v>
      </c>
      <c r="X1990" s="909">
        <v>3.41</v>
      </c>
      <c r="Y1990" s="909">
        <v>3.41</v>
      </c>
      <c r="Z1990" s="909"/>
      <c r="AA1990" s="909"/>
      <c r="AB1990" s="909"/>
      <c r="AC1990" s="909"/>
      <c r="AD1990" s="909"/>
      <c r="AE1990" s="909"/>
      <c r="AF1990" s="909"/>
      <c r="AG1990" s="909"/>
      <c r="BB1990" s="784"/>
      <c r="BC1990" s="785"/>
      <c r="BD1990" s="900"/>
      <c r="BE1990" s="797"/>
    </row>
    <row r="1991" spans="1:57" s="65" customFormat="1" ht="15" hidden="1" customHeight="1" outlineLevel="1" x14ac:dyDescent="0.25">
      <c r="A1991" s="785"/>
      <c r="B1991" s="177"/>
      <c r="C1991" s="455"/>
      <c r="D1991" s="2806"/>
      <c r="E1991" s="2856"/>
      <c r="F1991" s="2908" t="str">
        <f>$E$1530</f>
        <v>ASHP - SEER 17 - replace electric furnace / CAC - early replacement MF ER2</v>
      </c>
      <c r="G1991" s="2909"/>
      <c r="H1991" s="2909"/>
      <c r="I1991" s="2910"/>
      <c r="J1991" s="1657" t="str">
        <f>$C$1530</f>
        <v>354150_2019_12_</v>
      </c>
      <c r="K1991" s="1663">
        <v>3.41</v>
      </c>
      <c r="L1991" s="1124"/>
      <c r="M1991" s="928" t="s">
        <v>1600</v>
      </c>
      <c r="N1991" s="177"/>
      <c r="O1991" s="332"/>
      <c r="P1991" s="332"/>
      <c r="Q1991" s="332"/>
      <c r="R1991" s="332"/>
      <c r="S1991" s="177"/>
      <c r="T1991" s="177"/>
      <c r="U1991" s="177"/>
      <c r="V1991" s="2866"/>
      <c r="W1991" s="909">
        <v>3.41</v>
      </c>
      <c r="X1991" s="909">
        <v>3.41</v>
      </c>
      <c r="Y1991" s="909">
        <v>3.41</v>
      </c>
      <c r="Z1991" s="909"/>
      <c r="AA1991" s="909"/>
      <c r="AB1991" s="909"/>
      <c r="AC1991" s="909"/>
      <c r="AD1991" s="909"/>
      <c r="AE1991" s="909"/>
      <c r="AF1991" s="909"/>
      <c r="AG1991" s="909"/>
      <c r="BB1991" s="784"/>
      <c r="BC1991" s="785"/>
      <c r="BD1991" s="900"/>
      <c r="BE1991" s="797"/>
    </row>
    <row r="1992" spans="1:57" s="65" customFormat="1" ht="15" hidden="1" customHeight="1" outlineLevel="1" x14ac:dyDescent="0.25">
      <c r="A1992" s="785"/>
      <c r="B1992" s="177"/>
      <c r="C1992" s="455"/>
      <c r="D1992" s="2806"/>
      <c r="E1992" s="2856"/>
      <c r="F1992" s="2908" t="str">
        <f>$E$1532</f>
        <v>ASHP - SEER 17 - replace electric furnace / CAC - early replacement MF ER1_CompE</v>
      </c>
      <c r="G1992" s="2909"/>
      <c r="H1992" s="2909"/>
      <c r="I1992" s="2910"/>
      <c r="J1992" s="1657" t="str">
        <f>$C$1532</f>
        <v>354151_2019_12_</v>
      </c>
      <c r="K1992" s="1663">
        <v>3.41</v>
      </c>
      <c r="L1992" s="1124"/>
      <c r="M1992" s="928" t="s">
        <v>1600</v>
      </c>
      <c r="N1992" s="177"/>
      <c r="O1992" s="332"/>
      <c r="P1992" s="332"/>
      <c r="Q1992" s="332"/>
      <c r="R1992" s="332"/>
      <c r="S1992" s="177"/>
      <c r="T1992" s="177"/>
      <c r="U1992" s="177"/>
      <c r="V1992" s="2866"/>
      <c r="W1992" s="909"/>
      <c r="X1992" s="909"/>
      <c r="Y1992" s="908">
        <v>3.41</v>
      </c>
      <c r="Z1992" s="909"/>
      <c r="AA1992" s="909"/>
      <c r="AB1992" s="909"/>
      <c r="AC1992" s="909"/>
      <c r="AD1992" s="909"/>
      <c r="AE1992" s="909"/>
      <c r="AF1992" s="909"/>
      <c r="AG1992" s="909"/>
      <c r="BB1992" s="784"/>
      <c r="BC1992" s="785"/>
      <c r="BD1992" s="900"/>
      <c r="BE1992" s="797"/>
    </row>
    <row r="1993" spans="1:57" s="65" customFormat="1" ht="15" hidden="1" customHeight="1" outlineLevel="1" x14ac:dyDescent="0.25">
      <c r="A1993" s="785"/>
      <c r="B1993" s="177"/>
      <c r="C1993" s="455"/>
      <c r="D1993" s="2806"/>
      <c r="E1993" s="2856"/>
      <c r="F1993" s="2908" t="str">
        <f>$E$1534</f>
        <v>ASHP - SEER 17 - replace electric furnace / CAC - early replacement MF ER2_CompE</v>
      </c>
      <c r="G1993" s="2909"/>
      <c r="H1993" s="2909"/>
      <c r="I1993" s="2910"/>
      <c r="J1993" s="1657" t="str">
        <f>$C$1534</f>
        <v>354151_2019_12_</v>
      </c>
      <c r="K1993" s="1663">
        <v>3.41</v>
      </c>
      <c r="L1993" s="1124"/>
      <c r="M1993" s="928" t="s">
        <v>1600</v>
      </c>
      <c r="N1993" s="177"/>
      <c r="O1993" s="332"/>
      <c r="P1993" s="332"/>
      <c r="Q1993" s="332"/>
      <c r="R1993" s="332"/>
      <c r="S1993" s="177"/>
      <c r="T1993" s="177"/>
      <c r="U1993" s="177"/>
      <c r="V1993" s="2866"/>
      <c r="W1993" s="909"/>
      <c r="X1993" s="909"/>
      <c r="Y1993" s="908">
        <v>3.41</v>
      </c>
      <c r="Z1993" s="909"/>
      <c r="AA1993" s="909"/>
      <c r="AB1993" s="909"/>
      <c r="AC1993" s="909"/>
      <c r="AD1993" s="909"/>
      <c r="AE1993" s="909"/>
      <c r="AF1993" s="909"/>
      <c r="AG1993" s="909"/>
      <c r="BB1993" s="784"/>
      <c r="BC1993" s="785"/>
      <c r="BD1993" s="900"/>
      <c r="BE1993" s="797"/>
    </row>
    <row r="1994" spans="1:57" s="65" customFormat="1" ht="15" hidden="1" customHeight="1" outlineLevel="1" x14ac:dyDescent="0.25">
      <c r="A1994" s="785"/>
      <c r="B1994" s="177"/>
      <c r="C1994" s="455"/>
      <c r="D1994" s="2806"/>
      <c r="E1994" s="2856"/>
      <c r="F1994" s="2908" t="str">
        <f>$E$1536</f>
        <v>ASHP SEER 17 replace ASHP - early replacement MF ER1</v>
      </c>
      <c r="G1994" s="2909"/>
      <c r="H1994" s="2909"/>
      <c r="I1994" s="2910"/>
      <c r="J1994" s="1657" t="str">
        <f>$C$1536</f>
        <v>354200_2019_12_</v>
      </c>
      <c r="K1994" s="1663">
        <v>6.58</v>
      </c>
      <c r="L1994" s="1124"/>
      <c r="M1994" s="928" t="s">
        <v>1600</v>
      </c>
      <c r="N1994" s="177"/>
      <c r="O1994" s="332"/>
      <c r="P1994" s="332"/>
      <c r="Q1994" s="332"/>
      <c r="R1994" s="332"/>
      <c r="S1994" s="177"/>
      <c r="T1994" s="177"/>
      <c r="U1994" s="177"/>
      <c r="V1994" s="2866"/>
      <c r="W1994" s="909">
        <v>5.44</v>
      </c>
      <c r="X1994" s="908">
        <v>6.58</v>
      </c>
      <c r="Y1994" s="909">
        <v>6.58</v>
      </c>
      <c r="Z1994" s="909"/>
      <c r="AA1994" s="909"/>
      <c r="AB1994" s="909"/>
      <c r="AC1994" s="909"/>
      <c r="AD1994" s="909"/>
      <c r="AE1994" s="909"/>
      <c r="AF1994" s="909"/>
      <c r="AG1994" s="909"/>
      <c r="BB1994" s="784"/>
      <c r="BC1994" s="785"/>
      <c r="BD1994" s="900"/>
      <c r="BE1994" s="797"/>
    </row>
    <row r="1995" spans="1:57" s="65" customFormat="1" ht="15" hidden="1" customHeight="1" outlineLevel="1" x14ac:dyDescent="0.25">
      <c r="A1995" s="785"/>
      <c r="B1995" s="177"/>
      <c r="C1995" s="455"/>
      <c r="D1995" s="2806"/>
      <c r="E1995" s="2856"/>
      <c r="F1995" s="2908" t="str">
        <f>$E$1538</f>
        <v>ASHP SEER 17 replace ASHP - early replacement MF ER2</v>
      </c>
      <c r="G1995" s="2909"/>
      <c r="H1995" s="2909"/>
      <c r="I1995" s="2910"/>
      <c r="J1995" s="1657" t="str">
        <f>$C$1538</f>
        <v>354200_2019_12_</v>
      </c>
      <c r="K1995" s="1663">
        <v>8.1999999999999993</v>
      </c>
      <c r="L1995" s="1124"/>
      <c r="M1995" s="928" t="s">
        <v>1600</v>
      </c>
      <c r="N1995" s="177"/>
      <c r="O1995" s="332"/>
      <c r="P1995" s="332"/>
      <c r="Q1995" s="332"/>
      <c r="R1995" s="332"/>
      <c r="S1995" s="177"/>
      <c r="T1995" s="177"/>
      <c r="U1995" s="177"/>
      <c r="V1995" s="2866"/>
      <c r="W1995" s="909">
        <v>8.1999999999999993</v>
      </c>
      <c r="X1995" s="909">
        <v>8.1999999999999993</v>
      </c>
      <c r="Y1995" s="909">
        <v>8.1999999999999993</v>
      </c>
      <c r="Z1995" s="909"/>
      <c r="AA1995" s="909"/>
      <c r="AB1995" s="909"/>
      <c r="AC1995" s="909"/>
      <c r="AD1995" s="909"/>
      <c r="AE1995" s="909"/>
      <c r="AF1995" s="909"/>
      <c r="AG1995" s="909"/>
      <c r="BB1995" s="784"/>
      <c r="BC1995" s="785"/>
      <c r="BD1995" s="900"/>
      <c r="BE1995" s="797"/>
    </row>
    <row r="1996" spans="1:57" s="65" customFormat="1" ht="15" hidden="1" customHeight="1" outlineLevel="1" x14ac:dyDescent="0.25">
      <c r="A1996" s="785"/>
      <c r="B1996" s="177"/>
      <c r="C1996" s="455"/>
      <c r="D1996" s="2806"/>
      <c r="E1996" s="2856"/>
      <c r="F1996" s="2908" t="str">
        <f>$E$1540</f>
        <v>ASHP SEER 17 replace ASHP - early replacement MF ER1_CompE</v>
      </c>
      <c r="G1996" s="2909"/>
      <c r="H1996" s="2909"/>
      <c r="I1996" s="2910"/>
      <c r="J1996" s="1657" t="str">
        <f>$C$1540</f>
        <v>354201_2019_12_</v>
      </c>
      <c r="K1996" s="1663">
        <v>6.58</v>
      </c>
      <c r="L1996" s="1124"/>
      <c r="M1996" s="928" t="s">
        <v>1600</v>
      </c>
      <c r="N1996" s="177"/>
      <c r="O1996" s="332"/>
      <c r="P1996" s="332"/>
      <c r="Q1996" s="332"/>
      <c r="R1996" s="332"/>
      <c r="S1996" s="177"/>
      <c r="T1996" s="177"/>
      <c r="U1996" s="177"/>
      <c r="V1996" s="2866"/>
      <c r="W1996" s="909"/>
      <c r="X1996" s="909"/>
      <c r="Y1996" s="908">
        <v>6.58</v>
      </c>
      <c r="Z1996" s="909"/>
      <c r="AA1996" s="909"/>
      <c r="AB1996" s="909"/>
      <c r="AC1996" s="909"/>
      <c r="AD1996" s="909"/>
      <c r="AE1996" s="909"/>
      <c r="AF1996" s="909"/>
      <c r="AG1996" s="909"/>
      <c r="BB1996" s="784"/>
      <c r="BC1996" s="785"/>
      <c r="BD1996" s="900"/>
      <c r="BE1996" s="797"/>
    </row>
    <row r="1997" spans="1:57" s="65" customFormat="1" ht="15" hidden="1" customHeight="1" outlineLevel="1" x14ac:dyDescent="0.25">
      <c r="A1997" s="785"/>
      <c r="B1997" s="177"/>
      <c r="C1997" s="455"/>
      <c r="D1997" s="2806"/>
      <c r="E1997" s="2856"/>
      <c r="F1997" s="2908" t="str">
        <f>$E$1542</f>
        <v>ASHP SEER 17 replace ASHP - early replacement MF ER2_CompE</v>
      </c>
      <c r="G1997" s="2909"/>
      <c r="H1997" s="2909"/>
      <c r="I1997" s="2910"/>
      <c r="J1997" s="1657" t="str">
        <f>$C$1542</f>
        <v>354201_2019_12_</v>
      </c>
      <c r="K1997" s="1663">
        <v>8.1999999999999993</v>
      </c>
      <c r="L1997" s="1124"/>
      <c r="M1997" s="928" t="s">
        <v>1600</v>
      </c>
      <c r="N1997" s="177"/>
      <c r="O1997" s="332"/>
      <c r="P1997" s="332"/>
      <c r="Q1997" s="332"/>
      <c r="R1997" s="332"/>
      <c r="S1997" s="177"/>
      <c r="T1997" s="177"/>
      <c r="U1997" s="177"/>
      <c r="V1997" s="2866"/>
      <c r="W1997" s="909"/>
      <c r="X1997" s="909"/>
      <c r="Y1997" s="908">
        <v>8.1999999999999993</v>
      </c>
      <c r="Z1997" s="909"/>
      <c r="AA1997" s="909"/>
      <c r="AB1997" s="909"/>
      <c r="AC1997" s="909"/>
      <c r="AD1997" s="909"/>
      <c r="AE1997" s="909"/>
      <c r="AF1997" s="909"/>
      <c r="AG1997" s="909"/>
      <c r="BB1997" s="784"/>
      <c r="BC1997" s="785"/>
      <c r="BD1997" s="900"/>
      <c r="BE1997" s="797"/>
    </row>
    <row r="1998" spans="1:57" s="65" customFormat="1" ht="15" hidden="1" customHeight="1" outlineLevel="1" x14ac:dyDescent="0.25">
      <c r="A1998" s="785"/>
      <c r="B1998" s="177"/>
      <c r="C1998" s="455"/>
      <c r="D1998" s="2806"/>
      <c r="E1998" s="2856"/>
      <c r="F1998" s="2908" t="str">
        <f>$E$1544</f>
        <v>ASHP - SEER 18 - replace electric furnace / CAC - early replacement SF ER1</v>
      </c>
      <c r="G1998" s="2909"/>
      <c r="H1998" s="2909"/>
      <c r="I1998" s="2910"/>
      <c r="J1998" s="1657" t="str">
        <f>$C$1544</f>
        <v>354250_2019_12_</v>
      </c>
      <c r="K1998" s="1663">
        <v>3.41</v>
      </c>
      <c r="L1998" s="1124"/>
      <c r="M1998" s="928" t="s">
        <v>1178</v>
      </c>
      <c r="N1998" s="177"/>
      <c r="O1998" s="332"/>
      <c r="P1998" s="332"/>
      <c r="Q1998" s="332"/>
      <c r="R1998" s="332"/>
      <c r="S1998" s="177"/>
      <c r="T1998" s="177"/>
      <c r="U1998" s="177"/>
      <c r="V1998" s="2866"/>
      <c r="W1998" s="909">
        <v>3.41</v>
      </c>
      <c r="X1998" s="909">
        <v>3.41</v>
      </c>
      <c r="Y1998" s="909">
        <v>3.41</v>
      </c>
      <c r="Z1998" s="909"/>
      <c r="AA1998" s="909"/>
      <c r="AB1998" s="909"/>
      <c r="AC1998" s="909"/>
      <c r="AD1998" s="909"/>
      <c r="AE1998" s="909"/>
      <c r="AF1998" s="909"/>
      <c r="AG1998" s="909"/>
      <c r="BB1998" s="784"/>
      <c r="BC1998" s="785"/>
      <c r="BD1998" s="900"/>
      <c r="BE1998" s="797"/>
    </row>
    <row r="1999" spans="1:57" s="65" customFormat="1" ht="15" hidden="1" customHeight="1" outlineLevel="1" x14ac:dyDescent="0.25">
      <c r="A1999" s="785"/>
      <c r="B1999" s="177"/>
      <c r="C1999" s="455"/>
      <c r="D1999" s="2806"/>
      <c r="E1999" s="2856"/>
      <c r="F1999" s="2908" t="str">
        <f>$E$1546</f>
        <v>ASHP - SEER 18 - replace electric furnace / CAC - early replacement SF ER2</v>
      </c>
      <c r="G1999" s="2909"/>
      <c r="H1999" s="2909"/>
      <c r="I1999" s="2910"/>
      <c r="J1999" s="1657" t="str">
        <f>$C$1546</f>
        <v>354250_2019_12_</v>
      </c>
      <c r="K1999" s="1663">
        <v>3.41</v>
      </c>
      <c r="L1999" s="1124"/>
      <c r="M1999" s="928" t="s">
        <v>1178</v>
      </c>
      <c r="N1999" s="177"/>
      <c r="O1999" s="332"/>
      <c r="P1999" s="332"/>
      <c r="Q1999" s="332"/>
      <c r="R1999" s="332"/>
      <c r="S1999" s="177"/>
      <c r="T1999" s="177"/>
      <c r="U1999" s="177"/>
      <c r="V1999" s="2866"/>
      <c r="W1999" s="909">
        <v>3.41</v>
      </c>
      <c r="X1999" s="909">
        <v>3.41</v>
      </c>
      <c r="Y1999" s="909">
        <v>3.41</v>
      </c>
      <c r="Z1999" s="909"/>
      <c r="AA1999" s="909"/>
      <c r="AB1999" s="909"/>
      <c r="AC1999" s="909"/>
      <c r="AD1999" s="909"/>
      <c r="AE1999" s="909"/>
      <c r="AF1999" s="909"/>
      <c r="AG1999" s="909"/>
      <c r="BB1999" s="784"/>
      <c r="BC1999" s="785"/>
      <c r="BD1999" s="900"/>
      <c r="BE1999" s="797"/>
    </row>
    <row r="2000" spans="1:57" s="65" customFormat="1" ht="15" hidden="1" customHeight="1" outlineLevel="1" x14ac:dyDescent="0.25">
      <c r="A2000" s="785"/>
      <c r="B2000" s="177"/>
      <c r="C2000" s="455"/>
      <c r="D2000" s="2806"/>
      <c r="E2000" s="2856"/>
      <c r="F2000" s="2908" t="str">
        <f>$E$1548</f>
        <v>ASHP - SEER 18 - replace electric furnace / CAC - early replacement MF ER1</v>
      </c>
      <c r="G2000" s="2909"/>
      <c r="H2000" s="2909"/>
      <c r="I2000" s="2910"/>
      <c r="J2000" s="1657" t="str">
        <f>$C$1548</f>
        <v>354300_2019_12_</v>
      </c>
      <c r="K2000" s="1663">
        <v>3.41</v>
      </c>
      <c r="L2000" s="1124"/>
      <c r="M2000" s="928" t="s">
        <v>1600</v>
      </c>
      <c r="N2000" s="177"/>
      <c r="O2000" s="332"/>
      <c r="P2000" s="332"/>
      <c r="Q2000" s="332"/>
      <c r="R2000" s="332"/>
      <c r="S2000" s="177"/>
      <c r="T2000" s="177"/>
      <c r="U2000" s="177"/>
      <c r="V2000" s="2866"/>
      <c r="W2000" s="909">
        <v>3.41</v>
      </c>
      <c r="X2000" s="909">
        <v>3.41</v>
      </c>
      <c r="Y2000" s="909">
        <v>3.41</v>
      </c>
      <c r="Z2000" s="909"/>
      <c r="AA2000" s="909"/>
      <c r="AB2000" s="909"/>
      <c r="AC2000" s="909"/>
      <c r="AD2000" s="909"/>
      <c r="AE2000" s="909"/>
      <c r="AF2000" s="909"/>
      <c r="AG2000" s="909"/>
      <c r="BB2000" s="784"/>
      <c r="BC2000" s="785"/>
      <c r="BD2000" s="900"/>
      <c r="BE2000" s="797"/>
    </row>
    <row r="2001" spans="1:57" s="65" customFormat="1" ht="15" hidden="1" customHeight="1" outlineLevel="1" x14ac:dyDescent="0.25">
      <c r="A2001" s="785"/>
      <c r="B2001" s="177"/>
      <c r="C2001" s="455"/>
      <c r="D2001" s="2806"/>
      <c r="E2001" s="2856"/>
      <c r="F2001" s="2908" t="str">
        <f>$E$1550</f>
        <v>ASHP - SEER 18 - replace electric furnace / CAC - early replacement MF ER2</v>
      </c>
      <c r="G2001" s="2909"/>
      <c r="H2001" s="2909"/>
      <c r="I2001" s="2910"/>
      <c r="J2001" s="1657" t="str">
        <f>$C$1550</f>
        <v>354300_2019_12_</v>
      </c>
      <c r="K2001" s="1663">
        <v>3.41</v>
      </c>
      <c r="L2001" s="1124"/>
      <c r="M2001" s="928" t="s">
        <v>1600</v>
      </c>
      <c r="N2001" s="177"/>
      <c r="O2001" s="332"/>
      <c r="P2001" s="332"/>
      <c r="Q2001" s="332"/>
      <c r="R2001" s="332"/>
      <c r="S2001" s="177"/>
      <c r="T2001" s="177"/>
      <c r="U2001" s="177"/>
      <c r="V2001" s="2866"/>
      <c r="W2001" s="909">
        <v>3.41</v>
      </c>
      <c r="X2001" s="909">
        <v>3.41</v>
      </c>
      <c r="Y2001" s="909">
        <v>3.41</v>
      </c>
      <c r="Z2001" s="909"/>
      <c r="AA2001" s="909"/>
      <c r="AB2001" s="909"/>
      <c r="AC2001" s="909"/>
      <c r="AD2001" s="909"/>
      <c r="AE2001" s="909"/>
      <c r="AF2001" s="909"/>
      <c r="AG2001" s="909"/>
      <c r="BB2001" s="784"/>
      <c r="BC2001" s="785"/>
      <c r="BD2001" s="900"/>
      <c r="BE2001" s="797"/>
    </row>
    <row r="2002" spans="1:57" s="65" customFormat="1" ht="15" hidden="1" customHeight="1" outlineLevel="1" x14ac:dyDescent="0.25">
      <c r="A2002" s="785"/>
      <c r="B2002" s="177"/>
      <c r="C2002" s="455"/>
      <c r="D2002" s="2806"/>
      <c r="E2002" s="2856"/>
      <c r="F2002" s="2908" t="str">
        <f>$E$1552</f>
        <v>ASHP - SEER 18 - replace electric furnace / CAC - early replacement MF ER1_CompE</v>
      </c>
      <c r="G2002" s="2909"/>
      <c r="H2002" s="2909"/>
      <c r="I2002" s="2910"/>
      <c r="J2002" s="1657" t="str">
        <f>$C$1552</f>
        <v>354301_2019_12_</v>
      </c>
      <c r="K2002" s="1663">
        <v>3.41</v>
      </c>
      <c r="L2002" s="1124"/>
      <c r="M2002" s="928" t="s">
        <v>1600</v>
      </c>
      <c r="N2002" s="177"/>
      <c r="O2002" s="332"/>
      <c r="P2002" s="332"/>
      <c r="Q2002" s="332"/>
      <c r="R2002" s="332"/>
      <c r="S2002" s="177"/>
      <c r="T2002" s="177"/>
      <c r="U2002" s="177"/>
      <c r="V2002" s="2866"/>
      <c r="W2002" s="909"/>
      <c r="X2002" s="909"/>
      <c r="Y2002" s="908">
        <v>3.41</v>
      </c>
      <c r="Z2002" s="909"/>
      <c r="AA2002" s="909"/>
      <c r="AB2002" s="909"/>
      <c r="AC2002" s="909"/>
      <c r="AD2002" s="909"/>
      <c r="AE2002" s="909"/>
      <c r="AF2002" s="909"/>
      <c r="AG2002" s="909"/>
      <c r="BB2002" s="784"/>
      <c r="BC2002" s="785"/>
      <c r="BD2002" s="900"/>
      <c r="BE2002" s="797"/>
    </row>
    <row r="2003" spans="1:57" s="65" customFormat="1" ht="15" hidden="1" customHeight="1" outlineLevel="1" x14ac:dyDescent="0.25">
      <c r="A2003" s="785"/>
      <c r="B2003" s="177"/>
      <c r="C2003" s="455"/>
      <c r="D2003" s="2806"/>
      <c r="E2003" s="2856"/>
      <c r="F2003" s="2908" t="str">
        <f>$E$1554</f>
        <v>ASHP - SEER 18 - replace electric furnace / CAC - early replacement MF ER2_CompE</v>
      </c>
      <c r="G2003" s="2909"/>
      <c r="H2003" s="2909"/>
      <c r="I2003" s="2910"/>
      <c r="J2003" s="1657" t="str">
        <f>$C$1554</f>
        <v>354301_2019_12_</v>
      </c>
      <c r="K2003" s="1663">
        <v>3.41</v>
      </c>
      <c r="L2003" s="1124"/>
      <c r="M2003" s="928" t="s">
        <v>1600</v>
      </c>
      <c r="N2003" s="177"/>
      <c r="O2003" s="332"/>
      <c r="P2003" s="332"/>
      <c r="Q2003" s="332"/>
      <c r="R2003" s="332"/>
      <c r="S2003" s="177"/>
      <c r="T2003" s="177"/>
      <c r="U2003" s="177"/>
      <c r="V2003" s="2866"/>
      <c r="W2003" s="909"/>
      <c r="X2003" s="909"/>
      <c r="Y2003" s="908">
        <v>3.41</v>
      </c>
      <c r="Z2003" s="909"/>
      <c r="AA2003" s="909"/>
      <c r="AB2003" s="909"/>
      <c r="AC2003" s="909"/>
      <c r="AD2003" s="909"/>
      <c r="AE2003" s="909"/>
      <c r="AF2003" s="909"/>
      <c r="AG2003" s="909"/>
      <c r="BB2003" s="784"/>
      <c r="BC2003" s="785"/>
      <c r="BD2003" s="900"/>
      <c r="BE2003" s="797"/>
    </row>
    <row r="2004" spans="1:57" s="65" customFormat="1" ht="15" hidden="1" customHeight="1" outlineLevel="1" x14ac:dyDescent="0.25">
      <c r="A2004" s="785"/>
      <c r="B2004" s="177"/>
      <c r="C2004" s="455"/>
      <c r="D2004" s="2806"/>
      <c r="E2004" s="2856"/>
      <c r="F2004" s="2908" t="str">
        <f>$E$1556</f>
        <v>ASHP SEER 18 replace ASHP - early replacement MF ER1</v>
      </c>
      <c r="G2004" s="2909"/>
      <c r="H2004" s="2909"/>
      <c r="I2004" s="2910"/>
      <c r="J2004" s="1657" t="str">
        <f>$C$1556</f>
        <v>354350_2019_12_</v>
      </c>
      <c r="K2004" s="1663">
        <v>6.58</v>
      </c>
      <c r="L2004" s="1124"/>
      <c r="M2004" s="928" t="s">
        <v>1600</v>
      </c>
      <c r="N2004" s="177"/>
      <c r="O2004" s="332"/>
      <c r="P2004" s="332"/>
      <c r="Q2004" s="332"/>
      <c r="R2004" s="332"/>
      <c r="S2004" s="177"/>
      <c r="T2004" s="177"/>
      <c r="U2004" s="177"/>
      <c r="V2004" s="2866"/>
      <c r="W2004" s="909">
        <v>5.44</v>
      </c>
      <c r="X2004" s="908">
        <v>6.58</v>
      </c>
      <c r="Y2004" s="909">
        <v>6.58</v>
      </c>
      <c r="Z2004" s="909"/>
      <c r="AA2004" s="909"/>
      <c r="AB2004" s="909"/>
      <c r="AC2004" s="909"/>
      <c r="AD2004" s="909"/>
      <c r="AE2004" s="909"/>
      <c r="AF2004" s="909"/>
      <c r="AG2004" s="909"/>
      <c r="BB2004" s="784"/>
      <c r="BC2004" s="785"/>
      <c r="BD2004" s="900"/>
      <c r="BE2004" s="797"/>
    </row>
    <row r="2005" spans="1:57" s="65" customFormat="1" ht="15" hidden="1" customHeight="1" outlineLevel="1" x14ac:dyDescent="0.25">
      <c r="A2005" s="785"/>
      <c r="B2005" s="177"/>
      <c r="C2005" s="455"/>
      <c r="D2005" s="2806"/>
      <c r="E2005" s="2856"/>
      <c r="F2005" s="2908" t="str">
        <f>$E$1558</f>
        <v>ASHP SEER 18 replace ASHP - early replacement MF ER2</v>
      </c>
      <c r="G2005" s="2909"/>
      <c r="H2005" s="2909"/>
      <c r="I2005" s="2910"/>
      <c r="J2005" s="1657" t="str">
        <f>$C$1558</f>
        <v>354350_2019_12_</v>
      </c>
      <c r="K2005" s="1663">
        <v>8.1999999999999993</v>
      </c>
      <c r="L2005" s="1124"/>
      <c r="M2005" s="928" t="s">
        <v>1600</v>
      </c>
      <c r="N2005" s="177"/>
      <c r="O2005" s="332"/>
      <c r="P2005" s="332"/>
      <c r="Q2005" s="332"/>
      <c r="R2005" s="332"/>
      <c r="S2005" s="177"/>
      <c r="T2005" s="177"/>
      <c r="U2005" s="177"/>
      <c r="V2005" s="2866"/>
      <c r="W2005" s="909">
        <v>8.1999999999999993</v>
      </c>
      <c r="X2005" s="909">
        <v>8.1999999999999993</v>
      </c>
      <c r="Y2005" s="909">
        <v>8.1999999999999993</v>
      </c>
      <c r="Z2005" s="909"/>
      <c r="AA2005" s="909"/>
      <c r="AB2005" s="909"/>
      <c r="AC2005" s="909"/>
      <c r="AD2005" s="909"/>
      <c r="AE2005" s="909"/>
      <c r="AF2005" s="909"/>
      <c r="AG2005" s="909"/>
      <c r="BB2005" s="784"/>
      <c r="BC2005" s="785"/>
      <c r="BD2005" s="900"/>
      <c r="BE2005" s="797"/>
    </row>
    <row r="2006" spans="1:57" s="65" customFormat="1" ht="15" hidden="1" customHeight="1" outlineLevel="1" x14ac:dyDescent="0.25">
      <c r="A2006" s="785"/>
      <c r="B2006" s="177"/>
      <c r="C2006" s="455"/>
      <c r="D2006" s="2806"/>
      <c r="E2006" s="2856"/>
      <c r="F2006" s="2908" t="str">
        <f>$E$1560</f>
        <v>ASHP SEER 18 replace ASHP - early replacement MF ER1_CompE</v>
      </c>
      <c r="G2006" s="2909"/>
      <c r="H2006" s="2909"/>
      <c r="I2006" s="2910"/>
      <c r="J2006" s="1657" t="str">
        <f>$C$1560</f>
        <v>354351_2019_12_</v>
      </c>
      <c r="K2006" s="1663">
        <v>6.58</v>
      </c>
      <c r="L2006" s="1124"/>
      <c r="M2006" s="928" t="s">
        <v>1600</v>
      </c>
      <c r="N2006" s="177"/>
      <c r="O2006" s="332"/>
      <c r="P2006" s="332"/>
      <c r="Q2006" s="332"/>
      <c r="R2006" s="332"/>
      <c r="S2006" s="177"/>
      <c r="T2006" s="177"/>
      <c r="U2006" s="177"/>
      <c r="V2006" s="2866"/>
      <c r="W2006" s="909"/>
      <c r="X2006" s="909"/>
      <c r="Y2006" s="908">
        <v>6.58</v>
      </c>
      <c r="Z2006" s="909"/>
      <c r="AA2006" s="909"/>
      <c r="AB2006" s="909"/>
      <c r="AC2006" s="909"/>
      <c r="AD2006" s="909"/>
      <c r="AE2006" s="909"/>
      <c r="AF2006" s="909"/>
      <c r="AG2006" s="909"/>
      <c r="BB2006" s="784"/>
      <c r="BC2006" s="785"/>
      <c r="BD2006" s="900"/>
      <c r="BE2006" s="797"/>
    </row>
    <row r="2007" spans="1:57" s="65" customFormat="1" ht="15" hidden="1" customHeight="1" outlineLevel="1" x14ac:dyDescent="0.25">
      <c r="A2007" s="785"/>
      <c r="B2007" s="177"/>
      <c r="C2007" s="455"/>
      <c r="D2007" s="2806"/>
      <c r="E2007" s="2856"/>
      <c r="F2007" s="2908" t="str">
        <f>$E$1562</f>
        <v>ASHP SEER 18 replace ASHP - early replacement MF ER2_CompE</v>
      </c>
      <c r="G2007" s="2909"/>
      <c r="H2007" s="2909"/>
      <c r="I2007" s="2910"/>
      <c r="J2007" s="1657" t="str">
        <f>$C$1562</f>
        <v>354351_2019_12_</v>
      </c>
      <c r="K2007" s="1663">
        <v>8.1999999999999993</v>
      </c>
      <c r="L2007" s="1124"/>
      <c r="M2007" s="928" t="s">
        <v>1600</v>
      </c>
      <c r="N2007" s="177"/>
      <c r="O2007" s="332"/>
      <c r="P2007" s="332"/>
      <c r="Q2007" s="332"/>
      <c r="R2007" s="332"/>
      <c r="S2007" s="177"/>
      <c r="T2007" s="177"/>
      <c r="U2007" s="177"/>
      <c r="V2007" s="2866"/>
      <c r="W2007" s="909"/>
      <c r="X2007" s="909"/>
      <c r="Y2007" s="908">
        <v>8.1999999999999993</v>
      </c>
      <c r="Z2007" s="909"/>
      <c r="AA2007" s="909"/>
      <c r="AB2007" s="909"/>
      <c r="AC2007" s="909"/>
      <c r="AD2007" s="909"/>
      <c r="AE2007" s="909"/>
      <c r="AF2007" s="909"/>
      <c r="AG2007" s="909"/>
      <c r="BB2007" s="784"/>
      <c r="BC2007" s="785"/>
      <c r="BD2007" s="900"/>
      <c r="BE2007" s="797"/>
    </row>
    <row r="2008" spans="1:57" s="65" customFormat="1" ht="15" hidden="1" customHeight="1" outlineLevel="1" x14ac:dyDescent="0.25">
      <c r="A2008" s="785"/>
      <c r="B2008" s="177"/>
      <c r="C2008" s="455"/>
      <c r="D2008" s="2806"/>
      <c r="E2008" s="2856"/>
      <c r="F2008" s="2908" t="str">
        <f>$E$1564</f>
        <v>ASHP - SEER 19 - replace electric furnace / CAC - early replacement SF ER1</v>
      </c>
      <c r="G2008" s="2909"/>
      <c r="H2008" s="2909"/>
      <c r="I2008" s="2910"/>
      <c r="J2008" s="1657" t="str">
        <f>$C$1564</f>
        <v>354400_2019_12_</v>
      </c>
      <c r="K2008" s="1663">
        <v>3.41</v>
      </c>
      <c r="L2008" s="1124"/>
      <c r="M2008" s="928" t="s">
        <v>1178</v>
      </c>
      <c r="N2008" s="177"/>
      <c r="O2008" s="332"/>
      <c r="P2008" s="332"/>
      <c r="Q2008" s="332"/>
      <c r="R2008" s="332"/>
      <c r="S2008" s="177"/>
      <c r="T2008" s="177"/>
      <c r="U2008" s="177"/>
      <c r="V2008" s="2866"/>
      <c r="W2008" s="909">
        <v>3.41</v>
      </c>
      <c r="X2008" s="909">
        <v>3.41</v>
      </c>
      <c r="Y2008" s="909">
        <v>3.41</v>
      </c>
      <c r="Z2008" s="909"/>
      <c r="AA2008" s="909"/>
      <c r="AB2008" s="909"/>
      <c r="AC2008" s="909"/>
      <c r="AD2008" s="909"/>
      <c r="AE2008" s="909"/>
      <c r="AF2008" s="909"/>
      <c r="AG2008" s="909"/>
      <c r="BB2008" s="784"/>
      <c r="BC2008" s="785"/>
      <c r="BD2008" s="900"/>
      <c r="BE2008" s="797"/>
    </row>
    <row r="2009" spans="1:57" s="65" customFormat="1" ht="15" hidden="1" customHeight="1" outlineLevel="1" x14ac:dyDescent="0.25">
      <c r="A2009" s="785"/>
      <c r="B2009" s="177"/>
      <c r="C2009" s="455"/>
      <c r="D2009" s="2806"/>
      <c r="E2009" s="2856"/>
      <c r="F2009" s="2908" t="str">
        <f>$E$1566</f>
        <v>ASHP - SEER 19 - replace electric furnace / CAC - early replacement SF ER2</v>
      </c>
      <c r="G2009" s="2909"/>
      <c r="H2009" s="2909"/>
      <c r="I2009" s="2910"/>
      <c r="J2009" s="1657" t="str">
        <f>$C$1566</f>
        <v>354400_2019_12_</v>
      </c>
      <c r="K2009" s="1663">
        <v>3.41</v>
      </c>
      <c r="L2009" s="1124"/>
      <c r="M2009" s="928" t="s">
        <v>1178</v>
      </c>
      <c r="N2009" s="177"/>
      <c r="O2009" s="332"/>
      <c r="P2009" s="332"/>
      <c r="Q2009" s="332"/>
      <c r="R2009" s="332"/>
      <c r="S2009" s="177"/>
      <c r="T2009" s="177"/>
      <c r="U2009" s="177"/>
      <c r="V2009" s="2866"/>
      <c r="W2009" s="909">
        <v>3.41</v>
      </c>
      <c r="X2009" s="909">
        <v>3.41</v>
      </c>
      <c r="Y2009" s="909">
        <v>3.41</v>
      </c>
      <c r="Z2009" s="909"/>
      <c r="AA2009" s="909"/>
      <c r="AB2009" s="909"/>
      <c r="AC2009" s="909"/>
      <c r="AD2009" s="909"/>
      <c r="AE2009" s="909"/>
      <c r="AF2009" s="909"/>
      <c r="AG2009" s="909"/>
      <c r="BB2009" s="784"/>
      <c r="BC2009" s="785"/>
      <c r="BD2009" s="900"/>
      <c r="BE2009" s="797"/>
    </row>
    <row r="2010" spans="1:57" s="65" customFormat="1" ht="15" hidden="1" customHeight="1" outlineLevel="1" x14ac:dyDescent="0.25">
      <c r="A2010" s="785"/>
      <c r="B2010" s="177"/>
      <c r="C2010" s="455"/>
      <c r="D2010" s="2806"/>
      <c r="E2010" s="2856"/>
      <c r="F2010" s="2908" t="str">
        <f>$E$1568</f>
        <v>ASHP - SEER 19 - replace electric furnace / CAC - early replacement MF ER1</v>
      </c>
      <c r="G2010" s="2909"/>
      <c r="H2010" s="2909"/>
      <c r="I2010" s="2910"/>
      <c r="J2010" s="1657" t="str">
        <f>$C$1568</f>
        <v>354450_2019_12_</v>
      </c>
      <c r="K2010" s="1663">
        <v>3.41</v>
      </c>
      <c r="L2010" s="1124"/>
      <c r="M2010" s="928" t="s">
        <v>1600</v>
      </c>
      <c r="N2010" s="177"/>
      <c r="O2010" s="332"/>
      <c r="P2010" s="332"/>
      <c r="Q2010" s="332"/>
      <c r="R2010" s="332"/>
      <c r="S2010" s="177"/>
      <c r="T2010" s="177"/>
      <c r="U2010" s="177"/>
      <c r="V2010" s="2866"/>
      <c r="W2010" s="909">
        <v>3.41</v>
      </c>
      <c r="X2010" s="909">
        <v>3.41</v>
      </c>
      <c r="Y2010" s="909">
        <v>3.41</v>
      </c>
      <c r="Z2010" s="909"/>
      <c r="AA2010" s="909"/>
      <c r="AB2010" s="909"/>
      <c r="AC2010" s="909"/>
      <c r="AD2010" s="909"/>
      <c r="AE2010" s="909"/>
      <c r="AF2010" s="909"/>
      <c r="AG2010" s="909"/>
      <c r="BB2010" s="784"/>
      <c r="BC2010" s="785"/>
      <c r="BD2010" s="900"/>
      <c r="BE2010" s="797"/>
    </row>
    <row r="2011" spans="1:57" s="65" customFormat="1" ht="15" hidden="1" customHeight="1" outlineLevel="1" x14ac:dyDescent="0.25">
      <c r="A2011" s="785"/>
      <c r="B2011" s="177"/>
      <c r="C2011" s="455"/>
      <c r="D2011" s="2806"/>
      <c r="E2011" s="2856"/>
      <c r="F2011" s="2908" t="str">
        <f>$E$1570</f>
        <v>ASHP - SEER 19 - replace electric furnace / CAC - early replacement MF ER2</v>
      </c>
      <c r="G2011" s="2909"/>
      <c r="H2011" s="2909"/>
      <c r="I2011" s="2910"/>
      <c r="J2011" s="1657" t="str">
        <f>$C$1570</f>
        <v>354450_2019_12_</v>
      </c>
      <c r="K2011" s="1663">
        <v>3.41</v>
      </c>
      <c r="L2011" s="1124"/>
      <c r="M2011" s="928" t="s">
        <v>1600</v>
      </c>
      <c r="N2011" s="177"/>
      <c r="O2011" s="332"/>
      <c r="P2011" s="332"/>
      <c r="Q2011" s="332"/>
      <c r="R2011" s="332"/>
      <c r="S2011" s="177"/>
      <c r="T2011" s="177"/>
      <c r="U2011" s="177"/>
      <c r="V2011" s="2866"/>
      <c r="W2011" s="909">
        <v>3.41</v>
      </c>
      <c r="X2011" s="909">
        <v>3.41</v>
      </c>
      <c r="Y2011" s="909">
        <v>3.41</v>
      </c>
      <c r="Z2011" s="909"/>
      <c r="AA2011" s="909"/>
      <c r="AB2011" s="909"/>
      <c r="AC2011" s="909"/>
      <c r="AD2011" s="909"/>
      <c r="AE2011" s="909"/>
      <c r="AF2011" s="909"/>
      <c r="AG2011" s="909"/>
      <c r="BB2011" s="784"/>
      <c r="BC2011" s="785"/>
      <c r="BD2011" s="900"/>
      <c r="BE2011" s="797"/>
    </row>
    <row r="2012" spans="1:57" s="65" customFormat="1" ht="15" hidden="1" customHeight="1" outlineLevel="1" x14ac:dyDescent="0.25">
      <c r="A2012" s="785"/>
      <c r="B2012" s="177"/>
      <c r="C2012" s="455"/>
      <c r="D2012" s="2806"/>
      <c r="E2012" s="2856"/>
      <c r="F2012" s="2908" t="str">
        <f>$E$1572</f>
        <v>ASHP - SEER 19 - replace electric furnace / CAC - early replacement MF ER1_CompE</v>
      </c>
      <c r="G2012" s="2909"/>
      <c r="H2012" s="2909"/>
      <c r="I2012" s="2910"/>
      <c r="J2012" s="1657" t="str">
        <f>$C$1572</f>
        <v>354451_2019_12_</v>
      </c>
      <c r="K2012" s="1663">
        <v>3.41</v>
      </c>
      <c r="L2012" s="1124"/>
      <c r="M2012" s="928" t="s">
        <v>1600</v>
      </c>
      <c r="N2012" s="177"/>
      <c r="O2012" s="332"/>
      <c r="P2012" s="332"/>
      <c r="Q2012" s="332"/>
      <c r="R2012" s="332"/>
      <c r="S2012" s="177"/>
      <c r="T2012" s="177"/>
      <c r="U2012" s="177"/>
      <c r="V2012" s="2866"/>
      <c r="W2012" s="909"/>
      <c r="X2012" s="909"/>
      <c r="Y2012" s="908">
        <v>3.41</v>
      </c>
      <c r="Z2012" s="909"/>
      <c r="AA2012" s="909"/>
      <c r="AB2012" s="909"/>
      <c r="AC2012" s="909"/>
      <c r="AD2012" s="909"/>
      <c r="AE2012" s="909"/>
      <c r="AF2012" s="909"/>
      <c r="AG2012" s="909"/>
      <c r="BB2012" s="784"/>
      <c r="BC2012" s="785"/>
      <c r="BD2012" s="900"/>
      <c r="BE2012" s="797"/>
    </row>
    <row r="2013" spans="1:57" s="65" customFormat="1" ht="15" hidden="1" customHeight="1" outlineLevel="1" x14ac:dyDescent="0.25">
      <c r="A2013" s="785"/>
      <c r="B2013" s="177"/>
      <c r="C2013" s="455"/>
      <c r="D2013" s="2806"/>
      <c r="E2013" s="2856"/>
      <c r="F2013" s="2908" t="str">
        <f>$E$1574</f>
        <v>ASHP - SEER 19 - replace electric furnace / CAC - early replacement MF ER2_CompE</v>
      </c>
      <c r="G2013" s="2909"/>
      <c r="H2013" s="2909"/>
      <c r="I2013" s="2910"/>
      <c r="J2013" s="1657" t="str">
        <f>$C$1574</f>
        <v>354451_2019_12_</v>
      </c>
      <c r="K2013" s="1663">
        <v>3.41</v>
      </c>
      <c r="L2013" s="1124"/>
      <c r="M2013" s="928" t="s">
        <v>1600</v>
      </c>
      <c r="N2013" s="177"/>
      <c r="O2013" s="332"/>
      <c r="P2013" s="332"/>
      <c r="Q2013" s="332"/>
      <c r="R2013" s="332"/>
      <c r="S2013" s="177"/>
      <c r="T2013" s="177"/>
      <c r="U2013" s="177"/>
      <c r="V2013" s="2866"/>
      <c r="W2013" s="909"/>
      <c r="X2013" s="909"/>
      <c r="Y2013" s="908">
        <v>3.41</v>
      </c>
      <c r="Z2013" s="909"/>
      <c r="AA2013" s="909"/>
      <c r="AB2013" s="909"/>
      <c r="AC2013" s="909"/>
      <c r="AD2013" s="909"/>
      <c r="AE2013" s="909"/>
      <c r="AF2013" s="909"/>
      <c r="AG2013" s="909"/>
      <c r="BB2013" s="784"/>
      <c r="BC2013" s="785"/>
      <c r="BD2013" s="900"/>
      <c r="BE2013" s="797"/>
    </row>
    <row r="2014" spans="1:57" s="65" customFormat="1" ht="15" hidden="1" customHeight="1" outlineLevel="1" x14ac:dyDescent="0.25">
      <c r="A2014" s="785"/>
      <c r="B2014" s="177"/>
      <c r="C2014" s="455"/>
      <c r="D2014" s="2806"/>
      <c r="E2014" s="2856"/>
      <c r="F2014" s="2908" t="str">
        <f>$E$1576</f>
        <v>ASHP SEER 19 replace ASHP - early replacement MF ER1</v>
      </c>
      <c r="G2014" s="2909"/>
      <c r="H2014" s="2909"/>
      <c r="I2014" s="2910"/>
      <c r="J2014" s="1657" t="str">
        <f>$C$1576</f>
        <v>354500_2019_12_</v>
      </c>
      <c r="K2014" s="1663">
        <v>6.58</v>
      </c>
      <c r="L2014" s="1124"/>
      <c r="M2014" s="928" t="s">
        <v>1600</v>
      </c>
      <c r="N2014" s="177"/>
      <c r="O2014" s="332"/>
      <c r="P2014" s="332"/>
      <c r="Q2014" s="332"/>
      <c r="R2014" s="332"/>
      <c r="S2014" s="177"/>
      <c r="T2014" s="177"/>
      <c r="U2014" s="177"/>
      <c r="V2014" s="2866"/>
      <c r="W2014" s="909">
        <v>5.44</v>
      </c>
      <c r="X2014" s="908">
        <v>6.58</v>
      </c>
      <c r="Y2014" s="909">
        <v>6.58</v>
      </c>
      <c r="Z2014" s="909"/>
      <c r="AA2014" s="909"/>
      <c r="AB2014" s="909"/>
      <c r="AC2014" s="909"/>
      <c r="AD2014" s="909"/>
      <c r="AE2014" s="909"/>
      <c r="AF2014" s="909"/>
      <c r="AG2014" s="909"/>
      <c r="BB2014" s="784"/>
      <c r="BC2014" s="785"/>
      <c r="BD2014" s="900"/>
      <c r="BE2014" s="797"/>
    </row>
    <row r="2015" spans="1:57" s="65" customFormat="1" ht="15" hidden="1" customHeight="1" outlineLevel="1" x14ac:dyDescent="0.25">
      <c r="A2015" s="785"/>
      <c r="B2015" s="177"/>
      <c r="C2015" s="455"/>
      <c r="D2015" s="2806"/>
      <c r="E2015" s="2856"/>
      <c r="F2015" s="2908" t="str">
        <f>$E$1578</f>
        <v>ASHP SEER 19 replace ASHP - early replacement MF ER2</v>
      </c>
      <c r="G2015" s="2909"/>
      <c r="H2015" s="2909"/>
      <c r="I2015" s="2910"/>
      <c r="J2015" s="1657" t="str">
        <f>$C$1578</f>
        <v>354500_2019_12_</v>
      </c>
      <c r="K2015" s="1663">
        <v>8.1999999999999993</v>
      </c>
      <c r="L2015" s="1124"/>
      <c r="M2015" s="928" t="s">
        <v>1600</v>
      </c>
      <c r="N2015" s="177"/>
      <c r="O2015" s="332"/>
      <c r="P2015" s="332"/>
      <c r="Q2015" s="332"/>
      <c r="R2015" s="332"/>
      <c r="S2015" s="177"/>
      <c r="T2015" s="177"/>
      <c r="U2015" s="177"/>
      <c r="V2015" s="2866"/>
      <c r="W2015" s="909">
        <v>8.1999999999999993</v>
      </c>
      <c r="X2015" s="909">
        <v>8.1999999999999993</v>
      </c>
      <c r="Y2015" s="909">
        <v>8.1999999999999993</v>
      </c>
      <c r="Z2015" s="909"/>
      <c r="AA2015" s="909"/>
      <c r="AB2015" s="909"/>
      <c r="AC2015" s="909"/>
      <c r="AD2015" s="909"/>
      <c r="AE2015" s="909"/>
      <c r="AF2015" s="909"/>
      <c r="AG2015" s="909"/>
      <c r="BB2015" s="784"/>
      <c r="BC2015" s="785"/>
      <c r="BD2015" s="900"/>
      <c r="BE2015" s="797"/>
    </row>
    <row r="2016" spans="1:57" s="65" customFormat="1" ht="15" hidden="1" customHeight="1" outlineLevel="1" x14ac:dyDescent="0.25">
      <c r="A2016" s="785"/>
      <c r="B2016" s="177"/>
      <c r="C2016" s="455"/>
      <c r="D2016" s="2806"/>
      <c r="E2016" s="2856"/>
      <c r="F2016" s="2908" t="str">
        <f>$E$1580</f>
        <v>ASHP SEER 19 replace ASHP - early replacement MF ER1_CompE</v>
      </c>
      <c r="G2016" s="2909"/>
      <c r="H2016" s="2909"/>
      <c r="I2016" s="2910"/>
      <c r="J2016" s="1657" t="str">
        <f>$C$1580</f>
        <v>354501_2019_12_</v>
      </c>
      <c r="K2016" s="1663">
        <v>6.58</v>
      </c>
      <c r="L2016" s="1124"/>
      <c r="M2016" s="928" t="s">
        <v>1600</v>
      </c>
      <c r="N2016" s="177"/>
      <c r="O2016" s="332"/>
      <c r="P2016" s="332"/>
      <c r="Q2016" s="332"/>
      <c r="R2016" s="332"/>
      <c r="S2016" s="177"/>
      <c r="T2016" s="177"/>
      <c r="U2016" s="177"/>
      <c r="V2016" s="2866"/>
      <c r="W2016" s="909"/>
      <c r="X2016" s="909"/>
      <c r="Y2016" s="908">
        <v>6.58</v>
      </c>
      <c r="Z2016" s="909"/>
      <c r="AA2016" s="909"/>
      <c r="AB2016" s="909"/>
      <c r="AC2016" s="909"/>
      <c r="AD2016" s="909"/>
      <c r="AE2016" s="909"/>
      <c r="AF2016" s="909"/>
      <c r="AG2016" s="909"/>
      <c r="BB2016" s="784"/>
      <c r="BC2016" s="785"/>
      <c r="BD2016" s="900"/>
      <c r="BE2016" s="797"/>
    </row>
    <row r="2017" spans="1:57" s="65" customFormat="1" ht="15" hidden="1" customHeight="1" outlineLevel="1" x14ac:dyDescent="0.25">
      <c r="A2017" s="785"/>
      <c r="B2017" s="177"/>
      <c r="C2017" s="455"/>
      <c r="D2017" s="2806"/>
      <c r="E2017" s="2856"/>
      <c r="F2017" s="2908" t="str">
        <f>$E$1582</f>
        <v>ASHP SEER 19 replace ASHP - early replacement MF ER2_CompE</v>
      </c>
      <c r="G2017" s="2909"/>
      <c r="H2017" s="2909"/>
      <c r="I2017" s="2910"/>
      <c r="J2017" s="1657" t="str">
        <f>$C$1582</f>
        <v>354501_2019_12_</v>
      </c>
      <c r="K2017" s="1663">
        <v>8.1999999999999993</v>
      </c>
      <c r="L2017" s="1124"/>
      <c r="M2017" s="928" t="s">
        <v>1600</v>
      </c>
      <c r="N2017" s="177"/>
      <c r="O2017" s="332"/>
      <c r="P2017" s="332"/>
      <c r="Q2017" s="332"/>
      <c r="R2017" s="332"/>
      <c r="S2017" s="177"/>
      <c r="T2017" s="177"/>
      <c r="U2017" s="177"/>
      <c r="V2017" s="2866"/>
      <c r="W2017" s="909"/>
      <c r="X2017" s="909"/>
      <c r="Y2017" s="908">
        <v>8.1999999999999993</v>
      </c>
      <c r="Z2017" s="909"/>
      <c r="AA2017" s="909"/>
      <c r="AB2017" s="909"/>
      <c r="AC2017" s="909"/>
      <c r="AD2017" s="909"/>
      <c r="AE2017" s="909"/>
      <c r="AF2017" s="909"/>
      <c r="AG2017" s="909"/>
      <c r="BB2017" s="784"/>
      <c r="BC2017" s="785"/>
      <c r="BD2017" s="900"/>
      <c r="BE2017" s="797"/>
    </row>
    <row r="2018" spans="1:57" s="65" customFormat="1" ht="15" hidden="1" customHeight="1" outlineLevel="1" x14ac:dyDescent="0.25">
      <c r="A2018" s="785"/>
      <c r="B2018" s="177"/>
      <c r="C2018" s="455"/>
      <c r="D2018" s="2806"/>
      <c r="E2018" s="2856"/>
      <c r="F2018" s="2908" t="str">
        <f>$E$1584</f>
        <v>ASHP SEER 20 replace ASHP - early replacement SF ER1</v>
      </c>
      <c r="G2018" s="2909"/>
      <c r="H2018" s="2909"/>
      <c r="I2018" s="2910"/>
      <c r="J2018" s="1657" t="str">
        <f>$C$1584</f>
        <v>354550_2019_12_</v>
      </c>
      <c r="K2018" s="1663">
        <v>6.58</v>
      </c>
      <c r="L2018" s="1124"/>
      <c r="M2018" s="928" t="s">
        <v>1178</v>
      </c>
      <c r="N2018" s="177"/>
      <c r="O2018" s="332"/>
      <c r="P2018" s="332"/>
      <c r="Q2018" s="332"/>
      <c r="R2018" s="332"/>
      <c r="S2018" s="177"/>
      <c r="T2018" s="177"/>
      <c r="U2018" s="177"/>
      <c r="V2018" s="2866"/>
      <c r="W2018" s="909">
        <v>5.44</v>
      </c>
      <c r="X2018" s="908">
        <v>6.58</v>
      </c>
      <c r="Y2018" s="909">
        <v>6.58</v>
      </c>
      <c r="Z2018" s="909"/>
      <c r="AA2018" s="909"/>
      <c r="AB2018" s="909"/>
      <c r="AC2018" s="909"/>
      <c r="AD2018" s="909"/>
      <c r="AE2018" s="909"/>
      <c r="AF2018" s="909"/>
      <c r="AG2018" s="909"/>
      <c r="BB2018" s="784"/>
      <c r="BC2018" s="785"/>
      <c r="BD2018" s="900"/>
      <c r="BE2018" s="797"/>
    </row>
    <row r="2019" spans="1:57" s="65" customFormat="1" ht="15" hidden="1" customHeight="1" outlineLevel="1" x14ac:dyDescent="0.25">
      <c r="A2019" s="785"/>
      <c r="B2019" s="177"/>
      <c r="C2019" s="455"/>
      <c r="D2019" s="2806"/>
      <c r="E2019" s="2856"/>
      <c r="F2019" s="2908" t="str">
        <f>$E$1586</f>
        <v>ASHP SEER 20 replace ASHP - early replacement SF ER2</v>
      </c>
      <c r="G2019" s="2909"/>
      <c r="H2019" s="2909"/>
      <c r="I2019" s="2910"/>
      <c r="J2019" s="1657" t="str">
        <f>$C$1586</f>
        <v>354550_2019_12_</v>
      </c>
      <c r="K2019" s="1663">
        <v>8.1999999999999993</v>
      </c>
      <c r="L2019" s="1124"/>
      <c r="M2019" s="928" t="s">
        <v>1178</v>
      </c>
      <c r="N2019" s="177"/>
      <c r="O2019" s="332"/>
      <c r="P2019" s="332"/>
      <c r="Q2019" s="332"/>
      <c r="R2019" s="332"/>
      <c r="S2019" s="177"/>
      <c r="T2019" s="177"/>
      <c r="U2019" s="177"/>
      <c r="V2019" s="2866"/>
      <c r="W2019" s="909">
        <v>8.1999999999999993</v>
      </c>
      <c r="X2019" s="909">
        <v>8.1999999999999993</v>
      </c>
      <c r="Y2019" s="909">
        <v>8.1999999999999993</v>
      </c>
      <c r="Z2019" s="909"/>
      <c r="AA2019" s="909"/>
      <c r="AB2019" s="909"/>
      <c r="AC2019" s="909"/>
      <c r="AD2019" s="909"/>
      <c r="AE2019" s="909"/>
      <c r="AF2019" s="909"/>
      <c r="AG2019" s="909"/>
      <c r="BB2019" s="784"/>
      <c r="BC2019" s="785"/>
      <c r="BD2019" s="900"/>
      <c r="BE2019" s="797"/>
    </row>
    <row r="2020" spans="1:57" s="65" customFormat="1" ht="15" hidden="1" customHeight="1" outlineLevel="1" x14ac:dyDescent="0.25">
      <c r="A2020" s="785"/>
      <c r="B2020" s="177"/>
      <c r="C2020" s="455"/>
      <c r="D2020" s="2806"/>
      <c r="E2020" s="2856"/>
      <c r="F2020" s="2908" t="str">
        <f>$E$1588</f>
        <v>ASHP SEER 20 replace ASHP - replace on fail SF</v>
      </c>
      <c r="G2020" s="2909"/>
      <c r="H2020" s="2909"/>
      <c r="I2020" s="2910"/>
      <c r="J2020" s="1657" t="str">
        <f>$C$1588</f>
        <v>354600_2019_12_</v>
      </c>
      <c r="K2020" s="1663">
        <v>8.1999999999999993</v>
      </c>
      <c r="L2020" s="1124"/>
      <c r="M2020" s="928" t="s">
        <v>1178</v>
      </c>
      <c r="N2020" s="177"/>
      <c r="O2020" s="332"/>
      <c r="P2020" s="332"/>
      <c r="Q2020" s="332"/>
      <c r="R2020" s="332"/>
      <c r="S2020" s="177"/>
      <c r="T2020" s="177"/>
      <c r="U2020" s="177"/>
      <c r="V2020" s="2866"/>
      <c r="W2020" s="909">
        <v>8.1999999999999993</v>
      </c>
      <c r="X2020" s="909">
        <v>8.1999999999999993</v>
      </c>
      <c r="Y2020" s="909">
        <v>8.1999999999999993</v>
      </c>
      <c r="Z2020" s="909"/>
      <c r="AA2020" s="909"/>
      <c r="AB2020" s="909"/>
      <c r="AC2020" s="909"/>
      <c r="AD2020" s="909"/>
      <c r="AE2020" s="909"/>
      <c r="AF2020" s="909"/>
      <c r="AG2020" s="909"/>
      <c r="BB2020" s="784"/>
      <c r="BC2020" s="785"/>
      <c r="BD2020" s="900"/>
      <c r="BE2020" s="797"/>
    </row>
    <row r="2021" spans="1:57" s="65" customFormat="1" ht="15" hidden="1" customHeight="1" outlineLevel="1" x14ac:dyDescent="0.25">
      <c r="A2021" s="785"/>
      <c r="B2021" s="177"/>
      <c r="C2021" s="455"/>
      <c r="D2021" s="2806"/>
      <c r="E2021" s="2856"/>
      <c r="F2021" s="2908" t="str">
        <f>$E$1590</f>
        <v>ASHP - SEER 20 - replace electric furnace / CAC - early replacement MF ER1</v>
      </c>
      <c r="G2021" s="2909"/>
      <c r="H2021" s="2909"/>
      <c r="I2021" s="2910"/>
      <c r="J2021" s="1657" t="str">
        <f>$C$1590</f>
        <v>354650_2019_12_</v>
      </c>
      <c r="K2021" s="1663">
        <v>3.41</v>
      </c>
      <c r="L2021" s="1124"/>
      <c r="M2021" s="928" t="s">
        <v>1600</v>
      </c>
      <c r="N2021" s="177"/>
      <c r="O2021" s="332"/>
      <c r="P2021" s="332"/>
      <c r="Q2021" s="332"/>
      <c r="R2021" s="332"/>
      <c r="S2021" s="177"/>
      <c r="T2021" s="177"/>
      <c r="U2021" s="177"/>
      <c r="V2021" s="2866"/>
      <c r="W2021" s="909">
        <v>3.41</v>
      </c>
      <c r="X2021" s="909">
        <v>3.41</v>
      </c>
      <c r="Y2021" s="909">
        <v>3.41</v>
      </c>
      <c r="Z2021" s="909"/>
      <c r="AA2021" s="909"/>
      <c r="AB2021" s="909"/>
      <c r="AC2021" s="909"/>
      <c r="AD2021" s="909"/>
      <c r="AE2021" s="909"/>
      <c r="AF2021" s="909"/>
      <c r="AG2021" s="909"/>
      <c r="BB2021" s="784"/>
      <c r="BC2021" s="785"/>
      <c r="BD2021" s="900"/>
      <c r="BE2021" s="797"/>
    </row>
    <row r="2022" spans="1:57" s="65" customFormat="1" ht="15" hidden="1" customHeight="1" outlineLevel="1" x14ac:dyDescent="0.25">
      <c r="A2022" s="785"/>
      <c r="B2022" s="177"/>
      <c r="C2022" s="455"/>
      <c r="D2022" s="2806"/>
      <c r="E2022" s="2856"/>
      <c r="F2022" s="2908" t="str">
        <f>$E$1592</f>
        <v>ASHP - SEER 20 - replace electric furnace / CAC - early replacement MF ER2</v>
      </c>
      <c r="G2022" s="2909"/>
      <c r="H2022" s="2909"/>
      <c r="I2022" s="2910"/>
      <c r="J2022" s="1657" t="str">
        <f>$C$1592</f>
        <v>354650_2019_12_</v>
      </c>
      <c r="K2022" s="1663">
        <v>3.41</v>
      </c>
      <c r="L2022" s="1124"/>
      <c r="M2022" s="928" t="s">
        <v>1600</v>
      </c>
      <c r="N2022" s="177"/>
      <c r="O2022" s="332"/>
      <c r="P2022" s="332"/>
      <c r="Q2022" s="332"/>
      <c r="R2022" s="332"/>
      <c r="S2022" s="177"/>
      <c r="T2022" s="177"/>
      <c r="U2022" s="177"/>
      <c r="V2022" s="2866"/>
      <c r="W2022" s="909">
        <v>3.41</v>
      </c>
      <c r="X2022" s="909">
        <v>3.41</v>
      </c>
      <c r="Y2022" s="909">
        <v>3.41</v>
      </c>
      <c r="Z2022" s="909"/>
      <c r="AA2022" s="909"/>
      <c r="AB2022" s="909"/>
      <c r="AC2022" s="909"/>
      <c r="AD2022" s="909"/>
      <c r="AE2022" s="909"/>
      <c r="AF2022" s="909"/>
      <c r="AG2022" s="909"/>
      <c r="BB2022" s="784"/>
      <c r="BC2022" s="785"/>
      <c r="BD2022" s="900"/>
      <c r="BE2022" s="797"/>
    </row>
    <row r="2023" spans="1:57" s="65" customFormat="1" ht="15" hidden="1" customHeight="1" outlineLevel="1" x14ac:dyDescent="0.25">
      <c r="A2023" s="785"/>
      <c r="B2023" s="177"/>
      <c r="C2023" s="455"/>
      <c r="D2023" s="2806"/>
      <c r="E2023" s="2856"/>
      <c r="F2023" s="2908" t="str">
        <f>$E$1594</f>
        <v>ASHP - SEER 20 - replace electric furnace / CAC - early replacement MF ER1_CompE</v>
      </c>
      <c r="G2023" s="2909"/>
      <c r="H2023" s="2909"/>
      <c r="I2023" s="2910"/>
      <c r="J2023" s="1657" t="str">
        <f>$C$1594</f>
        <v>354651_2019_12_</v>
      </c>
      <c r="K2023" s="1663">
        <v>3.41</v>
      </c>
      <c r="L2023" s="1124"/>
      <c r="M2023" s="928" t="s">
        <v>1600</v>
      </c>
      <c r="N2023" s="177"/>
      <c r="O2023" s="332"/>
      <c r="P2023" s="332"/>
      <c r="Q2023" s="332"/>
      <c r="R2023" s="332"/>
      <c r="S2023" s="177"/>
      <c r="T2023" s="177"/>
      <c r="U2023" s="177"/>
      <c r="V2023" s="2866"/>
      <c r="W2023" s="909"/>
      <c r="X2023" s="909"/>
      <c r="Y2023" s="908">
        <v>3.41</v>
      </c>
      <c r="Z2023" s="909"/>
      <c r="AA2023" s="909"/>
      <c r="AB2023" s="909"/>
      <c r="AC2023" s="909"/>
      <c r="AD2023" s="909"/>
      <c r="AE2023" s="909"/>
      <c r="AF2023" s="909"/>
      <c r="AG2023" s="909"/>
      <c r="BB2023" s="784"/>
      <c r="BC2023" s="785"/>
      <c r="BD2023" s="900"/>
      <c r="BE2023" s="797"/>
    </row>
    <row r="2024" spans="1:57" s="65" customFormat="1" ht="15" hidden="1" customHeight="1" outlineLevel="1" x14ac:dyDescent="0.25">
      <c r="A2024" s="785"/>
      <c r="B2024" s="177"/>
      <c r="C2024" s="455"/>
      <c r="D2024" s="2806"/>
      <c r="E2024" s="2856"/>
      <c r="F2024" s="2908" t="str">
        <f>$E$1596</f>
        <v>ASHP - SEER 20 - replace electric furnace / CAC - early replacement MF ER2_CompE</v>
      </c>
      <c r="G2024" s="2909"/>
      <c r="H2024" s="2909"/>
      <c r="I2024" s="2910"/>
      <c r="J2024" s="1657" t="str">
        <f>$C$1596</f>
        <v>354651_2019_12_</v>
      </c>
      <c r="K2024" s="1663">
        <v>3.41</v>
      </c>
      <c r="L2024" s="1124"/>
      <c r="M2024" s="928" t="s">
        <v>1600</v>
      </c>
      <c r="N2024" s="177"/>
      <c r="O2024" s="332"/>
      <c r="P2024" s="332"/>
      <c r="Q2024" s="332"/>
      <c r="R2024" s="332"/>
      <c r="S2024" s="177"/>
      <c r="T2024" s="177"/>
      <c r="U2024" s="177"/>
      <c r="V2024" s="2866"/>
      <c r="W2024" s="909"/>
      <c r="X2024" s="909"/>
      <c r="Y2024" s="908">
        <v>3.41</v>
      </c>
      <c r="Z2024" s="909"/>
      <c r="AA2024" s="909"/>
      <c r="AB2024" s="909"/>
      <c r="AC2024" s="909"/>
      <c r="AD2024" s="909"/>
      <c r="AE2024" s="909"/>
      <c r="AF2024" s="909"/>
      <c r="AG2024" s="909"/>
      <c r="BB2024" s="784"/>
      <c r="BC2024" s="785"/>
      <c r="BD2024" s="900"/>
      <c r="BE2024" s="797"/>
    </row>
    <row r="2025" spans="1:57" s="65" customFormat="1" ht="15" hidden="1" customHeight="1" outlineLevel="1" x14ac:dyDescent="0.25">
      <c r="A2025" s="785"/>
      <c r="B2025" s="177"/>
      <c r="C2025" s="455"/>
      <c r="D2025" s="2806"/>
      <c r="E2025" s="2856"/>
      <c r="F2025" s="2908" t="str">
        <f>$E$1598</f>
        <v>ASHP SEER 20 replace ASHP - early replacement MF ER1</v>
      </c>
      <c r="G2025" s="2909"/>
      <c r="H2025" s="2909"/>
      <c r="I2025" s="2910"/>
      <c r="J2025" s="1657" t="str">
        <f>$C$1598</f>
        <v>354700_2019_12_</v>
      </c>
      <c r="K2025" s="1663">
        <v>6.58</v>
      </c>
      <c r="L2025" s="1124"/>
      <c r="M2025" s="928" t="s">
        <v>1600</v>
      </c>
      <c r="N2025" s="177"/>
      <c r="O2025" s="332"/>
      <c r="P2025" s="332"/>
      <c r="Q2025" s="332"/>
      <c r="R2025" s="332"/>
      <c r="S2025" s="177"/>
      <c r="T2025" s="177"/>
      <c r="U2025" s="177"/>
      <c r="V2025" s="2866"/>
      <c r="W2025" s="909">
        <v>5.44</v>
      </c>
      <c r="X2025" s="908">
        <v>6.58</v>
      </c>
      <c r="Y2025" s="909">
        <v>6.58</v>
      </c>
      <c r="Z2025" s="909"/>
      <c r="AA2025" s="909"/>
      <c r="AB2025" s="909"/>
      <c r="AC2025" s="909"/>
      <c r="AD2025" s="909"/>
      <c r="AE2025" s="909"/>
      <c r="AF2025" s="909"/>
      <c r="AG2025" s="909"/>
      <c r="BB2025" s="784"/>
      <c r="BC2025" s="785"/>
      <c r="BD2025" s="900"/>
      <c r="BE2025" s="797"/>
    </row>
    <row r="2026" spans="1:57" s="65" customFormat="1" ht="15" hidden="1" customHeight="1" outlineLevel="1" x14ac:dyDescent="0.25">
      <c r="A2026" s="785"/>
      <c r="B2026" s="177"/>
      <c r="C2026" s="455"/>
      <c r="D2026" s="2806"/>
      <c r="E2026" s="2856"/>
      <c r="F2026" s="2908" t="str">
        <f>$E$1600</f>
        <v>ASHP SEER 20 replace ASHP - early replacement MF ER2</v>
      </c>
      <c r="G2026" s="2909"/>
      <c r="H2026" s="2909"/>
      <c r="I2026" s="2910"/>
      <c r="J2026" s="1657" t="str">
        <f>$C$1600</f>
        <v>354700_2019_12_</v>
      </c>
      <c r="K2026" s="1663">
        <v>8.1999999999999993</v>
      </c>
      <c r="L2026" s="1124"/>
      <c r="M2026" s="928" t="s">
        <v>1600</v>
      </c>
      <c r="N2026" s="177"/>
      <c r="O2026" s="332"/>
      <c r="P2026" s="332"/>
      <c r="Q2026" s="332"/>
      <c r="R2026" s="332"/>
      <c r="S2026" s="177"/>
      <c r="T2026" s="177"/>
      <c r="U2026" s="177"/>
      <c r="V2026" s="2866"/>
      <c r="W2026" s="909">
        <v>8.1999999999999993</v>
      </c>
      <c r="X2026" s="909">
        <v>8.1999999999999993</v>
      </c>
      <c r="Y2026" s="909">
        <v>8.1999999999999993</v>
      </c>
      <c r="Z2026" s="909"/>
      <c r="AA2026" s="909"/>
      <c r="AB2026" s="909"/>
      <c r="AC2026" s="909"/>
      <c r="AD2026" s="909"/>
      <c r="AE2026" s="909"/>
      <c r="AF2026" s="909"/>
      <c r="AG2026" s="909"/>
      <c r="BB2026" s="784"/>
      <c r="BC2026" s="785"/>
      <c r="BD2026" s="900"/>
      <c r="BE2026" s="797"/>
    </row>
    <row r="2027" spans="1:57" s="65" customFormat="1" ht="15" hidden="1" customHeight="1" outlineLevel="1" x14ac:dyDescent="0.25">
      <c r="A2027" s="785"/>
      <c r="B2027" s="177"/>
      <c r="C2027" s="455"/>
      <c r="D2027" s="2806"/>
      <c r="E2027" s="2856"/>
      <c r="F2027" s="2908" t="str">
        <f>$E$1602</f>
        <v>ASHP SEER 20 replace ASHP - early replacement MF ER1_CompE</v>
      </c>
      <c r="G2027" s="2909"/>
      <c r="H2027" s="2909"/>
      <c r="I2027" s="2910"/>
      <c r="J2027" s="1657" t="str">
        <f>$C$1602</f>
        <v>354701_2019_12_</v>
      </c>
      <c r="K2027" s="1663">
        <v>6.58</v>
      </c>
      <c r="L2027" s="1124"/>
      <c r="M2027" s="928" t="s">
        <v>1600</v>
      </c>
      <c r="N2027" s="177"/>
      <c r="O2027" s="332"/>
      <c r="P2027" s="332"/>
      <c r="Q2027" s="332"/>
      <c r="R2027" s="332"/>
      <c r="S2027" s="177"/>
      <c r="T2027" s="177"/>
      <c r="U2027" s="177"/>
      <c r="V2027" s="2866"/>
      <c r="W2027" s="909"/>
      <c r="X2027" s="909"/>
      <c r="Y2027" s="908">
        <v>6.58</v>
      </c>
      <c r="Z2027" s="909"/>
      <c r="AA2027" s="909"/>
      <c r="AB2027" s="909"/>
      <c r="AC2027" s="909"/>
      <c r="AD2027" s="909"/>
      <c r="AE2027" s="909"/>
      <c r="AF2027" s="909"/>
      <c r="AG2027" s="909"/>
      <c r="BB2027" s="784"/>
      <c r="BC2027" s="785"/>
      <c r="BD2027" s="900"/>
      <c r="BE2027" s="797"/>
    </row>
    <row r="2028" spans="1:57" s="65" customFormat="1" ht="15" hidden="1" customHeight="1" outlineLevel="1" x14ac:dyDescent="0.25">
      <c r="A2028" s="785"/>
      <c r="B2028" s="177"/>
      <c r="C2028" s="455"/>
      <c r="D2028" s="2806"/>
      <c r="E2028" s="2856"/>
      <c r="F2028" s="2908" t="str">
        <f>$E$1604</f>
        <v>ASHP SEER 20 replace ASHP - early replacement MF ER2_CompE</v>
      </c>
      <c r="G2028" s="2909"/>
      <c r="H2028" s="2909"/>
      <c r="I2028" s="2910"/>
      <c r="J2028" s="1657" t="str">
        <f>$C$1604</f>
        <v>354701_2019_12_</v>
      </c>
      <c r="K2028" s="1663">
        <v>8.1999999999999993</v>
      </c>
      <c r="L2028" s="1124"/>
      <c r="M2028" s="928" t="s">
        <v>1600</v>
      </c>
      <c r="N2028" s="177"/>
      <c r="O2028" s="332"/>
      <c r="P2028" s="332"/>
      <c r="Q2028" s="332"/>
      <c r="R2028" s="332"/>
      <c r="S2028" s="177"/>
      <c r="T2028" s="177"/>
      <c r="U2028" s="177"/>
      <c r="V2028" s="2866"/>
      <c r="W2028" s="909"/>
      <c r="X2028" s="909"/>
      <c r="Y2028" s="908">
        <v>8.1999999999999993</v>
      </c>
      <c r="Z2028" s="909"/>
      <c r="AA2028" s="909"/>
      <c r="AB2028" s="909"/>
      <c r="AC2028" s="909"/>
      <c r="AD2028" s="909"/>
      <c r="AE2028" s="909"/>
      <c r="AF2028" s="909"/>
      <c r="AG2028" s="909"/>
      <c r="BB2028" s="784"/>
      <c r="BC2028" s="785"/>
      <c r="BD2028" s="900"/>
      <c r="BE2028" s="797"/>
    </row>
    <row r="2029" spans="1:57" s="65" customFormat="1" ht="15" hidden="1" customHeight="1" outlineLevel="1" x14ac:dyDescent="0.25">
      <c r="A2029" s="785"/>
      <c r="B2029" s="177"/>
      <c r="C2029" s="455"/>
      <c r="D2029" s="2806"/>
      <c r="E2029" s="2856"/>
      <c r="F2029" s="2908" t="str">
        <f>$E$1606</f>
        <v>ASHP SEER 21 replace ASHP - early replacement SF ER1</v>
      </c>
      <c r="G2029" s="2909"/>
      <c r="H2029" s="2909"/>
      <c r="I2029" s="2910"/>
      <c r="J2029" s="1657" t="str">
        <f>$C$1606</f>
        <v>354750_2019_12_</v>
      </c>
      <c r="K2029" s="1663">
        <v>6.58</v>
      </c>
      <c r="L2029" s="1124"/>
      <c r="M2029" s="928" t="s">
        <v>1178</v>
      </c>
      <c r="N2029" s="177"/>
      <c r="O2029" s="332"/>
      <c r="P2029" s="332"/>
      <c r="Q2029" s="332"/>
      <c r="R2029" s="332"/>
      <c r="S2029" s="177"/>
      <c r="T2029" s="177"/>
      <c r="U2029" s="177"/>
      <c r="V2029" s="2866"/>
      <c r="W2029" s="909">
        <v>5.44</v>
      </c>
      <c r="X2029" s="908">
        <v>6.58</v>
      </c>
      <c r="Y2029" s="909">
        <v>6.58</v>
      </c>
      <c r="Z2029" s="909"/>
      <c r="AA2029" s="909"/>
      <c r="AB2029" s="909"/>
      <c r="AC2029" s="909"/>
      <c r="AD2029" s="909"/>
      <c r="AE2029" s="909"/>
      <c r="AF2029" s="909"/>
      <c r="AG2029" s="909"/>
      <c r="BB2029" s="784"/>
      <c r="BC2029" s="785"/>
      <c r="BD2029" s="900"/>
      <c r="BE2029" s="797"/>
    </row>
    <row r="2030" spans="1:57" s="65" customFormat="1" ht="15" hidden="1" customHeight="1" outlineLevel="1" x14ac:dyDescent="0.25">
      <c r="A2030" s="785"/>
      <c r="B2030" s="177"/>
      <c r="C2030" s="455"/>
      <c r="D2030" s="2806"/>
      <c r="E2030" s="2856"/>
      <c r="F2030" s="2908" t="str">
        <f>$E$1608</f>
        <v>ASHP SEER 21 replace ASHP - early replacement SF ER2</v>
      </c>
      <c r="G2030" s="2909"/>
      <c r="H2030" s="2909"/>
      <c r="I2030" s="2910"/>
      <c r="J2030" s="1657" t="str">
        <f>$C$1608</f>
        <v>354750_2019_12_</v>
      </c>
      <c r="K2030" s="1663">
        <v>8.1999999999999993</v>
      </c>
      <c r="L2030" s="1124"/>
      <c r="M2030" s="928" t="s">
        <v>1178</v>
      </c>
      <c r="N2030" s="177"/>
      <c r="O2030" s="332"/>
      <c r="P2030" s="332"/>
      <c r="Q2030" s="332"/>
      <c r="R2030" s="332"/>
      <c r="S2030" s="177"/>
      <c r="T2030" s="177"/>
      <c r="U2030" s="177"/>
      <c r="V2030" s="2866"/>
      <c r="W2030" s="909">
        <v>8.1999999999999993</v>
      </c>
      <c r="X2030" s="909">
        <v>8.1999999999999993</v>
      </c>
      <c r="Y2030" s="909">
        <v>8.1999999999999993</v>
      </c>
      <c r="Z2030" s="909"/>
      <c r="AA2030" s="909"/>
      <c r="AB2030" s="909"/>
      <c r="AC2030" s="909"/>
      <c r="AD2030" s="909"/>
      <c r="AE2030" s="909"/>
      <c r="AF2030" s="909"/>
      <c r="AG2030" s="909"/>
      <c r="BB2030" s="784"/>
      <c r="BC2030" s="785"/>
      <c r="BD2030" s="900"/>
      <c r="BE2030" s="797"/>
    </row>
    <row r="2031" spans="1:57" s="65" customFormat="1" ht="15" hidden="1" customHeight="1" outlineLevel="1" x14ac:dyDescent="0.25">
      <c r="A2031" s="785"/>
      <c r="B2031" s="177"/>
      <c r="C2031" s="455"/>
      <c r="D2031" s="2806"/>
      <c r="E2031" s="2856"/>
      <c r="F2031" s="2908" t="str">
        <f>$E$1610</f>
        <v>ASHP SEER 21 replace ASHP - replace on fail SF</v>
      </c>
      <c r="G2031" s="2909"/>
      <c r="H2031" s="2909"/>
      <c r="I2031" s="2910"/>
      <c r="J2031" s="1657" t="str">
        <f>$C$1610</f>
        <v>354800_2019_12_</v>
      </c>
      <c r="K2031" s="1663">
        <v>8.1999999999999993</v>
      </c>
      <c r="L2031" s="1124"/>
      <c r="M2031" s="928" t="s">
        <v>1178</v>
      </c>
      <c r="N2031" s="177"/>
      <c r="O2031" s="332"/>
      <c r="P2031" s="332"/>
      <c r="Q2031" s="332"/>
      <c r="R2031" s="332"/>
      <c r="S2031" s="177"/>
      <c r="T2031" s="177"/>
      <c r="U2031" s="177"/>
      <c r="V2031" s="2866"/>
      <c r="W2031" s="909">
        <v>8.1999999999999993</v>
      </c>
      <c r="X2031" s="909">
        <v>8.1999999999999993</v>
      </c>
      <c r="Y2031" s="909">
        <v>8.1999999999999993</v>
      </c>
      <c r="Z2031" s="909"/>
      <c r="AA2031" s="909"/>
      <c r="AB2031" s="909"/>
      <c r="AC2031" s="909"/>
      <c r="AD2031" s="909"/>
      <c r="AE2031" s="909"/>
      <c r="AF2031" s="909"/>
      <c r="AG2031" s="909"/>
      <c r="BB2031" s="784"/>
      <c r="BC2031" s="785"/>
      <c r="BD2031" s="900"/>
      <c r="BE2031" s="797"/>
    </row>
    <row r="2032" spans="1:57" s="65" customFormat="1" ht="15" hidden="1" customHeight="1" outlineLevel="1" x14ac:dyDescent="0.25">
      <c r="A2032" s="785"/>
      <c r="B2032" s="177"/>
      <c r="C2032" s="455"/>
      <c r="D2032" s="2806"/>
      <c r="E2032" s="2856"/>
      <c r="F2032" s="2908" t="str">
        <f>$E$1612</f>
        <v>ASHP - SEER 21 - replace electric furnace / CAC MF</v>
      </c>
      <c r="G2032" s="2909"/>
      <c r="H2032" s="2909"/>
      <c r="I2032" s="2910"/>
      <c r="J2032" s="1657" t="str">
        <f>$C$1612</f>
        <v>354850_2019_12_</v>
      </c>
      <c r="K2032" s="1663">
        <v>3.41</v>
      </c>
      <c r="L2032" s="1124"/>
      <c r="M2032" s="928" t="s">
        <v>1600</v>
      </c>
      <c r="N2032" s="177"/>
      <c r="O2032" s="332"/>
      <c r="P2032" s="332"/>
      <c r="Q2032" s="332"/>
      <c r="R2032" s="332"/>
      <c r="S2032" s="177"/>
      <c r="T2032" s="177"/>
      <c r="U2032" s="177"/>
      <c r="V2032" s="2866"/>
      <c r="W2032" s="909">
        <v>3.41</v>
      </c>
      <c r="X2032" s="909">
        <v>3.41</v>
      </c>
      <c r="Y2032" s="909">
        <v>3.41</v>
      </c>
      <c r="Z2032" s="909"/>
      <c r="AA2032" s="909"/>
      <c r="AB2032" s="909"/>
      <c r="AC2032" s="909"/>
      <c r="AD2032" s="909"/>
      <c r="AE2032" s="909"/>
      <c r="AF2032" s="909"/>
      <c r="AG2032" s="909"/>
      <c r="BB2032" s="784"/>
      <c r="BC2032" s="785"/>
      <c r="BD2032" s="900"/>
      <c r="BE2032" s="797"/>
    </row>
    <row r="2033" spans="1:57" s="65" customFormat="1" ht="15" hidden="1" customHeight="1" outlineLevel="1" x14ac:dyDescent="0.25">
      <c r="A2033" s="785"/>
      <c r="B2033" s="177"/>
      <c r="C2033" s="455"/>
      <c r="D2033" s="2806"/>
      <c r="E2033" s="2856"/>
      <c r="F2033" s="2908" t="str">
        <f>$E$1614</f>
        <v>ASHP - SEER 21 - replace electric furnace / CAC MF_CompE</v>
      </c>
      <c r="G2033" s="2909"/>
      <c r="H2033" s="2909"/>
      <c r="I2033" s="2910"/>
      <c r="J2033" s="1657" t="str">
        <f>$C$1614</f>
        <v>354851_2019_12_</v>
      </c>
      <c r="K2033" s="1663">
        <v>3.41</v>
      </c>
      <c r="L2033" s="1124"/>
      <c r="M2033" s="928" t="s">
        <v>1600</v>
      </c>
      <c r="N2033" s="177"/>
      <c r="O2033" s="332"/>
      <c r="P2033" s="332"/>
      <c r="Q2033" s="332"/>
      <c r="R2033" s="332"/>
      <c r="S2033" s="177"/>
      <c r="T2033" s="177"/>
      <c r="U2033" s="177"/>
      <c r="V2033" s="2866"/>
      <c r="W2033" s="909"/>
      <c r="X2033" s="909"/>
      <c r="Y2033" s="908">
        <v>3.41</v>
      </c>
      <c r="Z2033" s="909"/>
      <c r="AA2033" s="909"/>
      <c r="AB2033" s="909"/>
      <c r="AC2033" s="909"/>
      <c r="AD2033" s="909"/>
      <c r="AE2033" s="909"/>
      <c r="AF2033" s="909"/>
      <c r="AG2033" s="909"/>
      <c r="BB2033" s="784"/>
      <c r="BC2033" s="785"/>
      <c r="BD2033" s="900"/>
      <c r="BE2033" s="797"/>
    </row>
    <row r="2034" spans="1:57" s="65" customFormat="1" ht="15" hidden="1" customHeight="1" outlineLevel="1" x14ac:dyDescent="0.25">
      <c r="A2034" s="785"/>
      <c r="B2034" s="177"/>
      <c r="C2034" s="455"/>
      <c r="D2034" s="2806"/>
      <c r="E2034" s="2856"/>
      <c r="F2034" s="2908" t="str">
        <f>$E$1616</f>
        <v>ASHP SEER 21 replace ASHP - early replacement MF ER1</v>
      </c>
      <c r="G2034" s="2909"/>
      <c r="H2034" s="2909"/>
      <c r="I2034" s="2910"/>
      <c r="J2034" s="1657" t="str">
        <f>$C$1616</f>
        <v>354900_2019_12_</v>
      </c>
      <c r="K2034" s="1663">
        <v>6.58</v>
      </c>
      <c r="L2034" s="1124"/>
      <c r="M2034" s="928" t="s">
        <v>1600</v>
      </c>
      <c r="N2034" s="177"/>
      <c r="O2034" s="332"/>
      <c r="P2034" s="332"/>
      <c r="Q2034" s="332"/>
      <c r="R2034" s="332"/>
      <c r="S2034" s="177"/>
      <c r="T2034" s="177"/>
      <c r="U2034" s="177"/>
      <c r="V2034" s="2866"/>
      <c r="W2034" s="909">
        <v>5.44</v>
      </c>
      <c r="X2034" s="908">
        <v>6.58</v>
      </c>
      <c r="Y2034" s="909">
        <v>6.58</v>
      </c>
      <c r="Z2034" s="909"/>
      <c r="AA2034" s="909"/>
      <c r="AB2034" s="909"/>
      <c r="AC2034" s="909"/>
      <c r="AD2034" s="909"/>
      <c r="AE2034" s="909"/>
      <c r="AF2034" s="909"/>
      <c r="AG2034" s="909"/>
      <c r="BB2034" s="784"/>
      <c r="BC2034" s="785"/>
      <c r="BD2034" s="900"/>
      <c r="BE2034" s="797"/>
    </row>
    <row r="2035" spans="1:57" s="65" customFormat="1" ht="15" hidden="1" customHeight="1" outlineLevel="1" x14ac:dyDescent="0.25">
      <c r="A2035" s="785"/>
      <c r="B2035" s="177"/>
      <c r="C2035" s="455"/>
      <c r="D2035" s="2806"/>
      <c r="E2035" s="2856"/>
      <c r="F2035" s="2908" t="str">
        <f>$E$1618</f>
        <v>ASHP SEER 21 replace ASHP - early replacement MF ER2</v>
      </c>
      <c r="G2035" s="2909"/>
      <c r="H2035" s="2909"/>
      <c r="I2035" s="2910"/>
      <c r="J2035" s="1657" t="str">
        <f>$C$1618</f>
        <v>354900_2019_12_</v>
      </c>
      <c r="K2035" s="1663">
        <v>8.1999999999999993</v>
      </c>
      <c r="L2035" s="1124"/>
      <c r="M2035" s="928" t="s">
        <v>1600</v>
      </c>
      <c r="N2035" s="177"/>
      <c r="O2035" s="332"/>
      <c r="P2035" s="332"/>
      <c r="Q2035" s="332"/>
      <c r="R2035" s="332"/>
      <c r="S2035" s="177"/>
      <c r="T2035" s="177"/>
      <c r="U2035" s="177"/>
      <c r="V2035" s="2866"/>
      <c r="W2035" s="909">
        <v>8.1999999999999993</v>
      </c>
      <c r="X2035" s="909">
        <v>8.1999999999999993</v>
      </c>
      <c r="Y2035" s="909">
        <v>8.1999999999999993</v>
      </c>
      <c r="Z2035" s="909"/>
      <c r="AA2035" s="909"/>
      <c r="AB2035" s="909"/>
      <c r="AC2035" s="909"/>
      <c r="AD2035" s="909"/>
      <c r="AE2035" s="909"/>
      <c r="AF2035" s="909"/>
      <c r="AG2035" s="909"/>
      <c r="BB2035" s="784"/>
      <c r="BC2035" s="785"/>
      <c r="BD2035" s="900"/>
      <c r="BE2035" s="797"/>
    </row>
    <row r="2036" spans="1:57" s="65" customFormat="1" ht="15" hidden="1" customHeight="1" outlineLevel="1" x14ac:dyDescent="0.25">
      <c r="A2036" s="785"/>
      <c r="B2036" s="177"/>
      <c r="C2036" s="455"/>
      <c r="D2036" s="2806"/>
      <c r="E2036" s="2856"/>
      <c r="F2036" s="2908" t="str">
        <f>$E$1620</f>
        <v>ASHP SEER 21 replace ASHP - early replacement MF ER1_CompE</v>
      </c>
      <c r="G2036" s="2909"/>
      <c r="H2036" s="2909"/>
      <c r="I2036" s="2910"/>
      <c r="J2036" s="1657" t="str">
        <f>$C$1620</f>
        <v>354901_2019_12_</v>
      </c>
      <c r="K2036" s="1663">
        <v>6.58</v>
      </c>
      <c r="L2036" s="1124"/>
      <c r="M2036" s="928" t="s">
        <v>1600</v>
      </c>
      <c r="N2036" s="177"/>
      <c r="O2036" s="332"/>
      <c r="P2036" s="332"/>
      <c r="Q2036" s="332"/>
      <c r="R2036" s="332"/>
      <c r="S2036" s="177"/>
      <c r="T2036" s="177"/>
      <c r="U2036" s="177"/>
      <c r="V2036" s="2866"/>
      <c r="W2036" s="909"/>
      <c r="X2036" s="909"/>
      <c r="Y2036" s="908">
        <v>6.58</v>
      </c>
      <c r="Z2036" s="909"/>
      <c r="AA2036" s="909"/>
      <c r="AB2036" s="909"/>
      <c r="AC2036" s="909"/>
      <c r="AD2036" s="909"/>
      <c r="AE2036" s="909"/>
      <c r="AF2036" s="909"/>
      <c r="AG2036" s="909"/>
      <c r="BB2036" s="784"/>
      <c r="BC2036" s="785"/>
      <c r="BD2036" s="900"/>
      <c r="BE2036" s="797"/>
    </row>
    <row r="2037" spans="1:57" s="65" customFormat="1" ht="15" hidden="1" customHeight="1" outlineLevel="1" x14ac:dyDescent="0.25">
      <c r="A2037" s="785"/>
      <c r="B2037" s="177"/>
      <c r="C2037" s="455"/>
      <c r="D2037" s="2806"/>
      <c r="E2037" s="2856"/>
      <c r="F2037" s="2908" t="str">
        <f>$E$1622</f>
        <v>ASHP SEER 21 replace ASHP - early replacement MF ER2_CompE</v>
      </c>
      <c r="G2037" s="2909"/>
      <c r="H2037" s="2909"/>
      <c r="I2037" s="2910"/>
      <c r="J2037" s="1657" t="str">
        <f>$C$1622</f>
        <v>354901_2019_12_</v>
      </c>
      <c r="K2037" s="1663">
        <v>8.1999999999999993</v>
      </c>
      <c r="L2037" s="1124"/>
      <c r="M2037" s="928" t="s">
        <v>1600</v>
      </c>
      <c r="N2037" s="177"/>
      <c r="O2037" s="332"/>
      <c r="P2037" s="332"/>
      <c r="Q2037" s="332"/>
      <c r="R2037" s="332"/>
      <c r="S2037" s="177"/>
      <c r="T2037" s="177"/>
      <c r="U2037" s="177"/>
      <c r="V2037" s="2866"/>
      <c r="W2037" s="909"/>
      <c r="X2037" s="909"/>
      <c r="Y2037" s="908">
        <v>8.1999999999999993</v>
      </c>
      <c r="Z2037" s="909"/>
      <c r="AA2037" s="909"/>
      <c r="AB2037" s="909"/>
      <c r="AC2037" s="909"/>
      <c r="AD2037" s="909"/>
      <c r="AE2037" s="909"/>
      <c r="AF2037" s="909"/>
      <c r="AG2037" s="909"/>
      <c r="BB2037" s="784"/>
      <c r="BC2037" s="785"/>
      <c r="BD2037" s="900"/>
      <c r="BE2037" s="797"/>
    </row>
    <row r="2038" spans="1:57" s="65" customFormat="1" ht="15" hidden="1" customHeight="1" outlineLevel="1" x14ac:dyDescent="0.25">
      <c r="A2038" s="718"/>
      <c r="B2038" s="177"/>
      <c r="C2038" s="455"/>
      <c r="D2038" s="2806"/>
      <c r="E2038" s="2856"/>
      <c r="F2038" s="2908" t="str">
        <f>$E$1624</f>
        <v>ASHP - SEER 17 - replace on fail MF</v>
      </c>
      <c r="G2038" s="2909"/>
      <c r="H2038" s="2909"/>
      <c r="I2038" s="2910"/>
      <c r="J2038" s="1657" t="str">
        <f>$C$1624</f>
        <v>354950_2019_12_</v>
      </c>
      <c r="K2038" s="1663">
        <v>8.1999999999999993</v>
      </c>
      <c r="L2038" s="1124"/>
      <c r="M2038" s="928" t="s">
        <v>1600</v>
      </c>
      <c r="N2038" s="177"/>
      <c r="O2038" s="332"/>
      <c r="P2038" s="1116"/>
      <c r="Q2038" s="1117"/>
      <c r="R2038" s="1116"/>
      <c r="S2038" s="1103"/>
      <c r="T2038" s="1639"/>
      <c r="U2038" s="177"/>
      <c r="V2038" s="2866"/>
      <c r="W2038" s="909">
        <v>8.1999999999999993</v>
      </c>
      <c r="X2038" s="909">
        <v>8.1999999999999993</v>
      </c>
      <c r="Y2038" s="909">
        <v>8.1999999999999993</v>
      </c>
      <c r="Z2038" s="909"/>
      <c r="AA2038" s="909"/>
      <c r="AB2038" s="909"/>
      <c r="AC2038" s="909"/>
      <c r="AD2038" s="909"/>
      <c r="AE2038" s="909"/>
      <c r="AF2038" s="909"/>
      <c r="AG2038" s="909"/>
      <c r="BB2038" s="784"/>
      <c r="BC2038" s="785"/>
      <c r="BD2038" s="900"/>
      <c r="BE2038" s="797"/>
    </row>
    <row r="2039" spans="1:57" s="65" customFormat="1" ht="15" hidden="1" customHeight="1" outlineLevel="1" x14ac:dyDescent="0.25">
      <c r="A2039" s="718"/>
      <c r="B2039" s="177"/>
      <c r="C2039" s="455"/>
      <c r="D2039" s="2806"/>
      <c r="E2039" s="2856"/>
      <c r="F2039" s="2908" t="str">
        <f>$E$1626</f>
        <v>ASHP - SEER 17 - replace on fail MF_CompE</v>
      </c>
      <c r="G2039" s="2909"/>
      <c r="H2039" s="2909"/>
      <c r="I2039" s="2910"/>
      <c r="J2039" s="1657" t="str">
        <f>$C$1626</f>
        <v>354951_2019_12_</v>
      </c>
      <c r="K2039" s="1663">
        <v>8.1999999999999993</v>
      </c>
      <c r="L2039" s="1124"/>
      <c r="M2039" s="928" t="s">
        <v>1600</v>
      </c>
      <c r="N2039" s="177"/>
      <c r="O2039" s="332"/>
      <c r="P2039" s="1116"/>
      <c r="Q2039" s="1117"/>
      <c r="R2039" s="1116"/>
      <c r="S2039" s="1103"/>
      <c r="T2039" s="1639"/>
      <c r="U2039" s="177"/>
      <c r="V2039" s="2866"/>
      <c r="W2039" s="909"/>
      <c r="X2039" s="909"/>
      <c r="Y2039" s="908">
        <v>8.1999999999999993</v>
      </c>
      <c r="Z2039" s="909"/>
      <c r="AA2039" s="909"/>
      <c r="AB2039" s="909"/>
      <c r="AC2039" s="909"/>
      <c r="AD2039" s="909"/>
      <c r="AE2039" s="909"/>
      <c r="AF2039" s="909"/>
      <c r="AG2039" s="909"/>
      <c r="BB2039" s="784"/>
      <c r="BC2039" s="785"/>
      <c r="BD2039" s="900"/>
      <c r="BE2039" s="797"/>
    </row>
    <row r="2040" spans="1:57" s="65" customFormat="1" ht="15" hidden="1" customHeight="1" outlineLevel="1" x14ac:dyDescent="0.25">
      <c r="A2040" s="718"/>
      <c r="B2040" s="177"/>
      <c r="C2040" s="455"/>
      <c r="D2040" s="2806"/>
      <c r="E2040" s="2856"/>
      <c r="F2040" s="2908" t="str">
        <f>$E$1628</f>
        <v>ASHP - SEER 18 - replace on fail MF</v>
      </c>
      <c r="G2040" s="2909"/>
      <c r="H2040" s="2909"/>
      <c r="I2040" s="2910"/>
      <c r="J2040" s="1657" t="str">
        <f>$C$1628</f>
        <v>355000_2019_12_</v>
      </c>
      <c r="K2040" s="1663">
        <v>8.1999999999999993</v>
      </c>
      <c r="L2040" s="1124"/>
      <c r="M2040" s="928" t="s">
        <v>1600</v>
      </c>
      <c r="N2040" s="177"/>
      <c r="O2040" s="332"/>
      <c r="P2040" s="1116"/>
      <c r="Q2040" s="1117"/>
      <c r="R2040" s="1116"/>
      <c r="S2040" s="1103"/>
      <c r="T2040" s="1639"/>
      <c r="U2040" s="177"/>
      <c r="V2040" s="2866"/>
      <c r="W2040" s="909">
        <v>8.1999999999999993</v>
      </c>
      <c r="X2040" s="909">
        <v>8.1999999999999993</v>
      </c>
      <c r="Y2040" s="909">
        <v>8.1999999999999993</v>
      </c>
      <c r="Z2040" s="909"/>
      <c r="AA2040" s="909"/>
      <c r="AB2040" s="909"/>
      <c r="AC2040" s="909"/>
      <c r="AD2040" s="909"/>
      <c r="AE2040" s="909"/>
      <c r="AF2040" s="909"/>
      <c r="AG2040" s="909"/>
      <c r="BB2040" s="784"/>
      <c r="BC2040" s="785"/>
      <c r="BD2040" s="900"/>
      <c r="BE2040" s="797"/>
    </row>
    <row r="2041" spans="1:57" s="65" customFormat="1" ht="15" hidden="1" customHeight="1" outlineLevel="1" x14ac:dyDescent="0.25">
      <c r="A2041" s="718"/>
      <c r="B2041" s="177"/>
      <c r="C2041" s="455"/>
      <c r="D2041" s="2806"/>
      <c r="E2041" s="2856"/>
      <c r="F2041" s="2908" t="str">
        <f>$E$1630</f>
        <v>ASHP - SEER 18 - replace on fail MF_CompE</v>
      </c>
      <c r="G2041" s="2909"/>
      <c r="H2041" s="2909"/>
      <c r="I2041" s="2910"/>
      <c r="J2041" s="1657" t="str">
        <f>$C$1630</f>
        <v>355001_2019_12_</v>
      </c>
      <c r="K2041" s="1663">
        <v>8.1999999999999993</v>
      </c>
      <c r="L2041" s="1124"/>
      <c r="M2041" s="928" t="s">
        <v>1600</v>
      </c>
      <c r="N2041" s="177"/>
      <c r="O2041" s="332"/>
      <c r="P2041" s="1116"/>
      <c r="Q2041" s="1117"/>
      <c r="R2041" s="1116"/>
      <c r="S2041" s="1103"/>
      <c r="T2041" s="1639"/>
      <c r="U2041" s="177"/>
      <c r="V2041" s="2866"/>
      <c r="W2041" s="909"/>
      <c r="X2041" s="909"/>
      <c r="Y2041" s="908">
        <v>8.1999999999999993</v>
      </c>
      <c r="Z2041" s="909"/>
      <c r="AA2041" s="909"/>
      <c r="AB2041" s="909"/>
      <c r="AC2041" s="909"/>
      <c r="AD2041" s="909"/>
      <c r="AE2041" s="909"/>
      <c r="AF2041" s="909"/>
      <c r="AG2041" s="909"/>
      <c r="BB2041" s="784"/>
      <c r="BC2041" s="785"/>
      <c r="BD2041" s="900"/>
      <c r="BE2041" s="797"/>
    </row>
    <row r="2042" spans="1:57" s="65" customFormat="1" ht="15" hidden="1" customHeight="1" outlineLevel="1" x14ac:dyDescent="0.25">
      <c r="A2042" s="785"/>
      <c r="B2042" s="177"/>
      <c r="C2042" s="455"/>
      <c r="D2042" s="2806"/>
      <c r="E2042" s="2856"/>
      <c r="F2042" s="2908" t="str">
        <f>$E$1632</f>
        <v>ASHP - SEER 19 - replace on fail MF</v>
      </c>
      <c r="G2042" s="2909"/>
      <c r="H2042" s="2909"/>
      <c r="I2042" s="2910"/>
      <c r="J2042" s="1657" t="str">
        <f>$C$1632</f>
        <v>355050_2019_12_</v>
      </c>
      <c r="K2042" s="1663">
        <v>8.1999999999999993</v>
      </c>
      <c r="L2042" s="1124"/>
      <c r="M2042" s="928" t="s">
        <v>1600</v>
      </c>
      <c r="N2042" s="177"/>
      <c r="O2042" s="332"/>
      <c r="P2042" s="332"/>
      <c r="Q2042" s="332"/>
      <c r="R2042" s="332"/>
      <c r="S2042" s="177"/>
      <c r="T2042" s="177"/>
      <c r="U2042" s="177"/>
      <c r="V2042" s="2866"/>
      <c r="W2042" s="909">
        <v>8.1999999999999993</v>
      </c>
      <c r="X2042" s="909">
        <v>8.1999999999999993</v>
      </c>
      <c r="Y2042" s="909">
        <v>8.1999999999999993</v>
      </c>
      <c r="Z2042" s="909"/>
      <c r="AA2042" s="909"/>
      <c r="AB2042" s="909"/>
      <c r="AC2042" s="909"/>
      <c r="AD2042" s="909"/>
      <c r="AE2042" s="909"/>
      <c r="AF2042" s="909"/>
      <c r="AG2042" s="909"/>
      <c r="BB2042" s="784"/>
      <c r="BC2042" s="785"/>
      <c r="BD2042" s="900"/>
      <c r="BE2042" s="797"/>
    </row>
    <row r="2043" spans="1:57" s="65" customFormat="1" ht="15" hidden="1" customHeight="1" outlineLevel="1" x14ac:dyDescent="0.25">
      <c r="A2043" s="785"/>
      <c r="B2043" s="177"/>
      <c r="C2043" s="455"/>
      <c r="D2043" s="2806"/>
      <c r="E2043" s="2856"/>
      <c r="F2043" s="2908" t="str">
        <f>$E$1634</f>
        <v>ASHP - SEER 19 - replace on fail MF_CompE</v>
      </c>
      <c r="G2043" s="2909"/>
      <c r="H2043" s="2909"/>
      <c r="I2043" s="2910"/>
      <c r="J2043" s="1657" t="str">
        <f>$C$1634</f>
        <v>355051_2019_12_</v>
      </c>
      <c r="K2043" s="1663">
        <v>8.1999999999999993</v>
      </c>
      <c r="L2043" s="1124"/>
      <c r="M2043" s="928" t="s">
        <v>1600</v>
      </c>
      <c r="N2043" s="177"/>
      <c r="O2043" s="332"/>
      <c r="P2043" s="332"/>
      <c r="Q2043" s="332"/>
      <c r="R2043" s="332"/>
      <c r="S2043" s="177"/>
      <c r="T2043" s="177"/>
      <c r="U2043" s="177"/>
      <c r="V2043" s="2866"/>
      <c r="W2043" s="909"/>
      <c r="X2043" s="909"/>
      <c r="Y2043" s="908">
        <v>8.1999999999999993</v>
      </c>
      <c r="Z2043" s="909"/>
      <c r="AA2043" s="909"/>
      <c r="AB2043" s="909"/>
      <c r="AC2043" s="909"/>
      <c r="AD2043" s="909"/>
      <c r="AE2043" s="909"/>
      <c r="AF2043" s="909"/>
      <c r="AG2043" s="909"/>
      <c r="BB2043" s="784"/>
      <c r="BC2043" s="785"/>
      <c r="BD2043" s="900"/>
      <c r="BE2043" s="797"/>
    </row>
    <row r="2044" spans="1:57" s="65" customFormat="1" ht="15" hidden="1" customHeight="1" outlineLevel="1" x14ac:dyDescent="0.25">
      <c r="A2044" s="785"/>
      <c r="B2044" s="177"/>
      <c r="C2044" s="455"/>
      <c r="D2044" s="2806"/>
      <c r="E2044" s="2856"/>
      <c r="F2044" s="2908" t="str">
        <f>$E$1636</f>
        <v>ASHP - SEER 20 - replace on fail MF</v>
      </c>
      <c r="G2044" s="2909"/>
      <c r="H2044" s="2909"/>
      <c r="I2044" s="2910"/>
      <c r="J2044" s="1657" t="str">
        <f>$C$1636</f>
        <v>355100_2019_12_</v>
      </c>
      <c r="K2044" s="1663">
        <v>8.1999999999999993</v>
      </c>
      <c r="L2044" s="1124"/>
      <c r="M2044" s="928" t="s">
        <v>1600</v>
      </c>
      <c r="N2044" s="177"/>
      <c r="O2044" s="332"/>
      <c r="P2044" s="332"/>
      <c r="Q2044" s="332"/>
      <c r="R2044" s="332"/>
      <c r="S2044" s="177"/>
      <c r="T2044" s="177"/>
      <c r="U2044" s="177"/>
      <c r="V2044" s="2866"/>
      <c r="W2044" s="909">
        <v>8.1999999999999993</v>
      </c>
      <c r="X2044" s="909">
        <v>8.1999999999999993</v>
      </c>
      <c r="Y2044" s="909">
        <v>8.1999999999999993</v>
      </c>
      <c r="Z2044" s="909"/>
      <c r="AA2044" s="909"/>
      <c r="AB2044" s="909"/>
      <c r="AC2044" s="909"/>
      <c r="AD2044" s="909"/>
      <c r="AE2044" s="909"/>
      <c r="AF2044" s="909"/>
      <c r="AG2044" s="909"/>
      <c r="BB2044" s="784"/>
      <c r="BC2044" s="785"/>
      <c r="BD2044" s="900"/>
      <c r="BE2044" s="797"/>
    </row>
    <row r="2045" spans="1:57" s="65" customFormat="1" ht="15" hidden="1" customHeight="1" outlineLevel="1" x14ac:dyDescent="0.25">
      <c r="A2045" s="785"/>
      <c r="B2045" s="177"/>
      <c r="C2045" s="455"/>
      <c r="D2045" s="2806"/>
      <c r="E2045" s="2856"/>
      <c r="F2045" s="2908" t="str">
        <f>$E$1638</f>
        <v>ASHP - SEER 20 - replace on fail MF_CompE</v>
      </c>
      <c r="G2045" s="2909"/>
      <c r="H2045" s="2909"/>
      <c r="I2045" s="2910"/>
      <c r="J2045" s="1657" t="str">
        <f>$C$1638</f>
        <v>355101_2019_12_</v>
      </c>
      <c r="K2045" s="1663">
        <v>8.1999999999999993</v>
      </c>
      <c r="L2045" s="1125"/>
      <c r="M2045" s="928" t="s">
        <v>1600</v>
      </c>
      <c r="N2045" s="177"/>
      <c r="O2045" s="332"/>
      <c r="P2045" s="332"/>
      <c r="Q2045" s="332"/>
      <c r="R2045" s="332"/>
      <c r="S2045" s="177"/>
      <c r="T2045" s="177"/>
      <c r="U2045" s="177"/>
      <c r="V2045" s="2866"/>
      <c r="W2045" s="921"/>
      <c r="X2045" s="921"/>
      <c r="Y2045" s="908">
        <v>8.1999999999999993</v>
      </c>
      <c r="Z2045" s="921"/>
      <c r="AA2045" s="909"/>
      <c r="AB2045" s="921"/>
      <c r="AC2045" s="921"/>
      <c r="AD2045" s="921"/>
      <c r="AE2045" s="921"/>
      <c r="AF2045" s="921"/>
      <c r="AG2045" s="921"/>
      <c r="BB2045" s="784"/>
      <c r="BC2045" s="785"/>
      <c r="BD2045" s="900"/>
      <c r="BE2045" s="797"/>
    </row>
    <row r="2046" spans="1:57" s="65" customFormat="1" ht="15.75" hidden="1" customHeight="1" outlineLevel="1" x14ac:dyDescent="0.25">
      <c r="A2046" s="718"/>
      <c r="B2046" s="177"/>
      <c r="C2046" s="455"/>
      <c r="D2046" s="2806"/>
      <c r="E2046" s="2856"/>
      <c r="F2046" s="2908" t="str">
        <f>$E$1640</f>
        <v>ASHP - SEER 21 - replace on fail MF</v>
      </c>
      <c r="G2046" s="2909"/>
      <c r="H2046" s="2909"/>
      <c r="I2046" s="2910"/>
      <c r="J2046" s="1657" t="str">
        <f>$C$1640</f>
        <v>355150_2019_12_</v>
      </c>
      <c r="K2046" s="1663">
        <v>8.1999999999999993</v>
      </c>
      <c r="L2046" s="1124"/>
      <c r="M2046" s="928" t="s">
        <v>1600</v>
      </c>
      <c r="N2046" s="177"/>
      <c r="O2046" s="332"/>
      <c r="P2046" s="1116"/>
      <c r="Q2046" s="1117"/>
      <c r="R2046" s="1116"/>
      <c r="S2046" s="1103"/>
      <c r="T2046" s="1639"/>
      <c r="U2046" s="177"/>
      <c r="V2046" s="2866"/>
      <c r="W2046" s="909">
        <v>8.1999999999999993</v>
      </c>
      <c r="X2046" s="909">
        <v>8.1999999999999993</v>
      </c>
      <c r="Y2046" s="909">
        <v>8.1999999999999993</v>
      </c>
      <c r="Z2046" s="909"/>
      <c r="AA2046" s="909"/>
      <c r="AB2046" s="909"/>
      <c r="AC2046" s="909"/>
      <c r="AD2046" s="909"/>
      <c r="AE2046" s="909"/>
      <c r="AF2046" s="909"/>
      <c r="AG2046" s="909"/>
      <c r="BB2046" s="784"/>
      <c r="BC2046" s="785"/>
      <c r="BD2046" s="900"/>
      <c r="BE2046" s="797"/>
    </row>
    <row r="2047" spans="1:57" s="65" customFormat="1" ht="15.75" hidden="1" customHeight="1" outlineLevel="1" thickBot="1" x14ac:dyDescent="0.3">
      <c r="A2047" s="718"/>
      <c r="B2047" s="177"/>
      <c r="C2047" s="455"/>
      <c r="D2047" s="2808"/>
      <c r="E2047" s="2858"/>
      <c r="F2047" s="2100" t="str">
        <f>$E$1642</f>
        <v>ASHP - SEER 21 - replace on fail MF_CompE</v>
      </c>
      <c r="G2047" s="1119"/>
      <c r="H2047" s="1119"/>
      <c r="I2047" s="1120"/>
      <c r="J2047" s="2100" t="str">
        <f>$C$1642</f>
        <v>355151_2019_12_</v>
      </c>
      <c r="K2047" s="1128">
        <v>8.1999999999999993</v>
      </c>
      <c r="L2047" s="1127"/>
      <c r="M2047" s="2102" t="s">
        <v>1178</v>
      </c>
      <c r="N2047" s="177"/>
      <c r="O2047" s="332"/>
      <c r="P2047" s="1116"/>
      <c r="Q2047" s="1117"/>
      <c r="R2047" s="1116"/>
      <c r="S2047" s="1103"/>
      <c r="T2047" s="1639"/>
      <c r="U2047" s="177"/>
      <c r="V2047" s="2848"/>
      <c r="W2047" s="924"/>
      <c r="X2047" s="924"/>
      <c r="Y2047" s="1126">
        <v>8.1999999999999993</v>
      </c>
      <c r="Z2047" s="924"/>
      <c r="AA2047" s="1128"/>
      <c r="AB2047" s="924"/>
      <c r="AC2047" s="924"/>
      <c r="AD2047" s="924"/>
      <c r="AE2047" s="924"/>
      <c r="AF2047" s="924"/>
      <c r="AG2047" s="924"/>
      <c r="BB2047" s="784"/>
      <c r="BC2047" s="785"/>
      <c r="BD2047" s="900"/>
      <c r="BE2047" s="797"/>
    </row>
    <row r="2048" spans="1:57" s="65" customFormat="1" ht="15" hidden="1" customHeight="1" outlineLevel="1" x14ac:dyDescent="0.25">
      <c r="A2048" s="718"/>
      <c r="B2048" s="177"/>
      <c r="C2048" s="455"/>
      <c r="D2048" s="2805" t="s">
        <v>1387</v>
      </c>
      <c r="E2048" s="2855" t="s">
        <v>1601</v>
      </c>
      <c r="F2048" s="2905" t="str">
        <f>$E$1388</f>
        <v>ASHP - SEER 15 ER Elec Resist Furnace: HVAC ER1</v>
      </c>
      <c r="G2048" s="2905"/>
      <c r="H2048" s="2905"/>
      <c r="I2048" s="2905"/>
      <c r="J2048" s="1656" t="str">
        <f>$C$1388</f>
        <v>352300_2019_12_</v>
      </c>
      <c r="K2048" s="1667">
        <v>8.67</v>
      </c>
      <c r="L2048" s="1008"/>
      <c r="M2048" s="2103" t="s">
        <v>1280</v>
      </c>
      <c r="N2048" s="177"/>
      <c r="O2048" s="332"/>
      <c r="P2048" s="1116"/>
      <c r="Q2048" s="1116"/>
      <c r="R2048" s="1116"/>
      <c r="S2048" s="1103"/>
      <c r="T2048" s="1639"/>
      <c r="U2048" s="177"/>
      <c r="V2048" s="2867" t="s">
        <v>1387</v>
      </c>
      <c r="W2048" s="903">
        <v>8.6999999999999993</v>
      </c>
      <c r="X2048" s="902">
        <v>8.69</v>
      </c>
      <c r="Y2048" s="902">
        <v>8.67</v>
      </c>
      <c r="Z2048" s="903"/>
      <c r="AA2048" s="903"/>
      <c r="AB2048" s="903"/>
      <c r="AC2048" s="903"/>
      <c r="AD2048" s="903"/>
      <c r="AE2048" s="903"/>
      <c r="AF2048" s="903"/>
      <c r="AG2048" s="903"/>
      <c r="BB2048" s="784"/>
      <c r="BC2048" s="785"/>
      <c r="BD2048" s="900"/>
      <c r="BE2048" s="797"/>
    </row>
    <row r="2049" spans="1:57" s="65" customFormat="1" ht="15" hidden="1" customHeight="1" outlineLevel="1" x14ac:dyDescent="0.25">
      <c r="A2049" s="718"/>
      <c r="B2049" s="177"/>
      <c r="C2049" s="455"/>
      <c r="D2049" s="2806"/>
      <c r="E2049" s="2856"/>
      <c r="F2049" s="2908" t="str">
        <f>$E$1390</f>
        <v>ASHP - SEER 15 ER Elec Resist Furnace: HVAC ER2</v>
      </c>
      <c r="G2049" s="2909"/>
      <c r="H2049" s="2909"/>
      <c r="I2049" s="2910"/>
      <c r="J2049" s="1657" t="str">
        <f>$C$1390</f>
        <v>352300_2019_12_</v>
      </c>
      <c r="K2049" s="1663">
        <v>8.67</v>
      </c>
      <c r="L2049" s="1123"/>
      <c r="M2049" s="2104" t="s">
        <v>1280</v>
      </c>
      <c r="N2049" s="177"/>
      <c r="O2049" s="332"/>
      <c r="P2049" s="1116"/>
      <c r="Q2049" s="1116"/>
      <c r="R2049" s="1116"/>
      <c r="S2049" s="1103"/>
      <c r="T2049" s="1639"/>
      <c r="U2049" s="177"/>
      <c r="V2049" s="2866"/>
      <c r="W2049" s="909">
        <v>8.6999999999999993</v>
      </c>
      <c r="X2049" s="908">
        <v>8.69</v>
      </c>
      <c r="Y2049" s="908">
        <v>8.67</v>
      </c>
      <c r="Z2049" s="909"/>
      <c r="AA2049" s="909"/>
      <c r="AB2049" s="909"/>
      <c r="AC2049" s="909"/>
      <c r="AD2049" s="909"/>
      <c r="AE2049" s="909"/>
      <c r="AF2049" s="909"/>
      <c r="AG2049" s="909"/>
      <c r="BB2049" s="784"/>
      <c r="BC2049" s="785"/>
      <c r="BD2049" s="900"/>
      <c r="BE2049" s="797"/>
    </row>
    <row r="2050" spans="1:57" s="65" customFormat="1" ht="15" hidden="1" customHeight="1" outlineLevel="1" x14ac:dyDescent="0.25">
      <c r="A2050" s="718"/>
      <c r="B2050" s="177"/>
      <c r="C2050" s="455"/>
      <c r="D2050" s="2806"/>
      <c r="E2050" s="2856"/>
      <c r="F2050" s="2908" t="str">
        <f>$E$1392</f>
        <v>ASHP - SEER 15 ER with ASHP: HVAC ER1</v>
      </c>
      <c r="G2050" s="2909"/>
      <c r="H2050" s="2909"/>
      <c r="I2050" s="2910"/>
      <c r="J2050" s="1657" t="str">
        <f>$C$1392</f>
        <v>352350_2019_12_</v>
      </c>
      <c r="K2050" s="1663">
        <v>8.75</v>
      </c>
      <c r="L2050" s="1123"/>
      <c r="M2050" s="2104" t="s">
        <v>1280</v>
      </c>
      <c r="N2050" s="177"/>
      <c r="O2050" s="332"/>
      <c r="P2050" s="1116"/>
      <c r="Q2050" s="1116"/>
      <c r="R2050" s="1116"/>
      <c r="S2050" s="1103"/>
      <c r="T2050" s="1639"/>
      <c r="U2050" s="177"/>
      <c r="V2050" s="2866"/>
      <c r="W2050" s="909">
        <v>8.6999999999999993</v>
      </c>
      <c r="X2050" s="908">
        <v>8.69</v>
      </c>
      <c r="Y2050" s="908">
        <v>8.75</v>
      </c>
      <c r="Z2050" s="909"/>
      <c r="AA2050" s="909"/>
      <c r="AB2050" s="909"/>
      <c r="AC2050" s="909"/>
      <c r="AD2050" s="909"/>
      <c r="AE2050" s="909"/>
      <c r="AF2050" s="909"/>
      <c r="AG2050" s="909"/>
      <c r="BB2050" s="784"/>
      <c r="BC2050" s="785"/>
      <c r="BD2050" s="900"/>
      <c r="BE2050" s="797"/>
    </row>
    <row r="2051" spans="1:57" s="65" customFormat="1" ht="15" hidden="1" customHeight="1" outlineLevel="1" x14ac:dyDescent="0.25">
      <c r="A2051" s="718"/>
      <c r="B2051" s="177"/>
      <c r="C2051" s="455"/>
      <c r="D2051" s="2806"/>
      <c r="E2051" s="2856"/>
      <c r="F2051" s="2908" t="str">
        <f>$E$1394</f>
        <v>ASHP - SEER 15 ER with ASHP: HVAC ER2</v>
      </c>
      <c r="G2051" s="2909"/>
      <c r="H2051" s="2909"/>
      <c r="I2051" s="2910"/>
      <c r="J2051" s="1657" t="str">
        <f>$C$1394</f>
        <v>352350_2019_12_</v>
      </c>
      <c r="K2051" s="1663">
        <v>8.75</v>
      </c>
      <c r="L2051" s="1123"/>
      <c r="M2051" s="2104" t="s">
        <v>1280</v>
      </c>
      <c r="N2051" s="177"/>
      <c r="O2051" s="332"/>
      <c r="P2051" s="1116"/>
      <c r="Q2051" s="1116"/>
      <c r="R2051" s="1116"/>
      <c r="S2051" s="1103"/>
      <c r="T2051" s="1639"/>
      <c r="U2051" s="177"/>
      <c r="V2051" s="2866"/>
      <c r="W2051" s="909">
        <v>8.6999999999999993</v>
      </c>
      <c r="X2051" s="908">
        <v>8.69</v>
      </c>
      <c r="Y2051" s="908">
        <v>8.75</v>
      </c>
      <c r="Z2051" s="909"/>
      <c r="AA2051" s="909"/>
      <c r="AB2051" s="909"/>
      <c r="AC2051" s="909"/>
      <c r="AD2051" s="909"/>
      <c r="AE2051" s="909"/>
      <c r="AF2051" s="909"/>
      <c r="AG2051" s="909"/>
      <c r="BB2051" s="784"/>
      <c r="BC2051" s="785"/>
      <c r="BD2051" s="900"/>
      <c r="BE2051" s="797"/>
    </row>
    <row r="2052" spans="1:57" s="65" customFormat="1" ht="15" hidden="1" customHeight="1" outlineLevel="1" x14ac:dyDescent="0.25">
      <c r="A2052" s="718"/>
      <c r="B2052" s="177"/>
      <c r="C2052" s="455"/>
      <c r="D2052" s="2806"/>
      <c r="E2052" s="2856"/>
      <c r="F2052" s="2908" t="str">
        <f>$E$1396</f>
        <v>ASHP-  SEER 15 Replace at Fail Elec Resist Furnace: HVAC</v>
      </c>
      <c r="G2052" s="2909"/>
      <c r="H2052" s="2909"/>
      <c r="I2052" s="2910"/>
      <c r="J2052" s="1657" t="str">
        <f>$C$1396</f>
        <v>352400_2019_12_</v>
      </c>
      <c r="K2052" s="1663">
        <v>8.66</v>
      </c>
      <c r="L2052" s="1124"/>
      <c r="M2052" s="2104" t="s">
        <v>1280</v>
      </c>
      <c r="N2052" s="177"/>
      <c r="O2052" s="332"/>
      <c r="P2052" s="1116"/>
      <c r="Q2052" s="1116"/>
      <c r="R2052" s="1116"/>
      <c r="S2052" s="1103"/>
      <c r="T2052" s="1639"/>
      <c r="U2052" s="177"/>
      <c r="V2052" s="2866"/>
      <c r="W2052" s="909">
        <v>8.6</v>
      </c>
      <c r="X2052" s="908">
        <v>8.69</v>
      </c>
      <c r="Y2052" s="908">
        <v>8.66</v>
      </c>
      <c r="Z2052" s="909"/>
      <c r="AA2052" s="909"/>
      <c r="AB2052" s="909"/>
      <c r="AC2052" s="909"/>
      <c r="AD2052" s="909"/>
      <c r="AE2052" s="909"/>
      <c r="AF2052" s="909"/>
      <c r="AG2052" s="909"/>
      <c r="BB2052" s="784"/>
      <c r="BC2052" s="785"/>
      <c r="BD2052" s="900"/>
      <c r="BE2052" s="797"/>
    </row>
    <row r="2053" spans="1:57" s="65" customFormat="1" ht="15" hidden="1" customHeight="1" outlineLevel="1" x14ac:dyDescent="0.25">
      <c r="A2053" s="718"/>
      <c r="B2053" s="177"/>
      <c r="C2053" s="455"/>
      <c r="D2053" s="2806"/>
      <c r="E2053" s="2856"/>
      <c r="F2053" s="2908" t="str">
        <f>$E$1398</f>
        <v>ASHP - SEER 15 Replace at Fail with ASHP: HVAC</v>
      </c>
      <c r="G2053" s="2909"/>
      <c r="H2053" s="2909"/>
      <c r="I2053" s="2910"/>
      <c r="J2053" s="1657" t="str">
        <f>$C$1398</f>
        <v>352450_2019_12_</v>
      </c>
      <c r="K2053" s="1663">
        <v>8.6999999999999993</v>
      </c>
      <c r="L2053" s="1124"/>
      <c r="M2053" s="2104" t="s">
        <v>1280</v>
      </c>
      <c r="N2053" s="177"/>
      <c r="O2053" s="332"/>
      <c r="P2053" s="1116"/>
      <c r="Q2053" s="1116"/>
      <c r="R2053" s="1116"/>
      <c r="S2053" s="1103"/>
      <c r="T2053" s="1639"/>
      <c r="U2053" s="177"/>
      <c r="V2053" s="2866"/>
      <c r="W2053" s="909">
        <v>8.6999999999999993</v>
      </c>
      <c r="X2053" s="908">
        <v>8.69</v>
      </c>
      <c r="Y2053" s="908">
        <v>8.6999999999999993</v>
      </c>
      <c r="Z2053" s="909"/>
      <c r="AA2053" s="909"/>
      <c r="AB2053" s="909"/>
      <c r="AC2053" s="909"/>
      <c r="AD2053" s="909"/>
      <c r="AE2053" s="909"/>
      <c r="AF2053" s="909"/>
      <c r="AG2053" s="909"/>
      <c r="BB2053" s="784"/>
      <c r="BC2053" s="785"/>
      <c r="BD2053" s="900"/>
      <c r="BE2053" s="797"/>
    </row>
    <row r="2054" spans="1:57" s="65" customFormat="1" ht="15" hidden="1" customHeight="1" outlineLevel="1" x14ac:dyDescent="0.25">
      <c r="A2054" s="718"/>
      <c r="B2054" s="177"/>
      <c r="C2054" s="455"/>
      <c r="D2054" s="2806"/>
      <c r="E2054" s="2856"/>
      <c r="F2054" s="2908" t="str">
        <f>$E$1400</f>
        <v>ASHP - SEER 16 - replace electric furnace / CAC - early replacement SF ER1</v>
      </c>
      <c r="G2054" s="2909"/>
      <c r="H2054" s="2909"/>
      <c r="I2054" s="2910"/>
      <c r="J2054" s="1657" t="str">
        <f>$C$1400</f>
        <v>352500_2019_12_</v>
      </c>
      <c r="K2054" s="1663">
        <v>9.35</v>
      </c>
      <c r="L2054" s="1124"/>
      <c r="M2054" s="2104" t="s">
        <v>1280</v>
      </c>
      <c r="N2054" s="177"/>
      <c r="O2054" s="332"/>
      <c r="P2054" s="1116"/>
      <c r="Q2054" s="1116"/>
      <c r="R2054" s="1116"/>
      <c r="S2054" s="1103"/>
      <c r="T2054" s="1639"/>
      <c r="U2054" s="177"/>
      <c r="V2054" s="2866"/>
      <c r="W2054" s="909">
        <v>9.4</v>
      </c>
      <c r="X2054" s="908">
        <v>8.69</v>
      </c>
      <c r="Y2054" s="908">
        <v>9.35</v>
      </c>
      <c r="Z2054" s="909"/>
      <c r="AA2054" s="909"/>
      <c r="AB2054" s="909"/>
      <c r="AC2054" s="909"/>
      <c r="AD2054" s="909"/>
      <c r="AE2054" s="909"/>
      <c r="AF2054" s="909"/>
      <c r="AG2054" s="909"/>
      <c r="BB2054" s="784"/>
      <c r="BC2054" s="785"/>
      <c r="BD2054" s="900"/>
      <c r="BE2054" s="797"/>
    </row>
    <row r="2055" spans="1:57" s="65" customFormat="1" ht="15" hidden="1" customHeight="1" outlineLevel="1" x14ac:dyDescent="0.25">
      <c r="A2055" s="718"/>
      <c r="B2055" s="177"/>
      <c r="C2055" s="455"/>
      <c r="D2055" s="2806"/>
      <c r="E2055" s="2856"/>
      <c r="F2055" s="2908" t="str">
        <f>$E$1402</f>
        <v>ASHP - SEER 16 - replace electric furnace / CAC - early replacement SF ER2</v>
      </c>
      <c r="G2055" s="2909"/>
      <c r="H2055" s="2909"/>
      <c r="I2055" s="2910"/>
      <c r="J2055" s="1657" t="str">
        <f>$C$1402</f>
        <v>352500_2019_12_</v>
      </c>
      <c r="K2055" s="1663">
        <v>9.35</v>
      </c>
      <c r="L2055" s="1124"/>
      <c r="M2055" s="2104" t="s">
        <v>1280</v>
      </c>
      <c r="N2055" s="177"/>
      <c r="O2055" s="332"/>
      <c r="P2055" s="1116"/>
      <c r="Q2055" s="1116"/>
      <c r="R2055" s="1116"/>
      <c r="S2055" s="1103"/>
      <c r="T2055" s="1639"/>
      <c r="U2055" s="177"/>
      <c r="V2055" s="2866"/>
      <c r="W2055" s="909">
        <v>9.4</v>
      </c>
      <c r="X2055" s="908">
        <v>8.69</v>
      </c>
      <c r="Y2055" s="908">
        <v>9.35</v>
      </c>
      <c r="Z2055" s="909"/>
      <c r="AA2055" s="909"/>
      <c r="AB2055" s="909"/>
      <c r="AC2055" s="909"/>
      <c r="AD2055" s="909"/>
      <c r="AE2055" s="909"/>
      <c r="AF2055" s="909"/>
      <c r="AG2055" s="909"/>
      <c r="BB2055" s="784"/>
      <c r="BC2055" s="785"/>
      <c r="BD2055" s="900"/>
      <c r="BE2055" s="797"/>
    </row>
    <row r="2056" spans="1:57" s="65" customFormat="1" ht="15" hidden="1" customHeight="1" outlineLevel="1" x14ac:dyDescent="0.25">
      <c r="A2056" s="718"/>
      <c r="B2056" s="177"/>
      <c r="C2056" s="455"/>
      <c r="D2056" s="2806"/>
      <c r="E2056" s="2856"/>
      <c r="F2056" s="2908" t="str">
        <f>$E$1404</f>
        <v>ASHP SEER 16 replace ASHP - early replacement SF ER1</v>
      </c>
      <c r="G2056" s="2909"/>
      <c r="H2056" s="2909"/>
      <c r="I2056" s="2910"/>
      <c r="J2056" s="1657" t="str">
        <f>$C$1404</f>
        <v>352550_2019_12_</v>
      </c>
      <c r="K2056" s="1663">
        <v>9.33</v>
      </c>
      <c r="L2056" s="1124"/>
      <c r="M2056" s="2104" t="s">
        <v>1280</v>
      </c>
      <c r="N2056" s="177"/>
      <c r="O2056" s="332"/>
      <c r="P2056" s="1116"/>
      <c r="Q2056" s="1116"/>
      <c r="R2056" s="1116"/>
      <c r="S2056" s="1103"/>
      <c r="T2056" s="1639"/>
      <c r="U2056" s="177"/>
      <c r="V2056" s="2866"/>
      <c r="W2056" s="909">
        <v>9.5</v>
      </c>
      <c r="X2056" s="908">
        <v>8.69</v>
      </c>
      <c r="Y2056" s="908">
        <v>9.33</v>
      </c>
      <c r="Z2056" s="909"/>
      <c r="AA2056" s="909"/>
      <c r="AB2056" s="909"/>
      <c r="AC2056" s="909"/>
      <c r="AD2056" s="909"/>
      <c r="AE2056" s="909"/>
      <c r="AF2056" s="909"/>
      <c r="AG2056" s="909"/>
      <c r="BB2056" s="784"/>
      <c r="BC2056" s="785"/>
      <c r="BD2056" s="900"/>
      <c r="BE2056" s="797"/>
    </row>
    <row r="2057" spans="1:57" s="65" customFormat="1" ht="15" hidden="1" customHeight="1" outlineLevel="1" x14ac:dyDescent="0.25">
      <c r="A2057" s="718"/>
      <c r="B2057" s="177"/>
      <c r="C2057" s="455"/>
      <c r="D2057" s="2806"/>
      <c r="E2057" s="2856"/>
      <c r="F2057" s="2908" t="str">
        <f>$E$1406</f>
        <v>ASHP SEER 16 replace ASHP - early replacement SF ER2</v>
      </c>
      <c r="G2057" s="2909"/>
      <c r="H2057" s="2909"/>
      <c r="I2057" s="2910"/>
      <c r="J2057" s="1657" t="str">
        <f>$C$1406</f>
        <v>352550_2019_12_</v>
      </c>
      <c r="K2057" s="1663">
        <v>9.33</v>
      </c>
      <c r="L2057" s="1124"/>
      <c r="M2057" s="2104" t="s">
        <v>1280</v>
      </c>
      <c r="N2057" s="177"/>
      <c r="O2057" s="332"/>
      <c r="P2057" s="1116"/>
      <c r="Q2057" s="1116"/>
      <c r="R2057" s="1116"/>
      <c r="S2057" s="1103"/>
      <c r="T2057" s="1639"/>
      <c r="U2057" s="177"/>
      <c r="V2057" s="2866"/>
      <c r="W2057" s="909">
        <v>9.5</v>
      </c>
      <c r="X2057" s="908">
        <v>8.69</v>
      </c>
      <c r="Y2057" s="908">
        <v>9.33</v>
      </c>
      <c r="Z2057" s="909"/>
      <c r="AA2057" s="909"/>
      <c r="AB2057" s="909"/>
      <c r="AC2057" s="909"/>
      <c r="AD2057" s="909"/>
      <c r="AE2057" s="909"/>
      <c r="AF2057" s="909"/>
      <c r="AG2057" s="909"/>
      <c r="BB2057" s="784"/>
      <c r="BC2057" s="785"/>
      <c r="BD2057" s="900"/>
      <c r="BE2057" s="797"/>
    </row>
    <row r="2058" spans="1:57" s="65" customFormat="1" ht="15" hidden="1" customHeight="1" outlineLevel="1" x14ac:dyDescent="0.25">
      <c r="A2058" s="718"/>
      <c r="B2058" s="177"/>
      <c r="C2058" s="455"/>
      <c r="D2058" s="2806"/>
      <c r="E2058" s="2856"/>
      <c r="F2058" s="2908" t="str">
        <f>$E$1408</f>
        <v>ASHP - SEER 16 - replace electric furnace / CAC SF</v>
      </c>
      <c r="G2058" s="2909"/>
      <c r="H2058" s="2909"/>
      <c r="I2058" s="2910"/>
      <c r="J2058" s="1657" t="str">
        <f>$C$1408</f>
        <v>352600_2019_12_</v>
      </c>
      <c r="K2058" s="1663">
        <v>9.43</v>
      </c>
      <c r="L2058" s="1124"/>
      <c r="M2058" s="2104" t="s">
        <v>1280</v>
      </c>
      <c r="N2058" s="177"/>
      <c r="O2058" s="332"/>
      <c r="P2058" s="1116"/>
      <c r="Q2058" s="1116"/>
      <c r="R2058" s="1116"/>
      <c r="S2058" s="1103"/>
      <c r="T2058" s="1639"/>
      <c r="U2058" s="177"/>
      <c r="V2058" s="2866"/>
      <c r="W2058" s="909">
        <v>9.6999999999999993</v>
      </c>
      <c r="X2058" s="908">
        <v>8.69</v>
      </c>
      <c r="Y2058" s="908">
        <v>9.43</v>
      </c>
      <c r="Z2058" s="909"/>
      <c r="AA2058" s="909"/>
      <c r="AB2058" s="909"/>
      <c r="AC2058" s="909"/>
      <c r="AD2058" s="909"/>
      <c r="AE2058" s="909"/>
      <c r="AF2058" s="909"/>
      <c r="AG2058" s="909"/>
      <c r="BB2058" s="784"/>
      <c r="BC2058" s="785"/>
      <c r="BD2058" s="900"/>
      <c r="BE2058" s="797"/>
    </row>
    <row r="2059" spans="1:57" s="65" customFormat="1" ht="15" hidden="1" customHeight="1" outlineLevel="1" x14ac:dyDescent="0.25">
      <c r="A2059" s="718"/>
      <c r="B2059" s="177"/>
      <c r="C2059" s="455"/>
      <c r="D2059" s="2806"/>
      <c r="E2059" s="2856"/>
      <c r="F2059" s="2908" t="str">
        <f>$E$1410</f>
        <v>ASHP SEER 16 replace ASHP - replace on fail SF</v>
      </c>
      <c r="G2059" s="2909"/>
      <c r="H2059" s="2909"/>
      <c r="I2059" s="2910"/>
      <c r="J2059" s="1657" t="str">
        <f>$C$1410</f>
        <v>352650_2019_12_</v>
      </c>
      <c r="K2059" s="1663">
        <v>9.43</v>
      </c>
      <c r="L2059" s="1124"/>
      <c r="M2059" s="2104" t="s">
        <v>1280</v>
      </c>
      <c r="N2059" s="177"/>
      <c r="O2059" s="332"/>
      <c r="P2059" s="1116"/>
      <c r="Q2059" s="1116"/>
      <c r="R2059" s="1116"/>
      <c r="S2059" s="1103"/>
      <c r="T2059" s="1639"/>
      <c r="U2059" s="177"/>
      <c r="V2059" s="2866"/>
      <c r="W2059" s="909">
        <v>9.8000000000000007</v>
      </c>
      <c r="X2059" s="908">
        <v>8.69</v>
      </c>
      <c r="Y2059" s="908">
        <v>9.43</v>
      </c>
      <c r="Z2059" s="909"/>
      <c r="AA2059" s="909"/>
      <c r="AB2059" s="909"/>
      <c r="AC2059" s="909"/>
      <c r="AD2059" s="909"/>
      <c r="AE2059" s="909"/>
      <c r="AF2059" s="909"/>
      <c r="AG2059" s="909"/>
      <c r="BB2059" s="784"/>
      <c r="BC2059" s="785"/>
      <c r="BD2059" s="900"/>
      <c r="BE2059" s="797"/>
    </row>
    <row r="2060" spans="1:57" s="65" customFormat="1" ht="15" hidden="1" customHeight="1" outlineLevel="1" x14ac:dyDescent="0.25">
      <c r="A2060" s="718"/>
      <c r="B2060" s="177"/>
      <c r="C2060" s="455"/>
      <c r="D2060" s="2806"/>
      <c r="E2060" s="2856"/>
      <c r="F2060" s="2908" t="str">
        <f>$E$1412</f>
        <v>ASHP SEER 15 MF ER replace ASHP: HVAC ER1</v>
      </c>
      <c r="G2060" s="2909"/>
      <c r="H2060" s="2909"/>
      <c r="I2060" s="2910"/>
      <c r="J2060" s="1657" t="str">
        <f>$C$1412</f>
        <v>352700_2019_12_</v>
      </c>
      <c r="K2060" s="1663">
        <v>8.6999999999999993</v>
      </c>
      <c r="L2060" s="1124"/>
      <c r="M2060" s="1108" t="s">
        <v>1380</v>
      </c>
      <c r="N2060" s="177"/>
      <c r="O2060" s="332"/>
      <c r="P2060" s="1116"/>
      <c r="Q2060" s="1116"/>
      <c r="R2060" s="1116"/>
      <c r="S2060" s="1103"/>
      <c r="T2060" s="1639"/>
      <c r="U2060" s="177"/>
      <c r="V2060" s="2866"/>
      <c r="W2060" s="909">
        <v>8.6999999999999993</v>
      </c>
      <c r="X2060" s="909">
        <v>8.6999999999999993</v>
      </c>
      <c r="Y2060" s="909">
        <v>8.6999999999999993</v>
      </c>
      <c r="Z2060" s="909"/>
      <c r="AA2060" s="909"/>
      <c r="AB2060" s="909"/>
      <c r="AC2060" s="909"/>
      <c r="AD2060" s="909"/>
      <c r="AE2060" s="909"/>
      <c r="AF2060" s="909"/>
      <c r="AG2060" s="909"/>
      <c r="BB2060" s="784"/>
      <c r="BC2060" s="785"/>
      <c r="BD2060" s="900"/>
      <c r="BE2060" s="797"/>
    </row>
    <row r="2061" spans="1:57" s="65" customFormat="1" ht="15" hidden="1" customHeight="1" outlineLevel="1" x14ac:dyDescent="0.25">
      <c r="A2061" s="718"/>
      <c r="B2061" s="177"/>
      <c r="C2061" s="455"/>
      <c r="D2061" s="2806"/>
      <c r="E2061" s="2856"/>
      <c r="F2061" s="2908" t="str">
        <f>$E$1414</f>
        <v>ASHP SEER 15 MF ER replace ASHP: HVAC ER2</v>
      </c>
      <c r="G2061" s="2909"/>
      <c r="H2061" s="2909"/>
      <c r="I2061" s="2910"/>
      <c r="J2061" s="1657" t="str">
        <f>$C$1414</f>
        <v>352700_2019_12_</v>
      </c>
      <c r="K2061" s="1663">
        <v>8.6999999999999993</v>
      </c>
      <c r="L2061" s="1124"/>
      <c r="M2061" s="1108" t="s">
        <v>1380</v>
      </c>
      <c r="N2061" s="177"/>
      <c r="O2061" s="332"/>
      <c r="P2061" s="1116"/>
      <c r="Q2061" s="1116"/>
      <c r="R2061" s="1116"/>
      <c r="S2061" s="1103"/>
      <c r="T2061" s="1639"/>
      <c r="U2061" s="177"/>
      <c r="V2061" s="2866"/>
      <c r="W2061" s="909">
        <v>8.6999999999999993</v>
      </c>
      <c r="X2061" s="909">
        <v>8.6999999999999993</v>
      </c>
      <c r="Y2061" s="909">
        <v>8.6999999999999993</v>
      </c>
      <c r="Z2061" s="909"/>
      <c r="AA2061" s="909"/>
      <c r="AB2061" s="909"/>
      <c r="AC2061" s="909"/>
      <c r="AD2061" s="909"/>
      <c r="AE2061" s="909"/>
      <c r="AF2061" s="909"/>
      <c r="AG2061" s="909"/>
      <c r="BB2061" s="784"/>
      <c r="BC2061" s="785"/>
      <c r="BD2061" s="900"/>
      <c r="BE2061" s="797"/>
    </row>
    <row r="2062" spans="1:57" s="65" customFormat="1" ht="15" hidden="1" customHeight="1" outlineLevel="1" x14ac:dyDescent="0.25">
      <c r="A2062" s="718"/>
      <c r="B2062" s="177"/>
      <c r="C2062" s="455"/>
      <c r="D2062" s="2806"/>
      <c r="E2062" s="2856"/>
      <c r="F2062" s="2908" t="str">
        <f>$E$1416</f>
        <v>ASHP SEER 15 MF ER replace ASHP: HVAC ER1_CompE</v>
      </c>
      <c r="G2062" s="2909"/>
      <c r="H2062" s="2909"/>
      <c r="I2062" s="2910"/>
      <c r="J2062" s="1657" t="str">
        <f>$C$1416</f>
        <v>352701_2019_12_</v>
      </c>
      <c r="K2062" s="1663">
        <v>8.6999999999999993</v>
      </c>
      <c r="L2062" s="1124"/>
      <c r="M2062" s="1108"/>
      <c r="N2062" s="177"/>
      <c r="O2062" s="332"/>
      <c r="P2062" s="1116"/>
      <c r="Q2062" s="1116"/>
      <c r="R2062" s="1116"/>
      <c r="S2062" s="1103"/>
      <c r="T2062" s="1639"/>
      <c r="U2062" s="177"/>
      <c r="V2062" s="2866"/>
      <c r="W2062" s="909"/>
      <c r="X2062" s="909"/>
      <c r="Y2062" s="908">
        <v>8.6999999999999993</v>
      </c>
      <c r="Z2062" s="909"/>
      <c r="AA2062" s="909"/>
      <c r="AB2062" s="909"/>
      <c r="AC2062" s="909"/>
      <c r="AD2062" s="909"/>
      <c r="AE2062" s="909"/>
      <c r="AF2062" s="909"/>
      <c r="AG2062" s="909"/>
      <c r="BB2062" s="784"/>
      <c r="BC2062" s="785"/>
      <c r="BD2062" s="900"/>
      <c r="BE2062" s="797"/>
    </row>
    <row r="2063" spans="1:57" s="65" customFormat="1" ht="15" hidden="1" customHeight="1" outlineLevel="1" x14ac:dyDescent="0.25">
      <c r="A2063" s="718"/>
      <c r="B2063" s="177"/>
      <c r="C2063" s="455"/>
      <c r="D2063" s="2806"/>
      <c r="E2063" s="2856"/>
      <c r="F2063" s="2908" t="str">
        <f>$E$1418</f>
        <v>ASHP SEER 15 MF ER replace ASHP: HVAC ER2_CompE</v>
      </c>
      <c r="G2063" s="2909"/>
      <c r="H2063" s="2909"/>
      <c r="I2063" s="2910"/>
      <c r="J2063" s="1657" t="str">
        <f>$C$1418</f>
        <v>352701_2019_12_</v>
      </c>
      <c r="K2063" s="1663">
        <v>8.6999999999999993</v>
      </c>
      <c r="L2063" s="1124"/>
      <c r="M2063" s="1108"/>
      <c r="N2063" s="177"/>
      <c r="O2063" s="332"/>
      <c r="P2063" s="1116"/>
      <c r="Q2063" s="1116"/>
      <c r="R2063" s="1116"/>
      <c r="S2063" s="1103"/>
      <c r="T2063" s="1639"/>
      <c r="U2063" s="177"/>
      <c r="V2063" s="2866"/>
      <c r="W2063" s="909"/>
      <c r="X2063" s="909"/>
      <c r="Y2063" s="908">
        <v>8.6999999999999993</v>
      </c>
      <c r="Z2063" s="909"/>
      <c r="AA2063" s="909"/>
      <c r="AB2063" s="909"/>
      <c r="AC2063" s="909"/>
      <c r="AD2063" s="909"/>
      <c r="AE2063" s="909"/>
      <c r="AF2063" s="909"/>
      <c r="AG2063" s="909"/>
      <c r="BB2063" s="784"/>
      <c r="BC2063" s="785"/>
      <c r="BD2063" s="900"/>
      <c r="BE2063" s="797"/>
    </row>
    <row r="2064" spans="1:57" s="65" customFormat="1" ht="15" hidden="1" customHeight="1" outlineLevel="1" x14ac:dyDescent="0.25">
      <c r="A2064" s="718"/>
      <c r="B2064" s="177"/>
      <c r="C2064" s="455"/>
      <c r="D2064" s="2806"/>
      <c r="E2064" s="2856"/>
      <c r="F2064" s="2908" t="str">
        <f>$E$1420</f>
        <v>ASHP SEER 15 MF ER replace Elec Resist Furnace: HVAC ER1</v>
      </c>
      <c r="G2064" s="2909"/>
      <c r="H2064" s="2909"/>
      <c r="I2064" s="2910"/>
      <c r="J2064" s="1657" t="str">
        <f>$C$1420</f>
        <v>352750_2019_12_</v>
      </c>
      <c r="K2064" s="1663">
        <v>8.6999999999999993</v>
      </c>
      <c r="L2064" s="1124"/>
      <c r="M2064" s="1108" t="s">
        <v>1380</v>
      </c>
      <c r="N2064" s="177"/>
      <c r="O2064" s="332"/>
      <c r="P2064" s="1116"/>
      <c r="Q2064" s="1116"/>
      <c r="R2064" s="1116"/>
      <c r="S2064" s="1103"/>
      <c r="T2064" s="1639"/>
      <c r="U2064" s="177"/>
      <c r="V2064" s="2866"/>
      <c r="W2064" s="909">
        <v>8.6999999999999993</v>
      </c>
      <c r="X2064" s="909">
        <v>8.6999999999999993</v>
      </c>
      <c r="Y2064" s="909">
        <v>8.6999999999999993</v>
      </c>
      <c r="Z2064" s="909"/>
      <c r="AA2064" s="909"/>
      <c r="AB2064" s="909"/>
      <c r="AC2064" s="909"/>
      <c r="AD2064" s="909"/>
      <c r="AE2064" s="909"/>
      <c r="AF2064" s="909"/>
      <c r="AG2064" s="909"/>
      <c r="BB2064" s="784"/>
      <c r="BC2064" s="785"/>
      <c r="BD2064" s="900"/>
      <c r="BE2064" s="797"/>
    </row>
    <row r="2065" spans="1:57" s="65" customFormat="1" ht="15" hidden="1" customHeight="1" outlineLevel="1" x14ac:dyDescent="0.25">
      <c r="A2065" s="718"/>
      <c r="B2065" s="177"/>
      <c r="C2065" s="455"/>
      <c r="D2065" s="2806"/>
      <c r="E2065" s="2856"/>
      <c r="F2065" s="2908" t="str">
        <f>$E$1422</f>
        <v>ASHP SEER 15 MF ER replace Elec Resist Furnace: HVAC ER2</v>
      </c>
      <c r="G2065" s="2909"/>
      <c r="H2065" s="2909"/>
      <c r="I2065" s="2910"/>
      <c r="J2065" s="1657" t="str">
        <f>$C$1422</f>
        <v>352750_2019_12_</v>
      </c>
      <c r="K2065" s="1663">
        <v>8.6999999999999993</v>
      </c>
      <c r="L2065" s="1124"/>
      <c r="M2065" s="1108" t="s">
        <v>1380</v>
      </c>
      <c r="N2065" s="177"/>
      <c r="O2065" s="332"/>
      <c r="P2065" s="1116"/>
      <c r="Q2065" s="1116"/>
      <c r="R2065" s="1116"/>
      <c r="S2065" s="1103"/>
      <c r="T2065" s="1639"/>
      <c r="U2065" s="177"/>
      <c r="V2065" s="2866"/>
      <c r="W2065" s="909">
        <v>8.6999999999999993</v>
      </c>
      <c r="X2065" s="909">
        <v>8.6999999999999993</v>
      </c>
      <c r="Y2065" s="909">
        <v>8.6999999999999993</v>
      </c>
      <c r="Z2065" s="909"/>
      <c r="AA2065" s="909"/>
      <c r="AB2065" s="909"/>
      <c r="AC2065" s="909"/>
      <c r="AD2065" s="909"/>
      <c r="AE2065" s="909"/>
      <c r="AF2065" s="909"/>
      <c r="AG2065" s="909"/>
      <c r="BB2065" s="784"/>
      <c r="BC2065" s="785"/>
      <c r="BD2065" s="900"/>
      <c r="BE2065" s="797"/>
    </row>
    <row r="2066" spans="1:57" s="65" customFormat="1" ht="15" hidden="1" customHeight="1" outlineLevel="1" x14ac:dyDescent="0.25">
      <c r="A2066" s="718"/>
      <c r="B2066" s="177"/>
      <c r="C2066" s="455"/>
      <c r="D2066" s="2806"/>
      <c r="E2066" s="2856"/>
      <c r="F2066" s="2908" t="str">
        <f>$E$1424</f>
        <v>ASHP SEER 15 MF ER replace Elec Resist Furnace: HVAC ER1_CompE</v>
      </c>
      <c r="G2066" s="2909"/>
      <c r="H2066" s="2909"/>
      <c r="I2066" s="2910"/>
      <c r="J2066" s="1657" t="str">
        <f>$C$1424</f>
        <v>352751_2019_12_</v>
      </c>
      <c r="K2066" s="1663">
        <v>8.6999999999999993</v>
      </c>
      <c r="L2066" s="1124"/>
      <c r="M2066" s="1108"/>
      <c r="N2066" s="177"/>
      <c r="O2066" s="332"/>
      <c r="P2066" s="1116"/>
      <c r="Q2066" s="1116"/>
      <c r="R2066" s="1116"/>
      <c r="S2066" s="1103"/>
      <c r="T2066" s="1639"/>
      <c r="U2066" s="177"/>
      <c r="V2066" s="2866"/>
      <c r="W2066" s="909"/>
      <c r="X2066" s="909"/>
      <c r="Y2066" s="908">
        <v>8.6999999999999993</v>
      </c>
      <c r="Z2066" s="909"/>
      <c r="AA2066" s="909"/>
      <c r="AB2066" s="909"/>
      <c r="AC2066" s="909"/>
      <c r="AD2066" s="909"/>
      <c r="AE2066" s="909"/>
      <c r="AF2066" s="909"/>
      <c r="AG2066" s="909"/>
      <c r="BB2066" s="784"/>
      <c r="BC2066" s="785"/>
      <c r="BD2066" s="900"/>
      <c r="BE2066" s="797"/>
    </row>
    <row r="2067" spans="1:57" s="65" customFormat="1" ht="15" hidden="1" customHeight="1" outlineLevel="1" x14ac:dyDescent="0.25">
      <c r="A2067" s="718"/>
      <c r="B2067" s="177"/>
      <c r="C2067" s="455"/>
      <c r="D2067" s="2806"/>
      <c r="E2067" s="2856"/>
      <c r="F2067" s="2908" t="str">
        <f>$E$1426</f>
        <v>ASHP SEER 15 MF ER replace Elec Resist Furnace: HVAC ER2_CompE</v>
      </c>
      <c r="G2067" s="2909"/>
      <c r="H2067" s="2909"/>
      <c r="I2067" s="2910"/>
      <c r="J2067" s="1657" t="str">
        <f>$C$1426</f>
        <v>352751_2019_12_</v>
      </c>
      <c r="K2067" s="1663">
        <v>8.6999999999999993</v>
      </c>
      <c r="L2067" s="1124"/>
      <c r="M2067" s="1108"/>
      <c r="N2067" s="177"/>
      <c r="O2067" s="332"/>
      <c r="P2067" s="1116"/>
      <c r="Q2067" s="1116"/>
      <c r="R2067" s="1116"/>
      <c r="S2067" s="1103"/>
      <c r="T2067" s="1639"/>
      <c r="U2067" s="177"/>
      <c r="V2067" s="2866"/>
      <c r="W2067" s="909"/>
      <c r="X2067" s="909"/>
      <c r="Y2067" s="908">
        <v>8.6999999999999993</v>
      </c>
      <c r="Z2067" s="909"/>
      <c r="AA2067" s="909"/>
      <c r="AB2067" s="909"/>
      <c r="AC2067" s="909"/>
      <c r="AD2067" s="909"/>
      <c r="AE2067" s="909"/>
      <c r="AF2067" s="909"/>
      <c r="AG2067" s="909"/>
      <c r="BB2067" s="784"/>
      <c r="BC2067" s="785"/>
      <c r="BD2067" s="900"/>
      <c r="BE2067" s="797"/>
    </row>
    <row r="2068" spans="1:57" s="65" customFormat="1" ht="15" hidden="1" customHeight="1" outlineLevel="1" x14ac:dyDescent="0.25">
      <c r="A2068" s="718"/>
      <c r="B2068" s="177"/>
      <c r="C2068" s="455"/>
      <c r="D2068" s="2806"/>
      <c r="E2068" s="2856"/>
      <c r="F2068" s="2908" t="str">
        <f>$E$1428</f>
        <v>ASHP SEER 15 MF replace at Fail Elec Resist Furnace: HVAC</v>
      </c>
      <c r="G2068" s="2909"/>
      <c r="H2068" s="2909"/>
      <c r="I2068" s="2910"/>
      <c r="J2068" s="1657" t="str">
        <f>$C$1428</f>
        <v>352800_2019_12_</v>
      </c>
      <c r="K2068" s="1663">
        <v>8.6</v>
      </c>
      <c r="L2068" s="1124"/>
      <c r="M2068" s="1108" t="s">
        <v>1380</v>
      </c>
      <c r="N2068" s="177"/>
      <c r="O2068" s="332"/>
      <c r="P2068" s="1116"/>
      <c r="Q2068" s="1116"/>
      <c r="R2068" s="1116"/>
      <c r="S2068" s="1103"/>
      <c r="T2068" s="1639"/>
      <c r="U2068" s="177"/>
      <c r="V2068" s="2866"/>
      <c r="W2068" s="909">
        <v>8.6</v>
      </c>
      <c r="X2068" s="909">
        <v>8.6</v>
      </c>
      <c r="Y2068" s="909">
        <v>8.6</v>
      </c>
      <c r="Z2068" s="909"/>
      <c r="AA2068" s="909"/>
      <c r="AB2068" s="909"/>
      <c r="AC2068" s="909"/>
      <c r="AD2068" s="909"/>
      <c r="AE2068" s="909"/>
      <c r="AF2068" s="909"/>
      <c r="AG2068" s="909"/>
      <c r="BB2068" s="784"/>
      <c r="BC2068" s="785"/>
      <c r="BD2068" s="900"/>
      <c r="BE2068" s="797"/>
    </row>
    <row r="2069" spans="1:57" s="65" customFormat="1" ht="15" hidden="1" customHeight="1" outlineLevel="1" x14ac:dyDescent="0.25">
      <c r="A2069" s="718"/>
      <c r="B2069" s="177"/>
      <c r="C2069" s="455"/>
      <c r="D2069" s="2806"/>
      <c r="E2069" s="2856"/>
      <c r="F2069" s="2908" t="str">
        <f>$E$1430</f>
        <v>ASHP SEER 15 MF replace at Fail Elec Resist Furnace: HVAC_CompE</v>
      </c>
      <c r="G2069" s="2909"/>
      <c r="H2069" s="2909"/>
      <c r="I2069" s="2910"/>
      <c r="J2069" s="1657" t="str">
        <f>$C$1430</f>
        <v>352801_2019_12_</v>
      </c>
      <c r="K2069" s="1663">
        <v>8.6</v>
      </c>
      <c r="L2069" s="1124"/>
      <c r="M2069" s="1108"/>
      <c r="N2069" s="177"/>
      <c r="O2069" s="332"/>
      <c r="P2069" s="1116"/>
      <c r="Q2069" s="1116"/>
      <c r="R2069" s="1116"/>
      <c r="S2069" s="1103"/>
      <c r="T2069" s="1639"/>
      <c r="U2069" s="177"/>
      <c r="V2069" s="2866"/>
      <c r="W2069" s="909"/>
      <c r="X2069" s="909"/>
      <c r="Y2069" s="908">
        <v>8.6</v>
      </c>
      <c r="Z2069" s="909"/>
      <c r="AA2069" s="909"/>
      <c r="AB2069" s="909"/>
      <c r="AC2069" s="909"/>
      <c r="AD2069" s="909"/>
      <c r="AE2069" s="909"/>
      <c r="AF2069" s="909"/>
      <c r="AG2069" s="909"/>
      <c r="BB2069" s="784"/>
      <c r="BC2069" s="785"/>
      <c r="BD2069" s="900"/>
      <c r="BE2069" s="797"/>
    </row>
    <row r="2070" spans="1:57" s="65" customFormat="1" ht="15" hidden="1" customHeight="1" outlineLevel="1" x14ac:dyDescent="0.25">
      <c r="A2070" s="718"/>
      <c r="B2070" s="177"/>
      <c r="C2070" s="455"/>
      <c r="D2070" s="2806"/>
      <c r="E2070" s="2856"/>
      <c r="F2070" s="2908" t="str">
        <f>$E$1432</f>
        <v>ASHP SEER 16 MF ER replace ASHP: HVAC ER1</v>
      </c>
      <c r="G2070" s="2909"/>
      <c r="H2070" s="2909"/>
      <c r="I2070" s="2910"/>
      <c r="J2070" s="1657" t="str">
        <f>$C$1432</f>
        <v>352850_2019_12_</v>
      </c>
      <c r="K2070" s="1663">
        <v>9.5</v>
      </c>
      <c r="L2070" s="1124"/>
      <c r="M2070" s="1108" t="s">
        <v>1380</v>
      </c>
      <c r="N2070" s="177"/>
      <c r="O2070" s="332"/>
      <c r="P2070" s="1116"/>
      <c r="Q2070" s="1116"/>
      <c r="R2070" s="1116"/>
      <c r="S2070" s="1103"/>
      <c r="T2070" s="1639"/>
      <c r="U2070" s="177"/>
      <c r="V2070" s="2866"/>
      <c r="W2070" s="909">
        <v>9.5</v>
      </c>
      <c r="X2070" s="909">
        <v>9.5</v>
      </c>
      <c r="Y2070" s="909">
        <v>9.5</v>
      </c>
      <c r="Z2070" s="909"/>
      <c r="AA2070" s="909"/>
      <c r="AB2070" s="909"/>
      <c r="AC2070" s="909"/>
      <c r="AD2070" s="909"/>
      <c r="AE2070" s="909"/>
      <c r="AF2070" s="909"/>
      <c r="AG2070" s="909"/>
      <c r="BB2070" s="784"/>
      <c r="BC2070" s="785"/>
      <c r="BD2070" s="900"/>
      <c r="BE2070" s="797"/>
    </row>
    <row r="2071" spans="1:57" s="65" customFormat="1" ht="15" hidden="1" customHeight="1" outlineLevel="1" x14ac:dyDescent="0.25">
      <c r="A2071" s="718"/>
      <c r="B2071" s="177"/>
      <c r="C2071" s="455"/>
      <c r="D2071" s="2806"/>
      <c r="E2071" s="2856"/>
      <c r="F2071" s="2908" t="str">
        <f>$E$1434</f>
        <v>ASHP SEER 16 MF ER replace ASHP: HVAC ER2</v>
      </c>
      <c r="G2071" s="2909"/>
      <c r="H2071" s="2909"/>
      <c r="I2071" s="2910"/>
      <c r="J2071" s="1657" t="str">
        <f>$C$1434</f>
        <v>352850_2019_12_</v>
      </c>
      <c r="K2071" s="1663">
        <v>9.5</v>
      </c>
      <c r="L2071" s="1124"/>
      <c r="M2071" s="1108" t="s">
        <v>1380</v>
      </c>
      <c r="N2071" s="177"/>
      <c r="O2071" s="332"/>
      <c r="P2071" s="1116"/>
      <c r="Q2071" s="1116"/>
      <c r="R2071" s="1116"/>
      <c r="S2071" s="1103"/>
      <c r="T2071" s="1639"/>
      <c r="U2071" s="177"/>
      <c r="V2071" s="2866"/>
      <c r="W2071" s="909">
        <v>9.5</v>
      </c>
      <c r="X2071" s="909">
        <v>9.5</v>
      </c>
      <c r="Y2071" s="909">
        <v>9.5</v>
      </c>
      <c r="Z2071" s="909"/>
      <c r="AA2071" s="909"/>
      <c r="AB2071" s="909"/>
      <c r="AC2071" s="909"/>
      <c r="AD2071" s="909"/>
      <c r="AE2071" s="909"/>
      <c r="AF2071" s="909"/>
      <c r="AG2071" s="909"/>
      <c r="BB2071" s="784"/>
      <c r="BC2071" s="785"/>
      <c r="BD2071" s="900"/>
      <c r="BE2071" s="797"/>
    </row>
    <row r="2072" spans="1:57" s="65" customFormat="1" ht="15" hidden="1" customHeight="1" outlineLevel="1" x14ac:dyDescent="0.25">
      <c r="A2072" s="718"/>
      <c r="B2072" s="177"/>
      <c r="C2072" s="455"/>
      <c r="D2072" s="2806"/>
      <c r="E2072" s="2856"/>
      <c r="F2072" s="2908" t="str">
        <f>$E$1436</f>
        <v>ASHP SEER 16 MF ER replace ASHP: HVAC ER1_CompE</v>
      </c>
      <c r="G2072" s="2909"/>
      <c r="H2072" s="2909"/>
      <c r="I2072" s="2910"/>
      <c r="J2072" s="1657" t="str">
        <f>$C$1436</f>
        <v>352851_2019_12_</v>
      </c>
      <c r="K2072" s="1663">
        <v>9.5</v>
      </c>
      <c r="L2072" s="1124"/>
      <c r="M2072" s="1108"/>
      <c r="N2072" s="177"/>
      <c r="O2072" s="332"/>
      <c r="P2072" s="1116"/>
      <c r="Q2072" s="1116"/>
      <c r="R2072" s="1116"/>
      <c r="S2072" s="1103"/>
      <c r="T2072" s="1639"/>
      <c r="U2072" s="177"/>
      <c r="V2072" s="2866"/>
      <c r="W2072" s="909"/>
      <c r="X2072" s="909"/>
      <c r="Y2072" s="908">
        <v>9.5</v>
      </c>
      <c r="Z2072" s="909"/>
      <c r="AA2072" s="909"/>
      <c r="AB2072" s="909"/>
      <c r="AC2072" s="909"/>
      <c r="AD2072" s="909"/>
      <c r="AE2072" s="909"/>
      <c r="AF2072" s="909"/>
      <c r="AG2072" s="909"/>
      <c r="BB2072" s="784"/>
      <c r="BC2072" s="785"/>
      <c r="BD2072" s="900"/>
      <c r="BE2072" s="797"/>
    </row>
    <row r="2073" spans="1:57" s="65" customFormat="1" ht="15" hidden="1" customHeight="1" outlineLevel="1" x14ac:dyDescent="0.25">
      <c r="A2073" s="718"/>
      <c r="B2073" s="177"/>
      <c r="C2073" s="455"/>
      <c r="D2073" s="2806"/>
      <c r="E2073" s="2856"/>
      <c r="F2073" s="2908" t="str">
        <f>$E$1438</f>
        <v>ASHP SEER 16 MF ER replace ASHP: HVAC ER2_CompE</v>
      </c>
      <c r="G2073" s="2909"/>
      <c r="H2073" s="2909"/>
      <c r="I2073" s="2910"/>
      <c r="J2073" s="1657" t="str">
        <f>$C$1438</f>
        <v>352851_2019_12_</v>
      </c>
      <c r="K2073" s="1663">
        <v>9.5</v>
      </c>
      <c r="L2073" s="1124"/>
      <c r="M2073" s="1108"/>
      <c r="N2073" s="177"/>
      <c r="O2073" s="332"/>
      <c r="P2073" s="1116"/>
      <c r="Q2073" s="1116"/>
      <c r="R2073" s="1116"/>
      <c r="S2073" s="1103"/>
      <c r="T2073" s="1639"/>
      <c r="U2073" s="177"/>
      <c r="V2073" s="2866"/>
      <c r="W2073" s="909"/>
      <c r="X2073" s="909"/>
      <c r="Y2073" s="908">
        <v>9.5</v>
      </c>
      <c r="Z2073" s="909"/>
      <c r="AA2073" s="909"/>
      <c r="AB2073" s="909"/>
      <c r="AC2073" s="909"/>
      <c r="AD2073" s="909"/>
      <c r="AE2073" s="909"/>
      <c r="AF2073" s="909"/>
      <c r="AG2073" s="909"/>
      <c r="BB2073" s="784"/>
      <c r="BC2073" s="785"/>
      <c r="BD2073" s="900"/>
      <c r="BE2073" s="797"/>
    </row>
    <row r="2074" spans="1:57" s="65" customFormat="1" ht="15" hidden="1" customHeight="1" outlineLevel="1" x14ac:dyDescent="0.25">
      <c r="A2074" s="718"/>
      <c r="B2074" s="177"/>
      <c r="C2074" s="455"/>
      <c r="D2074" s="2806"/>
      <c r="E2074" s="2856"/>
      <c r="F2074" s="2908" t="str">
        <f>$E$1440</f>
        <v>ASHP - SEER 16 - replace on fail MF</v>
      </c>
      <c r="G2074" s="2909"/>
      <c r="H2074" s="2909"/>
      <c r="I2074" s="2910"/>
      <c r="J2074" s="1657" t="str">
        <f>$C$1440</f>
        <v>352900_2019_12_</v>
      </c>
      <c r="K2074" s="1663">
        <v>9.8000000000000007</v>
      </c>
      <c r="L2074" s="1124"/>
      <c r="M2074" s="1108" t="s">
        <v>1380</v>
      </c>
      <c r="N2074" s="177"/>
      <c r="O2074" s="332"/>
      <c r="P2074" s="1116"/>
      <c r="Q2074" s="1116"/>
      <c r="R2074" s="1116"/>
      <c r="S2074" s="1103"/>
      <c r="T2074" s="1639"/>
      <c r="U2074" s="177"/>
      <c r="V2074" s="2866"/>
      <c r="W2074" s="909">
        <v>9.8000000000000007</v>
      </c>
      <c r="X2074" s="909">
        <v>9.8000000000000007</v>
      </c>
      <c r="Y2074" s="909">
        <v>9.8000000000000007</v>
      </c>
      <c r="Z2074" s="909"/>
      <c r="AA2074" s="909"/>
      <c r="AB2074" s="909"/>
      <c r="AC2074" s="909"/>
      <c r="AD2074" s="909"/>
      <c r="AE2074" s="909"/>
      <c r="AF2074" s="909"/>
      <c r="AG2074" s="909"/>
      <c r="BB2074" s="784"/>
      <c r="BC2074" s="785"/>
      <c r="BD2074" s="900"/>
      <c r="BE2074" s="797"/>
    </row>
    <row r="2075" spans="1:57" s="65" customFormat="1" ht="15" hidden="1" customHeight="1" outlineLevel="1" x14ac:dyDescent="0.25">
      <c r="A2075" s="718"/>
      <c r="B2075" s="177"/>
      <c r="C2075" s="455"/>
      <c r="D2075" s="2806"/>
      <c r="E2075" s="2856"/>
      <c r="F2075" s="2908" t="str">
        <f>$E$1442</f>
        <v>ASHP - SEER 16 - replace on fail MF_CompE</v>
      </c>
      <c r="G2075" s="2909"/>
      <c r="H2075" s="2909"/>
      <c r="I2075" s="2910"/>
      <c r="J2075" s="1657" t="str">
        <f>$C$1442</f>
        <v>352901_2019_12_</v>
      </c>
      <c r="K2075" s="1663">
        <v>9.8000000000000007</v>
      </c>
      <c r="L2075" s="1124"/>
      <c r="M2075" s="1108"/>
      <c r="N2075" s="177"/>
      <c r="O2075" s="332"/>
      <c r="P2075" s="1116"/>
      <c r="Q2075" s="1116"/>
      <c r="R2075" s="1116"/>
      <c r="S2075" s="1103"/>
      <c r="T2075" s="1639"/>
      <c r="U2075" s="177"/>
      <c r="V2075" s="2866"/>
      <c r="W2075" s="909"/>
      <c r="X2075" s="909"/>
      <c r="Y2075" s="908">
        <v>9.8000000000000007</v>
      </c>
      <c r="Z2075" s="909"/>
      <c r="AA2075" s="909"/>
      <c r="AB2075" s="909"/>
      <c r="AC2075" s="909"/>
      <c r="AD2075" s="909"/>
      <c r="AE2075" s="909"/>
      <c r="AF2075" s="909"/>
      <c r="AG2075" s="909"/>
      <c r="BB2075" s="784"/>
      <c r="BC2075" s="785"/>
      <c r="BD2075" s="900"/>
      <c r="BE2075" s="797"/>
    </row>
    <row r="2076" spans="1:57" s="65" customFormat="1" ht="15" hidden="1" customHeight="1" outlineLevel="1" x14ac:dyDescent="0.25">
      <c r="A2076" s="718"/>
      <c r="B2076" s="177"/>
      <c r="C2076" s="455"/>
      <c r="D2076" s="2806"/>
      <c r="E2076" s="2856"/>
      <c r="F2076" s="2908" t="str">
        <f>$E$1444</f>
        <v>ASHP - SEER 16 - replace electric furnace / CAC MF</v>
      </c>
      <c r="G2076" s="2909"/>
      <c r="H2076" s="2909"/>
      <c r="I2076" s="2910"/>
      <c r="J2076" s="1657" t="str">
        <f>$C$1444</f>
        <v>352950_2019_12_</v>
      </c>
      <c r="K2076" s="1663">
        <v>9.6999999999999993</v>
      </c>
      <c r="L2076" s="1124"/>
      <c r="M2076" s="1108" t="s">
        <v>1380</v>
      </c>
      <c r="N2076" s="177"/>
      <c r="O2076" s="332"/>
      <c r="P2076" s="1116"/>
      <c r="Q2076" s="1116"/>
      <c r="R2076" s="1116"/>
      <c r="S2076" s="1103"/>
      <c r="T2076" s="1639"/>
      <c r="U2076" s="177"/>
      <c r="V2076" s="2866"/>
      <c r="W2076" s="909">
        <v>9.6999999999999993</v>
      </c>
      <c r="X2076" s="909">
        <v>9.6999999999999993</v>
      </c>
      <c r="Y2076" s="909">
        <v>9.6999999999999993</v>
      </c>
      <c r="Z2076" s="909"/>
      <c r="AA2076" s="909"/>
      <c r="AB2076" s="909"/>
      <c r="AC2076" s="909"/>
      <c r="AD2076" s="909"/>
      <c r="AE2076" s="909"/>
      <c r="AF2076" s="909"/>
      <c r="AG2076" s="909"/>
      <c r="BB2076" s="784"/>
      <c r="BC2076" s="785"/>
      <c r="BD2076" s="900"/>
      <c r="BE2076" s="797"/>
    </row>
    <row r="2077" spans="1:57" s="65" customFormat="1" ht="15" hidden="1" customHeight="1" outlineLevel="1" x14ac:dyDescent="0.25">
      <c r="A2077" s="718"/>
      <c r="B2077" s="177"/>
      <c r="C2077" s="455"/>
      <c r="D2077" s="2806"/>
      <c r="E2077" s="2856"/>
      <c r="F2077" s="2908" t="str">
        <f>$E$1446</f>
        <v>ASHP - SEER 16 - replace electric furnace / CAC MF_CompE</v>
      </c>
      <c r="G2077" s="2909"/>
      <c r="H2077" s="2909"/>
      <c r="I2077" s="2910"/>
      <c r="J2077" s="1657" t="str">
        <f>$C$1446</f>
        <v>352951_2019_12_</v>
      </c>
      <c r="K2077" s="1663">
        <v>9.6999999999999993</v>
      </c>
      <c r="L2077" s="1124"/>
      <c r="M2077" s="1108"/>
      <c r="N2077" s="177"/>
      <c r="O2077" s="332"/>
      <c r="P2077" s="1116"/>
      <c r="Q2077" s="1116"/>
      <c r="R2077" s="1116"/>
      <c r="S2077" s="1103"/>
      <c r="T2077" s="1639"/>
      <c r="U2077" s="177"/>
      <c r="V2077" s="2866"/>
      <c r="W2077" s="909"/>
      <c r="X2077" s="909"/>
      <c r="Y2077" s="908">
        <v>9.6999999999999993</v>
      </c>
      <c r="Z2077" s="909"/>
      <c r="AA2077" s="909"/>
      <c r="AB2077" s="909"/>
      <c r="AC2077" s="909"/>
      <c r="AD2077" s="909"/>
      <c r="AE2077" s="909"/>
      <c r="AF2077" s="909"/>
      <c r="AG2077" s="909"/>
      <c r="BB2077" s="784"/>
      <c r="BC2077" s="785"/>
      <c r="BD2077" s="900"/>
      <c r="BE2077" s="797"/>
    </row>
    <row r="2078" spans="1:57" s="65" customFormat="1" ht="15" hidden="1" customHeight="1" outlineLevel="1" x14ac:dyDescent="0.25">
      <c r="A2078" s="718"/>
      <c r="B2078" s="177"/>
      <c r="C2078" s="455"/>
      <c r="D2078" s="2806"/>
      <c r="E2078" s="2856"/>
      <c r="F2078" s="2908" t="str">
        <f>$E$1448</f>
        <v>ASHP - SEER 16 - replace electric furnace / CAC - early replacement MF ER1</v>
      </c>
      <c r="G2078" s="2909"/>
      <c r="H2078" s="2909"/>
      <c r="I2078" s="2910"/>
      <c r="J2078" s="1657" t="str">
        <f>$C$1448</f>
        <v>353000_2019_12_</v>
      </c>
      <c r="K2078" s="1663">
        <v>9.4</v>
      </c>
      <c r="L2078" s="1124"/>
      <c r="M2078" s="1108" t="s">
        <v>1380</v>
      </c>
      <c r="N2078" s="177"/>
      <c r="O2078" s="332"/>
      <c r="P2078" s="1116"/>
      <c r="Q2078" s="1116"/>
      <c r="R2078" s="1116"/>
      <c r="S2078" s="1103"/>
      <c r="T2078" s="1639"/>
      <c r="U2078" s="177"/>
      <c r="V2078" s="2866"/>
      <c r="W2078" s="909">
        <v>9.4</v>
      </c>
      <c r="X2078" s="909">
        <v>9.4</v>
      </c>
      <c r="Y2078" s="909">
        <v>9.4</v>
      </c>
      <c r="Z2078" s="909"/>
      <c r="AA2078" s="909"/>
      <c r="AB2078" s="909"/>
      <c r="AC2078" s="909"/>
      <c r="AD2078" s="909"/>
      <c r="AE2078" s="909"/>
      <c r="AF2078" s="909"/>
      <c r="AG2078" s="909"/>
      <c r="BB2078" s="784"/>
      <c r="BC2078" s="785"/>
      <c r="BD2078" s="900"/>
      <c r="BE2078" s="797"/>
    </row>
    <row r="2079" spans="1:57" s="65" customFormat="1" ht="15" hidden="1" customHeight="1" outlineLevel="1" x14ac:dyDescent="0.25">
      <c r="A2079" s="718"/>
      <c r="B2079" s="177"/>
      <c r="C2079" s="455"/>
      <c r="D2079" s="2806"/>
      <c r="E2079" s="2856"/>
      <c r="F2079" s="2908" t="str">
        <f>$E$1450</f>
        <v>ASHP - SEER 16 - replace electric furnace / CAC - early replacement MF ER2</v>
      </c>
      <c r="G2079" s="2909"/>
      <c r="H2079" s="2909"/>
      <c r="I2079" s="2910"/>
      <c r="J2079" s="1657" t="str">
        <f>$C$1450</f>
        <v>353000_2019_12_</v>
      </c>
      <c r="K2079" s="1663">
        <v>9.4</v>
      </c>
      <c r="L2079" s="1124"/>
      <c r="M2079" s="1108" t="s">
        <v>1380</v>
      </c>
      <c r="N2079" s="177"/>
      <c r="O2079" s="332"/>
      <c r="P2079" s="1116"/>
      <c r="Q2079" s="1116"/>
      <c r="R2079" s="1116"/>
      <c r="S2079" s="1103"/>
      <c r="T2079" s="1639"/>
      <c r="U2079" s="177"/>
      <c r="V2079" s="2866"/>
      <c r="W2079" s="909">
        <v>9.4</v>
      </c>
      <c r="X2079" s="909">
        <v>9.4</v>
      </c>
      <c r="Y2079" s="909">
        <v>9.4</v>
      </c>
      <c r="Z2079" s="909"/>
      <c r="AA2079" s="909"/>
      <c r="AB2079" s="909"/>
      <c r="AC2079" s="909"/>
      <c r="AD2079" s="909"/>
      <c r="AE2079" s="909"/>
      <c r="AF2079" s="909"/>
      <c r="AG2079" s="909"/>
      <c r="BB2079" s="784"/>
      <c r="BC2079" s="785"/>
      <c r="BD2079" s="900"/>
      <c r="BE2079" s="797"/>
    </row>
    <row r="2080" spans="1:57" s="65" customFormat="1" ht="15" hidden="1" customHeight="1" outlineLevel="1" x14ac:dyDescent="0.25">
      <c r="A2080" s="718"/>
      <c r="B2080" s="177"/>
      <c r="C2080" s="455"/>
      <c r="D2080" s="2806"/>
      <c r="E2080" s="2856"/>
      <c r="F2080" s="2908" t="str">
        <f>$E$1452</f>
        <v>ASHP - SEER 16 - replace electric furnace / CAC - early replacement MF ER1_CompE</v>
      </c>
      <c r="G2080" s="2909"/>
      <c r="H2080" s="2909"/>
      <c r="I2080" s="2910"/>
      <c r="J2080" s="1657" t="str">
        <f>$C$1452</f>
        <v>353001_2019_12_</v>
      </c>
      <c r="K2080" s="1663">
        <v>9.4</v>
      </c>
      <c r="L2080" s="1124"/>
      <c r="M2080" s="1108"/>
      <c r="N2080" s="177"/>
      <c r="O2080" s="332"/>
      <c r="P2080" s="1116"/>
      <c r="Q2080" s="1116"/>
      <c r="R2080" s="1116"/>
      <c r="S2080" s="1103"/>
      <c r="T2080" s="1639"/>
      <c r="U2080" s="177"/>
      <c r="V2080" s="2866"/>
      <c r="W2080" s="909"/>
      <c r="X2080" s="909"/>
      <c r="Y2080" s="908">
        <v>9.4</v>
      </c>
      <c r="Z2080" s="909"/>
      <c r="AA2080" s="909"/>
      <c r="AB2080" s="909"/>
      <c r="AC2080" s="909"/>
      <c r="AD2080" s="909"/>
      <c r="AE2080" s="909"/>
      <c r="AF2080" s="909"/>
      <c r="AG2080" s="909"/>
      <c r="BB2080" s="784"/>
      <c r="BC2080" s="785"/>
      <c r="BD2080" s="900"/>
      <c r="BE2080" s="797"/>
    </row>
    <row r="2081" spans="1:57" s="65" customFormat="1" ht="15" hidden="1" customHeight="1" outlineLevel="1" x14ac:dyDescent="0.25">
      <c r="A2081" s="718"/>
      <c r="B2081" s="177"/>
      <c r="C2081" s="455"/>
      <c r="D2081" s="2806"/>
      <c r="E2081" s="2856"/>
      <c r="F2081" s="2908" t="str">
        <f>$E$1454</f>
        <v>ASHP - SEER 16 - replace electric furnace / CAC - early replacement MF ER2_CompE</v>
      </c>
      <c r="G2081" s="2909"/>
      <c r="H2081" s="2909"/>
      <c r="I2081" s="2910"/>
      <c r="J2081" s="1657" t="str">
        <f>$C$1454</f>
        <v>353001_2019_12_</v>
      </c>
      <c r="K2081" s="1663">
        <v>9.4</v>
      </c>
      <c r="L2081" s="1124"/>
      <c r="M2081" s="1108"/>
      <c r="N2081" s="177"/>
      <c r="O2081" s="332"/>
      <c r="P2081" s="1116"/>
      <c r="Q2081" s="1116"/>
      <c r="R2081" s="1116"/>
      <c r="S2081" s="1103"/>
      <c r="T2081" s="1639"/>
      <c r="U2081" s="177"/>
      <c r="V2081" s="2866"/>
      <c r="W2081" s="909"/>
      <c r="X2081" s="909"/>
      <c r="Y2081" s="908">
        <v>9.4</v>
      </c>
      <c r="Z2081" s="909"/>
      <c r="AA2081" s="909"/>
      <c r="AB2081" s="909"/>
      <c r="AC2081" s="909"/>
      <c r="AD2081" s="909"/>
      <c r="AE2081" s="909"/>
      <c r="AF2081" s="909"/>
      <c r="AG2081" s="909"/>
      <c r="BB2081" s="784"/>
      <c r="BC2081" s="785"/>
      <c r="BD2081" s="900"/>
      <c r="BE2081" s="797"/>
    </row>
    <row r="2082" spans="1:57" s="65" customFormat="1" ht="15" hidden="1" customHeight="1" outlineLevel="1" x14ac:dyDescent="0.25">
      <c r="A2082" s="718"/>
      <c r="B2082" s="177"/>
      <c r="C2082" s="455"/>
      <c r="D2082" s="2806"/>
      <c r="E2082" s="2856"/>
      <c r="F2082" s="2911" t="str">
        <f>$E$1456</f>
        <v xml:space="preserve">ASHP SEER 15 - replace on Fail MF </v>
      </c>
      <c r="G2082" s="2912"/>
      <c r="H2082" s="2912"/>
      <c r="I2082" s="2913"/>
      <c r="J2082" s="1658" t="str">
        <f>$C$1456</f>
        <v>353050_2019_12_</v>
      </c>
      <c r="K2082" s="1663">
        <v>8.6999999999999993</v>
      </c>
      <c r="L2082" s="1124"/>
      <c r="M2082" s="1108" t="s">
        <v>1380</v>
      </c>
      <c r="N2082" s="177"/>
      <c r="O2082" s="332"/>
      <c r="P2082" s="1116"/>
      <c r="Q2082" s="1116"/>
      <c r="R2082" s="1116"/>
      <c r="S2082" s="1103"/>
      <c r="T2082" s="1639"/>
      <c r="U2082" s="177"/>
      <c r="V2082" s="2866"/>
      <c r="W2082" s="909">
        <v>8.6999999999999993</v>
      </c>
      <c r="X2082" s="909">
        <v>8.6999999999999993</v>
      </c>
      <c r="Y2082" s="909">
        <v>8.6999999999999993</v>
      </c>
      <c r="Z2082" s="909"/>
      <c r="AA2082" s="909"/>
      <c r="AB2082" s="909"/>
      <c r="AC2082" s="909"/>
      <c r="AD2082" s="909"/>
      <c r="AE2082" s="909"/>
      <c r="AF2082" s="909"/>
      <c r="AG2082" s="909"/>
      <c r="BB2082" s="784"/>
      <c r="BC2082" s="785"/>
      <c r="BD2082" s="900"/>
      <c r="BE2082" s="797"/>
    </row>
    <row r="2083" spans="1:57" s="65" customFormat="1" ht="15" hidden="1" customHeight="1" outlineLevel="1" x14ac:dyDescent="0.25">
      <c r="A2083" s="718"/>
      <c r="B2083" s="177"/>
      <c r="C2083" s="455"/>
      <c r="D2083" s="2806"/>
      <c r="E2083" s="2856"/>
      <c r="F2083" s="2911" t="str">
        <f>$E$1458</f>
        <v>ASHP SEER 15 - replace on Fail MF _CompE</v>
      </c>
      <c r="G2083" s="2912"/>
      <c r="H2083" s="2912"/>
      <c r="I2083" s="2913"/>
      <c r="J2083" s="1658" t="str">
        <f>$C$1458</f>
        <v>353051_2019_12_</v>
      </c>
      <c r="K2083" s="1663">
        <v>8.6999999999999993</v>
      </c>
      <c r="L2083" s="1124"/>
      <c r="M2083" s="1108"/>
      <c r="N2083" s="177"/>
      <c r="O2083" s="332"/>
      <c r="P2083" s="1116"/>
      <c r="Q2083" s="1116"/>
      <c r="R2083" s="1116"/>
      <c r="S2083" s="1103"/>
      <c r="T2083" s="1639"/>
      <c r="U2083" s="177"/>
      <c r="V2083" s="2866"/>
      <c r="W2083" s="909"/>
      <c r="X2083" s="909"/>
      <c r="Y2083" s="908">
        <v>8.6999999999999993</v>
      </c>
      <c r="Z2083" s="909"/>
      <c r="AA2083" s="909"/>
      <c r="AB2083" s="909"/>
      <c r="AC2083" s="909"/>
      <c r="AD2083" s="909"/>
      <c r="AE2083" s="909"/>
      <c r="AF2083" s="909"/>
      <c r="AG2083" s="909"/>
      <c r="BB2083" s="784"/>
      <c r="BC2083" s="785"/>
      <c r="BD2083" s="900"/>
      <c r="BE2083" s="797"/>
    </row>
    <row r="2084" spans="1:57" s="65" customFormat="1" ht="15" hidden="1" customHeight="1" outlineLevel="1" x14ac:dyDescent="0.25">
      <c r="A2084" s="718"/>
      <c r="B2084" s="177"/>
      <c r="C2084" s="455"/>
      <c r="D2084" s="2806"/>
      <c r="E2084" s="2856"/>
      <c r="F2084" s="2908" t="str">
        <f>$E$1460</f>
        <v>ASHP - SEER 17 - replace electric furnace / CAC SF</v>
      </c>
      <c r="G2084" s="2909"/>
      <c r="H2084" s="2909"/>
      <c r="I2084" s="2910"/>
      <c r="J2084" s="1657" t="str">
        <f>$C$1460</f>
        <v>353100_2019_12_</v>
      </c>
      <c r="K2084" s="1663">
        <v>9.6999999999999993</v>
      </c>
      <c r="L2084" s="1124"/>
      <c r="M2084" s="1108" t="s">
        <v>1598</v>
      </c>
      <c r="N2084" s="177"/>
      <c r="O2084" s="332"/>
      <c r="P2084" s="1116"/>
      <c r="Q2084" s="1116"/>
      <c r="R2084" s="1116"/>
      <c r="S2084" s="1103"/>
      <c r="T2084" s="1639"/>
      <c r="U2084" s="177"/>
      <c r="V2084" s="2866"/>
      <c r="W2084" s="909">
        <v>9.6999999999999993</v>
      </c>
      <c r="X2084" s="909">
        <v>9.6999999999999993</v>
      </c>
      <c r="Y2084" s="909">
        <v>9.6999999999999993</v>
      </c>
      <c r="Z2084" s="909"/>
      <c r="AA2084" s="909"/>
      <c r="AB2084" s="909"/>
      <c r="AC2084" s="909"/>
      <c r="AD2084" s="909"/>
      <c r="AE2084" s="909"/>
      <c r="AF2084" s="909"/>
      <c r="AG2084" s="909"/>
      <c r="BB2084" s="784"/>
      <c r="BC2084" s="785"/>
      <c r="BD2084" s="900"/>
      <c r="BE2084" s="797"/>
    </row>
    <row r="2085" spans="1:57" s="65" customFormat="1" ht="15" hidden="1" customHeight="1" outlineLevel="1" x14ac:dyDescent="0.25">
      <c r="A2085" s="718"/>
      <c r="B2085" s="177"/>
      <c r="C2085" s="455"/>
      <c r="D2085" s="2806"/>
      <c r="E2085" s="2856"/>
      <c r="F2085" s="2908" t="str">
        <f>$E$1462</f>
        <v>ASHP - SEER 17 - replace electric furnace / CAC MF</v>
      </c>
      <c r="G2085" s="2909"/>
      <c r="H2085" s="2909"/>
      <c r="I2085" s="2910"/>
      <c r="J2085" s="1657" t="str">
        <f>$C$1462</f>
        <v>353150_2019_12_</v>
      </c>
      <c r="K2085" s="1663">
        <v>9.6999999999999993</v>
      </c>
      <c r="L2085" s="1124"/>
      <c r="M2085" s="1108" t="s">
        <v>1598</v>
      </c>
      <c r="N2085" s="177"/>
      <c r="O2085" s="332"/>
      <c r="P2085" s="1116"/>
      <c r="Q2085" s="1116"/>
      <c r="R2085" s="1116"/>
      <c r="S2085" s="1103"/>
      <c r="T2085" s="1639"/>
      <c r="U2085" s="177"/>
      <c r="V2085" s="2866"/>
      <c r="W2085" s="909">
        <v>9.6999999999999993</v>
      </c>
      <c r="X2085" s="909">
        <v>9.6999999999999993</v>
      </c>
      <c r="Y2085" s="909">
        <v>9.6999999999999993</v>
      </c>
      <c r="Z2085" s="909"/>
      <c r="AA2085" s="909"/>
      <c r="AB2085" s="909"/>
      <c r="AC2085" s="909"/>
      <c r="AD2085" s="909"/>
      <c r="AE2085" s="909"/>
      <c r="AF2085" s="909"/>
      <c r="AG2085" s="909"/>
      <c r="BB2085" s="784"/>
      <c r="BC2085" s="785"/>
      <c r="BD2085" s="900"/>
      <c r="BE2085" s="797"/>
    </row>
    <row r="2086" spans="1:57" s="65" customFormat="1" ht="15" hidden="1" customHeight="1" outlineLevel="1" x14ac:dyDescent="0.25">
      <c r="A2086" s="718"/>
      <c r="B2086" s="177"/>
      <c r="C2086" s="455"/>
      <c r="D2086" s="2806"/>
      <c r="E2086" s="2856"/>
      <c r="F2086" s="2908" t="str">
        <f>$E$1464</f>
        <v>ASHP - SEER 17 - replace electric furnace / CAC MF_CompE</v>
      </c>
      <c r="G2086" s="2909"/>
      <c r="H2086" s="2909"/>
      <c r="I2086" s="2910"/>
      <c r="J2086" s="1657" t="str">
        <f>$C$1464</f>
        <v>353151_2019_12_</v>
      </c>
      <c r="K2086" s="1663">
        <v>9.6999999999999993</v>
      </c>
      <c r="L2086" s="1124"/>
      <c r="M2086" s="1108"/>
      <c r="N2086" s="177"/>
      <c r="O2086" s="332"/>
      <c r="P2086" s="1116"/>
      <c r="Q2086" s="1116"/>
      <c r="R2086" s="1116"/>
      <c r="S2086" s="1103"/>
      <c r="T2086" s="1639"/>
      <c r="U2086" s="177"/>
      <c r="V2086" s="2866"/>
      <c r="W2086" s="909"/>
      <c r="X2086" s="909"/>
      <c r="Y2086" s="908">
        <v>9.6999999999999993</v>
      </c>
      <c r="Z2086" s="909"/>
      <c r="AA2086" s="909"/>
      <c r="AB2086" s="909"/>
      <c r="AC2086" s="909"/>
      <c r="AD2086" s="909"/>
      <c r="AE2086" s="909"/>
      <c r="AF2086" s="909"/>
      <c r="AG2086" s="909"/>
      <c r="BB2086" s="784"/>
      <c r="BC2086" s="785"/>
      <c r="BD2086" s="900"/>
      <c r="BE2086" s="797"/>
    </row>
    <row r="2087" spans="1:57" s="65" customFormat="1" ht="15" hidden="1" customHeight="1" outlineLevel="1" x14ac:dyDescent="0.25">
      <c r="A2087" s="718"/>
      <c r="B2087" s="177"/>
      <c r="C2087" s="455"/>
      <c r="D2087" s="2806"/>
      <c r="E2087" s="2856"/>
      <c r="F2087" s="2908" t="str">
        <f>$E$1466</f>
        <v>ASHP - SEER 18 - replace electric furnace / CAC SF</v>
      </c>
      <c r="G2087" s="2909"/>
      <c r="H2087" s="2909"/>
      <c r="I2087" s="2910"/>
      <c r="J2087" s="1657" t="str">
        <f>$C$1466</f>
        <v>353200_2019_12_</v>
      </c>
      <c r="K2087" s="1663">
        <v>9.6999999999999993</v>
      </c>
      <c r="L2087" s="1124"/>
      <c r="M2087" s="1108" t="s">
        <v>1598</v>
      </c>
      <c r="N2087" s="177"/>
      <c r="O2087" s="332"/>
      <c r="P2087" s="1116"/>
      <c r="Q2087" s="1116"/>
      <c r="R2087" s="1116"/>
      <c r="S2087" s="1103"/>
      <c r="T2087" s="1639"/>
      <c r="U2087" s="177"/>
      <c r="V2087" s="2866"/>
      <c r="W2087" s="909">
        <v>9.6999999999999993</v>
      </c>
      <c r="X2087" s="909">
        <v>9.6999999999999993</v>
      </c>
      <c r="Y2087" s="909">
        <v>9.6999999999999993</v>
      </c>
      <c r="Z2087" s="909"/>
      <c r="AA2087" s="909"/>
      <c r="AB2087" s="909"/>
      <c r="AC2087" s="909"/>
      <c r="AD2087" s="909"/>
      <c r="AE2087" s="909"/>
      <c r="AF2087" s="909"/>
      <c r="AG2087" s="909"/>
      <c r="BB2087" s="784"/>
      <c r="BC2087" s="785"/>
      <c r="BD2087" s="900"/>
      <c r="BE2087" s="797"/>
    </row>
    <row r="2088" spans="1:57" s="65" customFormat="1" ht="15" hidden="1" customHeight="1" outlineLevel="1" x14ac:dyDescent="0.25">
      <c r="A2088" s="718"/>
      <c r="B2088" s="177"/>
      <c r="C2088" s="455"/>
      <c r="D2088" s="2806"/>
      <c r="E2088" s="2856"/>
      <c r="F2088" s="2908" t="str">
        <f>$E$1468</f>
        <v>ASHP - SEER 18 - replace electric furnace / CAC MF</v>
      </c>
      <c r="G2088" s="2909"/>
      <c r="H2088" s="2909"/>
      <c r="I2088" s="2910"/>
      <c r="J2088" s="1657" t="str">
        <f>$C$1468</f>
        <v>353250_2019_12_</v>
      </c>
      <c r="K2088" s="1663">
        <v>9.6999999999999993</v>
      </c>
      <c r="L2088" s="1124"/>
      <c r="M2088" s="1108" t="s">
        <v>1598</v>
      </c>
      <c r="N2088" s="177"/>
      <c r="O2088" s="332"/>
      <c r="P2088" s="1116"/>
      <c r="Q2088" s="1116"/>
      <c r="R2088" s="1116"/>
      <c r="S2088" s="1103"/>
      <c r="T2088" s="1639"/>
      <c r="U2088" s="177"/>
      <c r="V2088" s="2866"/>
      <c r="W2088" s="909">
        <v>9.6999999999999993</v>
      </c>
      <c r="X2088" s="909">
        <v>9.6999999999999993</v>
      </c>
      <c r="Y2088" s="909">
        <v>9.6999999999999993</v>
      </c>
      <c r="Z2088" s="909"/>
      <c r="AA2088" s="909"/>
      <c r="AB2088" s="909"/>
      <c r="AC2088" s="909"/>
      <c r="AD2088" s="909"/>
      <c r="AE2088" s="909"/>
      <c r="AF2088" s="909"/>
      <c r="AG2088" s="909"/>
      <c r="BB2088" s="784"/>
      <c r="BC2088" s="785"/>
      <c r="BD2088" s="900"/>
      <c r="BE2088" s="797"/>
    </row>
    <row r="2089" spans="1:57" s="65" customFormat="1" ht="15" hidden="1" customHeight="1" outlineLevel="1" x14ac:dyDescent="0.25">
      <c r="A2089" s="718"/>
      <c r="B2089" s="177"/>
      <c r="C2089" s="455"/>
      <c r="D2089" s="2806"/>
      <c r="E2089" s="2856"/>
      <c r="F2089" s="2908" t="str">
        <f>$E$1470</f>
        <v>ASHP - SEER 18 - replace electric furnace / CAC MF_CompE</v>
      </c>
      <c r="G2089" s="2909"/>
      <c r="H2089" s="2909"/>
      <c r="I2089" s="2910"/>
      <c r="J2089" s="1657" t="str">
        <f>$C$1470</f>
        <v>353251_2019_12_</v>
      </c>
      <c r="K2089" s="1663">
        <v>9.6999999999999993</v>
      </c>
      <c r="L2089" s="1124"/>
      <c r="M2089" s="1108"/>
      <c r="N2089" s="177"/>
      <c r="O2089" s="332"/>
      <c r="P2089" s="1116"/>
      <c r="Q2089" s="1116"/>
      <c r="R2089" s="1116"/>
      <c r="S2089" s="1103"/>
      <c r="T2089" s="1639"/>
      <c r="U2089" s="177"/>
      <c r="V2089" s="2866"/>
      <c r="W2089" s="909"/>
      <c r="X2089" s="909"/>
      <c r="Y2089" s="908">
        <v>9.6999999999999993</v>
      </c>
      <c r="Z2089" s="909"/>
      <c r="AA2089" s="909"/>
      <c r="AB2089" s="909"/>
      <c r="AC2089" s="909"/>
      <c r="AD2089" s="909"/>
      <c r="AE2089" s="909"/>
      <c r="AF2089" s="909"/>
      <c r="AG2089" s="909"/>
      <c r="BB2089" s="784"/>
      <c r="BC2089" s="785"/>
      <c r="BD2089" s="900"/>
      <c r="BE2089" s="797"/>
    </row>
    <row r="2090" spans="1:57" s="65" customFormat="1" ht="15" hidden="1" customHeight="1" outlineLevel="1" x14ac:dyDescent="0.25">
      <c r="A2090" s="718"/>
      <c r="B2090" s="177"/>
      <c r="C2090" s="455"/>
      <c r="D2090" s="2806"/>
      <c r="E2090" s="2856"/>
      <c r="F2090" s="2908" t="str">
        <f>$E$1472</f>
        <v>ASHP - SEER 19 - replace electric furnace / CAC SF</v>
      </c>
      <c r="G2090" s="2909"/>
      <c r="H2090" s="2909"/>
      <c r="I2090" s="2910"/>
      <c r="J2090" s="1657" t="str">
        <f>$C$1472</f>
        <v>353300_2019_12_</v>
      </c>
      <c r="K2090" s="1663">
        <v>9.6999999999999993</v>
      </c>
      <c r="L2090" s="1124"/>
      <c r="M2090" s="1108" t="s">
        <v>1598</v>
      </c>
      <c r="N2090" s="177"/>
      <c r="O2090" s="332"/>
      <c r="P2090" s="1116"/>
      <c r="Q2090" s="1116"/>
      <c r="R2090" s="1116"/>
      <c r="S2090" s="1103"/>
      <c r="T2090" s="1639"/>
      <c r="U2090" s="177"/>
      <c r="V2090" s="2866"/>
      <c r="W2090" s="909">
        <v>9.6999999999999993</v>
      </c>
      <c r="X2090" s="909">
        <v>9.6999999999999993</v>
      </c>
      <c r="Y2090" s="909">
        <v>9.6999999999999993</v>
      </c>
      <c r="Z2090" s="909"/>
      <c r="AA2090" s="909"/>
      <c r="AB2090" s="909"/>
      <c r="AC2090" s="909"/>
      <c r="AD2090" s="909"/>
      <c r="AE2090" s="909"/>
      <c r="AF2090" s="909"/>
      <c r="AG2090" s="909"/>
      <c r="BB2090" s="784"/>
      <c r="BC2090" s="785"/>
      <c r="BD2090" s="900"/>
      <c r="BE2090" s="797"/>
    </row>
    <row r="2091" spans="1:57" s="65" customFormat="1" ht="15" hidden="1" customHeight="1" outlineLevel="1" x14ac:dyDescent="0.25">
      <c r="A2091" s="718"/>
      <c r="B2091" s="177"/>
      <c r="C2091" s="455"/>
      <c r="D2091" s="2806"/>
      <c r="E2091" s="2856"/>
      <c r="F2091" s="2908" t="str">
        <f>$E$1474</f>
        <v>ASHP - SEER 19 - replace electric furnace / CAC MF</v>
      </c>
      <c r="G2091" s="2909"/>
      <c r="H2091" s="2909"/>
      <c r="I2091" s="2910"/>
      <c r="J2091" s="1657" t="str">
        <f>$C$1474</f>
        <v>353350_2019_12_</v>
      </c>
      <c r="K2091" s="1663">
        <v>9.6999999999999993</v>
      </c>
      <c r="L2091" s="1124"/>
      <c r="M2091" s="1108" t="s">
        <v>1598</v>
      </c>
      <c r="N2091" s="177"/>
      <c r="O2091" s="332"/>
      <c r="P2091" s="1116"/>
      <c r="Q2091" s="1116"/>
      <c r="R2091" s="1116"/>
      <c r="S2091" s="1103"/>
      <c r="T2091" s="1639"/>
      <c r="U2091" s="177"/>
      <c r="V2091" s="2866"/>
      <c r="W2091" s="909">
        <v>9.6999999999999993</v>
      </c>
      <c r="X2091" s="909">
        <v>9.6999999999999993</v>
      </c>
      <c r="Y2091" s="909">
        <v>9.6999999999999993</v>
      </c>
      <c r="Z2091" s="909"/>
      <c r="AA2091" s="909"/>
      <c r="AB2091" s="909"/>
      <c r="AC2091" s="909"/>
      <c r="AD2091" s="909"/>
      <c r="AE2091" s="909"/>
      <c r="AF2091" s="909"/>
      <c r="AG2091" s="909"/>
      <c r="BB2091" s="784"/>
      <c r="BC2091" s="785"/>
      <c r="BD2091" s="900"/>
      <c r="BE2091" s="797"/>
    </row>
    <row r="2092" spans="1:57" s="65" customFormat="1" ht="15" hidden="1" customHeight="1" outlineLevel="1" x14ac:dyDescent="0.25">
      <c r="A2092" s="718"/>
      <c r="B2092" s="177"/>
      <c r="C2092" s="455"/>
      <c r="D2092" s="2806"/>
      <c r="E2092" s="2856"/>
      <c r="F2092" s="2908" t="str">
        <f>$E$1476</f>
        <v>ASHP - SEER 19 - replace electric furnace / CAC MF_CompE</v>
      </c>
      <c r="G2092" s="2909"/>
      <c r="H2092" s="2909"/>
      <c r="I2092" s="2910"/>
      <c r="J2092" s="1657" t="str">
        <f>$C$1476</f>
        <v>353351_2019_12_</v>
      </c>
      <c r="K2092" s="1663">
        <v>9.6999999999999993</v>
      </c>
      <c r="L2092" s="1124"/>
      <c r="M2092" s="1108"/>
      <c r="N2092" s="177"/>
      <c r="O2092" s="332"/>
      <c r="P2092" s="1116"/>
      <c r="Q2092" s="1116"/>
      <c r="R2092" s="1116"/>
      <c r="S2092" s="1103"/>
      <c r="T2092" s="1639"/>
      <c r="U2092" s="177"/>
      <c r="V2092" s="2866"/>
      <c r="W2092" s="909"/>
      <c r="X2092" s="909"/>
      <c r="Y2092" s="908">
        <v>9.6999999999999993</v>
      </c>
      <c r="Z2092" s="909"/>
      <c r="AA2092" s="909"/>
      <c r="AB2092" s="909"/>
      <c r="AC2092" s="909"/>
      <c r="AD2092" s="909"/>
      <c r="AE2092" s="909"/>
      <c r="AF2092" s="909"/>
      <c r="AG2092" s="909"/>
      <c r="BB2092" s="784"/>
      <c r="BC2092" s="785"/>
      <c r="BD2092" s="900"/>
      <c r="BE2092" s="797"/>
    </row>
    <row r="2093" spans="1:57" s="65" customFormat="1" ht="15" hidden="1" customHeight="1" outlineLevel="1" x14ac:dyDescent="0.25">
      <c r="A2093" s="718"/>
      <c r="B2093" s="177"/>
      <c r="C2093" s="455"/>
      <c r="D2093" s="2806"/>
      <c r="E2093" s="2856"/>
      <c r="F2093" s="2908" t="str">
        <f>$E$1478</f>
        <v>ASHP - SEER 20 - replace electric furnace / CAC - early replacement SF ER1</v>
      </c>
      <c r="G2093" s="2909"/>
      <c r="H2093" s="2909"/>
      <c r="I2093" s="2910"/>
      <c r="J2093" s="1657" t="str">
        <f>$C$1478</f>
        <v>353400_2019_12_</v>
      </c>
      <c r="K2093" s="1663">
        <v>9.4</v>
      </c>
      <c r="L2093" s="1124"/>
      <c r="M2093" s="1108" t="s">
        <v>1598</v>
      </c>
      <c r="N2093" s="177"/>
      <c r="O2093" s="332"/>
      <c r="P2093" s="1116"/>
      <c r="Q2093" s="1116"/>
      <c r="R2093" s="1116"/>
      <c r="S2093" s="1103"/>
      <c r="T2093" s="1639"/>
      <c r="U2093" s="177"/>
      <c r="V2093" s="2866"/>
      <c r="W2093" s="909">
        <v>9.4</v>
      </c>
      <c r="X2093" s="909">
        <v>9.4</v>
      </c>
      <c r="Y2093" s="909">
        <v>9.4</v>
      </c>
      <c r="Z2093" s="909"/>
      <c r="AA2093" s="909"/>
      <c r="AB2093" s="909"/>
      <c r="AC2093" s="909"/>
      <c r="AD2093" s="909"/>
      <c r="AE2093" s="909"/>
      <c r="AF2093" s="909"/>
      <c r="AG2093" s="909"/>
      <c r="BB2093" s="784"/>
      <c r="BC2093" s="785"/>
      <c r="BD2093" s="900"/>
      <c r="BE2093" s="797"/>
    </row>
    <row r="2094" spans="1:57" s="65" customFormat="1" ht="15" hidden="1" customHeight="1" outlineLevel="1" x14ac:dyDescent="0.25">
      <c r="A2094" s="718"/>
      <c r="B2094" s="177"/>
      <c r="C2094" s="455"/>
      <c r="D2094" s="2806"/>
      <c r="E2094" s="2856"/>
      <c r="F2094" s="2908" t="str">
        <f>$E$1480</f>
        <v>ASHP - SEER 20 - replace electric furnace / CAC - early replacement SF ER2</v>
      </c>
      <c r="G2094" s="2909"/>
      <c r="H2094" s="2909"/>
      <c r="I2094" s="2910"/>
      <c r="J2094" s="1657" t="str">
        <f>$C$1480</f>
        <v>353400_2019_12_</v>
      </c>
      <c r="K2094" s="1663">
        <v>9.4</v>
      </c>
      <c r="L2094" s="1124"/>
      <c r="M2094" s="1108" t="s">
        <v>1598</v>
      </c>
      <c r="N2094" s="177"/>
      <c r="O2094" s="332"/>
      <c r="P2094" s="1116"/>
      <c r="Q2094" s="1116"/>
      <c r="R2094" s="1116"/>
      <c r="S2094" s="1103"/>
      <c r="T2094" s="1639"/>
      <c r="U2094" s="177"/>
      <c r="V2094" s="2866"/>
      <c r="W2094" s="909">
        <v>9.4</v>
      </c>
      <c r="X2094" s="909">
        <v>9.4</v>
      </c>
      <c r="Y2094" s="909">
        <v>9.4</v>
      </c>
      <c r="Z2094" s="909"/>
      <c r="AA2094" s="909"/>
      <c r="AB2094" s="909"/>
      <c r="AC2094" s="909"/>
      <c r="AD2094" s="909"/>
      <c r="AE2094" s="909"/>
      <c r="AF2094" s="909"/>
      <c r="AG2094" s="909"/>
      <c r="BB2094" s="784"/>
      <c r="BC2094" s="785"/>
      <c r="BD2094" s="900"/>
      <c r="BE2094" s="797"/>
    </row>
    <row r="2095" spans="1:57" s="65" customFormat="1" ht="15" hidden="1" customHeight="1" outlineLevel="1" x14ac:dyDescent="0.25">
      <c r="A2095" s="718"/>
      <c r="B2095" s="177"/>
      <c r="C2095" s="455"/>
      <c r="D2095" s="2806"/>
      <c r="E2095" s="2856"/>
      <c r="F2095" s="2908" t="str">
        <f>$E$1482</f>
        <v>ASHP - SEER 20 - replace electric furnace / CAC SF</v>
      </c>
      <c r="G2095" s="2909"/>
      <c r="H2095" s="2909"/>
      <c r="I2095" s="2910"/>
      <c r="J2095" s="1657" t="str">
        <f>$C$1482</f>
        <v>353450_2019_12_</v>
      </c>
      <c r="K2095" s="1663">
        <v>9.6999999999999993</v>
      </c>
      <c r="L2095" s="1124"/>
      <c r="M2095" s="1108" t="s">
        <v>1598</v>
      </c>
      <c r="N2095" s="177"/>
      <c r="O2095" s="332"/>
      <c r="P2095" s="1116"/>
      <c r="Q2095" s="1116"/>
      <c r="R2095" s="1116"/>
      <c r="S2095" s="1103"/>
      <c r="T2095" s="1639"/>
      <c r="U2095" s="177"/>
      <c r="V2095" s="2866"/>
      <c r="W2095" s="909">
        <v>9.6999999999999993</v>
      </c>
      <c r="X2095" s="909">
        <v>9.6999999999999993</v>
      </c>
      <c r="Y2095" s="909">
        <v>9.6999999999999993</v>
      </c>
      <c r="Z2095" s="909"/>
      <c r="AA2095" s="909"/>
      <c r="AB2095" s="909"/>
      <c r="AC2095" s="909"/>
      <c r="AD2095" s="909"/>
      <c r="AE2095" s="909"/>
      <c r="AF2095" s="909"/>
      <c r="AG2095" s="909"/>
      <c r="BB2095" s="784"/>
      <c r="BC2095" s="785"/>
      <c r="BD2095" s="900"/>
      <c r="BE2095" s="797"/>
    </row>
    <row r="2096" spans="1:57" s="65" customFormat="1" ht="15" hidden="1" customHeight="1" outlineLevel="1" x14ac:dyDescent="0.25">
      <c r="A2096" s="718"/>
      <c r="B2096" s="177"/>
      <c r="C2096" s="455"/>
      <c r="D2096" s="2806"/>
      <c r="E2096" s="2856"/>
      <c r="F2096" s="2908" t="str">
        <f>$E$1484</f>
        <v>ASHP - SEER 20 - replace electric furnace / CAC MF</v>
      </c>
      <c r="G2096" s="2909"/>
      <c r="H2096" s="2909"/>
      <c r="I2096" s="2910"/>
      <c r="J2096" s="1657" t="str">
        <f>$C$1484</f>
        <v>353500_2019_12_</v>
      </c>
      <c r="K2096" s="1663">
        <v>9.6999999999999993</v>
      </c>
      <c r="L2096" s="1124"/>
      <c r="M2096" s="1108" t="s">
        <v>1598</v>
      </c>
      <c r="N2096" s="177"/>
      <c r="O2096" s="332"/>
      <c r="P2096" s="1116"/>
      <c r="Q2096" s="1117"/>
      <c r="R2096" s="1116"/>
      <c r="S2096" s="1103"/>
      <c r="T2096" s="1639"/>
      <c r="U2096" s="177"/>
      <c r="V2096" s="2866"/>
      <c r="W2096" s="909">
        <v>9.6999999999999993</v>
      </c>
      <c r="X2096" s="909">
        <v>9.6999999999999993</v>
      </c>
      <c r="Y2096" s="909">
        <v>9.6999999999999993</v>
      </c>
      <c r="Z2096" s="909"/>
      <c r="AA2096" s="909"/>
      <c r="AB2096" s="909"/>
      <c r="AC2096" s="909"/>
      <c r="AD2096" s="909"/>
      <c r="AE2096" s="909"/>
      <c r="AF2096" s="909"/>
      <c r="AG2096" s="909"/>
      <c r="BB2096" s="784"/>
      <c r="BC2096" s="785"/>
      <c r="BD2096" s="900"/>
      <c r="BE2096" s="797"/>
    </row>
    <row r="2097" spans="1:57" s="65" customFormat="1" ht="15" hidden="1" customHeight="1" outlineLevel="1" x14ac:dyDescent="0.25">
      <c r="A2097" s="718"/>
      <c r="B2097" s="177"/>
      <c r="C2097" s="455"/>
      <c r="D2097" s="2806"/>
      <c r="E2097" s="2856"/>
      <c r="F2097" s="2908" t="str">
        <f>$E$1486</f>
        <v>ASHP - SEER 20 - replace electric furnace / CAC MF_CompE</v>
      </c>
      <c r="G2097" s="2909"/>
      <c r="H2097" s="2909"/>
      <c r="I2097" s="2910"/>
      <c r="J2097" s="1657" t="str">
        <f>$C$1486</f>
        <v>353501_2019_12_</v>
      </c>
      <c r="K2097" s="1663">
        <v>9.6999999999999993</v>
      </c>
      <c r="L2097" s="1124"/>
      <c r="M2097" s="1108"/>
      <c r="N2097" s="177"/>
      <c r="O2097" s="332"/>
      <c r="P2097" s="1116"/>
      <c r="Q2097" s="1117"/>
      <c r="R2097" s="1116"/>
      <c r="S2097" s="1103"/>
      <c r="T2097" s="1639"/>
      <c r="U2097" s="177"/>
      <c r="V2097" s="2866"/>
      <c r="W2097" s="909"/>
      <c r="X2097" s="909"/>
      <c r="Y2097" s="908">
        <v>9.6999999999999993</v>
      </c>
      <c r="Z2097" s="909"/>
      <c r="AA2097" s="909"/>
      <c r="AB2097" s="909"/>
      <c r="AC2097" s="909"/>
      <c r="AD2097" s="909"/>
      <c r="AE2097" s="909"/>
      <c r="AF2097" s="909"/>
      <c r="AG2097" s="909"/>
      <c r="BB2097" s="784"/>
      <c r="BC2097" s="785"/>
      <c r="BD2097" s="900"/>
      <c r="BE2097" s="797"/>
    </row>
    <row r="2098" spans="1:57" s="65" customFormat="1" ht="15" hidden="1" customHeight="1" outlineLevel="1" x14ac:dyDescent="0.25">
      <c r="A2098" s="718"/>
      <c r="B2098" s="177"/>
      <c r="C2098" s="455"/>
      <c r="D2098" s="2806"/>
      <c r="E2098" s="2856"/>
      <c r="F2098" s="2908" t="str">
        <f>$E$1488</f>
        <v>ASHP - SEER 21 - replace electric furnace / CAC - early replacement SF ER1</v>
      </c>
      <c r="G2098" s="2909"/>
      <c r="H2098" s="2909"/>
      <c r="I2098" s="2910"/>
      <c r="J2098" s="1657" t="str">
        <f>$C$1488</f>
        <v>353550_2019_12_</v>
      </c>
      <c r="K2098" s="1663">
        <v>9.4</v>
      </c>
      <c r="L2098" s="1124"/>
      <c r="M2098" s="1108" t="s">
        <v>1598</v>
      </c>
      <c r="N2098" s="177"/>
      <c r="O2098" s="332"/>
      <c r="P2098" s="1116"/>
      <c r="Q2098" s="1117"/>
      <c r="R2098" s="1116"/>
      <c r="S2098" s="1103"/>
      <c r="T2098" s="1639"/>
      <c r="U2098" s="177"/>
      <c r="V2098" s="2866"/>
      <c r="W2098" s="909">
        <v>9.4</v>
      </c>
      <c r="X2098" s="909">
        <v>9.4</v>
      </c>
      <c r="Y2098" s="909">
        <v>9.4</v>
      </c>
      <c r="Z2098" s="909"/>
      <c r="AA2098" s="909"/>
      <c r="AB2098" s="909"/>
      <c r="AC2098" s="909"/>
      <c r="AD2098" s="909"/>
      <c r="AE2098" s="909"/>
      <c r="AF2098" s="909"/>
      <c r="AG2098" s="909"/>
      <c r="BB2098" s="784"/>
      <c r="BC2098" s="785"/>
      <c r="BD2098" s="900"/>
      <c r="BE2098" s="797"/>
    </row>
    <row r="2099" spans="1:57" s="65" customFormat="1" ht="15" hidden="1" customHeight="1" outlineLevel="1" x14ac:dyDescent="0.25">
      <c r="A2099" s="718"/>
      <c r="B2099" s="177"/>
      <c r="C2099" s="455"/>
      <c r="D2099" s="2806"/>
      <c r="E2099" s="2856"/>
      <c r="F2099" s="2908" t="str">
        <f>$E$1490</f>
        <v>ASHP - SEER 21 - replace electric furnace / CAC - early replacement SF ER2</v>
      </c>
      <c r="G2099" s="2909"/>
      <c r="H2099" s="2909"/>
      <c r="I2099" s="2910"/>
      <c r="J2099" s="1657" t="str">
        <f>$C$1490</f>
        <v>353550_2019_12_</v>
      </c>
      <c r="K2099" s="1663">
        <v>9.4</v>
      </c>
      <c r="L2099" s="1124"/>
      <c r="M2099" s="1108" t="s">
        <v>1598</v>
      </c>
      <c r="N2099" s="177"/>
      <c r="O2099" s="332"/>
      <c r="P2099" s="1116"/>
      <c r="Q2099" s="1117"/>
      <c r="R2099" s="1116"/>
      <c r="S2099" s="1103"/>
      <c r="T2099" s="1639"/>
      <c r="U2099" s="177"/>
      <c r="V2099" s="2866"/>
      <c r="W2099" s="909">
        <v>9.4</v>
      </c>
      <c r="X2099" s="909">
        <v>9.4</v>
      </c>
      <c r="Y2099" s="909">
        <v>9.4</v>
      </c>
      <c r="Z2099" s="909"/>
      <c r="AA2099" s="909"/>
      <c r="AB2099" s="909"/>
      <c r="AC2099" s="909"/>
      <c r="AD2099" s="909"/>
      <c r="AE2099" s="909"/>
      <c r="AF2099" s="909"/>
      <c r="AG2099" s="909"/>
      <c r="BB2099" s="784"/>
      <c r="BC2099" s="785"/>
      <c r="BD2099" s="900"/>
      <c r="BE2099" s="797"/>
    </row>
    <row r="2100" spans="1:57" s="65" customFormat="1" ht="15" hidden="1" customHeight="1" outlineLevel="1" x14ac:dyDescent="0.25">
      <c r="A2100" s="718"/>
      <c r="B2100" s="177"/>
      <c r="C2100" s="455"/>
      <c r="D2100" s="2806"/>
      <c r="E2100" s="2856"/>
      <c r="F2100" s="2908" t="str">
        <f>$E$1492</f>
        <v>ASHP - SEER 21 - replace electric furnace / CAC - early replacement MF ER1</v>
      </c>
      <c r="G2100" s="2909"/>
      <c r="H2100" s="2909"/>
      <c r="I2100" s="2910"/>
      <c r="J2100" s="1657" t="str">
        <f>$C$1492</f>
        <v>353600_2019_12_</v>
      </c>
      <c r="K2100" s="1663">
        <v>9.4</v>
      </c>
      <c r="L2100" s="1124"/>
      <c r="M2100" s="1108" t="s">
        <v>1598</v>
      </c>
      <c r="N2100" s="177"/>
      <c r="O2100" s="332"/>
      <c r="P2100" s="1116"/>
      <c r="Q2100" s="1117"/>
      <c r="R2100" s="1116"/>
      <c r="S2100" s="1103"/>
      <c r="T2100" s="1639"/>
      <c r="U2100" s="177"/>
      <c r="V2100" s="2866"/>
      <c r="W2100" s="909">
        <v>9.4</v>
      </c>
      <c r="X2100" s="909">
        <v>9.4</v>
      </c>
      <c r="Y2100" s="909">
        <v>9.4</v>
      </c>
      <c r="Z2100" s="909"/>
      <c r="AA2100" s="909"/>
      <c r="AB2100" s="909"/>
      <c r="AC2100" s="909"/>
      <c r="AD2100" s="909"/>
      <c r="AE2100" s="909"/>
      <c r="AF2100" s="909"/>
      <c r="AG2100" s="909"/>
      <c r="BB2100" s="784"/>
      <c r="BC2100" s="785"/>
      <c r="BD2100" s="900"/>
      <c r="BE2100" s="797"/>
    </row>
    <row r="2101" spans="1:57" s="65" customFormat="1" ht="15" hidden="1" customHeight="1" outlineLevel="1" x14ac:dyDescent="0.25">
      <c r="A2101" s="718"/>
      <c r="B2101" s="177"/>
      <c r="C2101" s="455"/>
      <c r="D2101" s="2806"/>
      <c r="E2101" s="2856"/>
      <c r="F2101" s="2908" t="str">
        <f>$E$1494</f>
        <v>ASHP - SEER 21 - replace electric furnace / CAC - early replacement MF ER2</v>
      </c>
      <c r="G2101" s="2909"/>
      <c r="H2101" s="2909"/>
      <c r="I2101" s="2910"/>
      <c r="J2101" s="1657" t="str">
        <f>$C$1494</f>
        <v>353600_2019_12_</v>
      </c>
      <c r="K2101" s="1663">
        <v>9.4</v>
      </c>
      <c r="L2101" s="1124"/>
      <c r="M2101" s="1108" t="s">
        <v>1598</v>
      </c>
      <c r="N2101" s="177"/>
      <c r="O2101" s="332"/>
      <c r="P2101" s="1116"/>
      <c r="Q2101" s="1117"/>
      <c r="R2101" s="1116"/>
      <c r="S2101" s="1103"/>
      <c r="T2101" s="1639"/>
      <c r="U2101" s="177"/>
      <c r="V2101" s="2866"/>
      <c r="W2101" s="909">
        <v>9.4</v>
      </c>
      <c r="X2101" s="909">
        <v>9.4</v>
      </c>
      <c r="Y2101" s="909">
        <v>9.4</v>
      </c>
      <c r="Z2101" s="909"/>
      <c r="AA2101" s="909"/>
      <c r="AB2101" s="909"/>
      <c r="AC2101" s="909"/>
      <c r="AD2101" s="909"/>
      <c r="AE2101" s="909"/>
      <c r="AF2101" s="909"/>
      <c r="AG2101" s="909"/>
      <c r="BB2101" s="784"/>
      <c r="BC2101" s="785"/>
      <c r="BD2101" s="900"/>
      <c r="BE2101" s="797"/>
    </row>
    <row r="2102" spans="1:57" s="65" customFormat="1" ht="15" hidden="1" customHeight="1" outlineLevel="1" x14ac:dyDescent="0.25">
      <c r="A2102" s="718"/>
      <c r="B2102" s="177"/>
      <c r="C2102" s="455"/>
      <c r="D2102" s="2806"/>
      <c r="E2102" s="2856"/>
      <c r="F2102" s="2908" t="str">
        <f>$E$1496</f>
        <v>ASHP - SEER 21 - replace electric furnace / CAC - early replacement MF ER1_CompE</v>
      </c>
      <c r="G2102" s="2909"/>
      <c r="H2102" s="2909"/>
      <c r="I2102" s="2910"/>
      <c r="J2102" s="1657" t="str">
        <f>$C$1496</f>
        <v>353601_2019_12_</v>
      </c>
      <c r="K2102" s="1663">
        <v>9.4</v>
      </c>
      <c r="L2102" s="1124"/>
      <c r="M2102" s="1108"/>
      <c r="N2102" s="177"/>
      <c r="O2102" s="332"/>
      <c r="P2102" s="1116"/>
      <c r="Q2102" s="1117"/>
      <c r="R2102" s="1116"/>
      <c r="S2102" s="1103"/>
      <c r="T2102" s="1639"/>
      <c r="U2102" s="177"/>
      <c r="V2102" s="2866"/>
      <c r="W2102" s="909"/>
      <c r="X2102" s="909"/>
      <c r="Y2102" s="908">
        <v>9.4</v>
      </c>
      <c r="Z2102" s="909"/>
      <c r="AA2102" s="909"/>
      <c r="AB2102" s="909"/>
      <c r="AC2102" s="909"/>
      <c r="AD2102" s="909"/>
      <c r="AE2102" s="909"/>
      <c r="AF2102" s="909"/>
      <c r="AG2102" s="909"/>
      <c r="BB2102" s="784"/>
      <c r="BC2102" s="785"/>
      <c r="BD2102" s="900"/>
      <c r="BE2102" s="797"/>
    </row>
    <row r="2103" spans="1:57" s="65" customFormat="1" ht="15" hidden="1" customHeight="1" outlineLevel="1" x14ac:dyDescent="0.25">
      <c r="A2103" s="718"/>
      <c r="B2103" s="177"/>
      <c r="C2103" s="455"/>
      <c r="D2103" s="2806"/>
      <c r="E2103" s="2856"/>
      <c r="F2103" s="2908" t="str">
        <f>$E$1498</f>
        <v>ASHP - SEER 21 - replace electric furnace / CAC - early replacement MF ER2_CompE</v>
      </c>
      <c r="G2103" s="2909"/>
      <c r="H2103" s="2909"/>
      <c r="I2103" s="2910"/>
      <c r="J2103" s="1657" t="str">
        <f>$C$1498</f>
        <v>353601_2019_12_</v>
      </c>
      <c r="K2103" s="1663">
        <v>9.4</v>
      </c>
      <c r="L2103" s="1124"/>
      <c r="M2103" s="1108"/>
      <c r="N2103" s="177"/>
      <c r="O2103" s="332"/>
      <c r="P2103" s="1116"/>
      <c r="Q2103" s="1117"/>
      <c r="R2103" s="1116"/>
      <c r="S2103" s="1103"/>
      <c r="T2103" s="1639"/>
      <c r="U2103" s="177"/>
      <c r="V2103" s="2866"/>
      <c r="W2103" s="909"/>
      <c r="X2103" s="909"/>
      <c r="Y2103" s="908">
        <v>9.4</v>
      </c>
      <c r="Z2103" s="909"/>
      <c r="AA2103" s="909"/>
      <c r="AB2103" s="909"/>
      <c r="AC2103" s="909"/>
      <c r="AD2103" s="909"/>
      <c r="AE2103" s="909"/>
      <c r="AF2103" s="909"/>
      <c r="AG2103" s="909"/>
      <c r="BB2103" s="784"/>
      <c r="BC2103" s="785"/>
      <c r="BD2103" s="900"/>
      <c r="BE2103" s="797"/>
    </row>
    <row r="2104" spans="1:57" s="65" customFormat="1" ht="15" hidden="1" customHeight="1" outlineLevel="1" x14ac:dyDescent="0.25">
      <c r="A2104" s="718"/>
      <c r="B2104" s="177"/>
      <c r="C2104" s="455"/>
      <c r="D2104" s="2806"/>
      <c r="E2104" s="2856"/>
      <c r="F2104" s="2908" t="str">
        <f>$E$1500</f>
        <v>ASHP - SEER 21 - replace electric furnace / CAC SF</v>
      </c>
      <c r="G2104" s="2909"/>
      <c r="H2104" s="2909"/>
      <c r="I2104" s="2910"/>
      <c r="J2104" s="1657" t="str">
        <f>$C$1500</f>
        <v>353650_2019_12_</v>
      </c>
      <c r="K2104" s="1663">
        <v>9.6999999999999993</v>
      </c>
      <c r="L2104" s="1124"/>
      <c r="M2104" s="1108" t="s">
        <v>1598</v>
      </c>
      <c r="N2104" s="177"/>
      <c r="O2104" s="332"/>
      <c r="P2104" s="1116"/>
      <c r="Q2104" s="1117"/>
      <c r="R2104" s="1116"/>
      <c r="S2104" s="1103"/>
      <c r="T2104" s="1639"/>
      <c r="U2104" s="177"/>
      <c r="V2104" s="2866"/>
      <c r="W2104" s="909">
        <v>9.6999999999999993</v>
      </c>
      <c r="X2104" s="909">
        <v>9.6999999999999993</v>
      </c>
      <c r="Y2104" s="909">
        <v>9.6999999999999993</v>
      </c>
      <c r="Z2104" s="909"/>
      <c r="AA2104" s="909"/>
      <c r="AB2104" s="909"/>
      <c r="AC2104" s="909"/>
      <c r="AD2104" s="909"/>
      <c r="AE2104" s="909"/>
      <c r="AF2104" s="909"/>
      <c r="AG2104" s="909"/>
      <c r="BB2104" s="784"/>
      <c r="BC2104" s="785"/>
      <c r="BD2104" s="900"/>
      <c r="BE2104" s="797"/>
    </row>
    <row r="2105" spans="1:57" s="65" customFormat="1" ht="15" hidden="1" customHeight="1" outlineLevel="1" x14ac:dyDescent="0.25">
      <c r="A2105" s="785"/>
      <c r="B2105" s="177"/>
      <c r="C2105" s="455"/>
      <c r="D2105" s="2806"/>
      <c r="E2105" s="2856"/>
      <c r="F2105" s="2908" t="str">
        <f>$E$1502</f>
        <v>ASHP-  SEER 21+ replace at Fail Elec Resist Furnace MF</v>
      </c>
      <c r="G2105" s="2909"/>
      <c r="H2105" s="2909"/>
      <c r="I2105" s="2910"/>
      <c r="J2105" s="1657" t="str">
        <f>$C$1502</f>
        <v>353700_2019_12_</v>
      </c>
      <c r="K2105" s="1663">
        <v>9.6999999999999993</v>
      </c>
      <c r="L2105" s="1124"/>
      <c r="M2105" s="1108" t="s">
        <v>1598</v>
      </c>
      <c r="N2105" s="177"/>
      <c r="O2105" s="332"/>
      <c r="P2105" s="332"/>
      <c r="Q2105" s="332"/>
      <c r="R2105" s="332"/>
      <c r="S2105" s="177"/>
      <c r="T2105" s="177"/>
      <c r="U2105" s="177"/>
      <c r="V2105" s="2866"/>
      <c r="W2105" s="909">
        <v>9.6999999999999993</v>
      </c>
      <c r="X2105" s="909">
        <v>9.6999999999999993</v>
      </c>
      <c r="Y2105" s="909">
        <v>9.6999999999999993</v>
      </c>
      <c r="Z2105" s="909"/>
      <c r="AA2105" s="909"/>
      <c r="AB2105" s="909"/>
      <c r="AC2105" s="909"/>
      <c r="AD2105" s="909"/>
      <c r="AE2105" s="909"/>
      <c r="AF2105" s="909"/>
      <c r="AG2105" s="909"/>
      <c r="BB2105" s="784"/>
      <c r="BC2105" s="785"/>
      <c r="BD2105" s="900"/>
      <c r="BE2105" s="797"/>
    </row>
    <row r="2106" spans="1:57" s="65" customFormat="1" ht="15" hidden="1" customHeight="1" outlineLevel="1" x14ac:dyDescent="0.25">
      <c r="A2106" s="785"/>
      <c r="B2106" s="177"/>
      <c r="C2106" s="455"/>
      <c r="D2106" s="2806"/>
      <c r="E2106" s="2856"/>
      <c r="F2106" s="2908" t="str">
        <f>$E$1504</f>
        <v>ASHP-  SEER 21+ replace at Fail Elec Resist Furnace MF_CompE</v>
      </c>
      <c r="G2106" s="2909"/>
      <c r="H2106" s="2909"/>
      <c r="I2106" s="2910"/>
      <c r="J2106" s="1657" t="str">
        <f>$C$1504</f>
        <v>353701_2019_12_</v>
      </c>
      <c r="K2106" s="1663">
        <v>9.6999999999999993</v>
      </c>
      <c r="L2106" s="1124"/>
      <c r="M2106" s="1108"/>
      <c r="N2106" s="177"/>
      <c r="O2106" s="332"/>
      <c r="P2106" s="332"/>
      <c r="Q2106" s="332"/>
      <c r="R2106" s="332"/>
      <c r="S2106" s="177"/>
      <c r="T2106" s="177"/>
      <c r="U2106" s="177"/>
      <c r="V2106" s="2866"/>
      <c r="W2106" s="909"/>
      <c r="X2106" s="909"/>
      <c r="Y2106" s="908">
        <v>9.6999999999999993</v>
      </c>
      <c r="Z2106" s="909"/>
      <c r="AA2106" s="909"/>
      <c r="AB2106" s="909"/>
      <c r="AC2106" s="909"/>
      <c r="AD2106" s="909"/>
      <c r="AE2106" s="909"/>
      <c r="AF2106" s="909"/>
      <c r="AG2106" s="909"/>
      <c r="BB2106" s="784"/>
      <c r="BC2106" s="785"/>
      <c r="BD2106" s="900"/>
      <c r="BE2106" s="797"/>
    </row>
    <row r="2107" spans="1:57" s="65" customFormat="1" ht="15" hidden="1" customHeight="1" outlineLevel="1" x14ac:dyDescent="0.25">
      <c r="A2107" s="718"/>
      <c r="B2107" s="177"/>
      <c r="C2107" s="455"/>
      <c r="D2107" s="2806"/>
      <c r="E2107" s="2856"/>
      <c r="F2107" s="2908" t="str">
        <f>$E$1506</f>
        <v>ASHP SEER 17 replace ASHP - early replacement SF ER1</v>
      </c>
      <c r="G2107" s="2909"/>
      <c r="H2107" s="2909"/>
      <c r="I2107" s="2910"/>
      <c r="J2107" s="1657" t="str">
        <f>$C$1506</f>
        <v>353750_2019_12_</v>
      </c>
      <c r="K2107" s="1663">
        <v>9.5</v>
      </c>
      <c r="L2107" s="1124"/>
      <c r="M2107" s="1108" t="s">
        <v>1598</v>
      </c>
      <c r="N2107" s="177"/>
      <c r="O2107" s="332"/>
      <c r="P2107" s="1116"/>
      <c r="Q2107" s="1117"/>
      <c r="R2107" s="1116"/>
      <c r="S2107" s="1103"/>
      <c r="T2107" s="1639"/>
      <c r="U2107" s="177"/>
      <c r="V2107" s="2866"/>
      <c r="W2107" s="909">
        <v>9.5</v>
      </c>
      <c r="X2107" s="909">
        <v>9.5</v>
      </c>
      <c r="Y2107" s="909">
        <v>9.5</v>
      </c>
      <c r="Z2107" s="909"/>
      <c r="AA2107" s="909"/>
      <c r="AB2107" s="909"/>
      <c r="AC2107" s="909"/>
      <c r="AD2107" s="909"/>
      <c r="AE2107" s="909"/>
      <c r="AF2107" s="909"/>
      <c r="AG2107" s="909"/>
      <c r="BB2107" s="784"/>
      <c r="BC2107" s="785"/>
      <c r="BD2107" s="900"/>
      <c r="BE2107" s="797"/>
    </row>
    <row r="2108" spans="1:57" s="65" customFormat="1" ht="15" hidden="1" customHeight="1" outlineLevel="1" x14ac:dyDescent="0.25">
      <c r="A2108" s="785"/>
      <c r="B2108" s="177"/>
      <c r="C2108" s="455"/>
      <c r="D2108" s="2806"/>
      <c r="E2108" s="2856"/>
      <c r="F2108" s="2908" t="str">
        <f>$E$1508</f>
        <v>ASHP SEER 17 replace ASHP - early replacement SF ER2</v>
      </c>
      <c r="G2108" s="2909"/>
      <c r="H2108" s="2909"/>
      <c r="I2108" s="2910"/>
      <c r="J2108" s="1657" t="str">
        <f>$C$1508</f>
        <v>353750_2019_12_</v>
      </c>
      <c r="K2108" s="1663">
        <v>9.5</v>
      </c>
      <c r="L2108" s="1124"/>
      <c r="M2108" s="1108" t="s">
        <v>1598</v>
      </c>
      <c r="N2108" s="177"/>
      <c r="O2108" s="332"/>
      <c r="P2108" s="332"/>
      <c r="Q2108" s="332"/>
      <c r="R2108" s="332"/>
      <c r="S2108" s="177"/>
      <c r="T2108" s="177"/>
      <c r="U2108" s="177"/>
      <c r="V2108" s="2866"/>
      <c r="W2108" s="909">
        <v>9.5</v>
      </c>
      <c r="X2108" s="909">
        <v>9.5</v>
      </c>
      <c r="Y2108" s="909">
        <v>9.5</v>
      </c>
      <c r="Z2108" s="909"/>
      <c r="AA2108" s="909"/>
      <c r="AB2108" s="909"/>
      <c r="AC2108" s="909"/>
      <c r="AD2108" s="909"/>
      <c r="AE2108" s="909"/>
      <c r="AF2108" s="909"/>
      <c r="AG2108" s="909"/>
      <c r="BB2108" s="784"/>
      <c r="BC2108" s="785"/>
      <c r="BD2108" s="900"/>
      <c r="BE2108" s="797"/>
    </row>
    <row r="2109" spans="1:57" s="65" customFormat="1" ht="15" hidden="1" customHeight="1" outlineLevel="1" x14ac:dyDescent="0.25">
      <c r="A2109" s="718"/>
      <c r="B2109" s="177"/>
      <c r="C2109" s="455"/>
      <c r="D2109" s="2806"/>
      <c r="E2109" s="2856"/>
      <c r="F2109" s="2908" t="str">
        <f>$E$1510</f>
        <v>ASHP SEER 17 replace ASHP - replace on fail SF</v>
      </c>
      <c r="G2109" s="2909"/>
      <c r="H2109" s="2909"/>
      <c r="I2109" s="2910"/>
      <c r="J2109" s="1657" t="str">
        <f>$C$1510</f>
        <v>353800_2019_12_</v>
      </c>
      <c r="K2109" s="1663">
        <v>9.8000000000000007</v>
      </c>
      <c r="L2109" s="1124"/>
      <c r="M2109" s="1108" t="s">
        <v>1598</v>
      </c>
      <c r="N2109" s="177"/>
      <c r="O2109" s="332"/>
      <c r="P2109" s="1116"/>
      <c r="Q2109" s="1117"/>
      <c r="R2109" s="1116"/>
      <c r="S2109" s="1103"/>
      <c r="T2109" s="1639"/>
      <c r="U2109" s="177"/>
      <c r="V2109" s="2866"/>
      <c r="W2109" s="909">
        <v>9.8000000000000007</v>
      </c>
      <c r="X2109" s="909">
        <v>9.8000000000000007</v>
      </c>
      <c r="Y2109" s="909">
        <v>9.8000000000000007</v>
      </c>
      <c r="Z2109" s="909"/>
      <c r="AA2109" s="909"/>
      <c r="AB2109" s="909"/>
      <c r="AC2109" s="909"/>
      <c r="AD2109" s="909"/>
      <c r="AE2109" s="909"/>
      <c r="AF2109" s="909"/>
      <c r="AG2109" s="909"/>
      <c r="BB2109" s="784"/>
      <c r="BC2109" s="785"/>
      <c r="BD2109" s="900"/>
      <c r="BE2109" s="797"/>
    </row>
    <row r="2110" spans="1:57" s="65" customFormat="1" ht="15" hidden="1" customHeight="1" outlineLevel="1" x14ac:dyDescent="0.25">
      <c r="A2110" s="785"/>
      <c r="B2110" s="177"/>
      <c r="C2110" s="455"/>
      <c r="D2110" s="2806"/>
      <c r="E2110" s="2856"/>
      <c r="F2110" s="2908" t="str">
        <f>$E$1512</f>
        <v>ASHP SEER 18 replace ASHP - early replacement SF ER1</v>
      </c>
      <c r="G2110" s="2909"/>
      <c r="H2110" s="2909"/>
      <c r="I2110" s="2910"/>
      <c r="J2110" s="1657" t="str">
        <f>$C$1512</f>
        <v>353850_2019_12_</v>
      </c>
      <c r="K2110" s="1663">
        <v>9.5</v>
      </c>
      <c r="L2110" s="1124"/>
      <c r="M2110" s="1108" t="s">
        <v>1598</v>
      </c>
      <c r="N2110" s="177"/>
      <c r="O2110" s="332"/>
      <c r="P2110" s="332"/>
      <c r="Q2110" s="332"/>
      <c r="R2110" s="332"/>
      <c r="S2110" s="177"/>
      <c r="T2110" s="177"/>
      <c r="U2110" s="177"/>
      <c r="V2110" s="2866"/>
      <c r="W2110" s="909">
        <v>9.5</v>
      </c>
      <c r="X2110" s="909">
        <v>9.5</v>
      </c>
      <c r="Y2110" s="909">
        <v>9.5</v>
      </c>
      <c r="Z2110" s="909"/>
      <c r="AA2110" s="909"/>
      <c r="AB2110" s="909"/>
      <c r="AC2110" s="909"/>
      <c r="AD2110" s="909"/>
      <c r="AE2110" s="909"/>
      <c r="AF2110" s="909"/>
      <c r="AG2110" s="909"/>
      <c r="BB2110" s="784"/>
      <c r="BC2110" s="785"/>
      <c r="BD2110" s="900"/>
      <c r="BE2110" s="797"/>
    </row>
    <row r="2111" spans="1:57" s="65" customFormat="1" ht="15" hidden="1" customHeight="1" outlineLevel="1" x14ac:dyDescent="0.25">
      <c r="A2111" s="785"/>
      <c r="B2111" s="177"/>
      <c r="C2111" s="455"/>
      <c r="D2111" s="2806"/>
      <c r="E2111" s="2856"/>
      <c r="F2111" s="2908" t="str">
        <f>$E$1514</f>
        <v>ASHP SEER 18 replace ASHP - early replacement SF ER2</v>
      </c>
      <c r="G2111" s="2909"/>
      <c r="H2111" s="2909"/>
      <c r="I2111" s="2910"/>
      <c r="J2111" s="1657" t="str">
        <f>$C$1514</f>
        <v>353850_2019_12_</v>
      </c>
      <c r="K2111" s="1663">
        <v>9.5</v>
      </c>
      <c r="L2111" s="1124"/>
      <c r="M2111" s="1108" t="s">
        <v>1598</v>
      </c>
      <c r="N2111" s="177"/>
      <c r="O2111" s="332"/>
      <c r="P2111" s="332"/>
      <c r="Q2111" s="332"/>
      <c r="R2111" s="332"/>
      <c r="S2111" s="177"/>
      <c r="T2111" s="177"/>
      <c r="U2111" s="177"/>
      <c r="V2111" s="2866"/>
      <c r="W2111" s="909">
        <v>9.5</v>
      </c>
      <c r="X2111" s="909">
        <v>9.5</v>
      </c>
      <c r="Y2111" s="909">
        <v>9.5</v>
      </c>
      <c r="Z2111" s="909"/>
      <c r="AA2111" s="909"/>
      <c r="AB2111" s="909"/>
      <c r="AC2111" s="909"/>
      <c r="AD2111" s="909"/>
      <c r="AE2111" s="909"/>
      <c r="AF2111" s="909"/>
      <c r="AG2111" s="909"/>
      <c r="BB2111" s="784"/>
      <c r="BC2111" s="785"/>
      <c r="BD2111" s="900"/>
      <c r="BE2111" s="797"/>
    </row>
    <row r="2112" spans="1:57" s="65" customFormat="1" ht="15" hidden="1" customHeight="1" outlineLevel="1" x14ac:dyDescent="0.25">
      <c r="A2112" s="718"/>
      <c r="B2112" s="177"/>
      <c r="C2112" s="455"/>
      <c r="D2112" s="2806"/>
      <c r="E2112" s="2856"/>
      <c r="F2112" s="2908" t="str">
        <f>$E$1516</f>
        <v>ASHP - SEER 18 - replace on fail SF</v>
      </c>
      <c r="G2112" s="2909"/>
      <c r="H2112" s="2909"/>
      <c r="I2112" s="2910"/>
      <c r="J2112" s="1657" t="str">
        <f>$C$1516</f>
        <v>353950_2019_12_</v>
      </c>
      <c r="K2112" s="1663">
        <v>9.8000000000000007</v>
      </c>
      <c r="L2112" s="1124"/>
      <c r="M2112" s="1108" t="s">
        <v>1598</v>
      </c>
      <c r="N2112" s="177"/>
      <c r="O2112" s="332"/>
      <c r="P2112" s="1116"/>
      <c r="Q2112" s="1117"/>
      <c r="R2112" s="1116"/>
      <c r="S2112" s="1103"/>
      <c r="T2112" s="1639"/>
      <c r="U2112" s="177"/>
      <c r="V2112" s="2866"/>
      <c r="W2112" s="909">
        <v>9.8000000000000007</v>
      </c>
      <c r="X2112" s="909">
        <v>9.8000000000000007</v>
      </c>
      <c r="Y2112" s="909">
        <v>9.8000000000000007</v>
      </c>
      <c r="Z2112" s="909"/>
      <c r="AA2112" s="909"/>
      <c r="AB2112" s="909"/>
      <c r="AC2112" s="909"/>
      <c r="AD2112" s="909"/>
      <c r="AE2112" s="909"/>
      <c r="AF2112" s="909"/>
      <c r="AG2112" s="909"/>
      <c r="BB2112" s="784"/>
      <c r="BC2112" s="785"/>
      <c r="BD2112" s="900"/>
      <c r="BE2112" s="797"/>
    </row>
    <row r="2113" spans="1:57" s="65" customFormat="1" ht="15" hidden="1" customHeight="1" outlineLevel="1" x14ac:dyDescent="0.25">
      <c r="A2113" s="785"/>
      <c r="B2113" s="177"/>
      <c r="C2113" s="455"/>
      <c r="D2113" s="2806"/>
      <c r="E2113" s="2856"/>
      <c r="F2113" s="2908" t="str">
        <f>$E$1518</f>
        <v>ASHP SEER 19 replace ASHP - early replacement SF ER1</v>
      </c>
      <c r="G2113" s="2909"/>
      <c r="H2113" s="2909"/>
      <c r="I2113" s="2910"/>
      <c r="J2113" s="1657" t="str">
        <f>$C$1518</f>
        <v>354000_2019_12_</v>
      </c>
      <c r="K2113" s="1663">
        <v>9.5</v>
      </c>
      <c r="L2113" s="1124"/>
      <c r="M2113" s="1108" t="s">
        <v>1598</v>
      </c>
      <c r="N2113" s="177"/>
      <c r="O2113" s="332"/>
      <c r="P2113" s="332"/>
      <c r="Q2113" s="332"/>
      <c r="R2113" s="332"/>
      <c r="S2113" s="177"/>
      <c r="T2113" s="177"/>
      <c r="U2113" s="177"/>
      <c r="V2113" s="2866"/>
      <c r="W2113" s="909">
        <v>9.5</v>
      </c>
      <c r="X2113" s="909">
        <v>9.5</v>
      </c>
      <c r="Y2113" s="909">
        <v>9.5</v>
      </c>
      <c r="Z2113" s="909"/>
      <c r="AA2113" s="909"/>
      <c r="AB2113" s="909"/>
      <c r="AC2113" s="909"/>
      <c r="AD2113" s="909"/>
      <c r="AE2113" s="909"/>
      <c r="AF2113" s="909"/>
      <c r="AG2113" s="909"/>
      <c r="BB2113" s="784"/>
      <c r="BC2113" s="785"/>
      <c r="BD2113" s="900"/>
      <c r="BE2113" s="797"/>
    </row>
    <row r="2114" spans="1:57" s="65" customFormat="1" ht="15" hidden="1" customHeight="1" outlineLevel="1" x14ac:dyDescent="0.25">
      <c r="A2114" s="785"/>
      <c r="B2114" s="177"/>
      <c r="C2114" s="455"/>
      <c r="D2114" s="2806"/>
      <c r="E2114" s="2856"/>
      <c r="F2114" s="2908" t="str">
        <f>$E$1520</f>
        <v>ASHP SEER 19 replace ASHP - early replacement SF ER2</v>
      </c>
      <c r="G2114" s="2909"/>
      <c r="H2114" s="2909"/>
      <c r="I2114" s="2910"/>
      <c r="J2114" s="1657" t="str">
        <f>$C$1520</f>
        <v>354000_2019_12_</v>
      </c>
      <c r="K2114" s="1663">
        <v>9.5</v>
      </c>
      <c r="L2114" s="1124"/>
      <c r="M2114" s="1108" t="s">
        <v>1598</v>
      </c>
      <c r="N2114" s="177"/>
      <c r="O2114" s="332"/>
      <c r="P2114" s="332"/>
      <c r="Q2114" s="332"/>
      <c r="R2114" s="332"/>
      <c r="S2114" s="177"/>
      <c r="T2114" s="177"/>
      <c r="U2114" s="177"/>
      <c r="V2114" s="2866"/>
      <c r="W2114" s="909">
        <v>9.5</v>
      </c>
      <c r="X2114" s="909">
        <v>9.5</v>
      </c>
      <c r="Y2114" s="909">
        <v>9.5</v>
      </c>
      <c r="Z2114" s="909"/>
      <c r="AA2114" s="909"/>
      <c r="AB2114" s="909"/>
      <c r="AC2114" s="909"/>
      <c r="AD2114" s="909"/>
      <c r="AE2114" s="909"/>
      <c r="AF2114" s="909"/>
      <c r="AG2114" s="909"/>
      <c r="BB2114" s="784"/>
      <c r="BC2114" s="785"/>
      <c r="BD2114" s="900"/>
      <c r="BE2114" s="797"/>
    </row>
    <row r="2115" spans="1:57" s="65" customFormat="1" ht="15" hidden="1" customHeight="1" outlineLevel="1" x14ac:dyDescent="0.25">
      <c r="A2115" s="718"/>
      <c r="B2115" s="177"/>
      <c r="C2115" s="455"/>
      <c r="D2115" s="2806"/>
      <c r="E2115" s="2856"/>
      <c r="F2115" s="2908" t="str">
        <f>$E$1522</f>
        <v>ASHP SEER 19 replace ASHP - replace on fail SF</v>
      </c>
      <c r="G2115" s="2909"/>
      <c r="H2115" s="2909"/>
      <c r="I2115" s="2910"/>
      <c r="J2115" s="1657" t="str">
        <f>$C$1522</f>
        <v>354050_2019_12_</v>
      </c>
      <c r="K2115" s="1663">
        <v>9.8000000000000007</v>
      </c>
      <c r="L2115" s="1124"/>
      <c r="M2115" s="1108" t="s">
        <v>1598</v>
      </c>
      <c r="N2115" s="177"/>
      <c r="O2115" s="332"/>
      <c r="P2115" s="1116"/>
      <c r="Q2115" s="1117"/>
      <c r="R2115" s="1116"/>
      <c r="S2115" s="1103"/>
      <c r="T2115" s="1639"/>
      <c r="U2115" s="177"/>
      <c r="V2115" s="2866"/>
      <c r="W2115" s="909">
        <v>9.8000000000000007</v>
      </c>
      <c r="X2115" s="909">
        <v>9.8000000000000007</v>
      </c>
      <c r="Y2115" s="909">
        <v>9.8000000000000007</v>
      </c>
      <c r="Z2115" s="909"/>
      <c r="AA2115" s="909"/>
      <c r="AB2115" s="909"/>
      <c r="AC2115" s="909"/>
      <c r="AD2115" s="909"/>
      <c r="AE2115" s="909"/>
      <c r="AF2115" s="909"/>
      <c r="AG2115" s="909"/>
      <c r="BB2115" s="784"/>
      <c r="BC2115" s="785"/>
      <c r="BD2115" s="900"/>
      <c r="BE2115" s="797"/>
    </row>
    <row r="2116" spans="1:57" s="65" customFormat="1" ht="15" hidden="1" customHeight="1" outlineLevel="1" x14ac:dyDescent="0.25">
      <c r="A2116" s="718"/>
      <c r="B2116" s="177"/>
      <c r="C2116" s="455"/>
      <c r="D2116" s="2806"/>
      <c r="E2116" s="2856"/>
      <c r="F2116" s="2908" t="str">
        <f>$E$1524</f>
        <v>ASHP - SEER 17 - replace electric furnace / CAC - early replacement SF ER1</v>
      </c>
      <c r="G2116" s="2909"/>
      <c r="H2116" s="2909"/>
      <c r="I2116" s="2910"/>
      <c r="J2116" s="1657" t="str">
        <f>$C$1524</f>
        <v>354100_2019_12_</v>
      </c>
      <c r="K2116" s="1663">
        <v>9.4</v>
      </c>
      <c r="L2116" s="1124"/>
      <c r="M2116" s="1108"/>
      <c r="N2116" s="177"/>
      <c r="O2116" s="332"/>
      <c r="P2116" s="1116"/>
      <c r="Q2116" s="1117"/>
      <c r="R2116" s="1116"/>
      <c r="S2116" s="1103"/>
      <c r="T2116" s="1639"/>
      <c r="U2116" s="177"/>
      <c r="V2116" s="2866"/>
      <c r="W2116" s="909">
        <v>9.4</v>
      </c>
      <c r="X2116" s="909">
        <v>9.4</v>
      </c>
      <c r="Y2116" s="909">
        <v>9.4</v>
      </c>
      <c r="Z2116" s="909"/>
      <c r="AA2116" s="909"/>
      <c r="AB2116" s="909"/>
      <c r="AC2116" s="909"/>
      <c r="AD2116" s="909"/>
      <c r="AE2116" s="909"/>
      <c r="AF2116" s="909"/>
      <c r="AG2116" s="909"/>
      <c r="BB2116" s="784"/>
      <c r="BC2116" s="785"/>
      <c r="BD2116" s="900"/>
      <c r="BE2116" s="797"/>
    </row>
    <row r="2117" spans="1:57" s="65" customFormat="1" ht="15" hidden="1" customHeight="1" outlineLevel="1" x14ac:dyDescent="0.25">
      <c r="A2117" s="718"/>
      <c r="B2117" s="177"/>
      <c r="C2117" s="455"/>
      <c r="D2117" s="2806"/>
      <c r="E2117" s="2856"/>
      <c r="F2117" s="2908" t="str">
        <f>$E$1526</f>
        <v>ASHP - SEER 17 - replace electric furnace / CAC - early replacement SF ER2</v>
      </c>
      <c r="G2117" s="2909"/>
      <c r="H2117" s="2909"/>
      <c r="I2117" s="2910"/>
      <c r="J2117" s="1657" t="str">
        <f>$C$1526</f>
        <v>354100_2019_12_</v>
      </c>
      <c r="K2117" s="1663">
        <v>9.4</v>
      </c>
      <c r="L2117" s="1124"/>
      <c r="M2117" s="1108"/>
      <c r="N2117" s="177"/>
      <c r="O2117" s="332"/>
      <c r="P2117" s="1116"/>
      <c r="Q2117" s="1117"/>
      <c r="R2117" s="1116"/>
      <c r="S2117" s="1103"/>
      <c r="T2117" s="1639"/>
      <c r="U2117" s="177"/>
      <c r="V2117" s="2866"/>
      <c r="W2117" s="909">
        <v>9.4</v>
      </c>
      <c r="X2117" s="909">
        <v>9.4</v>
      </c>
      <c r="Y2117" s="909">
        <v>9.4</v>
      </c>
      <c r="Z2117" s="909"/>
      <c r="AA2117" s="909"/>
      <c r="AB2117" s="909"/>
      <c r="AC2117" s="909"/>
      <c r="AD2117" s="909"/>
      <c r="AE2117" s="909"/>
      <c r="AF2117" s="909"/>
      <c r="AG2117" s="909"/>
      <c r="BB2117" s="784"/>
      <c r="BC2117" s="785"/>
      <c r="BD2117" s="900"/>
      <c r="BE2117" s="797"/>
    </row>
    <row r="2118" spans="1:57" s="65" customFormat="1" ht="15" hidden="1" customHeight="1" outlineLevel="1" x14ac:dyDescent="0.25">
      <c r="A2118" s="718"/>
      <c r="B2118" s="177"/>
      <c r="C2118" s="455"/>
      <c r="D2118" s="2806"/>
      <c r="E2118" s="2856"/>
      <c r="F2118" s="2908" t="str">
        <f>$E$1528</f>
        <v>ASHP - SEER 17 - replace electric furnace / CAC - early replacement MF ER1</v>
      </c>
      <c r="G2118" s="2909"/>
      <c r="H2118" s="2909"/>
      <c r="I2118" s="2910"/>
      <c r="J2118" s="1657" t="str">
        <f>$C$1528</f>
        <v>354150_2019_12_</v>
      </c>
      <c r="K2118" s="1663">
        <v>9.4</v>
      </c>
      <c r="L2118" s="1124"/>
      <c r="M2118" s="1108"/>
      <c r="N2118" s="177"/>
      <c r="O2118" s="332"/>
      <c r="P2118" s="1116"/>
      <c r="Q2118" s="1117"/>
      <c r="R2118" s="1116"/>
      <c r="S2118" s="1103"/>
      <c r="T2118" s="1639"/>
      <c r="U2118" s="177"/>
      <c r="V2118" s="2866"/>
      <c r="W2118" s="909">
        <v>9.4</v>
      </c>
      <c r="X2118" s="909">
        <v>9.4</v>
      </c>
      <c r="Y2118" s="909">
        <v>9.4</v>
      </c>
      <c r="Z2118" s="909"/>
      <c r="AA2118" s="909"/>
      <c r="AB2118" s="909"/>
      <c r="AC2118" s="909"/>
      <c r="AD2118" s="909"/>
      <c r="AE2118" s="909"/>
      <c r="AF2118" s="909"/>
      <c r="AG2118" s="909"/>
      <c r="BB2118" s="784"/>
      <c r="BC2118" s="785"/>
      <c r="BD2118" s="900"/>
      <c r="BE2118" s="797"/>
    </row>
    <row r="2119" spans="1:57" s="65" customFormat="1" ht="15" hidden="1" customHeight="1" outlineLevel="1" x14ac:dyDescent="0.25">
      <c r="A2119" s="718"/>
      <c r="B2119" s="177"/>
      <c r="C2119" s="455"/>
      <c r="D2119" s="2806"/>
      <c r="E2119" s="2856"/>
      <c r="F2119" s="2908" t="str">
        <f>$E$1530</f>
        <v>ASHP - SEER 17 - replace electric furnace / CAC - early replacement MF ER2</v>
      </c>
      <c r="G2119" s="2909"/>
      <c r="H2119" s="2909"/>
      <c r="I2119" s="2910"/>
      <c r="J2119" s="1657" t="str">
        <f>$C$1530</f>
        <v>354150_2019_12_</v>
      </c>
      <c r="K2119" s="1663">
        <v>9.4</v>
      </c>
      <c r="L2119" s="1124"/>
      <c r="M2119" s="1108"/>
      <c r="N2119" s="177"/>
      <c r="O2119" s="332"/>
      <c r="P2119" s="1116"/>
      <c r="Q2119" s="1117"/>
      <c r="R2119" s="1116"/>
      <c r="S2119" s="1103"/>
      <c r="T2119" s="1639"/>
      <c r="U2119" s="177"/>
      <c r="V2119" s="2866"/>
      <c r="W2119" s="909">
        <v>9.4</v>
      </c>
      <c r="X2119" s="909">
        <v>9.4</v>
      </c>
      <c r="Y2119" s="909">
        <v>9.4</v>
      </c>
      <c r="Z2119" s="909"/>
      <c r="AA2119" s="909"/>
      <c r="AB2119" s="909"/>
      <c r="AC2119" s="909"/>
      <c r="AD2119" s="909"/>
      <c r="AE2119" s="909"/>
      <c r="AF2119" s="909"/>
      <c r="AG2119" s="909"/>
      <c r="BB2119" s="784"/>
      <c r="BC2119" s="785"/>
      <c r="BD2119" s="900"/>
      <c r="BE2119" s="797"/>
    </row>
    <row r="2120" spans="1:57" s="65" customFormat="1" ht="15" hidden="1" customHeight="1" outlineLevel="1" x14ac:dyDescent="0.25">
      <c r="A2120" s="718"/>
      <c r="B2120" s="177"/>
      <c r="C2120" s="455"/>
      <c r="D2120" s="2806"/>
      <c r="E2120" s="2856"/>
      <c r="F2120" s="2908" t="str">
        <f>$E$1532</f>
        <v>ASHP - SEER 17 - replace electric furnace / CAC - early replacement MF ER1_CompE</v>
      </c>
      <c r="G2120" s="2909"/>
      <c r="H2120" s="2909"/>
      <c r="I2120" s="2910"/>
      <c r="J2120" s="1657" t="str">
        <f>$C$1532</f>
        <v>354151_2019_12_</v>
      </c>
      <c r="K2120" s="1663">
        <v>9.4</v>
      </c>
      <c r="L2120" s="1124"/>
      <c r="M2120" s="1108"/>
      <c r="N2120" s="177"/>
      <c r="O2120" s="332"/>
      <c r="P2120" s="1116"/>
      <c r="Q2120" s="1117"/>
      <c r="R2120" s="1116"/>
      <c r="S2120" s="1103"/>
      <c r="T2120" s="1639"/>
      <c r="U2120" s="177"/>
      <c r="V2120" s="2866"/>
      <c r="W2120" s="909"/>
      <c r="X2120" s="909"/>
      <c r="Y2120" s="908">
        <v>9.4</v>
      </c>
      <c r="Z2120" s="909"/>
      <c r="AA2120" s="909"/>
      <c r="AB2120" s="909"/>
      <c r="AC2120" s="909"/>
      <c r="AD2120" s="909"/>
      <c r="AE2120" s="909"/>
      <c r="AF2120" s="909"/>
      <c r="AG2120" s="909"/>
      <c r="BB2120" s="784"/>
      <c r="BC2120" s="785"/>
      <c r="BD2120" s="900"/>
      <c r="BE2120" s="797"/>
    </row>
    <row r="2121" spans="1:57" s="65" customFormat="1" ht="15" hidden="1" customHeight="1" outlineLevel="1" x14ac:dyDescent="0.25">
      <c r="A2121" s="718"/>
      <c r="B2121" s="177"/>
      <c r="C2121" s="455"/>
      <c r="D2121" s="2806"/>
      <c r="E2121" s="2856"/>
      <c r="F2121" s="2908" t="str">
        <f>$E$1534</f>
        <v>ASHP - SEER 17 - replace electric furnace / CAC - early replacement MF ER2_CompE</v>
      </c>
      <c r="G2121" s="2909"/>
      <c r="H2121" s="2909"/>
      <c r="I2121" s="2910"/>
      <c r="J2121" s="1657" t="str">
        <f>$C$1534</f>
        <v>354151_2019_12_</v>
      </c>
      <c r="K2121" s="1663">
        <v>9.4</v>
      </c>
      <c r="L2121" s="1124"/>
      <c r="M2121" s="1108"/>
      <c r="N2121" s="177"/>
      <c r="O2121" s="332"/>
      <c r="P2121" s="1116"/>
      <c r="Q2121" s="1117"/>
      <c r="R2121" s="1116"/>
      <c r="S2121" s="1103"/>
      <c r="T2121" s="1639"/>
      <c r="U2121" s="177"/>
      <c r="V2121" s="2866"/>
      <c r="W2121" s="909"/>
      <c r="X2121" s="909"/>
      <c r="Y2121" s="908">
        <v>9.4</v>
      </c>
      <c r="Z2121" s="909"/>
      <c r="AA2121" s="909"/>
      <c r="AB2121" s="909"/>
      <c r="AC2121" s="909"/>
      <c r="AD2121" s="909"/>
      <c r="AE2121" s="909"/>
      <c r="AF2121" s="909"/>
      <c r="AG2121" s="909"/>
      <c r="BB2121" s="784"/>
      <c r="BC2121" s="785"/>
      <c r="BD2121" s="900"/>
      <c r="BE2121" s="797"/>
    </row>
    <row r="2122" spans="1:57" s="65" customFormat="1" ht="15" hidden="1" customHeight="1" outlineLevel="1" x14ac:dyDescent="0.25">
      <c r="A2122" s="718"/>
      <c r="B2122" s="177"/>
      <c r="C2122" s="455"/>
      <c r="D2122" s="2806"/>
      <c r="E2122" s="2856"/>
      <c r="F2122" s="2908" t="str">
        <f>$E$1536</f>
        <v>ASHP SEER 17 replace ASHP - early replacement MF ER1</v>
      </c>
      <c r="G2122" s="2909"/>
      <c r="H2122" s="2909"/>
      <c r="I2122" s="2910"/>
      <c r="J2122" s="1657" t="str">
        <f>$C$1536</f>
        <v>354200_2019_12_</v>
      </c>
      <c r="K2122" s="1663">
        <v>9.5</v>
      </c>
      <c r="L2122" s="1124"/>
      <c r="M2122" s="1108"/>
      <c r="N2122" s="177"/>
      <c r="O2122" s="332"/>
      <c r="P2122" s="1116"/>
      <c r="Q2122" s="1117"/>
      <c r="R2122" s="1116"/>
      <c r="S2122" s="1103"/>
      <c r="T2122" s="1639"/>
      <c r="U2122" s="177"/>
      <c r="V2122" s="2866"/>
      <c r="W2122" s="909">
        <v>9.5</v>
      </c>
      <c r="X2122" s="909">
        <v>9.5</v>
      </c>
      <c r="Y2122" s="909">
        <v>9.5</v>
      </c>
      <c r="Z2122" s="909"/>
      <c r="AA2122" s="909"/>
      <c r="AB2122" s="909"/>
      <c r="AC2122" s="909"/>
      <c r="AD2122" s="909"/>
      <c r="AE2122" s="909"/>
      <c r="AF2122" s="909"/>
      <c r="AG2122" s="909"/>
      <c r="BB2122" s="784"/>
      <c r="BC2122" s="785"/>
      <c r="BD2122" s="900"/>
      <c r="BE2122" s="797"/>
    </row>
    <row r="2123" spans="1:57" s="65" customFormat="1" ht="15" hidden="1" customHeight="1" outlineLevel="1" x14ac:dyDescent="0.25">
      <c r="A2123" s="718"/>
      <c r="B2123" s="177"/>
      <c r="C2123" s="455"/>
      <c r="D2123" s="2806"/>
      <c r="E2123" s="2856"/>
      <c r="F2123" s="2908" t="str">
        <f>$E$1538</f>
        <v>ASHP SEER 17 replace ASHP - early replacement MF ER2</v>
      </c>
      <c r="G2123" s="2909"/>
      <c r="H2123" s="2909"/>
      <c r="I2123" s="2910"/>
      <c r="J2123" s="1657" t="str">
        <f>$C$1538</f>
        <v>354200_2019_12_</v>
      </c>
      <c r="K2123" s="1663">
        <v>9.5</v>
      </c>
      <c r="L2123" s="1124"/>
      <c r="M2123" s="1108"/>
      <c r="N2123" s="177"/>
      <c r="O2123" s="332"/>
      <c r="P2123" s="1116"/>
      <c r="Q2123" s="1117"/>
      <c r="R2123" s="1116"/>
      <c r="S2123" s="1103"/>
      <c r="T2123" s="1639"/>
      <c r="U2123" s="177"/>
      <c r="V2123" s="2866"/>
      <c r="W2123" s="909">
        <v>9.5</v>
      </c>
      <c r="X2123" s="909">
        <v>9.5</v>
      </c>
      <c r="Y2123" s="909">
        <v>9.5</v>
      </c>
      <c r="Z2123" s="909"/>
      <c r="AA2123" s="909"/>
      <c r="AB2123" s="909"/>
      <c r="AC2123" s="909"/>
      <c r="AD2123" s="909"/>
      <c r="AE2123" s="909"/>
      <c r="AF2123" s="909"/>
      <c r="AG2123" s="909"/>
      <c r="BB2123" s="784"/>
      <c r="BC2123" s="785"/>
      <c r="BD2123" s="900"/>
      <c r="BE2123" s="797"/>
    </row>
    <row r="2124" spans="1:57" s="65" customFormat="1" ht="15" hidden="1" customHeight="1" outlineLevel="1" x14ac:dyDescent="0.25">
      <c r="A2124" s="718"/>
      <c r="B2124" s="177"/>
      <c r="C2124" s="455"/>
      <c r="D2124" s="2806"/>
      <c r="E2124" s="2856"/>
      <c r="F2124" s="2908" t="str">
        <f>$E$1540</f>
        <v>ASHP SEER 17 replace ASHP - early replacement MF ER1_CompE</v>
      </c>
      <c r="G2124" s="2909"/>
      <c r="H2124" s="2909"/>
      <c r="I2124" s="2910"/>
      <c r="J2124" s="1657" t="str">
        <f>$C$1540</f>
        <v>354201_2019_12_</v>
      </c>
      <c r="K2124" s="1663">
        <v>9.5</v>
      </c>
      <c r="L2124" s="1124"/>
      <c r="M2124" s="1108"/>
      <c r="N2124" s="177"/>
      <c r="O2124" s="332"/>
      <c r="P2124" s="1116"/>
      <c r="Q2124" s="1117"/>
      <c r="R2124" s="1116"/>
      <c r="S2124" s="1103"/>
      <c r="T2124" s="1639"/>
      <c r="U2124" s="177"/>
      <c r="V2124" s="2866"/>
      <c r="W2124" s="909"/>
      <c r="X2124" s="909"/>
      <c r="Y2124" s="908">
        <v>9.5</v>
      </c>
      <c r="Z2124" s="909"/>
      <c r="AA2124" s="909"/>
      <c r="AB2124" s="909"/>
      <c r="AC2124" s="909"/>
      <c r="AD2124" s="909"/>
      <c r="AE2124" s="909"/>
      <c r="AF2124" s="909"/>
      <c r="AG2124" s="909"/>
      <c r="BB2124" s="784"/>
      <c r="BC2124" s="785"/>
      <c r="BD2124" s="900"/>
      <c r="BE2124" s="797"/>
    </row>
    <row r="2125" spans="1:57" s="65" customFormat="1" ht="15" hidden="1" customHeight="1" outlineLevel="1" x14ac:dyDescent="0.25">
      <c r="A2125" s="718"/>
      <c r="B2125" s="177"/>
      <c r="C2125" s="455"/>
      <c r="D2125" s="2806"/>
      <c r="E2125" s="2856"/>
      <c r="F2125" s="2908" t="str">
        <f>$E$1542</f>
        <v>ASHP SEER 17 replace ASHP - early replacement MF ER2_CompE</v>
      </c>
      <c r="G2125" s="2909"/>
      <c r="H2125" s="2909"/>
      <c r="I2125" s="2910"/>
      <c r="J2125" s="1657" t="str">
        <f>$C$1542</f>
        <v>354201_2019_12_</v>
      </c>
      <c r="K2125" s="1663">
        <v>9.5</v>
      </c>
      <c r="L2125" s="1124"/>
      <c r="M2125" s="1108"/>
      <c r="N2125" s="177"/>
      <c r="O2125" s="332"/>
      <c r="P2125" s="1116"/>
      <c r="Q2125" s="1117"/>
      <c r="R2125" s="1116"/>
      <c r="S2125" s="1103"/>
      <c r="T2125" s="1639"/>
      <c r="U2125" s="177"/>
      <c r="V2125" s="2866"/>
      <c r="W2125" s="909"/>
      <c r="X2125" s="909"/>
      <c r="Y2125" s="908">
        <v>9.5</v>
      </c>
      <c r="Z2125" s="909"/>
      <c r="AA2125" s="909"/>
      <c r="AB2125" s="909"/>
      <c r="AC2125" s="909"/>
      <c r="AD2125" s="909"/>
      <c r="AE2125" s="909"/>
      <c r="AF2125" s="909"/>
      <c r="AG2125" s="909"/>
      <c r="BB2125" s="784"/>
      <c r="BC2125" s="785"/>
      <c r="BD2125" s="900"/>
      <c r="BE2125" s="797"/>
    </row>
    <row r="2126" spans="1:57" s="65" customFormat="1" ht="15" hidden="1" customHeight="1" outlineLevel="1" x14ac:dyDescent="0.25">
      <c r="A2126" s="718"/>
      <c r="B2126" s="177"/>
      <c r="C2126" s="455"/>
      <c r="D2126" s="2806"/>
      <c r="E2126" s="2856"/>
      <c r="F2126" s="2908" t="str">
        <f>$E$1544</f>
        <v>ASHP - SEER 18 - replace electric furnace / CAC - early replacement SF ER1</v>
      </c>
      <c r="G2126" s="2909"/>
      <c r="H2126" s="2909"/>
      <c r="I2126" s="2910"/>
      <c r="J2126" s="1657" t="str">
        <f>$C$1544</f>
        <v>354250_2019_12_</v>
      </c>
      <c r="K2126" s="1663">
        <v>9.4</v>
      </c>
      <c r="L2126" s="1124"/>
      <c r="M2126" s="1108"/>
      <c r="N2126" s="177"/>
      <c r="O2126" s="332"/>
      <c r="P2126" s="1116"/>
      <c r="Q2126" s="1117"/>
      <c r="R2126" s="1116"/>
      <c r="S2126" s="1103"/>
      <c r="T2126" s="1639"/>
      <c r="U2126" s="177"/>
      <c r="V2126" s="2866"/>
      <c r="W2126" s="909">
        <v>9.4</v>
      </c>
      <c r="X2126" s="909">
        <v>9.4</v>
      </c>
      <c r="Y2126" s="909">
        <v>9.4</v>
      </c>
      <c r="Z2126" s="909"/>
      <c r="AA2126" s="909"/>
      <c r="AB2126" s="909"/>
      <c r="AC2126" s="909"/>
      <c r="AD2126" s="909"/>
      <c r="AE2126" s="909"/>
      <c r="AF2126" s="909"/>
      <c r="AG2126" s="909"/>
      <c r="BB2126" s="784"/>
      <c r="BC2126" s="785"/>
      <c r="BD2126" s="900"/>
      <c r="BE2126" s="797"/>
    </row>
    <row r="2127" spans="1:57" s="65" customFormat="1" ht="15" hidden="1" customHeight="1" outlineLevel="1" x14ac:dyDescent="0.25">
      <c r="A2127" s="718"/>
      <c r="B2127" s="177"/>
      <c r="C2127" s="455"/>
      <c r="D2127" s="2806"/>
      <c r="E2127" s="2856"/>
      <c r="F2127" s="2908" t="str">
        <f>$E$1546</f>
        <v>ASHP - SEER 18 - replace electric furnace / CAC - early replacement SF ER2</v>
      </c>
      <c r="G2127" s="2909"/>
      <c r="H2127" s="2909"/>
      <c r="I2127" s="2910"/>
      <c r="J2127" s="1657" t="str">
        <f>$C$1546</f>
        <v>354250_2019_12_</v>
      </c>
      <c r="K2127" s="1663">
        <v>9.4</v>
      </c>
      <c r="L2127" s="1124"/>
      <c r="M2127" s="1108"/>
      <c r="N2127" s="177"/>
      <c r="O2127" s="332"/>
      <c r="P2127" s="1116"/>
      <c r="Q2127" s="1117"/>
      <c r="R2127" s="1116"/>
      <c r="S2127" s="1103"/>
      <c r="T2127" s="1639"/>
      <c r="U2127" s="177"/>
      <c r="V2127" s="2866"/>
      <c r="W2127" s="909">
        <v>9.4</v>
      </c>
      <c r="X2127" s="909">
        <v>9.4</v>
      </c>
      <c r="Y2127" s="909">
        <v>9.4</v>
      </c>
      <c r="Z2127" s="909"/>
      <c r="AA2127" s="909"/>
      <c r="AB2127" s="909"/>
      <c r="AC2127" s="909"/>
      <c r="AD2127" s="909"/>
      <c r="AE2127" s="909"/>
      <c r="AF2127" s="909"/>
      <c r="AG2127" s="909"/>
      <c r="BB2127" s="784"/>
      <c r="BC2127" s="785"/>
      <c r="BD2127" s="900"/>
      <c r="BE2127" s="797"/>
    </row>
    <row r="2128" spans="1:57" s="65" customFormat="1" ht="15" hidden="1" customHeight="1" outlineLevel="1" x14ac:dyDescent="0.25">
      <c r="A2128" s="718"/>
      <c r="B2128" s="177"/>
      <c r="C2128" s="455"/>
      <c r="D2128" s="2806"/>
      <c r="E2128" s="2856"/>
      <c r="F2128" s="2908" t="str">
        <f>$E$1548</f>
        <v>ASHP - SEER 18 - replace electric furnace / CAC - early replacement MF ER1</v>
      </c>
      <c r="G2128" s="2909"/>
      <c r="H2128" s="2909"/>
      <c r="I2128" s="2910"/>
      <c r="J2128" s="1657" t="str">
        <f>$C$1548</f>
        <v>354300_2019_12_</v>
      </c>
      <c r="K2128" s="1663">
        <v>9.4</v>
      </c>
      <c r="L2128" s="1124"/>
      <c r="M2128" s="1108"/>
      <c r="N2128" s="177"/>
      <c r="O2128" s="332"/>
      <c r="P2128" s="1116"/>
      <c r="Q2128" s="1117"/>
      <c r="R2128" s="1116"/>
      <c r="S2128" s="1103"/>
      <c r="T2128" s="1639"/>
      <c r="U2128" s="177"/>
      <c r="V2128" s="2866"/>
      <c r="W2128" s="909">
        <v>9.4</v>
      </c>
      <c r="X2128" s="909">
        <v>9.4</v>
      </c>
      <c r="Y2128" s="909">
        <v>9.4</v>
      </c>
      <c r="Z2128" s="909"/>
      <c r="AA2128" s="909"/>
      <c r="AB2128" s="909"/>
      <c r="AC2128" s="909"/>
      <c r="AD2128" s="909"/>
      <c r="AE2128" s="909"/>
      <c r="AF2128" s="909"/>
      <c r="AG2128" s="909"/>
      <c r="BB2128" s="784"/>
      <c r="BC2128" s="785"/>
      <c r="BD2128" s="900"/>
      <c r="BE2128" s="797"/>
    </row>
    <row r="2129" spans="1:57" s="65" customFormat="1" ht="15" hidden="1" customHeight="1" outlineLevel="1" x14ac:dyDescent="0.25">
      <c r="A2129" s="718"/>
      <c r="B2129" s="177"/>
      <c r="C2129" s="455"/>
      <c r="D2129" s="2806"/>
      <c r="E2129" s="2856"/>
      <c r="F2129" s="2908" t="str">
        <f>$E$1550</f>
        <v>ASHP - SEER 18 - replace electric furnace / CAC - early replacement MF ER2</v>
      </c>
      <c r="G2129" s="2909"/>
      <c r="H2129" s="2909"/>
      <c r="I2129" s="2910"/>
      <c r="J2129" s="1657" t="str">
        <f>$C$1550</f>
        <v>354300_2019_12_</v>
      </c>
      <c r="K2129" s="1663">
        <v>9.4</v>
      </c>
      <c r="L2129" s="1124"/>
      <c r="M2129" s="1108"/>
      <c r="N2129" s="177"/>
      <c r="O2129" s="332"/>
      <c r="P2129" s="1116"/>
      <c r="Q2129" s="1117"/>
      <c r="R2129" s="1116"/>
      <c r="S2129" s="1103"/>
      <c r="T2129" s="1639"/>
      <c r="U2129" s="177"/>
      <c r="V2129" s="2866"/>
      <c r="W2129" s="909">
        <v>9.4</v>
      </c>
      <c r="X2129" s="909">
        <v>9.4</v>
      </c>
      <c r="Y2129" s="909">
        <v>9.4</v>
      </c>
      <c r="Z2129" s="909"/>
      <c r="AA2129" s="909"/>
      <c r="AB2129" s="909"/>
      <c r="AC2129" s="909"/>
      <c r="AD2129" s="909"/>
      <c r="AE2129" s="909"/>
      <c r="AF2129" s="909"/>
      <c r="AG2129" s="909"/>
      <c r="BB2129" s="784"/>
      <c r="BC2129" s="785"/>
      <c r="BD2129" s="900"/>
      <c r="BE2129" s="797"/>
    </row>
    <row r="2130" spans="1:57" s="65" customFormat="1" ht="15" hidden="1" customHeight="1" outlineLevel="1" x14ac:dyDescent="0.25">
      <c r="A2130" s="718"/>
      <c r="B2130" s="177"/>
      <c r="C2130" s="455"/>
      <c r="D2130" s="2806"/>
      <c r="E2130" s="2856"/>
      <c r="F2130" s="2908" t="str">
        <f>$E$1552</f>
        <v>ASHP - SEER 18 - replace electric furnace / CAC - early replacement MF ER1_CompE</v>
      </c>
      <c r="G2130" s="2909"/>
      <c r="H2130" s="2909"/>
      <c r="I2130" s="2910"/>
      <c r="J2130" s="1657" t="str">
        <f>$C$1552</f>
        <v>354301_2019_12_</v>
      </c>
      <c r="K2130" s="1663">
        <v>9.4</v>
      </c>
      <c r="L2130" s="1124"/>
      <c r="M2130" s="1108"/>
      <c r="N2130" s="177"/>
      <c r="O2130" s="332"/>
      <c r="P2130" s="1116"/>
      <c r="Q2130" s="1117"/>
      <c r="R2130" s="1116"/>
      <c r="S2130" s="1103"/>
      <c r="T2130" s="1639"/>
      <c r="U2130" s="177"/>
      <c r="V2130" s="2866"/>
      <c r="W2130" s="909"/>
      <c r="X2130" s="909"/>
      <c r="Y2130" s="908">
        <v>9.4</v>
      </c>
      <c r="Z2130" s="909"/>
      <c r="AA2130" s="909"/>
      <c r="AB2130" s="909"/>
      <c r="AC2130" s="909"/>
      <c r="AD2130" s="909"/>
      <c r="AE2130" s="909"/>
      <c r="AF2130" s="909"/>
      <c r="AG2130" s="909"/>
      <c r="BB2130" s="784"/>
      <c r="BC2130" s="785"/>
      <c r="BD2130" s="900"/>
      <c r="BE2130" s="797"/>
    </row>
    <row r="2131" spans="1:57" s="65" customFormat="1" ht="15" hidden="1" customHeight="1" outlineLevel="1" x14ac:dyDescent="0.25">
      <c r="A2131" s="718"/>
      <c r="B2131" s="177"/>
      <c r="C2131" s="455"/>
      <c r="D2131" s="2806"/>
      <c r="E2131" s="2856"/>
      <c r="F2131" s="2908" t="str">
        <f>$E$1554</f>
        <v>ASHP - SEER 18 - replace electric furnace / CAC - early replacement MF ER2_CompE</v>
      </c>
      <c r="G2131" s="2909"/>
      <c r="H2131" s="2909"/>
      <c r="I2131" s="2910"/>
      <c r="J2131" s="1657" t="str">
        <f>$C$1554</f>
        <v>354301_2019_12_</v>
      </c>
      <c r="K2131" s="1663">
        <v>9.4</v>
      </c>
      <c r="L2131" s="1124"/>
      <c r="M2131" s="1108"/>
      <c r="N2131" s="177"/>
      <c r="O2131" s="332"/>
      <c r="P2131" s="1116"/>
      <c r="Q2131" s="1117"/>
      <c r="R2131" s="1116"/>
      <c r="S2131" s="1103"/>
      <c r="T2131" s="1639"/>
      <c r="U2131" s="177"/>
      <c r="V2131" s="2866"/>
      <c r="W2131" s="909"/>
      <c r="X2131" s="909"/>
      <c r="Y2131" s="908">
        <v>9.4</v>
      </c>
      <c r="Z2131" s="909"/>
      <c r="AA2131" s="909"/>
      <c r="AB2131" s="909"/>
      <c r="AC2131" s="909"/>
      <c r="AD2131" s="909"/>
      <c r="AE2131" s="909"/>
      <c r="AF2131" s="909"/>
      <c r="AG2131" s="909"/>
      <c r="BB2131" s="784"/>
      <c r="BC2131" s="785"/>
      <c r="BD2131" s="900"/>
      <c r="BE2131" s="797"/>
    </row>
    <row r="2132" spans="1:57" s="65" customFormat="1" ht="15" hidden="1" customHeight="1" outlineLevel="1" x14ac:dyDescent="0.25">
      <c r="A2132" s="718"/>
      <c r="B2132" s="177"/>
      <c r="C2132" s="455"/>
      <c r="D2132" s="2806"/>
      <c r="E2132" s="2856"/>
      <c r="F2132" s="2908" t="str">
        <f>$E$1556</f>
        <v>ASHP SEER 18 replace ASHP - early replacement MF ER1</v>
      </c>
      <c r="G2132" s="2909"/>
      <c r="H2132" s="2909"/>
      <c r="I2132" s="2910"/>
      <c r="J2132" s="1657" t="str">
        <f>$C$1556</f>
        <v>354350_2019_12_</v>
      </c>
      <c r="K2132" s="1663">
        <v>9.5</v>
      </c>
      <c r="L2132" s="1124"/>
      <c r="M2132" s="1108"/>
      <c r="N2132" s="177"/>
      <c r="O2132" s="332"/>
      <c r="P2132" s="1116"/>
      <c r="Q2132" s="1117"/>
      <c r="R2132" s="1116"/>
      <c r="S2132" s="1103"/>
      <c r="T2132" s="1639"/>
      <c r="U2132" s="177"/>
      <c r="V2132" s="2866"/>
      <c r="W2132" s="909">
        <v>9.5</v>
      </c>
      <c r="X2132" s="909">
        <v>9.5</v>
      </c>
      <c r="Y2132" s="909">
        <v>9.5</v>
      </c>
      <c r="Z2132" s="909"/>
      <c r="AA2132" s="909"/>
      <c r="AB2132" s="909"/>
      <c r="AC2132" s="909"/>
      <c r="AD2132" s="909"/>
      <c r="AE2132" s="909"/>
      <c r="AF2132" s="909"/>
      <c r="AG2132" s="909"/>
      <c r="BB2132" s="784"/>
      <c r="BC2132" s="785"/>
      <c r="BD2132" s="900"/>
      <c r="BE2132" s="797"/>
    </row>
    <row r="2133" spans="1:57" s="65" customFormat="1" ht="15" hidden="1" customHeight="1" outlineLevel="1" x14ac:dyDescent="0.25">
      <c r="A2133" s="718"/>
      <c r="B2133" s="177"/>
      <c r="C2133" s="455"/>
      <c r="D2133" s="2806"/>
      <c r="E2133" s="2856"/>
      <c r="F2133" s="2908" t="str">
        <f>$E$1558</f>
        <v>ASHP SEER 18 replace ASHP - early replacement MF ER2</v>
      </c>
      <c r="G2133" s="2909"/>
      <c r="H2133" s="2909"/>
      <c r="I2133" s="2910"/>
      <c r="J2133" s="1657" t="str">
        <f>$C$1558</f>
        <v>354350_2019_12_</v>
      </c>
      <c r="K2133" s="1663">
        <v>9.5</v>
      </c>
      <c r="L2133" s="1124"/>
      <c r="M2133" s="1108"/>
      <c r="N2133" s="177"/>
      <c r="O2133" s="332"/>
      <c r="P2133" s="1116"/>
      <c r="Q2133" s="1117"/>
      <c r="R2133" s="1116"/>
      <c r="S2133" s="1103"/>
      <c r="T2133" s="1639"/>
      <c r="U2133" s="177"/>
      <c r="V2133" s="2866"/>
      <c r="W2133" s="909">
        <v>9.5</v>
      </c>
      <c r="X2133" s="909">
        <v>9.5</v>
      </c>
      <c r="Y2133" s="909">
        <v>9.5</v>
      </c>
      <c r="Z2133" s="909"/>
      <c r="AA2133" s="909"/>
      <c r="AB2133" s="909"/>
      <c r="AC2133" s="909"/>
      <c r="AD2133" s="909"/>
      <c r="AE2133" s="909"/>
      <c r="AF2133" s="909"/>
      <c r="AG2133" s="909"/>
      <c r="BB2133" s="784"/>
      <c r="BC2133" s="785"/>
      <c r="BD2133" s="900"/>
      <c r="BE2133" s="797"/>
    </row>
    <row r="2134" spans="1:57" s="65" customFormat="1" ht="15" hidden="1" customHeight="1" outlineLevel="1" x14ac:dyDescent="0.25">
      <c r="A2134" s="718"/>
      <c r="B2134" s="177"/>
      <c r="C2134" s="455"/>
      <c r="D2134" s="2806"/>
      <c r="E2134" s="2856"/>
      <c r="F2134" s="2908" t="str">
        <f>$E$1560</f>
        <v>ASHP SEER 18 replace ASHP - early replacement MF ER1_CompE</v>
      </c>
      <c r="G2134" s="2909"/>
      <c r="H2134" s="2909"/>
      <c r="I2134" s="2910"/>
      <c r="J2134" s="1657" t="str">
        <f>$C$1560</f>
        <v>354351_2019_12_</v>
      </c>
      <c r="K2134" s="1663">
        <v>9.5</v>
      </c>
      <c r="L2134" s="1124"/>
      <c r="M2134" s="1108"/>
      <c r="N2134" s="177"/>
      <c r="O2134" s="332"/>
      <c r="P2134" s="1116"/>
      <c r="Q2134" s="1117"/>
      <c r="R2134" s="1116"/>
      <c r="S2134" s="1103"/>
      <c r="T2134" s="1639"/>
      <c r="U2134" s="177"/>
      <c r="V2134" s="2866"/>
      <c r="W2134" s="909"/>
      <c r="X2134" s="909"/>
      <c r="Y2134" s="908">
        <v>9.5</v>
      </c>
      <c r="Z2134" s="909"/>
      <c r="AA2134" s="909"/>
      <c r="AB2134" s="909"/>
      <c r="AC2134" s="909"/>
      <c r="AD2134" s="909"/>
      <c r="AE2134" s="909"/>
      <c r="AF2134" s="909"/>
      <c r="AG2134" s="909"/>
      <c r="BB2134" s="784"/>
      <c r="BC2134" s="785"/>
      <c r="BD2134" s="900"/>
      <c r="BE2134" s="797"/>
    </row>
    <row r="2135" spans="1:57" s="65" customFormat="1" ht="15" hidden="1" customHeight="1" outlineLevel="1" x14ac:dyDescent="0.25">
      <c r="A2135" s="718"/>
      <c r="B2135" s="177"/>
      <c r="C2135" s="455"/>
      <c r="D2135" s="2806"/>
      <c r="E2135" s="2856"/>
      <c r="F2135" s="2908" t="str">
        <f>$E$1562</f>
        <v>ASHP SEER 18 replace ASHP - early replacement MF ER2_CompE</v>
      </c>
      <c r="G2135" s="2909"/>
      <c r="H2135" s="2909"/>
      <c r="I2135" s="2910"/>
      <c r="J2135" s="1657" t="str">
        <f>$C$1562</f>
        <v>354351_2019_12_</v>
      </c>
      <c r="K2135" s="1663">
        <v>9.5</v>
      </c>
      <c r="L2135" s="1124"/>
      <c r="M2135" s="1108"/>
      <c r="N2135" s="177"/>
      <c r="O2135" s="332"/>
      <c r="P2135" s="1116"/>
      <c r="Q2135" s="1117"/>
      <c r="R2135" s="1116"/>
      <c r="S2135" s="1103"/>
      <c r="T2135" s="1639"/>
      <c r="U2135" s="177"/>
      <c r="V2135" s="2866"/>
      <c r="W2135" s="909"/>
      <c r="X2135" s="909"/>
      <c r="Y2135" s="908">
        <v>9.5</v>
      </c>
      <c r="Z2135" s="909"/>
      <c r="AA2135" s="909"/>
      <c r="AB2135" s="909"/>
      <c r="AC2135" s="909"/>
      <c r="AD2135" s="909"/>
      <c r="AE2135" s="909"/>
      <c r="AF2135" s="909"/>
      <c r="AG2135" s="909"/>
      <c r="BB2135" s="784"/>
      <c r="BC2135" s="785"/>
      <c r="BD2135" s="900"/>
      <c r="BE2135" s="797"/>
    </row>
    <row r="2136" spans="1:57" s="65" customFormat="1" ht="15" hidden="1" customHeight="1" outlineLevel="1" x14ac:dyDescent="0.25">
      <c r="A2136" s="718"/>
      <c r="B2136" s="177"/>
      <c r="C2136" s="455"/>
      <c r="D2136" s="2806"/>
      <c r="E2136" s="2856"/>
      <c r="F2136" s="2908" t="str">
        <f>$E$1564</f>
        <v>ASHP - SEER 19 - replace electric furnace / CAC - early replacement SF ER1</v>
      </c>
      <c r="G2136" s="2909"/>
      <c r="H2136" s="2909"/>
      <c r="I2136" s="2910"/>
      <c r="J2136" s="1657" t="str">
        <f>$C$1564</f>
        <v>354400_2019_12_</v>
      </c>
      <c r="K2136" s="1663">
        <v>9.4</v>
      </c>
      <c r="L2136" s="1124"/>
      <c r="M2136" s="1108"/>
      <c r="N2136" s="177"/>
      <c r="O2136" s="332"/>
      <c r="P2136" s="1116"/>
      <c r="Q2136" s="1117"/>
      <c r="R2136" s="1116"/>
      <c r="S2136" s="1103"/>
      <c r="T2136" s="1639"/>
      <c r="U2136" s="177"/>
      <c r="V2136" s="2866"/>
      <c r="W2136" s="909">
        <v>9.4</v>
      </c>
      <c r="X2136" s="909">
        <v>9.4</v>
      </c>
      <c r="Y2136" s="909">
        <v>9.4</v>
      </c>
      <c r="Z2136" s="909"/>
      <c r="AA2136" s="909"/>
      <c r="AB2136" s="909"/>
      <c r="AC2136" s="909"/>
      <c r="AD2136" s="909"/>
      <c r="AE2136" s="909"/>
      <c r="AF2136" s="909"/>
      <c r="AG2136" s="909"/>
      <c r="BB2136" s="784"/>
      <c r="BC2136" s="785"/>
      <c r="BD2136" s="900"/>
      <c r="BE2136" s="797"/>
    </row>
    <row r="2137" spans="1:57" s="65" customFormat="1" ht="15" hidden="1" customHeight="1" outlineLevel="1" x14ac:dyDescent="0.25">
      <c r="A2137" s="718"/>
      <c r="B2137" s="177"/>
      <c r="C2137" s="455"/>
      <c r="D2137" s="2806"/>
      <c r="E2137" s="2856"/>
      <c r="F2137" s="2908" t="str">
        <f>$E$1566</f>
        <v>ASHP - SEER 19 - replace electric furnace / CAC - early replacement SF ER2</v>
      </c>
      <c r="G2137" s="2909"/>
      <c r="H2137" s="2909"/>
      <c r="I2137" s="2910"/>
      <c r="J2137" s="1657" t="str">
        <f>$C$1566</f>
        <v>354400_2019_12_</v>
      </c>
      <c r="K2137" s="1663">
        <v>9.4</v>
      </c>
      <c r="L2137" s="1124"/>
      <c r="M2137" s="1108"/>
      <c r="N2137" s="177"/>
      <c r="O2137" s="332"/>
      <c r="P2137" s="1116"/>
      <c r="Q2137" s="1117"/>
      <c r="R2137" s="1116"/>
      <c r="S2137" s="1103"/>
      <c r="T2137" s="1639"/>
      <c r="U2137" s="177"/>
      <c r="V2137" s="2866"/>
      <c r="W2137" s="909">
        <v>9.4</v>
      </c>
      <c r="X2137" s="909">
        <v>9.4</v>
      </c>
      <c r="Y2137" s="909">
        <v>9.4</v>
      </c>
      <c r="Z2137" s="909"/>
      <c r="AA2137" s="909"/>
      <c r="AB2137" s="909"/>
      <c r="AC2137" s="909"/>
      <c r="AD2137" s="909"/>
      <c r="AE2137" s="909"/>
      <c r="AF2137" s="909"/>
      <c r="AG2137" s="909"/>
      <c r="BB2137" s="784"/>
      <c r="BC2137" s="785"/>
      <c r="BD2137" s="900"/>
      <c r="BE2137" s="797"/>
    </row>
    <row r="2138" spans="1:57" s="65" customFormat="1" ht="15" hidden="1" customHeight="1" outlineLevel="1" x14ac:dyDescent="0.25">
      <c r="A2138" s="718"/>
      <c r="B2138" s="177"/>
      <c r="C2138" s="455"/>
      <c r="D2138" s="2806"/>
      <c r="E2138" s="2856"/>
      <c r="F2138" s="2908" t="str">
        <f>$E$1568</f>
        <v>ASHP - SEER 19 - replace electric furnace / CAC - early replacement MF ER1</v>
      </c>
      <c r="G2138" s="2909"/>
      <c r="H2138" s="2909"/>
      <c r="I2138" s="2910"/>
      <c r="J2138" s="1657" t="str">
        <f>$C$1568</f>
        <v>354450_2019_12_</v>
      </c>
      <c r="K2138" s="1663">
        <v>9.4</v>
      </c>
      <c r="L2138" s="1124"/>
      <c r="M2138" s="1108"/>
      <c r="N2138" s="177"/>
      <c r="O2138" s="332"/>
      <c r="P2138" s="1116"/>
      <c r="Q2138" s="1117"/>
      <c r="R2138" s="1116"/>
      <c r="S2138" s="1103"/>
      <c r="T2138" s="1639"/>
      <c r="U2138" s="177"/>
      <c r="V2138" s="2866"/>
      <c r="W2138" s="909">
        <v>9.4</v>
      </c>
      <c r="X2138" s="909">
        <v>9.4</v>
      </c>
      <c r="Y2138" s="909">
        <v>9.4</v>
      </c>
      <c r="Z2138" s="909"/>
      <c r="AA2138" s="909"/>
      <c r="AB2138" s="909"/>
      <c r="AC2138" s="909"/>
      <c r="AD2138" s="909"/>
      <c r="AE2138" s="909"/>
      <c r="AF2138" s="909"/>
      <c r="AG2138" s="909"/>
      <c r="BB2138" s="784"/>
      <c r="BC2138" s="785"/>
      <c r="BD2138" s="900"/>
      <c r="BE2138" s="797"/>
    </row>
    <row r="2139" spans="1:57" s="65" customFormat="1" ht="15" hidden="1" customHeight="1" outlineLevel="1" x14ac:dyDescent="0.25">
      <c r="A2139" s="718"/>
      <c r="B2139" s="177"/>
      <c r="C2139" s="455"/>
      <c r="D2139" s="2806"/>
      <c r="E2139" s="2856"/>
      <c r="F2139" s="2908" t="str">
        <f>$E$1570</f>
        <v>ASHP - SEER 19 - replace electric furnace / CAC - early replacement MF ER2</v>
      </c>
      <c r="G2139" s="2909"/>
      <c r="H2139" s="2909"/>
      <c r="I2139" s="2910"/>
      <c r="J2139" s="1657" t="str">
        <f>$C$1570</f>
        <v>354450_2019_12_</v>
      </c>
      <c r="K2139" s="1663">
        <v>9.4</v>
      </c>
      <c r="L2139" s="1124"/>
      <c r="M2139" s="1108"/>
      <c r="N2139" s="177"/>
      <c r="O2139" s="332"/>
      <c r="P2139" s="1116"/>
      <c r="Q2139" s="1117"/>
      <c r="R2139" s="1116"/>
      <c r="S2139" s="1103"/>
      <c r="T2139" s="1639"/>
      <c r="U2139" s="177"/>
      <c r="V2139" s="2866"/>
      <c r="W2139" s="909">
        <v>9.4</v>
      </c>
      <c r="X2139" s="909">
        <v>9.4</v>
      </c>
      <c r="Y2139" s="909">
        <v>9.4</v>
      </c>
      <c r="Z2139" s="909"/>
      <c r="AA2139" s="909"/>
      <c r="AB2139" s="909"/>
      <c r="AC2139" s="909"/>
      <c r="AD2139" s="909"/>
      <c r="AE2139" s="909"/>
      <c r="AF2139" s="909"/>
      <c r="AG2139" s="909"/>
      <c r="BB2139" s="784"/>
      <c r="BC2139" s="785"/>
      <c r="BD2139" s="900"/>
      <c r="BE2139" s="797"/>
    </row>
    <row r="2140" spans="1:57" s="65" customFormat="1" ht="15" hidden="1" customHeight="1" outlineLevel="1" x14ac:dyDescent="0.25">
      <c r="A2140" s="718"/>
      <c r="B2140" s="177"/>
      <c r="C2140" s="455"/>
      <c r="D2140" s="2806"/>
      <c r="E2140" s="2856"/>
      <c r="F2140" s="2908" t="str">
        <f>$E$1572</f>
        <v>ASHP - SEER 19 - replace electric furnace / CAC - early replacement MF ER1_CompE</v>
      </c>
      <c r="G2140" s="2909"/>
      <c r="H2140" s="2909"/>
      <c r="I2140" s="2910"/>
      <c r="J2140" s="1657" t="str">
        <f>$C$1572</f>
        <v>354451_2019_12_</v>
      </c>
      <c r="K2140" s="1663">
        <v>9.4</v>
      </c>
      <c r="L2140" s="1124"/>
      <c r="M2140" s="1108"/>
      <c r="N2140" s="177"/>
      <c r="O2140" s="332"/>
      <c r="P2140" s="1116"/>
      <c r="Q2140" s="1117"/>
      <c r="R2140" s="1116"/>
      <c r="S2140" s="1103"/>
      <c r="T2140" s="1639"/>
      <c r="U2140" s="177"/>
      <c r="V2140" s="2866"/>
      <c r="W2140" s="909"/>
      <c r="X2140" s="909"/>
      <c r="Y2140" s="908">
        <v>9.4</v>
      </c>
      <c r="Z2140" s="909"/>
      <c r="AA2140" s="909"/>
      <c r="AB2140" s="909"/>
      <c r="AC2140" s="909"/>
      <c r="AD2140" s="909"/>
      <c r="AE2140" s="909"/>
      <c r="AF2140" s="909"/>
      <c r="AG2140" s="909"/>
      <c r="BB2140" s="784"/>
      <c r="BC2140" s="785"/>
      <c r="BD2140" s="900"/>
      <c r="BE2140" s="797"/>
    </row>
    <row r="2141" spans="1:57" s="65" customFormat="1" ht="15" hidden="1" customHeight="1" outlineLevel="1" x14ac:dyDescent="0.25">
      <c r="A2141" s="718"/>
      <c r="B2141" s="177"/>
      <c r="C2141" s="455"/>
      <c r="D2141" s="2806"/>
      <c r="E2141" s="2856"/>
      <c r="F2141" s="2908" t="str">
        <f>$E$1574</f>
        <v>ASHP - SEER 19 - replace electric furnace / CAC - early replacement MF ER2_CompE</v>
      </c>
      <c r="G2141" s="2909"/>
      <c r="H2141" s="2909"/>
      <c r="I2141" s="2910"/>
      <c r="J2141" s="1657" t="str">
        <f>$C$1574</f>
        <v>354451_2019_12_</v>
      </c>
      <c r="K2141" s="1663">
        <v>9.4</v>
      </c>
      <c r="L2141" s="1124"/>
      <c r="M2141" s="1108"/>
      <c r="N2141" s="177"/>
      <c r="O2141" s="332"/>
      <c r="P2141" s="1116"/>
      <c r="Q2141" s="1117"/>
      <c r="R2141" s="1116"/>
      <c r="S2141" s="1103"/>
      <c r="T2141" s="1639"/>
      <c r="U2141" s="177"/>
      <c r="V2141" s="2866"/>
      <c r="W2141" s="909"/>
      <c r="X2141" s="909"/>
      <c r="Y2141" s="908">
        <v>9.4</v>
      </c>
      <c r="Z2141" s="909"/>
      <c r="AA2141" s="909"/>
      <c r="AB2141" s="909"/>
      <c r="AC2141" s="909"/>
      <c r="AD2141" s="909"/>
      <c r="AE2141" s="909"/>
      <c r="AF2141" s="909"/>
      <c r="AG2141" s="909"/>
      <c r="BB2141" s="784"/>
      <c r="BC2141" s="785"/>
      <c r="BD2141" s="900"/>
      <c r="BE2141" s="797"/>
    </row>
    <row r="2142" spans="1:57" s="65" customFormat="1" ht="15" hidden="1" customHeight="1" outlineLevel="1" x14ac:dyDescent="0.25">
      <c r="A2142" s="718"/>
      <c r="B2142" s="177"/>
      <c r="C2142" s="455"/>
      <c r="D2142" s="2806"/>
      <c r="E2142" s="2856"/>
      <c r="F2142" s="2908" t="str">
        <f>$E$1576</f>
        <v>ASHP SEER 19 replace ASHP - early replacement MF ER1</v>
      </c>
      <c r="G2142" s="2909"/>
      <c r="H2142" s="2909"/>
      <c r="I2142" s="2910"/>
      <c r="J2142" s="1657" t="str">
        <f>$C$1576</f>
        <v>354500_2019_12_</v>
      </c>
      <c r="K2142" s="1663">
        <v>9.5</v>
      </c>
      <c r="L2142" s="1124"/>
      <c r="M2142" s="1108"/>
      <c r="N2142" s="177"/>
      <c r="O2142" s="332"/>
      <c r="P2142" s="1116"/>
      <c r="Q2142" s="1117"/>
      <c r="R2142" s="1116"/>
      <c r="S2142" s="1103"/>
      <c r="T2142" s="1639"/>
      <c r="U2142" s="177"/>
      <c r="V2142" s="2866"/>
      <c r="W2142" s="909">
        <v>9.5</v>
      </c>
      <c r="X2142" s="909">
        <v>9.5</v>
      </c>
      <c r="Y2142" s="909">
        <v>9.5</v>
      </c>
      <c r="Z2142" s="909"/>
      <c r="AA2142" s="909"/>
      <c r="AB2142" s="909"/>
      <c r="AC2142" s="909"/>
      <c r="AD2142" s="909"/>
      <c r="AE2142" s="909"/>
      <c r="AF2142" s="909"/>
      <c r="AG2142" s="909"/>
      <c r="BB2142" s="784"/>
      <c r="BC2142" s="785"/>
      <c r="BD2142" s="900"/>
      <c r="BE2142" s="797"/>
    </row>
    <row r="2143" spans="1:57" s="65" customFormat="1" ht="15" hidden="1" customHeight="1" outlineLevel="1" x14ac:dyDescent="0.25">
      <c r="A2143" s="718"/>
      <c r="B2143" s="177"/>
      <c r="C2143" s="455"/>
      <c r="D2143" s="2806"/>
      <c r="E2143" s="2856"/>
      <c r="F2143" s="2908" t="str">
        <f>$E$1578</f>
        <v>ASHP SEER 19 replace ASHP - early replacement MF ER2</v>
      </c>
      <c r="G2143" s="2909"/>
      <c r="H2143" s="2909"/>
      <c r="I2143" s="2910"/>
      <c r="J2143" s="1657" t="str">
        <f>$C$1578</f>
        <v>354500_2019_12_</v>
      </c>
      <c r="K2143" s="1663">
        <v>9.5</v>
      </c>
      <c r="L2143" s="1124"/>
      <c r="M2143" s="1108"/>
      <c r="N2143" s="177"/>
      <c r="O2143" s="332"/>
      <c r="P2143" s="1116"/>
      <c r="Q2143" s="1117"/>
      <c r="R2143" s="1116"/>
      <c r="S2143" s="1103"/>
      <c r="T2143" s="1639"/>
      <c r="U2143" s="177"/>
      <c r="V2143" s="2866"/>
      <c r="W2143" s="909">
        <v>9.5</v>
      </c>
      <c r="X2143" s="909">
        <v>9.5</v>
      </c>
      <c r="Y2143" s="909">
        <v>9.5</v>
      </c>
      <c r="Z2143" s="909"/>
      <c r="AA2143" s="909"/>
      <c r="AB2143" s="909"/>
      <c r="AC2143" s="909"/>
      <c r="AD2143" s="909"/>
      <c r="AE2143" s="909"/>
      <c r="AF2143" s="909"/>
      <c r="AG2143" s="909"/>
      <c r="BB2143" s="784"/>
      <c r="BC2143" s="785"/>
      <c r="BD2143" s="900"/>
      <c r="BE2143" s="797"/>
    </row>
    <row r="2144" spans="1:57" s="65" customFormat="1" ht="15" hidden="1" customHeight="1" outlineLevel="1" x14ac:dyDescent="0.25">
      <c r="A2144" s="718"/>
      <c r="B2144" s="177"/>
      <c r="C2144" s="455"/>
      <c r="D2144" s="2806"/>
      <c r="E2144" s="2856"/>
      <c r="F2144" s="2908" t="str">
        <f>$E$1580</f>
        <v>ASHP SEER 19 replace ASHP - early replacement MF ER1_CompE</v>
      </c>
      <c r="G2144" s="2909"/>
      <c r="H2144" s="2909"/>
      <c r="I2144" s="2910"/>
      <c r="J2144" s="1657" t="str">
        <f>$C$1580</f>
        <v>354501_2019_12_</v>
      </c>
      <c r="K2144" s="1663">
        <v>9.5</v>
      </c>
      <c r="L2144" s="1124"/>
      <c r="M2144" s="1108"/>
      <c r="N2144" s="177"/>
      <c r="O2144" s="332"/>
      <c r="P2144" s="1116"/>
      <c r="Q2144" s="1117"/>
      <c r="R2144" s="1116"/>
      <c r="S2144" s="1103"/>
      <c r="T2144" s="1639"/>
      <c r="U2144" s="177"/>
      <c r="V2144" s="2866"/>
      <c r="W2144" s="909"/>
      <c r="X2144" s="909"/>
      <c r="Y2144" s="908">
        <v>9.5</v>
      </c>
      <c r="Z2144" s="909"/>
      <c r="AA2144" s="909"/>
      <c r="AB2144" s="909"/>
      <c r="AC2144" s="909"/>
      <c r="AD2144" s="909"/>
      <c r="AE2144" s="909"/>
      <c r="AF2144" s="909"/>
      <c r="AG2144" s="909"/>
      <c r="BB2144" s="784"/>
      <c r="BC2144" s="785"/>
      <c r="BD2144" s="900"/>
      <c r="BE2144" s="797"/>
    </row>
    <row r="2145" spans="1:57" s="65" customFormat="1" ht="15" hidden="1" customHeight="1" outlineLevel="1" x14ac:dyDescent="0.25">
      <c r="A2145" s="718"/>
      <c r="B2145" s="177"/>
      <c r="C2145" s="455"/>
      <c r="D2145" s="2806"/>
      <c r="E2145" s="2856"/>
      <c r="F2145" s="2908" t="str">
        <f>$E$1582</f>
        <v>ASHP SEER 19 replace ASHP - early replacement MF ER2_CompE</v>
      </c>
      <c r="G2145" s="2909"/>
      <c r="H2145" s="2909"/>
      <c r="I2145" s="2910"/>
      <c r="J2145" s="1657" t="str">
        <f>$C$1582</f>
        <v>354501_2019_12_</v>
      </c>
      <c r="K2145" s="1663">
        <v>9.5</v>
      </c>
      <c r="L2145" s="1124"/>
      <c r="M2145" s="1108"/>
      <c r="N2145" s="177"/>
      <c r="O2145" s="332"/>
      <c r="P2145" s="1116"/>
      <c r="Q2145" s="1117"/>
      <c r="R2145" s="1116"/>
      <c r="S2145" s="1103"/>
      <c r="T2145" s="1639"/>
      <c r="U2145" s="177"/>
      <c r="V2145" s="2866"/>
      <c r="W2145" s="909"/>
      <c r="X2145" s="909"/>
      <c r="Y2145" s="908">
        <v>9.5</v>
      </c>
      <c r="Z2145" s="909"/>
      <c r="AA2145" s="909"/>
      <c r="AB2145" s="909"/>
      <c r="AC2145" s="909"/>
      <c r="AD2145" s="909"/>
      <c r="AE2145" s="909"/>
      <c r="AF2145" s="909"/>
      <c r="AG2145" s="909"/>
      <c r="BB2145" s="784"/>
      <c r="BC2145" s="785"/>
      <c r="BD2145" s="900"/>
      <c r="BE2145" s="797"/>
    </row>
    <row r="2146" spans="1:57" s="65" customFormat="1" ht="15" hidden="1" customHeight="1" outlineLevel="1" x14ac:dyDescent="0.25">
      <c r="A2146" s="718"/>
      <c r="B2146" s="177"/>
      <c r="C2146" s="455"/>
      <c r="D2146" s="2806"/>
      <c r="E2146" s="2856"/>
      <c r="F2146" s="2908" t="str">
        <f>$E$1584</f>
        <v>ASHP SEER 20 replace ASHP - early replacement SF ER1</v>
      </c>
      <c r="G2146" s="2909"/>
      <c r="H2146" s="2909"/>
      <c r="I2146" s="2910"/>
      <c r="J2146" s="1657" t="str">
        <f>$C$1584</f>
        <v>354550_2019_12_</v>
      </c>
      <c r="K2146" s="1663">
        <v>9.5</v>
      </c>
      <c r="L2146" s="1124"/>
      <c r="M2146" s="1108"/>
      <c r="N2146" s="177"/>
      <c r="O2146" s="332"/>
      <c r="P2146" s="1116"/>
      <c r="Q2146" s="1117"/>
      <c r="R2146" s="1116"/>
      <c r="S2146" s="1103"/>
      <c r="T2146" s="1639"/>
      <c r="U2146" s="177"/>
      <c r="V2146" s="2866"/>
      <c r="W2146" s="909">
        <v>9.5</v>
      </c>
      <c r="X2146" s="909">
        <v>9.5</v>
      </c>
      <c r="Y2146" s="909">
        <v>9.5</v>
      </c>
      <c r="Z2146" s="909"/>
      <c r="AA2146" s="909"/>
      <c r="AB2146" s="909"/>
      <c r="AC2146" s="909"/>
      <c r="AD2146" s="909"/>
      <c r="AE2146" s="909"/>
      <c r="AF2146" s="909"/>
      <c r="AG2146" s="909"/>
      <c r="BB2146" s="784"/>
      <c r="BC2146" s="785"/>
      <c r="BD2146" s="900"/>
      <c r="BE2146" s="797"/>
    </row>
    <row r="2147" spans="1:57" s="65" customFormat="1" ht="15" hidden="1" customHeight="1" outlineLevel="1" x14ac:dyDescent="0.25">
      <c r="A2147" s="718"/>
      <c r="B2147" s="177"/>
      <c r="C2147" s="455"/>
      <c r="D2147" s="2806"/>
      <c r="E2147" s="2856"/>
      <c r="F2147" s="2908" t="str">
        <f>$E$1586</f>
        <v>ASHP SEER 20 replace ASHP - early replacement SF ER2</v>
      </c>
      <c r="G2147" s="2909"/>
      <c r="H2147" s="2909"/>
      <c r="I2147" s="2910"/>
      <c r="J2147" s="1657" t="str">
        <f>$C$1586</f>
        <v>354550_2019_12_</v>
      </c>
      <c r="K2147" s="1663">
        <v>9.5</v>
      </c>
      <c r="L2147" s="1124"/>
      <c r="M2147" s="1108"/>
      <c r="N2147" s="177"/>
      <c r="O2147" s="332"/>
      <c r="P2147" s="1116"/>
      <c r="Q2147" s="1117"/>
      <c r="R2147" s="1116"/>
      <c r="S2147" s="1103"/>
      <c r="T2147" s="1639"/>
      <c r="U2147" s="177"/>
      <c r="V2147" s="2866"/>
      <c r="W2147" s="909">
        <v>9.5</v>
      </c>
      <c r="X2147" s="909">
        <v>9.5</v>
      </c>
      <c r="Y2147" s="909">
        <v>9.5</v>
      </c>
      <c r="Z2147" s="909"/>
      <c r="AA2147" s="909"/>
      <c r="AB2147" s="909"/>
      <c r="AC2147" s="909"/>
      <c r="AD2147" s="909"/>
      <c r="AE2147" s="909"/>
      <c r="AF2147" s="909"/>
      <c r="AG2147" s="909"/>
      <c r="BB2147" s="784"/>
      <c r="BC2147" s="785"/>
      <c r="BD2147" s="900"/>
      <c r="BE2147" s="797"/>
    </row>
    <row r="2148" spans="1:57" s="65" customFormat="1" ht="15" hidden="1" customHeight="1" outlineLevel="1" x14ac:dyDescent="0.25">
      <c r="A2148" s="718"/>
      <c r="B2148" s="177"/>
      <c r="C2148" s="455"/>
      <c r="D2148" s="2806"/>
      <c r="E2148" s="2856"/>
      <c r="F2148" s="2908" t="str">
        <f>$E$1588</f>
        <v>ASHP SEER 20 replace ASHP - replace on fail SF</v>
      </c>
      <c r="G2148" s="2909"/>
      <c r="H2148" s="2909"/>
      <c r="I2148" s="2910"/>
      <c r="J2148" s="1657" t="str">
        <f>$C$1588</f>
        <v>354600_2019_12_</v>
      </c>
      <c r="K2148" s="1663">
        <v>9.8000000000000007</v>
      </c>
      <c r="L2148" s="1124"/>
      <c r="M2148" s="1108"/>
      <c r="N2148" s="177"/>
      <c r="O2148" s="332"/>
      <c r="P2148" s="1116"/>
      <c r="Q2148" s="1117"/>
      <c r="R2148" s="1116"/>
      <c r="S2148" s="1103"/>
      <c r="T2148" s="1639"/>
      <c r="U2148" s="177"/>
      <c r="V2148" s="2866"/>
      <c r="W2148" s="909">
        <v>9.8000000000000007</v>
      </c>
      <c r="X2148" s="909">
        <v>9.8000000000000007</v>
      </c>
      <c r="Y2148" s="909">
        <v>9.8000000000000007</v>
      </c>
      <c r="Z2148" s="909"/>
      <c r="AA2148" s="909"/>
      <c r="AB2148" s="909"/>
      <c r="AC2148" s="909"/>
      <c r="AD2148" s="909"/>
      <c r="AE2148" s="909"/>
      <c r="AF2148" s="909"/>
      <c r="AG2148" s="909"/>
      <c r="BB2148" s="784"/>
      <c r="BC2148" s="785"/>
      <c r="BD2148" s="900"/>
      <c r="BE2148" s="797"/>
    </row>
    <row r="2149" spans="1:57" s="65" customFormat="1" ht="15" hidden="1" customHeight="1" outlineLevel="1" x14ac:dyDescent="0.25">
      <c r="A2149" s="718"/>
      <c r="B2149" s="177"/>
      <c r="C2149" s="455"/>
      <c r="D2149" s="2806"/>
      <c r="E2149" s="2856"/>
      <c r="F2149" s="2908" t="str">
        <f>$E$1590</f>
        <v>ASHP - SEER 20 - replace electric furnace / CAC - early replacement MF ER1</v>
      </c>
      <c r="G2149" s="2909"/>
      <c r="H2149" s="2909"/>
      <c r="I2149" s="2910"/>
      <c r="J2149" s="1657" t="str">
        <f>$C$1590</f>
        <v>354650_2019_12_</v>
      </c>
      <c r="K2149" s="1663">
        <v>9.4</v>
      </c>
      <c r="L2149" s="1124"/>
      <c r="M2149" s="1108"/>
      <c r="N2149" s="177"/>
      <c r="O2149" s="332"/>
      <c r="P2149" s="1116"/>
      <c r="Q2149" s="1117"/>
      <c r="R2149" s="1116"/>
      <c r="S2149" s="1103"/>
      <c r="T2149" s="1639"/>
      <c r="U2149" s="177"/>
      <c r="V2149" s="2866"/>
      <c r="W2149" s="909">
        <v>9.4</v>
      </c>
      <c r="X2149" s="909">
        <v>9.4</v>
      </c>
      <c r="Y2149" s="909">
        <v>9.4</v>
      </c>
      <c r="Z2149" s="909"/>
      <c r="AA2149" s="909"/>
      <c r="AB2149" s="909"/>
      <c r="AC2149" s="909"/>
      <c r="AD2149" s="909"/>
      <c r="AE2149" s="909"/>
      <c r="AF2149" s="909"/>
      <c r="AG2149" s="909"/>
      <c r="BB2149" s="784"/>
      <c r="BC2149" s="785"/>
      <c r="BD2149" s="900"/>
      <c r="BE2149" s="797"/>
    </row>
    <row r="2150" spans="1:57" s="65" customFormat="1" ht="15" hidden="1" customHeight="1" outlineLevel="1" x14ac:dyDescent="0.25">
      <c r="A2150" s="718"/>
      <c r="B2150" s="177"/>
      <c r="C2150" s="455"/>
      <c r="D2150" s="2806"/>
      <c r="E2150" s="2856"/>
      <c r="F2150" s="2908" t="str">
        <f>$E$1592</f>
        <v>ASHP - SEER 20 - replace electric furnace / CAC - early replacement MF ER2</v>
      </c>
      <c r="G2150" s="2909"/>
      <c r="H2150" s="2909"/>
      <c r="I2150" s="2910"/>
      <c r="J2150" s="1657" t="str">
        <f>$C$1592</f>
        <v>354650_2019_12_</v>
      </c>
      <c r="K2150" s="1663">
        <v>9.4</v>
      </c>
      <c r="L2150" s="1124"/>
      <c r="M2150" s="1108"/>
      <c r="N2150" s="177"/>
      <c r="O2150" s="332"/>
      <c r="P2150" s="1116"/>
      <c r="Q2150" s="1117"/>
      <c r="R2150" s="1116"/>
      <c r="S2150" s="1103"/>
      <c r="T2150" s="1639"/>
      <c r="U2150" s="177"/>
      <c r="V2150" s="2866"/>
      <c r="W2150" s="909">
        <v>9.4</v>
      </c>
      <c r="X2150" s="909">
        <v>9.4</v>
      </c>
      <c r="Y2150" s="909">
        <v>9.4</v>
      </c>
      <c r="Z2150" s="909"/>
      <c r="AA2150" s="909"/>
      <c r="AB2150" s="909"/>
      <c r="AC2150" s="909"/>
      <c r="AD2150" s="909"/>
      <c r="AE2150" s="909"/>
      <c r="AF2150" s="909"/>
      <c r="AG2150" s="909"/>
      <c r="BB2150" s="784"/>
      <c r="BC2150" s="785"/>
      <c r="BD2150" s="900"/>
      <c r="BE2150" s="797"/>
    </row>
    <row r="2151" spans="1:57" s="65" customFormat="1" ht="15" hidden="1" customHeight="1" outlineLevel="1" x14ac:dyDescent="0.25">
      <c r="A2151" s="718"/>
      <c r="B2151" s="177"/>
      <c r="C2151" s="455"/>
      <c r="D2151" s="2806"/>
      <c r="E2151" s="2856"/>
      <c r="F2151" s="2908" t="str">
        <f>$E$1594</f>
        <v>ASHP - SEER 20 - replace electric furnace / CAC - early replacement MF ER1_CompE</v>
      </c>
      <c r="G2151" s="2909"/>
      <c r="H2151" s="2909"/>
      <c r="I2151" s="2910"/>
      <c r="J2151" s="1657" t="str">
        <f>$C$1594</f>
        <v>354651_2019_12_</v>
      </c>
      <c r="K2151" s="1663">
        <v>9.4</v>
      </c>
      <c r="L2151" s="1124"/>
      <c r="M2151" s="1108"/>
      <c r="N2151" s="177"/>
      <c r="O2151" s="332"/>
      <c r="P2151" s="1116"/>
      <c r="Q2151" s="1117"/>
      <c r="R2151" s="1116"/>
      <c r="S2151" s="1103"/>
      <c r="T2151" s="1639"/>
      <c r="U2151" s="177"/>
      <c r="V2151" s="2866"/>
      <c r="W2151" s="909"/>
      <c r="X2151" s="909"/>
      <c r="Y2151" s="908">
        <v>9.4</v>
      </c>
      <c r="Z2151" s="909"/>
      <c r="AA2151" s="909"/>
      <c r="AB2151" s="909"/>
      <c r="AC2151" s="909"/>
      <c r="AD2151" s="909"/>
      <c r="AE2151" s="909"/>
      <c r="AF2151" s="909"/>
      <c r="AG2151" s="909"/>
      <c r="BB2151" s="784"/>
      <c r="BC2151" s="785"/>
      <c r="BD2151" s="900"/>
      <c r="BE2151" s="797"/>
    </row>
    <row r="2152" spans="1:57" s="65" customFormat="1" ht="15" hidden="1" customHeight="1" outlineLevel="1" x14ac:dyDescent="0.25">
      <c r="A2152" s="718"/>
      <c r="B2152" s="177"/>
      <c r="C2152" s="455"/>
      <c r="D2152" s="2806"/>
      <c r="E2152" s="2856"/>
      <c r="F2152" s="2908" t="str">
        <f>$E$1596</f>
        <v>ASHP - SEER 20 - replace electric furnace / CAC - early replacement MF ER2_CompE</v>
      </c>
      <c r="G2152" s="2909"/>
      <c r="H2152" s="2909"/>
      <c r="I2152" s="2910"/>
      <c r="J2152" s="1657" t="str">
        <f>$C$1596</f>
        <v>354651_2019_12_</v>
      </c>
      <c r="K2152" s="1663">
        <v>9.4</v>
      </c>
      <c r="L2152" s="1124"/>
      <c r="M2152" s="1108"/>
      <c r="N2152" s="177"/>
      <c r="O2152" s="332"/>
      <c r="P2152" s="1116"/>
      <c r="Q2152" s="1117"/>
      <c r="R2152" s="1116"/>
      <c r="S2152" s="1103"/>
      <c r="T2152" s="1639"/>
      <c r="U2152" s="177"/>
      <c r="V2152" s="2866"/>
      <c r="W2152" s="909"/>
      <c r="X2152" s="909"/>
      <c r="Y2152" s="908">
        <v>9.4</v>
      </c>
      <c r="Z2152" s="909"/>
      <c r="AA2152" s="909"/>
      <c r="AB2152" s="909"/>
      <c r="AC2152" s="909"/>
      <c r="AD2152" s="909"/>
      <c r="AE2152" s="909"/>
      <c r="AF2152" s="909"/>
      <c r="AG2152" s="909"/>
      <c r="BB2152" s="784"/>
      <c r="BC2152" s="785"/>
      <c r="BD2152" s="900"/>
      <c r="BE2152" s="797"/>
    </row>
    <row r="2153" spans="1:57" s="65" customFormat="1" ht="15" hidden="1" customHeight="1" outlineLevel="1" x14ac:dyDescent="0.25">
      <c r="A2153" s="718"/>
      <c r="B2153" s="177"/>
      <c r="C2153" s="455"/>
      <c r="D2153" s="2806"/>
      <c r="E2153" s="2856"/>
      <c r="F2153" s="2908" t="str">
        <f>$E$1598</f>
        <v>ASHP SEER 20 replace ASHP - early replacement MF ER1</v>
      </c>
      <c r="G2153" s="2909"/>
      <c r="H2153" s="2909"/>
      <c r="I2153" s="2910"/>
      <c r="J2153" s="1657" t="str">
        <f>$C$1598</f>
        <v>354700_2019_12_</v>
      </c>
      <c r="K2153" s="1663">
        <v>9.5</v>
      </c>
      <c r="L2153" s="1124"/>
      <c r="M2153" s="1108"/>
      <c r="N2153" s="177"/>
      <c r="O2153" s="332"/>
      <c r="P2153" s="1116"/>
      <c r="Q2153" s="1117"/>
      <c r="R2153" s="1116"/>
      <c r="S2153" s="1103"/>
      <c r="T2153" s="1639"/>
      <c r="U2153" s="177"/>
      <c r="V2153" s="2866"/>
      <c r="W2153" s="909">
        <v>9.5</v>
      </c>
      <c r="X2153" s="909">
        <v>9.5</v>
      </c>
      <c r="Y2153" s="909">
        <v>9.5</v>
      </c>
      <c r="Z2153" s="909"/>
      <c r="AA2153" s="909"/>
      <c r="AB2153" s="909"/>
      <c r="AC2153" s="909"/>
      <c r="AD2153" s="909"/>
      <c r="AE2153" s="909"/>
      <c r="AF2153" s="909"/>
      <c r="AG2153" s="909"/>
      <c r="BB2153" s="784"/>
      <c r="BC2153" s="785"/>
      <c r="BD2153" s="900"/>
      <c r="BE2153" s="797"/>
    </row>
    <row r="2154" spans="1:57" s="65" customFormat="1" ht="15" hidden="1" customHeight="1" outlineLevel="1" x14ac:dyDescent="0.25">
      <c r="A2154" s="718"/>
      <c r="B2154" s="177"/>
      <c r="C2154" s="455"/>
      <c r="D2154" s="2806"/>
      <c r="E2154" s="2856"/>
      <c r="F2154" s="2908" t="str">
        <f>$E$1600</f>
        <v>ASHP SEER 20 replace ASHP - early replacement MF ER2</v>
      </c>
      <c r="G2154" s="2909"/>
      <c r="H2154" s="2909"/>
      <c r="I2154" s="2910"/>
      <c r="J2154" s="1657" t="str">
        <f>$C$1600</f>
        <v>354700_2019_12_</v>
      </c>
      <c r="K2154" s="1663">
        <v>9.5</v>
      </c>
      <c r="L2154" s="1124"/>
      <c r="M2154" s="1108"/>
      <c r="N2154" s="177"/>
      <c r="O2154" s="332"/>
      <c r="P2154" s="1116"/>
      <c r="Q2154" s="1117"/>
      <c r="R2154" s="1116"/>
      <c r="S2154" s="1103"/>
      <c r="T2154" s="1639"/>
      <c r="U2154" s="177"/>
      <c r="V2154" s="2866"/>
      <c r="W2154" s="909">
        <v>9.5</v>
      </c>
      <c r="X2154" s="909">
        <v>9.5</v>
      </c>
      <c r="Y2154" s="909">
        <v>9.5</v>
      </c>
      <c r="Z2154" s="909"/>
      <c r="AA2154" s="909"/>
      <c r="AB2154" s="909"/>
      <c r="AC2154" s="909"/>
      <c r="AD2154" s="909"/>
      <c r="AE2154" s="909"/>
      <c r="AF2154" s="909"/>
      <c r="AG2154" s="909"/>
      <c r="BB2154" s="784"/>
      <c r="BC2154" s="785"/>
      <c r="BD2154" s="900"/>
      <c r="BE2154" s="797"/>
    </row>
    <row r="2155" spans="1:57" s="65" customFormat="1" ht="15" hidden="1" customHeight="1" outlineLevel="1" x14ac:dyDescent="0.25">
      <c r="A2155" s="718"/>
      <c r="B2155" s="177"/>
      <c r="C2155" s="455"/>
      <c r="D2155" s="2806"/>
      <c r="E2155" s="2856"/>
      <c r="F2155" s="2908" t="str">
        <f>$E$1602</f>
        <v>ASHP SEER 20 replace ASHP - early replacement MF ER1_CompE</v>
      </c>
      <c r="G2155" s="2909"/>
      <c r="H2155" s="2909"/>
      <c r="I2155" s="2910"/>
      <c r="J2155" s="1657" t="str">
        <f>$C$1602</f>
        <v>354701_2019_12_</v>
      </c>
      <c r="K2155" s="1663">
        <v>9.5</v>
      </c>
      <c r="L2155" s="1124"/>
      <c r="M2155" s="1108"/>
      <c r="N2155" s="177"/>
      <c r="O2155" s="332"/>
      <c r="P2155" s="1116"/>
      <c r="Q2155" s="1117"/>
      <c r="R2155" s="1116"/>
      <c r="S2155" s="1103"/>
      <c r="T2155" s="1639"/>
      <c r="U2155" s="177"/>
      <c r="V2155" s="2866"/>
      <c r="W2155" s="909"/>
      <c r="X2155" s="909"/>
      <c r="Y2155" s="908">
        <v>9.5</v>
      </c>
      <c r="Z2155" s="909"/>
      <c r="AA2155" s="909"/>
      <c r="AB2155" s="909"/>
      <c r="AC2155" s="909"/>
      <c r="AD2155" s="909"/>
      <c r="AE2155" s="909"/>
      <c r="AF2155" s="909"/>
      <c r="AG2155" s="909"/>
      <c r="BB2155" s="784"/>
      <c r="BC2155" s="785"/>
      <c r="BD2155" s="900"/>
      <c r="BE2155" s="797"/>
    </row>
    <row r="2156" spans="1:57" s="65" customFormat="1" ht="15" hidden="1" customHeight="1" outlineLevel="1" x14ac:dyDescent="0.25">
      <c r="A2156" s="718"/>
      <c r="B2156" s="177"/>
      <c r="C2156" s="455"/>
      <c r="D2156" s="2806"/>
      <c r="E2156" s="2856"/>
      <c r="F2156" s="2908" t="str">
        <f>$E$1604</f>
        <v>ASHP SEER 20 replace ASHP - early replacement MF ER2_CompE</v>
      </c>
      <c r="G2156" s="2909"/>
      <c r="H2156" s="2909"/>
      <c r="I2156" s="2910"/>
      <c r="J2156" s="1657" t="str">
        <f>$C$1604</f>
        <v>354701_2019_12_</v>
      </c>
      <c r="K2156" s="1663">
        <v>9.5</v>
      </c>
      <c r="L2156" s="1124"/>
      <c r="M2156" s="1108"/>
      <c r="N2156" s="177"/>
      <c r="O2156" s="332"/>
      <c r="P2156" s="1116"/>
      <c r="Q2156" s="1117"/>
      <c r="R2156" s="1116"/>
      <c r="S2156" s="1103"/>
      <c r="T2156" s="1639"/>
      <c r="U2156" s="177"/>
      <c r="V2156" s="2866"/>
      <c r="W2156" s="909"/>
      <c r="X2156" s="909"/>
      <c r="Y2156" s="908">
        <v>9.5</v>
      </c>
      <c r="Z2156" s="909"/>
      <c r="AA2156" s="909"/>
      <c r="AB2156" s="909"/>
      <c r="AC2156" s="909"/>
      <c r="AD2156" s="909"/>
      <c r="AE2156" s="909"/>
      <c r="AF2156" s="909"/>
      <c r="AG2156" s="909"/>
      <c r="BB2156" s="784"/>
      <c r="BC2156" s="785"/>
      <c r="BD2156" s="900"/>
      <c r="BE2156" s="797"/>
    </row>
    <row r="2157" spans="1:57" s="65" customFormat="1" ht="15" hidden="1" customHeight="1" outlineLevel="1" x14ac:dyDescent="0.25">
      <c r="A2157" s="718"/>
      <c r="B2157" s="177"/>
      <c r="C2157" s="455"/>
      <c r="D2157" s="2806"/>
      <c r="E2157" s="2856"/>
      <c r="F2157" s="2908" t="str">
        <f>$E$1606</f>
        <v>ASHP SEER 21 replace ASHP - early replacement SF ER1</v>
      </c>
      <c r="G2157" s="2909"/>
      <c r="H2157" s="2909"/>
      <c r="I2157" s="2910"/>
      <c r="J2157" s="1657" t="str">
        <f>$C$1606</f>
        <v>354750_2019_12_</v>
      </c>
      <c r="K2157" s="1663">
        <v>9.5</v>
      </c>
      <c r="L2157" s="1124"/>
      <c r="M2157" s="1108"/>
      <c r="N2157" s="177"/>
      <c r="O2157" s="332"/>
      <c r="P2157" s="1116"/>
      <c r="Q2157" s="1117"/>
      <c r="R2157" s="1116"/>
      <c r="S2157" s="1103"/>
      <c r="T2157" s="1639"/>
      <c r="U2157" s="177"/>
      <c r="V2157" s="2866"/>
      <c r="W2157" s="909">
        <v>9.5</v>
      </c>
      <c r="X2157" s="909">
        <v>9.5</v>
      </c>
      <c r="Y2157" s="909">
        <v>9.5</v>
      </c>
      <c r="Z2157" s="909"/>
      <c r="AA2157" s="909"/>
      <c r="AB2157" s="909"/>
      <c r="AC2157" s="909"/>
      <c r="AD2157" s="909"/>
      <c r="AE2157" s="909"/>
      <c r="AF2157" s="909"/>
      <c r="AG2157" s="909"/>
      <c r="BB2157" s="784"/>
      <c r="BC2157" s="785"/>
      <c r="BD2157" s="900"/>
      <c r="BE2157" s="797"/>
    </row>
    <row r="2158" spans="1:57" s="65" customFormat="1" ht="15" hidden="1" customHeight="1" outlineLevel="1" x14ac:dyDescent="0.25">
      <c r="A2158" s="718"/>
      <c r="B2158" s="177"/>
      <c r="C2158" s="455"/>
      <c r="D2158" s="2806"/>
      <c r="E2158" s="2856"/>
      <c r="F2158" s="2908" t="str">
        <f>$E$1608</f>
        <v>ASHP SEER 21 replace ASHP - early replacement SF ER2</v>
      </c>
      <c r="G2158" s="2909"/>
      <c r="H2158" s="2909"/>
      <c r="I2158" s="2910"/>
      <c r="J2158" s="1657" t="str">
        <f>$C$1608</f>
        <v>354750_2019_12_</v>
      </c>
      <c r="K2158" s="1663">
        <v>9.5</v>
      </c>
      <c r="L2158" s="1124"/>
      <c r="M2158" s="1108"/>
      <c r="N2158" s="177"/>
      <c r="O2158" s="332"/>
      <c r="P2158" s="1116"/>
      <c r="Q2158" s="1117"/>
      <c r="R2158" s="1116"/>
      <c r="S2158" s="1103"/>
      <c r="T2158" s="1639"/>
      <c r="U2158" s="177"/>
      <c r="V2158" s="2866"/>
      <c r="W2158" s="909">
        <v>9.5</v>
      </c>
      <c r="X2158" s="909">
        <v>9.5</v>
      </c>
      <c r="Y2158" s="909">
        <v>9.5</v>
      </c>
      <c r="Z2158" s="909"/>
      <c r="AA2158" s="909"/>
      <c r="AB2158" s="909"/>
      <c r="AC2158" s="909"/>
      <c r="AD2158" s="909"/>
      <c r="AE2158" s="909"/>
      <c r="AF2158" s="909"/>
      <c r="AG2158" s="909"/>
      <c r="BB2158" s="784"/>
      <c r="BC2158" s="785"/>
      <c r="BD2158" s="900"/>
      <c r="BE2158" s="797"/>
    </row>
    <row r="2159" spans="1:57" s="65" customFormat="1" ht="15" hidden="1" customHeight="1" outlineLevel="1" x14ac:dyDescent="0.25">
      <c r="A2159" s="718"/>
      <c r="B2159" s="177"/>
      <c r="C2159" s="455"/>
      <c r="D2159" s="2806"/>
      <c r="E2159" s="2856"/>
      <c r="F2159" s="2908" t="str">
        <f>$E$1610</f>
        <v>ASHP SEER 21 replace ASHP - replace on fail SF</v>
      </c>
      <c r="G2159" s="2909"/>
      <c r="H2159" s="2909"/>
      <c r="I2159" s="2910"/>
      <c r="J2159" s="1657" t="str">
        <f>$C$1610</f>
        <v>354800_2019_12_</v>
      </c>
      <c r="K2159" s="1663">
        <v>9.8000000000000007</v>
      </c>
      <c r="L2159" s="1124"/>
      <c r="M2159" s="1108"/>
      <c r="N2159" s="177"/>
      <c r="O2159" s="332"/>
      <c r="P2159" s="1116"/>
      <c r="Q2159" s="1117"/>
      <c r="R2159" s="1116"/>
      <c r="S2159" s="1103"/>
      <c r="T2159" s="1639"/>
      <c r="U2159" s="177"/>
      <c r="V2159" s="2866"/>
      <c r="W2159" s="909">
        <v>9.8000000000000007</v>
      </c>
      <c r="X2159" s="909">
        <v>9.8000000000000007</v>
      </c>
      <c r="Y2159" s="909">
        <v>9.8000000000000007</v>
      </c>
      <c r="Z2159" s="909"/>
      <c r="AA2159" s="909"/>
      <c r="AB2159" s="909"/>
      <c r="AC2159" s="909"/>
      <c r="AD2159" s="909"/>
      <c r="AE2159" s="909"/>
      <c r="AF2159" s="909"/>
      <c r="AG2159" s="909"/>
      <c r="BB2159" s="784"/>
      <c r="BC2159" s="785"/>
      <c r="BD2159" s="900"/>
      <c r="BE2159" s="797"/>
    </row>
    <row r="2160" spans="1:57" s="65" customFormat="1" ht="15" hidden="1" customHeight="1" outlineLevel="1" x14ac:dyDescent="0.25">
      <c r="A2160" s="718"/>
      <c r="B2160" s="177"/>
      <c r="C2160" s="455"/>
      <c r="D2160" s="2806"/>
      <c r="E2160" s="2856"/>
      <c r="F2160" s="2908" t="str">
        <f>$E$1612</f>
        <v>ASHP - SEER 21 - replace electric furnace / CAC MF</v>
      </c>
      <c r="G2160" s="2909"/>
      <c r="H2160" s="2909"/>
      <c r="I2160" s="2910"/>
      <c r="J2160" s="1657" t="str">
        <f>$C$1612</f>
        <v>354850_2019_12_</v>
      </c>
      <c r="K2160" s="1663">
        <v>9.6999999999999993</v>
      </c>
      <c r="L2160" s="1124"/>
      <c r="M2160" s="1108"/>
      <c r="N2160" s="177"/>
      <c r="O2160" s="332"/>
      <c r="P2160" s="1116"/>
      <c r="Q2160" s="1117"/>
      <c r="R2160" s="1116"/>
      <c r="S2160" s="1103"/>
      <c r="T2160" s="1639"/>
      <c r="U2160" s="177"/>
      <c r="V2160" s="2866"/>
      <c r="W2160" s="909">
        <v>9.6999999999999993</v>
      </c>
      <c r="X2160" s="909">
        <v>9.6999999999999993</v>
      </c>
      <c r="Y2160" s="909">
        <v>9.6999999999999993</v>
      </c>
      <c r="Z2160" s="909"/>
      <c r="AA2160" s="909"/>
      <c r="AB2160" s="909"/>
      <c r="AC2160" s="909"/>
      <c r="AD2160" s="909"/>
      <c r="AE2160" s="909"/>
      <c r="AF2160" s="909"/>
      <c r="AG2160" s="909"/>
      <c r="BB2160" s="784"/>
      <c r="BC2160" s="785"/>
      <c r="BD2160" s="900"/>
      <c r="BE2160" s="797"/>
    </row>
    <row r="2161" spans="1:57" s="65" customFormat="1" ht="15" hidden="1" customHeight="1" outlineLevel="1" x14ac:dyDescent="0.25">
      <c r="A2161" s="718"/>
      <c r="B2161" s="177"/>
      <c r="C2161" s="455"/>
      <c r="D2161" s="2806"/>
      <c r="E2161" s="2856"/>
      <c r="F2161" s="2908" t="str">
        <f>$E$1614</f>
        <v>ASHP - SEER 21 - replace electric furnace / CAC MF_CompE</v>
      </c>
      <c r="G2161" s="2909"/>
      <c r="H2161" s="2909"/>
      <c r="I2161" s="2910"/>
      <c r="J2161" s="1657" t="str">
        <f>$C$1614</f>
        <v>354851_2019_12_</v>
      </c>
      <c r="K2161" s="1663">
        <v>9.6999999999999993</v>
      </c>
      <c r="L2161" s="1124"/>
      <c r="M2161" s="1108"/>
      <c r="N2161" s="177"/>
      <c r="O2161" s="332"/>
      <c r="P2161" s="1116"/>
      <c r="Q2161" s="1117"/>
      <c r="R2161" s="1116"/>
      <c r="S2161" s="1103"/>
      <c r="T2161" s="1639"/>
      <c r="U2161" s="177"/>
      <c r="V2161" s="2866"/>
      <c r="W2161" s="909"/>
      <c r="X2161" s="909"/>
      <c r="Y2161" s="908">
        <v>9.6999999999999993</v>
      </c>
      <c r="Z2161" s="909"/>
      <c r="AA2161" s="909"/>
      <c r="AB2161" s="909"/>
      <c r="AC2161" s="909"/>
      <c r="AD2161" s="909"/>
      <c r="AE2161" s="909"/>
      <c r="AF2161" s="909"/>
      <c r="AG2161" s="909"/>
      <c r="BB2161" s="784"/>
      <c r="BC2161" s="785"/>
      <c r="BD2161" s="900"/>
      <c r="BE2161" s="797"/>
    </row>
    <row r="2162" spans="1:57" s="65" customFormat="1" ht="15" hidden="1" customHeight="1" outlineLevel="1" x14ac:dyDescent="0.25">
      <c r="A2162" s="718"/>
      <c r="B2162" s="177"/>
      <c r="C2162" s="455"/>
      <c r="D2162" s="2806"/>
      <c r="E2162" s="2856"/>
      <c r="F2162" s="2908" t="str">
        <f>$E$1616</f>
        <v>ASHP SEER 21 replace ASHP - early replacement MF ER1</v>
      </c>
      <c r="G2162" s="2909"/>
      <c r="H2162" s="2909"/>
      <c r="I2162" s="2910"/>
      <c r="J2162" s="1657" t="str">
        <f>$C$1616</f>
        <v>354900_2019_12_</v>
      </c>
      <c r="K2162" s="1663">
        <v>9.5</v>
      </c>
      <c r="L2162" s="1124"/>
      <c r="M2162" s="1108"/>
      <c r="N2162" s="177"/>
      <c r="O2162" s="332"/>
      <c r="P2162" s="1116"/>
      <c r="Q2162" s="1117"/>
      <c r="R2162" s="1116"/>
      <c r="S2162" s="1103"/>
      <c r="T2162" s="1639"/>
      <c r="U2162" s="177"/>
      <c r="V2162" s="2866"/>
      <c r="W2162" s="909">
        <v>9.5</v>
      </c>
      <c r="X2162" s="909">
        <v>9.5</v>
      </c>
      <c r="Y2162" s="909">
        <v>9.5</v>
      </c>
      <c r="Z2162" s="909"/>
      <c r="AA2162" s="909"/>
      <c r="AB2162" s="909"/>
      <c r="AC2162" s="909"/>
      <c r="AD2162" s="909"/>
      <c r="AE2162" s="909"/>
      <c r="AF2162" s="909"/>
      <c r="AG2162" s="909"/>
      <c r="BB2162" s="784"/>
      <c r="BC2162" s="785"/>
      <c r="BD2162" s="900"/>
      <c r="BE2162" s="797"/>
    </row>
    <row r="2163" spans="1:57" s="65" customFormat="1" ht="15" hidden="1" customHeight="1" outlineLevel="1" x14ac:dyDescent="0.25">
      <c r="A2163" s="718"/>
      <c r="B2163" s="177"/>
      <c r="C2163" s="455"/>
      <c r="D2163" s="2806"/>
      <c r="E2163" s="2856"/>
      <c r="F2163" s="2908" t="str">
        <f>$E$1618</f>
        <v>ASHP SEER 21 replace ASHP - early replacement MF ER2</v>
      </c>
      <c r="G2163" s="2909"/>
      <c r="H2163" s="2909"/>
      <c r="I2163" s="2910"/>
      <c r="J2163" s="1657" t="str">
        <f>$C$1618</f>
        <v>354900_2019_12_</v>
      </c>
      <c r="K2163" s="1663">
        <v>9.5</v>
      </c>
      <c r="L2163" s="1124"/>
      <c r="M2163" s="1108"/>
      <c r="N2163" s="177"/>
      <c r="O2163" s="332"/>
      <c r="P2163" s="1116"/>
      <c r="Q2163" s="1117"/>
      <c r="R2163" s="1116"/>
      <c r="S2163" s="1103"/>
      <c r="T2163" s="1639"/>
      <c r="U2163" s="177"/>
      <c r="V2163" s="2866"/>
      <c r="W2163" s="909">
        <v>9.5</v>
      </c>
      <c r="X2163" s="909">
        <v>9.5</v>
      </c>
      <c r="Y2163" s="909">
        <v>9.5</v>
      </c>
      <c r="Z2163" s="909"/>
      <c r="AA2163" s="909"/>
      <c r="AB2163" s="909"/>
      <c r="AC2163" s="909"/>
      <c r="AD2163" s="909"/>
      <c r="AE2163" s="909"/>
      <c r="AF2163" s="909"/>
      <c r="AG2163" s="909"/>
      <c r="BB2163" s="784"/>
      <c r="BC2163" s="785"/>
      <c r="BD2163" s="900"/>
      <c r="BE2163" s="797"/>
    </row>
    <row r="2164" spans="1:57" s="65" customFormat="1" ht="15" hidden="1" customHeight="1" outlineLevel="1" x14ac:dyDescent="0.25">
      <c r="A2164" s="718"/>
      <c r="B2164" s="177"/>
      <c r="C2164" s="455"/>
      <c r="D2164" s="2806"/>
      <c r="E2164" s="2856"/>
      <c r="F2164" s="2908" t="str">
        <f>$E$1620</f>
        <v>ASHP SEER 21 replace ASHP - early replacement MF ER1_CompE</v>
      </c>
      <c r="G2164" s="2909"/>
      <c r="H2164" s="2909"/>
      <c r="I2164" s="2910"/>
      <c r="J2164" s="1657" t="str">
        <f>$C$1620</f>
        <v>354901_2019_12_</v>
      </c>
      <c r="K2164" s="1663">
        <v>9.5</v>
      </c>
      <c r="L2164" s="1124"/>
      <c r="M2164" s="1108"/>
      <c r="N2164" s="177"/>
      <c r="O2164" s="332"/>
      <c r="P2164" s="1116"/>
      <c r="Q2164" s="1117"/>
      <c r="R2164" s="1116"/>
      <c r="S2164" s="1103"/>
      <c r="T2164" s="1639"/>
      <c r="U2164" s="177"/>
      <c r="V2164" s="2866"/>
      <c r="W2164" s="909"/>
      <c r="X2164" s="909"/>
      <c r="Y2164" s="908">
        <v>9.5</v>
      </c>
      <c r="Z2164" s="909"/>
      <c r="AA2164" s="909"/>
      <c r="AB2164" s="909"/>
      <c r="AC2164" s="909"/>
      <c r="AD2164" s="909"/>
      <c r="AE2164" s="909"/>
      <c r="AF2164" s="909"/>
      <c r="AG2164" s="909"/>
      <c r="BB2164" s="784"/>
      <c r="BC2164" s="785"/>
      <c r="BD2164" s="900"/>
      <c r="BE2164" s="797"/>
    </row>
    <row r="2165" spans="1:57" s="65" customFormat="1" ht="15" hidden="1" customHeight="1" outlineLevel="1" x14ac:dyDescent="0.25">
      <c r="A2165" s="718"/>
      <c r="B2165" s="177"/>
      <c r="C2165" s="455"/>
      <c r="D2165" s="2806"/>
      <c r="E2165" s="2856"/>
      <c r="F2165" s="2908" t="str">
        <f>$E$1622</f>
        <v>ASHP SEER 21 replace ASHP - early replacement MF ER2_CompE</v>
      </c>
      <c r="G2165" s="2909"/>
      <c r="H2165" s="2909"/>
      <c r="I2165" s="2910"/>
      <c r="J2165" s="1657" t="str">
        <f>$C$1622</f>
        <v>354901_2019_12_</v>
      </c>
      <c r="K2165" s="1663">
        <v>9.5</v>
      </c>
      <c r="L2165" s="1124"/>
      <c r="M2165" s="1108"/>
      <c r="N2165" s="177"/>
      <c r="O2165" s="332"/>
      <c r="P2165" s="1116"/>
      <c r="Q2165" s="1117"/>
      <c r="R2165" s="1116"/>
      <c r="S2165" s="1103"/>
      <c r="T2165" s="1639"/>
      <c r="U2165" s="177"/>
      <c r="V2165" s="2866"/>
      <c r="W2165" s="909"/>
      <c r="X2165" s="909"/>
      <c r="Y2165" s="908">
        <v>9.5</v>
      </c>
      <c r="Z2165" s="909"/>
      <c r="AA2165" s="909"/>
      <c r="AB2165" s="909"/>
      <c r="AC2165" s="909"/>
      <c r="AD2165" s="909"/>
      <c r="AE2165" s="909"/>
      <c r="AF2165" s="909"/>
      <c r="AG2165" s="909"/>
      <c r="BB2165" s="784"/>
      <c r="BC2165" s="785"/>
      <c r="BD2165" s="900"/>
      <c r="BE2165" s="797"/>
    </row>
    <row r="2166" spans="1:57" s="65" customFormat="1" ht="15" hidden="1" customHeight="1" outlineLevel="1" x14ac:dyDescent="0.25">
      <c r="A2166" s="718"/>
      <c r="B2166" s="177"/>
      <c r="C2166" s="455"/>
      <c r="D2166" s="2806"/>
      <c r="E2166" s="2856"/>
      <c r="F2166" s="2908" t="str">
        <f>$E$1624</f>
        <v>ASHP - SEER 17 - replace on fail MF</v>
      </c>
      <c r="G2166" s="2909"/>
      <c r="H2166" s="2909"/>
      <c r="I2166" s="2910"/>
      <c r="J2166" s="1657" t="str">
        <f>$C$1624</f>
        <v>354950_2019_12_</v>
      </c>
      <c r="K2166" s="1663">
        <v>9.8000000000000007</v>
      </c>
      <c r="L2166" s="1124"/>
      <c r="M2166" s="1108" t="s">
        <v>1598</v>
      </c>
      <c r="N2166" s="177"/>
      <c r="O2166" s="332"/>
      <c r="P2166" s="1116"/>
      <c r="Q2166" s="1117"/>
      <c r="R2166" s="1116"/>
      <c r="S2166" s="1103"/>
      <c r="T2166" s="1639"/>
      <c r="U2166" s="177"/>
      <c r="V2166" s="2866"/>
      <c r="W2166" s="909">
        <v>9.8000000000000007</v>
      </c>
      <c r="X2166" s="909">
        <v>9.8000000000000007</v>
      </c>
      <c r="Y2166" s="909">
        <v>9.8000000000000007</v>
      </c>
      <c r="Z2166" s="909"/>
      <c r="AA2166" s="909"/>
      <c r="AB2166" s="909"/>
      <c r="AC2166" s="909"/>
      <c r="AD2166" s="909"/>
      <c r="AE2166" s="909"/>
      <c r="AF2166" s="909"/>
      <c r="AG2166" s="909"/>
      <c r="BB2166" s="784"/>
      <c r="BC2166" s="785"/>
      <c r="BD2166" s="900"/>
      <c r="BE2166" s="797"/>
    </row>
    <row r="2167" spans="1:57" s="65" customFormat="1" ht="15" hidden="1" customHeight="1" outlineLevel="1" x14ac:dyDescent="0.25">
      <c r="A2167" s="718"/>
      <c r="B2167" s="177"/>
      <c r="C2167" s="455"/>
      <c r="D2167" s="2806"/>
      <c r="E2167" s="2856"/>
      <c r="F2167" s="2908" t="str">
        <f>$E$1626</f>
        <v>ASHP - SEER 17 - replace on fail MF_CompE</v>
      </c>
      <c r="G2167" s="2909"/>
      <c r="H2167" s="2909"/>
      <c r="I2167" s="2910"/>
      <c r="J2167" s="1657" t="str">
        <f>$C$1626</f>
        <v>354951_2019_12_</v>
      </c>
      <c r="K2167" s="1663">
        <v>9.8000000000000007</v>
      </c>
      <c r="L2167" s="1124"/>
      <c r="M2167" s="1108"/>
      <c r="N2167" s="177"/>
      <c r="O2167" s="332"/>
      <c r="P2167" s="1116"/>
      <c r="Q2167" s="1117"/>
      <c r="R2167" s="1116"/>
      <c r="S2167" s="1103"/>
      <c r="T2167" s="1639"/>
      <c r="U2167" s="177"/>
      <c r="V2167" s="2866"/>
      <c r="W2167" s="909"/>
      <c r="X2167" s="909"/>
      <c r="Y2167" s="908">
        <v>9.8000000000000007</v>
      </c>
      <c r="Z2167" s="909"/>
      <c r="AA2167" s="909"/>
      <c r="AB2167" s="909"/>
      <c r="AC2167" s="909"/>
      <c r="AD2167" s="909"/>
      <c r="AE2167" s="909"/>
      <c r="AF2167" s="909"/>
      <c r="AG2167" s="909"/>
      <c r="BB2167" s="784"/>
      <c r="BC2167" s="785"/>
      <c r="BD2167" s="900"/>
      <c r="BE2167" s="797"/>
    </row>
    <row r="2168" spans="1:57" s="65" customFormat="1" ht="15" hidden="1" customHeight="1" outlineLevel="1" x14ac:dyDescent="0.25">
      <c r="A2168" s="785"/>
      <c r="B2168" s="177"/>
      <c r="C2168" s="455"/>
      <c r="D2168" s="2806"/>
      <c r="E2168" s="2856"/>
      <c r="F2168" s="2908" t="str">
        <f>$E$1628</f>
        <v>ASHP - SEER 18 - replace on fail MF</v>
      </c>
      <c r="G2168" s="2909"/>
      <c r="H2168" s="2909"/>
      <c r="I2168" s="2910"/>
      <c r="J2168" s="1657" t="str">
        <f>$C$1628</f>
        <v>355000_2019_12_</v>
      </c>
      <c r="K2168" s="1663">
        <v>9.8000000000000007</v>
      </c>
      <c r="L2168" s="1124"/>
      <c r="M2168" s="1108" t="s">
        <v>1598</v>
      </c>
      <c r="N2168" s="177"/>
      <c r="O2168" s="332"/>
      <c r="P2168" s="332"/>
      <c r="Q2168" s="332"/>
      <c r="R2168" s="332"/>
      <c r="S2168" s="177"/>
      <c r="T2168" s="177"/>
      <c r="U2168" s="177"/>
      <c r="V2168" s="2866"/>
      <c r="W2168" s="909">
        <v>9.8000000000000007</v>
      </c>
      <c r="X2168" s="909">
        <v>9.8000000000000007</v>
      </c>
      <c r="Y2168" s="909">
        <v>9.8000000000000007</v>
      </c>
      <c r="Z2168" s="909"/>
      <c r="AA2168" s="909"/>
      <c r="AB2168" s="909"/>
      <c r="AC2168" s="909"/>
      <c r="AD2168" s="909"/>
      <c r="AE2168" s="909"/>
      <c r="AF2168" s="909"/>
      <c r="AG2168" s="909"/>
      <c r="BB2168" s="784"/>
      <c r="BC2168" s="785"/>
      <c r="BD2168" s="900"/>
      <c r="BE2168" s="797"/>
    </row>
    <row r="2169" spans="1:57" s="65" customFormat="1" ht="15" hidden="1" customHeight="1" outlineLevel="1" x14ac:dyDescent="0.25">
      <c r="A2169" s="785"/>
      <c r="B2169" s="177"/>
      <c r="C2169" s="455"/>
      <c r="D2169" s="2806"/>
      <c r="E2169" s="2856"/>
      <c r="F2169" s="2908" t="str">
        <f>$E$1630</f>
        <v>ASHP - SEER 18 - replace on fail MF_CompE</v>
      </c>
      <c r="G2169" s="2909"/>
      <c r="H2169" s="2909"/>
      <c r="I2169" s="2910"/>
      <c r="J2169" s="1657" t="str">
        <f>$C$1630</f>
        <v>355001_2019_12_</v>
      </c>
      <c r="K2169" s="1663">
        <v>9.8000000000000007</v>
      </c>
      <c r="L2169" s="1124"/>
      <c r="M2169" s="1108"/>
      <c r="N2169" s="177"/>
      <c r="O2169" s="332"/>
      <c r="P2169" s="332"/>
      <c r="Q2169" s="332"/>
      <c r="R2169" s="332"/>
      <c r="S2169" s="177"/>
      <c r="T2169" s="177"/>
      <c r="U2169" s="177"/>
      <c r="V2169" s="2866"/>
      <c r="W2169" s="909"/>
      <c r="X2169" s="909"/>
      <c r="Y2169" s="908">
        <v>9.8000000000000007</v>
      </c>
      <c r="Z2169" s="909"/>
      <c r="AA2169" s="909"/>
      <c r="AB2169" s="909"/>
      <c r="AC2169" s="909"/>
      <c r="AD2169" s="909"/>
      <c r="AE2169" s="909"/>
      <c r="AF2169" s="909"/>
      <c r="AG2169" s="909"/>
      <c r="BB2169" s="784"/>
      <c r="BC2169" s="785"/>
      <c r="BD2169" s="900"/>
      <c r="BE2169" s="797"/>
    </row>
    <row r="2170" spans="1:57" s="65" customFormat="1" ht="15" hidden="1" customHeight="1" outlineLevel="1" x14ac:dyDescent="0.25">
      <c r="A2170" s="785"/>
      <c r="B2170" s="177"/>
      <c r="C2170" s="455"/>
      <c r="D2170" s="2806"/>
      <c r="E2170" s="2856"/>
      <c r="F2170" s="2908" t="str">
        <f>$E$1632</f>
        <v>ASHP - SEER 19 - replace on fail MF</v>
      </c>
      <c r="G2170" s="2909"/>
      <c r="H2170" s="2909"/>
      <c r="I2170" s="2910"/>
      <c r="J2170" s="1657" t="str">
        <f>$C$1632</f>
        <v>355050_2019_12_</v>
      </c>
      <c r="K2170" s="1663">
        <v>9.8000000000000007</v>
      </c>
      <c r="L2170" s="1124"/>
      <c r="M2170" s="1108" t="s">
        <v>1598</v>
      </c>
      <c r="N2170" s="177"/>
      <c r="O2170" s="332"/>
      <c r="P2170" s="332"/>
      <c r="Q2170" s="332"/>
      <c r="R2170" s="332"/>
      <c r="S2170" s="177"/>
      <c r="T2170" s="177"/>
      <c r="U2170" s="177"/>
      <c r="V2170" s="2866"/>
      <c r="W2170" s="909">
        <v>9.8000000000000007</v>
      </c>
      <c r="X2170" s="909">
        <v>9.8000000000000007</v>
      </c>
      <c r="Y2170" s="909">
        <v>9.8000000000000007</v>
      </c>
      <c r="Z2170" s="909"/>
      <c r="AA2170" s="909"/>
      <c r="AB2170" s="909"/>
      <c r="AC2170" s="909"/>
      <c r="AD2170" s="909"/>
      <c r="AE2170" s="909"/>
      <c r="AF2170" s="909"/>
      <c r="AG2170" s="909"/>
      <c r="BB2170" s="784"/>
      <c r="BC2170" s="785"/>
      <c r="BD2170" s="900"/>
      <c r="BE2170" s="797"/>
    </row>
    <row r="2171" spans="1:57" s="65" customFormat="1" ht="15" hidden="1" customHeight="1" outlineLevel="1" x14ac:dyDescent="0.25">
      <c r="A2171" s="785"/>
      <c r="B2171" s="177"/>
      <c r="C2171" s="455"/>
      <c r="D2171" s="2806"/>
      <c r="E2171" s="2856"/>
      <c r="F2171" s="2908" t="str">
        <f>$E$1634</f>
        <v>ASHP - SEER 19 - replace on fail MF_CompE</v>
      </c>
      <c r="G2171" s="2909"/>
      <c r="H2171" s="2909"/>
      <c r="I2171" s="2910"/>
      <c r="J2171" s="1657" t="str">
        <f>$C$1634</f>
        <v>355051_2019_12_</v>
      </c>
      <c r="K2171" s="1663">
        <v>9.8000000000000007</v>
      </c>
      <c r="L2171" s="1124"/>
      <c r="M2171" s="1108"/>
      <c r="N2171" s="177"/>
      <c r="O2171" s="332"/>
      <c r="P2171" s="332"/>
      <c r="Q2171" s="332"/>
      <c r="R2171" s="332"/>
      <c r="S2171" s="177"/>
      <c r="T2171" s="177"/>
      <c r="U2171" s="177"/>
      <c r="V2171" s="2866"/>
      <c r="W2171" s="909"/>
      <c r="X2171" s="909"/>
      <c r="Y2171" s="908">
        <v>9.8000000000000007</v>
      </c>
      <c r="Z2171" s="909"/>
      <c r="AA2171" s="909"/>
      <c r="AB2171" s="909"/>
      <c r="AC2171" s="909"/>
      <c r="AD2171" s="909"/>
      <c r="AE2171" s="909"/>
      <c r="AF2171" s="909"/>
      <c r="AG2171" s="909"/>
      <c r="BB2171" s="784"/>
      <c r="BC2171" s="785"/>
      <c r="BD2171" s="900"/>
      <c r="BE2171" s="797"/>
    </row>
    <row r="2172" spans="1:57" s="65" customFormat="1" ht="15" hidden="1" customHeight="1" outlineLevel="1" x14ac:dyDescent="0.25">
      <c r="A2172" s="718"/>
      <c r="B2172" s="177"/>
      <c r="C2172" s="455"/>
      <c r="D2172" s="2806"/>
      <c r="E2172" s="2856"/>
      <c r="F2172" s="2908" t="str">
        <f>$E$1636</f>
        <v>ASHP - SEER 20 - replace on fail MF</v>
      </c>
      <c r="G2172" s="2909"/>
      <c r="H2172" s="2909"/>
      <c r="I2172" s="2910"/>
      <c r="J2172" s="1657" t="str">
        <f>$C$1636</f>
        <v>355100_2019_12_</v>
      </c>
      <c r="K2172" s="1663">
        <v>9.8000000000000007</v>
      </c>
      <c r="L2172" s="1124"/>
      <c r="M2172" s="1108" t="s">
        <v>1598</v>
      </c>
      <c r="N2172" s="177"/>
      <c r="O2172" s="332"/>
      <c r="P2172" s="1116"/>
      <c r="Q2172" s="1117"/>
      <c r="R2172" s="1116"/>
      <c r="S2172" s="1103"/>
      <c r="T2172" s="1639"/>
      <c r="U2172" s="177"/>
      <c r="V2172" s="2866"/>
      <c r="W2172" s="909">
        <v>9.8000000000000007</v>
      </c>
      <c r="X2172" s="909">
        <v>9.8000000000000007</v>
      </c>
      <c r="Y2172" s="909">
        <v>9.8000000000000007</v>
      </c>
      <c r="Z2172" s="909"/>
      <c r="AA2172" s="909"/>
      <c r="AB2172" s="909"/>
      <c r="AC2172" s="909"/>
      <c r="AD2172" s="909"/>
      <c r="AE2172" s="909"/>
      <c r="AF2172" s="909"/>
      <c r="AG2172" s="909"/>
      <c r="BB2172" s="784"/>
      <c r="BC2172" s="785"/>
      <c r="BD2172" s="900"/>
      <c r="BE2172" s="797"/>
    </row>
    <row r="2173" spans="1:57" s="65" customFormat="1" ht="15" hidden="1" customHeight="1" outlineLevel="1" x14ac:dyDescent="0.25">
      <c r="A2173" s="718"/>
      <c r="B2173" s="177"/>
      <c r="C2173" s="455"/>
      <c r="D2173" s="2806"/>
      <c r="E2173" s="2856"/>
      <c r="F2173" s="2908" t="str">
        <f>$E$1638</f>
        <v>ASHP - SEER 20 - replace on fail MF_CompE</v>
      </c>
      <c r="G2173" s="2909"/>
      <c r="H2173" s="2909"/>
      <c r="I2173" s="2910"/>
      <c r="J2173" s="1657" t="str">
        <f>$C$1638</f>
        <v>355101_2019_12_</v>
      </c>
      <c r="K2173" s="1663">
        <v>9.8000000000000007</v>
      </c>
      <c r="L2173" s="1125"/>
      <c r="M2173" s="1118"/>
      <c r="N2173" s="177"/>
      <c r="O2173" s="332"/>
      <c r="P2173" s="1116"/>
      <c r="Q2173" s="1117"/>
      <c r="R2173" s="1116"/>
      <c r="S2173" s="1103"/>
      <c r="T2173" s="1639"/>
      <c r="U2173" s="177"/>
      <c r="V2173" s="2866"/>
      <c r="W2173" s="921"/>
      <c r="X2173" s="921"/>
      <c r="Y2173" s="908">
        <v>9.8000000000000007</v>
      </c>
      <c r="Z2173" s="921"/>
      <c r="AA2173" s="909"/>
      <c r="AB2173" s="921"/>
      <c r="AC2173" s="921"/>
      <c r="AD2173" s="921"/>
      <c r="AE2173" s="921"/>
      <c r="AF2173" s="921"/>
      <c r="AG2173" s="921"/>
      <c r="BB2173" s="784"/>
      <c r="BC2173" s="785"/>
      <c r="BD2173" s="900"/>
      <c r="BE2173" s="797"/>
    </row>
    <row r="2174" spans="1:57" s="65" customFormat="1" ht="15.75" hidden="1" customHeight="1" outlineLevel="1" x14ac:dyDescent="0.25">
      <c r="A2174" s="718"/>
      <c r="B2174" s="177"/>
      <c r="C2174" s="455"/>
      <c r="D2174" s="2806"/>
      <c r="E2174" s="2856"/>
      <c r="F2174" s="2908" t="str">
        <f>$E$1640</f>
        <v>ASHP - SEER 21 - replace on fail MF</v>
      </c>
      <c r="G2174" s="2909"/>
      <c r="H2174" s="2909"/>
      <c r="I2174" s="2910"/>
      <c r="J2174" s="1657" t="str">
        <f>$C$1640</f>
        <v>355150_2019_12_</v>
      </c>
      <c r="K2174" s="1663">
        <v>9.8000000000000007</v>
      </c>
      <c r="L2174" s="1125"/>
      <c r="M2174" s="1118" t="s">
        <v>1598</v>
      </c>
      <c r="N2174" s="177"/>
      <c r="O2174" s="332"/>
      <c r="P2174" s="1116"/>
      <c r="Q2174" s="1117"/>
      <c r="R2174" s="1116"/>
      <c r="S2174" s="1103"/>
      <c r="T2174" s="1639"/>
      <c r="U2174" s="177"/>
      <c r="V2174" s="2866"/>
      <c r="W2174" s="909">
        <v>9.8000000000000007</v>
      </c>
      <c r="X2174" s="909">
        <v>9.8000000000000007</v>
      </c>
      <c r="Y2174" s="909">
        <v>9.8000000000000007</v>
      </c>
      <c r="Z2174" s="909"/>
      <c r="AA2174" s="909"/>
      <c r="AB2174" s="909"/>
      <c r="AC2174" s="909"/>
      <c r="AD2174" s="909"/>
      <c r="AE2174" s="909"/>
      <c r="AF2174" s="909"/>
      <c r="AG2174" s="909"/>
      <c r="BB2174" s="784"/>
      <c r="BC2174" s="785"/>
      <c r="BD2174" s="900"/>
      <c r="BE2174" s="797"/>
    </row>
    <row r="2175" spans="1:57" s="65" customFormat="1" ht="15.75" hidden="1" customHeight="1" outlineLevel="1" thickBot="1" x14ac:dyDescent="0.3">
      <c r="A2175" s="718"/>
      <c r="B2175" s="177"/>
      <c r="C2175" s="455"/>
      <c r="D2175" s="2808"/>
      <c r="E2175" s="2858"/>
      <c r="F2175" s="2100" t="str">
        <f>$E$1642</f>
        <v>ASHP - SEER 21 - replace on fail MF_CompE</v>
      </c>
      <c r="G2175" s="1119"/>
      <c r="H2175" s="1119"/>
      <c r="I2175" s="1120"/>
      <c r="J2175" s="2100" t="str">
        <f>$C$1642</f>
        <v>355151_2019_12_</v>
      </c>
      <c r="K2175" s="1128">
        <v>9.8000000000000007</v>
      </c>
      <c r="L2175" s="1127"/>
      <c r="M2175" s="1129"/>
      <c r="N2175" s="177"/>
      <c r="O2175" s="332"/>
      <c r="P2175" s="1116"/>
      <c r="Q2175" s="1117"/>
      <c r="R2175" s="1116"/>
      <c r="S2175" s="1103"/>
      <c r="T2175" s="1639"/>
      <c r="U2175" s="177"/>
      <c r="V2175" s="1130"/>
      <c r="W2175" s="924"/>
      <c r="X2175" s="924"/>
      <c r="Y2175" s="1126">
        <v>9.8000000000000007</v>
      </c>
      <c r="Z2175" s="924"/>
      <c r="AA2175" s="1128"/>
      <c r="AB2175" s="924"/>
      <c r="AC2175" s="924"/>
      <c r="AD2175" s="924"/>
      <c r="AE2175" s="924"/>
      <c r="AF2175" s="924"/>
      <c r="AG2175" s="924"/>
      <c r="BB2175" s="784"/>
      <c r="BC2175" s="785"/>
      <c r="BD2175" s="900"/>
      <c r="BE2175" s="797"/>
    </row>
    <row r="2176" spans="1:57" s="65" customFormat="1" ht="15" hidden="1" customHeight="1" outlineLevel="1" x14ac:dyDescent="0.25">
      <c r="A2176" s="718"/>
      <c r="B2176" s="177"/>
      <c r="C2176" s="455"/>
      <c r="D2176" s="2805" t="s">
        <v>1390</v>
      </c>
      <c r="E2176" s="2855" t="s">
        <v>1602</v>
      </c>
      <c r="F2176" s="2905" t="str">
        <f>$E$1388</f>
        <v>ASHP - SEER 15 ER Elec Resist Furnace: HVAC ER1</v>
      </c>
      <c r="G2176" s="2905"/>
      <c r="H2176" s="2905"/>
      <c r="I2176" s="2905"/>
      <c r="J2176" s="1656" t="str">
        <f>$C$1388</f>
        <v>352300_2019_12_</v>
      </c>
      <c r="K2176" s="1667">
        <f t="shared" ref="K2176:K2187" si="205">K1664</f>
        <v>34800</v>
      </c>
      <c r="L2176" s="2105">
        <f>K2176/12000</f>
        <v>2.9</v>
      </c>
      <c r="M2176" s="2103" t="s">
        <v>1280</v>
      </c>
      <c r="N2176" s="177"/>
      <c r="O2176" s="332"/>
      <c r="P2176" s="1116"/>
      <c r="Q2176" s="1116"/>
      <c r="R2176" s="1116"/>
      <c r="S2176" s="1103"/>
      <c r="T2176" s="1639"/>
      <c r="U2176" s="177"/>
      <c r="V2176" s="2867" t="s">
        <v>1390</v>
      </c>
      <c r="W2176" s="903">
        <v>33600</v>
      </c>
      <c r="X2176" s="902">
        <f>3.06*12000</f>
        <v>36720</v>
      </c>
      <c r="Y2176" s="902">
        <v>34800</v>
      </c>
      <c r="Z2176" s="903"/>
      <c r="AA2176" s="903"/>
      <c r="AB2176" s="903"/>
      <c r="AC2176" s="903"/>
      <c r="AD2176" s="903"/>
      <c r="AE2176" s="903"/>
      <c r="AF2176" s="903"/>
      <c r="AG2176" s="903"/>
      <c r="BB2176" s="784"/>
      <c r="BC2176" s="785"/>
      <c r="BD2176" s="900"/>
      <c r="BE2176" s="797"/>
    </row>
    <row r="2177" spans="1:57" s="65" customFormat="1" ht="15" hidden="1" customHeight="1" outlineLevel="1" x14ac:dyDescent="0.25">
      <c r="A2177" s="718"/>
      <c r="B2177" s="177"/>
      <c r="C2177" s="455"/>
      <c r="D2177" s="2806"/>
      <c r="E2177" s="2856"/>
      <c r="F2177" s="2908" t="str">
        <f>$E$1390</f>
        <v>ASHP - SEER 15 ER Elec Resist Furnace: HVAC ER2</v>
      </c>
      <c r="G2177" s="2909"/>
      <c r="H2177" s="2909"/>
      <c r="I2177" s="2910"/>
      <c r="J2177" s="1657" t="str">
        <f>$C$1390</f>
        <v>352300_2019_12_</v>
      </c>
      <c r="K2177" s="1663">
        <f t="shared" si="205"/>
        <v>34800</v>
      </c>
      <c r="L2177" s="2106">
        <f>K2177/12000</f>
        <v>2.9</v>
      </c>
      <c r="M2177" s="2104" t="s">
        <v>1280</v>
      </c>
      <c r="N2177" s="177"/>
      <c r="O2177" s="332"/>
      <c r="P2177" s="1116"/>
      <c r="Q2177" s="1116"/>
      <c r="R2177" s="1116"/>
      <c r="S2177" s="1103"/>
      <c r="T2177" s="1639"/>
      <c r="U2177" s="177"/>
      <c r="V2177" s="2866"/>
      <c r="W2177" s="909">
        <v>33600</v>
      </c>
      <c r="X2177" s="908">
        <f t="shared" ref="X2177:X2187" si="206">3.06*12000</f>
        <v>36720</v>
      </c>
      <c r="Y2177" s="908">
        <v>34800</v>
      </c>
      <c r="Z2177" s="909"/>
      <c r="AA2177" s="909"/>
      <c r="AB2177" s="909"/>
      <c r="AC2177" s="909"/>
      <c r="AD2177" s="909"/>
      <c r="AE2177" s="909"/>
      <c r="AF2177" s="909"/>
      <c r="AG2177" s="909"/>
      <c r="BB2177" s="784"/>
      <c r="BC2177" s="785"/>
      <c r="BD2177" s="900"/>
      <c r="BE2177" s="797"/>
    </row>
    <row r="2178" spans="1:57" s="65" customFormat="1" ht="15" hidden="1" customHeight="1" outlineLevel="1" x14ac:dyDescent="0.25">
      <c r="A2178" s="718"/>
      <c r="B2178" s="177"/>
      <c r="C2178" s="455"/>
      <c r="D2178" s="2806"/>
      <c r="E2178" s="2856"/>
      <c r="F2178" s="2908" t="str">
        <f>$E$1392</f>
        <v>ASHP - SEER 15 ER with ASHP: HVAC ER1</v>
      </c>
      <c r="G2178" s="2909"/>
      <c r="H2178" s="2909"/>
      <c r="I2178" s="2910"/>
      <c r="J2178" s="1657" t="str">
        <f>$C$1392</f>
        <v>352350_2019_12_</v>
      </c>
      <c r="K2178" s="1663">
        <f t="shared" si="205"/>
        <v>35160</v>
      </c>
      <c r="L2178" s="2106">
        <f t="shared" ref="L2178:L2241" si="207">K2178/12000</f>
        <v>2.93</v>
      </c>
      <c r="M2178" s="2104" t="s">
        <v>1280</v>
      </c>
      <c r="N2178" s="177"/>
      <c r="O2178" s="332"/>
      <c r="P2178" s="1116"/>
      <c r="Q2178" s="1116"/>
      <c r="R2178" s="1116"/>
      <c r="S2178" s="1103"/>
      <c r="T2178" s="1639"/>
      <c r="U2178" s="177"/>
      <c r="V2178" s="2866"/>
      <c r="W2178" s="909">
        <v>37200</v>
      </c>
      <c r="X2178" s="908">
        <f t="shared" si="206"/>
        <v>36720</v>
      </c>
      <c r="Y2178" s="908">
        <v>35160</v>
      </c>
      <c r="Z2178" s="909"/>
      <c r="AA2178" s="909"/>
      <c r="AB2178" s="909"/>
      <c r="AC2178" s="909"/>
      <c r="AD2178" s="909"/>
      <c r="AE2178" s="909"/>
      <c r="AF2178" s="909"/>
      <c r="AG2178" s="909"/>
      <c r="BB2178" s="784"/>
      <c r="BC2178" s="785"/>
      <c r="BD2178" s="900"/>
      <c r="BE2178" s="797"/>
    </row>
    <row r="2179" spans="1:57" s="65" customFormat="1" ht="15" hidden="1" customHeight="1" outlineLevel="1" x14ac:dyDescent="0.25">
      <c r="A2179" s="718"/>
      <c r="B2179" s="177"/>
      <c r="C2179" s="455"/>
      <c r="D2179" s="2806"/>
      <c r="E2179" s="2856"/>
      <c r="F2179" s="2908" t="str">
        <f>$E$1394</f>
        <v>ASHP - SEER 15 ER with ASHP: HVAC ER2</v>
      </c>
      <c r="G2179" s="2909"/>
      <c r="H2179" s="2909"/>
      <c r="I2179" s="2910"/>
      <c r="J2179" s="1657" t="str">
        <f>$C$1394</f>
        <v>352350_2019_12_</v>
      </c>
      <c r="K2179" s="1663">
        <f t="shared" si="205"/>
        <v>35160</v>
      </c>
      <c r="L2179" s="2106">
        <f t="shared" si="207"/>
        <v>2.93</v>
      </c>
      <c r="M2179" s="2104" t="s">
        <v>1280</v>
      </c>
      <c r="N2179" s="177"/>
      <c r="O2179" s="332"/>
      <c r="P2179" s="1116"/>
      <c r="Q2179" s="1116"/>
      <c r="R2179" s="1116"/>
      <c r="S2179" s="1103"/>
      <c r="T2179" s="1639"/>
      <c r="U2179" s="177"/>
      <c r="V2179" s="2866"/>
      <c r="W2179" s="909">
        <v>37200</v>
      </c>
      <c r="X2179" s="908">
        <f t="shared" si="206"/>
        <v>36720</v>
      </c>
      <c r="Y2179" s="908">
        <v>35160</v>
      </c>
      <c r="Z2179" s="909"/>
      <c r="AA2179" s="909"/>
      <c r="AB2179" s="909"/>
      <c r="AC2179" s="909"/>
      <c r="AD2179" s="909"/>
      <c r="AE2179" s="909"/>
      <c r="AF2179" s="909"/>
      <c r="AG2179" s="909"/>
      <c r="BB2179" s="784"/>
      <c r="BC2179" s="785"/>
      <c r="BD2179" s="900"/>
      <c r="BE2179" s="797"/>
    </row>
    <row r="2180" spans="1:57" s="65" customFormat="1" ht="15" hidden="1" customHeight="1" outlineLevel="1" x14ac:dyDescent="0.25">
      <c r="A2180" s="718"/>
      <c r="B2180" s="177"/>
      <c r="C2180" s="455"/>
      <c r="D2180" s="2806"/>
      <c r="E2180" s="2856"/>
      <c r="F2180" s="2908" t="str">
        <f>$E$1396</f>
        <v>ASHP-  SEER 15 Replace at Fail Elec Resist Furnace: HVAC</v>
      </c>
      <c r="G2180" s="2909"/>
      <c r="H2180" s="2909"/>
      <c r="I2180" s="2910"/>
      <c r="J2180" s="1657" t="str">
        <f>$C$1396</f>
        <v>352400_2019_12_</v>
      </c>
      <c r="K2180" s="1663">
        <f t="shared" si="205"/>
        <v>34320</v>
      </c>
      <c r="L2180" s="2106">
        <f t="shared" si="207"/>
        <v>2.86</v>
      </c>
      <c r="M2180" s="2104" t="s">
        <v>1280</v>
      </c>
      <c r="N2180" s="177"/>
      <c r="O2180" s="332"/>
      <c r="P2180" s="1116"/>
      <c r="Q2180" s="1116"/>
      <c r="R2180" s="1116"/>
      <c r="S2180" s="1103"/>
      <c r="T2180" s="1639"/>
      <c r="U2180" s="177"/>
      <c r="V2180" s="2866"/>
      <c r="W2180" s="909">
        <v>31200</v>
      </c>
      <c r="X2180" s="908">
        <f t="shared" si="206"/>
        <v>36720</v>
      </c>
      <c r="Y2180" s="908">
        <v>34320</v>
      </c>
      <c r="Z2180" s="909"/>
      <c r="AA2180" s="909"/>
      <c r="AB2180" s="909"/>
      <c r="AC2180" s="909"/>
      <c r="AD2180" s="909"/>
      <c r="AE2180" s="909"/>
      <c r="AF2180" s="909"/>
      <c r="AG2180" s="909"/>
      <c r="BB2180" s="784"/>
      <c r="BC2180" s="785"/>
      <c r="BD2180" s="900"/>
      <c r="BE2180" s="797"/>
    </row>
    <row r="2181" spans="1:57" s="65" customFormat="1" ht="15" hidden="1" customHeight="1" outlineLevel="1" x14ac:dyDescent="0.25">
      <c r="A2181" s="718"/>
      <c r="B2181" s="177"/>
      <c r="C2181" s="455"/>
      <c r="D2181" s="2806"/>
      <c r="E2181" s="2856"/>
      <c r="F2181" s="2908" t="str">
        <f>$E$1398</f>
        <v>ASHP - SEER 15 Replace at Fail with ASHP: HVAC</v>
      </c>
      <c r="G2181" s="2909"/>
      <c r="H2181" s="2909"/>
      <c r="I2181" s="2910"/>
      <c r="J2181" s="1657" t="str">
        <f>$C$1398</f>
        <v>352450_2019_12_</v>
      </c>
      <c r="K2181" s="1663">
        <f t="shared" si="205"/>
        <v>34680</v>
      </c>
      <c r="L2181" s="2106">
        <f t="shared" si="207"/>
        <v>2.89</v>
      </c>
      <c r="M2181" s="2104" t="s">
        <v>1280</v>
      </c>
      <c r="N2181" s="177"/>
      <c r="O2181" s="332"/>
      <c r="P2181" s="1116"/>
      <c r="Q2181" s="1116"/>
      <c r="R2181" s="1116"/>
      <c r="S2181" s="1103"/>
      <c r="T2181" s="1639"/>
      <c r="U2181" s="177"/>
      <c r="V2181" s="2866"/>
      <c r="W2181" s="909">
        <v>37200</v>
      </c>
      <c r="X2181" s="908">
        <f t="shared" si="206"/>
        <v>36720</v>
      </c>
      <c r="Y2181" s="908">
        <v>34680</v>
      </c>
      <c r="Z2181" s="909"/>
      <c r="AA2181" s="909"/>
      <c r="AB2181" s="909"/>
      <c r="AC2181" s="909"/>
      <c r="AD2181" s="909"/>
      <c r="AE2181" s="909"/>
      <c r="AF2181" s="909"/>
      <c r="AG2181" s="909"/>
      <c r="BB2181" s="784"/>
      <c r="BC2181" s="785"/>
      <c r="BD2181" s="900"/>
      <c r="BE2181" s="797"/>
    </row>
    <row r="2182" spans="1:57" s="65" customFormat="1" ht="15" hidden="1" customHeight="1" outlineLevel="1" x14ac:dyDescent="0.25">
      <c r="A2182" s="718"/>
      <c r="B2182" s="177"/>
      <c r="C2182" s="455"/>
      <c r="D2182" s="2806"/>
      <c r="E2182" s="2856"/>
      <c r="F2182" s="2908" t="str">
        <f>$E$1400</f>
        <v>ASHP - SEER 16 - replace electric furnace / CAC - early replacement SF ER1</v>
      </c>
      <c r="G2182" s="2909"/>
      <c r="H2182" s="2909"/>
      <c r="I2182" s="2910"/>
      <c r="J2182" s="1657" t="str">
        <f>$C$1400</f>
        <v>352500_2019_12_</v>
      </c>
      <c r="K2182" s="1663">
        <f t="shared" si="205"/>
        <v>38160</v>
      </c>
      <c r="L2182" s="2106">
        <f t="shared" si="207"/>
        <v>3.18</v>
      </c>
      <c r="M2182" s="2104" t="s">
        <v>1280</v>
      </c>
      <c r="N2182" s="177"/>
      <c r="O2182" s="332"/>
      <c r="P2182" s="1116"/>
      <c r="Q2182" s="1116"/>
      <c r="R2182" s="1116"/>
      <c r="S2182" s="1103"/>
      <c r="T2182" s="1639"/>
      <c r="U2182" s="177"/>
      <c r="V2182" s="2866"/>
      <c r="W2182" s="909">
        <v>37200</v>
      </c>
      <c r="X2182" s="908">
        <f t="shared" si="206"/>
        <v>36720</v>
      </c>
      <c r="Y2182" s="908">
        <v>38160</v>
      </c>
      <c r="Z2182" s="909"/>
      <c r="AA2182" s="909"/>
      <c r="AB2182" s="909"/>
      <c r="AC2182" s="909"/>
      <c r="AD2182" s="909"/>
      <c r="AE2182" s="909"/>
      <c r="AF2182" s="909"/>
      <c r="AG2182" s="909"/>
      <c r="BB2182" s="784"/>
      <c r="BC2182" s="785"/>
      <c r="BD2182" s="900"/>
      <c r="BE2182" s="797"/>
    </row>
    <row r="2183" spans="1:57" s="65" customFormat="1" ht="15" hidden="1" customHeight="1" outlineLevel="1" x14ac:dyDescent="0.25">
      <c r="A2183" s="718"/>
      <c r="B2183" s="177"/>
      <c r="C2183" s="455"/>
      <c r="D2183" s="2806"/>
      <c r="E2183" s="2856"/>
      <c r="F2183" s="2908" t="str">
        <f>$E$1402</f>
        <v>ASHP - SEER 16 - replace electric furnace / CAC - early replacement SF ER2</v>
      </c>
      <c r="G2183" s="2909"/>
      <c r="H2183" s="2909"/>
      <c r="I2183" s="2910"/>
      <c r="J2183" s="1657" t="str">
        <f>$C$1402</f>
        <v>352500_2019_12_</v>
      </c>
      <c r="K2183" s="1663">
        <f t="shared" si="205"/>
        <v>38160</v>
      </c>
      <c r="L2183" s="2106">
        <f t="shared" si="207"/>
        <v>3.18</v>
      </c>
      <c r="M2183" s="2104" t="s">
        <v>1280</v>
      </c>
      <c r="N2183" s="177"/>
      <c r="O2183" s="332"/>
      <c r="P2183" s="1116"/>
      <c r="Q2183" s="1116"/>
      <c r="R2183" s="1116"/>
      <c r="S2183" s="1103"/>
      <c r="T2183" s="1639"/>
      <c r="U2183" s="177"/>
      <c r="V2183" s="2866"/>
      <c r="W2183" s="909">
        <v>37200</v>
      </c>
      <c r="X2183" s="908">
        <f t="shared" si="206"/>
        <v>36720</v>
      </c>
      <c r="Y2183" s="908">
        <v>38160</v>
      </c>
      <c r="Z2183" s="909"/>
      <c r="AA2183" s="909"/>
      <c r="AB2183" s="909"/>
      <c r="AC2183" s="909"/>
      <c r="AD2183" s="909"/>
      <c r="AE2183" s="909"/>
      <c r="AF2183" s="909"/>
      <c r="AG2183" s="909"/>
      <c r="BB2183" s="784"/>
      <c r="BC2183" s="785"/>
      <c r="BD2183" s="900"/>
      <c r="BE2183" s="797"/>
    </row>
    <row r="2184" spans="1:57" s="65" customFormat="1" ht="15" hidden="1" customHeight="1" outlineLevel="1" x14ac:dyDescent="0.25">
      <c r="A2184" s="718"/>
      <c r="B2184" s="177"/>
      <c r="C2184" s="455"/>
      <c r="D2184" s="2806"/>
      <c r="E2184" s="2856"/>
      <c r="F2184" s="2908" t="str">
        <f>$E$1404</f>
        <v>ASHP SEER 16 replace ASHP - early replacement SF ER1</v>
      </c>
      <c r="G2184" s="2909"/>
      <c r="H2184" s="2909"/>
      <c r="I2184" s="2910"/>
      <c r="J2184" s="1657" t="str">
        <f>$C$1404</f>
        <v>352550_2019_12_</v>
      </c>
      <c r="K2184" s="1663">
        <f t="shared" si="205"/>
        <v>37800</v>
      </c>
      <c r="L2184" s="2106">
        <f t="shared" si="207"/>
        <v>3.15</v>
      </c>
      <c r="M2184" s="2104" t="s">
        <v>1280</v>
      </c>
      <c r="N2184" s="177"/>
      <c r="O2184" s="332"/>
      <c r="P2184" s="1116"/>
      <c r="Q2184" s="1116"/>
      <c r="R2184" s="1116"/>
      <c r="S2184" s="1103"/>
      <c r="T2184" s="1639"/>
      <c r="U2184" s="177"/>
      <c r="V2184" s="2866"/>
      <c r="W2184" s="909">
        <v>39600</v>
      </c>
      <c r="X2184" s="908">
        <f t="shared" si="206"/>
        <v>36720</v>
      </c>
      <c r="Y2184" s="908">
        <v>37800</v>
      </c>
      <c r="Z2184" s="909"/>
      <c r="AA2184" s="909"/>
      <c r="AB2184" s="909"/>
      <c r="AC2184" s="909"/>
      <c r="AD2184" s="909"/>
      <c r="AE2184" s="909"/>
      <c r="AF2184" s="909"/>
      <c r="AG2184" s="909"/>
      <c r="BB2184" s="784"/>
      <c r="BC2184" s="785"/>
      <c r="BD2184" s="900"/>
      <c r="BE2184" s="797"/>
    </row>
    <row r="2185" spans="1:57" s="65" customFormat="1" ht="15" hidden="1" customHeight="1" outlineLevel="1" x14ac:dyDescent="0.25">
      <c r="A2185" s="718"/>
      <c r="B2185" s="177"/>
      <c r="C2185" s="455"/>
      <c r="D2185" s="2806"/>
      <c r="E2185" s="2856"/>
      <c r="F2185" s="2908" t="str">
        <f>$E$1406</f>
        <v>ASHP SEER 16 replace ASHP - early replacement SF ER2</v>
      </c>
      <c r="G2185" s="2909"/>
      <c r="H2185" s="2909"/>
      <c r="I2185" s="2910"/>
      <c r="J2185" s="1657" t="str">
        <f>$C$1406</f>
        <v>352550_2019_12_</v>
      </c>
      <c r="K2185" s="1663">
        <f t="shared" si="205"/>
        <v>37800</v>
      </c>
      <c r="L2185" s="2106">
        <f t="shared" si="207"/>
        <v>3.15</v>
      </c>
      <c r="M2185" s="2104" t="s">
        <v>1280</v>
      </c>
      <c r="N2185" s="177"/>
      <c r="O2185" s="332"/>
      <c r="P2185" s="1116"/>
      <c r="Q2185" s="1116"/>
      <c r="R2185" s="1116"/>
      <c r="S2185" s="1103"/>
      <c r="T2185" s="1639"/>
      <c r="U2185" s="177"/>
      <c r="V2185" s="2866"/>
      <c r="W2185" s="909">
        <v>39600</v>
      </c>
      <c r="X2185" s="933">
        <f t="shared" si="206"/>
        <v>36720</v>
      </c>
      <c r="Y2185" s="908">
        <v>37800</v>
      </c>
      <c r="Z2185" s="909"/>
      <c r="AA2185" s="926"/>
      <c r="AB2185" s="909"/>
      <c r="AC2185" s="909"/>
      <c r="AD2185" s="909"/>
      <c r="AE2185" s="909"/>
      <c r="AF2185" s="909"/>
      <c r="AG2185" s="909"/>
      <c r="BB2185" s="784"/>
      <c r="BC2185" s="785"/>
      <c r="BD2185" s="900"/>
      <c r="BE2185" s="797"/>
    </row>
    <row r="2186" spans="1:57" s="65" customFormat="1" ht="15" hidden="1" customHeight="1" outlineLevel="1" x14ac:dyDescent="0.25">
      <c r="A2186" s="718"/>
      <c r="B2186" s="177"/>
      <c r="C2186" s="455"/>
      <c r="D2186" s="2806"/>
      <c r="E2186" s="2856"/>
      <c r="F2186" s="2908" t="str">
        <f>$E$1408</f>
        <v>ASHP - SEER 16 - replace electric furnace / CAC SF</v>
      </c>
      <c r="G2186" s="2909"/>
      <c r="H2186" s="2909"/>
      <c r="I2186" s="2910"/>
      <c r="J2186" s="1657" t="str">
        <f>$C$1408</f>
        <v>352600_2019_12_</v>
      </c>
      <c r="K2186" s="1663">
        <f t="shared" si="205"/>
        <v>37320</v>
      </c>
      <c r="L2186" s="2106">
        <f t="shared" si="207"/>
        <v>3.11</v>
      </c>
      <c r="M2186" s="2104" t="s">
        <v>1280</v>
      </c>
      <c r="N2186" s="177"/>
      <c r="O2186" s="332"/>
      <c r="P2186" s="1116"/>
      <c r="Q2186" s="1116"/>
      <c r="R2186" s="1116"/>
      <c r="S2186" s="1103"/>
      <c r="T2186" s="1639"/>
      <c r="U2186" s="177"/>
      <c r="V2186" s="2866"/>
      <c r="W2186" s="909">
        <v>38400</v>
      </c>
      <c r="X2186" s="933">
        <f t="shared" si="206"/>
        <v>36720</v>
      </c>
      <c r="Y2186" s="908">
        <v>37320</v>
      </c>
      <c r="Z2186" s="909"/>
      <c r="AA2186" s="926"/>
      <c r="AB2186" s="909"/>
      <c r="AC2186" s="909"/>
      <c r="AD2186" s="909"/>
      <c r="AE2186" s="909"/>
      <c r="AF2186" s="909"/>
      <c r="AG2186" s="909"/>
      <c r="BB2186" s="784"/>
      <c r="BC2186" s="785"/>
      <c r="BD2186" s="900"/>
      <c r="BE2186" s="797"/>
    </row>
    <row r="2187" spans="1:57" s="65" customFormat="1" ht="15" hidden="1" customHeight="1" outlineLevel="1" x14ac:dyDescent="0.25">
      <c r="A2187" s="718"/>
      <c r="B2187" s="177"/>
      <c r="C2187" s="455"/>
      <c r="D2187" s="2806"/>
      <c r="E2187" s="2856"/>
      <c r="F2187" s="2908" t="str">
        <f>$E$1410</f>
        <v>ASHP SEER 16 replace ASHP - replace on fail SF</v>
      </c>
      <c r="G2187" s="2909"/>
      <c r="H2187" s="2909"/>
      <c r="I2187" s="2910"/>
      <c r="J2187" s="1657" t="str">
        <f>$C$1410</f>
        <v>352650_2019_12_</v>
      </c>
      <c r="K2187" s="1663">
        <f t="shared" si="205"/>
        <v>39000</v>
      </c>
      <c r="L2187" s="2106">
        <f t="shared" si="207"/>
        <v>3.25</v>
      </c>
      <c r="M2187" s="2104" t="s">
        <v>1280</v>
      </c>
      <c r="N2187" s="177"/>
      <c r="O2187" s="332"/>
      <c r="P2187" s="1116"/>
      <c r="Q2187" s="1116"/>
      <c r="R2187" s="1116"/>
      <c r="S2187" s="1103"/>
      <c r="T2187" s="1639"/>
      <c r="U2187" s="177"/>
      <c r="V2187" s="2866"/>
      <c r="W2187" s="909">
        <v>39600</v>
      </c>
      <c r="X2187" s="933">
        <f t="shared" si="206"/>
        <v>36720</v>
      </c>
      <c r="Y2187" s="908">
        <v>39000</v>
      </c>
      <c r="Z2187" s="909"/>
      <c r="AA2187" s="926"/>
      <c r="AB2187" s="909"/>
      <c r="AC2187" s="909"/>
      <c r="AD2187" s="909"/>
      <c r="AE2187" s="909"/>
      <c r="AF2187" s="909"/>
      <c r="AG2187" s="909"/>
      <c r="BB2187" s="784"/>
      <c r="BC2187" s="785"/>
      <c r="BD2187" s="900"/>
      <c r="BE2187" s="797"/>
    </row>
    <row r="2188" spans="1:57" s="65" customFormat="1" ht="15" hidden="1" customHeight="1" outlineLevel="1" x14ac:dyDescent="0.25">
      <c r="A2188" s="718"/>
      <c r="B2188" s="177"/>
      <c r="C2188" s="455"/>
      <c r="D2188" s="2806"/>
      <c r="E2188" s="2856"/>
      <c r="F2188" s="2908" t="str">
        <f>$E$1412</f>
        <v>ASHP SEER 15 MF ER replace ASHP: HVAC ER1</v>
      </c>
      <c r="G2188" s="2909"/>
      <c r="H2188" s="2909"/>
      <c r="I2188" s="2910"/>
      <c r="J2188" s="1657" t="str">
        <f>$C$1412</f>
        <v>352700_2019_12_</v>
      </c>
      <c r="K2188" s="1663">
        <v>37200</v>
      </c>
      <c r="L2188" s="2106">
        <f t="shared" si="207"/>
        <v>3.1</v>
      </c>
      <c r="M2188" s="1108" t="s">
        <v>1380</v>
      </c>
      <c r="N2188" s="177"/>
      <c r="O2188" s="332"/>
      <c r="P2188" s="1116"/>
      <c r="Q2188" s="1116"/>
      <c r="R2188" s="1116"/>
      <c r="S2188" s="1103"/>
      <c r="T2188" s="1639"/>
      <c r="U2188" s="177"/>
      <c r="V2188" s="2866"/>
      <c r="W2188" s="909">
        <v>37200</v>
      </c>
      <c r="X2188" s="909">
        <v>37200</v>
      </c>
      <c r="Y2188" s="909">
        <v>37200</v>
      </c>
      <c r="Z2188" s="909"/>
      <c r="AA2188" s="909"/>
      <c r="AB2188" s="909"/>
      <c r="AC2188" s="909"/>
      <c r="AD2188" s="909"/>
      <c r="AE2188" s="909"/>
      <c r="AF2188" s="909"/>
      <c r="AG2188" s="909"/>
      <c r="BB2188" s="784"/>
      <c r="BC2188" s="785"/>
      <c r="BD2188" s="900"/>
      <c r="BE2188" s="797"/>
    </row>
    <row r="2189" spans="1:57" s="65" customFormat="1" ht="15" hidden="1" customHeight="1" outlineLevel="1" x14ac:dyDescent="0.25">
      <c r="A2189" s="718"/>
      <c r="B2189" s="177"/>
      <c r="C2189" s="455"/>
      <c r="D2189" s="2806"/>
      <c r="E2189" s="2856"/>
      <c r="F2189" s="2908" t="str">
        <f>$E$1414</f>
        <v>ASHP SEER 15 MF ER replace ASHP: HVAC ER2</v>
      </c>
      <c r="G2189" s="2909"/>
      <c r="H2189" s="2909"/>
      <c r="I2189" s="2910"/>
      <c r="J2189" s="1657" t="str">
        <f>$C$1414</f>
        <v>352700_2019_12_</v>
      </c>
      <c r="K2189" s="1663">
        <v>37200</v>
      </c>
      <c r="L2189" s="2106">
        <f t="shared" si="207"/>
        <v>3.1</v>
      </c>
      <c r="M2189" s="1108" t="s">
        <v>1380</v>
      </c>
      <c r="N2189" s="177"/>
      <c r="O2189" s="332"/>
      <c r="P2189" s="1116"/>
      <c r="Q2189" s="1116"/>
      <c r="R2189" s="1116"/>
      <c r="S2189" s="1103"/>
      <c r="T2189" s="1639"/>
      <c r="U2189" s="177"/>
      <c r="V2189" s="2866"/>
      <c r="W2189" s="909">
        <v>37200</v>
      </c>
      <c r="X2189" s="909">
        <v>37200</v>
      </c>
      <c r="Y2189" s="909">
        <v>37200</v>
      </c>
      <c r="Z2189" s="909"/>
      <c r="AA2189" s="909"/>
      <c r="AB2189" s="909"/>
      <c r="AC2189" s="909"/>
      <c r="AD2189" s="909"/>
      <c r="AE2189" s="909"/>
      <c r="AF2189" s="909"/>
      <c r="AG2189" s="909"/>
      <c r="BB2189" s="784"/>
      <c r="BC2189" s="785"/>
      <c r="BD2189" s="900"/>
      <c r="BE2189" s="797"/>
    </row>
    <row r="2190" spans="1:57" s="65" customFormat="1" ht="15" hidden="1" customHeight="1" outlineLevel="1" x14ac:dyDescent="0.25">
      <c r="A2190" s="718"/>
      <c r="B2190" s="177"/>
      <c r="C2190" s="455"/>
      <c r="D2190" s="2806"/>
      <c r="E2190" s="2856"/>
      <c r="F2190" s="2908" t="str">
        <f>$E$1416</f>
        <v>ASHP SEER 15 MF ER replace ASHP: HVAC ER1_CompE</v>
      </c>
      <c r="G2190" s="2909"/>
      <c r="H2190" s="2909"/>
      <c r="I2190" s="2910"/>
      <c r="J2190" s="1657" t="str">
        <f>$C$1416</f>
        <v>352701_2019_12_</v>
      </c>
      <c r="K2190" s="1663">
        <v>37200</v>
      </c>
      <c r="L2190" s="2106">
        <f t="shared" si="207"/>
        <v>3.1</v>
      </c>
      <c r="M2190" s="1108"/>
      <c r="N2190" s="177"/>
      <c r="O2190" s="332"/>
      <c r="P2190" s="1116"/>
      <c r="Q2190" s="1116"/>
      <c r="R2190" s="1116"/>
      <c r="S2190" s="1103"/>
      <c r="T2190" s="1639"/>
      <c r="U2190" s="177"/>
      <c r="V2190" s="2866"/>
      <c r="W2190" s="909"/>
      <c r="X2190" s="909"/>
      <c r="Y2190" s="908">
        <v>37200</v>
      </c>
      <c r="Z2190" s="909"/>
      <c r="AA2190" s="909"/>
      <c r="AB2190" s="909"/>
      <c r="AC2190" s="909"/>
      <c r="AD2190" s="909"/>
      <c r="AE2190" s="909"/>
      <c r="AF2190" s="909"/>
      <c r="AG2190" s="909"/>
      <c r="BB2190" s="784"/>
      <c r="BC2190" s="785"/>
      <c r="BD2190" s="900"/>
      <c r="BE2190" s="797"/>
    </row>
    <row r="2191" spans="1:57" s="65" customFormat="1" ht="15" hidden="1" customHeight="1" outlineLevel="1" x14ac:dyDescent="0.25">
      <c r="A2191" s="718"/>
      <c r="B2191" s="177"/>
      <c r="C2191" s="455"/>
      <c r="D2191" s="2806"/>
      <c r="E2191" s="2856"/>
      <c r="F2191" s="2908" t="str">
        <f>$E$1418</f>
        <v>ASHP SEER 15 MF ER replace ASHP: HVAC ER2_CompE</v>
      </c>
      <c r="G2191" s="2909"/>
      <c r="H2191" s="2909"/>
      <c r="I2191" s="2910"/>
      <c r="J2191" s="1657" t="str">
        <f>$C$1418</f>
        <v>352701_2019_12_</v>
      </c>
      <c r="K2191" s="1663">
        <v>37200</v>
      </c>
      <c r="L2191" s="2106">
        <f t="shared" si="207"/>
        <v>3.1</v>
      </c>
      <c r="M2191" s="1108"/>
      <c r="N2191" s="177"/>
      <c r="O2191" s="332"/>
      <c r="P2191" s="1116"/>
      <c r="Q2191" s="1116"/>
      <c r="R2191" s="1116"/>
      <c r="S2191" s="1103"/>
      <c r="T2191" s="1639"/>
      <c r="U2191" s="177"/>
      <c r="V2191" s="2866"/>
      <c r="W2191" s="909"/>
      <c r="X2191" s="909"/>
      <c r="Y2191" s="908">
        <v>37200</v>
      </c>
      <c r="Z2191" s="909"/>
      <c r="AA2191" s="909"/>
      <c r="AB2191" s="909"/>
      <c r="AC2191" s="909"/>
      <c r="AD2191" s="909"/>
      <c r="AE2191" s="909"/>
      <c r="AF2191" s="909"/>
      <c r="AG2191" s="909"/>
      <c r="BB2191" s="784"/>
      <c r="BC2191" s="785"/>
      <c r="BD2191" s="900"/>
      <c r="BE2191" s="797"/>
    </row>
    <row r="2192" spans="1:57" s="65" customFormat="1" ht="15" hidden="1" customHeight="1" outlineLevel="1" x14ac:dyDescent="0.25">
      <c r="A2192" s="718"/>
      <c r="B2192" s="177"/>
      <c r="C2192" s="455"/>
      <c r="D2192" s="2806"/>
      <c r="E2192" s="2856"/>
      <c r="F2192" s="2908" t="str">
        <f>$E$1420</f>
        <v>ASHP SEER 15 MF ER replace Elec Resist Furnace: HVAC ER1</v>
      </c>
      <c r="G2192" s="2909"/>
      <c r="H2192" s="2909"/>
      <c r="I2192" s="2910"/>
      <c r="J2192" s="1657" t="str">
        <f>$C$1420</f>
        <v>352750_2019_12_</v>
      </c>
      <c r="K2192" s="1663">
        <v>33600</v>
      </c>
      <c r="L2192" s="2106">
        <f t="shared" si="207"/>
        <v>2.8</v>
      </c>
      <c r="M2192" s="1108" t="s">
        <v>1380</v>
      </c>
      <c r="N2192" s="177"/>
      <c r="O2192" s="332"/>
      <c r="P2192" s="1116"/>
      <c r="Q2192" s="1116"/>
      <c r="R2192" s="1116"/>
      <c r="S2192" s="1103"/>
      <c r="T2192" s="1639"/>
      <c r="U2192" s="177"/>
      <c r="V2192" s="2866"/>
      <c r="W2192" s="909">
        <v>33600</v>
      </c>
      <c r="X2192" s="909">
        <v>33600</v>
      </c>
      <c r="Y2192" s="909">
        <v>33600</v>
      </c>
      <c r="Z2192" s="909"/>
      <c r="AA2192" s="909"/>
      <c r="AB2192" s="909"/>
      <c r="AC2192" s="909"/>
      <c r="AD2192" s="909"/>
      <c r="AE2192" s="909"/>
      <c r="AF2192" s="909"/>
      <c r="AG2192" s="909"/>
      <c r="BB2192" s="784"/>
      <c r="BC2192" s="785"/>
      <c r="BD2192" s="900"/>
      <c r="BE2192" s="797"/>
    </row>
    <row r="2193" spans="1:57" s="65" customFormat="1" ht="15" hidden="1" customHeight="1" outlineLevel="1" x14ac:dyDescent="0.25">
      <c r="A2193" s="718"/>
      <c r="B2193" s="177"/>
      <c r="C2193" s="455"/>
      <c r="D2193" s="2806"/>
      <c r="E2193" s="2856"/>
      <c r="F2193" s="2908" t="str">
        <f>$E$1422</f>
        <v>ASHP SEER 15 MF ER replace Elec Resist Furnace: HVAC ER2</v>
      </c>
      <c r="G2193" s="2909"/>
      <c r="H2193" s="2909"/>
      <c r="I2193" s="2910"/>
      <c r="J2193" s="1657" t="str">
        <f>$C$1422</f>
        <v>352750_2019_12_</v>
      </c>
      <c r="K2193" s="1663">
        <v>33600</v>
      </c>
      <c r="L2193" s="2106">
        <f t="shared" si="207"/>
        <v>2.8</v>
      </c>
      <c r="M2193" s="1108" t="s">
        <v>1380</v>
      </c>
      <c r="N2193" s="177"/>
      <c r="O2193" s="332"/>
      <c r="P2193" s="1116"/>
      <c r="Q2193" s="1116"/>
      <c r="R2193" s="1116"/>
      <c r="S2193" s="1103"/>
      <c r="T2193" s="1639"/>
      <c r="U2193" s="177"/>
      <c r="V2193" s="2866"/>
      <c r="W2193" s="909">
        <v>33600</v>
      </c>
      <c r="X2193" s="909">
        <v>33600</v>
      </c>
      <c r="Y2193" s="909">
        <v>33600</v>
      </c>
      <c r="Z2193" s="909"/>
      <c r="AA2193" s="909"/>
      <c r="AB2193" s="909"/>
      <c r="AC2193" s="909"/>
      <c r="AD2193" s="909"/>
      <c r="AE2193" s="909"/>
      <c r="AF2193" s="909"/>
      <c r="AG2193" s="909"/>
      <c r="BB2193" s="784"/>
      <c r="BC2193" s="785"/>
      <c r="BD2193" s="900"/>
      <c r="BE2193" s="797"/>
    </row>
    <row r="2194" spans="1:57" s="65" customFormat="1" ht="15" hidden="1" customHeight="1" outlineLevel="1" x14ac:dyDescent="0.25">
      <c r="A2194" s="718"/>
      <c r="B2194" s="177"/>
      <c r="C2194" s="455"/>
      <c r="D2194" s="2806"/>
      <c r="E2194" s="2856"/>
      <c r="F2194" s="2908" t="str">
        <f>$E$1424</f>
        <v>ASHP SEER 15 MF ER replace Elec Resist Furnace: HVAC ER1_CompE</v>
      </c>
      <c r="G2194" s="2909"/>
      <c r="H2194" s="2909"/>
      <c r="I2194" s="2910"/>
      <c r="J2194" s="1657" t="str">
        <f>$C$1424</f>
        <v>352751_2019_12_</v>
      </c>
      <c r="K2194" s="1663">
        <v>33600</v>
      </c>
      <c r="L2194" s="2106">
        <f t="shared" si="207"/>
        <v>2.8</v>
      </c>
      <c r="M2194" s="1108"/>
      <c r="N2194" s="177"/>
      <c r="O2194" s="332"/>
      <c r="P2194" s="1116"/>
      <c r="Q2194" s="1116"/>
      <c r="R2194" s="1116"/>
      <c r="S2194" s="1103"/>
      <c r="T2194" s="1639"/>
      <c r="U2194" s="177"/>
      <c r="V2194" s="2866"/>
      <c r="W2194" s="909"/>
      <c r="X2194" s="909"/>
      <c r="Y2194" s="908">
        <v>33600</v>
      </c>
      <c r="Z2194" s="909"/>
      <c r="AA2194" s="909"/>
      <c r="AB2194" s="909"/>
      <c r="AC2194" s="909"/>
      <c r="AD2194" s="909"/>
      <c r="AE2194" s="909"/>
      <c r="AF2194" s="909"/>
      <c r="AG2194" s="909"/>
      <c r="BB2194" s="784"/>
      <c r="BC2194" s="785"/>
      <c r="BD2194" s="900"/>
      <c r="BE2194" s="797"/>
    </row>
    <row r="2195" spans="1:57" s="65" customFormat="1" ht="15" hidden="1" customHeight="1" outlineLevel="1" x14ac:dyDescent="0.25">
      <c r="A2195" s="718"/>
      <c r="B2195" s="177"/>
      <c r="C2195" s="455"/>
      <c r="D2195" s="2806"/>
      <c r="E2195" s="2856"/>
      <c r="F2195" s="2908" t="str">
        <f>$E$1426</f>
        <v>ASHP SEER 15 MF ER replace Elec Resist Furnace: HVAC ER2_CompE</v>
      </c>
      <c r="G2195" s="2909"/>
      <c r="H2195" s="2909"/>
      <c r="I2195" s="2910"/>
      <c r="J2195" s="1657" t="str">
        <f>$C$1426</f>
        <v>352751_2019_12_</v>
      </c>
      <c r="K2195" s="1663">
        <v>33600</v>
      </c>
      <c r="L2195" s="2106">
        <f t="shared" si="207"/>
        <v>2.8</v>
      </c>
      <c r="M2195" s="1108"/>
      <c r="N2195" s="177"/>
      <c r="O2195" s="332"/>
      <c r="P2195" s="1116"/>
      <c r="Q2195" s="1116"/>
      <c r="R2195" s="1116"/>
      <c r="S2195" s="1103"/>
      <c r="T2195" s="1639"/>
      <c r="U2195" s="177"/>
      <c r="V2195" s="2866"/>
      <c r="W2195" s="909"/>
      <c r="X2195" s="909"/>
      <c r="Y2195" s="908">
        <v>33600</v>
      </c>
      <c r="Z2195" s="909"/>
      <c r="AA2195" s="909"/>
      <c r="AB2195" s="909"/>
      <c r="AC2195" s="909"/>
      <c r="AD2195" s="909"/>
      <c r="AE2195" s="909"/>
      <c r="AF2195" s="909"/>
      <c r="AG2195" s="909"/>
      <c r="BB2195" s="784"/>
      <c r="BC2195" s="785"/>
      <c r="BD2195" s="900"/>
      <c r="BE2195" s="797"/>
    </row>
    <row r="2196" spans="1:57" s="65" customFormat="1" ht="15" hidden="1" customHeight="1" outlineLevel="1" x14ac:dyDescent="0.25">
      <c r="A2196" s="718"/>
      <c r="B2196" s="177"/>
      <c r="C2196" s="455"/>
      <c r="D2196" s="2806"/>
      <c r="E2196" s="2856"/>
      <c r="F2196" s="2908" t="str">
        <f>$E$1428</f>
        <v>ASHP SEER 15 MF replace at Fail Elec Resist Furnace: HVAC</v>
      </c>
      <c r="G2196" s="2909"/>
      <c r="H2196" s="2909"/>
      <c r="I2196" s="2910"/>
      <c r="J2196" s="1657" t="str">
        <f>$C$1428</f>
        <v>352800_2019_12_</v>
      </c>
      <c r="K2196" s="1663">
        <v>31200</v>
      </c>
      <c r="L2196" s="2106">
        <f t="shared" si="207"/>
        <v>2.6</v>
      </c>
      <c r="M2196" s="1108" t="s">
        <v>1380</v>
      </c>
      <c r="N2196" s="177"/>
      <c r="O2196" s="332"/>
      <c r="P2196" s="1116"/>
      <c r="Q2196" s="1116"/>
      <c r="R2196" s="1116"/>
      <c r="S2196" s="1103"/>
      <c r="T2196" s="1639"/>
      <c r="U2196" s="177"/>
      <c r="V2196" s="2866"/>
      <c r="W2196" s="909">
        <v>31200</v>
      </c>
      <c r="X2196" s="909">
        <v>31200</v>
      </c>
      <c r="Y2196" s="909">
        <v>31200</v>
      </c>
      <c r="Z2196" s="909"/>
      <c r="AA2196" s="909"/>
      <c r="AB2196" s="909"/>
      <c r="AC2196" s="909"/>
      <c r="AD2196" s="909"/>
      <c r="AE2196" s="909"/>
      <c r="AF2196" s="909"/>
      <c r="AG2196" s="909"/>
      <c r="BB2196" s="784"/>
      <c r="BC2196" s="785"/>
      <c r="BD2196" s="900"/>
      <c r="BE2196" s="797"/>
    </row>
    <row r="2197" spans="1:57" s="65" customFormat="1" ht="15" hidden="1" customHeight="1" outlineLevel="1" x14ac:dyDescent="0.25">
      <c r="A2197" s="718"/>
      <c r="B2197" s="177"/>
      <c r="C2197" s="455"/>
      <c r="D2197" s="2806"/>
      <c r="E2197" s="2856"/>
      <c r="F2197" s="2908" t="str">
        <f>$E$1430</f>
        <v>ASHP SEER 15 MF replace at Fail Elec Resist Furnace: HVAC_CompE</v>
      </c>
      <c r="G2197" s="2909"/>
      <c r="H2197" s="2909"/>
      <c r="I2197" s="2910"/>
      <c r="J2197" s="1657" t="str">
        <f>$C$1430</f>
        <v>352801_2019_12_</v>
      </c>
      <c r="K2197" s="1663">
        <v>31200</v>
      </c>
      <c r="L2197" s="2106">
        <f t="shared" si="207"/>
        <v>2.6</v>
      </c>
      <c r="M2197" s="1108"/>
      <c r="N2197" s="177"/>
      <c r="O2197" s="332"/>
      <c r="P2197" s="1116"/>
      <c r="Q2197" s="1116"/>
      <c r="R2197" s="1116"/>
      <c r="S2197" s="1103"/>
      <c r="T2197" s="1639"/>
      <c r="U2197" s="177"/>
      <c r="V2197" s="2866"/>
      <c r="W2197" s="909"/>
      <c r="X2197" s="909"/>
      <c r="Y2197" s="908">
        <v>31200</v>
      </c>
      <c r="Z2197" s="909"/>
      <c r="AA2197" s="909"/>
      <c r="AB2197" s="909"/>
      <c r="AC2197" s="909"/>
      <c r="AD2197" s="909"/>
      <c r="AE2197" s="909"/>
      <c r="AF2197" s="909"/>
      <c r="AG2197" s="909"/>
      <c r="BB2197" s="784"/>
      <c r="BC2197" s="785"/>
      <c r="BD2197" s="900"/>
      <c r="BE2197" s="797"/>
    </row>
    <row r="2198" spans="1:57" s="65" customFormat="1" ht="15" hidden="1" customHeight="1" outlineLevel="1" x14ac:dyDescent="0.25">
      <c r="A2198" s="718"/>
      <c r="B2198" s="177"/>
      <c r="C2198" s="455"/>
      <c r="D2198" s="2806"/>
      <c r="E2198" s="2856"/>
      <c r="F2198" s="2908" t="str">
        <f>$E$1432</f>
        <v>ASHP SEER 16 MF ER replace ASHP: HVAC ER1</v>
      </c>
      <c r="G2198" s="2909"/>
      <c r="H2198" s="2909"/>
      <c r="I2198" s="2910"/>
      <c r="J2198" s="1657" t="str">
        <f>$C$1432</f>
        <v>352850_2019_12_</v>
      </c>
      <c r="K2198" s="1663">
        <v>39600</v>
      </c>
      <c r="L2198" s="2106">
        <f t="shared" si="207"/>
        <v>3.3</v>
      </c>
      <c r="M2198" s="1108" t="s">
        <v>1380</v>
      </c>
      <c r="N2198" s="177"/>
      <c r="O2198" s="332"/>
      <c r="P2198" s="1116"/>
      <c r="Q2198" s="1116"/>
      <c r="R2198" s="1116"/>
      <c r="S2198" s="1103"/>
      <c r="T2198" s="1639"/>
      <c r="U2198" s="177"/>
      <c r="V2198" s="2866"/>
      <c r="W2198" s="909">
        <v>39600</v>
      </c>
      <c r="X2198" s="909">
        <v>39600</v>
      </c>
      <c r="Y2198" s="909">
        <v>39600</v>
      </c>
      <c r="Z2198" s="909"/>
      <c r="AA2198" s="909"/>
      <c r="AB2198" s="909"/>
      <c r="AC2198" s="909"/>
      <c r="AD2198" s="909"/>
      <c r="AE2198" s="909"/>
      <c r="AF2198" s="909"/>
      <c r="AG2198" s="909"/>
      <c r="BB2198" s="784"/>
      <c r="BC2198" s="785"/>
      <c r="BD2198" s="900"/>
      <c r="BE2198" s="797"/>
    </row>
    <row r="2199" spans="1:57" s="65" customFormat="1" ht="15" hidden="1" customHeight="1" outlineLevel="1" x14ac:dyDescent="0.25">
      <c r="A2199" s="718"/>
      <c r="B2199" s="177"/>
      <c r="C2199" s="455"/>
      <c r="D2199" s="2806"/>
      <c r="E2199" s="2856"/>
      <c r="F2199" s="2908" t="str">
        <f>$E$1434</f>
        <v>ASHP SEER 16 MF ER replace ASHP: HVAC ER2</v>
      </c>
      <c r="G2199" s="2909"/>
      <c r="H2199" s="2909"/>
      <c r="I2199" s="2910"/>
      <c r="J2199" s="1657" t="str">
        <f>$C$1434</f>
        <v>352850_2019_12_</v>
      </c>
      <c r="K2199" s="1663">
        <v>39600</v>
      </c>
      <c r="L2199" s="2106">
        <f t="shared" si="207"/>
        <v>3.3</v>
      </c>
      <c r="M2199" s="1108" t="s">
        <v>1380</v>
      </c>
      <c r="N2199" s="177"/>
      <c r="O2199" s="332"/>
      <c r="P2199" s="1116"/>
      <c r="Q2199" s="1116"/>
      <c r="R2199" s="1116"/>
      <c r="S2199" s="1103"/>
      <c r="T2199" s="1639"/>
      <c r="U2199" s="177"/>
      <c r="V2199" s="2866"/>
      <c r="W2199" s="909">
        <v>39600</v>
      </c>
      <c r="X2199" s="909">
        <v>39600</v>
      </c>
      <c r="Y2199" s="909">
        <v>39600</v>
      </c>
      <c r="Z2199" s="909"/>
      <c r="AA2199" s="909"/>
      <c r="AB2199" s="909"/>
      <c r="AC2199" s="909"/>
      <c r="AD2199" s="909"/>
      <c r="AE2199" s="909"/>
      <c r="AF2199" s="909"/>
      <c r="AG2199" s="909"/>
      <c r="BB2199" s="784"/>
      <c r="BC2199" s="785"/>
      <c r="BD2199" s="900"/>
      <c r="BE2199" s="797"/>
    </row>
    <row r="2200" spans="1:57" s="65" customFormat="1" ht="15" hidden="1" customHeight="1" outlineLevel="1" x14ac:dyDescent="0.25">
      <c r="A2200" s="718"/>
      <c r="B2200" s="177"/>
      <c r="C2200" s="455"/>
      <c r="D2200" s="2806"/>
      <c r="E2200" s="2856"/>
      <c r="F2200" s="2908" t="str">
        <f>$E$1436</f>
        <v>ASHP SEER 16 MF ER replace ASHP: HVAC ER1_CompE</v>
      </c>
      <c r="G2200" s="2909"/>
      <c r="H2200" s="2909"/>
      <c r="I2200" s="2910"/>
      <c r="J2200" s="1657" t="str">
        <f>$C$1436</f>
        <v>352851_2019_12_</v>
      </c>
      <c r="K2200" s="1663">
        <v>39600</v>
      </c>
      <c r="L2200" s="2106">
        <f t="shared" si="207"/>
        <v>3.3</v>
      </c>
      <c r="M2200" s="1108"/>
      <c r="N2200" s="177"/>
      <c r="O2200" s="332"/>
      <c r="P2200" s="1116"/>
      <c r="Q2200" s="1116"/>
      <c r="R2200" s="1116"/>
      <c r="S2200" s="1103"/>
      <c r="T2200" s="1639"/>
      <c r="U2200" s="177"/>
      <c r="V2200" s="2866"/>
      <c r="W2200" s="909"/>
      <c r="X2200" s="909"/>
      <c r="Y2200" s="908">
        <v>39600</v>
      </c>
      <c r="Z2200" s="909"/>
      <c r="AA2200" s="909"/>
      <c r="AB2200" s="909"/>
      <c r="AC2200" s="909"/>
      <c r="AD2200" s="909"/>
      <c r="AE2200" s="909"/>
      <c r="AF2200" s="909"/>
      <c r="AG2200" s="909"/>
      <c r="BB2200" s="784"/>
      <c r="BC2200" s="785"/>
      <c r="BD2200" s="900"/>
      <c r="BE2200" s="797"/>
    </row>
    <row r="2201" spans="1:57" s="65" customFormat="1" ht="15" hidden="1" customHeight="1" outlineLevel="1" x14ac:dyDescent="0.25">
      <c r="A2201" s="718"/>
      <c r="B2201" s="177"/>
      <c r="C2201" s="455"/>
      <c r="D2201" s="2806"/>
      <c r="E2201" s="2856"/>
      <c r="F2201" s="2908" t="str">
        <f>$E$1438</f>
        <v>ASHP SEER 16 MF ER replace ASHP: HVAC ER2_CompE</v>
      </c>
      <c r="G2201" s="2909"/>
      <c r="H2201" s="2909"/>
      <c r="I2201" s="2910"/>
      <c r="J2201" s="1657" t="str">
        <f>$C$1438</f>
        <v>352851_2019_12_</v>
      </c>
      <c r="K2201" s="1663">
        <v>39600</v>
      </c>
      <c r="L2201" s="2106">
        <f t="shared" si="207"/>
        <v>3.3</v>
      </c>
      <c r="M2201" s="1108"/>
      <c r="N2201" s="177"/>
      <c r="O2201" s="332"/>
      <c r="P2201" s="1116"/>
      <c r="Q2201" s="1116"/>
      <c r="R2201" s="1116"/>
      <c r="S2201" s="1103"/>
      <c r="T2201" s="1639"/>
      <c r="U2201" s="177"/>
      <c r="V2201" s="2866"/>
      <c r="W2201" s="909"/>
      <c r="X2201" s="909"/>
      <c r="Y2201" s="908">
        <v>39600</v>
      </c>
      <c r="Z2201" s="909"/>
      <c r="AA2201" s="909"/>
      <c r="AB2201" s="909"/>
      <c r="AC2201" s="909"/>
      <c r="AD2201" s="909"/>
      <c r="AE2201" s="909"/>
      <c r="AF2201" s="909"/>
      <c r="AG2201" s="909"/>
      <c r="BB2201" s="784"/>
      <c r="BC2201" s="785"/>
      <c r="BD2201" s="900"/>
      <c r="BE2201" s="797"/>
    </row>
    <row r="2202" spans="1:57" s="65" customFormat="1" ht="15" hidden="1" customHeight="1" outlineLevel="1" x14ac:dyDescent="0.25">
      <c r="A2202" s="718"/>
      <c r="B2202" s="177"/>
      <c r="C2202" s="455"/>
      <c r="D2202" s="2806"/>
      <c r="E2202" s="2856"/>
      <c r="F2202" s="2908" t="str">
        <f>$E$1440</f>
        <v>ASHP - SEER 16 - replace on fail MF</v>
      </c>
      <c r="G2202" s="2909"/>
      <c r="H2202" s="2909"/>
      <c r="I2202" s="2910"/>
      <c r="J2202" s="1657" t="str">
        <f>$C$1440</f>
        <v>352900_2019_12_</v>
      </c>
      <c r="K2202" s="1663">
        <v>39600</v>
      </c>
      <c r="L2202" s="2106">
        <f t="shared" si="207"/>
        <v>3.3</v>
      </c>
      <c r="M2202" s="1108" t="s">
        <v>1380</v>
      </c>
      <c r="N2202" s="177"/>
      <c r="O2202" s="332"/>
      <c r="P2202" s="1116"/>
      <c r="Q2202" s="1116"/>
      <c r="R2202" s="1116"/>
      <c r="S2202" s="1103"/>
      <c r="T2202" s="1639"/>
      <c r="U2202" s="177"/>
      <c r="V2202" s="2866"/>
      <c r="W2202" s="909">
        <v>39600</v>
      </c>
      <c r="X2202" s="909">
        <v>39600</v>
      </c>
      <c r="Y2202" s="909">
        <v>39600</v>
      </c>
      <c r="Z2202" s="909"/>
      <c r="AA2202" s="909"/>
      <c r="AB2202" s="909"/>
      <c r="AC2202" s="909"/>
      <c r="AD2202" s="909"/>
      <c r="AE2202" s="909"/>
      <c r="AF2202" s="909"/>
      <c r="AG2202" s="909"/>
      <c r="BB2202" s="784"/>
      <c r="BC2202" s="785"/>
      <c r="BD2202" s="900"/>
      <c r="BE2202" s="797"/>
    </row>
    <row r="2203" spans="1:57" s="65" customFormat="1" ht="15" hidden="1" customHeight="1" outlineLevel="1" x14ac:dyDescent="0.25">
      <c r="A2203" s="718"/>
      <c r="B2203" s="177"/>
      <c r="C2203" s="455"/>
      <c r="D2203" s="2806"/>
      <c r="E2203" s="2856"/>
      <c r="F2203" s="2908" t="str">
        <f>$E$1442</f>
        <v>ASHP - SEER 16 - replace on fail MF_CompE</v>
      </c>
      <c r="G2203" s="2909"/>
      <c r="H2203" s="2909"/>
      <c r="I2203" s="2910"/>
      <c r="J2203" s="1657" t="str">
        <f>$C$1442</f>
        <v>352901_2019_12_</v>
      </c>
      <c r="K2203" s="1663">
        <v>39600</v>
      </c>
      <c r="L2203" s="2106">
        <f t="shared" si="207"/>
        <v>3.3</v>
      </c>
      <c r="M2203" s="1108"/>
      <c r="N2203" s="177"/>
      <c r="O2203" s="332"/>
      <c r="P2203" s="1116"/>
      <c r="Q2203" s="1116"/>
      <c r="R2203" s="1116"/>
      <c r="S2203" s="1103"/>
      <c r="T2203" s="1639"/>
      <c r="U2203" s="177"/>
      <c r="V2203" s="2866"/>
      <c r="W2203" s="909"/>
      <c r="X2203" s="909"/>
      <c r="Y2203" s="908">
        <v>39600</v>
      </c>
      <c r="Z2203" s="909"/>
      <c r="AA2203" s="909"/>
      <c r="AB2203" s="909"/>
      <c r="AC2203" s="909"/>
      <c r="AD2203" s="909"/>
      <c r="AE2203" s="909"/>
      <c r="AF2203" s="909"/>
      <c r="AG2203" s="909"/>
      <c r="BB2203" s="784"/>
      <c r="BC2203" s="785"/>
      <c r="BD2203" s="900"/>
      <c r="BE2203" s="797"/>
    </row>
    <row r="2204" spans="1:57" s="65" customFormat="1" ht="15" hidden="1" customHeight="1" outlineLevel="1" x14ac:dyDescent="0.25">
      <c r="A2204" s="718"/>
      <c r="B2204" s="177"/>
      <c r="C2204" s="455"/>
      <c r="D2204" s="2806"/>
      <c r="E2204" s="2856"/>
      <c r="F2204" s="2908" t="str">
        <f>$E$1444</f>
        <v>ASHP - SEER 16 - replace electric furnace / CAC MF</v>
      </c>
      <c r="G2204" s="2909"/>
      <c r="H2204" s="2909"/>
      <c r="I2204" s="2910"/>
      <c r="J2204" s="1657" t="str">
        <f>$C$1444</f>
        <v>352950_2019_12_</v>
      </c>
      <c r="K2204" s="1663">
        <v>38400</v>
      </c>
      <c r="L2204" s="2106">
        <f t="shared" si="207"/>
        <v>3.2</v>
      </c>
      <c r="M2204" s="1108" t="s">
        <v>1380</v>
      </c>
      <c r="N2204" s="177"/>
      <c r="O2204" s="332"/>
      <c r="P2204" s="1116"/>
      <c r="Q2204" s="1116"/>
      <c r="R2204" s="1116"/>
      <c r="S2204" s="1103"/>
      <c r="T2204" s="1639"/>
      <c r="U2204" s="177"/>
      <c r="V2204" s="2866"/>
      <c r="W2204" s="909">
        <v>38400</v>
      </c>
      <c r="X2204" s="909">
        <v>38400</v>
      </c>
      <c r="Y2204" s="909">
        <v>38400</v>
      </c>
      <c r="Z2204" s="909"/>
      <c r="AA2204" s="909"/>
      <c r="AB2204" s="909"/>
      <c r="AC2204" s="909"/>
      <c r="AD2204" s="909"/>
      <c r="AE2204" s="909"/>
      <c r="AF2204" s="909"/>
      <c r="AG2204" s="909"/>
      <c r="BB2204" s="784"/>
      <c r="BC2204" s="785"/>
      <c r="BD2204" s="900"/>
      <c r="BE2204" s="797"/>
    </row>
    <row r="2205" spans="1:57" s="65" customFormat="1" ht="15" hidden="1" customHeight="1" outlineLevel="1" x14ac:dyDescent="0.25">
      <c r="A2205" s="718"/>
      <c r="B2205" s="177"/>
      <c r="C2205" s="455"/>
      <c r="D2205" s="2806"/>
      <c r="E2205" s="2856"/>
      <c r="F2205" s="2908" t="str">
        <f>$E$1446</f>
        <v>ASHP - SEER 16 - replace electric furnace / CAC MF_CompE</v>
      </c>
      <c r="G2205" s="2909"/>
      <c r="H2205" s="2909"/>
      <c r="I2205" s="2910"/>
      <c r="J2205" s="1657" t="str">
        <f>$C$1446</f>
        <v>352951_2019_12_</v>
      </c>
      <c r="K2205" s="1663">
        <v>38400</v>
      </c>
      <c r="L2205" s="2106">
        <f t="shared" si="207"/>
        <v>3.2</v>
      </c>
      <c r="M2205" s="1108"/>
      <c r="N2205" s="177"/>
      <c r="O2205" s="332"/>
      <c r="P2205" s="1116"/>
      <c r="Q2205" s="1116"/>
      <c r="R2205" s="1116"/>
      <c r="S2205" s="1103"/>
      <c r="T2205" s="1639"/>
      <c r="U2205" s="177"/>
      <c r="V2205" s="2866"/>
      <c r="W2205" s="909"/>
      <c r="X2205" s="909"/>
      <c r="Y2205" s="908">
        <v>38400</v>
      </c>
      <c r="Z2205" s="909"/>
      <c r="AA2205" s="909"/>
      <c r="AB2205" s="909"/>
      <c r="AC2205" s="909"/>
      <c r="AD2205" s="909"/>
      <c r="AE2205" s="909"/>
      <c r="AF2205" s="909"/>
      <c r="AG2205" s="909"/>
      <c r="BB2205" s="784"/>
      <c r="BC2205" s="785"/>
      <c r="BD2205" s="900"/>
      <c r="BE2205" s="797"/>
    </row>
    <row r="2206" spans="1:57" s="65" customFormat="1" ht="15" hidden="1" customHeight="1" outlineLevel="1" x14ac:dyDescent="0.25">
      <c r="A2206" s="718"/>
      <c r="B2206" s="177"/>
      <c r="C2206" s="455"/>
      <c r="D2206" s="2806"/>
      <c r="E2206" s="2856"/>
      <c r="F2206" s="2908" t="str">
        <f>$E$1448</f>
        <v>ASHP - SEER 16 - replace electric furnace / CAC - early replacement MF ER1</v>
      </c>
      <c r="G2206" s="2909"/>
      <c r="H2206" s="2909"/>
      <c r="I2206" s="2910"/>
      <c r="J2206" s="1657" t="str">
        <f>$C$1448</f>
        <v>353000_2019_12_</v>
      </c>
      <c r="K2206" s="1663">
        <v>37200</v>
      </c>
      <c r="L2206" s="2106">
        <f t="shared" si="207"/>
        <v>3.1</v>
      </c>
      <c r="M2206" s="1108" t="s">
        <v>1380</v>
      </c>
      <c r="N2206" s="177"/>
      <c r="O2206" s="332"/>
      <c r="P2206" s="1116"/>
      <c r="Q2206" s="1116"/>
      <c r="R2206" s="1116"/>
      <c r="S2206" s="1103"/>
      <c r="T2206" s="1639"/>
      <c r="U2206" s="177"/>
      <c r="V2206" s="2866"/>
      <c r="W2206" s="909">
        <v>37200</v>
      </c>
      <c r="X2206" s="909">
        <v>37200</v>
      </c>
      <c r="Y2206" s="909">
        <v>37200</v>
      </c>
      <c r="Z2206" s="909"/>
      <c r="AA2206" s="909"/>
      <c r="AB2206" s="909"/>
      <c r="AC2206" s="909"/>
      <c r="AD2206" s="909"/>
      <c r="AE2206" s="909"/>
      <c r="AF2206" s="909"/>
      <c r="AG2206" s="909"/>
      <c r="BB2206" s="784"/>
      <c r="BC2206" s="785"/>
      <c r="BD2206" s="900"/>
      <c r="BE2206" s="797"/>
    </row>
    <row r="2207" spans="1:57" s="65" customFormat="1" ht="15" hidden="1" customHeight="1" outlineLevel="1" x14ac:dyDescent="0.25">
      <c r="A2207" s="718"/>
      <c r="B2207" s="177"/>
      <c r="C2207" s="455"/>
      <c r="D2207" s="2806"/>
      <c r="E2207" s="2856"/>
      <c r="F2207" s="2908" t="str">
        <f>$E$1450</f>
        <v>ASHP - SEER 16 - replace electric furnace / CAC - early replacement MF ER2</v>
      </c>
      <c r="G2207" s="2909"/>
      <c r="H2207" s="2909"/>
      <c r="I2207" s="2910"/>
      <c r="J2207" s="1657" t="str">
        <f>$C$1450</f>
        <v>353000_2019_12_</v>
      </c>
      <c r="K2207" s="1663">
        <v>37200</v>
      </c>
      <c r="L2207" s="2106">
        <f t="shared" si="207"/>
        <v>3.1</v>
      </c>
      <c r="M2207" s="1108" t="s">
        <v>1380</v>
      </c>
      <c r="N2207" s="177"/>
      <c r="O2207" s="332"/>
      <c r="P2207" s="1116"/>
      <c r="Q2207" s="1116"/>
      <c r="R2207" s="1116"/>
      <c r="S2207" s="1103"/>
      <c r="T2207" s="1639"/>
      <c r="U2207" s="177"/>
      <c r="V2207" s="2866"/>
      <c r="W2207" s="909">
        <v>37200</v>
      </c>
      <c r="X2207" s="909">
        <v>37200</v>
      </c>
      <c r="Y2207" s="909">
        <v>37200</v>
      </c>
      <c r="Z2207" s="909"/>
      <c r="AA2207" s="909"/>
      <c r="AB2207" s="909"/>
      <c r="AC2207" s="909"/>
      <c r="AD2207" s="909"/>
      <c r="AE2207" s="909"/>
      <c r="AF2207" s="909"/>
      <c r="AG2207" s="909"/>
      <c r="BB2207" s="784"/>
      <c r="BC2207" s="785"/>
      <c r="BD2207" s="900"/>
      <c r="BE2207" s="797"/>
    </row>
    <row r="2208" spans="1:57" s="65" customFormat="1" ht="15" hidden="1" customHeight="1" outlineLevel="1" x14ac:dyDescent="0.25">
      <c r="A2208" s="718"/>
      <c r="B2208" s="177"/>
      <c r="C2208" s="455"/>
      <c r="D2208" s="2806"/>
      <c r="E2208" s="2856"/>
      <c r="F2208" s="2908" t="str">
        <f>$E$1452</f>
        <v>ASHP - SEER 16 - replace electric furnace / CAC - early replacement MF ER1_CompE</v>
      </c>
      <c r="G2208" s="2909"/>
      <c r="H2208" s="2909"/>
      <c r="I2208" s="2910"/>
      <c r="J2208" s="1657" t="str">
        <f>$C$1452</f>
        <v>353001_2019_12_</v>
      </c>
      <c r="K2208" s="1663">
        <v>37200</v>
      </c>
      <c r="L2208" s="2106">
        <f t="shared" si="207"/>
        <v>3.1</v>
      </c>
      <c r="M2208" s="1108"/>
      <c r="N2208" s="177"/>
      <c r="O2208" s="332"/>
      <c r="P2208" s="1116"/>
      <c r="Q2208" s="1116"/>
      <c r="R2208" s="1116"/>
      <c r="S2208" s="1103"/>
      <c r="T2208" s="1639"/>
      <c r="U2208" s="177"/>
      <c r="V2208" s="2866"/>
      <c r="W2208" s="909"/>
      <c r="X2208" s="909"/>
      <c r="Y2208" s="908">
        <v>37200</v>
      </c>
      <c r="Z2208" s="909"/>
      <c r="AA2208" s="909"/>
      <c r="AB2208" s="909"/>
      <c r="AC2208" s="909"/>
      <c r="AD2208" s="909"/>
      <c r="AE2208" s="909"/>
      <c r="AF2208" s="909"/>
      <c r="AG2208" s="909"/>
      <c r="BB2208" s="784"/>
      <c r="BC2208" s="785"/>
      <c r="BD2208" s="900"/>
      <c r="BE2208" s="797"/>
    </row>
    <row r="2209" spans="1:57" s="65" customFormat="1" ht="15" hidden="1" customHeight="1" outlineLevel="1" x14ac:dyDescent="0.25">
      <c r="A2209" s="718"/>
      <c r="B2209" s="177"/>
      <c r="C2209" s="455"/>
      <c r="D2209" s="2806"/>
      <c r="E2209" s="2856"/>
      <c r="F2209" s="2908" t="str">
        <f>$E$1454</f>
        <v>ASHP - SEER 16 - replace electric furnace / CAC - early replacement MF ER2_CompE</v>
      </c>
      <c r="G2209" s="2909"/>
      <c r="H2209" s="2909"/>
      <c r="I2209" s="2910"/>
      <c r="J2209" s="1657" t="str">
        <f>$C$1454</f>
        <v>353001_2019_12_</v>
      </c>
      <c r="K2209" s="1663">
        <v>37200</v>
      </c>
      <c r="L2209" s="2106">
        <f t="shared" si="207"/>
        <v>3.1</v>
      </c>
      <c r="M2209" s="1108"/>
      <c r="N2209" s="177"/>
      <c r="O2209" s="332"/>
      <c r="P2209" s="1116"/>
      <c r="Q2209" s="1116"/>
      <c r="R2209" s="1116"/>
      <c r="S2209" s="1103"/>
      <c r="T2209" s="1639"/>
      <c r="U2209" s="177"/>
      <c r="V2209" s="2866"/>
      <c r="W2209" s="909"/>
      <c r="X2209" s="909"/>
      <c r="Y2209" s="908">
        <v>37200</v>
      </c>
      <c r="Z2209" s="909"/>
      <c r="AA2209" s="909"/>
      <c r="AB2209" s="909"/>
      <c r="AC2209" s="909"/>
      <c r="AD2209" s="909"/>
      <c r="AE2209" s="909"/>
      <c r="AF2209" s="909"/>
      <c r="AG2209" s="909"/>
      <c r="BB2209" s="784"/>
      <c r="BC2209" s="785"/>
      <c r="BD2209" s="900"/>
      <c r="BE2209" s="797"/>
    </row>
    <row r="2210" spans="1:57" s="65" customFormat="1" ht="15" hidden="1" customHeight="1" outlineLevel="1" x14ac:dyDescent="0.25">
      <c r="A2210" s="718"/>
      <c r="B2210" s="177"/>
      <c r="C2210" s="455"/>
      <c r="D2210" s="2806"/>
      <c r="E2210" s="2856"/>
      <c r="F2210" s="2911" t="str">
        <f>$E$1456</f>
        <v xml:space="preserve">ASHP SEER 15 - replace on Fail MF </v>
      </c>
      <c r="G2210" s="2912"/>
      <c r="H2210" s="2912"/>
      <c r="I2210" s="2913"/>
      <c r="J2210" s="1658" t="str">
        <f>$C$1456</f>
        <v>353050_2019_12_</v>
      </c>
      <c r="K2210" s="1663">
        <v>37200</v>
      </c>
      <c r="L2210" s="2106">
        <f t="shared" si="207"/>
        <v>3.1</v>
      </c>
      <c r="M2210" s="1108" t="s">
        <v>1380</v>
      </c>
      <c r="N2210" s="177"/>
      <c r="O2210" s="332"/>
      <c r="P2210" s="1116"/>
      <c r="Q2210" s="1116"/>
      <c r="R2210" s="1116"/>
      <c r="S2210" s="1103"/>
      <c r="T2210" s="1639"/>
      <c r="U2210" s="177"/>
      <c r="V2210" s="2866"/>
      <c r="W2210" s="909">
        <v>37200</v>
      </c>
      <c r="X2210" s="909">
        <v>37200</v>
      </c>
      <c r="Y2210" s="909">
        <v>37200</v>
      </c>
      <c r="Z2210" s="909"/>
      <c r="AA2210" s="909"/>
      <c r="AB2210" s="909"/>
      <c r="AC2210" s="909"/>
      <c r="AD2210" s="909"/>
      <c r="AE2210" s="909"/>
      <c r="AF2210" s="909"/>
      <c r="AG2210" s="909"/>
      <c r="BB2210" s="784"/>
      <c r="BC2210" s="785"/>
      <c r="BD2210" s="900"/>
      <c r="BE2210" s="797"/>
    </row>
    <row r="2211" spans="1:57" s="65" customFormat="1" ht="15" hidden="1" customHeight="1" outlineLevel="1" x14ac:dyDescent="0.25">
      <c r="A2211" s="718"/>
      <c r="B2211" s="177"/>
      <c r="C2211" s="455"/>
      <c r="D2211" s="2806"/>
      <c r="E2211" s="2856"/>
      <c r="F2211" s="2911" t="str">
        <f>$E$1458</f>
        <v>ASHP SEER 15 - replace on Fail MF _CompE</v>
      </c>
      <c r="G2211" s="2912"/>
      <c r="H2211" s="2912"/>
      <c r="I2211" s="2913"/>
      <c r="J2211" s="1658" t="str">
        <f>$C$1458</f>
        <v>353051_2019_12_</v>
      </c>
      <c r="K2211" s="1663">
        <v>37200</v>
      </c>
      <c r="L2211" s="2106">
        <f t="shared" si="207"/>
        <v>3.1</v>
      </c>
      <c r="M2211" s="1108"/>
      <c r="N2211" s="177"/>
      <c r="O2211" s="332"/>
      <c r="P2211" s="1116"/>
      <c r="Q2211" s="1116"/>
      <c r="R2211" s="1116"/>
      <c r="S2211" s="1103"/>
      <c r="T2211" s="1639"/>
      <c r="U2211" s="177"/>
      <c r="V2211" s="2866"/>
      <c r="W2211" s="909"/>
      <c r="X2211" s="909"/>
      <c r="Y2211" s="908">
        <v>37200</v>
      </c>
      <c r="Z2211" s="909"/>
      <c r="AA2211" s="909"/>
      <c r="AB2211" s="909"/>
      <c r="AC2211" s="909"/>
      <c r="AD2211" s="909"/>
      <c r="AE2211" s="909"/>
      <c r="AF2211" s="909"/>
      <c r="AG2211" s="909"/>
      <c r="BB2211" s="784"/>
      <c r="BC2211" s="785"/>
      <c r="BD2211" s="900"/>
      <c r="BE2211" s="797"/>
    </row>
    <row r="2212" spans="1:57" s="65" customFormat="1" ht="15" hidden="1" customHeight="1" outlineLevel="1" x14ac:dyDescent="0.25">
      <c r="A2212" s="718"/>
      <c r="B2212" s="177"/>
      <c r="C2212" s="455"/>
      <c r="D2212" s="2806"/>
      <c r="E2212" s="2856"/>
      <c r="F2212" s="2908" t="str">
        <f>$E$1460</f>
        <v>ASHP - SEER 17 - replace electric furnace / CAC SF</v>
      </c>
      <c r="G2212" s="2909"/>
      <c r="H2212" s="2909"/>
      <c r="I2212" s="2910"/>
      <c r="J2212" s="1657" t="str">
        <f>$C$1460</f>
        <v>353100_2019_12_</v>
      </c>
      <c r="K2212" s="1663">
        <v>33600</v>
      </c>
      <c r="L2212" s="2106">
        <f t="shared" si="207"/>
        <v>2.8</v>
      </c>
      <c r="M2212" s="1108" t="s">
        <v>1598</v>
      </c>
      <c r="N2212" s="177"/>
      <c r="O2212" s="332"/>
      <c r="P2212" s="1116"/>
      <c r="Q2212" s="1116"/>
      <c r="R2212" s="1116"/>
      <c r="S2212" s="1103"/>
      <c r="T2212" s="1639"/>
      <c r="U2212" s="177"/>
      <c r="V2212" s="2866"/>
      <c r="W2212" s="909">
        <v>33600</v>
      </c>
      <c r="X2212" s="909">
        <v>33600</v>
      </c>
      <c r="Y2212" s="909">
        <v>33600</v>
      </c>
      <c r="Z2212" s="909"/>
      <c r="AA2212" s="909"/>
      <c r="AB2212" s="909"/>
      <c r="AC2212" s="909"/>
      <c r="AD2212" s="909"/>
      <c r="AE2212" s="909"/>
      <c r="AF2212" s="909"/>
      <c r="AG2212" s="909"/>
      <c r="BB2212" s="784"/>
      <c r="BC2212" s="785"/>
      <c r="BD2212" s="900"/>
      <c r="BE2212" s="797"/>
    </row>
    <row r="2213" spans="1:57" s="65" customFormat="1" ht="15" hidden="1" customHeight="1" outlineLevel="1" x14ac:dyDescent="0.25">
      <c r="A2213" s="718"/>
      <c r="B2213" s="177"/>
      <c r="C2213" s="455"/>
      <c r="D2213" s="2806"/>
      <c r="E2213" s="2856"/>
      <c r="F2213" s="2908" t="str">
        <f>$E$1462</f>
        <v>ASHP - SEER 17 - replace electric furnace / CAC MF</v>
      </c>
      <c r="G2213" s="2909"/>
      <c r="H2213" s="2909"/>
      <c r="I2213" s="2910"/>
      <c r="J2213" s="1657" t="str">
        <f>$C$1462</f>
        <v>353150_2019_12_</v>
      </c>
      <c r="K2213" s="1663">
        <v>33600</v>
      </c>
      <c r="L2213" s="2106">
        <f t="shared" si="207"/>
        <v>2.8</v>
      </c>
      <c r="M2213" s="1108" t="s">
        <v>1598</v>
      </c>
      <c r="N2213" s="177"/>
      <c r="O2213" s="332"/>
      <c r="P2213" s="1116"/>
      <c r="Q2213" s="1116"/>
      <c r="R2213" s="1116"/>
      <c r="S2213" s="1103"/>
      <c r="T2213" s="1639"/>
      <c r="U2213" s="177"/>
      <c r="V2213" s="2866"/>
      <c r="W2213" s="909">
        <v>33600</v>
      </c>
      <c r="X2213" s="909">
        <v>33600</v>
      </c>
      <c r="Y2213" s="909">
        <v>33600</v>
      </c>
      <c r="Z2213" s="909"/>
      <c r="AA2213" s="909"/>
      <c r="AB2213" s="909"/>
      <c r="AC2213" s="909"/>
      <c r="AD2213" s="909"/>
      <c r="AE2213" s="909"/>
      <c r="AF2213" s="909"/>
      <c r="AG2213" s="909"/>
      <c r="BB2213" s="784"/>
      <c r="BC2213" s="785"/>
      <c r="BD2213" s="900"/>
      <c r="BE2213" s="797"/>
    </row>
    <row r="2214" spans="1:57" s="65" customFormat="1" ht="15" hidden="1" customHeight="1" outlineLevel="1" x14ac:dyDescent="0.25">
      <c r="A2214" s="718"/>
      <c r="B2214" s="177"/>
      <c r="C2214" s="455"/>
      <c r="D2214" s="2806"/>
      <c r="E2214" s="2856"/>
      <c r="F2214" s="2908" t="str">
        <f>$E$1464</f>
        <v>ASHP - SEER 17 - replace electric furnace / CAC MF_CompE</v>
      </c>
      <c r="G2214" s="2909"/>
      <c r="H2214" s="2909"/>
      <c r="I2214" s="2910"/>
      <c r="J2214" s="1657" t="str">
        <f>$C$1464</f>
        <v>353151_2019_12_</v>
      </c>
      <c r="K2214" s="1663">
        <v>33600</v>
      </c>
      <c r="L2214" s="2106">
        <f t="shared" si="207"/>
        <v>2.8</v>
      </c>
      <c r="M2214" s="1108"/>
      <c r="N2214" s="177"/>
      <c r="O2214" s="332"/>
      <c r="P2214" s="1116"/>
      <c r="Q2214" s="1116"/>
      <c r="R2214" s="1116"/>
      <c r="S2214" s="1103"/>
      <c r="T2214" s="1639"/>
      <c r="U2214" s="177"/>
      <c r="V2214" s="2866"/>
      <c r="W2214" s="909"/>
      <c r="X2214" s="909"/>
      <c r="Y2214" s="908">
        <v>33600</v>
      </c>
      <c r="Z2214" s="909"/>
      <c r="AA2214" s="909"/>
      <c r="AB2214" s="909"/>
      <c r="AC2214" s="909"/>
      <c r="AD2214" s="909"/>
      <c r="AE2214" s="909"/>
      <c r="AF2214" s="909"/>
      <c r="AG2214" s="909"/>
      <c r="BB2214" s="784"/>
      <c r="BC2214" s="785"/>
      <c r="BD2214" s="900"/>
      <c r="BE2214" s="797"/>
    </row>
    <row r="2215" spans="1:57" s="65" customFormat="1" ht="15" hidden="1" customHeight="1" outlineLevel="1" x14ac:dyDescent="0.25">
      <c r="A2215" s="718"/>
      <c r="B2215" s="177"/>
      <c r="C2215" s="455"/>
      <c r="D2215" s="2806"/>
      <c r="E2215" s="2856"/>
      <c r="F2215" s="2908" t="str">
        <f>$E$1466</f>
        <v>ASHP - SEER 18 - replace electric furnace / CAC SF</v>
      </c>
      <c r="G2215" s="2909"/>
      <c r="H2215" s="2909"/>
      <c r="I2215" s="2910"/>
      <c r="J2215" s="1657" t="str">
        <f>$C$1466</f>
        <v>353200_2019_12_</v>
      </c>
      <c r="K2215" s="1663">
        <v>33600</v>
      </c>
      <c r="L2215" s="2106">
        <f t="shared" si="207"/>
        <v>2.8</v>
      </c>
      <c r="M2215" s="1108" t="s">
        <v>1598</v>
      </c>
      <c r="N2215" s="177"/>
      <c r="O2215" s="332"/>
      <c r="P2215" s="1116"/>
      <c r="Q2215" s="1116"/>
      <c r="R2215" s="1116"/>
      <c r="S2215" s="1103"/>
      <c r="T2215" s="1639"/>
      <c r="U2215" s="177"/>
      <c r="V2215" s="2866"/>
      <c r="W2215" s="909">
        <v>33600</v>
      </c>
      <c r="X2215" s="909">
        <v>33600</v>
      </c>
      <c r="Y2215" s="909">
        <v>33600</v>
      </c>
      <c r="Z2215" s="909"/>
      <c r="AA2215" s="909"/>
      <c r="AB2215" s="909"/>
      <c r="AC2215" s="909"/>
      <c r="AD2215" s="909"/>
      <c r="AE2215" s="909"/>
      <c r="AF2215" s="909"/>
      <c r="AG2215" s="909"/>
      <c r="BB2215" s="784"/>
      <c r="BC2215" s="785"/>
      <c r="BD2215" s="900"/>
      <c r="BE2215" s="797"/>
    </row>
    <row r="2216" spans="1:57" s="65" customFormat="1" ht="15" hidden="1" customHeight="1" outlineLevel="1" x14ac:dyDescent="0.25">
      <c r="A2216" s="718"/>
      <c r="B2216" s="177"/>
      <c r="C2216" s="455"/>
      <c r="D2216" s="2806"/>
      <c r="E2216" s="2856"/>
      <c r="F2216" s="2908" t="str">
        <f>$E$1468</f>
        <v>ASHP - SEER 18 - replace electric furnace / CAC MF</v>
      </c>
      <c r="G2216" s="2909"/>
      <c r="H2216" s="2909"/>
      <c r="I2216" s="2910"/>
      <c r="J2216" s="1657" t="str">
        <f>$C$1468</f>
        <v>353250_2019_12_</v>
      </c>
      <c r="K2216" s="1663">
        <v>33600</v>
      </c>
      <c r="L2216" s="2106">
        <f t="shared" si="207"/>
        <v>2.8</v>
      </c>
      <c r="M2216" s="1108" t="s">
        <v>1598</v>
      </c>
      <c r="N2216" s="177"/>
      <c r="O2216" s="332"/>
      <c r="P2216" s="1116"/>
      <c r="Q2216" s="1116"/>
      <c r="R2216" s="1116"/>
      <c r="S2216" s="1103"/>
      <c r="T2216" s="1639"/>
      <c r="U2216" s="177"/>
      <c r="V2216" s="2866"/>
      <c r="W2216" s="909">
        <v>33600</v>
      </c>
      <c r="X2216" s="909">
        <v>33600</v>
      </c>
      <c r="Y2216" s="909">
        <v>33600</v>
      </c>
      <c r="Z2216" s="909"/>
      <c r="AA2216" s="909"/>
      <c r="AB2216" s="909"/>
      <c r="AC2216" s="909"/>
      <c r="AD2216" s="909"/>
      <c r="AE2216" s="909"/>
      <c r="AF2216" s="909"/>
      <c r="AG2216" s="909"/>
      <c r="BB2216" s="784"/>
      <c r="BC2216" s="785"/>
      <c r="BD2216" s="900"/>
      <c r="BE2216" s="797"/>
    </row>
    <row r="2217" spans="1:57" s="65" customFormat="1" ht="15" hidden="1" customHeight="1" outlineLevel="1" x14ac:dyDescent="0.25">
      <c r="A2217" s="718"/>
      <c r="B2217" s="177"/>
      <c r="C2217" s="455"/>
      <c r="D2217" s="2806"/>
      <c r="E2217" s="2856"/>
      <c r="F2217" s="2908" t="str">
        <f>$E$1470</f>
        <v>ASHP - SEER 18 - replace electric furnace / CAC MF_CompE</v>
      </c>
      <c r="G2217" s="2909"/>
      <c r="H2217" s="2909"/>
      <c r="I2217" s="2910"/>
      <c r="J2217" s="1657" t="str">
        <f>$C$1470</f>
        <v>353251_2019_12_</v>
      </c>
      <c r="K2217" s="1663">
        <v>33600</v>
      </c>
      <c r="L2217" s="2106">
        <f t="shared" si="207"/>
        <v>2.8</v>
      </c>
      <c r="M2217" s="1108"/>
      <c r="N2217" s="177"/>
      <c r="O2217" s="332"/>
      <c r="P2217" s="1116"/>
      <c r="Q2217" s="1116"/>
      <c r="R2217" s="1116"/>
      <c r="S2217" s="1103"/>
      <c r="T2217" s="1639"/>
      <c r="U2217" s="177"/>
      <c r="V2217" s="2866"/>
      <c r="W2217" s="909"/>
      <c r="X2217" s="909"/>
      <c r="Y2217" s="908">
        <v>33600</v>
      </c>
      <c r="Z2217" s="909"/>
      <c r="AA2217" s="909"/>
      <c r="AB2217" s="909"/>
      <c r="AC2217" s="909"/>
      <c r="AD2217" s="909"/>
      <c r="AE2217" s="909"/>
      <c r="AF2217" s="909"/>
      <c r="AG2217" s="909"/>
      <c r="BB2217" s="784"/>
      <c r="BC2217" s="785"/>
      <c r="BD2217" s="900"/>
      <c r="BE2217" s="797"/>
    </row>
    <row r="2218" spans="1:57" s="65" customFormat="1" ht="15" hidden="1" customHeight="1" outlineLevel="1" x14ac:dyDescent="0.25">
      <c r="A2218" s="718"/>
      <c r="B2218" s="177"/>
      <c r="C2218" s="455"/>
      <c r="D2218" s="2806"/>
      <c r="E2218" s="2856"/>
      <c r="F2218" s="2908" t="str">
        <f>$E$1472</f>
        <v>ASHP - SEER 19 - replace electric furnace / CAC SF</v>
      </c>
      <c r="G2218" s="2909"/>
      <c r="H2218" s="2909"/>
      <c r="I2218" s="2910"/>
      <c r="J2218" s="1657" t="str">
        <f>$C$1472</f>
        <v>353300_2019_12_</v>
      </c>
      <c r="K2218" s="1663">
        <v>33600</v>
      </c>
      <c r="L2218" s="2106">
        <f t="shared" si="207"/>
        <v>2.8</v>
      </c>
      <c r="M2218" s="1108" t="s">
        <v>1598</v>
      </c>
      <c r="N2218" s="177"/>
      <c r="O2218" s="332"/>
      <c r="P2218" s="1116"/>
      <c r="Q2218" s="1116"/>
      <c r="R2218" s="1116"/>
      <c r="S2218" s="1103"/>
      <c r="T2218" s="1639"/>
      <c r="U2218" s="177"/>
      <c r="V2218" s="2866"/>
      <c r="W2218" s="909">
        <v>33600</v>
      </c>
      <c r="X2218" s="909">
        <v>33600</v>
      </c>
      <c r="Y2218" s="909">
        <v>33600</v>
      </c>
      <c r="Z2218" s="909"/>
      <c r="AA2218" s="909"/>
      <c r="AB2218" s="909"/>
      <c r="AC2218" s="909"/>
      <c r="AD2218" s="909"/>
      <c r="AE2218" s="909"/>
      <c r="AF2218" s="909"/>
      <c r="AG2218" s="909"/>
      <c r="BB2218" s="784"/>
      <c r="BC2218" s="785"/>
      <c r="BD2218" s="900"/>
      <c r="BE2218" s="797"/>
    </row>
    <row r="2219" spans="1:57" s="65" customFormat="1" ht="15" hidden="1" customHeight="1" outlineLevel="1" x14ac:dyDescent="0.25">
      <c r="A2219" s="718"/>
      <c r="B2219" s="177"/>
      <c r="C2219" s="455"/>
      <c r="D2219" s="2806"/>
      <c r="E2219" s="2856"/>
      <c r="F2219" s="2908" t="str">
        <f>$E$1474</f>
        <v>ASHP - SEER 19 - replace electric furnace / CAC MF</v>
      </c>
      <c r="G2219" s="2909"/>
      <c r="H2219" s="2909"/>
      <c r="I2219" s="2910"/>
      <c r="J2219" s="1657" t="str">
        <f>$C$1474</f>
        <v>353350_2019_12_</v>
      </c>
      <c r="K2219" s="1663">
        <v>33600</v>
      </c>
      <c r="L2219" s="2106">
        <f t="shared" si="207"/>
        <v>2.8</v>
      </c>
      <c r="M2219" s="1108" t="s">
        <v>1598</v>
      </c>
      <c r="N2219" s="177"/>
      <c r="O2219" s="332"/>
      <c r="P2219" s="1116"/>
      <c r="Q2219" s="1116"/>
      <c r="R2219" s="1116"/>
      <c r="S2219" s="1103"/>
      <c r="T2219" s="1639"/>
      <c r="U2219" s="177"/>
      <c r="V2219" s="2866"/>
      <c r="W2219" s="909">
        <v>33600</v>
      </c>
      <c r="X2219" s="909">
        <v>33600</v>
      </c>
      <c r="Y2219" s="909">
        <v>33600</v>
      </c>
      <c r="Z2219" s="909"/>
      <c r="AA2219" s="909"/>
      <c r="AB2219" s="909"/>
      <c r="AC2219" s="909"/>
      <c r="AD2219" s="909"/>
      <c r="AE2219" s="909"/>
      <c r="AF2219" s="909"/>
      <c r="AG2219" s="909"/>
      <c r="BB2219" s="784"/>
      <c r="BC2219" s="785"/>
      <c r="BD2219" s="900"/>
      <c r="BE2219" s="797"/>
    </row>
    <row r="2220" spans="1:57" s="65" customFormat="1" ht="15" hidden="1" customHeight="1" outlineLevel="1" x14ac:dyDescent="0.25">
      <c r="A2220" s="718"/>
      <c r="B2220" s="177"/>
      <c r="C2220" s="455"/>
      <c r="D2220" s="2806"/>
      <c r="E2220" s="2856"/>
      <c r="F2220" s="2908" t="str">
        <f>$E$1476</f>
        <v>ASHP - SEER 19 - replace electric furnace / CAC MF_CompE</v>
      </c>
      <c r="G2220" s="2909"/>
      <c r="H2220" s="2909"/>
      <c r="I2220" s="2910"/>
      <c r="J2220" s="1657" t="str">
        <f>$C$1476</f>
        <v>353351_2019_12_</v>
      </c>
      <c r="K2220" s="1663">
        <v>33600</v>
      </c>
      <c r="L2220" s="2106">
        <f t="shared" si="207"/>
        <v>2.8</v>
      </c>
      <c r="M2220" s="1108"/>
      <c r="N2220" s="177"/>
      <c r="O2220" s="332"/>
      <c r="P2220" s="1116"/>
      <c r="Q2220" s="1116"/>
      <c r="R2220" s="1116"/>
      <c r="S2220" s="1103"/>
      <c r="T2220" s="1639"/>
      <c r="U2220" s="177"/>
      <c r="V2220" s="2866"/>
      <c r="W2220" s="909"/>
      <c r="X2220" s="909"/>
      <c r="Y2220" s="908">
        <v>33600</v>
      </c>
      <c r="Z2220" s="909"/>
      <c r="AA2220" s="909"/>
      <c r="AB2220" s="909"/>
      <c r="AC2220" s="909"/>
      <c r="AD2220" s="909"/>
      <c r="AE2220" s="909"/>
      <c r="AF2220" s="909"/>
      <c r="AG2220" s="909"/>
      <c r="BB2220" s="784"/>
      <c r="BC2220" s="785"/>
      <c r="BD2220" s="900"/>
      <c r="BE2220" s="797"/>
    </row>
    <row r="2221" spans="1:57" s="65" customFormat="1" ht="15" hidden="1" customHeight="1" outlineLevel="1" x14ac:dyDescent="0.25">
      <c r="A2221" s="718"/>
      <c r="B2221" s="177"/>
      <c r="C2221" s="455"/>
      <c r="D2221" s="2806"/>
      <c r="E2221" s="2856"/>
      <c r="F2221" s="2908" t="str">
        <f>$E$1478</f>
        <v>ASHP - SEER 20 - replace electric furnace / CAC - early replacement SF ER1</v>
      </c>
      <c r="G2221" s="2909"/>
      <c r="H2221" s="2909"/>
      <c r="I2221" s="2910"/>
      <c r="J2221" s="1657" t="str">
        <f>$C$1478</f>
        <v>353400_2019_12_</v>
      </c>
      <c r="K2221" s="1663">
        <v>37200</v>
      </c>
      <c r="L2221" s="2106">
        <f t="shared" si="207"/>
        <v>3.1</v>
      </c>
      <c r="M2221" s="1108" t="s">
        <v>1598</v>
      </c>
      <c r="N2221" s="177"/>
      <c r="O2221" s="332"/>
      <c r="P2221" s="1116"/>
      <c r="Q2221" s="1116"/>
      <c r="R2221" s="1116"/>
      <c r="S2221" s="1103"/>
      <c r="T2221" s="1639"/>
      <c r="U2221" s="177"/>
      <c r="V2221" s="2866"/>
      <c r="W2221" s="909">
        <v>37200</v>
      </c>
      <c r="X2221" s="909">
        <v>37200</v>
      </c>
      <c r="Y2221" s="909">
        <v>37200</v>
      </c>
      <c r="Z2221" s="909"/>
      <c r="AA2221" s="909"/>
      <c r="AB2221" s="909"/>
      <c r="AC2221" s="909"/>
      <c r="AD2221" s="909"/>
      <c r="AE2221" s="909"/>
      <c r="AF2221" s="909"/>
      <c r="AG2221" s="909"/>
      <c r="BB2221" s="784"/>
      <c r="BC2221" s="785"/>
      <c r="BD2221" s="900"/>
      <c r="BE2221" s="797"/>
    </row>
    <row r="2222" spans="1:57" s="65" customFormat="1" ht="15" hidden="1" customHeight="1" outlineLevel="1" x14ac:dyDescent="0.25">
      <c r="A2222" s="718"/>
      <c r="B2222" s="177"/>
      <c r="C2222" s="455"/>
      <c r="D2222" s="2806"/>
      <c r="E2222" s="2856"/>
      <c r="F2222" s="2908" t="str">
        <f>$E$1480</f>
        <v>ASHP - SEER 20 - replace electric furnace / CAC - early replacement SF ER2</v>
      </c>
      <c r="G2222" s="2909"/>
      <c r="H2222" s="2909"/>
      <c r="I2222" s="2910"/>
      <c r="J2222" s="1657" t="str">
        <f>$C$1480</f>
        <v>353400_2019_12_</v>
      </c>
      <c r="K2222" s="1663">
        <v>37200</v>
      </c>
      <c r="L2222" s="2106">
        <f t="shared" si="207"/>
        <v>3.1</v>
      </c>
      <c r="M2222" s="1108" t="s">
        <v>1598</v>
      </c>
      <c r="N2222" s="177"/>
      <c r="O2222" s="332"/>
      <c r="P2222" s="1116"/>
      <c r="Q2222" s="1116"/>
      <c r="R2222" s="1116"/>
      <c r="S2222" s="1103"/>
      <c r="T2222" s="1639"/>
      <c r="U2222" s="177"/>
      <c r="V2222" s="2866"/>
      <c r="W2222" s="909">
        <v>37200</v>
      </c>
      <c r="X2222" s="909">
        <v>37200</v>
      </c>
      <c r="Y2222" s="909">
        <v>37200</v>
      </c>
      <c r="Z2222" s="909"/>
      <c r="AA2222" s="909"/>
      <c r="AB2222" s="909"/>
      <c r="AC2222" s="909"/>
      <c r="AD2222" s="909"/>
      <c r="AE2222" s="909"/>
      <c r="AF2222" s="909"/>
      <c r="AG2222" s="909"/>
      <c r="BB2222" s="784"/>
      <c r="BC2222" s="785"/>
      <c r="BD2222" s="900"/>
      <c r="BE2222" s="797"/>
    </row>
    <row r="2223" spans="1:57" s="65" customFormat="1" ht="15" hidden="1" customHeight="1" outlineLevel="1" x14ac:dyDescent="0.25">
      <c r="A2223" s="718"/>
      <c r="B2223" s="177"/>
      <c r="C2223" s="455"/>
      <c r="D2223" s="2806"/>
      <c r="E2223" s="2856"/>
      <c r="F2223" s="2908" t="str">
        <f>$E$1482</f>
        <v>ASHP - SEER 20 - replace electric furnace / CAC SF</v>
      </c>
      <c r="G2223" s="2909"/>
      <c r="H2223" s="2909"/>
      <c r="I2223" s="2910"/>
      <c r="J2223" s="1657" t="str">
        <f>$C$1482</f>
        <v>353450_2019_12_</v>
      </c>
      <c r="K2223" s="1663">
        <v>38400</v>
      </c>
      <c r="L2223" s="2106">
        <f t="shared" si="207"/>
        <v>3.2</v>
      </c>
      <c r="M2223" s="1108" t="s">
        <v>1598</v>
      </c>
      <c r="N2223" s="177"/>
      <c r="O2223" s="332"/>
      <c r="P2223" s="1116"/>
      <c r="Q2223" s="1116"/>
      <c r="R2223" s="1116"/>
      <c r="S2223" s="1103"/>
      <c r="T2223" s="1639"/>
      <c r="U2223" s="177"/>
      <c r="V2223" s="2866"/>
      <c r="W2223" s="909">
        <v>38400</v>
      </c>
      <c r="X2223" s="909">
        <v>38400</v>
      </c>
      <c r="Y2223" s="909">
        <v>38400</v>
      </c>
      <c r="Z2223" s="909"/>
      <c r="AA2223" s="909"/>
      <c r="AB2223" s="909"/>
      <c r="AC2223" s="909"/>
      <c r="AD2223" s="909"/>
      <c r="AE2223" s="909"/>
      <c r="AF2223" s="909"/>
      <c r="AG2223" s="909"/>
      <c r="BB2223" s="784"/>
      <c r="BC2223" s="785"/>
      <c r="BD2223" s="900"/>
      <c r="BE2223" s="797"/>
    </row>
    <row r="2224" spans="1:57" s="65" customFormat="1" ht="15" hidden="1" customHeight="1" outlineLevel="1" x14ac:dyDescent="0.25">
      <c r="A2224" s="718"/>
      <c r="B2224" s="177"/>
      <c r="C2224" s="455"/>
      <c r="D2224" s="2806"/>
      <c r="E2224" s="2856"/>
      <c r="F2224" s="2908" t="str">
        <f>$E$1484</f>
        <v>ASHP - SEER 20 - replace electric furnace / CAC MF</v>
      </c>
      <c r="G2224" s="2909"/>
      <c r="H2224" s="2909"/>
      <c r="I2224" s="2910"/>
      <c r="J2224" s="1657" t="str">
        <f>$C$1484</f>
        <v>353500_2019_12_</v>
      </c>
      <c r="K2224" s="1663">
        <v>38400</v>
      </c>
      <c r="L2224" s="2106">
        <f t="shared" si="207"/>
        <v>3.2</v>
      </c>
      <c r="M2224" s="1108" t="s">
        <v>1598</v>
      </c>
      <c r="N2224" s="177"/>
      <c r="O2224" s="332"/>
      <c r="P2224" s="1116"/>
      <c r="Q2224" s="1116"/>
      <c r="R2224" s="1116"/>
      <c r="S2224" s="1103"/>
      <c r="T2224" s="1639"/>
      <c r="U2224" s="177"/>
      <c r="V2224" s="2866"/>
      <c r="W2224" s="909">
        <v>38400</v>
      </c>
      <c r="X2224" s="909">
        <v>38400</v>
      </c>
      <c r="Y2224" s="909">
        <v>38400</v>
      </c>
      <c r="Z2224" s="909"/>
      <c r="AA2224" s="909"/>
      <c r="AB2224" s="909"/>
      <c r="AC2224" s="909"/>
      <c r="AD2224" s="909"/>
      <c r="AE2224" s="909"/>
      <c r="AF2224" s="909"/>
      <c r="AG2224" s="909"/>
      <c r="BB2224" s="784"/>
      <c r="BC2224" s="785"/>
      <c r="BD2224" s="900"/>
      <c r="BE2224" s="797"/>
    </row>
    <row r="2225" spans="1:57" s="65" customFormat="1" ht="15" hidden="1" customHeight="1" outlineLevel="1" x14ac:dyDescent="0.25">
      <c r="A2225" s="718"/>
      <c r="B2225" s="177"/>
      <c r="C2225" s="455"/>
      <c r="D2225" s="2806"/>
      <c r="E2225" s="2856"/>
      <c r="F2225" s="2908" t="str">
        <f>$E$1486</f>
        <v>ASHP - SEER 20 - replace electric furnace / CAC MF_CompE</v>
      </c>
      <c r="G2225" s="2909"/>
      <c r="H2225" s="2909"/>
      <c r="I2225" s="2910"/>
      <c r="J2225" s="1657" t="str">
        <f>$C$1486</f>
        <v>353501_2019_12_</v>
      </c>
      <c r="K2225" s="1663">
        <v>38400</v>
      </c>
      <c r="L2225" s="2106">
        <f t="shared" si="207"/>
        <v>3.2</v>
      </c>
      <c r="M2225" s="1108"/>
      <c r="N2225" s="177"/>
      <c r="O2225" s="332"/>
      <c r="P2225" s="1116"/>
      <c r="Q2225" s="1116"/>
      <c r="R2225" s="1116"/>
      <c r="S2225" s="1103"/>
      <c r="T2225" s="1639"/>
      <c r="U2225" s="177"/>
      <c r="V2225" s="2866"/>
      <c r="W2225" s="909"/>
      <c r="X2225" s="909"/>
      <c r="Y2225" s="908">
        <v>38400</v>
      </c>
      <c r="Z2225" s="909"/>
      <c r="AA2225" s="909"/>
      <c r="AB2225" s="909"/>
      <c r="AC2225" s="909"/>
      <c r="AD2225" s="909"/>
      <c r="AE2225" s="909"/>
      <c r="AF2225" s="909"/>
      <c r="AG2225" s="909"/>
      <c r="BB2225" s="784"/>
      <c r="BC2225" s="785"/>
      <c r="BD2225" s="900"/>
      <c r="BE2225" s="797"/>
    </row>
    <row r="2226" spans="1:57" s="65" customFormat="1" ht="15" hidden="1" customHeight="1" outlineLevel="1" x14ac:dyDescent="0.25">
      <c r="A2226" s="718"/>
      <c r="B2226" s="177"/>
      <c r="C2226" s="455"/>
      <c r="D2226" s="2806"/>
      <c r="E2226" s="2856"/>
      <c r="F2226" s="2908" t="str">
        <f>$E$1488</f>
        <v>ASHP - SEER 21 - replace electric furnace / CAC - early replacement SF ER1</v>
      </c>
      <c r="G2226" s="2909"/>
      <c r="H2226" s="2909"/>
      <c r="I2226" s="2910"/>
      <c r="J2226" s="1657" t="str">
        <f>$C$1488</f>
        <v>353550_2019_12_</v>
      </c>
      <c r="K2226" s="1663">
        <v>37200</v>
      </c>
      <c r="L2226" s="2106">
        <f t="shared" si="207"/>
        <v>3.1</v>
      </c>
      <c r="M2226" s="1108" t="s">
        <v>1598</v>
      </c>
      <c r="N2226" s="177"/>
      <c r="O2226" s="332"/>
      <c r="P2226" s="1116"/>
      <c r="Q2226" s="1117"/>
      <c r="R2226" s="1116"/>
      <c r="S2226" s="1103"/>
      <c r="T2226" s="1639"/>
      <c r="U2226" s="177"/>
      <c r="V2226" s="2866"/>
      <c r="W2226" s="909">
        <v>37200</v>
      </c>
      <c r="X2226" s="909">
        <v>37200</v>
      </c>
      <c r="Y2226" s="909">
        <v>37200</v>
      </c>
      <c r="Z2226" s="909"/>
      <c r="AA2226" s="909"/>
      <c r="AB2226" s="909"/>
      <c r="AC2226" s="909"/>
      <c r="AD2226" s="909"/>
      <c r="AE2226" s="909"/>
      <c r="AF2226" s="909"/>
      <c r="AG2226" s="909"/>
      <c r="BB2226" s="784"/>
      <c r="BC2226" s="785"/>
      <c r="BD2226" s="900"/>
      <c r="BE2226" s="797"/>
    </row>
    <row r="2227" spans="1:57" s="65" customFormat="1" ht="15" hidden="1" customHeight="1" outlineLevel="1" x14ac:dyDescent="0.25">
      <c r="A2227" s="718"/>
      <c r="B2227" s="177"/>
      <c r="C2227" s="455"/>
      <c r="D2227" s="2806"/>
      <c r="E2227" s="2856"/>
      <c r="F2227" s="2908" t="str">
        <f>$E$1490</f>
        <v>ASHP - SEER 21 - replace electric furnace / CAC - early replacement SF ER2</v>
      </c>
      <c r="G2227" s="2909"/>
      <c r="H2227" s="2909"/>
      <c r="I2227" s="2910"/>
      <c r="J2227" s="1657" t="str">
        <f>$C$1490</f>
        <v>353550_2019_12_</v>
      </c>
      <c r="K2227" s="1663">
        <v>37200</v>
      </c>
      <c r="L2227" s="2106">
        <f t="shared" si="207"/>
        <v>3.1</v>
      </c>
      <c r="M2227" s="1108" t="s">
        <v>1598</v>
      </c>
      <c r="N2227" s="177"/>
      <c r="O2227" s="332"/>
      <c r="P2227" s="1116"/>
      <c r="Q2227" s="1117"/>
      <c r="R2227" s="1116"/>
      <c r="S2227" s="1103"/>
      <c r="T2227" s="1639"/>
      <c r="U2227" s="177"/>
      <c r="V2227" s="2866"/>
      <c r="W2227" s="909">
        <v>37200</v>
      </c>
      <c r="X2227" s="909">
        <v>37200</v>
      </c>
      <c r="Y2227" s="909">
        <v>37200</v>
      </c>
      <c r="Z2227" s="909"/>
      <c r="AA2227" s="909"/>
      <c r="AB2227" s="909"/>
      <c r="AC2227" s="909"/>
      <c r="AD2227" s="909"/>
      <c r="AE2227" s="909"/>
      <c r="AF2227" s="909"/>
      <c r="AG2227" s="909"/>
      <c r="BB2227" s="784"/>
      <c r="BC2227" s="785"/>
      <c r="BD2227" s="900"/>
      <c r="BE2227" s="797"/>
    </row>
    <row r="2228" spans="1:57" s="65" customFormat="1" ht="15" hidden="1" customHeight="1" outlineLevel="1" x14ac:dyDescent="0.25">
      <c r="A2228" s="718"/>
      <c r="B2228" s="177"/>
      <c r="C2228" s="455"/>
      <c r="D2228" s="2806"/>
      <c r="E2228" s="2856"/>
      <c r="F2228" s="2908" t="str">
        <f>$E$1492</f>
        <v>ASHP - SEER 21 - replace electric furnace / CAC - early replacement MF ER1</v>
      </c>
      <c r="G2228" s="2909"/>
      <c r="H2228" s="2909"/>
      <c r="I2228" s="2910"/>
      <c r="J2228" s="1657" t="str">
        <f>$C$1492</f>
        <v>353600_2019_12_</v>
      </c>
      <c r="K2228" s="1663">
        <v>37200</v>
      </c>
      <c r="L2228" s="2106">
        <f t="shared" si="207"/>
        <v>3.1</v>
      </c>
      <c r="M2228" s="1108" t="s">
        <v>1598</v>
      </c>
      <c r="N2228" s="177"/>
      <c r="O2228" s="332"/>
      <c r="P2228" s="1116"/>
      <c r="Q2228" s="1117"/>
      <c r="R2228" s="1116"/>
      <c r="S2228" s="1103"/>
      <c r="T2228" s="1639"/>
      <c r="U2228" s="177"/>
      <c r="V2228" s="2866"/>
      <c r="W2228" s="909">
        <v>37200</v>
      </c>
      <c r="X2228" s="909">
        <v>37200</v>
      </c>
      <c r="Y2228" s="909">
        <v>37200</v>
      </c>
      <c r="Z2228" s="909"/>
      <c r="AA2228" s="909"/>
      <c r="AB2228" s="909"/>
      <c r="AC2228" s="909"/>
      <c r="AD2228" s="909"/>
      <c r="AE2228" s="909"/>
      <c r="AF2228" s="909"/>
      <c r="AG2228" s="909"/>
      <c r="BB2228" s="784"/>
      <c r="BC2228" s="785"/>
      <c r="BD2228" s="900"/>
      <c r="BE2228" s="797"/>
    </row>
    <row r="2229" spans="1:57" s="65" customFormat="1" ht="15" hidden="1" customHeight="1" outlineLevel="1" x14ac:dyDescent="0.25">
      <c r="A2229" s="718"/>
      <c r="B2229" s="177"/>
      <c r="C2229" s="455"/>
      <c r="D2229" s="2806"/>
      <c r="E2229" s="2856"/>
      <c r="F2229" s="2908" t="str">
        <f>$E$1494</f>
        <v>ASHP - SEER 21 - replace electric furnace / CAC - early replacement MF ER2</v>
      </c>
      <c r="G2229" s="2909"/>
      <c r="H2229" s="2909"/>
      <c r="I2229" s="2910"/>
      <c r="J2229" s="1657" t="str">
        <f>$C$1494</f>
        <v>353600_2019_12_</v>
      </c>
      <c r="K2229" s="1663">
        <v>37200</v>
      </c>
      <c r="L2229" s="2106">
        <f t="shared" si="207"/>
        <v>3.1</v>
      </c>
      <c r="M2229" s="1108" t="s">
        <v>1598</v>
      </c>
      <c r="N2229" s="177"/>
      <c r="O2229" s="332"/>
      <c r="P2229" s="1116"/>
      <c r="Q2229" s="1117"/>
      <c r="R2229" s="1116"/>
      <c r="S2229" s="1103"/>
      <c r="T2229" s="1639"/>
      <c r="U2229" s="177"/>
      <c r="V2229" s="2866"/>
      <c r="W2229" s="909">
        <v>37200</v>
      </c>
      <c r="X2229" s="909">
        <v>37200</v>
      </c>
      <c r="Y2229" s="909">
        <v>37200</v>
      </c>
      <c r="Z2229" s="909"/>
      <c r="AA2229" s="909"/>
      <c r="AB2229" s="909"/>
      <c r="AC2229" s="909"/>
      <c r="AD2229" s="909"/>
      <c r="AE2229" s="909"/>
      <c r="AF2229" s="909"/>
      <c r="AG2229" s="909"/>
      <c r="BB2229" s="784"/>
      <c r="BC2229" s="785"/>
      <c r="BD2229" s="900"/>
      <c r="BE2229" s="797"/>
    </row>
    <row r="2230" spans="1:57" s="65" customFormat="1" ht="15" hidden="1" customHeight="1" outlineLevel="1" x14ac:dyDescent="0.25">
      <c r="A2230" s="718"/>
      <c r="B2230" s="177"/>
      <c r="C2230" s="455"/>
      <c r="D2230" s="2806"/>
      <c r="E2230" s="2856"/>
      <c r="F2230" s="2908" t="str">
        <f>$E$1496</f>
        <v>ASHP - SEER 21 - replace electric furnace / CAC - early replacement MF ER1_CompE</v>
      </c>
      <c r="G2230" s="2909"/>
      <c r="H2230" s="2909"/>
      <c r="I2230" s="2910"/>
      <c r="J2230" s="1657" t="str">
        <f>$C$1496</f>
        <v>353601_2019_12_</v>
      </c>
      <c r="K2230" s="1663">
        <v>37200</v>
      </c>
      <c r="L2230" s="2106">
        <f t="shared" si="207"/>
        <v>3.1</v>
      </c>
      <c r="M2230" s="1108"/>
      <c r="N2230" s="177"/>
      <c r="O2230" s="332"/>
      <c r="P2230" s="1116"/>
      <c r="Q2230" s="1117"/>
      <c r="R2230" s="1116"/>
      <c r="S2230" s="1103"/>
      <c r="T2230" s="1639"/>
      <c r="U2230" s="177"/>
      <c r="V2230" s="2866"/>
      <c r="W2230" s="909"/>
      <c r="X2230" s="909"/>
      <c r="Y2230" s="908">
        <v>37200</v>
      </c>
      <c r="Z2230" s="909"/>
      <c r="AA2230" s="909"/>
      <c r="AB2230" s="909"/>
      <c r="AC2230" s="909"/>
      <c r="AD2230" s="909"/>
      <c r="AE2230" s="909"/>
      <c r="AF2230" s="909"/>
      <c r="AG2230" s="909"/>
      <c r="BB2230" s="784"/>
      <c r="BC2230" s="785"/>
      <c r="BD2230" s="900"/>
      <c r="BE2230" s="797"/>
    </row>
    <row r="2231" spans="1:57" s="65" customFormat="1" ht="15" hidden="1" customHeight="1" outlineLevel="1" x14ac:dyDescent="0.25">
      <c r="A2231" s="718"/>
      <c r="B2231" s="177"/>
      <c r="C2231" s="455"/>
      <c r="D2231" s="2806"/>
      <c r="E2231" s="2856"/>
      <c r="F2231" s="2908" t="str">
        <f>$E$1498</f>
        <v>ASHP - SEER 21 - replace electric furnace / CAC - early replacement MF ER2_CompE</v>
      </c>
      <c r="G2231" s="2909"/>
      <c r="H2231" s="2909"/>
      <c r="I2231" s="2910"/>
      <c r="J2231" s="1657" t="str">
        <f>$C$1498</f>
        <v>353601_2019_12_</v>
      </c>
      <c r="K2231" s="1663">
        <v>37200</v>
      </c>
      <c r="L2231" s="2106">
        <f t="shared" si="207"/>
        <v>3.1</v>
      </c>
      <c r="M2231" s="1108"/>
      <c r="N2231" s="177"/>
      <c r="O2231" s="332"/>
      <c r="P2231" s="1116"/>
      <c r="Q2231" s="1117"/>
      <c r="R2231" s="1116"/>
      <c r="S2231" s="1103"/>
      <c r="T2231" s="1639"/>
      <c r="U2231" s="177"/>
      <c r="V2231" s="2866"/>
      <c r="W2231" s="909"/>
      <c r="X2231" s="909"/>
      <c r="Y2231" s="908">
        <v>37200</v>
      </c>
      <c r="Z2231" s="909"/>
      <c r="AA2231" s="909"/>
      <c r="AB2231" s="909"/>
      <c r="AC2231" s="909"/>
      <c r="AD2231" s="909"/>
      <c r="AE2231" s="909"/>
      <c r="AF2231" s="909"/>
      <c r="AG2231" s="909"/>
      <c r="BB2231" s="784"/>
      <c r="BC2231" s="785"/>
      <c r="BD2231" s="900"/>
      <c r="BE2231" s="797"/>
    </row>
    <row r="2232" spans="1:57" s="65" customFormat="1" ht="15" hidden="1" customHeight="1" outlineLevel="1" x14ac:dyDescent="0.25">
      <c r="A2232" s="718"/>
      <c r="B2232" s="177"/>
      <c r="C2232" s="455"/>
      <c r="D2232" s="2806"/>
      <c r="E2232" s="2856"/>
      <c r="F2232" s="2908" t="str">
        <f>$E$1500</f>
        <v>ASHP - SEER 21 - replace electric furnace / CAC SF</v>
      </c>
      <c r="G2232" s="2909"/>
      <c r="H2232" s="2909"/>
      <c r="I2232" s="2910"/>
      <c r="J2232" s="1657" t="str">
        <f>$C$1500</f>
        <v>353650_2019_12_</v>
      </c>
      <c r="K2232" s="1663">
        <v>38400</v>
      </c>
      <c r="L2232" s="2106">
        <f t="shared" si="207"/>
        <v>3.2</v>
      </c>
      <c r="M2232" s="1108" t="s">
        <v>1598</v>
      </c>
      <c r="N2232" s="177"/>
      <c r="O2232" s="332"/>
      <c r="P2232" s="1116"/>
      <c r="Q2232" s="1117"/>
      <c r="R2232" s="1116"/>
      <c r="S2232" s="1103"/>
      <c r="T2232" s="1639"/>
      <c r="U2232" s="177"/>
      <c r="V2232" s="2866"/>
      <c r="W2232" s="909">
        <v>38400</v>
      </c>
      <c r="X2232" s="909">
        <v>38400</v>
      </c>
      <c r="Y2232" s="909">
        <v>38400</v>
      </c>
      <c r="Z2232" s="909"/>
      <c r="AA2232" s="909"/>
      <c r="AB2232" s="909"/>
      <c r="AC2232" s="909"/>
      <c r="AD2232" s="909"/>
      <c r="AE2232" s="909"/>
      <c r="AF2232" s="909"/>
      <c r="AG2232" s="909"/>
      <c r="BB2232" s="784"/>
      <c r="BC2232" s="785"/>
      <c r="BD2232" s="900"/>
      <c r="BE2232" s="797"/>
    </row>
    <row r="2233" spans="1:57" s="65" customFormat="1" ht="15" hidden="1" customHeight="1" outlineLevel="1" x14ac:dyDescent="0.25">
      <c r="A2233" s="718"/>
      <c r="B2233" s="177"/>
      <c r="C2233" s="455"/>
      <c r="D2233" s="2806"/>
      <c r="E2233" s="2856"/>
      <c r="F2233" s="2908" t="str">
        <f>$E$1502</f>
        <v>ASHP-  SEER 21+ replace at Fail Elec Resist Furnace MF</v>
      </c>
      <c r="G2233" s="2909"/>
      <c r="H2233" s="2909"/>
      <c r="I2233" s="2910"/>
      <c r="J2233" s="1657" t="str">
        <f>$C$1502</f>
        <v>353700_2019_12_</v>
      </c>
      <c r="K2233" s="1663">
        <v>38400</v>
      </c>
      <c r="L2233" s="2106">
        <f t="shared" si="207"/>
        <v>3.2</v>
      </c>
      <c r="M2233" s="1108" t="s">
        <v>1598</v>
      </c>
      <c r="N2233" s="177"/>
      <c r="O2233" s="332"/>
      <c r="P2233" s="1116"/>
      <c r="Q2233" s="1117"/>
      <c r="R2233" s="1116"/>
      <c r="S2233" s="1103"/>
      <c r="T2233" s="1639"/>
      <c r="U2233" s="177"/>
      <c r="V2233" s="2866"/>
      <c r="W2233" s="909">
        <v>38400</v>
      </c>
      <c r="X2233" s="909">
        <v>38400</v>
      </c>
      <c r="Y2233" s="909">
        <v>38400</v>
      </c>
      <c r="Z2233" s="909"/>
      <c r="AA2233" s="909"/>
      <c r="AB2233" s="909"/>
      <c r="AC2233" s="909"/>
      <c r="AD2233" s="909"/>
      <c r="AE2233" s="909"/>
      <c r="AF2233" s="909"/>
      <c r="AG2233" s="909"/>
      <c r="BB2233" s="784"/>
      <c r="BC2233" s="785"/>
      <c r="BD2233" s="900"/>
      <c r="BE2233" s="797"/>
    </row>
    <row r="2234" spans="1:57" s="65" customFormat="1" ht="15" hidden="1" customHeight="1" outlineLevel="1" x14ac:dyDescent="0.25">
      <c r="A2234" s="718"/>
      <c r="B2234" s="177"/>
      <c r="C2234" s="455"/>
      <c r="D2234" s="2806"/>
      <c r="E2234" s="2856"/>
      <c r="F2234" s="2908" t="str">
        <f>$E$1504</f>
        <v>ASHP-  SEER 21+ replace at Fail Elec Resist Furnace MF_CompE</v>
      </c>
      <c r="G2234" s="2909"/>
      <c r="H2234" s="2909"/>
      <c r="I2234" s="2910"/>
      <c r="J2234" s="1657" t="str">
        <f>$C$1504</f>
        <v>353701_2019_12_</v>
      </c>
      <c r="K2234" s="1663">
        <v>38400</v>
      </c>
      <c r="L2234" s="2106">
        <f t="shared" si="207"/>
        <v>3.2</v>
      </c>
      <c r="M2234" s="1108"/>
      <c r="N2234" s="177"/>
      <c r="O2234" s="332"/>
      <c r="P2234" s="1116"/>
      <c r="Q2234" s="1117"/>
      <c r="R2234" s="1116"/>
      <c r="S2234" s="1103"/>
      <c r="T2234" s="1639"/>
      <c r="U2234" s="177"/>
      <c r="V2234" s="2866"/>
      <c r="W2234" s="909"/>
      <c r="X2234" s="909"/>
      <c r="Y2234" s="908">
        <v>38400</v>
      </c>
      <c r="Z2234" s="909"/>
      <c r="AA2234" s="909"/>
      <c r="AB2234" s="909"/>
      <c r="AC2234" s="909"/>
      <c r="AD2234" s="909"/>
      <c r="AE2234" s="909"/>
      <c r="AF2234" s="909"/>
      <c r="AG2234" s="909"/>
      <c r="BB2234" s="784"/>
      <c r="BC2234" s="785"/>
      <c r="BD2234" s="900"/>
      <c r="BE2234" s="797"/>
    </row>
    <row r="2235" spans="1:57" s="65" customFormat="1" ht="15" hidden="1" customHeight="1" outlineLevel="1" x14ac:dyDescent="0.25">
      <c r="A2235" s="785"/>
      <c r="B2235" s="177"/>
      <c r="C2235" s="455"/>
      <c r="D2235" s="2806"/>
      <c r="E2235" s="2856"/>
      <c r="F2235" s="2908" t="str">
        <f>$E$1506</f>
        <v>ASHP SEER 17 replace ASHP - early replacement SF ER1</v>
      </c>
      <c r="G2235" s="2909"/>
      <c r="H2235" s="2909"/>
      <c r="I2235" s="2910"/>
      <c r="J2235" s="1657" t="str">
        <f>$C$1506</f>
        <v>353750_2019_12_</v>
      </c>
      <c r="K2235" s="1663">
        <v>39600</v>
      </c>
      <c r="L2235" s="2106">
        <f t="shared" si="207"/>
        <v>3.3</v>
      </c>
      <c r="M2235" s="1108" t="s">
        <v>1598</v>
      </c>
      <c r="N2235" s="177"/>
      <c r="O2235" s="332"/>
      <c r="P2235" s="332"/>
      <c r="Q2235" s="332"/>
      <c r="R2235" s="332"/>
      <c r="S2235" s="177"/>
      <c r="T2235" s="177"/>
      <c r="U2235" s="177"/>
      <c r="V2235" s="2866"/>
      <c r="W2235" s="909">
        <v>39600</v>
      </c>
      <c r="X2235" s="909">
        <v>39600</v>
      </c>
      <c r="Y2235" s="909">
        <v>39600</v>
      </c>
      <c r="Z2235" s="909"/>
      <c r="AA2235" s="909"/>
      <c r="AB2235" s="909"/>
      <c r="AC2235" s="909"/>
      <c r="AD2235" s="909"/>
      <c r="AE2235" s="909"/>
      <c r="AF2235" s="909"/>
      <c r="AG2235" s="909"/>
      <c r="BB2235" s="784"/>
      <c r="BC2235" s="785"/>
      <c r="BD2235" s="900"/>
      <c r="BE2235" s="797"/>
    </row>
    <row r="2236" spans="1:57" s="65" customFormat="1" ht="15" hidden="1" customHeight="1" outlineLevel="1" x14ac:dyDescent="0.25">
      <c r="A2236" s="718"/>
      <c r="B2236" s="177"/>
      <c r="C2236" s="455"/>
      <c r="D2236" s="2806"/>
      <c r="E2236" s="2856"/>
      <c r="F2236" s="2908" t="str">
        <f>$E$1508</f>
        <v>ASHP SEER 17 replace ASHP - early replacement SF ER2</v>
      </c>
      <c r="G2236" s="2909"/>
      <c r="H2236" s="2909"/>
      <c r="I2236" s="2910"/>
      <c r="J2236" s="1657" t="str">
        <f>$C$1508</f>
        <v>353750_2019_12_</v>
      </c>
      <c r="K2236" s="1663">
        <v>39600</v>
      </c>
      <c r="L2236" s="2106">
        <f t="shared" si="207"/>
        <v>3.3</v>
      </c>
      <c r="M2236" s="1108" t="s">
        <v>1598</v>
      </c>
      <c r="N2236" s="177"/>
      <c r="O2236" s="332"/>
      <c r="P2236" s="1116"/>
      <c r="Q2236" s="1117"/>
      <c r="R2236" s="1116"/>
      <c r="S2236" s="1103"/>
      <c r="T2236" s="1639"/>
      <c r="U2236" s="177"/>
      <c r="V2236" s="2866"/>
      <c r="W2236" s="909">
        <v>39600</v>
      </c>
      <c r="X2236" s="909">
        <v>39600</v>
      </c>
      <c r="Y2236" s="909">
        <v>39600</v>
      </c>
      <c r="Z2236" s="909"/>
      <c r="AA2236" s="909"/>
      <c r="AB2236" s="909"/>
      <c r="AC2236" s="909"/>
      <c r="AD2236" s="909"/>
      <c r="AE2236" s="909"/>
      <c r="AF2236" s="909"/>
      <c r="AG2236" s="909"/>
      <c r="BB2236" s="784"/>
      <c r="BC2236" s="785"/>
      <c r="BD2236" s="900"/>
      <c r="BE2236" s="797"/>
    </row>
    <row r="2237" spans="1:57" s="65" customFormat="1" ht="15" hidden="1" customHeight="1" outlineLevel="1" x14ac:dyDescent="0.25">
      <c r="A2237" s="785"/>
      <c r="B2237" s="177"/>
      <c r="C2237" s="455"/>
      <c r="D2237" s="2806"/>
      <c r="E2237" s="2856"/>
      <c r="F2237" s="2908" t="str">
        <f>$E$1510</f>
        <v>ASHP SEER 17 replace ASHP - replace on fail SF</v>
      </c>
      <c r="G2237" s="2909"/>
      <c r="H2237" s="2909"/>
      <c r="I2237" s="2910"/>
      <c r="J2237" s="1657" t="str">
        <f>$C$1510</f>
        <v>353800_2019_12_</v>
      </c>
      <c r="K2237" s="1663">
        <v>39600</v>
      </c>
      <c r="L2237" s="2106">
        <f t="shared" si="207"/>
        <v>3.3</v>
      </c>
      <c r="M2237" s="1108" t="s">
        <v>1598</v>
      </c>
      <c r="N2237" s="177"/>
      <c r="O2237" s="332"/>
      <c r="P2237" s="332"/>
      <c r="Q2237" s="332"/>
      <c r="R2237" s="332"/>
      <c r="S2237" s="177"/>
      <c r="T2237" s="177"/>
      <c r="U2237" s="177"/>
      <c r="V2237" s="2866"/>
      <c r="W2237" s="909">
        <v>39600</v>
      </c>
      <c r="X2237" s="909">
        <v>39600</v>
      </c>
      <c r="Y2237" s="909">
        <v>39600</v>
      </c>
      <c r="Z2237" s="909"/>
      <c r="AA2237" s="909"/>
      <c r="AB2237" s="909"/>
      <c r="AC2237" s="909"/>
      <c r="AD2237" s="909"/>
      <c r="AE2237" s="909"/>
      <c r="AF2237" s="909"/>
      <c r="AG2237" s="909"/>
      <c r="BB2237" s="784"/>
      <c r="BC2237" s="785"/>
      <c r="BD2237" s="900"/>
      <c r="BE2237" s="797"/>
    </row>
    <row r="2238" spans="1:57" s="65" customFormat="1" ht="15" hidden="1" customHeight="1" outlineLevel="1" x14ac:dyDescent="0.25">
      <c r="A2238" s="718"/>
      <c r="B2238" s="177"/>
      <c r="C2238" s="455"/>
      <c r="D2238" s="2806"/>
      <c r="E2238" s="2856"/>
      <c r="F2238" s="2908" t="str">
        <f>$E$1512</f>
        <v>ASHP SEER 18 replace ASHP - early replacement SF ER1</v>
      </c>
      <c r="G2238" s="2909"/>
      <c r="H2238" s="2909"/>
      <c r="I2238" s="2910"/>
      <c r="J2238" s="1657" t="str">
        <f>$C$1512</f>
        <v>353850_2019_12_</v>
      </c>
      <c r="K2238" s="1663">
        <v>39600</v>
      </c>
      <c r="L2238" s="2106">
        <f t="shared" si="207"/>
        <v>3.3</v>
      </c>
      <c r="M2238" s="1108" t="s">
        <v>1598</v>
      </c>
      <c r="N2238" s="177"/>
      <c r="O2238" s="332"/>
      <c r="P2238" s="1116"/>
      <c r="Q2238" s="1117"/>
      <c r="R2238" s="1116"/>
      <c r="S2238" s="1103"/>
      <c r="T2238" s="1639"/>
      <c r="U2238" s="177"/>
      <c r="V2238" s="2866"/>
      <c r="W2238" s="909">
        <v>39600</v>
      </c>
      <c r="X2238" s="909">
        <v>39600</v>
      </c>
      <c r="Y2238" s="909">
        <v>39600</v>
      </c>
      <c r="Z2238" s="909"/>
      <c r="AA2238" s="909"/>
      <c r="AB2238" s="909"/>
      <c r="AC2238" s="909"/>
      <c r="AD2238" s="909"/>
      <c r="AE2238" s="909"/>
      <c r="AF2238" s="909"/>
      <c r="AG2238" s="909"/>
      <c r="BB2238" s="784"/>
      <c r="BC2238" s="785"/>
      <c r="BD2238" s="900"/>
      <c r="BE2238" s="797"/>
    </row>
    <row r="2239" spans="1:57" s="65" customFormat="1" ht="15" hidden="1" customHeight="1" outlineLevel="1" x14ac:dyDescent="0.25">
      <c r="A2239" s="785"/>
      <c r="B2239" s="177"/>
      <c r="C2239" s="455"/>
      <c r="D2239" s="2806"/>
      <c r="E2239" s="2856"/>
      <c r="F2239" s="2908" t="str">
        <f>$E$1514</f>
        <v>ASHP SEER 18 replace ASHP - early replacement SF ER2</v>
      </c>
      <c r="G2239" s="2909"/>
      <c r="H2239" s="2909"/>
      <c r="I2239" s="2910"/>
      <c r="J2239" s="1657" t="str">
        <f>$C$1514</f>
        <v>353850_2019_12_</v>
      </c>
      <c r="K2239" s="1663">
        <v>39600</v>
      </c>
      <c r="L2239" s="2106">
        <f t="shared" si="207"/>
        <v>3.3</v>
      </c>
      <c r="M2239" s="1108" t="s">
        <v>1598</v>
      </c>
      <c r="N2239" s="177"/>
      <c r="O2239" s="332"/>
      <c r="P2239" s="332"/>
      <c r="Q2239" s="332"/>
      <c r="R2239" s="332"/>
      <c r="S2239" s="177"/>
      <c r="T2239" s="177"/>
      <c r="U2239" s="177"/>
      <c r="V2239" s="2866"/>
      <c r="W2239" s="909">
        <v>39600</v>
      </c>
      <c r="X2239" s="909">
        <v>39600</v>
      </c>
      <c r="Y2239" s="909">
        <v>39600</v>
      </c>
      <c r="Z2239" s="909"/>
      <c r="AA2239" s="909"/>
      <c r="AB2239" s="909"/>
      <c r="AC2239" s="909"/>
      <c r="AD2239" s="909"/>
      <c r="AE2239" s="909"/>
      <c r="AF2239" s="909"/>
      <c r="AG2239" s="909"/>
      <c r="BB2239" s="784"/>
      <c r="BC2239" s="785"/>
      <c r="BD2239" s="900"/>
      <c r="BE2239" s="797"/>
    </row>
    <row r="2240" spans="1:57" s="65" customFormat="1" ht="15" hidden="1" customHeight="1" outlineLevel="1" x14ac:dyDescent="0.25">
      <c r="A2240" s="718"/>
      <c r="B2240" s="177"/>
      <c r="C2240" s="455"/>
      <c r="D2240" s="2806"/>
      <c r="E2240" s="2856"/>
      <c r="F2240" s="2908" t="str">
        <f>$E$1516</f>
        <v>ASHP - SEER 18 - replace on fail SF</v>
      </c>
      <c r="G2240" s="2909"/>
      <c r="H2240" s="2909"/>
      <c r="I2240" s="2910"/>
      <c r="J2240" s="1657" t="str">
        <f>$C$1516</f>
        <v>353950_2019_12_</v>
      </c>
      <c r="K2240" s="1663">
        <v>39600</v>
      </c>
      <c r="L2240" s="2106">
        <f t="shared" si="207"/>
        <v>3.3</v>
      </c>
      <c r="M2240" s="1108" t="s">
        <v>1598</v>
      </c>
      <c r="N2240" s="177"/>
      <c r="O2240" s="332"/>
      <c r="P2240" s="1116"/>
      <c r="Q2240" s="1117"/>
      <c r="R2240" s="1116"/>
      <c r="S2240" s="1103"/>
      <c r="T2240" s="1639"/>
      <c r="U2240" s="177"/>
      <c r="V2240" s="2866"/>
      <c r="W2240" s="909">
        <v>39600</v>
      </c>
      <c r="X2240" s="909">
        <v>39600</v>
      </c>
      <c r="Y2240" s="909">
        <v>39600</v>
      </c>
      <c r="Z2240" s="909"/>
      <c r="AA2240" s="909"/>
      <c r="AB2240" s="909"/>
      <c r="AC2240" s="909"/>
      <c r="AD2240" s="909"/>
      <c r="AE2240" s="909"/>
      <c r="AF2240" s="909"/>
      <c r="AG2240" s="909"/>
      <c r="BB2240" s="784"/>
      <c r="BC2240" s="785"/>
      <c r="BD2240" s="900"/>
      <c r="BE2240" s="797"/>
    </row>
    <row r="2241" spans="1:57" s="65" customFormat="1" ht="15" hidden="1" customHeight="1" outlineLevel="1" x14ac:dyDescent="0.25">
      <c r="A2241" s="718"/>
      <c r="B2241" s="177"/>
      <c r="C2241" s="455"/>
      <c r="D2241" s="2806"/>
      <c r="E2241" s="2856"/>
      <c r="F2241" s="2908" t="str">
        <f>$E$1518</f>
        <v>ASHP SEER 19 replace ASHP - early replacement SF ER1</v>
      </c>
      <c r="G2241" s="2909"/>
      <c r="H2241" s="2909"/>
      <c r="I2241" s="2910"/>
      <c r="J2241" s="1657" t="str">
        <f>$C$1518</f>
        <v>354000_2019_12_</v>
      </c>
      <c r="K2241" s="1663">
        <v>39600</v>
      </c>
      <c r="L2241" s="2106">
        <f t="shared" si="207"/>
        <v>3.3</v>
      </c>
      <c r="M2241" s="1108" t="s">
        <v>1598</v>
      </c>
      <c r="N2241" s="177"/>
      <c r="O2241" s="332"/>
      <c r="P2241" s="1116"/>
      <c r="Q2241" s="1117"/>
      <c r="R2241" s="1116"/>
      <c r="S2241" s="1103"/>
      <c r="T2241" s="1639"/>
      <c r="U2241" s="177"/>
      <c r="V2241" s="2866"/>
      <c r="W2241" s="909">
        <v>39600</v>
      </c>
      <c r="X2241" s="909">
        <v>39600</v>
      </c>
      <c r="Y2241" s="909">
        <v>39600</v>
      </c>
      <c r="Z2241" s="909"/>
      <c r="AA2241" s="909"/>
      <c r="AB2241" s="909"/>
      <c r="AC2241" s="909"/>
      <c r="AD2241" s="909"/>
      <c r="AE2241" s="909"/>
      <c r="AF2241" s="909"/>
      <c r="AG2241" s="909"/>
      <c r="BB2241" s="784"/>
      <c r="BC2241" s="785"/>
      <c r="BD2241" s="900"/>
      <c r="BE2241" s="797"/>
    </row>
    <row r="2242" spans="1:57" s="65" customFormat="1" ht="15" hidden="1" customHeight="1" outlineLevel="1" x14ac:dyDescent="0.25">
      <c r="A2242" s="785"/>
      <c r="B2242" s="177"/>
      <c r="C2242" s="455"/>
      <c r="D2242" s="2806"/>
      <c r="E2242" s="2856"/>
      <c r="F2242" s="2908" t="str">
        <f>$E$1520</f>
        <v>ASHP SEER 19 replace ASHP - early replacement SF ER2</v>
      </c>
      <c r="G2242" s="2909"/>
      <c r="H2242" s="2909"/>
      <c r="I2242" s="2910"/>
      <c r="J2242" s="1657" t="str">
        <f>$C$1520</f>
        <v>354000_2019_12_</v>
      </c>
      <c r="K2242" s="1663">
        <v>39600</v>
      </c>
      <c r="L2242" s="2106">
        <f t="shared" ref="L2242:L2302" si="208">K2242/12000</f>
        <v>3.3</v>
      </c>
      <c r="M2242" s="1108" t="s">
        <v>1598</v>
      </c>
      <c r="N2242" s="177"/>
      <c r="O2242" s="332"/>
      <c r="P2242" s="332"/>
      <c r="Q2242" s="332"/>
      <c r="R2242" s="332"/>
      <c r="S2242" s="177"/>
      <c r="T2242" s="177"/>
      <c r="U2242" s="177"/>
      <c r="V2242" s="2866"/>
      <c r="W2242" s="909">
        <v>39600</v>
      </c>
      <c r="X2242" s="909">
        <v>39600</v>
      </c>
      <c r="Y2242" s="909">
        <v>39600</v>
      </c>
      <c r="Z2242" s="909"/>
      <c r="AA2242" s="909"/>
      <c r="AB2242" s="909"/>
      <c r="AC2242" s="909"/>
      <c r="AD2242" s="909"/>
      <c r="AE2242" s="909"/>
      <c r="AF2242" s="909"/>
      <c r="AG2242" s="909"/>
      <c r="BB2242" s="784"/>
      <c r="BC2242" s="785"/>
      <c r="BD2242" s="900"/>
      <c r="BE2242" s="797"/>
    </row>
    <row r="2243" spans="1:57" s="65" customFormat="1" ht="15" hidden="1" customHeight="1" outlineLevel="1" x14ac:dyDescent="0.25">
      <c r="A2243" s="785"/>
      <c r="B2243" s="177"/>
      <c r="C2243" s="455"/>
      <c r="D2243" s="2806"/>
      <c r="E2243" s="2856"/>
      <c r="F2243" s="2908" t="str">
        <f>$E$1522</f>
        <v>ASHP SEER 19 replace ASHP - replace on fail SF</v>
      </c>
      <c r="G2243" s="2909"/>
      <c r="H2243" s="2909"/>
      <c r="I2243" s="2910"/>
      <c r="J2243" s="1657" t="str">
        <f>$C$1522</f>
        <v>354050_2019_12_</v>
      </c>
      <c r="K2243" s="1663">
        <v>39600</v>
      </c>
      <c r="L2243" s="2106">
        <f t="shared" si="208"/>
        <v>3.3</v>
      </c>
      <c r="M2243" s="1108" t="s">
        <v>1598</v>
      </c>
      <c r="N2243" s="177"/>
      <c r="O2243" s="332"/>
      <c r="P2243" s="332"/>
      <c r="Q2243" s="332"/>
      <c r="R2243" s="332"/>
      <c r="S2243" s="177"/>
      <c r="T2243" s="177"/>
      <c r="U2243" s="177"/>
      <c r="V2243" s="2866"/>
      <c r="W2243" s="909">
        <v>39600</v>
      </c>
      <c r="X2243" s="909">
        <v>39600</v>
      </c>
      <c r="Y2243" s="909">
        <v>39600</v>
      </c>
      <c r="Z2243" s="909"/>
      <c r="AA2243" s="909"/>
      <c r="AB2243" s="909"/>
      <c r="AC2243" s="909"/>
      <c r="AD2243" s="909"/>
      <c r="AE2243" s="909"/>
      <c r="AF2243" s="909"/>
      <c r="AG2243" s="909"/>
      <c r="BB2243" s="784"/>
      <c r="BC2243" s="785"/>
      <c r="BD2243" s="900"/>
      <c r="BE2243" s="797"/>
    </row>
    <row r="2244" spans="1:57" s="65" customFormat="1" ht="15" hidden="1" customHeight="1" outlineLevel="1" x14ac:dyDescent="0.25">
      <c r="A2244" s="785"/>
      <c r="B2244" s="177"/>
      <c r="C2244" s="455"/>
      <c r="D2244" s="2806"/>
      <c r="E2244" s="2856"/>
      <c r="F2244" s="2908" t="str">
        <f>$E$1524</f>
        <v>ASHP - SEER 17 - replace electric furnace / CAC - early replacement SF ER1</v>
      </c>
      <c r="G2244" s="2909"/>
      <c r="H2244" s="2909"/>
      <c r="I2244" s="2910"/>
      <c r="J2244" s="1657" t="str">
        <f>$C$1524</f>
        <v>354100_2019_12_</v>
      </c>
      <c r="K2244" s="1663">
        <v>37200</v>
      </c>
      <c r="L2244" s="2106">
        <f t="shared" si="208"/>
        <v>3.1</v>
      </c>
      <c r="M2244" s="1108"/>
      <c r="N2244" s="177"/>
      <c r="O2244" s="332"/>
      <c r="P2244" s="332"/>
      <c r="Q2244" s="332"/>
      <c r="R2244" s="332"/>
      <c r="S2244" s="177"/>
      <c r="T2244" s="177"/>
      <c r="U2244" s="177"/>
      <c r="V2244" s="2866"/>
      <c r="W2244" s="909">
        <v>37200</v>
      </c>
      <c r="X2244" s="909">
        <v>37200</v>
      </c>
      <c r="Y2244" s="909">
        <v>37200</v>
      </c>
      <c r="Z2244" s="909"/>
      <c r="AA2244" s="909"/>
      <c r="AB2244" s="909"/>
      <c r="AC2244" s="909"/>
      <c r="AD2244" s="909"/>
      <c r="AE2244" s="909"/>
      <c r="AF2244" s="909"/>
      <c r="AG2244" s="909"/>
      <c r="BB2244" s="784"/>
      <c r="BC2244" s="785"/>
      <c r="BD2244" s="900"/>
      <c r="BE2244" s="797"/>
    </row>
    <row r="2245" spans="1:57" s="65" customFormat="1" ht="15" hidden="1" customHeight="1" outlineLevel="1" x14ac:dyDescent="0.25">
      <c r="A2245" s="785"/>
      <c r="B2245" s="177"/>
      <c r="C2245" s="455"/>
      <c r="D2245" s="2806"/>
      <c r="E2245" s="2856"/>
      <c r="F2245" s="2908" t="str">
        <f>$E$1526</f>
        <v>ASHP - SEER 17 - replace electric furnace / CAC - early replacement SF ER2</v>
      </c>
      <c r="G2245" s="2909"/>
      <c r="H2245" s="2909"/>
      <c r="I2245" s="2910"/>
      <c r="J2245" s="1657" t="str">
        <f>$C$1526</f>
        <v>354100_2019_12_</v>
      </c>
      <c r="K2245" s="1663">
        <v>37200</v>
      </c>
      <c r="L2245" s="2106">
        <f t="shared" si="208"/>
        <v>3.1</v>
      </c>
      <c r="M2245" s="1108"/>
      <c r="N2245" s="177"/>
      <c r="O2245" s="332"/>
      <c r="P2245" s="332"/>
      <c r="Q2245" s="332"/>
      <c r="R2245" s="332"/>
      <c r="S2245" s="177"/>
      <c r="T2245" s="177"/>
      <c r="U2245" s="177"/>
      <c r="V2245" s="2866"/>
      <c r="W2245" s="909">
        <v>37200</v>
      </c>
      <c r="X2245" s="909">
        <v>37200</v>
      </c>
      <c r="Y2245" s="909">
        <v>37200</v>
      </c>
      <c r="Z2245" s="909"/>
      <c r="AA2245" s="909"/>
      <c r="AB2245" s="909"/>
      <c r="AC2245" s="909"/>
      <c r="AD2245" s="909"/>
      <c r="AE2245" s="909"/>
      <c r="AF2245" s="909"/>
      <c r="AG2245" s="909"/>
      <c r="BB2245" s="784"/>
      <c r="BC2245" s="785"/>
      <c r="BD2245" s="900"/>
      <c r="BE2245" s="797"/>
    </row>
    <row r="2246" spans="1:57" s="65" customFormat="1" ht="15" hidden="1" customHeight="1" outlineLevel="1" x14ac:dyDescent="0.25">
      <c r="A2246" s="785"/>
      <c r="B2246" s="177"/>
      <c r="C2246" s="455"/>
      <c r="D2246" s="2806"/>
      <c r="E2246" s="2856"/>
      <c r="F2246" s="2908" t="str">
        <f>$E$1528</f>
        <v>ASHP - SEER 17 - replace electric furnace / CAC - early replacement MF ER1</v>
      </c>
      <c r="G2246" s="2909"/>
      <c r="H2246" s="2909"/>
      <c r="I2246" s="2910"/>
      <c r="J2246" s="1657" t="str">
        <f>$C$1528</f>
        <v>354150_2019_12_</v>
      </c>
      <c r="K2246" s="1663">
        <v>37200</v>
      </c>
      <c r="L2246" s="2106">
        <f t="shared" si="208"/>
        <v>3.1</v>
      </c>
      <c r="M2246" s="1108"/>
      <c r="N2246" s="177"/>
      <c r="O2246" s="332"/>
      <c r="P2246" s="332"/>
      <c r="Q2246" s="332"/>
      <c r="R2246" s="332"/>
      <c r="S2246" s="177"/>
      <c r="T2246" s="177"/>
      <c r="U2246" s="177"/>
      <c r="V2246" s="2866"/>
      <c r="W2246" s="909">
        <v>37200</v>
      </c>
      <c r="X2246" s="909">
        <v>37200</v>
      </c>
      <c r="Y2246" s="909">
        <v>37200</v>
      </c>
      <c r="Z2246" s="909"/>
      <c r="AA2246" s="909"/>
      <c r="AB2246" s="909"/>
      <c r="AC2246" s="909"/>
      <c r="AD2246" s="909"/>
      <c r="AE2246" s="909"/>
      <c r="AF2246" s="909"/>
      <c r="AG2246" s="909"/>
      <c r="BB2246" s="784"/>
      <c r="BC2246" s="785"/>
      <c r="BD2246" s="900"/>
      <c r="BE2246" s="797"/>
    </row>
    <row r="2247" spans="1:57" s="65" customFormat="1" ht="15" hidden="1" customHeight="1" outlineLevel="1" x14ac:dyDescent="0.25">
      <c r="A2247" s="785"/>
      <c r="B2247" s="177"/>
      <c r="C2247" s="455"/>
      <c r="D2247" s="2806"/>
      <c r="E2247" s="2856"/>
      <c r="F2247" s="2908" t="str">
        <f>$E$1530</f>
        <v>ASHP - SEER 17 - replace electric furnace / CAC - early replacement MF ER2</v>
      </c>
      <c r="G2247" s="2909"/>
      <c r="H2247" s="2909"/>
      <c r="I2247" s="2910"/>
      <c r="J2247" s="1657" t="str">
        <f>$C$1530</f>
        <v>354150_2019_12_</v>
      </c>
      <c r="K2247" s="1663">
        <v>37200</v>
      </c>
      <c r="L2247" s="2106">
        <f t="shared" si="208"/>
        <v>3.1</v>
      </c>
      <c r="M2247" s="1108"/>
      <c r="N2247" s="177"/>
      <c r="O2247" s="332"/>
      <c r="P2247" s="332"/>
      <c r="Q2247" s="332"/>
      <c r="R2247" s="332"/>
      <c r="S2247" s="177"/>
      <c r="T2247" s="177"/>
      <c r="U2247" s="177"/>
      <c r="V2247" s="2866"/>
      <c r="W2247" s="909">
        <v>37200</v>
      </c>
      <c r="X2247" s="909">
        <v>37200</v>
      </c>
      <c r="Y2247" s="909">
        <v>37200</v>
      </c>
      <c r="Z2247" s="909"/>
      <c r="AA2247" s="909"/>
      <c r="AB2247" s="909"/>
      <c r="AC2247" s="909"/>
      <c r="AD2247" s="909"/>
      <c r="AE2247" s="909"/>
      <c r="AF2247" s="909"/>
      <c r="AG2247" s="909"/>
      <c r="BB2247" s="784"/>
      <c r="BC2247" s="785"/>
      <c r="BD2247" s="900"/>
      <c r="BE2247" s="797"/>
    </row>
    <row r="2248" spans="1:57" s="65" customFormat="1" ht="15" hidden="1" customHeight="1" outlineLevel="1" x14ac:dyDescent="0.25">
      <c r="A2248" s="785"/>
      <c r="B2248" s="177"/>
      <c r="C2248" s="455"/>
      <c r="D2248" s="2806"/>
      <c r="E2248" s="2856"/>
      <c r="F2248" s="2908" t="str">
        <f>$E$1532</f>
        <v>ASHP - SEER 17 - replace electric furnace / CAC - early replacement MF ER1_CompE</v>
      </c>
      <c r="G2248" s="2909"/>
      <c r="H2248" s="2909"/>
      <c r="I2248" s="2910"/>
      <c r="J2248" s="1657" t="str">
        <f>$C$1532</f>
        <v>354151_2019_12_</v>
      </c>
      <c r="K2248" s="1663">
        <v>37200</v>
      </c>
      <c r="L2248" s="2106">
        <f t="shared" si="208"/>
        <v>3.1</v>
      </c>
      <c r="M2248" s="1108"/>
      <c r="N2248" s="177"/>
      <c r="O2248" s="332"/>
      <c r="P2248" s="332"/>
      <c r="Q2248" s="332"/>
      <c r="R2248" s="332"/>
      <c r="S2248" s="177"/>
      <c r="T2248" s="177"/>
      <c r="U2248" s="177"/>
      <c r="V2248" s="2866"/>
      <c r="W2248" s="909"/>
      <c r="X2248" s="909"/>
      <c r="Y2248" s="908">
        <v>37200</v>
      </c>
      <c r="Z2248" s="909"/>
      <c r="AA2248" s="909"/>
      <c r="AB2248" s="909"/>
      <c r="AC2248" s="909"/>
      <c r="AD2248" s="909"/>
      <c r="AE2248" s="909"/>
      <c r="AF2248" s="909"/>
      <c r="AG2248" s="909"/>
      <c r="BB2248" s="784"/>
      <c r="BC2248" s="785"/>
      <c r="BD2248" s="900"/>
      <c r="BE2248" s="797"/>
    </row>
    <row r="2249" spans="1:57" s="65" customFormat="1" ht="15" hidden="1" customHeight="1" outlineLevel="1" x14ac:dyDescent="0.25">
      <c r="A2249" s="785"/>
      <c r="B2249" s="177"/>
      <c r="C2249" s="455"/>
      <c r="D2249" s="2806"/>
      <c r="E2249" s="2856"/>
      <c r="F2249" s="2908" t="str">
        <f>$E$1534</f>
        <v>ASHP - SEER 17 - replace electric furnace / CAC - early replacement MF ER2_CompE</v>
      </c>
      <c r="G2249" s="2909"/>
      <c r="H2249" s="2909"/>
      <c r="I2249" s="2910"/>
      <c r="J2249" s="1657" t="str">
        <f>$C$1534</f>
        <v>354151_2019_12_</v>
      </c>
      <c r="K2249" s="1663">
        <v>37200</v>
      </c>
      <c r="L2249" s="2106">
        <f t="shared" si="208"/>
        <v>3.1</v>
      </c>
      <c r="M2249" s="1108"/>
      <c r="N2249" s="177"/>
      <c r="O2249" s="332"/>
      <c r="P2249" s="332"/>
      <c r="Q2249" s="332"/>
      <c r="R2249" s="332"/>
      <c r="S2249" s="177"/>
      <c r="T2249" s="177"/>
      <c r="U2249" s="177"/>
      <c r="V2249" s="2866"/>
      <c r="W2249" s="909"/>
      <c r="X2249" s="909"/>
      <c r="Y2249" s="908">
        <v>37200</v>
      </c>
      <c r="Z2249" s="909"/>
      <c r="AA2249" s="909"/>
      <c r="AB2249" s="909"/>
      <c r="AC2249" s="909"/>
      <c r="AD2249" s="909"/>
      <c r="AE2249" s="909"/>
      <c r="AF2249" s="909"/>
      <c r="AG2249" s="909"/>
      <c r="BB2249" s="784"/>
      <c r="BC2249" s="785"/>
      <c r="BD2249" s="900"/>
      <c r="BE2249" s="797"/>
    </row>
    <row r="2250" spans="1:57" s="65" customFormat="1" ht="15" hidden="1" customHeight="1" outlineLevel="1" x14ac:dyDescent="0.25">
      <c r="A2250" s="785"/>
      <c r="B2250" s="177"/>
      <c r="C2250" s="455"/>
      <c r="D2250" s="2806"/>
      <c r="E2250" s="2856"/>
      <c r="F2250" s="2908" t="str">
        <f>$E$1536</f>
        <v>ASHP SEER 17 replace ASHP - early replacement MF ER1</v>
      </c>
      <c r="G2250" s="2909"/>
      <c r="H2250" s="2909"/>
      <c r="I2250" s="2910"/>
      <c r="J2250" s="1657" t="str">
        <f>$C$1536</f>
        <v>354200_2019_12_</v>
      </c>
      <c r="K2250" s="1663">
        <v>39600</v>
      </c>
      <c r="L2250" s="2106">
        <f t="shared" si="208"/>
        <v>3.3</v>
      </c>
      <c r="M2250" s="1108"/>
      <c r="N2250" s="177"/>
      <c r="O2250" s="332"/>
      <c r="P2250" s="332"/>
      <c r="Q2250" s="332"/>
      <c r="R2250" s="332"/>
      <c r="S2250" s="177"/>
      <c r="T2250" s="177"/>
      <c r="U2250" s="177"/>
      <c r="V2250" s="2866"/>
      <c r="W2250" s="909">
        <v>39600</v>
      </c>
      <c r="X2250" s="909">
        <v>39600</v>
      </c>
      <c r="Y2250" s="909">
        <v>39600</v>
      </c>
      <c r="Z2250" s="909"/>
      <c r="AA2250" s="909"/>
      <c r="AB2250" s="909"/>
      <c r="AC2250" s="909"/>
      <c r="AD2250" s="909"/>
      <c r="AE2250" s="909"/>
      <c r="AF2250" s="909"/>
      <c r="AG2250" s="909"/>
      <c r="BB2250" s="784"/>
      <c r="BC2250" s="785"/>
      <c r="BD2250" s="900"/>
      <c r="BE2250" s="797"/>
    </row>
    <row r="2251" spans="1:57" s="65" customFormat="1" ht="15" hidden="1" customHeight="1" outlineLevel="1" x14ac:dyDescent="0.25">
      <c r="A2251" s="785"/>
      <c r="B2251" s="177"/>
      <c r="C2251" s="455"/>
      <c r="D2251" s="2806"/>
      <c r="E2251" s="2856"/>
      <c r="F2251" s="2908" t="str">
        <f>$E$1538</f>
        <v>ASHP SEER 17 replace ASHP - early replacement MF ER2</v>
      </c>
      <c r="G2251" s="2909"/>
      <c r="H2251" s="2909"/>
      <c r="I2251" s="2910"/>
      <c r="J2251" s="1657" t="str">
        <f>$C$1538</f>
        <v>354200_2019_12_</v>
      </c>
      <c r="K2251" s="1663">
        <v>39600</v>
      </c>
      <c r="L2251" s="2106">
        <f t="shared" si="208"/>
        <v>3.3</v>
      </c>
      <c r="M2251" s="1108"/>
      <c r="N2251" s="177"/>
      <c r="O2251" s="332"/>
      <c r="P2251" s="332"/>
      <c r="Q2251" s="332"/>
      <c r="R2251" s="332"/>
      <c r="S2251" s="177"/>
      <c r="T2251" s="177"/>
      <c r="U2251" s="177"/>
      <c r="V2251" s="2866"/>
      <c r="W2251" s="909">
        <v>39600</v>
      </c>
      <c r="X2251" s="909">
        <v>39600</v>
      </c>
      <c r="Y2251" s="909">
        <v>39600</v>
      </c>
      <c r="Z2251" s="909"/>
      <c r="AA2251" s="909"/>
      <c r="AB2251" s="909"/>
      <c r="AC2251" s="909"/>
      <c r="AD2251" s="909"/>
      <c r="AE2251" s="909"/>
      <c r="AF2251" s="909"/>
      <c r="AG2251" s="909"/>
      <c r="BB2251" s="784"/>
      <c r="BC2251" s="785"/>
      <c r="BD2251" s="900"/>
      <c r="BE2251" s="797"/>
    </row>
    <row r="2252" spans="1:57" s="65" customFormat="1" ht="15" hidden="1" customHeight="1" outlineLevel="1" x14ac:dyDescent="0.25">
      <c r="A2252" s="785"/>
      <c r="B2252" s="177"/>
      <c r="C2252" s="455"/>
      <c r="D2252" s="2806"/>
      <c r="E2252" s="2856"/>
      <c r="F2252" s="2908" t="str">
        <f>$E$1540</f>
        <v>ASHP SEER 17 replace ASHP - early replacement MF ER1_CompE</v>
      </c>
      <c r="G2252" s="2909"/>
      <c r="H2252" s="2909"/>
      <c r="I2252" s="2910"/>
      <c r="J2252" s="1657" t="str">
        <f>$C$1540</f>
        <v>354201_2019_12_</v>
      </c>
      <c r="K2252" s="1663">
        <v>39600</v>
      </c>
      <c r="L2252" s="2106">
        <f t="shared" si="208"/>
        <v>3.3</v>
      </c>
      <c r="M2252" s="1108"/>
      <c r="N2252" s="177"/>
      <c r="O2252" s="332"/>
      <c r="P2252" s="332"/>
      <c r="Q2252" s="332"/>
      <c r="R2252" s="332"/>
      <c r="S2252" s="177"/>
      <c r="T2252" s="177"/>
      <c r="U2252" s="177"/>
      <c r="V2252" s="2866"/>
      <c r="W2252" s="909"/>
      <c r="X2252" s="909"/>
      <c r="Y2252" s="908">
        <v>39600</v>
      </c>
      <c r="Z2252" s="909"/>
      <c r="AA2252" s="909"/>
      <c r="AB2252" s="909"/>
      <c r="AC2252" s="909"/>
      <c r="AD2252" s="909"/>
      <c r="AE2252" s="909"/>
      <c r="AF2252" s="909"/>
      <c r="AG2252" s="909"/>
      <c r="BB2252" s="784"/>
      <c r="BC2252" s="785"/>
      <c r="BD2252" s="900"/>
      <c r="BE2252" s="797"/>
    </row>
    <row r="2253" spans="1:57" s="65" customFormat="1" ht="15" hidden="1" customHeight="1" outlineLevel="1" x14ac:dyDescent="0.25">
      <c r="A2253" s="785"/>
      <c r="B2253" s="177"/>
      <c r="C2253" s="455"/>
      <c r="D2253" s="2806"/>
      <c r="E2253" s="2856"/>
      <c r="F2253" s="2908" t="str">
        <f>$E$1542</f>
        <v>ASHP SEER 17 replace ASHP - early replacement MF ER2_CompE</v>
      </c>
      <c r="G2253" s="2909"/>
      <c r="H2253" s="2909"/>
      <c r="I2253" s="2910"/>
      <c r="J2253" s="1657" t="str">
        <f>$C$1542</f>
        <v>354201_2019_12_</v>
      </c>
      <c r="K2253" s="1663">
        <v>39600</v>
      </c>
      <c r="L2253" s="2106">
        <f t="shared" si="208"/>
        <v>3.3</v>
      </c>
      <c r="M2253" s="1108"/>
      <c r="N2253" s="177"/>
      <c r="O2253" s="332"/>
      <c r="P2253" s="332"/>
      <c r="Q2253" s="332"/>
      <c r="R2253" s="332"/>
      <c r="S2253" s="177"/>
      <c r="T2253" s="177"/>
      <c r="U2253" s="177"/>
      <c r="V2253" s="2866"/>
      <c r="W2253" s="909"/>
      <c r="X2253" s="909"/>
      <c r="Y2253" s="908">
        <v>39600</v>
      </c>
      <c r="Z2253" s="909"/>
      <c r="AA2253" s="909"/>
      <c r="AB2253" s="909"/>
      <c r="AC2253" s="909"/>
      <c r="AD2253" s="909"/>
      <c r="AE2253" s="909"/>
      <c r="AF2253" s="909"/>
      <c r="AG2253" s="909"/>
      <c r="BB2253" s="784"/>
      <c r="BC2253" s="785"/>
      <c r="BD2253" s="900"/>
      <c r="BE2253" s="797"/>
    </row>
    <row r="2254" spans="1:57" s="65" customFormat="1" ht="15" hidden="1" customHeight="1" outlineLevel="1" x14ac:dyDescent="0.25">
      <c r="A2254" s="785"/>
      <c r="B2254" s="177"/>
      <c r="C2254" s="455"/>
      <c r="D2254" s="2806"/>
      <c r="E2254" s="2856"/>
      <c r="F2254" s="2908" t="str">
        <f>$E$1544</f>
        <v>ASHP - SEER 18 - replace electric furnace / CAC - early replacement SF ER1</v>
      </c>
      <c r="G2254" s="2909"/>
      <c r="H2254" s="2909"/>
      <c r="I2254" s="2910"/>
      <c r="J2254" s="1657" t="str">
        <f>$C$1544</f>
        <v>354250_2019_12_</v>
      </c>
      <c r="K2254" s="1663">
        <v>37200</v>
      </c>
      <c r="L2254" s="2106">
        <f t="shared" si="208"/>
        <v>3.1</v>
      </c>
      <c r="M2254" s="1108"/>
      <c r="N2254" s="177"/>
      <c r="O2254" s="332"/>
      <c r="P2254" s="332"/>
      <c r="Q2254" s="332"/>
      <c r="R2254" s="332"/>
      <c r="S2254" s="177"/>
      <c r="T2254" s="177"/>
      <c r="U2254" s="177"/>
      <c r="V2254" s="2866"/>
      <c r="W2254" s="909">
        <v>37200</v>
      </c>
      <c r="X2254" s="909">
        <v>37200</v>
      </c>
      <c r="Y2254" s="909">
        <v>37200</v>
      </c>
      <c r="Z2254" s="909"/>
      <c r="AA2254" s="909"/>
      <c r="AB2254" s="909"/>
      <c r="AC2254" s="909"/>
      <c r="AD2254" s="909"/>
      <c r="AE2254" s="909"/>
      <c r="AF2254" s="909"/>
      <c r="AG2254" s="909"/>
      <c r="BB2254" s="784"/>
      <c r="BC2254" s="785"/>
      <c r="BD2254" s="900"/>
      <c r="BE2254" s="797"/>
    </row>
    <row r="2255" spans="1:57" s="65" customFormat="1" ht="15" hidden="1" customHeight="1" outlineLevel="1" x14ac:dyDescent="0.25">
      <c r="A2255" s="785"/>
      <c r="B2255" s="177"/>
      <c r="C2255" s="455"/>
      <c r="D2255" s="2806"/>
      <c r="E2255" s="2856"/>
      <c r="F2255" s="2908" t="str">
        <f>$E$1546</f>
        <v>ASHP - SEER 18 - replace electric furnace / CAC - early replacement SF ER2</v>
      </c>
      <c r="G2255" s="2909"/>
      <c r="H2255" s="2909"/>
      <c r="I2255" s="2910"/>
      <c r="J2255" s="1657" t="str">
        <f>$C$1546</f>
        <v>354250_2019_12_</v>
      </c>
      <c r="K2255" s="1663">
        <v>37200</v>
      </c>
      <c r="L2255" s="2106">
        <f t="shared" si="208"/>
        <v>3.1</v>
      </c>
      <c r="M2255" s="1108"/>
      <c r="N2255" s="177"/>
      <c r="O2255" s="332"/>
      <c r="P2255" s="332"/>
      <c r="Q2255" s="332"/>
      <c r="R2255" s="332"/>
      <c r="S2255" s="177"/>
      <c r="T2255" s="177"/>
      <c r="U2255" s="177"/>
      <c r="V2255" s="2866"/>
      <c r="W2255" s="909">
        <v>37200</v>
      </c>
      <c r="X2255" s="909">
        <v>37200</v>
      </c>
      <c r="Y2255" s="909">
        <v>37200</v>
      </c>
      <c r="Z2255" s="909"/>
      <c r="AA2255" s="909"/>
      <c r="AB2255" s="909"/>
      <c r="AC2255" s="909"/>
      <c r="AD2255" s="909"/>
      <c r="AE2255" s="909"/>
      <c r="AF2255" s="909"/>
      <c r="AG2255" s="909"/>
      <c r="BB2255" s="784"/>
      <c r="BC2255" s="785"/>
      <c r="BD2255" s="900"/>
      <c r="BE2255" s="797"/>
    </row>
    <row r="2256" spans="1:57" s="65" customFormat="1" ht="15" hidden="1" customHeight="1" outlineLevel="1" x14ac:dyDescent="0.25">
      <c r="A2256" s="785"/>
      <c r="B2256" s="177"/>
      <c r="C2256" s="455"/>
      <c r="D2256" s="2806"/>
      <c r="E2256" s="2856"/>
      <c r="F2256" s="2908" t="str">
        <f>$E$1548</f>
        <v>ASHP - SEER 18 - replace electric furnace / CAC - early replacement MF ER1</v>
      </c>
      <c r="G2256" s="2909"/>
      <c r="H2256" s="2909"/>
      <c r="I2256" s="2910"/>
      <c r="J2256" s="1657" t="str">
        <f>$C$1548</f>
        <v>354300_2019_12_</v>
      </c>
      <c r="K2256" s="1663">
        <v>37200</v>
      </c>
      <c r="L2256" s="2106">
        <f t="shared" si="208"/>
        <v>3.1</v>
      </c>
      <c r="M2256" s="1108"/>
      <c r="N2256" s="177"/>
      <c r="O2256" s="332"/>
      <c r="P2256" s="332"/>
      <c r="Q2256" s="332"/>
      <c r="R2256" s="332"/>
      <c r="S2256" s="177"/>
      <c r="T2256" s="177"/>
      <c r="U2256" s="177"/>
      <c r="V2256" s="2866"/>
      <c r="W2256" s="909">
        <v>37200</v>
      </c>
      <c r="X2256" s="909">
        <v>37200</v>
      </c>
      <c r="Y2256" s="909">
        <v>37200</v>
      </c>
      <c r="Z2256" s="909"/>
      <c r="AA2256" s="909"/>
      <c r="AB2256" s="909"/>
      <c r="AC2256" s="909"/>
      <c r="AD2256" s="909"/>
      <c r="AE2256" s="909"/>
      <c r="AF2256" s="909"/>
      <c r="AG2256" s="909"/>
      <c r="BB2256" s="784"/>
      <c r="BC2256" s="785"/>
      <c r="BD2256" s="900"/>
      <c r="BE2256" s="797"/>
    </row>
    <row r="2257" spans="1:57" s="65" customFormat="1" ht="15" hidden="1" customHeight="1" outlineLevel="1" x14ac:dyDescent="0.25">
      <c r="A2257" s="785"/>
      <c r="B2257" s="177"/>
      <c r="C2257" s="455"/>
      <c r="D2257" s="2806"/>
      <c r="E2257" s="2856"/>
      <c r="F2257" s="2908" t="str">
        <f>$E$1550</f>
        <v>ASHP - SEER 18 - replace electric furnace / CAC - early replacement MF ER2</v>
      </c>
      <c r="G2257" s="2909"/>
      <c r="H2257" s="2909"/>
      <c r="I2257" s="2910"/>
      <c r="J2257" s="1657" t="str">
        <f>$C$1550</f>
        <v>354300_2019_12_</v>
      </c>
      <c r="K2257" s="1663">
        <v>37200</v>
      </c>
      <c r="L2257" s="2106">
        <f t="shared" si="208"/>
        <v>3.1</v>
      </c>
      <c r="M2257" s="1108"/>
      <c r="N2257" s="177"/>
      <c r="O2257" s="332"/>
      <c r="P2257" s="332"/>
      <c r="Q2257" s="332"/>
      <c r="R2257" s="332"/>
      <c r="S2257" s="177"/>
      <c r="T2257" s="177"/>
      <c r="U2257" s="177"/>
      <c r="V2257" s="2866"/>
      <c r="W2257" s="909">
        <v>37200</v>
      </c>
      <c r="X2257" s="909">
        <v>37200</v>
      </c>
      <c r="Y2257" s="909">
        <v>37200</v>
      </c>
      <c r="Z2257" s="909"/>
      <c r="AA2257" s="909"/>
      <c r="AB2257" s="909"/>
      <c r="AC2257" s="909"/>
      <c r="AD2257" s="909"/>
      <c r="AE2257" s="909"/>
      <c r="AF2257" s="909"/>
      <c r="AG2257" s="909"/>
      <c r="BB2257" s="784"/>
      <c r="BC2257" s="785"/>
      <c r="BD2257" s="900"/>
      <c r="BE2257" s="797"/>
    </row>
    <row r="2258" spans="1:57" s="65" customFormat="1" ht="15" hidden="1" customHeight="1" outlineLevel="1" x14ac:dyDescent="0.25">
      <c r="A2258" s="785"/>
      <c r="B2258" s="177"/>
      <c r="C2258" s="455"/>
      <c r="D2258" s="2806"/>
      <c r="E2258" s="2856"/>
      <c r="F2258" s="2908" t="str">
        <f>$E$1552</f>
        <v>ASHP - SEER 18 - replace electric furnace / CAC - early replacement MF ER1_CompE</v>
      </c>
      <c r="G2258" s="2909"/>
      <c r="H2258" s="2909"/>
      <c r="I2258" s="2910"/>
      <c r="J2258" s="1657" t="str">
        <f>$C$1552</f>
        <v>354301_2019_12_</v>
      </c>
      <c r="K2258" s="1663">
        <v>37200</v>
      </c>
      <c r="L2258" s="2106">
        <f t="shared" si="208"/>
        <v>3.1</v>
      </c>
      <c r="M2258" s="1108"/>
      <c r="N2258" s="177"/>
      <c r="O2258" s="332"/>
      <c r="P2258" s="332"/>
      <c r="Q2258" s="332"/>
      <c r="R2258" s="332"/>
      <c r="S2258" s="177"/>
      <c r="T2258" s="177"/>
      <c r="U2258" s="177"/>
      <c r="V2258" s="2866"/>
      <c r="W2258" s="909"/>
      <c r="X2258" s="909"/>
      <c r="Y2258" s="908">
        <v>37200</v>
      </c>
      <c r="Z2258" s="909"/>
      <c r="AA2258" s="909"/>
      <c r="AB2258" s="909"/>
      <c r="AC2258" s="909"/>
      <c r="AD2258" s="909"/>
      <c r="AE2258" s="909"/>
      <c r="AF2258" s="909"/>
      <c r="AG2258" s="909"/>
      <c r="BB2258" s="784"/>
      <c r="BC2258" s="785"/>
      <c r="BD2258" s="900"/>
      <c r="BE2258" s="797"/>
    </row>
    <row r="2259" spans="1:57" s="65" customFormat="1" ht="15" hidden="1" customHeight="1" outlineLevel="1" x14ac:dyDescent="0.25">
      <c r="A2259" s="785"/>
      <c r="B2259" s="177"/>
      <c r="C2259" s="455"/>
      <c r="D2259" s="2806"/>
      <c r="E2259" s="2856"/>
      <c r="F2259" s="2908" t="str">
        <f>$E$1554</f>
        <v>ASHP - SEER 18 - replace electric furnace / CAC - early replacement MF ER2_CompE</v>
      </c>
      <c r="G2259" s="2909"/>
      <c r="H2259" s="2909"/>
      <c r="I2259" s="2910"/>
      <c r="J2259" s="1657" t="str">
        <f>$C$1554</f>
        <v>354301_2019_12_</v>
      </c>
      <c r="K2259" s="1663">
        <v>37200</v>
      </c>
      <c r="L2259" s="2106">
        <f t="shared" si="208"/>
        <v>3.1</v>
      </c>
      <c r="M2259" s="1108"/>
      <c r="N2259" s="177"/>
      <c r="O2259" s="332"/>
      <c r="P2259" s="332"/>
      <c r="Q2259" s="332"/>
      <c r="R2259" s="332"/>
      <c r="S2259" s="177"/>
      <c r="T2259" s="177"/>
      <c r="U2259" s="177"/>
      <c r="V2259" s="2866"/>
      <c r="W2259" s="909"/>
      <c r="X2259" s="909"/>
      <c r="Y2259" s="908">
        <v>37200</v>
      </c>
      <c r="Z2259" s="909"/>
      <c r="AA2259" s="909"/>
      <c r="AB2259" s="909"/>
      <c r="AC2259" s="909"/>
      <c r="AD2259" s="909"/>
      <c r="AE2259" s="909"/>
      <c r="AF2259" s="909"/>
      <c r="AG2259" s="909"/>
      <c r="BB2259" s="784"/>
      <c r="BC2259" s="785"/>
      <c r="BD2259" s="900"/>
      <c r="BE2259" s="797"/>
    </row>
    <row r="2260" spans="1:57" s="65" customFormat="1" ht="15" hidden="1" customHeight="1" outlineLevel="1" x14ac:dyDescent="0.25">
      <c r="A2260" s="785"/>
      <c r="B2260" s="177"/>
      <c r="C2260" s="455"/>
      <c r="D2260" s="2806"/>
      <c r="E2260" s="2856"/>
      <c r="F2260" s="2908" t="str">
        <f>$E$1556</f>
        <v>ASHP SEER 18 replace ASHP - early replacement MF ER1</v>
      </c>
      <c r="G2260" s="2909"/>
      <c r="H2260" s="2909"/>
      <c r="I2260" s="2910"/>
      <c r="J2260" s="1657" t="str">
        <f>$C$1556</f>
        <v>354350_2019_12_</v>
      </c>
      <c r="K2260" s="1663">
        <v>39600</v>
      </c>
      <c r="L2260" s="2106">
        <f t="shared" si="208"/>
        <v>3.3</v>
      </c>
      <c r="M2260" s="1108"/>
      <c r="N2260" s="177"/>
      <c r="O2260" s="332"/>
      <c r="P2260" s="332"/>
      <c r="Q2260" s="332"/>
      <c r="R2260" s="332"/>
      <c r="S2260" s="177"/>
      <c r="T2260" s="177"/>
      <c r="U2260" s="177"/>
      <c r="V2260" s="2866"/>
      <c r="W2260" s="909">
        <v>39600</v>
      </c>
      <c r="X2260" s="909">
        <v>39600</v>
      </c>
      <c r="Y2260" s="909">
        <v>39600</v>
      </c>
      <c r="Z2260" s="909"/>
      <c r="AA2260" s="909"/>
      <c r="AB2260" s="909"/>
      <c r="AC2260" s="909"/>
      <c r="AD2260" s="909"/>
      <c r="AE2260" s="909"/>
      <c r="AF2260" s="909"/>
      <c r="AG2260" s="909"/>
      <c r="BB2260" s="784"/>
      <c r="BC2260" s="785"/>
      <c r="BD2260" s="900"/>
      <c r="BE2260" s="797"/>
    </row>
    <row r="2261" spans="1:57" s="65" customFormat="1" ht="15" hidden="1" customHeight="1" outlineLevel="1" x14ac:dyDescent="0.25">
      <c r="A2261" s="785"/>
      <c r="B2261" s="177"/>
      <c r="C2261" s="455"/>
      <c r="D2261" s="2806"/>
      <c r="E2261" s="2856"/>
      <c r="F2261" s="2908" t="str">
        <f>$E$1558</f>
        <v>ASHP SEER 18 replace ASHP - early replacement MF ER2</v>
      </c>
      <c r="G2261" s="2909"/>
      <c r="H2261" s="2909"/>
      <c r="I2261" s="2910"/>
      <c r="J2261" s="1657" t="str">
        <f>$C$1558</f>
        <v>354350_2019_12_</v>
      </c>
      <c r="K2261" s="1663">
        <v>39600</v>
      </c>
      <c r="L2261" s="2106">
        <f t="shared" si="208"/>
        <v>3.3</v>
      </c>
      <c r="M2261" s="1108"/>
      <c r="N2261" s="177"/>
      <c r="O2261" s="332"/>
      <c r="P2261" s="332"/>
      <c r="Q2261" s="332"/>
      <c r="R2261" s="332"/>
      <c r="S2261" s="177"/>
      <c r="T2261" s="177"/>
      <c r="U2261" s="177"/>
      <c r="V2261" s="2866"/>
      <c r="W2261" s="909">
        <v>39600</v>
      </c>
      <c r="X2261" s="909">
        <v>39600</v>
      </c>
      <c r="Y2261" s="909">
        <v>39600</v>
      </c>
      <c r="Z2261" s="909"/>
      <c r="AA2261" s="909"/>
      <c r="AB2261" s="909"/>
      <c r="AC2261" s="909"/>
      <c r="AD2261" s="909"/>
      <c r="AE2261" s="909"/>
      <c r="AF2261" s="909"/>
      <c r="AG2261" s="909"/>
      <c r="BB2261" s="784"/>
      <c r="BC2261" s="785"/>
      <c r="BD2261" s="900"/>
      <c r="BE2261" s="797"/>
    </row>
    <row r="2262" spans="1:57" s="65" customFormat="1" ht="15" hidden="1" customHeight="1" outlineLevel="1" x14ac:dyDescent="0.25">
      <c r="A2262" s="785"/>
      <c r="B2262" s="177"/>
      <c r="C2262" s="455"/>
      <c r="D2262" s="2806"/>
      <c r="E2262" s="2856"/>
      <c r="F2262" s="2908" t="str">
        <f>$E$1560</f>
        <v>ASHP SEER 18 replace ASHP - early replacement MF ER1_CompE</v>
      </c>
      <c r="G2262" s="2909"/>
      <c r="H2262" s="2909"/>
      <c r="I2262" s="2910"/>
      <c r="J2262" s="1657" t="str">
        <f>$C$1560</f>
        <v>354351_2019_12_</v>
      </c>
      <c r="K2262" s="1663">
        <v>39600</v>
      </c>
      <c r="L2262" s="2106">
        <f t="shared" si="208"/>
        <v>3.3</v>
      </c>
      <c r="M2262" s="1108"/>
      <c r="N2262" s="177"/>
      <c r="O2262" s="332"/>
      <c r="P2262" s="332"/>
      <c r="Q2262" s="332"/>
      <c r="R2262" s="332"/>
      <c r="S2262" s="177"/>
      <c r="T2262" s="177"/>
      <c r="U2262" s="177"/>
      <c r="V2262" s="2866"/>
      <c r="W2262" s="909"/>
      <c r="X2262" s="909"/>
      <c r="Y2262" s="908">
        <v>39600</v>
      </c>
      <c r="Z2262" s="909"/>
      <c r="AA2262" s="909"/>
      <c r="AB2262" s="909"/>
      <c r="AC2262" s="909"/>
      <c r="AD2262" s="909"/>
      <c r="AE2262" s="909"/>
      <c r="AF2262" s="909"/>
      <c r="AG2262" s="909"/>
      <c r="BB2262" s="784"/>
      <c r="BC2262" s="785"/>
      <c r="BD2262" s="900"/>
      <c r="BE2262" s="797"/>
    </row>
    <row r="2263" spans="1:57" s="65" customFormat="1" ht="15" hidden="1" customHeight="1" outlineLevel="1" x14ac:dyDescent="0.25">
      <c r="A2263" s="785"/>
      <c r="B2263" s="177"/>
      <c r="C2263" s="455"/>
      <c r="D2263" s="2806"/>
      <c r="E2263" s="2856"/>
      <c r="F2263" s="2908" t="str">
        <f>$E$1562</f>
        <v>ASHP SEER 18 replace ASHP - early replacement MF ER2_CompE</v>
      </c>
      <c r="G2263" s="2909"/>
      <c r="H2263" s="2909"/>
      <c r="I2263" s="2910"/>
      <c r="J2263" s="1657" t="str">
        <f>$C$1562</f>
        <v>354351_2019_12_</v>
      </c>
      <c r="K2263" s="1663">
        <v>39600</v>
      </c>
      <c r="L2263" s="2106">
        <f t="shared" si="208"/>
        <v>3.3</v>
      </c>
      <c r="M2263" s="1108"/>
      <c r="N2263" s="177"/>
      <c r="O2263" s="332"/>
      <c r="P2263" s="332"/>
      <c r="Q2263" s="332"/>
      <c r="R2263" s="332"/>
      <c r="S2263" s="177"/>
      <c r="T2263" s="177"/>
      <c r="U2263" s="177"/>
      <c r="V2263" s="2866"/>
      <c r="W2263" s="909"/>
      <c r="X2263" s="909"/>
      <c r="Y2263" s="908">
        <v>39600</v>
      </c>
      <c r="Z2263" s="909"/>
      <c r="AA2263" s="909"/>
      <c r="AB2263" s="909"/>
      <c r="AC2263" s="909"/>
      <c r="AD2263" s="909"/>
      <c r="AE2263" s="909"/>
      <c r="AF2263" s="909"/>
      <c r="AG2263" s="909"/>
      <c r="BB2263" s="784"/>
      <c r="BC2263" s="785"/>
      <c r="BD2263" s="900"/>
      <c r="BE2263" s="797"/>
    </row>
    <row r="2264" spans="1:57" s="65" customFormat="1" ht="15" hidden="1" customHeight="1" outlineLevel="1" x14ac:dyDescent="0.25">
      <c r="A2264" s="785"/>
      <c r="B2264" s="177"/>
      <c r="C2264" s="455"/>
      <c r="D2264" s="2806"/>
      <c r="E2264" s="2856"/>
      <c r="F2264" s="2908" t="str">
        <f>$E$1564</f>
        <v>ASHP - SEER 19 - replace electric furnace / CAC - early replacement SF ER1</v>
      </c>
      <c r="G2264" s="2909"/>
      <c r="H2264" s="2909"/>
      <c r="I2264" s="2910"/>
      <c r="J2264" s="1657" t="str">
        <f>$C$1564</f>
        <v>354400_2019_12_</v>
      </c>
      <c r="K2264" s="1663">
        <v>37200</v>
      </c>
      <c r="L2264" s="2106">
        <f t="shared" si="208"/>
        <v>3.1</v>
      </c>
      <c r="M2264" s="1108"/>
      <c r="N2264" s="177"/>
      <c r="O2264" s="332"/>
      <c r="P2264" s="332"/>
      <c r="Q2264" s="332"/>
      <c r="R2264" s="332"/>
      <c r="S2264" s="177"/>
      <c r="T2264" s="177"/>
      <c r="U2264" s="177"/>
      <c r="V2264" s="2866"/>
      <c r="W2264" s="909">
        <v>37200</v>
      </c>
      <c r="X2264" s="909">
        <v>37200</v>
      </c>
      <c r="Y2264" s="909">
        <v>37200</v>
      </c>
      <c r="Z2264" s="909"/>
      <c r="AA2264" s="909"/>
      <c r="AB2264" s="909"/>
      <c r="AC2264" s="909"/>
      <c r="AD2264" s="909"/>
      <c r="AE2264" s="909"/>
      <c r="AF2264" s="909"/>
      <c r="AG2264" s="909"/>
      <c r="BB2264" s="784"/>
      <c r="BC2264" s="785"/>
      <c r="BD2264" s="900"/>
      <c r="BE2264" s="797"/>
    </row>
    <row r="2265" spans="1:57" s="65" customFormat="1" ht="15" hidden="1" customHeight="1" outlineLevel="1" x14ac:dyDescent="0.25">
      <c r="A2265" s="785"/>
      <c r="B2265" s="177"/>
      <c r="C2265" s="455"/>
      <c r="D2265" s="2806"/>
      <c r="E2265" s="2856"/>
      <c r="F2265" s="2908" t="str">
        <f>$E$1566</f>
        <v>ASHP - SEER 19 - replace electric furnace / CAC - early replacement SF ER2</v>
      </c>
      <c r="G2265" s="2909"/>
      <c r="H2265" s="2909"/>
      <c r="I2265" s="2910"/>
      <c r="J2265" s="1657" t="str">
        <f>$C$1566</f>
        <v>354400_2019_12_</v>
      </c>
      <c r="K2265" s="1663">
        <v>37200</v>
      </c>
      <c r="L2265" s="2106">
        <f t="shared" si="208"/>
        <v>3.1</v>
      </c>
      <c r="M2265" s="1108"/>
      <c r="N2265" s="177"/>
      <c r="O2265" s="332"/>
      <c r="P2265" s="332"/>
      <c r="Q2265" s="332"/>
      <c r="R2265" s="332"/>
      <c r="S2265" s="177"/>
      <c r="T2265" s="177"/>
      <c r="U2265" s="177"/>
      <c r="V2265" s="2866"/>
      <c r="W2265" s="909">
        <v>37200</v>
      </c>
      <c r="X2265" s="909">
        <v>37200</v>
      </c>
      <c r="Y2265" s="909">
        <v>37200</v>
      </c>
      <c r="Z2265" s="909"/>
      <c r="AA2265" s="909"/>
      <c r="AB2265" s="909"/>
      <c r="AC2265" s="909"/>
      <c r="AD2265" s="909"/>
      <c r="AE2265" s="909"/>
      <c r="AF2265" s="909"/>
      <c r="AG2265" s="909"/>
      <c r="BB2265" s="784"/>
      <c r="BC2265" s="785"/>
      <c r="BD2265" s="900"/>
      <c r="BE2265" s="797"/>
    </row>
    <row r="2266" spans="1:57" s="65" customFormat="1" ht="15" hidden="1" customHeight="1" outlineLevel="1" x14ac:dyDescent="0.25">
      <c r="A2266" s="785"/>
      <c r="B2266" s="177"/>
      <c r="C2266" s="455"/>
      <c r="D2266" s="2806"/>
      <c r="E2266" s="2856"/>
      <c r="F2266" s="2908" t="str">
        <f>$E$1568</f>
        <v>ASHP - SEER 19 - replace electric furnace / CAC - early replacement MF ER1</v>
      </c>
      <c r="G2266" s="2909"/>
      <c r="H2266" s="2909"/>
      <c r="I2266" s="2910"/>
      <c r="J2266" s="1657" t="str">
        <f>$C$1568</f>
        <v>354450_2019_12_</v>
      </c>
      <c r="K2266" s="1663">
        <v>37200</v>
      </c>
      <c r="L2266" s="2106">
        <f t="shared" si="208"/>
        <v>3.1</v>
      </c>
      <c r="M2266" s="1108"/>
      <c r="N2266" s="177"/>
      <c r="O2266" s="332"/>
      <c r="P2266" s="332"/>
      <c r="Q2266" s="332"/>
      <c r="R2266" s="332"/>
      <c r="S2266" s="177"/>
      <c r="T2266" s="177"/>
      <c r="U2266" s="177"/>
      <c r="V2266" s="2866"/>
      <c r="W2266" s="909">
        <v>37200</v>
      </c>
      <c r="X2266" s="909">
        <v>37200</v>
      </c>
      <c r="Y2266" s="909">
        <v>37200</v>
      </c>
      <c r="Z2266" s="909"/>
      <c r="AA2266" s="909"/>
      <c r="AB2266" s="909"/>
      <c r="AC2266" s="909"/>
      <c r="AD2266" s="909"/>
      <c r="AE2266" s="909"/>
      <c r="AF2266" s="909"/>
      <c r="AG2266" s="909"/>
      <c r="BB2266" s="784"/>
      <c r="BC2266" s="785"/>
      <c r="BD2266" s="900"/>
      <c r="BE2266" s="797"/>
    </row>
    <row r="2267" spans="1:57" s="65" customFormat="1" ht="15" hidden="1" customHeight="1" outlineLevel="1" x14ac:dyDescent="0.25">
      <c r="A2267" s="785"/>
      <c r="B2267" s="177"/>
      <c r="C2267" s="455"/>
      <c r="D2267" s="2806"/>
      <c r="E2267" s="2856"/>
      <c r="F2267" s="2908" t="str">
        <f>$E$1570</f>
        <v>ASHP - SEER 19 - replace electric furnace / CAC - early replacement MF ER2</v>
      </c>
      <c r="G2267" s="2909"/>
      <c r="H2267" s="2909"/>
      <c r="I2267" s="2910"/>
      <c r="J2267" s="1657" t="str">
        <f>$C$1570</f>
        <v>354450_2019_12_</v>
      </c>
      <c r="K2267" s="1663">
        <v>37200</v>
      </c>
      <c r="L2267" s="2106">
        <f t="shared" si="208"/>
        <v>3.1</v>
      </c>
      <c r="M2267" s="1108"/>
      <c r="N2267" s="177"/>
      <c r="O2267" s="332"/>
      <c r="P2267" s="332"/>
      <c r="Q2267" s="332"/>
      <c r="R2267" s="332"/>
      <c r="S2267" s="177"/>
      <c r="T2267" s="177"/>
      <c r="U2267" s="177"/>
      <c r="V2267" s="2866"/>
      <c r="W2267" s="909">
        <v>37200</v>
      </c>
      <c r="X2267" s="909">
        <v>37200</v>
      </c>
      <c r="Y2267" s="909">
        <v>37200</v>
      </c>
      <c r="Z2267" s="909"/>
      <c r="AA2267" s="909"/>
      <c r="AB2267" s="909"/>
      <c r="AC2267" s="909"/>
      <c r="AD2267" s="909"/>
      <c r="AE2267" s="909"/>
      <c r="AF2267" s="909"/>
      <c r="AG2267" s="909"/>
      <c r="BB2267" s="784"/>
      <c r="BC2267" s="785"/>
      <c r="BD2267" s="900"/>
      <c r="BE2267" s="797"/>
    </row>
    <row r="2268" spans="1:57" s="65" customFormat="1" ht="15" hidden="1" customHeight="1" outlineLevel="1" x14ac:dyDescent="0.25">
      <c r="A2268" s="785"/>
      <c r="B2268" s="177"/>
      <c r="C2268" s="455"/>
      <c r="D2268" s="2806"/>
      <c r="E2268" s="2856"/>
      <c r="F2268" s="2908" t="str">
        <f>$E$1572</f>
        <v>ASHP - SEER 19 - replace electric furnace / CAC - early replacement MF ER1_CompE</v>
      </c>
      <c r="G2268" s="2909"/>
      <c r="H2268" s="2909"/>
      <c r="I2268" s="2910"/>
      <c r="J2268" s="1657" t="str">
        <f>$C$1572</f>
        <v>354451_2019_12_</v>
      </c>
      <c r="K2268" s="1663">
        <v>37200</v>
      </c>
      <c r="L2268" s="2106">
        <f t="shared" si="208"/>
        <v>3.1</v>
      </c>
      <c r="M2268" s="1108"/>
      <c r="N2268" s="177"/>
      <c r="O2268" s="332"/>
      <c r="P2268" s="332"/>
      <c r="Q2268" s="332"/>
      <c r="R2268" s="332"/>
      <c r="S2268" s="177"/>
      <c r="T2268" s="177"/>
      <c r="U2268" s="177"/>
      <c r="V2268" s="2866"/>
      <c r="W2268" s="909"/>
      <c r="X2268" s="909"/>
      <c r="Y2268" s="908">
        <v>37200</v>
      </c>
      <c r="Z2268" s="909"/>
      <c r="AA2268" s="909"/>
      <c r="AB2268" s="909"/>
      <c r="AC2268" s="909"/>
      <c r="AD2268" s="909"/>
      <c r="AE2268" s="909"/>
      <c r="AF2268" s="909"/>
      <c r="AG2268" s="909"/>
      <c r="BB2268" s="784"/>
      <c r="BC2268" s="785"/>
      <c r="BD2268" s="900"/>
      <c r="BE2268" s="797"/>
    </row>
    <row r="2269" spans="1:57" s="65" customFormat="1" ht="15" hidden="1" customHeight="1" outlineLevel="1" x14ac:dyDescent="0.25">
      <c r="A2269" s="785"/>
      <c r="B2269" s="177"/>
      <c r="C2269" s="455"/>
      <c r="D2269" s="2806"/>
      <c r="E2269" s="2856"/>
      <c r="F2269" s="2908" t="str">
        <f>$E$1574</f>
        <v>ASHP - SEER 19 - replace electric furnace / CAC - early replacement MF ER2_CompE</v>
      </c>
      <c r="G2269" s="2909"/>
      <c r="H2269" s="2909"/>
      <c r="I2269" s="2910"/>
      <c r="J2269" s="1657" t="str">
        <f>$C$1574</f>
        <v>354451_2019_12_</v>
      </c>
      <c r="K2269" s="1663">
        <v>37200</v>
      </c>
      <c r="L2269" s="2106">
        <f t="shared" si="208"/>
        <v>3.1</v>
      </c>
      <c r="M2269" s="1108"/>
      <c r="N2269" s="177"/>
      <c r="O2269" s="332"/>
      <c r="P2269" s="332"/>
      <c r="Q2269" s="332"/>
      <c r="R2269" s="332"/>
      <c r="S2269" s="177"/>
      <c r="T2269" s="177"/>
      <c r="U2269" s="177"/>
      <c r="V2269" s="2866"/>
      <c r="W2269" s="909"/>
      <c r="X2269" s="909"/>
      <c r="Y2269" s="908">
        <v>37200</v>
      </c>
      <c r="Z2269" s="909"/>
      <c r="AA2269" s="909"/>
      <c r="AB2269" s="909"/>
      <c r="AC2269" s="909"/>
      <c r="AD2269" s="909"/>
      <c r="AE2269" s="909"/>
      <c r="AF2269" s="909"/>
      <c r="AG2269" s="909"/>
      <c r="BB2269" s="784"/>
      <c r="BC2269" s="785"/>
      <c r="BD2269" s="900"/>
      <c r="BE2269" s="797"/>
    </row>
    <row r="2270" spans="1:57" s="65" customFormat="1" ht="15" hidden="1" customHeight="1" outlineLevel="1" x14ac:dyDescent="0.25">
      <c r="A2270" s="785"/>
      <c r="B2270" s="177"/>
      <c r="C2270" s="455"/>
      <c r="D2270" s="2806"/>
      <c r="E2270" s="2856"/>
      <c r="F2270" s="2908" t="str">
        <f>$E$1576</f>
        <v>ASHP SEER 19 replace ASHP - early replacement MF ER1</v>
      </c>
      <c r="G2270" s="2909"/>
      <c r="H2270" s="2909"/>
      <c r="I2270" s="2910"/>
      <c r="J2270" s="1657" t="str">
        <f>$C$1576</f>
        <v>354500_2019_12_</v>
      </c>
      <c r="K2270" s="1663">
        <v>39600</v>
      </c>
      <c r="L2270" s="2106">
        <f t="shared" si="208"/>
        <v>3.3</v>
      </c>
      <c r="M2270" s="1108"/>
      <c r="N2270" s="177"/>
      <c r="O2270" s="332"/>
      <c r="P2270" s="332"/>
      <c r="Q2270" s="332"/>
      <c r="R2270" s="332"/>
      <c r="S2270" s="177"/>
      <c r="T2270" s="177"/>
      <c r="U2270" s="177"/>
      <c r="V2270" s="2866"/>
      <c r="W2270" s="909">
        <v>39600</v>
      </c>
      <c r="X2270" s="909">
        <v>39600</v>
      </c>
      <c r="Y2270" s="909">
        <v>39600</v>
      </c>
      <c r="Z2270" s="909"/>
      <c r="AA2270" s="909"/>
      <c r="AB2270" s="909"/>
      <c r="AC2270" s="909"/>
      <c r="AD2270" s="909"/>
      <c r="AE2270" s="909"/>
      <c r="AF2270" s="909"/>
      <c r="AG2270" s="909"/>
      <c r="BB2270" s="784"/>
      <c r="BC2270" s="785"/>
      <c r="BD2270" s="900"/>
      <c r="BE2270" s="797"/>
    </row>
    <row r="2271" spans="1:57" s="65" customFormat="1" ht="15" hidden="1" customHeight="1" outlineLevel="1" x14ac:dyDescent="0.25">
      <c r="A2271" s="785"/>
      <c r="B2271" s="177"/>
      <c r="C2271" s="455"/>
      <c r="D2271" s="2806"/>
      <c r="E2271" s="2856"/>
      <c r="F2271" s="2908" t="str">
        <f>$E$1578</f>
        <v>ASHP SEER 19 replace ASHP - early replacement MF ER2</v>
      </c>
      <c r="G2271" s="2909"/>
      <c r="H2271" s="2909"/>
      <c r="I2271" s="2910"/>
      <c r="J2271" s="1657" t="str">
        <f>$C$1578</f>
        <v>354500_2019_12_</v>
      </c>
      <c r="K2271" s="1663">
        <v>39600</v>
      </c>
      <c r="L2271" s="2106">
        <f t="shared" si="208"/>
        <v>3.3</v>
      </c>
      <c r="M2271" s="1108"/>
      <c r="N2271" s="177"/>
      <c r="O2271" s="332"/>
      <c r="P2271" s="332"/>
      <c r="Q2271" s="332"/>
      <c r="R2271" s="332"/>
      <c r="S2271" s="177"/>
      <c r="T2271" s="177"/>
      <c r="U2271" s="177"/>
      <c r="V2271" s="2866"/>
      <c r="W2271" s="909">
        <v>39600</v>
      </c>
      <c r="X2271" s="909">
        <v>39600</v>
      </c>
      <c r="Y2271" s="909">
        <v>39600</v>
      </c>
      <c r="Z2271" s="909"/>
      <c r="AA2271" s="909"/>
      <c r="AB2271" s="909"/>
      <c r="AC2271" s="909"/>
      <c r="AD2271" s="909"/>
      <c r="AE2271" s="909"/>
      <c r="AF2271" s="909"/>
      <c r="AG2271" s="909"/>
      <c r="BB2271" s="784"/>
      <c r="BC2271" s="785"/>
      <c r="BD2271" s="900"/>
      <c r="BE2271" s="797"/>
    </row>
    <row r="2272" spans="1:57" s="65" customFormat="1" ht="15" hidden="1" customHeight="1" outlineLevel="1" x14ac:dyDescent="0.25">
      <c r="A2272" s="785"/>
      <c r="B2272" s="177"/>
      <c r="C2272" s="455"/>
      <c r="D2272" s="2806"/>
      <c r="E2272" s="2856"/>
      <c r="F2272" s="2908" t="str">
        <f>$E$1580</f>
        <v>ASHP SEER 19 replace ASHP - early replacement MF ER1_CompE</v>
      </c>
      <c r="G2272" s="2909"/>
      <c r="H2272" s="2909"/>
      <c r="I2272" s="2910"/>
      <c r="J2272" s="1657" t="str">
        <f>$C$1580</f>
        <v>354501_2019_12_</v>
      </c>
      <c r="K2272" s="1663">
        <v>39600</v>
      </c>
      <c r="L2272" s="2106">
        <f t="shared" si="208"/>
        <v>3.3</v>
      </c>
      <c r="M2272" s="1108"/>
      <c r="N2272" s="177"/>
      <c r="O2272" s="332"/>
      <c r="P2272" s="332"/>
      <c r="Q2272" s="332"/>
      <c r="R2272" s="332"/>
      <c r="S2272" s="177"/>
      <c r="T2272" s="177"/>
      <c r="U2272" s="177"/>
      <c r="V2272" s="2866"/>
      <c r="W2272" s="909"/>
      <c r="X2272" s="909"/>
      <c r="Y2272" s="908">
        <v>39600</v>
      </c>
      <c r="Z2272" s="909"/>
      <c r="AA2272" s="909"/>
      <c r="AB2272" s="909"/>
      <c r="AC2272" s="909"/>
      <c r="AD2272" s="909"/>
      <c r="AE2272" s="909"/>
      <c r="AF2272" s="909"/>
      <c r="AG2272" s="909"/>
      <c r="BB2272" s="784"/>
      <c r="BC2272" s="785"/>
      <c r="BD2272" s="900"/>
      <c r="BE2272" s="797"/>
    </row>
    <row r="2273" spans="1:57" s="65" customFormat="1" ht="15" hidden="1" customHeight="1" outlineLevel="1" x14ac:dyDescent="0.25">
      <c r="A2273" s="785"/>
      <c r="B2273" s="177"/>
      <c r="C2273" s="455"/>
      <c r="D2273" s="2806"/>
      <c r="E2273" s="2856"/>
      <c r="F2273" s="2908" t="str">
        <f>$E$1582</f>
        <v>ASHP SEER 19 replace ASHP - early replacement MF ER2_CompE</v>
      </c>
      <c r="G2273" s="2909"/>
      <c r="H2273" s="2909"/>
      <c r="I2273" s="2910"/>
      <c r="J2273" s="1657" t="str">
        <f>$C$1582</f>
        <v>354501_2019_12_</v>
      </c>
      <c r="K2273" s="1663">
        <v>39600</v>
      </c>
      <c r="L2273" s="2106">
        <f t="shared" si="208"/>
        <v>3.3</v>
      </c>
      <c r="M2273" s="1108"/>
      <c r="N2273" s="177"/>
      <c r="O2273" s="332"/>
      <c r="P2273" s="332"/>
      <c r="Q2273" s="332"/>
      <c r="R2273" s="332"/>
      <c r="S2273" s="177"/>
      <c r="T2273" s="177"/>
      <c r="U2273" s="177"/>
      <c r="V2273" s="2866"/>
      <c r="W2273" s="909"/>
      <c r="X2273" s="909"/>
      <c r="Y2273" s="908">
        <v>39600</v>
      </c>
      <c r="Z2273" s="909"/>
      <c r="AA2273" s="909"/>
      <c r="AB2273" s="909"/>
      <c r="AC2273" s="909"/>
      <c r="AD2273" s="909"/>
      <c r="AE2273" s="909"/>
      <c r="AF2273" s="909"/>
      <c r="AG2273" s="909"/>
      <c r="BB2273" s="784"/>
      <c r="BC2273" s="785"/>
      <c r="BD2273" s="900"/>
      <c r="BE2273" s="797"/>
    </row>
    <row r="2274" spans="1:57" s="65" customFormat="1" ht="15" hidden="1" customHeight="1" outlineLevel="1" x14ac:dyDescent="0.25">
      <c r="A2274" s="785"/>
      <c r="B2274" s="177"/>
      <c r="C2274" s="455"/>
      <c r="D2274" s="2806"/>
      <c r="E2274" s="2856"/>
      <c r="F2274" s="2908" t="str">
        <f>$E$1584</f>
        <v>ASHP SEER 20 replace ASHP - early replacement SF ER1</v>
      </c>
      <c r="G2274" s="2909"/>
      <c r="H2274" s="2909"/>
      <c r="I2274" s="2910"/>
      <c r="J2274" s="1657" t="str">
        <f>$C$1584</f>
        <v>354550_2019_12_</v>
      </c>
      <c r="K2274" s="1663">
        <v>39600</v>
      </c>
      <c r="L2274" s="2106">
        <f t="shared" si="208"/>
        <v>3.3</v>
      </c>
      <c r="M2274" s="1108"/>
      <c r="N2274" s="177"/>
      <c r="O2274" s="332"/>
      <c r="P2274" s="332"/>
      <c r="Q2274" s="332"/>
      <c r="R2274" s="332"/>
      <c r="S2274" s="177"/>
      <c r="T2274" s="177"/>
      <c r="U2274" s="177"/>
      <c r="V2274" s="2866"/>
      <c r="W2274" s="909">
        <v>39600</v>
      </c>
      <c r="X2274" s="909">
        <v>39600</v>
      </c>
      <c r="Y2274" s="909">
        <v>39600</v>
      </c>
      <c r="Z2274" s="909"/>
      <c r="AA2274" s="909"/>
      <c r="AB2274" s="909"/>
      <c r="AC2274" s="909"/>
      <c r="AD2274" s="909"/>
      <c r="AE2274" s="909"/>
      <c r="AF2274" s="909"/>
      <c r="AG2274" s="909"/>
      <c r="BB2274" s="784"/>
      <c r="BC2274" s="785"/>
      <c r="BD2274" s="900"/>
      <c r="BE2274" s="797"/>
    </row>
    <row r="2275" spans="1:57" s="65" customFormat="1" ht="15" hidden="1" customHeight="1" outlineLevel="1" x14ac:dyDescent="0.25">
      <c r="A2275" s="785"/>
      <c r="B2275" s="177"/>
      <c r="C2275" s="455"/>
      <c r="D2275" s="2806"/>
      <c r="E2275" s="2856"/>
      <c r="F2275" s="2908" t="str">
        <f>$E$1586</f>
        <v>ASHP SEER 20 replace ASHP - early replacement SF ER2</v>
      </c>
      <c r="G2275" s="2909"/>
      <c r="H2275" s="2909"/>
      <c r="I2275" s="2910"/>
      <c r="J2275" s="1657" t="str">
        <f>$C$1586</f>
        <v>354550_2019_12_</v>
      </c>
      <c r="K2275" s="1663">
        <v>39600</v>
      </c>
      <c r="L2275" s="2106">
        <f t="shared" si="208"/>
        <v>3.3</v>
      </c>
      <c r="M2275" s="1108"/>
      <c r="N2275" s="177"/>
      <c r="O2275" s="332"/>
      <c r="P2275" s="332"/>
      <c r="Q2275" s="332"/>
      <c r="R2275" s="332"/>
      <c r="S2275" s="177"/>
      <c r="T2275" s="177"/>
      <c r="U2275" s="177"/>
      <c r="V2275" s="2866"/>
      <c r="W2275" s="909">
        <v>39600</v>
      </c>
      <c r="X2275" s="909">
        <v>39600</v>
      </c>
      <c r="Y2275" s="909">
        <v>39600</v>
      </c>
      <c r="Z2275" s="909"/>
      <c r="AA2275" s="909"/>
      <c r="AB2275" s="909"/>
      <c r="AC2275" s="909"/>
      <c r="AD2275" s="909"/>
      <c r="AE2275" s="909"/>
      <c r="AF2275" s="909"/>
      <c r="AG2275" s="909"/>
      <c r="BB2275" s="784"/>
      <c r="BC2275" s="785"/>
      <c r="BD2275" s="900"/>
      <c r="BE2275" s="797"/>
    </row>
    <row r="2276" spans="1:57" s="65" customFormat="1" ht="15" hidden="1" customHeight="1" outlineLevel="1" x14ac:dyDescent="0.25">
      <c r="A2276" s="785"/>
      <c r="B2276" s="177"/>
      <c r="C2276" s="455"/>
      <c r="D2276" s="2806"/>
      <c r="E2276" s="2856"/>
      <c r="F2276" s="2908" t="str">
        <f>$E$1588</f>
        <v>ASHP SEER 20 replace ASHP - replace on fail SF</v>
      </c>
      <c r="G2276" s="2909"/>
      <c r="H2276" s="2909"/>
      <c r="I2276" s="2910"/>
      <c r="J2276" s="1657" t="str">
        <f>$C$1588</f>
        <v>354600_2019_12_</v>
      </c>
      <c r="K2276" s="1663">
        <v>39600</v>
      </c>
      <c r="L2276" s="2106">
        <f t="shared" si="208"/>
        <v>3.3</v>
      </c>
      <c r="M2276" s="1108"/>
      <c r="N2276" s="177"/>
      <c r="O2276" s="332"/>
      <c r="P2276" s="332"/>
      <c r="Q2276" s="332"/>
      <c r="R2276" s="332"/>
      <c r="S2276" s="177"/>
      <c r="T2276" s="177"/>
      <c r="U2276" s="177"/>
      <c r="V2276" s="2866"/>
      <c r="W2276" s="909">
        <v>39600</v>
      </c>
      <c r="X2276" s="909">
        <v>39600</v>
      </c>
      <c r="Y2276" s="909">
        <v>39600</v>
      </c>
      <c r="Z2276" s="909"/>
      <c r="AA2276" s="909"/>
      <c r="AB2276" s="909"/>
      <c r="AC2276" s="909"/>
      <c r="AD2276" s="909"/>
      <c r="AE2276" s="909"/>
      <c r="AF2276" s="909"/>
      <c r="AG2276" s="909"/>
      <c r="BB2276" s="784"/>
      <c r="BC2276" s="785"/>
      <c r="BD2276" s="900"/>
      <c r="BE2276" s="797"/>
    </row>
    <row r="2277" spans="1:57" s="65" customFormat="1" ht="15" hidden="1" customHeight="1" outlineLevel="1" x14ac:dyDescent="0.25">
      <c r="A2277" s="785"/>
      <c r="B2277" s="177"/>
      <c r="C2277" s="455"/>
      <c r="D2277" s="2806"/>
      <c r="E2277" s="2856"/>
      <c r="F2277" s="2908" t="str">
        <f>$E$1590</f>
        <v>ASHP - SEER 20 - replace electric furnace / CAC - early replacement MF ER1</v>
      </c>
      <c r="G2277" s="2909"/>
      <c r="H2277" s="2909"/>
      <c r="I2277" s="2910"/>
      <c r="J2277" s="1657" t="str">
        <f>$C$1590</f>
        <v>354650_2019_12_</v>
      </c>
      <c r="K2277" s="1663">
        <v>37200</v>
      </c>
      <c r="L2277" s="2106">
        <f t="shared" si="208"/>
        <v>3.1</v>
      </c>
      <c r="M2277" s="1108"/>
      <c r="N2277" s="177"/>
      <c r="O2277" s="332"/>
      <c r="P2277" s="332"/>
      <c r="Q2277" s="332"/>
      <c r="R2277" s="332"/>
      <c r="S2277" s="177"/>
      <c r="T2277" s="177"/>
      <c r="U2277" s="177"/>
      <c r="V2277" s="2866"/>
      <c r="W2277" s="909">
        <v>37200</v>
      </c>
      <c r="X2277" s="909">
        <v>37200</v>
      </c>
      <c r="Y2277" s="909">
        <v>37200</v>
      </c>
      <c r="Z2277" s="909"/>
      <c r="AA2277" s="909"/>
      <c r="AB2277" s="909"/>
      <c r="AC2277" s="909"/>
      <c r="AD2277" s="909"/>
      <c r="AE2277" s="909"/>
      <c r="AF2277" s="909"/>
      <c r="AG2277" s="909"/>
      <c r="BB2277" s="784"/>
      <c r="BC2277" s="785"/>
      <c r="BD2277" s="900"/>
      <c r="BE2277" s="797"/>
    </row>
    <row r="2278" spans="1:57" s="65" customFormat="1" ht="15" hidden="1" customHeight="1" outlineLevel="1" x14ac:dyDescent="0.25">
      <c r="A2278" s="785"/>
      <c r="B2278" s="177"/>
      <c r="C2278" s="455"/>
      <c r="D2278" s="2806"/>
      <c r="E2278" s="2856"/>
      <c r="F2278" s="2908" t="str">
        <f>$E$1592</f>
        <v>ASHP - SEER 20 - replace electric furnace / CAC - early replacement MF ER2</v>
      </c>
      <c r="G2278" s="2909"/>
      <c r="H2278" s="2909"/>
      <c r="I2278" s="2910"/>
      <c r="J2278" s="1657" t="str">
        <f>$C$1592</f>
        <v>354650_2019_12_</v>
      </c>
      <c r="K2278" s="1663">
        <v>37200</v>
      </c>
      <c r="L2278" s="2106">
        <f t="shared" si="208"/>
        <v>3.1</v>
      </c>
      <c r="M2278" s="1108"/>
      <c r="N2278" s="177"/>
      <c r="O2278" s="332"/>
      <c r="P2278" s="332"/>
      <c r="Q2278" s="332"/>
      <c r="R2278" s="332"/>
      <c r="S2278" s="177"/>
      <c r="T2278" s="177"/>
      <c r="U2278" s="177"/>
      <c r="V2278" s="2866"/>
      <c r="W2278" s="909">
        <v>37200</v>
      </c>
      <c r="X2278" s="909">
        <v>37200</v>
      </c>
      <c r="Y2278" s="909">
        <v>37200</v>
      </c>
      <c r="Z2278" s="909"/>
      <c r="AA2278" s="909"/>
      <c r="AB2278" s="909"/>
      <c r="AC2278" s="909"/>
      <c r="AD2278" s="909"/>
      <c r="AE2278" s="909"/>
      <c r="AF2278" s="909"/>
      <c r="AG2278" s="909"/>
      <c r="BB2278" s="784"/>
      <c r="BC2278" s="785"/>
      <c r="BD2278" s="900"/>
      <c r="BE2278" s="797"/>
    </row>
    <row r="2279" spans="1:57" s="65" customFormat="1" ht="15" hidden="1" customHeight="1" outlineLevel="1" x14ac:dyDescent="0.25">
      <c r="A2279" s="785"/>
      <c r="B2279" s="177"/>
      <c r="C2279" s="455"/>
      <c r="D2279" s="2806"/>
      <c r="E2279" s="2856"/>
      <c r="F2279" s="2908" t="str">
        <f>$E$1594</f>
        <v>ASHP - SEER 20 - replace electric furnace / CAC - early replacement MF ER1_CompE</v>
      </c>
      <c r="G2279" s="2909"/>
      <c r="H2279" s="2909"/>
      <c r="I2279" s="2910"/>
      <c r="J2279" s="1657" t="str">
        <f>$C$1594</f>
        <v>354651_2019_12_</v>
      </c>
      <c r="K2279" s="1663">
        <v>37200</v>
      </c>
      <c r="L2279" s="2106">
        <f t="shared" si="208"/>
        <v>3.1</v>
      </c>
      <c r="M2279" s="1108"/>
      <c r="N2279" s="177"/>
      <c r="O2279" s="332"/>
      <c r="P2279" s="332"/>
      <c r="Q2279" s="332"/>
      <c r="R2279" s="332"/>
      <c r="S2279" s="177"/>
      <c r="T2279" s="177"/>
      <c r="U2279" s="177"/>
      <c r="V2279" s="2866"/>
      <c r="W2279" s="909"/>
      <c r="X2279" s="909"/>
      <c r="Y2279" s="908">
        <v>37200</v>
      </c>
      <c r="Z2279" s="909"/>
      <c r="AA2279" s="909"/>
      <c r="AB2279" s="909"/>
      <c r="AC2279" s="909"/>
      <c r="AD2279" s="909"/>
      <c r="AE2279" s="909"/>
      <c r="AF2279" s="909"/>
      <c r="AG2279" s="909"/>
      <c r="BB2279" s="784"/>
      <c r="BC2279" s="785"/>
      <c r="BD2279" s="900"/>
      <c r="BE2279" s="797"/>
    </row>
    <row r="2280" spans="1:57" s="65" customFormat="1" ht="15" hidden="1" customHeight="1" outlineLevel="1" x14ac:dyDescent="0.25">
      <c r="A2280" s="785"/>
      <c r="B2280" s="177"/>
      <c r="C2280" s="455"/>
      <c r="D2280" s="2806"/>
      <c r="E2280" s="2856"/>
      <c r="F2280" s="2908" t="str">
        <f>$E$1596</f>
        <v>ASHP - SEER 20 - replace electric furnace / CAC - early replacement MF ER2_CompE</v>
      </c>
      <c r="G2280" s="2909"/>
      <c r="H2280" s="2909"/>
      <c r="I2280" s="2910"/>
      <c r="J2280" s="1657" t="str">
        <f>$C$1596</f>
        <v>354651_2019_12_</v>
      </c>
      <c r="K2280" s="1663">
        <v>37200</v>
      </c>
      <c r="L2280" s="2106">
        <f t="shared" si="208"/>
        <v>3.1</v>
      </c>
      <c r="M2280" s="1108"/>
      <c r="N2280" s="177"/>
      <c r="O2280" s="332"/>
      <c r="P2280" s="332"/>
      <c r="Q2280" s="332"/>
      <c r="R2280" s="332"/>
      <c r="S2280" s="177"/>
      <c r="T2280" s="177"/>
      <c r="U2280" s="177"/>
      <c r="V2280" s="2866"/>
      <c r="W2280" s="909"/>
      <c r="X2280" s="909"/>
      <c r="Y2280" s="908">
        <v>37200</v>
      </c>
      <c r="Z2280" s="909"/>
      <c r="AA2280" s="909"/>
      <c r="AB2280" s="909"/>
      <c r="AC2280" s="909"/>
      <c r="AD2280" s="909"/>
      <c r="AE2280" s="909"/>
      <c r="AF2280" s="909"/>
      <c r="AG2280" s="909"/>
      <c r="BB2280" s="784"/>
      <c r="BC2280" s="785"/>
      <c r="BD2280" s="900"/>
      <c r="BE2280" s="797"/>
    </row>
    <row r="2281" spans="1:57" s="65" customFormat="1" ht="15" hidden="1" customHeight="1" outlineLevel="1" x14ac:dyDescent="0.25">
      <c r="A2281" s="785"/>
      <c r="B2281" s="177"/>
      <c r="C2281" s="455"/>
      <c r="D2281" s="2806"/>
      <c r="E2281" s="2856"/>
      <c r="F2281" s="2908" t="str">
        <f>$E$1598</f>
        <v>ASHP SEER 20 replace ASHP - early replacement MF ER1</v>
      </c>
      <c r="G2281" s="2909"/>
      <c r="H2281" s="2909"/>
      <c r="I2281" s="2910"/>
      <c r="J2281" s="1657" t="str">
        <f>$C$1598</f>
        <v>354700_2019_12_</v>
      </c>
      <c r="K2281" s="1663">
        <v>39600</v>
      </c>
      <c r="L2281" s="2106">
        <f t="shared" si="208"/>
        <v>3.3</v>
      </c>
      <c r="M2281" s="1108"/>
      <c r="N2281" s="177"/>
      <c r="O2281" s="332"/>
      <c r="P2281" s="332"/>
      <c r="Q2281" s="332"/>
      <c r="R2281" s="332"/>
      <c r="S2281" s="177"/>
      <c r="T2281" s="177"/>
      <c r="U2281" s="177"/>
      <c r="V2281" s="2866"/>
      <c r="W2281" s="909">
        <v>39600</v>
      </c>
      <c r="X2281" s="909">
        <v>39600</v>
      </c>
      <c r="Y2281" s="909">
        <v>39600</v>
      </c>
      <c r="Z2281" s="909"/>
      <c r="AA2281" s="909"/>
      <c r="AB2281" s="909"/>
      <c r="AC2281" s="909"/>
      <c r="AD2281" s="909"/>
      <c r="AE2281" s="909"/>
      <c r="AF2281" s="909"/>
      <c r="AG2281" s="909"/>
      <c r="BB2281" s="784"/>
      <c r="BC2281" s="785"/>
      <c r="BD2281" s="900"/>
      <c r="BE2281" s="797"/>
    </row>
    <row r="2282" spans="1:57" s="65" customFormat="1" ht="15" hidden="1" customHeight="1" outlineLevel="1" x14ac:dyDescent="0.25">
      <c r="A2282" s="785"/>
      <c r="B2282" s="177"/>
      <c r="C2282" s="455"/>
      <c r="D2282" s="2806"/>
      <c r="E2282" s="2856"/>
      <c r="F2282" s="2908" t="str">
        <f>$E$1600</f>
        <v>ASHP SEER 20 replace ASHP - early replacement MF ER2</v>
      </c>
      <c r="G2282" s="2909"/>
      <c r="H2282" s="2909"/>
      <c r="I2282" s="2910"/>
      <c r="J2282" s="1657" t="str">
        <f>$C$1600</f>
        <v>354700_2019_12_</v>
      </c>
      <c r="K2282" s="1663">
        <v>39600</v>
      </c>
      <c r="L2282" s="2106">
        <f t="shared" si="208"/>
        <v>3.3</v>
      </c>
      <c r="M2282" s="1108"/>
      <c r="N2282" s="177"/>
      <c r="O2282" s="332"/>
      <c r="P2282" s="332"/>
      <c r="Q2282" s="332"/>
      <c r="R2282" s="332"/>
      <c r="S2282" s="177"/>
      <c r="T2282" s="177"/>
      <c r="U2282" s="177"/>
      <c r="V2282" s="2866"/>
      <c r="W2282" s="909">
        <v>39600</v>
      </c>
      <c r="X2282" s="909">
        <v>39600</v>
      </c>
      <c r="Y2282" s="909">
        <v>39600</v>
      </c>
      <c r="Z2282" s="909"/>
      <c r="AA2282" s="909"/>
      <c r="AB2282" s="909"/>
      <c r="AC2282" s="909"/>
      <c r="AD2282" s="909"/>
      <c r="AE2282" s="909"/>
      <c r="AF2282" s="909"/>
      <c r="AG2282" s="909"/>
      <c r="BB2282" s="784"/>
      <c r="BC2282" s="785"/>
      <c r="BD2282" s="900"/>
      <c r="BE2282" s="797"/>
    </row>
    <row r="2283" spans="1:57" s="65" customFormat="1" ht="15" hidden="1" customHeight="1" outlineLevel="1" x14ac:dyDescent="0.25">
      <c r="A2283" s="785"/>
      <c r="B2283" s="177"/>
      <c r="C2283" s="455"/>
      <c r="D2283" s="2806"/>
      <c r="E2283" s="2856"/>
      <c r="F2283" s="2908" t="str">
        <f>$E$1602</f>
        <v>ASHP SEER 20 replace ASHP - early replacement MF ER1_CompE</v>
      </c>
      <c r="G2283" s="2909"/>
      <c r="H2283" s="2909"/>
      <c r="I2283" s="2910"/>
      <c r="J2283" s="1657" t="str">
        <f>$C$1602</f>
        <v>354701_2019_12_</v>
      </c>
      <c r="K2283" s="1663">
        <v>39600</v>
      </c>
      <c r="L2283" s="2106">
        <f t="shared" si="208"/>
        <v>3.3</v>
      </c>
      <c r="M2283" s="1108"/>
      <c r="N2283" s="177"/>
      <c r="O2283" s="332"/>
      <c r="P2283" s="332"/>
      <c r="Q2283" s="332"/>
      <c r="R2283" s="332"/>
      <c r="S2283" s="177"/>
      <c r="T2283" s="177"/>
      <c r="U2283" s="177"/>
      <c r="V2283" s="2866"/>
      <c r="W2283" s="909"/>
      <c r="X2283" s="909"/>
      <c r="Y2283" s="908">
        <v>39600</v>
      </c>
      <c r="Z2283" s="909"/>
      <c r="AA2283" s="909"/>
      <c r="AB2283" s="909"/>
      <c r="AC2283" s="909"/>
      <c r="AD2283" s="909"/>
      <c r="AE2283" s="909"/>
      <c r="AF2283" s="909"/>
      <c r="AG2283" s="909"/>
      <c r="BB2283" s="784"/>
      <c r="BC2283" s="785"/>
      <c r="BD2283" s="900"/>
      <c r="BE2283" s="797"/>
    </row>
    <row r="2284" spans="1:57" s="65" customFormat="1" ht="15" hidden="1" customHeight="1" outlineLevel="1" x14ac:dyDescent="0.25">
      <c r="A2284" s="785"/>
      <c r="B2284" s="177"/>
      <c r="C2284" s="455"/>
      <c r="D2284" s="2806"/>
      <c r="E2284" s="2856"/>
      <c r="F2284" s="2908" t="str">
        <f>$E$1604</f>
        <v>ASHP SEER 20 replace ASHP - early replacement MF ER2_CompE</v>
      </c>
      <c r="G2284" s="2909"/>
      <c r="H2284" s="2909"/>
      <c r="I2284" s="2910"/>
      <c r="J2284" s="1657" t="str">
        <f>$C$1604</f>
        <v>354701_2019_12_</v>
      </c>
      <c r="K2284" s="1663">
        <v>39600</v>
      </c>
      <c r="L2284" s="2106">
        <f t="shared" si="208"/>
        <v>3.3</v>
      </c>
      <c r="M2284" s="1108"/>
      <c r="N2284" s="177"/>
      <c r="O2284" s="332"/>
      <c r="P2284" s="332"/>
      <c r="Q2284" s="332"/>
      <c r="R2284" s="332"/>
      <c r="S2284" s="177"/>
      <c r="T2284" s="177"/>
      <c r="U2284" s="177"/>
      <c r="V2284" s="2866"/>
      <c r="W2284" s="909"/>
      <c r="X2284" s="909"/>
      <c r="Y2284" s="908">
        <v>39600</v>
      </c>
      <c r="Z2284" s="909"/>
      <c r="AA2284" s="909"/>
      <c r="AB2284" s="909"/>
      <c r="AC2284" s="909"/>
      <c r="AD2284" s="909"/>
      <c r="AE2284" s="909"/>
      <c r="AF2284" s="909"/>
      <c r="AG2284" s="909"/>
      <c r="BB2284" s="784"/>
      <c r="BC2284" s="785"/>
      <c r="BD2284" s="900"/>
      <c r="BE2284" s="797"/>
    </row>
    <row r="2285" spans="1:57" s="65" customFormat="1" ht="15" hidden="1" customHeight="1" outlineLevel="1" x14ac:dyDescent="0.25">
      <c r="A2285" s="785"/>
      <c r="B2285" s="177"/>
      <c r="C2285" s="455"/>
      <c r="D2285" s="2806"/>
      <c r="E2285" s="2856"/>
      <c r="F2285" s="2908" t="str">
        <f>$E$1606</f>
        <v>ASHP SEER 21 replace ASHP - early replacement SF ER1</v>
      </c>
      <c r="G2285" s="2909"/>
      <c r="H2285" s="2909"/>
      <c r="I2285" s="2910"/>
      <c r="J2285" s="1657" t="str">
        <f>$C$1606</f>
        <v>354750_2019_12_</v>
      </c>
      <c r="K2285" s="1663">
        <v>39600</v>
      </c>
      <c r="L2285" s="2106">
        <f t="shared" si="208"/>
        <v>3.3</v>
      </c>
      <c r="M2285" s="1108"/>
      <c r="N2285" s="177"/>
      <c r="O2285" s="332"/>
      <c r="P2285" s="332"/>
      <c r="Q2285" s="332"/>
      <c r="R2285" s="332"/>
      <c r="S2285" s="177"/>
      <c r="T2285" s="177"/>
      <c r="U2285" s="177"/>
      <c r="V2285" s="2866"/>
      <c r="W2285" s="909">
        <v>39600</v>
      </c>
      <c r="X2285" s="909">
        <v>39600</v>
      </c>
      <c r="Y2285" s="909">
        <v>39600</v>
      </c>
      <c r="Z2285" s="909"/>
      <c r="AA2285" s="909"/>
      <c r="AB2285" s="909"/>
      <c r="AC2285" s="909"/>
      <c r="AD2285" s="909"/>
      <c r="AE2285" s="909"/>
      <c r="AF2285" s="909"/>
      <c r="AG2285" s="909"/>
      <c r="BB2285" s="784"/>
      <c r="BC2285" s="785"/>
      <c r="BD2285" s="900"/>
      <c r="BE2285" s="797"/>
    </row>
    <row r="2286" spans="1:57" s="65" customFormat="1" ht="15" hidden="1" customHeight="1" outlineLevel="1" x14ac:dyDescent="0.25">
      <c r="A2286" s="785"/>
      <c r="B2286" s="177"/>
      <c r="C2286" s="455"/>
      <c r="D2286" s="2806"/>
      <c r="E2286" s="2856"/>
      <c r="F2286" s="2908" t="str">
        <f>$E$1608</f>
        <v>ASHP SEER 21 replace ASHP - early replacement SF ER2</v>
      </c>
      <c r="G2286" s="2909"/>
      <c r="H2286" s="2909"/>
      <c r="I2286" s="2910"/>
      <c r="J2286" s="1657" t="str">
        <f>$C$1608</f>
        <v>354750_2019_12_</v>
      </c>
      <c r="K2286" s="1663">
        <v>39600</v>
      </c>
      <c r="L2286" s="2106">
        <f t="shared" si="208"/>
        <v>3.3</v>
      </c>
      <c r="M2286" s="1108"/>
      <c r="N2286" s="177"/>
      <c r="O2286" s="332"/>
      <c r="P2286" s="332"/>
      <c r="Q2286" s="332"/>
      <c r="R2286" s="332"/>
      <c r="S2286" s="177"/>
      <c r="T2286" s="177"/>
      <c r="U2286" s="177"/>
      <c r="V2286" s="2866"/>
      <c r="W2286" s="909">
        <v>39600</v>
      </c>
      <c r="X2286" s="909">
        <v>39600</v>
      </c>
      <c r="Y2286" s="909">
        <v>39600</v>
      </c>
      <c r="Z2286" s="909"/>
      <c r="AA2286" s="909"/>
      <c r="AB2286" s="909"/>
      <c r="AC2286" s="909"/>
      <c r="AD2286" s="909"/>
      <c r="AE2286" s="909"/>
      <c r="AF2286" s="909"/>
      <c r="AG2286" s="909"/>
      <c r="BB2286" s="784"/>
      <c r="BC2286" s="785"/>
      <c r="BD2286" s="900"/>
      <c r="BE2286" s="797"/>
    </row>
    <row r="2287" spans="1:57" s="65" customFormat="1" ht="15" hidden="1" customHeight="1" outlineLevel="1" x14ac:dyDescent="0.25">
      <c r="A2287" s="785"/>
      <c r="B2287" s="177"/>
      <c r="C2287" s="455"/>
      <c r="D2287" s="2806"/>
      <c r="E2287" s="2856"/>
      <c r="F2287" s="2908" t="str">
        <f>$E$1610</f>
        <v>ASHP SEER 21 replace ASHP - replace on fail SF</v>
      </c>
      <c r="G2287" s="2909"/>
      <c r="H2287" s="2909"/>
      <c r="I2287" s="2910"/>
      <c r="J2287" s="1657" t="str">
        <f>$C$1610</f>
        <v>354800_2019_12_</v>
      </c>
      <c r="K2287" s="1663">
        <v>39600</v>
      </c>
      <c r="L2287" s="2106">
        <f t="shared" si="208"/>
        <v>3.3</v>
      </c>
      <c r="M2287" s="1108"/>
      <c r="N2287" s="177"/>
      <c r="O2287" s="332"/>
      <c r="P2287" s="332"/>
      <c r="Q2287" s="332"/>
      <c r="R2287" s="332"/>
      <c r="S2287" s="177"/>
      <c r="T2287" s="177"/>
      <c r="U2287" s="177"/>
      <c r="V2287" s="2866"/>
      <c r="W2287" s="909">
        <v>39600</v>
      </c>
      <c r="X2287" s="909">
        <v>39600</v>
      </c>
      <c r="Y2287" s="909">
        <v>39600</v>
      </c>
      <c r="Z2287" s="909"/>
      <c r="AA2287" s="909"/>
      <c r="AB2287" s="909"/>
      <c r="AC2287" s="909"/>
      <c r="AD2287" s="909"/>
      <c r="AE2287" s="909"/>
      <c r="AF2287" s="909"/>
      <c r="AG2287" s="909"/>
      <c r="BB2287" s="784"/>
      <c r="BC2287" s="785"/>
      <c r="BD2287" s="900"/>
      <c r="BE2287" s="797"/>
    </row>
    <row r="2288" spans="1:57" s="65" customFormat="1" ht="15" hidden="1" customHeight="1" outlineLevel="1" x14ac:dyDescent="0.25">
      <c r="A2288" s="785"/>
      <c r="B2288" s="177"/>
      <c r="C2288" s="455"/>
      <c r="D2288" s="2806"/>
      <c r="E2288" s="2856"/>
      <c r="F2288" s="2908" t="str">
        <f>$E$1612</f>
        <v>ASHP - SEER 21 - replace electric furnace / CAC MF</v>
      </c>
      <c r="G2288" s="2909"/>
      <c r="H2288" s="2909"/>
      <c r="I2288" s="2910"/>
      <c r="J2288" s="1657" t="str">
        <f>$C$1612</f>
        <v>354850_2019_12_</v>
      </c>
      <c r="K2288" s="1663">
        <v>33600</v>
      </c>
      <c r="L2288" s="2106">
        <f t="shared" si="208"/>
        <v>2.8</v>
      </c>
      <c r="M2288" s="1108"/>
      <c r="N2288" s="177"/>
      <c r="O2288" s="332"/>
      <c r="P2288" s="332"/>
      <c r="Q2288" s="332"/>
      <c r="R2288" s="332"/>
      <c r="S2288" s="177"/>
      <c r="T2288" s="177"/>
      <c r="U2288" s="177"/>
      <c r="V2288" s="2866"/>
      <c r="W2288" s="909">
        <v>33600</v>
      </c>
      <c r="X2288" s="909">
        <v>33600</v>
      </c>
      <c r="Y2288" s="909">
        <v>33600</v>
      </c>
      <c r="Z2288" s="909"/>
      <c r="AA2288" s="909"/>
      <c r="AB2288" s="909"/>
      <c r="AC2288" s="909"/>
      <c r="AD2288" s="909"/>
      <c r="AE2288" s="909"/>
      <c r="AF2288" s="909"/>
      <c r="AG2288" s="909"/>
      <c r="BB2288" s="784"/>
      <c r="BC2288" s="785"/>
      <c r="BD2288" s="900"/>
      <c r="BE2288" s="797"/>
    </row>
    <row r="2289" spans="1:57" s="65" customFormat="1" ht="15" hidden="1" customHeight="1" outlineLevel="1" x14ac:dyDescent="0.25">
      <c r="A2289" s="785"/>
      <c r="B2289" s="177"/>
      <c r="C2289" s="455"/>
      <c r="D2289" s="2806"/>
      <c r="E2289" s="2856"/>
      <c r="F2289" s="2908" t="str">
        <f>$E$1614</f>
        <v>ASHP - SEER 21 - replace electric furnace / CAC MF_CompE</v>
      </c>
      <c r="G2289" s="2909"/>
      <c r="H2289" s="2909"/>
      <c r="I2289" s="2910"/>
      <c r="J2289" s="1657" t="str">
        <f>$C$1614</f>
        <v>354851_2019_12_</v>
      </c>
      <c r="K2289" s="1663">
        <v>33600</v>
      </c>
      <c r="L2289" s="2106">
        <f t="shared" si="208"/>
        <v>2.8</v>
      </c>
      <c r="M2289" s="1108"/>
      <c r="N2289" s="177"/>
      <c r="O2289" s="332"/>
      <c r="P2289" s="332"/>
      <c r="Q2289" s="332"/>
      <c r="R2289" s="332"/>
      <c r="S2289" s="177"/>
      <c r="T2289" s="177"/>
      <c r="U2289" s="177"/>
      <c r="V2289" s="2866"/>
      <c r="W2289" s="909"/>
      <c r="X2289" s="909"/>
      <c r="Y2289" s="908">
        <v>33600</v>
      </c>
      <c r="Z2289" s="909"/>
      <c r="AA2289" s="909"/>
      <c r="AB2289" s="909"/>
      <c r="AC2289" s="909"/>
      <c r="AD2289" s="909"/>
      <c r="AE2289" s="909"/>
      <c r="AF2289" s="909"/>
      <c r="AG2289" s="909"/>
      <c r="BB2289" s="784"/>
      <c r="BC2289" s="785"/>
      <c r="BD2289" s="900"/>
      <c r="BE2289" s="797"/>
    </row>
    <row r="2290" spans="1:57" s="65" customFormat="1" ht="15" hidden="1" customHeight="1" outlineLevel="1" x14ac:dyDescent="0.25">
      <c r="A2290" s="785"/>
      <c r="B2290" s="177"/>
      <c r="C2290" s="455"/>
      <c r="D2290" s="2806"/>
      <c r="E2290" s="2856"/>
      <c r="F2290" s="2908" t="str">
        <f>$E$1616</f>
        <v>ASHP SEER 21 replace ASHP - early replacement MF ER1</v>
      </c>
      <c r="G2290" s="2909"/>
      <c r="H2290" s="2909"/>
      <c r="I2290" s="2910"/>
      <c r="J2290" s="1657" t="str">
        <f>$C$1616</f>
        <v>354900_2019_12_</v>
      </c>
      <c r="K2290" s="1663">
        <v>39600</v>
      </c>
      <c r="L2290" s="2106">
        <f t="shared" si="208"/>
        <v>3.3</v>
      </c>
      <c r="M2290" s="1108"/>
      <c r="N2290" s="177"/>
      <c r="O2290" s="332"/>
      <c r="P2290" s="332"/>
      <c r="Q2290" s="332"/>
      <c r="R2290" s="332"/>
      <c r="S2290" s="177"/>
      <c r="T2290" s="177"/>
      <c r="U2290" s="177"/>
      <c r="V2290" s="2866"/>
      <c r="W2290" s="909">
        <v>39600</v>
      </c>
      <c r="X2290" s="909">
        <v>39600</v>
      </c>
      <c r="Y2290" s="909">
        <v>39600</v>
      </c>
      <c r="Z2290" s="909"/>
      <c r="AA2290" s="909"/>
      <c r="AB2290" s="909"/>
      <c r="AC2290" s="909"/>
      <c r="AD2290" s="909"/>
      <c r="AE2290" s="909"/>
      <c r="AF2290" s="909"/>
      <c r="AG2290" s="909"/>
      <c r="BB2290" s="784"/>
      <c r="BC2290" s="785"/>
      <c r="BD2290" s="900"/>
      <c r="BE2290" s="797"/>
    </row>
    <row r="2291" spans="1:57" s="65" customFormat="1" ht="15" hidden="1" customHeight="1" outlineLevel="1" x14ac:dyDescent="0.25">
      <c r="A2291" s="785"/>
      <c r="B2291" s="177"/>
      <c r="C2291" s="455"/>
      <c r="D2291" s="2806"/>
      <c r="E2291" s="2856"/>
      <c r="F2291" s="2908" t="str">
        <f>$E$1618</f>
        <v>ASHP SEER 21 replace ASHP - early replacement MF ER2</v>
      </c>
      <c r="G2291" s="2909"/>
      <c r="H2291" s="2909"/>
      <c r="I2291" s="2910"/>
      <c r="J2291" s="1657" t="str">
        <f>$C$1618</f>
        <v>354900_2019_12_</v>
      </c>
      <c r="K2291" s="1663">
        <v>39600</v>
      </c>
      <c r="L2291" s="2106">
        <f t="shared" si="208"/>
        <v>3.3</v>
      </c>
      <c r="M2291" s="1108"/>
      <c r="N2291" s="177"/>
      <c r="O2291" s="332"/>
      <c r="P2291" s="332"/>
      <c r="Q2291" s="332"/>
      <c r="R2291" s="332"/>
      <c r="S2291" s="177"/>
      <c r="T2291" s="177"/>
      <c r="U2291" s="177"/>
      <c r="V2291" s="2866"/>
      <c r="W2291" s="909">
        <v>39600</v>
      </c>
      <c r="X2291" s="909">
        <v>39600</v>
      </c>
      <c r="Y2291" s="909">
        <v>39600</v>
      </c>
      <c r="Z2291" s="909"/>
      <c r="AA2291" s="909"/>
      <c r="AB2291" s="909"/>
      <c r="AC2291" s="909"/>
      <c r="AD2291" s="909"/>
      <c r="AE2291" s="909"/>
      <c r="AF2291" s="909"/>
      <c r="AG2291" s="909"/>
      <c r="BB2291" s="784"/>
      <c r="BC2291" s="785"/>
      <c r="BD2291" s="900"/>
      <c r="BE2291" s="797"/>
    </row>
    <row r="2292" spans="1:57" s="65" customFormat="1" ht="15" hidden="1" customHeight="1" outlineLevel="1" x14ac:dyDescent="0.25">
      <c r="A2292" s="785"/>
      <c r="B2292" s="177"/>
      <c r="C2292" s="455"/>
      <c r="D2292" s="2806"/>
      <c r="E2292" s="2856"/>
      <c r="F2292" s="2908" t="str">
        <f>$E$1620</f>
        <v>ASHP SEER 21 replace ASHP - early replacement MF ER1_CompE</v>
      </c>
      <c r="G2292" s="2909"/>
      <c r="H2292" s="2909"/>
      <c r="I2292" s="2910"/>
      <c r="J2292" s="1657" t="str">
        <f>$C$1620</f>
        <v>354901_2019_12_</v>
      </c>
      <c r="K2292" s="1663">
        <v>39600</v>
      </c>
      <c r="L2292" s="2106">
        <f t="shared" si="208"/>
        <v>3.3</v>
      </c>
      <c r="M2292" s="1108"/>
      <c r="N2292" s="177"/>
      <c r="O2292" s="332"/>
      <c r="P2292" s="332"/>
      <c r="Q2292" s="332"/>
      <c r="R2292" s="332"/>
      <c r="S2292" s="177"/>
      <c r="T2292" s="177"/>
      <c r="U2292" s="177"/>
      <c r="V2292" s="2866"/>
      <c r="W2292" s="909"/>
      <c r="X2292" s="909"/>
      <c r="Y2292" s="908">
        <v>39600</v>
      </c>
      <c r="Z2292" s="909"/>
      <c r="AA2292" s="909"/>
      <c r="AB2292" s="909"/>
      <c r="AC2292" s="909"/>
      <c r="AD2292" s="909"/>
      <c r="AE2292" s="909"/>
      <c r="AF2292" s="909"/>
      <c r="AG2292" s="909"/>
      <c r="BB2292" s="784"/>
      <c r="BC2292" s="785"/>
      <c r="BD2292" s="900"/>
      <c r="BE2292" s="797"/>
    </row>
    <row r="2293" spans="1:57" s="65" customFormat="1" ht="15" hidden="1" customHeight="1" outlineLevel="1" x14ac:dyDescent="0.25">
      <c r="A2293" s="785"/>
      <c r="B2293" s="177"/>
      <c r="C2293" s="455"/>
      <c r="D2293" s="2806"/>
      <c r="E2293" s="2856"/>
      <c r="F2293" s="2908" t="str">
        <f>$E$1622</f>
        <v>ASHP SEER 21 replace ASHP - early replacement MF ER2_CompE</v>
      </c>
      <c r="G2293" s="2909"/>
      <c r="H2293" s="2909"/>
      <c r="I2293" s="2910"/>
      <c r="J2293" s="1657" t="str">
        <f>$C$1622</f>
        <v>354901_2019_12_</v>
      </c>
      <c r="K2293" s="1663">
        <v>39600</v>
      </c>
      <c r="L2293" s="2106">
        <f t="shared" si="208"/>
        <v>3.3</v>
      </c>
      <c r="M2293" s="1108"/>
      <c r="N2293" s="177"/>
      <c r="O2293" s="332"/>
      <c r="P2293" s="332"/>
      <c r="Q2293" s="332"/>
      <c r="R2293" s="332"/>
      <c r="S2293" s="177"/>
      <c r="T2293" s="177"/>
      <c r="U2293" s="177"/>
      <c r="V2293" s="2866"/>
      <c r="W2293" s="909"/>
      <c r="X2293" s="909"/>
      <c r="Y2293" s="908">
        <v>39600</v>
      </c>
      <c r="Z2293" s="909"/>
      <c r="AA2293" s="909"/>
      <c r="AB2293" s="909"/>
      <c r="AC2293" s="909"/>
      <c r="AD2293" s="909"/>
      <c r="AE2293" s="909"/>
      <c r="AF2293" s="909"/>
      <c r="AG2293" s="909"/>
      <c r="BB2293" s="784"/>
      <c r="BC2293" s="785"/>
      <c r="BD2293" s="900"/>
      <c r="BE2293" s="797"/>
    </row>
    <row r="2294" spans="1:57" s="65" customFormat="1" ht="15" hidden="1" customHeight="1" outlineLevel="1" x14ac:dyDescent="0.25">
      <c r="A2294" s="718"/>
      <c r="B2294" s="177"/>
      <c r="C2294" s="455"/>
      <c r="D2294" s="2806"/>
      <c r="E2294" s="2856"/>
      <c r="F2294" s="2908" t="str">
        <f>$E$1624</f>
        <v>ASHP - SEER 17 - replace on fail MF</v>
      </c>
      <c r="G2294" s="2909"/>
      <c r="H2294" s="2909"/>
      <c r="I2294" s="2910"/>
      <c r="J2294" s="1657" t="str">
        <f>$C$1624</f>
        <v>354950_2019_12_</v>
      </c>
      <c r="K2294" s="1663">
        <v>39600</v>
      </c>
      <c r="L2294" s="2106">
        <f t="shared" si="208"/>
        <v>3.3</v>
      </c>
      <c r="M2294" s="1108" t="s">
        <v>1598</v>
      </c>
      <c r="N2294" s="177"/>
      <c r="O2294" s="332"/>
      <c r="P2294" s="1116"/>
      <c r="Q2294" s="1117"/>
      <c r="R2294" s="1116"/>
      <c r="S2294" s="1103"/>
      <c r="T2294" s="1639"/>
      <c r="U2294" s="177"/>
      <c r="V2294" s="2866"/>
      <c r="W2294" s="909">
        <v>39600</v>
      </c>
      <c r="X2294" s="909">
        <v>39600</v>
      </c>
      <c r="Y2294" s="909">
        <v>39600</v>
      </c>
      <c r="Z2294" s="909"/>
      <c r="AA2294" s="909"/>
      <c r="AB2294" s="909"/>
      <c r="AC2294" s="909"/>
      <c r="AD2294" s="909"/>
      <c r="AE2294" s="909"/>
      <c r="AF2294" s="909"/>
      <c r="AG2294" s="909"/>
      <c r="BB2294" s="784"/>
      <c r="BC2294" s="785"/>
      <c r="BD2294" s="900"/>
      <c r="BE2294" s="797"/>
    </row>
    <row r="2295" spans="1:57" s="65" customFormat="1" ht="15" hidden="1" customHeight="1" outlineLevel="1" x14ac:dyDescent="0.25">
      <c r="A2295" s="718"/>
      <c r="B2295" s="177"/>
      <c r="C2295" s="455"/>
      <c r="D2295" s="2806"/>
      <c r="E2295" s="2856"/>
      <c r="F2295" s="2908" t="str">
        <f>$E$1626</f>
        <v>ASHP - SEER 17 - replace on fail MF_CompE</v>
      </c>
      <c r="G2295" s="2909"/>
      <c r="H2295" s="2909"/>
      <c r="I2295" s="2910"/>
      <c r="J2295" s="1657" t="str">
        <f>$C$1626</f>
        <v>354951_2019_12_</v>
      </c>
      <c r="K2295" s="1663">
        <v>39600</v>
      </c>
      <c r="L2295" s="2106">
        <f t="shared" si="208"/>
        <v>3.3</v>
      </c>
      <c r="M2295" s="1108"/>
      <c r="N2295" s="177"/>
      <c r="O2295" s="332"/>
      <c r="P2295" s="1116"/>
      <c r="Q2295" s="1117"/>
      <c r="R2295" s="1116"/>
      <c r="S2295" s="1103"/>
      <c r="T2295" s="1639"/>
      <c r="U2295" s="177"/>
      <c r="V2295" s="2866"/>
      <c r="W2295" s="909"/>
      <c r="X2295" s="909"/>
      <c r="Y2295" s="908">
        <v>39600</v>
      </c>
      <c r="Z2295" s="909"/>
      <c r="AA2295" s="909"/>
      <c r="AB2295" s="909"/>
      <c r="AC2295" s="909"/>
      <c r="AD2295" s="909"/>
      <c r="AE2295" s="909"/>
      <c r="AF2295" s="909"/>
      <c r="AG2295" s="909"/>
      <c r="BB2295" s="784"/>
      <c r="BC2295" s="785"/>
      <c r="BD2295" s="900"/>
      <c r="BE2295" s="797"/>
    </row>
    <row r="2296" spans="1:57" s="65" customFormat="1" ht="15" hidden="1" customHeight="1" outlineLevel="1" x14ac:dyDescent="0.25">
      <c r="A2296" s="718"/>
      <c r="B2296" s="177"/>
      <c r="C2296" s="455"/>
      <c r="D2296" s="2806"/>
      <c r="E2296" s="2856"/>
      <c r="F2296" s="2908" t="str">
        <f>$E$1628</f>
        <v>ASHP - SEER 18 - replace on fail MF</v>
      </c>
      <c r="G2296" s="2909"/>
      <c r="H2296" s="2909"/>
      <c r="I2296" s="2910"/>
      <c r="J2296" s="1657" t="str">
        <f>$C$1628</f>
        <v>355000_2019_12_</v>
      </c>
      <c r="K2296" s="1663">
        <v>39600</v>
      </c>
      <c r="L2296" s="2106">
        <f t="shared" si="208"/>
        <v>3.3</v>
      </c>
      <c r="M2296" s="1108" t="s">
        <v>1598</v>
      </c>
      <c r="N2296" s="177"/>
      <c r="O2296" s="332"/>
      <c r="P2296" s="1116"/>
      <c r="Q2296" s="1117"/>
      <c r="R2296" s="1116"/>
      <c r="S2296" s="1103"/>
      <c r="T2296" s="1639"/>
      <c r="U2296" s="177"/>
      <c r="V2296" s="2866"/>
      <c r="W2296" s="909">
        <v>39600</v>
      </c>
      <c r="X2296" s="909">
        <v>39600</v>
      </c>
      <c r="Y2296" s="909">
        <v>39600</v>
      </c>
      <c r="Z2296" s="909"/>
      <c r="AA2296" s="909"/>
      <c r="AB2296" s="909"/>
      <c r="AC2296" s="909"/>
      <c r="AD2296" s="909"/>
      <c r="AE2296" s="909"/>
      <c r="AF2296" s="909"/>
      <c r="AG2296" s="909"/>
      <c r="BB2296" s="784"/>
      <c r="BC2296" s="785"/>
      <c r="BD2296" s="900"/>
      <c r="BE2296" s="797"/>
    </row>
    <row r="2297" spans="1:57" s="65" customFormat="1" ht="15" hidden="1" customHeight="1" outlineLevel="1" x14ac:dyDescent="0.25">
      <c r="A2297" s="718"/>
      <c r="B2297" s="177"/>
      <c r="C2297" s="455"/>
      <c r="D2297" s="2806"/>
      <c r="E2297" s="2856"/>
      <c r="F2297" s="2908" t="str">
        <f>$E$1630</f>
        <v>ASHP - SEER 18 - replace on fail MF_CompE</v>
      </c>
      <c r="G2297" s="2909"/>
      <c r="H2297" s="2909"/>
      <c r="I2297" s="2910"/>
      <c r="J2297" s="1657" t="str">
        <f>$C$1630</f>
        <v>355001_2019_12_</v>
      </c>
      <c r="K2297" s="1663">
        <v>39600</v>
      </c>
      <c r="L2297" s="2106">
        <f t="shared" si="208"/>
        <v>3.3</v>
      </c>
      <c r="M2297" s="1108"/>
      <c r="N2297" s="177"/>
      <c r="O2297" s="332"/>
      <c r="P2297" s="1116"/>
      <c r="Q2297" s="1117"/>
      <c r="R2297" s="1116"/>
      <c r="S2297" s="1103"/>
      <c r="T2297" s="1639"/>
      <c r="U2297" s="177"/>
      <c r="V2297" s="2866"/>
      <c r="W2297" s="909"/>
      <c r="X2297" s="909"/>
      <c r="Y2297" s="908">
        <v>39600</v>
      </c>
      <c r="Z2297" s="909"/>
      <c r="AA2297" s="909"/>
      <c r="AB2297" s="909"/>
      <c r="AC2297" s="909"/>
      <c r="AD2297" s="909"/>
      <c r="AE2297" s="909"/>
      <c r="AF2297" s="909"/>
      <c r="AG2297" s="909"/>
      <c r="BB2297" s="784"/>
      <c r="BC2297" s="785"/>
      <c r="BD2297" s="900"/>
      <c r="BE2297" s="797"/>
    </row>
    <row r="2298" spans="1:57" s="65" customFormat="1" ht="15" hidden="1" customHeight="1" outlineLevel="1" x14ac:dyDescent="0.25">
      <c r="A2298" s="785"/>
      <c r="B2298" s="177"/>
      <c r="C2298" s="455"/>
      <c r="D2298" s="2806"/>
      <c r="E2298" s="2856"/>
      <c r="F2298" s="2908" t="str">
        <f>$E$1632</f>
        <v>ASHP - SEER 19 - replace on fail MF</v>
      </c>
      <c r="G2298" s="2909"/>
      <c r="H2298" s="2909"/>
      <c r="I2298" s="2910"/>
      <c r="J2298" s="1657" t="str">
        <f>$C$1632</f>
        <v>355050_2019_12_</v>
      </c>
      <c r="K2298" s="1663">
        <v>39600</v>
      </c>
      <c r="L2298" s="2106">
        <f t="shared" si="208"/>
        <v>3.3</v>
      </c>
      <c r="M2298" s="1108" t="s">
        <v>1598</v>
      </c>
      <c r="N2298" s="177"/>
      <c r="O2298" s="332"/>
      <c r="P2298" s="332"/>
      <c r="Q2298" s="332"/>
      <c r="R2298" s="332"/>
      <c r="S2298" s="177"/>
      <c r="T2298" s="177"/>
      <c r="U2298" s="177"/>
      <c r="V2298" s="2866"/>
      <c r="W2298" s="909">
        <v>39600</v>
      </c>
      <c r="X2298" s="909">
        <v>39600</v>
      </c>
      <c r="Y2298" s="909">
        <v>39600</v>
      </c>
      <c r="Z2298" s="909"/>
      <c r="AA2298" s="909"/>
      <c r="AB2298" s="909"/>
      <c r="AC2298" s="909"/>
      <c r="AD2298" s="909"/>
      <c r="AE2298" s="909"/>
      <c r="AF2298" s="909"/>
      <c r="AG2298" s="909"/>
      <c r="BB2298" s="784"/>
      <c r="BC2298" s="785"/>
      <c r="BD2298" s="900"/>
      <c r="BE2298" s="797"/>
    </row>
    <row r="2299" spans="1:57" s="65" customFormat="1" ht="15" hidden="1" customHeight="1" outlineLevel="1" x14ac:dyDescent="0.25">
      <c r="A2299" s="785"/>
      <c r="B2299" s="177"/>
      <c r="C2299" s="455"/>
      <c r="D2299" s="2806"/>
      <c r="E2299" s="2856"/>
      <c r="F2299" s="2908" t="str">
        <f>$E$1634</f>
        <v>ASHP - SEER 19 - replace on fail MF_CompE</v>
      </c>
      <c r="G2299" s="2909"/>
      <c r="H2299" s="2909"/>
      <c r="I2299" s="2910"/>
      <c r="J2299" s="1657" t="str">
        <f>$C$1634</f>
        <v>355051_2019_12_</v>
      </c>
      <c r="K2299" s="1663">
        <v>39600</v>
      </c>
      <c r="L2299" s="2106">
        <f t="shared" si="208"/>
        <v>3.3</v>
      </c>
      <c r="M2299" s="1108"/>
      <c r="N2299" s="177"/>
      <c r="O2299" s="332"/>
      <c r="P2299" s="332"/>
      <c r="Q2299" s="332"/>
      <c r="R2299" s="332"/>
      <c r="S2299" s="177"/>
      <c r="T2299" s="177"/>
      <c r="U2299" s="177"/>
      <c r="V2299" s="2866"/>
      <c r="W2299" s="909"/>
      <c r="X2299" s="909"/>
      <c r="Y2299" s="908">
        <v>39600</v>
      </c>
      <c r="Z2299" s="909"/>
      <c r="AA2299" s="909"/>
      <c r="AB2299" s="909"/>
      <c r="AC2299" s="909"/>
      <c r="AD2299" s="909"/>
      <c r="AE2299" s="909"/>
      <c r="AF2299" s="909"/>
      <c r="AG2299" s="909"/>
      <c r="BB2299" s="784"/>
      <c r="BC2299" s="785"/>
      <c r="BD2299" s="900"/>
      <c r="BE2299" s="797"/>
    </row>
    <row r="2300" spans="1:57" s="65" customFormat="1" ht="15" hidden="1" customHeight="1" outlineLevel="1" x14ac:dyDescent="0.25">
      <c r="A2300" s="785"/>
      <c r="B2300" s="177"/>
      <c r="C2300" s="455"/>
      <c r="D2300" s="2806"/>
      <c r="E2300" s="2856"/>
      <c r="F2300" s="2908" t="str">
        <f>$E$1636</f>
        <v>ASHP - SEER 20 - replace on fail MF</v>
      </c>
      <c r="G2300" s="2909"/>
      <c r="H2300" s="2909"/>
      <c r="I2300" s="2910"/>
      <c r="J2300" s="1657" t="str">
        <f>$C$1636</f>
        <v>355100_2019_12_</v>
      </c>
      <c r="K2300" s="1663">
        <v>39600</v>
      </c>
      <c r="L2300" s="2106">
        <f t="shared" si="208"/>
        <v>3.3</v>
      </c>
      <c r="M2300" s="1108" t="s">
        <v>1598</v>
      </c>
      <c r="N2300" s="177"/>
      <c r="O2300" s="332"/>
      <c r="P2300" s="332"/>
      <c r="Q2300" s="332"/>
      <c r="R2300" s="332"/>
      <c r="S2300" s="177"/>
      <c r="T2300" s="177"/>
      <c r="U2300" s="177"/>
      <c r="V2300" s="2866"/>
      <c r="W2300" s="909">
        <v>39600</v>
      </c>
      <c r="X2300" s="909">
        <v>39600</v>
      </c>
      <c r="Y2300" s="909">
        <v>39600</v>
      </c>
      <c r="Z2300" s="909"/>
      <c r="AA2300" s="909"/>
      <c r="AB2300" s="909"/>
      <c r="AC2300" s="909"/>
      <c r="AD2300" s="909"/>
      <c r="AE2300" s="909"/>
      <c r="AF2300" s="909"/>
      <c r="AG2300" s="909"/>
      <c r="BB2300" s="784"/>
      <c r="BC2300" s="785"/>
      <c r="BD2300" s="900"/>
      <c r="BE2300" s="797"/>
    </row>
    <row r="2301" spans="1:57" s="65" customFormat="1" ht="15" hidden="1" customHeight="1" outlineLevel="1" x14ac:dyDescent="0.25">
      <c r="A2301" s="785"/>
      <c r="B2301" s="177"/>
      <c r="C2301" s="455"/>
      <c r="D2301" s="2806"/>
      <c r="E2301" s="2856"/>
      <c r="F2301" s="2908" t="str">
        <f>$E$1638</f>
        <v>ASHP - SEER 20 - replace on fail MF_CompE</v>
      </c>
      <c r="G2301" s="2909"/>
      <c r="H2301" s="2909"/>
      <c r="I2301" s="2910"/>
      <c r="J2301" s="1657" t="str">
        <f>$C$1638</f>
        <v>355101_2019_12_</v>
      </c>
      <c r="K2301" s="1663">
        <v>39600</v>
      </c>
      <c r="L2301" s="2106">
        <f t="shared" si="208"/>
        <v>3.3</v>
      </c>
      <c r="M2301" s="1118"/>
      <c r="N2301" s="177"/>
      <c r="O2301" s="332"/>
      <c r="P2301" s="332"/>
      <c r="Q2301" s="332"/>
      <c r="R2301" s="332"/>
      <c r="S2301" s="177"/>
      <c r="T2301" s="177"/>
      <c r="U2301" s="177"/>
      <c r="V2301" s="2866"/>
      <c r="W2301" s="921"/>
      <c r="X2301" s="921"/>
      <c r="Y2301" s="908">
        <v>39600</v>
      </c>
      <c r="Z2301" s="921"/>
      <c r="AA2301" s="909"/>
      <c r="AB2301" s="921"/>
      <c r="AC2301" s="921"/>
      <c r="AD2301" s="921"/>
      <c r="AE2301" s="921"/>
      <c r="AF2301" s="921"/>
      <c r="AG2301" s="921"/>
      <c r="BB2301" s="784"/>
      <c r="BC2301" s="785"/>
      <c r="BD2301" s="900"/>
      <c r="BE2301" s="797"/>
    </row>
    <row r="2302" spans="1:57" s="65" customFormat="1" ht="15.75" hidden="1" customHeight="1" outlineLevel="1" x14ac:dyDescent="0.25">
      <c r="A2302" s="718"/>
      <c r="B2302" s="177"/>
      <c r="C2302" s="455"/>
      <c r="D2302" s="2806"/>
      <c r="E2302" s="2856"/>
      <c r="F2302" s="2908" t="str">
        <f>$E$1640</f>
        <v>ASHP - SEER 21 - replace on fail MF</v>
      </c>
      <c r="G2302" s="2909"/>
      <c r="H2302" s="2909"/>
      <c r="I2302" s="2910"/>
      <c r="J2302" s="1657" t="str">
        <f>$C$1640</f>
        <v>355150_2019_12_</v>
      </c>
      <c r="K2302" s="1663">
        <v>39600</v>
      </c>
      <c r="L2302" s="2106">
        <f t="shared" si="208"/>
        <v>3.3</v>
      </c>
      <c r="M2302" s="1108" t="s">
        <v>1598</v>
      </c>
      <c r="N2302" s="177"/>
      <c r="O2302" s="332"/>
      <c r="P2302" s="1116"/>
      <c r="Q2302" s="1117"/>
      <c r="R2302" s="1116"/>
      <c r="S2302" s="1103"/>
      <c r="T2302" s="1639"/>
      <c r="U2302" s="177"/>
      <c r="V2302" s="2866"/>
      <c r="W2302" s="921">
        <v>39600</v>
      </c>
      <c r="X2302" s="921">
        <v>39600</v>
      </c>
      <c r="Y2302" s="909">
        <v>39600</v>
      </c>
      <c r="Z2302" s="921"/>
      <c r="AA2302" s="921"/>
      <c r="AB2302" s="921"/>
      <c r="AC2302" s="921"/>
      <c r="AD2302" s="921"/>
      <c r="AE2302" s="921"/>
      <c r="AF2302" s="921"/>
      <c r="AG2302" s="921"/>
      <c r="BB2302" s="784"/>
      <c r="BC2302" s="785"/>
      <c r="BD2302" s="900"/>
      <c r="BE2302" s="797"/>
    </row>
    <row r="2303" spans="1:57" s="65" customFormat="1" ht="15.75" hidden="1" customHeight="1" outlineLevel="1" thickBot="1" x14ac:dyDescent="0.3">
      <c r="A2303" s="718"/>
      <c r="B2303" s="177"/>
      <c r="C2303" s="455"/>
      <c r="D2303" s="2808"/>
      <c r="E2303" s="2858"/>
      <c r="F2303" s="2100" t="str">
        <f>$E$1642</f>
        <v>ASHP - SEER 21 - replace on fail MF_CompE</v>
      </c>
      <c r="G2303" s="1119"/>
      <c r="H2303" s="1119"/>
      <c r="I2303" s="1120"/>
      <c r="J2303" s="2100" t="str">
        <f>$C$1642</f>
        <v>355151_2019_12_</v>
      </c>
      <c r="K2303" s="1128">
        <v>39600</v>
      </c>
      <c r="L2303" s="2107">
        <f>K2303/12000</f>
        <v>3.3</v>
      </c>
      <c r="M2303" s="1131"/>
      <c r="N2303" s="177"/>
      <c r="O2303" s="332"/>
      <c r="P2303" s="1116"/>
      <c r="Q2303" s="1117"/>
      <c r="R2303" s="1116"/>
      <c r="S2303" s="1103"/>
      <c r="T2303" s="1639"/>
      <c r="U2303" s="177"/>
      <c r="V2303" s="2848"/>
      <c r="W2303" s="945"/>
      <c r="X2303" s="945"/>
      <c r="Y2303" s="1126">
        <v>39600</v>
      </c>
      <c r="Z2303" s="945"/>
      <c r="AA2303" s="945"/>
      <c r="AB2303" s="945"/>
      <c r="AC2303" s="945"/>
      <c r="AD2303" s="945"/>
      <c r="AE2303" s="945"/>
      <c r="AF2303" s="945"/>
      <c r="AG2303" s="945"/>
      <c r="BB2303" s="784"/>
      <c r="BC2303" s="785"/>
      <c r="BD2303" s="900"/>
      <c r="BE2303" s="797"/>
    </row>
    <row r="2304" spans="1:57" s="65" customFormat="1" ht="15" hidden="1" customHeight="1" outlineLevel="1" x14ac:dyDescent="0.25">
      <c r="A2304" s="718"/>
      <c r="B2304" s="177"/>
      <c r="C2304" s="455"/>
      <c r="D2304" s="2805" t="s">
        <v>1392</v>
      </c>
      <c r="E2304" s="2855" t="s">
        <v>1393</v>
      </c>
      <c r="F2304" s="2905" t="str">
        <f>$E$1388</f>
        <v>ASHP - SEER 15 ER Elec Resist Furnace: HVAC ER1</v>
      </c>
      <c r="G2304" s="2905"/>
      <c r="H2304" s="2905"/>
      <c r="I2304" s="2905"/>
      <c r="J2304" s="1656" t="str">
        <f>$C$1388</f>
        <v>352300_2019_12_</v>
      </c>
      <c r="K2304" s="1667">
        <v>869</v>
      </c>
      <c r="L2304" s="1008"/>
      <c r="M2304" s="1132" t="s">
        <v>1289</v>
      </c>
      <c r="N2304" s="177"/>
      <c r="O2304" s="332"/>
      <c r="P2304" s="1116"/>
      <c r="Q2304" s="1116"/>
      <c r="R2304" s="1116"/>
      <c r="S2304" s="1103"/>
      <c r="T2304" s="1639"/>
      <c r="U2304" s="177"/>
      <c r="V2304" s="2867" t="s">
        <v>1392</v>
      </c>
      <c r="W2304" s="926">
        <v>869</v>
      </c>
      <c r="X2304" s="926">
        <v>869</v>
      </c>
      <c r="Y2304" s="926">
        <v>869</v>
      </c>
      <c r="Z2304" s="926"/>
      <c r="AA2304" s="926"/>
      <c r="AB2304" s="926"/>
      <c r="AC2304" s="926"/>
      <c r="AD2304" s="926"/>
      <c r="AE2304" s="926"/>
      <c r="AF2304" s="926"/>
      <c r="AG2304" s="926"/>
      <c r="BB2304" s="784"/>
      <c r="BC2304" s="785"/>
      <c r="BD2304" s="900"/>
      <c r="BE2304" s="797"/>
    </row>
    <row r="2305" spans="1:57" s="65" customFormat="1" ht="15" hidden="1" customHeight="1" outlineLevel="1" x14ac:dyDescent="0.25">
      <c r="A2305" s="718"/>
      <c r="B2305" s="177"/>
      <c r="C2305" s="455"/>
      <c r="D2305" s="2806"/>
      <c r="E2305" s="2856"/>
      <c r="F2305" s="2908" t="str">
        <f>$E$1390</f>
        <v>ASHP - SEER 15 ER Elec Resist Furnace: HVAC ER2</v>
      </c>
      <c r="G2305" s="2909"/>
      <c r="H2305" s="2909"/>
      <c r="I2305" s="2910"/>
      <c r="J2305" s="1657" t="str">
        <f>$C$1390</f>
        <v>352300_2019_12_</v>
      </c>
      <c r="K2305" s="926">
        <v>869</v>
      </c>
      <c r="L2305" s="1123"/>
      <c r="M2305" s="928" t="s">
        <v>1289</v>
      </c>
      <c r="N2305" s="177"/>
      <c r="O2305" s="332"/>
      <c r="P2305" s="1116"/>
      <c r="Q2305" s="1116"/>
      <c r="R2305" s="1116"/>
      <c r="S2305" s="1103"/>
      <c r="T2305" s="1639"/>
      <c r="U2305" s="177"/>
      <c r="V2305" s="2866"/>
      <c r="W2305" s="909">
        <v>869</v>
      </c>
      <c r="X2305" s="909">
        <v>869</v>
      </c>
      <c r="Y2305" s="926">
        <v>869</v>
      </c>
      <c r="Z2305" s="909"/>
      <c r="AA2305" s="926"/>
      <c r="AB2305" s="909"/>
      <c r="AC2305" s="909"/>
      <c r="AD2305" s="909"/>
      <c r="AE2305" s="909"/>
      <c r="AF2305" s="909"/>
      <c r="AG2305" s="909"/>
      <c r="BB2305" s="784"/>
      <c r="BC2305" s="785"/>
      <c r="BD2305" s="900"/>
      <c r="BE2305" s="797"/>
    </row>
    <row r="2306" spans="1:57" s="65" customFormat="1" ht="15" hidden="1" customHeight="1" outlineLevel="1" x14ac:dyDescent="0.25">
      <c r="A2306" s="718"/>
      <c r="B2306" s="177"/>
      <c r="C2306" s="455"/>
      <c r="D2306" s="2806"/>
      <c r="E2306" s="2856"/>
      <c r="F2306" s="2908" t="str">
        <f>$E$1392</f>
        <v>ASHP - SEER 15 ER with ASHP: HVAC ER1</v>
      </c>
      <c r="G2306" s="2909"/>
      <c r="H2306" s="2909"/>
      <c r="I2306" s="2910"/>
      <c r="J2306" s="1657" t="str">
        <f>$C$1392</f>
        <v>352350_2019_12_</v>
      </c>
      <c r="K2306" s="926">
        <v>869</v>
      </c>
      <c r="L2306" s="1123"/>
      <c r="M2306" s="928" t="s">
        <v>1289</v>
      </c>
      <c r="N2306" s="177"/>
      <c r="O2306" s="332"/>
      <c r="P2306" s="1116"/>
      <c r="Q2306" s="1116"/>
      <c r="R2306" s="1116"/>
      <c r="S2306" s="1103"/>
      <c r="T2306" s="1639"/>
      <c r="U2306" s="177"/>
      <c r="V2306" s="2866"/>
      <c r="W2306" s="909">
        <v>869</v>
      </c>
      <c r="X2306" s="909">
        <v>869</v>
      </c>
      <c r="Y2306" s="926">
        <v>869</v>
      </c>
      <c r="Z2306" s="909"/>
      <c r="AA2306" s="926"/>
      <c r="AB2306" s="909"/>
      <c r="AC2306" s="909"/>
      <c r="AD2306" s="909"/>
      <c r="AE2306" s="909"/>
      <c r="AF2306" s="909"/>
      <c r="AG2306" s="909"/>
      <c r="BB2306" s="784"/>
      <c r="BC2306" s="785"/>
      <c r="BD2306" s="900"/>
      <c r="BE2306" s="797"/>
    </row>
    <row r="2307" spans="1:57" s="65" customFormat="1" ht="15" hidden="1" customHeight="1" outlineLevel="1" x14ac:dyDescent="0.25">
      <c r="A2307" s="718"/>
      <c r="B2307" s="177"/>
      <c r="C2307" s="455"/>
      <c r="D2307" s="2806"/>
      <c r="E2307" s="2856"/>
      <c r="F2307" s="2908" t="str">
        <f>$E$1394</f>
        <v>ASHP - SEER 15 ER with ASHP: HVAC ER2</v>
      </c>
      <c r="G2307" s="2909"/>
      <c r="H2307" s="2909"/>
      <c r="I2307" s="2910"/>
      <c r="J2307" s="1657" t="str">
        <f>$C$1394</f>
        <v>352350_2019_12_</v>
      </c>
      <c r="K2307" s="926">
        <v>869</v>
      </c>
      <c r="L2307" s="1123"/>
      <c r="M2307" s="928" t="s">
        <v>1289</v>
      </c>
      <c r="N2307" s="177"/>
      <c r="O2307" s="332"/>
      <c r="P2307" s="1116"/>
      <c r="Q2307" s="1116"/>
      <c r="R2307" s="1116"/>
      <c r="S2307" s="1103"/>
      <c r="T2307" s="1639"/>
      <c r="U2307" s="177"/>
      <c r="V2307" s="2866"/>
      <c r="W2307" s="909">
        <v>869</v>
      </c>
      <c r="X2307" s="909">
        <v>869</v>
      </c>
      <c r="Y2307" s="926">
        <v>869</v>
      </c>
      <c r="Z2307" s="909"/>
      <c r="AA2307" s="926"/>
      <c r="AB2307" s="909"/>
      <c r="AC2307" s="909"/>
      <c r="AD2307" s="909"/>
      <c r="AE2307" s="909"/>
      <c r="AF2307" s="909"/>
      <c r="AG2307" s="909"/>
      <c r="BB2307" s="784"/>
      <c r="BC2307" s="785"/>
      <c r="BD2307" s="900"/>
      <c r="BE2307" s="797"/>
    </row>
    <row r="2308" spans="1:57" s="65" customFormat="1" ht="15" hidden="1" customHeight="1" outlineLevel="1" x14ac:dyDescent="0.25">
      <c r="A2308" s="718"/>
      <c r="B2308" s="177"/>
      <c r="C2308" s="455"/>
      <c r="D2308" s="2806"/>
      <c r="E2308" s="2856"/>
      <c r="F2308" s="2908" t="str">
        <f>$E$1396</f>
        <v>ASHP-  SEER 15 Replace at Fail Elec Resist Furnace: HVAC</v>
      </c>
      <c r="G2308" s="2909"/>
      <c r="H2308" s="2909"/>
      <c r="I2308" s="2910"/>
      <c r="J2308" s="1657" t="str">
        <f>$C$1396</f>
        <v>352400_2019_12_</v>
      </c>
      <c r="K2308" s="926">
        <v>869</v>
      </c>
      <c r="L2308" s="1123"/>
      <c r="M2308" s="928" t="s">
        <v>1289</v>
      </c>
      <c r="N2308" s="177"/>
      <c r="O2308" s="332"/>
      <c r="P2308" s="1116"/>
      <c r="Q2308" s="1116"/>
      <c r="R2308" s="1116"/>
      <c r="S2308" s="1103"/>
      <c r="T2308" s="1639"/>
      <c r="U2308" s="177"/>
      <c r="V2308" s="2866"/>
      <c r="W2308" s="909">
        <v>869</v>
      </c>
      <c r="X2308" s="909">
        <v>869</v>
      </c>
      <c r="Y2308" s="926">
        <v>869</v>
      </c>
      <c r="Z2308" s="909"/>
      <c r="AA2308" s="926"/>
      <c r="AB2308" s="909"/>
      <c r="AC2308" s="909"/>
      <c r="AD2308" s="909"/>
      <c r="AE2308" s="909"/>
      <c r="AF2308" s="909"/>
      <c r="AG2308" s="909"/>
      <c r="BB2308" s="784"/>
      <c r="BC2308" s="785"/>
      <c r="BD2308" s="900"/>
      <c r="BE2308" s="797"/>
    </row>
    <row r="2309" spans="1:57" s="65" customFormat="1" ht="15" hidden="1" customHeight="1" outlineLevel="1" x14ac:dyDescent="0.25">
      <c r="A2309" s="718"/>
      <c r="B2309" s="177"/>
      <c r="C2309" s="455"/>
      <c r="D2309" s="2806"/>
      <c r="E2309" s="2856"/>
      <c r="F2309" s="2908" t="str">
        <f>$E$1398</f>
        <v>ASHP - SEER 15 Replace at Fail with ASHP: HVAC</v>
      </c>
      <c r="G2309" s="2909"/>
      <c r="H2309" s="2909"/>
      <c r="I2309" s="2910"/>
      <c r="J2309" s="1657" t="str">
        <f>$C$1398</f>
        <v>352450_2019_12_</v>
      </c>
      <c r="K2309" s="926">
        <v>869</v>
      </c>
      <c r="L2309" s="1123"/>
      <c r="M2309" s="928" t="s">
        <v>1289</v>
      </c>
      <c r="N2309" s="177"/>
      <c r="O2309" s="332"/>
      <c r="P2309" s="1116"/>
      <c r="Q2309" s="1116"/>
      <c r="R2309" s="1116"/>
      <c r="S2309" s="1103"/>
      <c r="T2309" s="1639"/>
      <c r="U2309" s="177"/>
      <c r="V2309" s="2866"/>
      <c r="W2309" s="909">
        <v>869</v>
      </c>
      <c r="X2309" s="909">
        <v>869</v>
      </c>
      <c r="Y2309" s="926">
        <v>869</v>
      </c>
      <c r="Z2309" s="909"/>
      <c r="AA2309" s="926"/>
      <c r="AB2309" s="909"/>
      <c r="AC2309" s="909"/>
      <c r="AD2309" s="909"/>
      <c r="AE2309" s="909"/>
      <c r="AF2309" s="909"/>
      <c r="AG2309" s="909"/>
      <c r="BB2309" s="784"/>
      <c r="BC2309" s="785"/>
      <c r="BD2309" s="900"/>
      <c r="BE2309" s="797"/>
    </row>
    <row r="2310" spans="1:57" s="65" customFormat="1" ht="15" hidden="1" customHeight="1" outlineLevel="1" x14ac:dyDescent="0.25">
      <c r="A2310" s="718"/>
      <c r="B2310" s="177"/>
      <c r="C2310" s="455"/>
      <c r="D2310" s="2806"/>
      <c r="E2310" s="2856"/>
      <c r="F2310" s="2908" t="str">
        <f>$E$1400</f>
        <v>ASHP - SEER 16 - replace electric furnace / CAC - early replacement SF ER1</v>
      </c>
      <c r="G2310" s="2909"/>
      <c r="H2310" s="2909"/>
      <c r="I2310" s="2910"/>
      <c r="J2310" s="1657" t="str">
        <f>$C$1400</f>
        <v>352500_2019_12_</v>
      </c>
      <c r="K2310" s="926">
        <v>869</v>
      </c>
      <c r="L2310" s="1123"/>
      <c r="M2310" s="928" t="s">
        <v>1289</v>
      </c>
      <c r="N2310" s="177"/>
      <c r="O2310" s="332"/>
      <c r="P2310" s="1116"/>
      <c r="Q2310" s="1116"/>
      <c r="R2310" s="1116"/>
      <c r="S2310" s="1103"/>
      <c r="T2310" s="1639"/>
      <c r="U2310" s="177"/>
      <c r="V2310" s="2866"/>
      <c r="W2310" s="909">
        <v>869</v>
      </c>
      <c r="X2310" s="909">
        <v>869</v>
      </c>
      <c r="Y2310" s="926">
        <v>869</v>
      </c>
      <c r="Z2310" s="909"/>
      <c r="AA2310" s="926"/>
      <c r="AB2310" s="909"/>
      <c r="AC2310" s="909"/>
      <c r="AD2310" s="909"/>
      <c r="AE2310" s="909"/>
      <c r="AF2310" s="909"/>
      <c r="AG2310" s="909"/>
      <c r="BB2310" s="784"/>
      <c r="BC2310" s="785"/>
      <c r="BD2310" s="900"/>
      <c r="BE2310" s="797"/>
    </row>
    <row r="2311" spans="1:57" s="65" customFormat="1" ht="15" hidden="1" customHeight="1" outlineLevel="1" x14ac:dyDescent="0.25">
      <c r="A2311" s="718"/>
      <c r="B2311" s="177"/>
      <c r="C2311" s="455"/>
      <c r="D2311" s="2806"/>
      <c r="E2311" s="2856"/>
      <c r="F2311" s="2908" t="str">
        <f>$E$1402</f>
        <v>ASHP - SEER 16 - replace electric furnace / CAC - early replacement SF ER2</v>
      </c>
      <c r="G2311" s="2909"/>
      <c r="H2311" s="2909"/>
      <c r="I2311" s="2910"/>
      <c r="J2311" s="1657" t="str">
        <f>$C$1402</f>
        <v>352500_2019_12_</v>
      </c>
      <c r="K2311" s="926">
        <v>869</v>
      </c>
      <c r="L2311" s="1123"/>
      <c r="M2311" s="928" t="s">
        <v>1289</v>
      </c>
      <c r="N2311" s="177"/>
      <c r="O2311" s="332"/>
      <c r="P2311" s="1116"/>
      <c r="Q2311" s="1116"/>
      <c r="R2311" s="1116"/>
      <c r="S2311" s="1103"/>
      <c r="T2311" s="1639"/>
      <c r="U2311" s="177"/>
      <c r="V2311" s="2866"/>
      <c r="W2311" s="909">
        <v>869</v>
      </c>
      <c r="X2311" s="909">
        <v>869</v>
      </c>
      <c r="Y2311" s="926">
        <v>869</v>
      </c>
      <c r="Z2311" s="909"/>
      <c r="AA2311" s="926"/>
      <c r="AB2311" s="909"/>
      <c r="AC2311" s="909"/>
      <c r="AD2311" s="909"/>
      <c r="AE2311" s="909"/>
      <c r="AF2311" s="909"/>
      <c r="AG2311" s="909"/>
      <c r="BB2311" s="784"/>
      <c r="BC2311" s="785"/>
      <c r="BD2311" s="900"/>
      <c r="BE2311" s="797"/>
    </row>
    <row r="2312" spans="1:57" s="65" customFormat="1" ht="15" hidden="1" customHeight="1" outlineLevel="1" x14ac:dyDescent="0.25">
      <c r="A2312" s="718"/>
      <c r="B2312" s="177"/>
      <c r="C2312" s="455"/>
      <c r="D2312" s="2806"/>
      <c r="E2312" s="2856"/>
      <c r="F2312" s="2908" t="str">
        <f>$E$1404</f>
        <v>ASHP SEER 16 replace ASHP - early replacement SF ER1</v>
      </c>
      <c r="G2312" s="2909"/>
      <c r="H2312" s="2909"/>
      <c r="I2312" s="2910"/>
      <c r="J2312" s="1657" t="str">
        <f>$C$1404</f>
        <v>352550_2019_12_</v>
      </c>
      <c r="K2312" s="926">
        <v>869</v>
      </c>
      <c r="L2312" s="1123"/>
      <c r="M2312" s="928" t="s">
        <v>1289</v>
      </c>
      <c r="N2312" s="177"/>
      <c r="O2312" s="332"/>
      <c r="P2312" s="1116"/>
      <c r="Q2312" s="1116"/>
      <c r="R2312" s="1116"/>
      <c r="S2312" s="1103"/>
      <c r="T2312" s="1639"/>
      <c r="U2312" s="177"/>
      <c r="V2312" s="2866"/>
      <c r="W2312" s="909">
        <v>869</v>
      </c>
      <c r="X2312" s="909">
        <v>869</v>
      </c>
      <c r="Y2312" s="926">
        <v>869</v>
      </c>
      <c r="Z2312" s="909"/>
      <c r="AA2312" s="926"/>
      <c r="AB2312" s="909"/>
      <c r="AC2312" s="909"/>
      <c r="AD2312" s="909"/>
      <c r="AE2312" s="909"/>
      <c r="AF2312" s="909"/>
      <c r="AG2312" s="909"/>
      <c r="BB2312" s="784"/>
      <c r="BC2312" s="785"/>
      <c r="BD2312" s="900"/>
      <c r="BE2312" s="797"/>
    </row>
    <row r="2313" spans="1:57" s="65" customFormat="1" ht="15" hidden="1" customHeight="1" outlineLevel="1" x14ac:dyDescent="0.25">
      <c r="A2313" s="718"/>
      <c r="B2313" s="177"/>
      <c r="C2313" s="455"/>
      <c r="D2313" s="2806"/>
      <c r="E2313" s="2856"/>
      <c r="F2313" s="2908" t="str">
        <f>$E$1406</f>
        <v>ASHP SEER 16 replace ASHP - early replacement SF ER2</v>
      </c>
      <c r="G2313" s="2909"/>
      <c r="H2313" s="2909"/>
      <c r="I2313" s="2910"/>
      <c r="J2313" s="1657" t="str">
        <f>$C$1406</f>
        <v>352550_2019_12_</v>
      </c>
      <c r="K2313" s="926">
        <v>869</v>
      </c>
      <c r="L2313" s="1124"/>
      <c r="M2313" s="928" t="s">
        <v>1289</v>
      </c>
      <c r="N2313" s="177"/>
      <c r="O2313" s="332"/>
      <c r="P2313" s="1116"/>
      <c r="Q2313" s="1116"/>
      <c r="R2313" s="1116"/>
      <c r="S2313" s="1103"/>
      <c r="T2313" s="1639"/>
      <c r="U2313" s="177"/>
      <c r="V2313" s="2866"/>
      <c r="W2313" s="909">
        <v>869</v>
      </c>
      <c r="X2313" s="909">
        <v>869</v>
      </c>
      <c r="Y2313" s="926">
        <v>869</v>
      </c>
      <c r="Z2313" s="909"/>
      <c r="AA2313" s="926"/>
      <c r="AB2313" s="909"/>
      <c r="AC2313" s="909"/>
      <c r="AD2313" s="909"/>
      <c r="AE2313" s="909"/>
      <c r="AF2313" s="909"/>
      <c r="AG2313" s="909"/>
      <c r="BB2313" s="784"/>
      <c r="BC2313" s="785"/>
      <c r="BD2313" s="900"/>
      <c r="BE2313" s="797"/>
    </row>
    <row r="2314" spans="1:57" s="65" customFormat="1" ht="15" hidden="1" customHeight="1" outlineLevel="1" x14ac:dyDescent="0.25">
      <c r="A2314" s="718"/>
      <c r="B2314" s="177"/>
      <c r="C2314" s="455"/>
      <c r="D2314" s="2806"/>
      <c r="E2314" s="2856"/>
      <c r="F2314" s="2908" t="str">
        <f>$E$1408</f>
        <v>ASHP - SEER 16 - replace electric furnace / CAC SF</v>
      </c>
      <c r="G2314" s="2909"/>
      <c r="H2314" s="2909"/>
      <c r="I2314" s="2910"/>
      <c r="J2314" s="1657" t="str">
        <f>$C$1408</f>
        <v>352600_2019_12_</v>
      </c>
      <c r="K2314" s="926">
        <v>869</v>
      </c>
      <c r="L2314" s="1124"/>
      <c r="M2314" s="928" t="s">
        <v>1289</v>
      </c>
      <c r="N2314" s="177"/>
      <c r="O2314" s="332"/>
      <c r="P2314" s="1116"/>
      <c r="Q2314" s="1116"/>
      <c r="R2314" s="1116"/>
      <c r="S2314" s="1103"/>
      <c r="T2314" s="1639"/>
      <c r="U2314" s="177"/>
      <c r="V2314" s="2866"/>
      <c r="W2314" s="909">
        <v>869</v>
      </c>
      <c r="X2314" s="909">
        <v>869</v>
      </c>
      <c r="Y2314" s="926">
        <v>869</v>
      </c>
      <c r="Z2314" s="909"/>
      <c r="AA2314" s="926"/>
      <c r="AB2314" s="909"/>
      <c r="AC2314" s="909"/>
      <c r="AD2314" s="909"/>
      <c r="AE2314" s="909"/>
      <c r="AF2314" s="909"/>
      <c r="AG2314" s="909"/>
      <c r="BB2314" s="784"/>
      <c r="BC2314" s="785"/>
      <c r="BD2314" s="900"/>
      <c r="BE2314" s="797"/>
    </row>
    <row r="2315" spans="1:57" s="65" customFormat="1" ht="15" hidden="1" customHeight="1" outlineLevel="1" x14ac:dyDescent="0.25">
      <c r="A2315" s="718"/>
      <c r="B2315" s="177"/>
      <c r="C2315" s="455"/>
      <c r="D2315" s="2806"/>
      <c r="E2315" s="2856"/>
      <c r="F2315" s="2908" t="str">
        <f>$E$1410</f>
        <v>ASHP SEER 16 replace ASHP - replace on fail SF</v>
      </c>
      <c r="G2315" s="2909"/>
      <c r="H2315" s="2909"/>
      <c r="I2315" s="2910"/>
      <c r="J2315" s="1657" t="str">
        <f>$C$1410</f>
        <v>352650_2019_12_</v>
      </c>
      <c r="K2315" s="926">
        <v>869</v>
      </c>
      <c r="L2315" s="1124"/>
      <c r="M2315" s="928" t="s">
        <v>1289</v>
      </c>
      <c r="N2315" s="177"/>
      <c r="O2315" s="332"/>
      <c r="P2315" s="1116"/>
      <c r="Q2315" s="1116"/>
      <c r="R2315" s="1116"/>
      <c r="S2315" s="1103"/>
      <c r="T2315" s="1639"/>
      <c r="U2315" s="177"/>
      <c r="V2315" s="2866"/>
      <c r="W2315" s="909">
        <v>869</v>
      </c>
      <c r="X2315" s="909">
        <v>869</v>
      </c>
      <c r="Y2315" s="926">
        <v>869</v>
      </c>
      <c r="Z2315" s="909"/>
      <c r="AA2315" s="926"/>
      <c r="AB2315" s="909"/>
      <c r="AC2315" s="909"/>
      <c r="AD2315" s="909"/>
      <c r="AE2315" s="909"/>
      <c r="AF2315" s="909"/>
      <c r="AG2315" s="909"/>
      <c r="BB2315" s="784"/>
      <c r="BC2315" s="785"/>
      <c r="BD2315" s="900"/>
      <c r="BE2315" s="797"/>
    </row>
    <row r="2316" spans="1:57" s="65" customFormat="1" ht="15" hidden="1" customHeight="1" outlineLevel="1" x14ac:dyDescent="0.25">
      <c r="A2316" s="718"/>
      <c r="B2316" s="177"/>
      <c r="C2316" s="455"/>
      <c r="D2316" s="2806"/>
      <c r="E2316" s="2856"/>
      <c r="F2316" s="2908" t="str">
        <f>$E$1412</f>
        <v>ASHP SEER 15 MF ER replace ASHP: HVAC ER1</v>
      </c>
      <c r="G2316" s="2909"/>
      <c r="H2316" s="2909"/>
      <c r="I2316" s="2910"/>
      <c r="J2316" s="1657" t="str">
        <f>$C$1412</f>
        <v>352700_2019_12_</v>
      </c>
      <c r="K2316" s="926">
        <v>869</v>
      </c>
      <c r="L2316" s="1124"/>
      <c r="M2316" s="928" t="s">
        <v>1289</v>
      </c>
      <c r="N2316" s="177"/>
      <c r="O2316" s="332"/>
      <c r="P2316" s="1116"/>
      <c r="Q2316" s="1116"/>
      <c r="R2316" s="1116"/>
      <c r="S2316" s="1103"/>
      <c r="T2316" s="1639"/>
      <c r="U2316" s="177"/>
      <c r="V2316" s="2866"/>
      <c r="W2316" s="909">
        <v>869</v>
      </c>
      <c r="X2316" s="909">
        <v>869</v>
      </c>
      <c r="Y2316" s="926">
        <v>869</v>
      </c>
      <c r="Z2316" s="909"/>
      <c r="AA2316" s="926"/>
      <c r="AB2316" s="909"/>
      <c r="AC2316" s="909"/>
      <c r="AD2316" s="909"/>
      <c r="AE2316" s="909"/>
      <c r="AF2316" s="909"/>
      <c r="AG2316" s="909"/>
      <c r="BB2316" s="784"/>
      <c r="BC2316" s="785"/>
      <c r="BD2316" s="900"/>
      <c r="BE2316" s="797"/>
    </row>
    <row r="2317" spans="1:57" s="65" customFormat="1" ht="15" hidden="1" customHeight="1" outlineLevel="1" x14ac:dyDescent="0.25">
      <c r="A2317" s="718"/>
      <c r="B2317" s="177"/>
      <c r="C2317" s="455"/>
      <c r="D2317" s="2806"/>
      <c r="E2317" s="2856"/>
      <c r="F2317" s="2908" t="str">
        <f>$E$1414</f>
        <v>ASHP SEER 15 MF ER replace ASHP: HVAC ER2</v>
      </c>
      <c r="G2317" s="2909"/>
      <c r="H2317" s="2909"/>
      <c r="I2317" s="2910"/>
      <c r="J2317" s="1657" t="str">
        <f>$C$1414</f>
        <v>352700_2019_12_</v>
      </c>
      <c r="K2317" s="926">
        <v>869</v>
      </c>
      <c r="L2317" s="1124"/>
      <c r="M2317" s="928" t="s">
        <v>1289</v>
      </c>
      <c r="N2317" s="177"/>
      <c r="O2317" s="332"/>
      <c r="P2317" s="1116"/>
      <c r="Q2317" s="1116"/>
      <c r="R2317" s="1116"/>
      <c r="S2317" s="1103"/>
      <c r="T2317" s="1639"/>
      <c r="U2317" s="177"/>
      <c r="V2317" s="2866"/>
      <c r="W2317" s="909">
        <v>869</v>
      </c>
      <c r="X2317" s="909">
        <v>869</v>
      </c>
      <c r="Y2317" s="926">
        <v>869</v>
      </c>
      <c r="Z2317" s="909"/>
      <c r="AA2317" s="926"/>
      <c r="AB2317" s="909"/>
      <c r="AC2317" s="909"/>
      <c r="AD2317" s="909"/>
      <c r="AE2317" s="909"/>
      <c r="AF2317" s="909"/>
      <c r="AG2317" s="909"/>
      <c r="BB2317" s="784"/>
      <c r="BC2317" s="785"/>
      <c r="BD2317" s="900"/>
      <c r="BE2317" s="797"/>
    </row>
    <row r="2318" spans="1:57" s="65" customFormat="1" ht="15" hidden="1" customHeight="1" outlineLevel="1" x14ac:dyDescent="0.25">
      <c r="A2318" s="718"/>
      <c r="B2318" s="177"/>
      <c r="C2318" s="455"/>
      <c r="D2318" s="2806"/>
      <c r="E2318" s="2856"/>
      <c r="F2318" s="2908" t="str">
        <f>$E$1416</f>
        <v>ASHP SEER 15 MF ER replace ASHP: HVAC ER1_CompE</v>
      </c>
      <c r="G2318" s="2909"/>
      <c r="H2318" s="2909"/>
      <c r="I2318" s="2910"/>
      <c r="J2318" s="1657" t="str">
        <f>$C$1416</f>
        <v>352701_2019_12_</v>
      </c>
      <c r="K2318" s="926">
        <v>632</v>
      </c>
      <c r="L2318" s="1124"/>
      <c r="M2318" s="1053" t="s">
        <v>953</v>
      </c>
      <c r="N2318" s="177"/>
      <c r="O2318" s="332"/>
      <c r="P2318" s="1116"/>
      <c r="Q2318" s="1116"/>
      <c r="R2318" s="1116"/>
      <c r="S2318" s="1103"/>
      <c r="T2318" s="1639"/>
      <c r="U2318" s="177"/>
      <c r="V2318" s="2866"/>
      <c r="W2318" s="909"/>
      <c r="X2318" s="909"/>
      <c r="Y2318" s="933">
        <v>632</v>
      </c>
      <c r="Z2318" s="909"/>
      <c r="AA2318" s="926"/>
      <c r="AB2318" s="909"/>
      <c r="AC2318" s="909"/>
      <c r="AD2318" s="909"/>
      <c r="AE2318" s="909"/>
      <c r="AF2318" s="909"/>
      <c r="AG2318" s="909"/>
      <c r="BB2318" s="784"/>
      <c r="BC2318" s="785"/>
      <c r="BD2318" s="900"/>
      <c r="BE2318" s="797"/>
    </row>
    <row r="2319" spans="1:57" s="65" customFormat="1" ht="15" hidden="1" customHeight="1" outlineLevel="1" x14ac:dyDescent="0.25">
      <c r="A2319" s="718"/>
      <c r="B2319" s="177"/>
      <c r="C2319" s="455"/>
      <c r="D2319" s="2806"/>
      <c r="E2319" s="2856"/>
      <c r="F2319" s="2908" t="str">
        <f>$E$1418</f>
        <v>ASHP SEER 15 MF ER replace ASHP: HVAC ER2_CompE</v>
      </c>
      <c r="G2319" s="2909"/>
      <c r="H2319" s="2909"/>
      <c r="I2319" s="2910"/>
      <c r="J2319" s="1657" t="str">
        <f>$C$1418</f>
        <v>352701_2019_12_</v>
      </c>
      <c r="K2319" s="926">
        <f>$K$2318</f>
        <v>632</v>
      </c>
      <c r="L2319" s="1124"/>
      <c r="M2319" s="1053" t="s">
        <v>953</v>
      </c>
      <c r="N2319" s="177"/>
      <c r="O2319" s="332"/>
      <c r="P2319" s="1116"/>
      <c r="Q2319" s="1116"/>
      <c r="R2319" s="1116"/>
      <c r="S2319" s="1103"/>
      <c r="T2319" s="1639"/>
      <c r="U2319" s="177"/>
      <c r="V2319" s="2866"/>
      <c r="W2319" s="909"/>
      <c r="X2319" s="909"/>
      <c r="Y2319" s="933">
        <f>$K$2318</f>
        <v>632</v>
      </c>
      <c r="Z2319" s="909"/>
      <c r="AA2319" s="926"/>
      <c r="AB2319" s="909"/>
      <c r="AC2319" s="909"/>
      <c r="AD2319" s="909"/>
      <c r="AE2319" s="909"/>
      <c r="AF2319" s="909"/>
      <c r="AG2319" s="909"/>
      <c r="BB2319" s="784"/>
      <c r="BC2319" s="785"/>
      <c r="BD2319" s="900"/>
      <c r="BE2319" s="797"/>
    </row>
    <row r="2320" spans="1:57" s="65" customFormat="1" ht="15" hidden="1" customHeight="1" outlineLevel="1" x14ac:dyDescent="0.25">
      <c r="A2320" s="718"/>
      <c r="B2320" s="177"/>
      <c r="C2320" s="455"/>
      <c r="D2320" s="2806"/>
      <c r="E2320" s="2856"/>
      <c r="F2320" s="2908" t="str">
        <f>$E$1420</f>
        <v>ASHP SEER 15 MF ER replace Elec Resist Furnace: HVAC ER1</v>
      </c>
      <c r="G2320" s="2909"/>
      <c r="H2320" s="2909"/>
      <c r="I2320" s="2910"/>
      <c r="J2320" s="1657" t="str">
        <f>$C$1420</f>
        <v>352750_2019_12_</v>
      </c>
      <c r="K2320" s="926">
        <v>869</v>
      </c>
      <c r="L2320" s="1124"/>
      <c r="M2320" s="928" t="s">
        <v>1289</v>
      </c>
      <c r="N2320" s="177"/>
      <c r="O2320" s="332"/>
      <c r="P2320" s="1116"/>
      <c r="Q2320" s="1116"/>
      <c r="R2320" s="1116"/>
      <c r="S2320" s="1103"/>
      <c r="T2320" s="1639"/>
      <c r="U2320" s="177"/>
      <c r="V2320" s="2866"/>
      <c r="W2320" s="909">
        <v>869</v>
      </c>
      <c r="X2320" s="909">
        <v>869</v>
      </c>
      <c r="Y2320" s="926">
        <v>869</v>
      </c>
      <c r="Z2320" s="909"/>
      <c r="AA2320" s="926"/>
      <c r="AB2320" s="909"/>
      <c r="AC2320" s="909"/>
      <c r="AD2320" s="909"/>
      <c r="AE2320" s="909"/>
      <c r="AF2320" s="909"/>
      <c r="AG2320" s="909"/>
      <c r="BB2320" s="784"/>
      <c r="BC2320" s="785"/>
      <c r="BD2320" s="900"/>
      <c r="BE2320" s="797"/>
    </row>
    <row r="2321" spans="1:57" s="65" customFormat="1" ht="15" hidden="1" customHeight="1" outlineLevel="1" x14ac:dyDescent="0.25">
      <c r="A2321" s="718"/>
      <c r="B2321" s="177"/>
      <c r="C2321" s="455"/>
      <c r="D2321" s="2806"/>
      <c r="E2321" s="2856"/>
      <c r="F2321" s="2908" t="str">
        <f>$E$1422</f>
        <v>ASHP SEER 15 MF ER replace Elec Resist Furnace: HVAC ER2</v>
      </c>
      <c r="G2321" s="2909"/>
      <c r="H2321" s="2909"/>
      <c r="I2321" s="2910"/>
      <c r="J2321" s="1657" t="str">
        <f>$C$1422</f>
        <v>352750_2019_12_</v>
      </c>
      <c r="K2321" s="926">
        <v>869</v>
      </c>
      <c r="L2321" s="1124"/>
      <c r="M2321" s="928" t="s">
        <v>1289</v>
      </c>
      <c r="N2321" s="177"/>
      <c r="O2321" s="332"/>
      <c r="P2321" s="1116"/>
      <c r="Q2321" s="1116"/>
      <c r="R2321" s="1116"/>
      <c r="S2321" s="1103"/>
      <c r="T2321" s="1639"/>
      <c r="U2321" s="177"/>
      <c r="V2321" s="2866"/>
      <c r="W2321" s="909">
        <v>869</v>
      </c>
      <c r="X2321" s="909">
        <v>869</v>
      </c>
      <c r="Y2321" s="926">
        <v>869</v>
      </c>
      <c r="Z2321" s="909"/>
      <c r="AA2321" s="926"/>
      <c r="AB2321" s="909"/>
      <c r="AC2321" s="909"/>
      <c r="AD2321" s="909"/>
      <c r="AE2321" s="909"/>
      <c r="AF2321" s="909"/>
      <c r="AG2321" s="909"/>
      <c r="BB2321" s="784"/>
      <c r="BC2321" s="785"/>
      <c r="BD2321" s="900"/>
      <c r="BE2321" s="797"/>
    </row>
    <row r="2322" spans="1:57" s="65" customFormat="1" ht="15" hidden="1" customHeight="1" outlineLevel="1" x14ac:dyDescent="0.25">
      <c r="A2322" s="718"/>
      <c r="B2322" s="177"/>
      <c r="C2322" s="455"/>
      <c r="D2322" s="2806"/>
      <c r="E2322" s="2856"/>
      <c r="F2322" s="2908" t="str">
        <f>$E$1424</f>
        <v>ASHP SEER 15 MF ER replace Elec Resist Furnace: HVAC ER1_CompE</v>
      </c>
      <c r="G2322" s="2909"/>
      <c r="H2322" s="2909"/>
      <c r="I2322" s="2910"/>
      <c r="J2322" s="1657" t="str">
        <f>$C$1424</f>
        <v>352751_2019_12_</v>
      </c>
      <c r="K2322" s="926">
        <f t="shared" ref="K2322:K2323" si="209">$K$2318</f>
        <v>632</v>
      </c>
      <c r="L2322" s="1124"/>
      <c r="M2322" s="1053" t="s">
        <v>953</v>
      </c>
      <c r="N2322" s="177"/>
      <c r="O2322" s="332"/>
      <c r="P2322" s="1116"/>
      <c r="Q2322" s="1116"/>
      <c r="R2322" s="1116"/>
      <c r="S2322" s="1103"/>
      <c r="T2322" s="1639"/>
      <c r="U2322" s="177"/>
      <c r="V2322" s="2866"/>
      <c r="W2322" s="909"/>
      <c r="X2322" s="909"/>
      <c r="Y2322" s="933">
        <f t="shared" ref="Y2322:Y2323" si="210">$K$2318</f>
        <v>632</v>
      </c>
      <c r="Z2322" s="909"/>
      <c r="AA2322" s="926"/>
      <c r="AB2322" s="909"/>
      <c r="AC2322" s="909"/>
      <c r="AD2322" s="909"/>
      <c r="AE2322" s="909"/>
      <c r="AF2322" s="909"/>
      <c r="AG2322" s="909"/>
      <c r="BB2322" s="784"/>
      <c r="BC2322" s="785"/>
      <c r="BD2322" s="900"/>
      <c r="BE2322" s="797"/>
    </row>
    <row r="2323" spans="1:57" s="65" customFormat="1" ht="15" hidden="1" customHeight="1" outlineLevel="1" x14ac:dyDescent="0.25">
      <c r="A2323" s="718"/>
      <c r="B2323" s="177"/>
      <c r="C2323" s="455"/>
      <c r="D2323" s="2806"/>
      <c r="E2323" s="2856"/>
      <c r="F2323" s="2908" t="str">
        <f>$E$1426</f>
        <v>ASHP SEER 15 MF ER replace Elec Resist Furnace: HVAC ER2_CompE</v>
      </c>
      <c r="G2323" s="2909"/>
      <c r="H2323" s="2909"/>
      <c r="I2323" s="2910"/>
      <c r="J2323" s="1657" t="str">
        <f>$C$1426</f>
        <v>352751_2019_12_</v>
      </c>
      <c r="K2323" s="926">
        <f t="shared" si="209"/>
        <v>632</v>
      </c>
      <c r="L2323" s="1124"/>
      <c r="M2323" s="1053" t="s">
        <v>953</v>
      </c>
      <c r="N2323" s="177"/>
      <c r="O2323" s="332"/>
      <c r="P2323" s="1116"/>
      <c r="Q2323" s="1116"/>
      <c r="R2323" s="1116"/>
      <c r="S2323" s="1103"/>
      <c r="T2323" s="1639"/>
      <c r="U2323" s="177"/>
      <c r="V2323" s="2866"/>
      <c r="W2323" s="909"/>
      <c r="X2323" s="909"/>
      <c r="Y2323" s="933">
        <f t="shared" si="210"/>
        <v>632</v>
      </c>
      <c r="Z2323" s="909"/>
      <c r="AA2323" s="926"/>
      <c r="AB2323" s="909"/>
      <c r="AC2323" s="909"/>
      <c r="AD2323" s="909"/>
      <c r="AE2323" s="909"/>
      <c r="AF2323" s="909"/>
      <c r="AG2323" s="909"/>
      <c r="BB2323" s="784"/>
      <c r="BC2323" s="785"/>
      <c r="BD2323" s="900"/>
      <c r="BE2323" s="797"/>
    </row>
    <row r="2324" spans="1:57" s="65" customFormat="1" ht="15" hidden="1" customHeight="1" outlineLevel="1" x14ac:dyDescent="0.25">
      <c r="A2324" s="718"/>
      <c r="B2324" s="177"/>
      <c r="C2324" s="455"/>
      <c r="D2324" s="2806"/>
      <c r="E2324" s="2856"/>
      <c r="F2324" s="2908" t="str">
        <f>$E$1428</f>
        <v>ASHP SEER 15 MF replace at Fail Elec Resist Furnace: HVAC</v>
      </c>
      <c r="G2324" s="2909"/>
      <c r="H2324" s="2909"/>
      <c r="I2324" s="2910"/>
      <c r="J2324" s="1657" t="str">
        <f>$C$1428</f>
        <v>352800_2019_12_</v>
      </c>
      <c r="K2324" s="926">
        <v>869</v>
      </c>
      <c r="L2324" s="1124"/>
      <c r="M2324" s="928" t="s">
        <v>1289</v>
      </c>
      <c r="N2324" s="177"/>
      <c r="O2324" s="332"/>
      <c r="P2324" s="1116"/>
      <c r="Q2324" s="1116"/>
      <c r="R2324" s="1116"/>
      <c r="S2324" s="1103"/>
      <c r="T2324" s="1639"/>
      <c r="U2324" s="177"/>
      <c r="V2324" s="2866"/>
      <c r="W2324" s="909">
        <v>869</v>
      </c>
      <c r="X2324" s="909">
        <v>869</v>
      </c>
      <c r="Y2324" s="926">
        <v>869</v>
      </c>
      <c r="Z2324" s="909"/>
      <c r="AA2324" s="926"/>
      <c r="AB2324" s="909"/>
      <c r="AC2324" s="909"/>
      <c r="AD2324" s="909"/>
      <c r="AE2324" s="909"/>
      <c r="AF2324" s="909"/>
      <c r="AG2324" s="909"/>
      <c r="BB2324" s="784"/>
      <c r="BC2324" s="785"/>
      <c r="BD2324" s="900"/>
      <c r="BE2324" s="797"/>
    </row>
    <row r="2325" spans="1:57" s="65" customFormat="1" ht="15" hidden="1" customHeight="1" outlineLevel="1" x14ac:dyDescent="0.25">
      <c r="A2325" s="718"/>
      <c r="B2325" s="177"/>
      <c r="C2325" s="455"/>
      <c r="D2325" s="2806"/>
      <c r="E2325" s="2856"/>
      <c r="F2325" s="2908" t="str">
        <f>$E$1430</f>
        <v>ASHP SEER 15 MF replace at Fail Elec Resist Furnace: HVAC_CompE</v>
      </c>
      <c r="G2325" s="2909"/>
      <c r="H2325" s="2909"/>
      <c r="I2325" s="2910"/>
      <c r="J2325" s="1657" t="str">
        <f>$C$1430</f>
        <v>352801_2019_12_</v>
      </c>
      <c r="K2325" s="926">
        <f>$K$2318</f>
        <v>632</v>
      </c>
      <c r="L2325" s="1124"/>
      <c r="M2325" s="1053" t="s">
        <v>953</v>
      </c>
      <c r="N2325" s="177"/>
      <c r="O2325" s="332"/>
      <c r="P2325" s="1116"/>
      <c r="Q2325" s="1116"/>
      <c r="R2325" s="1116"/>
      <c r="S2325" s="1103"/>
      <c r="T2325" s="1639"/>
      <c r="U2325" s="177"/>
      <c r="V2325" s="2866"/>
      <c r="W2325" s="909"/>
      <c r="X2325" s="909"/>
      <c r="Y2325" s="933">
        <f>$K$2318</f>
        <v>632</v>
      </c>
      <c r="Z2325" s="909"/>
      <c r="AA2325" s="926"/>
      <c r="AB2325" s="909"/>
      <c r="AC2325" s="909"/>
      <c r="AD2325" s="909"/>
      <c r="AE2325" s="909"/>
      <c r="AF2325" s="909"/>
      <c r="AG2325" s="909"/>
      <c r="BB2325" s="784"/>
      <c r="BC2325" s="785"/>
      <c r="BD2325" s="900"/>
      <c r="BE2325" s="797"/>
    </row>
    <row r="2326" spans="1:57" s="65" customFormat="1" ht="15" hidden="1" customHeight="1" outlineLevel="1" x14ac:dyDescent="0.25">
      <c r="A2326" s="718"/>
      <c r="B2326" s="177"/>
      <c r="C2326" s="455"/>
      <c r="D2326" s="2806"/>
      <c r="E2326" s="2856"/>
      <c r="F2326" s="2908" t="str">
        <f>$E$1432</f>
        <v>ASHP SEER 16 MF ER replace ASHP: HVAC ER1</v>
      </c>
      <c r="G2326" s="2909"/>
      <c r="H2326" s="2909"/>
      <c r="I2326" s="2910"/>
      <c r="J2326" s="1657" t="str">
        <f>$C$1432</f>
        <v>352850_2019_12_</v>
      </c>
      <c r="K2326" s="926">
        <v>869</v>
      </c>
      <c r="L2326" s="1124"/>
      <c r="M2326" s="928" t="s">
        <v>1289</v>
      </c>
      <c r="N2326" s="177"/>
      <c r="O2326" s="332"/>
      <c r="P2326" s="1116"/>
      <c r="Q2326" s="1116"/>
      <c r="R2326" s="1116"/>
      <c r="S2326" s="1103"/>
      <c r="T2326" s="1639"/>
      <c r="U2326" s="177"/>
      <c r="V2326" s="2866"/>
      <c r="W2326" s="909">
        <v>869</v>
      </c>
      <c r="X2326" s="909">
        <v>869</v>
      </c>
      <c r="Y2326" s="926">
        <v>869</v>
      </c>
      <c r="Z2326" s="909"/>
      <c r="AA2326" s="926"/>
      <c r="AB2326" s="909"/>
      <c r="AC2326" s="909"/>
      <c r="AD2326" s="909"/>
      <c r="AE2326" s="909"/>
      <c r="AF2326" s="909"/>
      <c r="AG2326" s="909"/>
      <c r="BB2326" s="784"/>
      <c r="BC2326" s="785"/>
      <c r="BD2326" s="900"/>
      <c r="BE2326" s="797"/>
    </row>
    <row r="2327" spans="1:57" s="65" customFormat="1" ht="15" hidden="1" customHeight="1" outlineLevel="1" x14ac:dyDescent="0.25">
      <c r="A2327" s="718"/>
      <c r="B2327" s="177"/>
      <c r="C2327" s="455"/>
      <c r="D2327" s="2806"/>
      <c r="E2327" s="2856"/>
      <c r="F2327" s="2908" t="str">
        <f>$E$1434</f>
        <v>ASHP SEER 16 MF ER replace ASHP: HVAC ER2</v>
      </c>
      <c r="G2327" s="2909"/>
      <c r="H2327" s="2909"/>
      <c r="I2327" s="2910"/>
      <c r="J2327" s="1657" t="str">
        <f>$C$1434</f>
        <v>352850_2019_12_</v>
      </c>
      <c r="K2327" s="926">
        <v>869</v>
      </c>
      <c r="L2327" s="1124"/>
      <c r="M2327" s="928" t="s">
        <v>1289</v>
      </c>
      <c r="N2327" s="177"/>
      <c r="O2327" s="332"/>
      <c r="P2327" s="1116"/>
      <c r="Q2327" s="1116"/>
      <c r="R2327" s="1116"/>
      <c r="S2327" s="1103"/>
      <c r="T2327" s="1639"/>
      <c r="U2327" s="177"/>
      <c r="V2327" s="2866"/>
      <c r="W2327" s="909">
        <v>869</v>
      </c>
      <c r="X2327" s="909">
        <v>869</v>
      </c>
      <c r="Y2327" s="926">
        <v>869</v>
      </c>
      <c r="Z2327" s="909"/>
      <c r="AA2327" s="926"/>
      <c r="AB2327" s="909"/>
      <c r="AC2327" s="909"/>
      <c r="AD2327" s="909"/>
      <c r="AE2327" s="909"/>
      <c r="AF2327" s="909"/>
      <c r="AG2327" s="909"/>
      <c r="BB2327" s="784"/>
      <c r="BC2327" s="785"/>
      <c r="BD2327" s="900"/>
      <c r="BE2327" s="797"/>
    </row>
    <row r="2328" spans="1:57" s="65" customFormat="1" ht="15" hidden="1" customHeight="1" outlineLevel="1" x14ac:dyDescent="0.25">
      <c r="A2328" s="718"/>
      <c r="B2328" s="177"/>
      <c r="C2328" s="455"/>
      <c r="D2328" s="2806"/>
      <c r="E2328" s="2856"/>
      <c r="F2328" s="2908" t="str">
        <f>$E$1436</f>
        <v>ASHP SEER 16 MF ER replace ASHP: HVAC ER1_CompE</v>
      </c>
      <c r="G2328" s="2909"/>
      <c r="H2328" s="2909"/>
      <c r="I2328" s="2910"/>
      <c r="J2328" s="1657" t="str">
        <f>$C$1436</f>
        <v>352851_2019_12_</v>
      </c>
      <c r="K2328" s="926">
        <f t="shared" ref="K2328:K2329" si="211">$K$2318</f>
        <v>632</v>
      </c>
      <c r="L2328" s="1124"/>
      <c r="M2328" s="1053" t="s">
        <v>953</v>
      </c>
      <c r="N2328" s="177"/>
      <c r="O2328" s="332"/>
      <c r="P2328" s="1116"/>
      <c r="Q2328" s="1116"/>
      <c r="R2328" s="1116"/>
      <c r="S2328" s="1103"/>
      <c r="T2328" s="1639"/>
      <c r="U2328" s="177"/>
      <c r="V2328" s="2866"/>
      <c r="W2328" s="909"/>
      <c r="X2328" s="909"/>
      <c r="Y2328" s="933">
        <f t="shared" ref="Y2328:Y2329" si="212">$K$2318</f>
        <v>632</v>
      </c>
      <c r="Z2328" s="909"/>
      <c r="AA2328" s="926"/>
      <c r="AB2328" s="909"/>
      <c r="AC2328" s="909"/>
      <c r="AD2328" s="909"/>
      <c r="AE2328" s="909"/>
      <c r="AF2328" s="909"/>
      <c r="AG2328" s="909"/>
      <c r="BB2328" s="784"/>
      <c r="BC2328" s="785"/>
      <c r="BD2328" s="900"/>
      <c r="BE2328" s="797"/>
    </row>
    <row r="2329" spans="1:57" s="65" customFormat="1" ht="15" hidden="1" customHeight="1" outlineLevel="1" x14ac:dyDescent="0.25">
      <c r="A2329" s="718"/>
      <c r="B2329" s="177"/>
      <c r="C2329" s="455"/>
      <c r="D2329" s="2806"/>
      <c r="E2329" s="2856"/>
      <c r="F2329" s="2908" t="str">
        <f>$E$1438</f>
        <v>ASHP SEER 16 MF ER replace ASHP: HVAC ER2_CompE</v>
      </c>
      <c r="G2329" s="2909"/>
      <c r="H2329" s="2909"/>
      <c r="I2329" s="2910"/>
      <c r="J2329" s="1657" t="str">
        <f>$C$1438</f>
        <v>352851_2019_12_</v>
      </c>
      <c r="K2329" s="926">
        <f t="shared" si="211"/>
        <v>632</v>
      </c>
      <c r="L2329" s="1124"/>
      <c r="M2329" s="1053" t="s">
        <v>953</v>
      </c>
      <c r="N2329" s="177"/>
      <c r="O2329" s="332"/>
      <c r="P2329" s="1116"/>
      <c r="Q2329" s="1116"/>
      <c r="R2329" s="1116"/>
      <c r="S2329" s="1103"/>
      <c r="T2329" s="1639"/>
      <c r="U2329" s="177"/>
      <c r="V2329" s="2866"/>
      <c r="W2329" s="909"/>
      <c r="X2329" s="909"/>
      <c r="Y2329" s="933">
        <f t="shared" si="212"/>
        <v>632</v>
      </c>
      <c r="Z2329" s="909"/>
      <c r="AA2329" s="926"/>
      <c r="AB2329" s="909"/>
      <c r="AC2329" s="909"/>
      <c r="AD2329" s="909"/>
      <c r="AE2329" s="909"/>
      <c r="AF2329" s="909"/>
      <c r="AG2329" s="909"/>
      <c r="BB2329" s="784"/>
      <c r="BC2329" s="785"/>
      <c r="BD2329" s="900"/>
      <c r="BE2329" s="797"/>
    </row>
    <row r="2330" spans="1:57" s="65" customFormat="1" ht="15" hidden="1" customHeight="1" outlineLevel="1" x14ac:dyDescent="0.25">
      <c r="A2330" s="718"/>
      <c r="B2330" s="177"/>
      <c r="C2330" s="455"/>
      <c r="D2330" s="2806"/>
      <c r="E2330" s="2856"/>
      <c r="F2330" s="2908" t="str">
        <f>$E$1440</f>
        <v>ASHP - SEER 16 - replace on fail MF</v>
      </c>
      <c r="G2330" s="2909"/>
      <c r="H2330" s="2909"/>
      <c r="I2330" s="2910"/>
      <c r="J2330" s="1657" t="str">
        <f>$C$1440</f>
        <v>352900_2019_12_</v>
      </c>
      <c r="K2330" s="926">
        <v>869</v>
      </c>
      <c r="L2330" s="1124"/>
      <c r="M2330" s="928" t="s">
        <v>1289</v>
      </c>
      <c r="N2330" s="177"/>
      <c r="O2330" s="332"/>
      <c r="P2330" s="1116"/>
      <c r="Q2330" s="1116"/>
      <c r="R2330" s="1116"/>
      <c r="S2330" s="1103"/>
      <c r="T2330" s="1639"/>
      <c r="U2330" s="177"/>
      <c r="V2330" s="2866"/>
      <c r="W2330" s="909">
        <v>869</v>
      </c>
      <c r="X2330" s="909">
        <v>869</v>
      </c>
      <c r="Y2330" s="926">
        <v>869</v>
      </c>
      <c r="Z2330" s="909"/>
      <c r="AA2330" s="926"/>
      <c r="AB2330" s="909"/>
      <c r="AC2330" s="909"/>
      <c r="AD2330" s="909"/>
      <c r="AE2330" s="909"/>
      <c r="AF2330" s="909"/>
      <c r="AG2330" s="909"/>
      <c r="BB2330" s="784"/>
      <c r="BC2330" s="785"/>
      <c r="BD2330" s="900"/>
      <c r="BE2330" s="797"/>
    </row>
    <row r="2331" spans="1:57" s="65" customFormat="1" ht="15" hidden="1" customHeight="1" outlineLevel="1" x14ac:dyDescent="0.25">
      <c r="A2331" s="718"/>
      <c r="B2331" s="177"/>
      <c r="C2331" s="455"/>
      <c r="D2331" s="2806"/>
      <c r="E2331" s="2856"/>
      <c r="F2331" s="2908" t="str">
        <f>$E$1442</f>
        <v>ASHP - SEER 16 - replace on fail MF_CompE</v>
      </c>
      <c r="G2331" s="2909"/>
      <c r="H2331" s="2909"/>
      <c r="I2331" s="2910"/>
      <c r="J2331" s="1657" t="str">
        <f>$C$1442</f>
        <v>352901_2019_12_</v>
      </c>
      <c r="K2331" s="926">
        <f>$K$2318</f>
        <v>632</v>
      </c>
      <c r="L2331" s="1124"/>
      <c r="M2331" s="1053" t="s">
        <v>953</v>
      </c>
      <c r="N2331" s="177"/>
      <c r="O2331" s="332"/>
      <c r="P2331" s="1116"/>
      <c r="Q2331" s="1116"/>
      <c r="R2331" s="1116"/>
      <c r="S2331" s="1103"/>
      <c r="T2331" s="1639"/>
      <c r="U2331" s="177"/>
      <c r="V2331" s="2866"/>
      <c r="W2331" s="909"/>
      <c r="X2331" s="909"/>
      <c r="Y2331" s="933">
        <f>$K$2318</f>
        <v>632</v>
      </c>
      <c r="Z2331" s="909"/>
      <c r="AA2331" s="926"/>
      <c r="AB2331" s="909"/>
      <c r="AC2331" s="909"/>
      <c r="AD2331" s="909"/>
      <c r="AE2331" s="909"/>
      <c r="AF2331" s="909"/>
      <c r="AG2331" s="909"/>
      <c r="BB2331" s="784"/>
      <c r="BC2331" s="785"/>
      <c r="BD2331" s="900"/>
      <c r="BE2331" s="797"/>
    </row>
    <row r="2332" spans="1:57" s="65" customFormat="1" ht="15" hidden="1" customHeight="1" outlineLevel="1" x14ac:dyDescent="0.25">
      <c r="A2332" s="718"/>
      <c r="B2332" s="177"/>
      <c r="C2332" s="455"/>
      <c r="D2332" s="2806"/>
      <c r="E2332" s="2856"/>
      <c r="F2332" s="2908" t="str">
        <f>$E$1444</f>
        <v>ASHP - SEER 16 - replace electric furnace / CAC MF</v>
      </c>
      <c r="G2332" s="2909"/>
      <c r="H2332" s="2909"/>
      <c r="I2332" s="2910"/>
      <c r="J2332" s="1657" t="str">
        <f>$C$1444</f>
        <v>352950_2019_12_</v>
      </c>
      <c r="K2332" s="926">
        <v>869</v>
      </c>
      <c r="L2332" s="1124"/>
      <c r="M2332" s="928" t="s">
        <v>1289</v>
      </c>
      <c r="N2332" s="177"/>
      <c r="O2332" s="332"/>
      <c r="P2332" s="1116"/>
      <c r="Q2332" s="1116"/>
      <c r="R2332" s="1116"/>
      <c r="S2332" s="1103"/>
      <c r="T2332" s="1639"/>
      <c r="U2332" s="177"/>
      <c r="V2332" s="2866"/>
      <c r="W2332" s="909">
        <v>869</v>
      </c>
      <c r="X2332" s="909">
        <v>869</v>
      </c>
      <c r="Y2332" s="926">
        <v>869</v>
      </c>
      <c r="Z2332" s="909"/>
      <c r="AA2332" s="926"/>
      <c r="AB2332" s="909"/>
      <c r="AC2332" s="909"/>
      <c r="AD2332" s="909"/>
      <c r="AE2332" s="909"/>
      <c r="AF2332" s="909"/>
      <c r="AG2332" s="909"/>
      <c r="BB2332" s="784"/>
      <c r="BC2332" s="785"/>
      <c r="BD2332" s="900"/>
      <c r="BE2332" s="797"/>
    </row>
    <row r="2333" spans="1:57" s="65" customFormat="1" ht="15" hidden="1" customHeight="1" outlineLevel="1" x14ac:dyDescent="0.25">
      <c r="A2333" s="718"/>
      <c r="B2333" s="177"/>
      <c r="C2333" s="455"/>
      <c r="D2333" s="2806"/>
      <c r="E2333" s="2856"/>
      <c r="F2333" s="2908" t="str">
        <f>$E$1446</f>
        <v>ASHP - SEER 16 - replace electric furnace / CAC MF_CompE</v>
      </c>
      <c r="G2333" s="2909"/>
      <c r="H2333" s="2909"/>
      <c r="I2333" s="2910"/>
      <c r="J2333" s="1657" t="str">
        <f>$C$1446</f>
        <v>352951_2019_12_</v>
      </c>
      <c r="K2333" s="926">
        <f>$K$2318</f>
        <v>632</v>
      </c>
      <c r="L2333" s="1124"/>
      <c r="M2333" s="1053" t="s">
        <v>953</v>
      </c>
      <c r="N2333" s="177"/>
      <c r="O2333" s="332"/>
      <c r="P2333" s="1116"/>
      <c r="Q2333" s="1116"/>
      <c r="R2333" s="1116"/>
      <c r="S2333" s="1103"/>
      <c r="T2333" s="1639"/>
      <c r="U2333" s="177"/>
      <c r="V2333" s="2866"/>
      <c r="W2333" s="909"/>
      <c r="X2333" s="909"/>
      <c r="Y2333" s="933">
        <f>$K$2318</f>
        <v>632</v>
      </c>
      <c r="Z2333" s="909"/>
      <c r="AA2333" s="926"/>
      <c r="AB2333" s="909"/>
      <c r="AC2333" s="909"/>
      <c r="AD2333" s="909"/>
      <c r="AE2333" s="909"/>
      <c r="AF2333" s="909"/>
      <c r="AG2333" s="909"/>
      <c r="BB2333" s="784"/>
      <c r="BC2333" s="785"/>
      <c r="BD2333" s="900"/>
      <c r="BE2333" s="797"/>
    </row>
    <row r="2334" spans="1:57" s="65" customFormat="1" ht="15" hidden="1" customHeight="1" outlineLevel="1" x14ac:dyDescent="0.25">
      <c r="A2334" s="718"/>
      <c r="B2334" s="177"/>
      <c r="C2334" s="455"/>
      <c r="D2334" s="2806"/>
      <c r="E2334" s="2856"/>
      <c r="F2334" s="2908" t="str">
        <f>$E$1448</f>
        <v>ASHP - SEER 16 - replace electric furnace / CAC - early replacement MF ER1</v>
      </c>
      <c r="G2334" s="2909"/>
      <c r="H2334" s="2909"/>
      <c r="I2334" s="2910"/>
      <c r="J2334" s="1657" t="str">
        <f>$C$1448</f>
        <v>353000_2019_12_</v>
      </c>
      <c r="K2334" s="926">
        <v>869</v>
      </c>
      <c r="L2334" s="1124"/>
      <c r="M2334" s="928" t="s">
        <v>1289</v>
      </c>
      <c r="N2334" s="177"/>
      <c r="O2334" s="332"/>
      <c r="P2334" s="1116"/>
      <c r="Q2334" s="1116"/>
      <c r="R2334" s="1116"/>
      <c r="S2334" s="1103"/>
      <c r="T2334" s="1639"/>
      <c r="U2334" s="177"/>
      <c r="V2334" s="2866"/>
      <c r="W2334" s="909">
        <v>869</v>
      </c>
      <c r="X2334" s="909">
        <v>869</v>
      </c>
      <c r="Y2334" s="926">
        <v>869</v>
      </c>
      <c r="Z2334" s="909"/>
      <c r="AA2334" s="926"/>
      <c r="AB2334" s="909"/>
      <c r="AC2334" s="909"/>
      <c r="AD2334" s="909"/>
      <c r="AE2334" s="909"/>
      <c r="AF2334" s="909"/>
      <c r="AG2334" s="909"/>
      <c r="BB2334" s="784"/>
      <c r="BC2334" s="785"/>
      <c r="BD2334" s="900"/>
      <c r="BE2334" s="797"/>
    </row>
    <row r="2335" spans="1:57" s="65" customFormat="1" ht="15" hidden="1" customHeight="1" outlineLevel="1" x14ac:dyDescent="0.25">
      <c r="A2335" s="718"/>
      <c r="B2335" s="177"/>
      <c r="C2335" s="455"/>
      <c r="D2335" s="2806"/>
      <c r="E2335" s="2856"/>
      <c r="F2335" s="2908" t="str">
        <f>$E$1450</f>
        <v>ASHP - SEER 16 - replace electric furnace / CAC - early replacement MF ER2</v>
      </c>
      <c r="G2335" s="2909"/>
      <c r="H2335" s="2909"/>
      <c r="I2335" s="2910"/>
      <c r="J2335" s="1657" t="str">
        <f>$C$1450</f>
        <v>353000_2019_12_</v>
      </c>
      <c r="K2335" s="926">
        <v>869</v>
      </c>
      <c r="L2335" s="1124"/>
      <c r="M2335" s="928" t="s">
        <v>1289</v>
      </c>
      <c r="N2335" s="177"/>
      <c r="O2335" s="332"/>
      <c r="P2335" s="1116"/>
      <c r="Q2335" s="1116"/>
      <c r="R2335" s="1116"/>
      <c r="S2335" s="1103"/>
      <c r="T2335" s="1639"/>
      <c r="U2335" s="177"/>
      <c r="V2335" s="2866"/>
      <c r="W2335" s="909">
        <v>869</v>
      </c>
      <c r="X2335" s="909">
        <v>869</v>
      </c>
      <c r="Y2335" s="926">
        <v>869</v>
      </c>
      <c r="Z2335" s="909"/>
      <c r="AA2335" s="926"/>
      <c r="AB2335" s="909"/>
      <c r="AC2335" s="909"/>
      <c r="AD2335" s="909"/>
      <c r="AE2335" s="909"/>
      <c r="AF2335" s="909"/>
      <c r="AG2335" s="909"/>
      <c r="BB2335" s="784"/>
      <c r="BC2335" s="785"/>
      <c r="BD2335" s="900"/>
      <c r="BE2335" s="797"/>
    </row>
    <row r="2336" spans="1:57" s="65" customFormat="1" ht="15" hidden="1" customHeight="1" outlineLevel="1" x14ac:dyDescent="0.25">
      <c r="A2336" s="718"/>
      <c r="B2336" s="177"/>
      <c r="C2336" s="455"/>
      <c r="D2336" s="2806"/>
      <c r="E2336" s="2856"/>
      <c r="F2336" s="2908" t="str">
        <f>$E$1452</f>
        <v>ASHP - SEER 16 - replace electric furnace / CAC - early replacement MF ER1_CompE</v>
      </c>
      <c r="G2336" s="2909"/>
      <c r="H2336" s="2909"/>
      <c r="I2336" s="2910"/>
      <c r="J2336" s="1657" t="str">
        <f>$C$1452</f>
        <v>353001_2019_12_</v>
      </c>
      <c r="K2336" s="926">
        <f t="shared" ref="K2336:K2337" si="213">$K$2318</f>
        <v>632</v>
      </c>
      <c r="L2336" s="1124"/>
      <c r="M2336" s="1053" t="s">
        <v>953</v>
      </c>
      <c r="N2336" s="177"/>
      <c r="O2336" s="332"/>
      <c r="P2336" s="1116"/>
      <c r="Q2336" s="1116"/>
      <c r="R2336" s="1116"/>
      <c r="S2336" s="1103"/>
      <c r="T2336" s="1639"/>
      <c r="U2336" s="177"/>
      <c r="V2336" s="2866"/>
      <c r="W2336" s="909"/>
      <c r="X2336" s="909"/>
      <c r="Y2336" s="933">
        <f t="shared" ref="Y2336:Y2337" si="214">$K$2318</f>
        <v>632</v>
      </c>
      <c r="Z2336" s="909"/>
      <c r="AA2336" s="926"/>
      <c r="AB2336" s="909"/>
      <c r="AC2336" s="909"/>
      <c r="AD2336" s="909"/>
      <c r="AE2336" s="909"/>
      <c r="AF2336" s="909"/>
      <c r="AG2336" s="909"/>
      <c r="BB2336" s="784"/>
      <c r="BC2336" s="785"/>
      <c r="BD2336" s="900"/>
      <c r="BE2336" s="797"/>
    </row>
    <row r="2337" spans="1:57" s="65" customFormat="1" ht="15" hidden="1" customHeight="1" outlineLevel="1" x14ac:dyDescent="0.25">
      <c r="A2337" s="718"/>
      <c r="B2337" s="177"/>
      <c r="C2337" s="455"/>
      <c r="D2337" s="2806"/>
      <c r="E2337" s="2856"/>
      <c r="F2337" s="2908" t="str">
        <f>$E$1454</f>
        <v>ASHP - SEER 16 - replace electric furnace / CAC - early replacement MF ER2_CompE</v>
      </c>
      <c r="G2337" s="2909"/>
      <c r="H2337" s="2909"/>
      <c r="I2337" s="2910"/>
      <c r="J2337" s="1657" t="str">
        <f>$C$1454</f>
        <v>353001_2019_12_</v>
      </c>
      <c r="K2337" s="926">
        <f t="shared" si="213"/>
        <v>632</v>
      </c>
      <c r="L2337" s="1124"/>
      <c r="M2337" s="1053" t="s">
        <v>953</v>
      </c>
      <c r="N2337" s="177"/>
      <c r="O2337" s="332"/>
      <c r="P2337" s="1116"/>
      <c r="Q2337" s="1116"/>
      <c r="R2337" s="1116"/>
      <c r="S2337" s="1103"/>
      <c r="T2337" s="1639"/>
      <c r="U2337" s="177"/>
      <c r="V2337" s="2866"/>
      <c r="W2337" s="909"/>
      <c r="X2337" s="909"/>
      <c r="Y2337" s="933">
        <f t="shared" si="214"/>
        <v>632</v>
      </c>
      <c r="Z2337" s="909"/>
      <c r="AA2337" s="926"/>
      <c r="AB2337" s="909"/>
      <c r="AC2337" s="909"/>
      <c r="AD2337" s="909"/>
      <c r="AE2337" s="909"/>
      <c r="AF2337" s="909"/>
      <c r="AG2337" s="909"/>
      <c r="BB2337" s="784"/>
      <c r="BC2337" s="785"/>
      <c r="BD2337" s="900"/>
      <c r="BE2337" s="797"/>
    </row>
    <row r="2338" spans="1:57" s="65" customFormat="1" ht="15" hidden="1" customHeight="1" outlineLevel="1" x14ac:dyDescent="0.25">
      <c r="A2338" s="718"/>
      <c r="B2338" s="177"/>
      <c r="C2338" s="455"/>
      <c r="D2338" s="2806"/>
      <c r="E2338" s="2856"/>
      <c r="F2338" s="2911" t="str">
        <f>$E$1456</f>
        <v xml:space="preserve">ASHP SEER 15 - replace on Fail MF </v>
      </c>
      <c r="G2338" s="2912"/>
      <c r="H2338" s="2912"/>
      <c r="I2338" s="2913"/>
      <c r="J2338" s="1658" t="str">
        <f>$C$1456</f>
        <v>353050_2019_12_</v>
      </c>
      <c r="K2338" s="926">
        <v>869</v>
      </c>
      <c r="L2338" s="1124"/>
      <c r="M2338" s="928" t="s">
        <v>1289</v>
      </c>
      <c r="N2338" s="177"/>
      <c r="O2338" s="332"/>
      <c r="P2338" s="1116"/>
      <c r="Q2338" s="1116"/>
      <c r="R2338" s="1116"/>
      <c r="S2338" s="1103"/>
      <c r="T2338" s="1639"/>
      <c r="U2338" s="177"/>
      <c r="V2338" s="2866"/>
      <c r="W2338" s="909">
        <v>869</v>
      </c>
      <c r="X2338" s="909">
        <v>869</v>
      </c>
      <c r="Y2338" s="926">
        <v>869</v>
      </c>
      <c r="Z2338" s="909"/>
      <c r="AA2338" s="926"/>
      <c r="AB2338" s="909"/>
      <c r="AC2338" s="909"/>
      <c r="AD2338" s="909"/>
      <c r="AE2338" s="909"/>
      <c r="AF2338" s="909"/>
      <c r="AG2338" s="909"/>
      <c r="BB2338" s="784"/>
      <c r="BC2338" s="785"/>
      <c r="BD2338" s="900"/>
      <c r="BE2338" s="797"/>
    </row>
    <row r="2339" spans="1:57" s="65" customFormat="1" ht="15" hidden="1" customHeight="1" outlineLevel="1" x14ac:dyDescent="0.25">
      <c r="A2339" s="718"/>
      <c r="B2339" s="177"/>
      <c r="C2339" s="455"/>
      <c r="D2339" s="2806"/>
      <c r="E2339" s="2856"/>
      <c r="F2339" s="2911" t="str">
        <f>$E$1458</f>
        <v>ASHP SEER 15 - replace on Fail MF _CompE</v>
      </c>
      <c r="G2339" s="2912"/>
      <c r="H2339" s="2912"/>
      <c r="I2339" s="2913"/>
      <c r="J2339" s="1658" t="str">
        <f>$C$1458</f>
        <v>353051_2019_12_</v>
      </c>
      <c r="K2339" s="926">
        <f>$K$2318</f>
        <v>632</v>
      </c>
      <c r="L2339" s="1124"/>
      <c r="M2339" s="1053" t="s">
        <v>953</v>
      </c>
      <c r="N2339" s="177"/>
      <c r="O2339" s="332"/>
      <c r="P2339" s="1116"/>
      <c r="Q2339" s="1116"/>
      <c r="R2339" s="1116"/>
      <c r="S2339" s="1103"/>
      <c r="T2339" s="1639"/>
      <c r="U2339" s="177"/>
      <c r="V2339" s="2866"/>
      <c r="W2339" s="909"/>
      <c r="X2339" s="909"/>
      <c r="Y2339" s="933">
        <f>$K$2318</f>
        <v>632</v>
      </c>
      <c r="Z2339" s="909"/>
      <c r="AA2339" s="926"/>
      <c r="AB2339" s="909"/>
      <c r="AC2339" s="909"/>
      <c r="AD2339" s="909"/>
      <c r="AE2339" s="909"/>
      <c r="AF2339" s="909"/>
      <c r="AG2339" s="909"/>
      <c r="BB2339" s="784"/>
      <c r="BC2339" s="785"/>
      <c r="BD2339" s="900"/>
      <c r="BE2339" s="797"/>
    </row>
    <row r="2340" spans="1:57" s="65" customFormat="1" ht="15" hidden="1" customHeight="1" outlineLevel="1" x14ac:dyDescent="0.25">
      <c r="A2340" s="718"/>
      <c r="B2340" s="177"/>
      <c r="C2340" s="455"/>
      <c r="D2340" s="2806"/>
      <c r="E2340" s="2856"/>
      <c r="F2340" s="2908" t="str">
        <f>$E$1460</f>
        <v>ASHP - SEER 17 - replace electric furnace / CAC SF</v>
      </c>
      <c r="G2340" s="2909"/>
      <c r="H2340" s="2909"/>
      <c r="I2340" s="2910"/>
      <c r="J2340" s="1657" t="str">
        <f>$C$1460</f>
        <v>353100_2019_12_</v>
      </c>
      <c r="K2340" s="926">
        <v>869</v>
      </c>
      <c r="L2340" s="1124"/>
      <c r="M2340" s="928" t="s">
        <v>1289</v>
      </c>
      <c r="N2340" s="177"/>
      <c r="O2340" s="332"/>
      <c r="P2340" s="1116"/>
      <c r="Q2340" s="1116"/>
      <c r="R2340" s="1116"/>
      <c r="S2340" s="1103"/>
      <c r="T2340" s="1639"/>
      <c r="U2340" s="177"/>
      <c r="V2340" s="2866"/>
      <c r="W2340" s="909">
        <v>869</v>
      </c>
      <c r="X2340" s="909">
        <v>869</v>
      </c>
      <c r="Y2340" s="926">
        <v>869</v>
      </c>
      <c r="Z2340" s="909"/>
      <c r="AA2340" s="926"/>
      <c r="AB2340" s="909"/>
      <c r="AC2340" s="909"/>
      <c r="AD2340" s="909"/>
      <c r="AE2340" s="909"/>
      <c r="AF2340" s="909"/>
      <c r="AG2340" s="909"/>
      <c r="BB2340" s="784"/>
      <c r="BC2340" s="785"/>
      <c r="BD2340" s="900"/>
      <c r="BE2340" s="797"/>
    </row>
    <row r="2341" spans="1:57" s="65" customFormat="1" ht="15" hidden="1" customHeight="1" outlineLevel="1" x14ac:dyDescent="0.25">
      <c r="A2341" s="718"/>
      <c r="B2341" s="177"/>
      <c r="C2341" s="455"/>
      <c r="D2341" s="2806"/>
      <c r="E2341" s="2856"/>
      <c r="F2341" s="2908" t="str">
        <f>$E$1462</f>
        <v>ASHP - SEER 17 - replace electric furnace / CAC MF</v>
      </c>
      <c r="G2341" s="2909"/>
      <c r="H2341" s="2909"/>
      <c r="I2341" s="2910"/>
      <c r="J2341" s="1657" t="str">
        <f>$C$1462</f>
        <v>353150_2019_12_</v>
      </c>
      <c r="K2341" s="926">
        <v>869</v>
      </c>
      <c r="L2341" s="1124"/>
      <c r="M2341" s="928" t="s">
        <v>1289</v>
      </c>
      <c r="N2341" s="177"/>
      <c r="O2341" s="332"/>
      <c r="P2341" s="1116"/>
      <c r="Q2341" s="1116"/>
      <c r="R2341" s="1116"/>
      <c r="S2341" s="1103"/>
      <c r="T2341" s="1639"/>
      <c r="U2341" s="177"/>
      <c r="V2341" s="2866"/>
      <c r="W2341" s="909">
        <v>869</v>
      </c>
      <c r="X2341" s="909">
        <v>869</v>
      </c>
      <c r="Y2341" s="926">
        <v>869</v>
      </c>
      <c r="Z2341" s="909"/>
      <c r="AA2341" s="926"/>
      <c r="AB2341" s="909"/>
      <c r="AC2341" s="909"/>
      <c r="AD2341" s="909"/>
      <c r="AE2341" s="909"/>
      <c r="AF2341" s="909"/>
      <c r="AG2341" s="909"/>
      <c r="BB2341" s="784"/>
      <c r="BC2341" s="785"/>
      <c r="BD2341" s="900"/>
      <c r="BE2341" s="797"/>
    </row>
    <row r="2342" spans="1:57" s="65" customFormat="1" ht="15" hidden="1" customHeight="1" outlineLevel="1" x14ac:dyDescent="0.25">
      <c r="A2342" s="718"/>
      <c r="B2342" s="177"/>
      <c r="C2342" s="455"/>
      <c r="D2342" s="2806"/>
      <c r="E2342" s="2856"/>
      <c r="F2342" s="2908" t="str">
        <f>$E$1464</f>
        <v>ASHP - SEER 17 - replace electric furnace / CAC MF_CompE</v>
      </c>
      <c r="G2342" s="2909"/>
      <c r="H2342" s="2909"/>
      <c r="I2342" s="2910"/>
      <c r="J2342" s="1657" t="str">
        <f>$C$1464</f>
        <v>353151_2019_12_</v>
      </c>
      <c r="K2342" s="926">
        <f>$K$2318</f>
        <v>632</v>
      </c>
      <c r="L2342" s="1124"/>
      <c r="M2342" s="1053" t="s">
        <v>953</v>
      </c>
      <c r="N2342" s="177"/>
      <c r="O2342" s="332"/>
      <c r="P2342" s="1116"/>
      <c r="Q2342" s="1116"/>
      <c r="R2342" s="1116"/>
      <c r="S2342" s="1103"/>
      <c r="T2342" s="1639"/>
      <c r="U2342" s="177"/>
      <c r="V2342" s="2866"/>
      <c r="W2342" s="909"/>
      <c r="X2342" s="909"/>
      <c r="Y2342" s="933">
        <f>$K$2318</f>
        <v>632</v>
      </c>
      <c r="Z2342" s="909"/>
      <c r="AA2342" s="926"/>
      <c r="AB2342" s="909"/>
      <c r="AC2342" s="909"/>
      <c r="AD2342" s="909"/>
      <c r="AE2342" s="909"/>
      <c r="AF2342" s="909"/>
      <c r="AG2342" s="909"/>
      <c r="BB2342" s="784"/>
      <c r="BC2342" s="785"/>
      <c r="BD2342" s="900"/>
      <c r="BE2342" s="797"/>
    </row>
    <row r="2343" spans="1:57" s="65" customFormat="1" ht="15" hidden="1" customHeight="1" outlineLevel="1" x14ac:dyDescent="0.25">
      <c r="A2343" s="718"/>
      <c r="B2343" s="177"/>
      <c r="C2343" s="455"/>
      <c r="D2343" s="2806"/>
      <c r="E2343" s="2856"/>
      <c r="F2343" s="2908" t="str">
        <f>$E$1466</f>
        <v>ASHP - SEER 18 - replace electric furnace / CAC SF</v>
      </c>
      <c r="G2343" s="2909"/>
      <c r="H2343" s="2909"/>
      <c r="I2343" s="2910"/>
      <c r="J2343" s="1657" t="str">
        <f>$C$1466</f>
        <v>353200_2019_12_</v>
      </c>
      <c r="K2343" s="926">
        <v>869</v>
      </c>
      <c r="L2343" s="1124"/>
      <c r="M2343" s="928" t="s">
        <v>1289</v>
      </c>
      <c r="N2343" s="177"/>
      <c r="O2343" s="332"/>
      <c r="P2343" s="1116"/>
      <c r="Q2343" s="1116"/>
      <c r="R2343" s="1116"/>
      <c r="S2343" s="1103"/>
      <c r="T2343" s="1639"/>
      <c r="U2343" s="177"/>
      <c r="V2343" s="2866"/>
      <c r="W2343" s="909">
        <v>869</v>
      </c>
      <c r="X2343" s="909">
        <v>869</v>
      </c>
      <c r="Y2343" s="926">
        <v>869</v>
      </c>
      <c r="Z2343" s="909"/>
      <c r="AA2343" s="926"/>
      <c r="AB2343" s="909"/>
      <c r="AC2343" s="909"/>
      <c r="AD2343" s="909"/>
      <c r="AE2343" s="909"/>
      <c r="AF2343" s="909"/>
      <c r="AG2343" s="909"/>
      <c r="BB2343" s="784"/>
      <c r="BC2343" s="785"/>
      <c r="BD2343" s="900"/>
      <c r="BE2343" s="797"/>
    </row>
    <row r="2344" spans="1:57" s="65" customFormat="1" ht="15" hidden="1" customHeight="1" outlineLevel="1" x14ac:dyDescent="0.25">
      <c r="A2344" s="718"/>
      <c r="B2344" s="177"/>
      <c r="C2344" s="455"/>
      <c r="D2344" s="2806"/>
      <c r="E2344" s="2856"/>
      <c r="F2344" s="2908" t="str">
        <f>$E$1468</f>
        <v>ASHP - SEER 18 - replace electric furnace / CAC MF</v>
      </c>
      <c r="G2344" s="2909"/>
      <c r="H2344" s="2909"/>
      <c r="I2344" s="2910"/>
      <c r="J2344" s="1657" t="str">
        <f>$C$1468</f>
        <v>353250_2019_12_</v>
      </c>
      <c r="K2344" s="926">
        <v>869</v>
      </c>
      <c r="L2344" s="1124"/>
      <c r="M2344" s="928" t="s">
        <v>1289</v>
      </c>
      <c r="N2344" s="177"/>
      <c r="O2344" s="332"/>
      <c r="P2344" s="1116"/>
      <c r="Q2344" s="1116"/>
      <c r="R2344" s="1116"/>
      <c r="S2344" s="1103"/>
      <c r="T2344" s="1639"/>
      <c r="U2344" s="177"/>
      <c r="V2344" s="2866"/>
      <c r="W2344" s="909">
        <v>869</v>
      </c>
      <c r="X2344" s="909">
        <v>869</v>
      </c>
      <c r="Y2344" s="926">
        <v>869</v>
      </c>
      <c r="Z2344" s="909"/>
      <c r="AA2344" s="926"/>
      <c r="AB2344" s="909"/>
      <c r="AC2344" s="909"/>
      <c r="AD2344" s="909"/>
      <c r="AE2344" s="909"/>
      <c r="AF2344" s="909"/>
      <c r="AG2344" s="909"/>
      <c r="BB2344" s="784"/>
      <c r="BC2344" s="785"/>
      <c r="BD2344" s="900"/>
      <c r="BE2344" s="797"/>
    </row>
    <row r="2345" spans="1:57" s="65" customFormat="1" ht="15" hidden="1" customHeight="1" outlineLevel="1" x14ac:dyDescent="0.25">
      <c r="A2345" s="718"/>
      <c r="B2345" s="177"/>
      <c r="C2345" s="455"/>
      <c r="D2345" s="2806"/>
      <c r="E2345" s="2856"/>
      <c r="F2345" s="2908" t="str">
        <f>$E$1470</f>
        <v>ASHP - SEER 18 - replace electric furnace / CAC MF_CompE</v>
      </c>
      <c r="G2345" s="2909"/>
      <c r="H2345" s="2909"/>
      <c r="I2345" s="2910"/>
      <c r="J2345" s="1657" t="str">
        <f>$C$1470</f>
        <v>353251_2019_12_</v>
      </c>
      <c r="K2345" s="926">
        <f>$K$2318</f>
        <v>632</v>
      </c>
      <c r="L2345" s="1124"/>
      <c r="M2345" s="1053" t="s">
        <v>953</v>
      </c>
      <c r="N2345" s="177"/>
      <c r="O2345" s="332"/>
      <c r="P2345" s="1116"/>
      <c r="Q2345" s="1116"/>
      <c r="R2345" s="1116"/>
      <c r="S2345" s="1103"/>
      <c r="T2345" s="1639"/>
      <c r="U2345" s="177"/>
      <c r="V2345" s="2866"/>
      <c r="W2345" s="909"/>
      <c r="X2345" s="909"/>
      <c r="Y2345" s="933">
        <f>$K$2318</f>
        <v>632</v>
      </c>
      <c r="Z2345" s="909"/>
      <c r="AA2345" s="926"/>
      <c r="AB2345" s="909"/>
      <c r="AC2345" s="909"/>
      <c r="AD2345" s="909"/>
      <c r="AE2345" s="909"/>
      <c r="AF2345" s="909"/>
      <c r="AG2345" s="909"/>
      <c r="BB2345" s="784"/>
      <c r="BC2345" s="785"/>
      <c r="BD2345" s="900"/>
      <c r="BE2345" s="797"/>
    </row>
    <row r="2346" spans="1:57" s="65" customFormat="1" ht="15" hidden="1" customHeight="1" outlineLevel="1" x14ac:dyDescent="0.25">
      <c r="A2346" s="718"/>
      <c r="B2346" s="177"/>
      <c r="C2346" s="455"/>
      <c r="D2346" s="2806"/>
      <c r="E2346" s="2856"/>
      <c r="F2346" s="2908" t="str">
        <f>$E$1472</f>
        <v>ASHP - SEER 19 - replace electric furnace / CAC SF</v>
      </c>
      <c r="G2346" s="2909"/>
      <c r="H2346" s="2909"/>
      <c r="I2346" s="2910"/>
      <c r="J2346" s="1657" t="str">
        <f>$C$1472</f>
        <v>353300_2019_12_</v>
      </c>
      <c r="K2346" s="926">
        <v>869</v>
      </c>
      <c r="L2346" s="1124"/>
      <c r="M2346" s="928" t="s">
        <v>1289</v>
      </c>
      <c r="N2346" s="177"/>
      <c r="O2346" s="332"/>
      <c r="P2346" s="1116"/>
      <c r="Q2346" s="1116"/>
      <c r="R2346" s="1116"/>
      <c r="S2346" s="1103"/>
      <c r="T2346" s="1639"/>
      <c r="U2346" s="177"/>
      <c r="V2346" s="2866"/>
      <c r="W2346" s="909">
        <v>869</v>
      </c>
      <c r="X2346" s="909">
        <v>869</v>
      </c>
      <c r="Y2346" s="926">
        <v>869</v>
      </c>
      <c r="Z2346" s="909"/>
      <c r="AA2346" s="926"/>
      <c r="AB2346" s="909"/>
      <c r="AC2346" s="909"/>
      <c r="AD2346" s="909"/>
      <c r="AE2346" s="909"/>
      <c r="AF2346" s="909"/>
      <c r="AG2346" s="909"/>
      <c r="BB2346" s="784"/>
      <c r="BC2346" s="785"/>
      <c r="BD2346" s="900"/>
      <c r="BE2346" s="797"/>
    </row>
    <row r="2347" spans="1:57" s="65" customFormat="1" ht="15" hidden="1" customHeight="1" outlineLevel="1" x14ac:dyDescent="0.25">
      <c r="A2347" s="718"/>
      <c r="B2347" s="177"/>
      <c r="C2347" s="455"/>
      <c r="D2347" s="2806"/>
      <c r="E2347" s="2856"/>
      <c r="F2347" s="2908" t="str">
        <f>$E$1474</f>
        <v>ASHP - SEER 19 - replace electric furnace / CAC MF</v>
      </c>
      <c r="G2347" s="2909"/>
      <c r="H2347" s="2909"/>
      <c r="I2347" s="2910"/>
      <c r="J2347" s="1657" t="str">
        <f>$C$1474</f>
        <v>353350_2019_12_</v>
      </c>
      <c r="K2347" s="926">
        <v>869</v>
      </c>
      <c r="L2347" s="1124"/>
      <c r="M2347" s="928" t="s">
        <v>1289</v>
      </c>
      <c r="N2347" s="177"/>
      <c r="O2347" s="332"/>
      <c r="P2347" s="1116"/>
      <c r="Q2347" s="1116"/>
      <c r="R2347" s="1116"/>
      <c r="S2347" s="1103"/>
      <c r="T2347" s="1639"/>
      <c r="U2347" s="177"/>
      <c r="V2347" s="2866"/>
      <c r="W2347" s="909">
        <v>869</v>
      </c>
      <c r="X2347" s="909">
        <v>869</v>
      </c>
      <c r="Y2347" s="926">
        <v>869</v>
      </c>
      <c r="Z2347" s="909"/>
      <c r="AA2347" s="926"/>
      <c r="AB2347" s="909"/>
      <c r="AC2347" s="909"/>
      <c r="AD2347" s="909"/>
      <c r="AE2347" s="909"/>
      <c r="AF2347" s="909"/>
      <c r="AG2347" s="909"/>
      <c r="BB2347" s="784"/>
      <c r="BC2347" s="785"/>
      <c r="BD2347" s="900"/>
      <c r="BE2347" s="797"/>
    </row>
    <row r="2348" spans="1:57" s="65" customFormat="1" ht="15" hidden="1" customHeight="1" outlineLevel="1" x14ac:dyDescent="0.25">
      <c r="A2348" s="718"/>
      <c r="B2348" s="177"/>
      <c r="C2348" s="455"/>
      <c r="D2348" s="2806"/>
      <c r="E2348" s="2856"/>
      <c r="F2348" s="2908" t="str">
        <f>$E$1476</f>
        <v>ASHP - SEER 19 - replace electric furnace / CAC MF_CompE</v>
      </c>
      <c r="G2348" s="2909"/>
      <c r="H2348" s="2909"/>
      <c r="I2348" s="2910"/>
      <c r="J2348" s="1657" t="str">
        <f>$C$1476</f>
        <v>353351_2019_12_</v>
      </c>
      <c r="K2348" s="926">
        <f>$K$2318</f>
        <v>632</v>
      </c>
      <c r="L2348" s="1124"/>
      <c r="M2348" s="928"/>
      <c r="N2348" s="177"/>
      <c r="O2348" s="332"/>
      <c r="P2348" s="1116"/>
      <c r="Q2348" s="1116"/>
      <c r="R2348" s="1116"/>
      <c r="S2348" s="1103"/>
      <c r="T2348" s="1639"/>
      <c r="U2348" s="177"/>
      <c r="V2348" s="2866"/>
      <c r="W2348" s="909"/>
      <c r="X2348" s="909"/>
      <c r="Y2348" s="933">
        <f>$K$2318</f>
        <v>632</v>
      </c>
      <c r="Z2348" s="909"/>
      <c r="AA2348" s="926"/>
      <c r="AB2348" s="909"/>
      <c r="AC2348" s="909"/>
      <c r="AD2348" s="909"/>
      <c r="AE2348" s="909"/>
      <c r="AF2348" s="909"/>
      <c r="AG2348" s="909"/>
      <c r="BB2348" s="784"/>
      <c r="BC2348" s="785"/>
      <c r="BD2348" s="900"/>
      <c r="BE2348" s="797"/>
    </row>
    <row r="2349" spans="1:57" s="65" customFormat="1" ht="15" hidden="1" customHeight="1" outlineLevel="1" x14ac:dyDescent="0.25">
      <c r="A2349" s="718"/>
      <c r="B2349" s="177"/>
      <c r="C2349" s="455"/>
      <c r="D2349" s="2806"/>
      <c r="E2349" s="2856"/>
      <c r="F2349" s="2908" t="str">
        <f>$E$1478</f>
        <v>ASHP - SEER 20 - replace electric furnace / CAC - early replacement SF ER1</v>
      </c>
      <c r="G2349" s="2909"/>
      <c r="H2349" s="2909"/>
      <c r="I2349" s="2910"/>
      <c r="J2349" s="1657" t="str">
        <f>$C$1478</f>
        <v>353400_2019_12_</v>
      </c>
      <c r="K2349" s="926">
        <v>869</v>
      </c>
      <c r="L2349" s="1124"/>
      <c r="M2349" s="928" t="s">
        <v>1289</v>
      </c>
      <c r="N2349" s="177"/>
      <c r="O2349" s="332"/>
      <c r="P2349" s="1116"/>
      <c r="Q2349" s="1116"/>
      <c r="R2349" s="1116"/>
      <c r="S2349" s="1103"/>
      <c r="T2349" s="1639"/>
      <c r="U2349" s="177"/>
      <c r="V2349" s="2866"/>
      <c r="W2349" s="909">
        <v>869</v>
      </c>
      <c r="X2349" s="909">
        <v>869</v>
      </c>
      <c r="Y2349" s="926">
        <v>869</v>
      </c>
      <c r="Z2349" s="909"/>
      <c r="AA2349" s="926"/>
      <c r="AB2349" s="909"/>
      <c r="AC2349" s="909"/>
      <c r="AD2349" s="909"/>
      <c r="AE2349" s="909"/>
      <c r="AF2349" s="909"/>
      <c r="AG2349" s="909"/>
      <c r="BB2349" s="784"/>
      <c r="BC2349" s="785"/>
      <c r="BD2349" s="900"/>
      <c r="BE2349" s="797"/>
    </row>
    <row r="2350" spans="1:57" s="65" customFormat="1" ht="15" hidden="1" customHeight="1" outlineLevel="1" x14ac:dyDescent="0.25">
      <c r="A2350" s="718"/>
      <c r="B2350" s="177"/>
      <c r="C2350" s="455"/>
      <c r="D2350" s="2806"/>
      <c r="E2350" s="2856"/>
      <c r="F2350" s="2908" t="str">
        <f>$E$1480</f>
        <v>ASHP - SEER 20 - replace electric furnace / CAC - early replacement SF ER2</v>
      </c>
      <c r="G2350" s="2909"/>
      <c r="H2350" s="2909"/>
      <c r="I2350" s="2910"/>
      <c r="J2350" s="1657" t="str">
        <f>$C$1480</f>
        <v>353400_2019_12_</v>
      </c>
      <c r="K2350" s="926">
        <v>869</v>
      </c>
      <c r="L2350" s="1124"/>
      <c r="M2350" s="928" t="s">
        <v>1289</v>
      </c>
      <c r="N2350" s="177"/>
      <c r="O2350" s="332"/>
      <c r="P2350" s="1116"/>
      <c r="Q2350" s="1116"/>
      <c r="R2350" s="1116"/>
      <c r="S2350" s="1103"/>
      <c r="T2350" s="1639"/>
      <c r="U2350" s="177"/>
      <c r="V2350" s="2866"/>
      <c r="W2350" s="909">
        <v>869</v>
      </c>
      <c r="X2350" s="909">
        <v>869</v>
      </c>
      <c r="Y2350" s="926">
        <v>869</v>
      </c>
      <c r="Z2350" s="909"/>
      <c r="AA2350" s="926"/>
      <c r="AB2350" s="909"/>
      <c r="AC2350" s="909"/>
      <c r="AD2350" s="909"/>
      <c r="AE2350" s="909"/>
      <c r="AF2350" s="909"/>
      <c r="AG2350" s="909"/>
      <c r="BB2350" s="784"/>
      <c r="BC2350" s="785"/>
      <c r="BD2350" s="900"/>
      <c r="BE2350" s="797"/>
    </row>
    <row r="2351" spans="1:57" s="65" customFormat="1" ht="15" hidden="1" customHeight="1" outlineLevel="1" x14ac:dyDescent="0.25">
      <c r="A2351" s="718"/>
      <c r="B2351" s="177"/>
      <c r="C2351" s="455"/>
      <c r="D2351" s="2806"/>
      <c r="E2351" s="2856"/>
      <c r="F2351" s="2908" t="str">
        <f>$E$1482</f>
        <v>ASHP - SEER 20 - replace electric furnace / CAC SF</v>
      </c>
      <c r="G2351" s="2909"/>
      <c r="H2351" s="2909"/>
      <c r="I2351" s="2910"/>
      <c r="J2351" s="1657" t="str">
        <f>$C$1482</f>
        <v>353450_2019_12_</v>
      </c>
      <c r="K2351" s="926">
        <v>869</v>
      </c>
      <c r="L2351" s="1124"/>
      <c r="M2351" s="928" t="s">
        <v>1289</v>
      </c>
      <c r="N2351" s="177"/>
      <c r="O2351" s="332"/>
      <c r="P2351" s="1116"/>
      <c r="Q2351" s="1116"/>
      <c r="R2351" s="1116"/>
      <c r="S2351" s="1103"/>
      <c r="T2351" s="1639"/>
      <c r="U2351" s="177"/>
      <c r="V2351" s="2866"/>
      <c r="W2351" s="909">
        <v>869</v>
      </c>
      <c r="X2351" s="909">
        <v>869</v>
      </c>
      <c r="Y2351" s="926">
        <v>869</v>
      </c>
      <c r="Z2351" s="909"/>
      <c r="AA2351" s="926"/>
      <c r="AB2351" s="909"/>
      <c r="AC2351" s="909"/>
      <c r="AD2351" s="909"/>
      <c r="AE2351" s="909"/>
      <c r="AF2351" s="909"/>
      <c r="AG2351" s="909"/>
      <c r="BB2351" s="784"/>
      <c r="BC2351" s="785"/>
      <c r="BD2351" s="900"/>
      <c r="BE2351" s="797"/>
    </row>
    <row r="2352" spans="1:57" s="65" customFormat="1" ht="15" hidden="1" customHeight="1" outlineLevel="1" x14ac:dyDescent="0.25">
      <c r="A2352" s="718"/>
      <c r="B2352" s="177"/>
      <c r="C2352" s="455"/>
      <c r="D2352" s="2806"/>
      <c r="E2352" s="2856"/>
      <c r="F2352" s="2908" t="str">
        <f>$E$1484</f>
        <v>ASHP - SEER 20 - replace electric furnace / CAC MF</v>
      </c>
      <c r="G2352" s="2909"/>
      <c r="H2352" s="2909"/>
      <c r="I2352" s="2910"/>
      <c r="J2352" s="1657" t="str">
        <f>$C$1484</f>
        <v>353500_2019_12_</v>
      </c>
      <c r="K2352" s="926">
        <v>869</v>
      </c>
      <c r="L2352" s="1124"/>
      <c r="M2352" s="928" t="s">
        <v>1289</v>
      </c>
      <c r="N2352" s="177"/>
      <c r="O2352" s="332"/>
      <c r="P2352" s="1116"/>
      <c r="Q2352" s="1117"/>
      <c r="R2352" s="1116"/>
      <c r="S2352" s="1103"/>
      <c r="T2352" s="1639"/>
      <c r="U2352" s="177"/>
      <c r="V2352" s="2866"/>
      <c r="W2352" s="909">
        <v>869</v>
      </c>
      <c r="X2352" s="909">
        <v>869</v>
      </c>
      <c r="Y2352" s="926">
        <v>869</v>
      </c>
      <c r="Z2352" s="909"/>
      <c r="AA2352" s="926"/>
      <c r="AB2352" s="909"/>
      <c r="AC2352" s="909"/>
      <c r="AD2352" s="909"/>
      <c r="AE2352" s="909"/>
      <c r="AF2352" s="909"/>
      <c r="AG2352" s="909"/>
      <c r="BB2352" s="784"/>
      <c r="BC2352" s="785"/>
      <c r="BD2352" s="900"/>
      <c r="BE2352" s="797"/>
    </row>
    <row r="2353" spans="1:57" s="65" customFormat="1" ht="15" hidden="1" customHeight="1" outlineLevel="1" x14ac:dyDescent="0.25">
      <c r="A2353" s="718"/>
      <c r="B2353" s="177"/>
      <c r="C2353" s="455"/>
      <c r="D2353" s="2806"/>
      <c r="E2353" s="2856"/>
      <c r="F2353" s="2908" t="str">
        <f>$E$1486</f>
        <v>ASHP - SEER 20 - replace electric furnace / CAC MF_CompE</v>
      </c>
      <c r="G2353" s="2909"/>
      <c r="H2353" s="2909"/>
      <c r="I2353" s="2910"/>
      <c r="J2353" s="1657" t="str">
        <f>$C$1486</f>
        <v>353501_2019_12_</v>
      </c>
      <c r="K2353" s="926">
        <f>$K$2318</f>
        <v>632</v>
      </c>
      <c r="L2353" s="1124"/>
      <c r="M2353" s="1053" t="s">
        <v>953</v>
      </c>
      <c r="N2353" s="177"/>
      <c r="O2353" s="332"/>
      <c r="P2353" s="1116"/>
      <c r="Q2353" s="1117"/>
      <c r="R2353" s="1116"/>
      <c r="S2353" s="1103"/>
      <c r="T2353" s="1639"/>
      <c r="U2353" s="177"/>
      <c r="V2353" s="2866"/>
      <c r="W2353" s="909"/>
      <c r="X2353" s="909"/>
      <c r="Y2353" s="933">
        <f>$K$2318</f>
        <v>632</v>
      </c>
      <c r="Z2353" s="909"/>
      <c r="AA2353" s="926"/>
      <c r="AB2353" s="909"/>
      <c r="AC2353" s="909"/>
      <c r="AD2353" s="909"/>
      <c r="AE2353" s="909"/>
      <c r="AF2353" s="909"/>
      <c r="AG2353" s="909"/>
      <c r="BB2353" s="784"/>
      <c r="BC2353" s="785"/>
      <c r="BD2353" s="900"/>
      <c r="BE2353" s="797"/>
    </row>
    <row r="2354" spans="1:57" s="65" customFormat="1" ht="15" hidden="1" customHeight="1" outlineLevel="1" x14ac:dyDescent="0.25">
      <c r="A2354" s="718"/>
      <c r="B2354" s="177"/>
      <c r="C2354" s="455"/>
      <c r="D2354" s="2806"/>
      <c r="E2354" s="2856"/>
      <c r="F2354" s="2908" t="str">
        <f>$E$1488</f>
        <v>ASHP - SEER 21 - replace electric furnace / CAC - early replacement SF ER1</v>
      </c>
      <c r="G2354" s="2909"/>
      <c r="H2354" s="2909"/>
      <c r="I2354" s="2910"/>
      <c r="J2354" s="1657" t="str">
        <f>$C$1488</f>
        <v>353550_2019_12_</v>
      </c>
      <c r="K2354" s="926">
        <v>869</v>
      </c>
      <c r="L2354" s="1124"/>
      <c r="M2354" s="928" t="s">
        <v>1289</v>
      </c>
      <c r="N2354" s="177"/>
      <c r="O2354" s="332"/>
      <c r="P2354" s="1116"/>
      <c r="Q2354" s="1117"/>
      <c r="R2354" s="1116"/>
      <c r="S2354" s="1103"/>
      <c r="T2354" s="1639"/>
      <c r="U2354" s="177"/>
      <c r="V2354" s="2866"/>
      <c r="W2354" s="909">
        <v>869</v>
      </c>
      <c r="X2354" s="909">
        <v>869</v>
      </c>
      <c r="Y2354" s="926">
        <v>869</v>
      </c>
      <c r="Z2354" s="909"/>
      <c r="AA2354" s="926"/>
      <c r="AB2354" s="909"/>
      <c r="AC2354" s="909"/>
      <c r="AD2354" s="909"/>
      <c r="AE2354" s="909"/>
      <c r="AF2354" s="909"/>
      <c r="AG2354" s="909"/>
      <c r="BB2354" s="784"/>
      <c r="BC2354" s="785"/>
      <c r="BD2354" s="900"/>
      <c r="BE2354" s="797"/>
    </row>
    <row r="2355" spans="1:57" s="65" customFormat="1" ht="15" hidden="1" customHeight="1" outlineLevel="1" x14ac:dyDescent="0.25">
      <c r="A2355" s="718"/>
      <c r="B2355" s="177"/>
      <c r="C2355" s="455"/>
      <c r="D2355" s="2806"/>
      <c r="E2355" s="2856"/>
      <c r="F2355" s="2908" t="str">
        <f>$E$1490</f>
        <v>ASHP - SEER 21 - replace electric furnace / CAC - early replacement SF ER2</v>
      </c>
      <c r="G2355" s="2909"/>
      <c r="H2355" s="2909"/>
      <c r="I2355" s="2910"/>
      <c r="J2355" s="1657" t="str">
        <f>$C$1490</f>
        <v>353550_2019_12_</v>
      </c>
      <c r="K2355" s="926">
        <v>869</v>
      </c>
      <c r="L2355" s="1124"/>
      <c r="M2355" s="928" t="s">
        <v>1289</v>
      </c>
      <c r="N2355" s="177"/>
      <c r="O2355" s="332"/>
      <c r="P2355" s="1116"/>
      <c r="Q2355" s="1117"/>
      <c r="R2355" s="1116"/>
      <c r="S2355" s="1103"/>
      <c r="T2355" s="1639"/>
      <c r="U2355" s="177"/>
      <c r="V2355" s="2866"/>
      <c r="W2355" s="909">
        <v>869</v>
      </c>
      <c r="X2355" s="909">
        <v>869</v>
      </c>
      <c r="Y2355" s="926">
        <v>869</v>
      </c>
      <c r="Z2355" s="909"/>
      <c r="AA2355" s="926"/>
      <c r="AB2355" s="909"/>
      <c r="AC2355" s="909"/>
      <c r="AD2355" s="909"/>
      <c r="AE2355" s="909"/>
      <c r="AF2355" s="909"/>
      <c r="AG2355" s="909"/>
      <c r="BB2355" s="784"/>
      <c r="BC2355" s="785"/>
      <c r="BD2355" s="900"/>
      <c r="BE2355" s="797"/>
    </row>
    <row r="2356" spans="1:57" s="65" customFormat="1" ht="15" hidden="1" customHeight="1" outlineLevel="1" x14ac:dyDescent="0.25">
      <c r="A2356" s="718"/>
      <c r="B2356" s="177"/>
      <c r="C2356" s="455"/>
      <c r="D2356" s="2806"/>
      <c r="E2356" s="2856"/>
      <c r="F2356" s="2908" t="str">
        <f>$E$1492</f>
        <v>ASHP - SEER 21 - replace electric furnace / CAC - early replacement MF ER1</v>
      </c>
      <c r="G2356" s="2909"/>
      <c r="H2356" s="2909"/>
      <c r="I2356" s="2910"/>
      <c r="J2356" s="1657" t="str">
        <f>$C$1492</f>
        <v>353600_2019_12_</v>
      </c>
      <c r="K2356" s="926">
        <v>869</v>
      </c>
      <c r="L2356" s="1124"/>
      <c r="M2356" s="928" t="s">
        <v>1289</v>
      </c>
      <c r="N2356" s="177"/>
      <c r="O2356" s="332"/>
      <c r="P2356" s="1116"/>
      <c r="Q2356" s="1117"/>
      <c r="R2356" s="1116"/>
      <c r="S2356" s="1103"/>
      <c r="T2356" s="1639"/>
      <c r="U2356" s="177"/>
      <c r="V2356" s="2866"/>
      <c r="W2356" s="909">
        <v>869</v>
      </c>
      <c r="X2356" s="909">
        <v>869</v>
      </c>
      <c r="Y2356" s="926">
        <v>869</v>
      </c>
      <c r="Z2356" s="909"/>
      <c r="AA2356" s="926"/>
      <c r="AB2356" s="909"/>
      <c r="AC2356" s="909"/>
      <c r="AD2356" s="909"/>
      <c r="AE2356" s="909"/>
      <c r="AF2356" s="909"/>
      <c r="AG2356" s="909"/>
      <c r="BB2356" s="784"/>
      <c r="BC2356" s="785"/>
      <c r="BD2356" s="900"/>
      <c r="BE2356" s="797"/>
    </row>
    <row r="2357" spans="1:57" s="65" customFormat="1" ht="15" hidden="1" customHeight="1" outlineLevel="1" x14ac:dyDescent="0.25">
      <c r="A2357" s="718"/>
      <c r="B2357" s="177"/>
      <c r="C2357" s="455"/>
      <c r="D2357" s="2806"/>
      <c r="E2357" s="2856"/>
      <c r="F2357" s="2908" t="str">
        <f>$E$1494</f>
        <v>ASHP - SEER 21 - replace electric furnace / CAC - early replacement MF ER2</v>
      </c>
      <c r="G2357" s="2909"/>
      <c r="H2357" s="2909"/>
      <c r="I2357" s="2910"/>
      <c r="J2357" s="1657" t="str">
        <f>$C$1494</f>
        <v>353600_2019_12_</v>
      </c>
      <c r="K2357" s="926">
        <v>869</v>
      </c>
      <c r="L2357" s="1124"/>
      <c r="M2357" s="928" t="s">
        <v>1289</v>
      </c>
      <c r="N2357" s="177"/>
      <c r="O2357" s="332"/>
      <c r="P2357" s="1116"/>
      <c r="Q2357" s="1117"/>
      <c r="R2357" s="1116"/>
      <c r="S2357" s="1103"/>
      <c r="T2357" s="1639"/>
      <c r="U2357" s="177"/>
      <c r="V2357" s="2866"/>
      <c r="W2357" s="909">
        <v>869</v>
      </c>
      <c r="X2357" s="909">
        <v>869</v>
      </c>
      <c r="Y2357" s="926">
        <v>869</v>
      </c>
      <c r="Z2357" s="909"/>
      <c r="AA2357" s="926"/>
      <c r="AB2357" s="909"/>
      <c r="AC2357" s="909"/>
      <c r="AD2357" s="909"/>
      <c r="AE2357" s="909"/>
      <c r="AF2357" s="909"/>
      <c r="AG2357" s="909"/>
      <c r="BB2357" s="784"/>
      <c r="BC2357" s="785"/>
      <c r="BD2357" s="900"/>
      <c r="BE2357" s="797"/>
    </row>
    <row r="2358" spans="1:57" s="65" customFormat="1" ht="15" hidden="1" customHeight="1" outlineLevel="1" x14ac:dyDescent="0.25">
      <c r="A2358" s="718"/>
      <c r="B2358" s="177"/>
      <c r="C2358" s="455"/>
      <c r="D2358" s="2806"/>
      <c r="E2358" s="2856"/>
      <c r="F2358" s="2908" t="str">
        <f>$E$1496</f>
        <v>ASHP - SEER 21 - replace electric furnace / CAC - early replacement MF ER1_CompE</v>
      </c>
      <c r="G2358" s="2909"/>
      <c r="H2358" s="2909"/>
      <c r="I2358" s="2910"/>
      <c r="J2358" s="1657" t="str">
        <f>$C$1496</f>
        <v>353601_2019_12_</v>
      </c>
      <c r="K2358" s="926">
        <f t="shared" ref="K2358:K2359" si="215">$K$2318</f>
        <v>632</v>
      </c>
      <c r="L2358" s="1124"/>
      <c r="M2358" s="1053" t="s">
        <v>953</v>
      </c>
      <c r="N2358" s="177"/>
      <c r="O2358" s="332"/>
      <c r="P2358" s="1116"/>
      <c r="Q2358" s="1117"/>
      <c r="R2358" s="1116"/>
      <c r="S2358" s="1103"/>
      <c r="T2358" s="1639"/>
      <c r="U2358" s="177"/>
      <c r="V2358" s="2866"/>
      <c r="W2358" s="909"/>
      <c r="X2358" s="909"/>
      <c r="Y2358" s="933">
        <f t="shared" ref="Y2358:Y2359" si="216">$K$2318</f>
        <v>632</v>
      </c>
      <c r="Z2358" s="909"/>
      <c r="AA2358" s="926"/>
      <c r="AB2358" s="909"/>
      <c r="AC2358" s="909"/>
      <c r="AD2358" s="909"/>
      <c r="AE2358" s="909"/>
      <c r="AF2358" s="909"/>
      <c r="AG2358" s="909"/>
      <c r="BB2358" s="784"/>
      <c r="BC2358" s="785"/>
      <c r="BD2358" s="900"/>
      <c r="BE2358" s="797"/>
    </row>
    <row r="2359" spans="1:57" s="65" customFormat="1" ht="15" hidden="1" customHeight="1" outlineLevel="1" x14ac:dyDescent="0.25">
      <c r="A2359" s="718"/>
      <c r="B2359" s="177"/>
      <c r="C2359" s="455"/>
      <c r="D2359" s="2806"/>
      <c r="E2359" s="2856"/>
      <c r="F2359" s="2908" t="str">
        <f>$E$1498</f>
        <v>ASHP - SEER 21 - replace electric furnace / CAC - early replacement MF ER2_CompE</v>
      </c>
      <c r="G2359" s="2909"/>
      <c r="H2359" s="2909"/>
      <c r="I2359" s="2910"/>
      <c r="J2359" s="1657" t="str">
        <f>$C$1498</f>
        <v>353601_2019_12_</v>
      </c>
      <c r="K2359" s="926">
        <f t="shared" si="215"/>
        <v>632</v>
      </c>
      <c r="L2359" s="1124"/>
      <c r="M2359" s="1053" t="s">
        <v>953</v>
      </c>
      <c r="N2359" s="177"/>
      <c r="O2359" s="332"/>
      <c r="P2359" s="1116"/>
      <c r="Q2359" s="1117"/>
      <c r="R2359" s="1116"/>
      <c r="S2359" s="1103"/>
      <c r="T2359" s="1639"/>
      <c r="U2359" s="177"/>
      <c r="V2359" s="2866"/>
      <c r="W2359" s="909"/>
      <c r="X2359" s="909"/>
      <c r="Y2359" s="933">
        <f t="shared" si="216"/>
        <v>632</v>
      </c>
      <c r="Z2359" s="909"/>
      <c r="AA2359" s="926"/>
      <c r="AB2359" s="909"/>
      <c r="AC2359" s="909"/>
      <c r="AD2359" s="909"/>
      <c r="AE2359" s="909"/>
      <c r="AF2359" s="909"/>
      <c r="AG2359" s="909"/>
      <c r="BB2359" s="784"/>
      <c r="BC2359" s="785"/>
      <c r="BD2359" s="900"/>
      <c r="BE2359" s="797"/>
    </row>
    <row r="2360" spans="1:57" s="65" customFormat="1" ht="15" hidden="1" customHeight="1" outlineLevel="1" x14ac:dyDescent="0.25">
      <c r="A2360" s="718"/>
      <c r="B2360" s="177"/>
      <c r="C2360" s="455"/>
      <c r="D2360" s="2806"/>
      <c r="E2360" s="2856"/>
      <c r="F2360" s="2908" t="str">
        <f>$E$1500</f>
        <v>ASHP - SEER 21 - replace electric furnace / CAC SF</v>
      </c>
      <c r="G2360" s="2909"/>
      <c r="H2360" s="2909"/>
      <c r="I2360" s="2910"/>
      <c r="J2360" s="1657" t="str">
        <f>$C$1500</f>
        <v>353650_2019_12_</v>
      </c>
      <c r="K2360" s="926">
        <v>869</v>
      </c>
      <c r="L2360" s="1124"/>
      <c r="M2360" s="928" t="s">
        <v>1289</v>
      </c>
      <c r="N2360" s="177"/>
      <c r="O2360" s="332"/>
      <c r="P2360" s="1116"/>
      <c r="Q2360" s="1117"/>
      <c r="R2360" s="1116"/>
      <c r="S2360" s="1103"/>
      <c r="T2360" s="1639"/>
      <c r="U2360" s="177"/>
      <c r="V2360" s="2866"/>
      <c r="W2360" s="909">
        <v>869</v>
      </c>
      <c r="X2360" s="909">
        <v>869</v>
      </c>
      <c r="Y2360" s="926">
        <v>869</v>
      </c>
      <c r="Z2360" s="909"/>
      <c r="AA2360" s="926"/>
      <c r="AB2360" s="909"/>
      <c r="AC2360" s="909"/>
      <c r="AD2360" s="909"/>
      <c r="AE2360" s="909"/>
      <c r="AF2360" s="909"/>
      <c r="AG2360" s="909"/>
      <c r="BB2360" s="784"/>
      <c r="BC2360" s="785"/>
      <c r="BD2360" s="900"/>
      <c r="BE2360" s="797"/>
    </row>
    <row r="2361" spans="1:57" s="65" customFormat="1" ht="15" hidden="1" customHeight="1" outlineLevel="1" x14ac:dyDescent="0.25">
      <c r="A2361" s="785"/>
      <c r="B2361" s="177"/>
      <c r="C2361" s="455"/>
      <c r="D2361" s="2806"/>
      <c r="E2361" s="2856"/>
      <c r="F2361" s="2908" t="str">
        <f>$E$1502</f>
        <v>ASHP-  SEER 21+ replace at Fail Elec Resist Furnace MF</v>
      </c>
      <c r="G2361" s="2909"/>
      <c r="H2361" s="2909"/>
      <c r="I2361" s="2910"/>
      <c r="J2361" s="1657" t="str">
        <f>$C$1502</f>
        <v>353700_2019_12_</v>
      </c>
      <c r="K2361" s="926">
        <v>869</v>
      </c>
      <c r="L2361" s="1124"/>
      <c r="M2361" s="928" t="s">
        <v>1289</v>
      </c>
      <c r="N2361" s="177"/>
      <c r="O2361" s="332"/>
      <c r="P2361" s="332"/>
      <c r="Q2361" s="332"/>
      <c r="R2361" s="332"/>
      <c r="S2361" s="177"/>
      <c r="T2361" s="177"/>
      <c r="U2361" s="177"/>
      <c r="V2361" s="2866"/>
      <c r="W2361" s="909">
        <v>869</v>
      </c>
      <c r="X2361" s="909">
        <v>869</v>
      </c>
      <c r="Y2361" s="926">
        <v>869</v>
      </c>
      <c r="Z2361" s="909"/>
      <c r="AA2361" s="926"/>
      <c r="AB2361" s="909"/>
      <c r="AC2361" s="909"/>
      <c r="AD2361" s="909"/>
      <c r="AE2361" s="909"/>
      <c r="AF2361" s="909"/>
      <c r="AG2361" s="909"/>
      <c r="BB2361" s="784"/>
      <c r="BC2361" s="785"/>
      <c r="BD2361" s="900"/>
      <c r="BE2361" s="797"/>
    </row>
    <row r="2362" spans="1:57" s="65" customFormat="1" ht="15" hidden="1" customHeight="1" outlineLevel="1" x14ac:dyDescent="0.25">
      <c r="A2362" s="785"/>
      <c r="B2362" s="177"/>
      <c r="C2362" s="455"/>
      <c r="D2362" s="2806"/>
      <c r="E2362" s="2856"/>
      <c r="F2362" s="2908" t="str">
        <f>$E$1504</f>
        <v>ASHP-  SEER 21+ replace at Fail Elec Resist Furnace MF_CompE</v>
      </c>
      <c r="G2362" s="2909"/>
      <c r="H2362" s="2909"/>
      <c r="I2362" s="2910"/>
      <c r="J2362" s="1657" t="str">
        <f>$C$1504</f>
        <v>353701_2019_12_</v>
      </c>
      <c r="K2362" s="926">
        <v>632</v>
      </c>
      <c r="L2362" s="1124"/>
      <c r="M2362" s="928" t="s">
        <v>1289</v>
      </c>
      <c r="N2362" s="177"/>
      <c r="O2362" s="332"/>
      <c r="P2362" s="332"/>
      <c r="Q2362" s="332"/>
      <c r="R2362" s="332"/>
      <c r="S2362" s="177"/>
      <c r="T2362" s="177"/>
      <c r="U2362" s="177"/>
      <c r="V2362" s="2866"/>
      <c r="W2362" s="909"/>
      <c r="X2362" s="909"/>
      <c r="Y2362" s="933">
        <v>632</v>
      </c>
      <c r="Z2362" s="909"/>
      <c r="AA2362" s="926"/>
      <c r="AB2362" s="909"/>
      <c r="AC2362" s="909"/>
      <c r="AD2362" s="909"/>
      <c r="AE2362" s="909"/>
      <c r="AF2362" s="909"/>
      <c r="AG2362" s="909"/>
      <c r="BB2362" s="784"/>
      <c r="BC2362" s="785"/>
      <c r="BD2362" s="900"/>
      <c r="BE2362" s="797"/>
    </row>
    <row r="2363" spans="1:57" s="65" customFormat="1" ht="15" hidden="1" customHeight="1" outlineLevel="1" x14ac:dyDescent="0.25">
      <c r="A2363" s="718"/>
      <c r="B2363" s="177"/>
      <c r="C2363" s="455"/>
      <c r="D2363" s="2806"/>
      <c r="E2363" s="2856"/>
      <c r="F2363" s="2908" t="str">
        <f>$E$1506</f>
        <v>ASHP SEER 17 replace ASHP - early replacement SF ER1</v>
      </c>
      <c r="G2363" s="2909"/>
      <c r="H2363" s="2909"/>
      <c r="I2363" s="2910"/>
      <c r="J2363" s="1657" t="str">
        <f>$C$1506</f>
        <v>353750_2019_12_</v>
      </c>
      <c r="K2363" s="926">
        <v>869</v>
      </c>
      <c r="L2363" s="1124"/>
      <c r="M2363" s="928" t="s">
        <v>1289</v>
      </c>
      <c r="N2363" s="177"/>
      <c r="O2363" s="332"/>
      <c r="P2363" s="1116"/>
      <c r="Q2363" s="1117"/>
      <c r="R2363" s="1116"/>
      <c r="S2363" s="1103"/>
      <c r="T2363" s="1639"/>
      <c r="U2363" s="177"/>
      <c r="V2363" s="2866"/>
      <c r="W2363" s="909">
        <v>869</v>
      </c>
      <c r="X2363" s="909">
        <v>869</v>
      </c>
      <c r="Y2363" s="926">
        <v>869</v>
      </c>
      <c r="Z2363" s="909"/>
      <c r="AA2363" s="926"/>
      <c r="AB2363" s="909"/>
      <c r="AC2363" s="909"/>
      <c r="AD2363" s="909"/>
      <c r="AE2363" s="909"/>
      <c r="AF2363" s="909"/>
      <c r="AG2363" s="909"/>
      <c r="BB2363" s="784"/>
      <c r="BC2363" s="785"/>
      <c r="BD2363" s="900"/>
      <c r="BE2363" s="797"/>
    </row>
    <row r="2364" spans="1:57" s="65" customFormat="1" ht="15" hidden="1" customHeight="1" outlineLevel="1" x14ac:dyDescent="0.25">
      <c r="A2364" s="785"/>
      <c r="B2364" s="177"/>
      <c r="C2364" s="455"/>
      <c r="D2364" s="2806"/>
      <c r="E2364" s="2856"/>
      <c r="F2364" s="2908" t="str">
        <f>$E$1508</f>
        <v>ASHP SEER 17 replace ASHP - early replacement SF ER2</v>
      </c>
      <c r="G2364" s="2909"/>
      <c r="H2364" s="2909"/>
      <c r="I2364" s="2910"/>
      <c r="J2364" s="1657" t="str">
        <f>$C$1508</f>
        <v>353750_2019_12_</v>
      </c>
      <c r="K2364" s="926">
        <v>869</v>
      </c>
      <c r="L2364" s="1124"/>
      <c r="M2364" s="928" t="s">
        <v>1289</v>
      </c>
      <c r="N2364" s="177"/>
      <c r="O2364" s="332"/>
      <c r="P2364" s="332"/>
      <c r="Q2364" s="332"/>
      <c r="R2364" s="332"/>
      <c r="S2364" s="177"/>
      <c r="T2364" s="177"/>
      <c r="U2364" s="177"/>
      <c r="V2364" s="2866"/>
      <c r="W2364" s="909">
        <v>869</v>
      </c>
      <c r="X2364" s="909">
        <v>869</v>
      </c>
      <c r="Y2364" s="926">
        <v>869</v>
      </c>
      <c r="Z2364" s="909"/>
      <c r="AA2364" s="926"/>
      <c r="AB2364" s="909"/>
      <c r="AC2364" s="909"/>
      <c r="AD2364" s="909"/>
      <c r="AE2364" s="909"/>
      <c r="AF2364" s="909"/>
      <c r="AG2364" s="909"/>
      <c r="BB2364" s="784"/>
      <c r="BC2364" s="785"/>
      <c r="BD2364" s="900"/>
      <c r="BE2364" s="797"/>
    </row>
    <row r="2365" spans="1:57" s="65" customFormat="1" ht="15" hidden="1" customHeight="1" outlineLevel="1" x14ac:dyDescent="0.25">
      <c r="A2365" s="718"/>
      <c r="B2365" s="177"/>
      <c r="C2365" s="455"/>
      <c r="D2365" s="2806"/>
      <c r="E2365" s="2856"/>
      <c r="F2365" s="2908" t="str">
        <f>$E$1510</f>
        <v>ASHP SEER 17 replace ASHP - replace on fail SF</v>
      </c>
      <c r="G2365" s="2909"/>
      <c r="H2365" s="2909"/>
      <c r="I2365" s="2910"/>
      <c r="J2365" s="1657" t="str">
        <f>$C$1510</f>
        <v>353800_2019_12_</v>
      </c>
      <c r="K2365" s="926">
        <v>869</v>
      </c>
      <c r="L2365" s="1124"/>
      <c r="M2365" s="928" t="s">
        <v>1289</v>
      </c>
      <c r="N2365" s="177"/>
      <c r="O2365" s="332"/>
      <c r="P2365" s="1116"/>
      <c r="Q2365" s="1117"/>
      <c r="R2365" s="1116"/>
      <c r="S2365" s="1103"/>
      <c r="T2365" s="1639"/>
      <c r="U2365" s="177"/>
      <c r="V2365" s="2866"/>
      <c r="W2365" s="909">
        <v>869</v>
      </c>
      <c r="X2365" s="909">
        <v>869</v>
      </c>
      <c r="Y2365" s="926">
        <v>869</v>
      </c>
      <c r="Z2365" s="909"/>
      <c r="AA2365" s="926"/>
      <c r="AB2365" s="909"/>
      <c r="AC2365" s="909"/>
      <c r="AD2365" s="909"/>
      <c r="AE2365" s="909"/>
      <c r="AF2365" s="909"/>
      <c r="AG2365" s="909"/>
      <c r="BB2365" s="784"/>
      <c r="BC2365" s="785"/>
      <c r="BD2365" s="900"/>
      <c r="BE2365" s="797"/>
    </row>
    <row r="2366" spans="1:57" s="65" customFormat="1" ht="15" hidden="1" customHeight="1" outlineLevel="1" x14ac:dyDescent="0.25">
      <c r="A2366" s="785"/>
      <c r="B2366" s="177"/>
      <c r="C2366" s="455"/>
      <c r="D2366" s="2806"/>
      <c r="E2366" s="2856"/>
      <c r="F2366" s="2908" t="str">
        <f>$E$1512</f>
        <v>ASHP SEER 18 replace ASHP - early replacement SF ER1</v>
      </c>
      <c r="G2366" s="2909"/>
      <c r="H2366" s="2909"/>
      <c r="I2366" s="2910"/>
      <c r="J2366" s="1657" t="str">
        <f>$C$1512</f>
        <v>353850_2019_12_</v>
      </c>
      <c r="K2366" s="926">
        <v>869</v>
      </c>
      <c r="L2366" s="1124"/>
      <c r="M2366" s="928" t="s">
        <v>1289</v>
      </c>
      <c r="N2366" s="177"/>
      <c r="O2366" s="332"/>
      <c r="P2366" s="332"/>
      <c r="Q2366" s="332"/>
      <c r="R2366" s="332"/>
      <c r="S2366" s="177"/>
      <c r="T2366" s="177"/>
      <c r="U2366" s="177"/>
      <c r="V2366" s="2866"/>
      <c r="W2366" s="909">
        <v>869</v>
      </c>
      <c r="X2366" s="909">
        <v>869</v>
      </c>
      <c r="Y2366" s="926">
        <v>869</v>
      </c>
      <c r="Z2366" s="909"/>
      <c r="AA2366" s="926"/>
      <c r="AB2366" s="909"/>
      <c r="AC2366" s="909"/>
      <c r="AD2366" s="909"/>
      <c r="AE2366" s="909"/>
      <c r="AF2366" s="909"/>
      <c r="AG2366" s="909"/>
      <c r="BB2366" s="784"/>
      <c r="BC2366" s="785"/>
      <c r="BD2366" s="900"/>
      <c r="BE2366" s="797"/>
    </row>
    <row r="2367" spans="1:57" s="65" customFormat="1" ht="15" hidden="1" customHeight="1" outlineLevel="1" x14ac:dyDescent="0.25">
      <c r="A2367" s="785"/>
      <c r="B2367" s="177"/>
      <c r="C2367" s="455"/>
      <c r="D2367" s="2806"/>
      <c r="E2367" s="2856"/>
      <c r="F2367" s="2908" t="str">
        <f>$E$1514</f>
        <v>ASHP SEER 18 replace ASHP - early replacement SF ER2</v>
      </c>
      <c r="G2367" s="2909"/>
      <c r="H2367" s="2909"/>
      <c r="I2367" s="2910"/>
      <c r="J2367" s="1657" t="str">
        <f>$C$1514</f>
        <v>353850_2019_12_</v>
      </c>
      <c r="K2367" s="926">
        <v>869</v>
      </c>
      <c r="L2367" s="1124"/>
      <c r="M2367" s="928" t="s">
        <v>1289</v>
      </c>
      <c r="N2367" s="177"/>
      <c r="O2367" s="332"/>
      <c r="P2367" s="332"/>
      <c r="Q2367" s="332"/>
      <c r="R2367" s="332"/>
      <c r="S2367" s="177"/>
      <c r="T2367" s="177"/>
      <c r="U2367" s="177"/>
      <c r="V2367" s="2866"/>
      <c r="W2367" s="909">
        <v>869</v>
      </c>
      <c r="X2367" s="909">
        <v>869</v>
      </c>
      <c r="Y2367" s="926">
        <v>869</v>
      </c>
      <c r="Z2367" s="909"/>
      <c r="AA2367" s="926"/>
      <c r="AB2367" s="909"/>
      <c r="AC2367" s="909"/>
      <c r="AD2367" s="909"/>
      <c r="AE2367" s="909"/>
      <c r="AF2367" s="909"/>
      <c r="AG2367" s="909"/>
      <c r="BB2367" s="784"/>
      <c r="BC2367" s="785"/>
      <c r="BD2367" s="900"/>
      <c r="BE2367" s="797"/>
    </row>
    <row r="2368" spans="1:57" s="65" customFormat="1" ht="15" hidden="1" customHeight="1" outlineLevel="1" x14ac:dyDescent="0.25">
      <c r="A2368" s="718"/>
      <c r="B2368" s="177"/>
      <c r="C2368" s="455"/>
      <c r="D2368" s="2806"/>
      <c r="E2368" s="2856"/>
      <c r="F2368" s="2908" t="str">
        <f>$E$1516</f>
        <v>ASHP - SEER 18 - replace on fail SF</v>
      </c>
      <c r="G2368" s="2909"/>
      <c r="H2368" s="2909"/>
      <c r="I2368" s="2910"/>
      <c r="J2368" s="1657" t="str">
        <f>$C$1516</f>
        <v>353950_2019_12_</v>
      </c>
      <c r="K2368" s="926">
        <v>869</v>
      </c>
      <c r="L2368" s="1124"/>
      <c r="M2368" s="928" t="s">
        <v>1289</v>
      </c>
      <c r="N2368" s="177"/>
      <c r="O2368" s="332"/>
      <c r="P2368" s="1116"/>
      <c r="Q2368" s="1117"/>
      <c r="R2368" s="1116"/>
      <c r="S2368" s="1103"/>
      <c r="T2368" s="1639"/>
      <c r="U2368" s="177"/>
      <c r="V2368" s="2866"/>
      <c r="W2368" s="909">
        <v>869</v>
      </c>
      <c r="X2368" s="909">
        <v>869</v>
      </c>
      <c r="Y2368" s="926">
        <v>869</v>
      </c>
      <c r="Z2368" s="909"/>
      <c r="AA2368" s="926"/>
      <c r="AB2368" s="909"/>
      <c r="AC2368" s="909"/>
      <c r="AD2368" s="909"/>
      <c r="AE2368" s="909"/>
      <c r="AF2368" s="909"/>
      <c r="AG2368" s="909"/>
      <c r="BB2368" s="784"/>
      <c r="BC2368" s="785"/>
      <c r="BD2368" s="900"/>
      <c r="BE2368" s="797"/>
    </row>
    <row r="2369" spans="1:57" s="65" customFormat="1" ht="15" hidden="1" customHeight="1" outlineLevel="1" x14ac:dyDescent="0.25">
      <c r="A2369" s="785"/>
      <c r="B2369" s="177"/>
      <c r="C2369" s="455"/>
      <c r="D2369" s="2806"/>
      <c r="E2369" s="2856"/>
      <c r="F2369" s="2908" t="str">
        <f>$E$1518</f>
        <v>ASHP SEER 19 replace ASHP - early replacement SF ER1</v>
      </c>
      <c r="G2369" s="2909"/>
      <c r="H2369" s="2909"/>
      <c r="I2369" s="2910"/>
      <c r="J2369" s="1657" t="str">
        <f>$C$1518</f>
        <v>354000_2019_12_</v>
      </c>
      <c r="K2369" s="926">
        <v>869</v>
      </c>
      <c r="L2369" s="1124"/>
      <c r="M2369" s="928" t="s">
        <v>1289</v>
      </c>
      <c r="N2369" s="177"/>
      <c r="O2369" s="332"/>
      <c r="P2369" s="332"/>
      <c r="Q2369" s="332"/>
      <c r="R2369" s="332"/>
      <c r="S2369" s="177"/>
      <c r="T2369" s="177"/>
      <c r="U2369" s="177"/>
      <c r="V2369" s="2866"/>
      <c r="W2369" s="909">
        <v>869</v>
      </c>
      <c r="X2369" s="909">
        <v>869</v>
      </c>
      <c r="Y2369" s="926">
        <v>869</v>
      </c>
      <c r="Z2369" s="909"/>
      <c r="AA2369" s="926"/>
      <c r="AB2369" s="909"/>
      <c r="AC2369" s="909"/>
      <c r="AD2369" s="909"/>
      <c r="AE2369" s="909"/>
      <c r="AF2369" s="909"/>
      <c r="AG2369" s="909"/>
      <c r="BB2369" s="784"/>
      <c r="BC2369" s="785"/>
      <c r="BD2369" s="900"/>
      <c r="BE2369" s="797"/>
    </row>
    <row r="2370" spans="1:57" s="65" customFormat="1" ht="15" hidden="1" customHeight="1" outlineLevel="1" x14ac:dyDescent="0.25">
      <c r="A2370" s="785"/>
      <c r="B2370" s="177"/>
      <c r="C2370" s="455"/>
      <c r="D2370" s="2806"/>
      <c r="E2370" s="2856"/>
      <c r="F2370" s="2908" t="str">
        <f>$E$1520</f>
        <v>ASHP SEER 19 replace ASHP - early replacement SF ER2</v>
      </c>
      <c r="G2370" s="2909"/>
      <c r="H2370" s="2909"/>
      <c r="I2370" s="2910"/>
      <c r="J2370" s="1657" t="str">
        <f>$C$1520</f>
        <v>354000_2019_12_</v>
      </c>
      <c r="K2370" s="926">
        <v>869</v>
      </c>
      <c r="L2370" s="1124"/>
      <c r="M2370" s="928" t="s">
        <v>1289</v>
      </c>
      <c r="N2370" s="177"/>
      <c r="O2370" s="332"/>
      <c r="P2370" s="332"/>
      <c r="Q2370" s="332"/>
      <c r="R2370" s="332"/>
      <c r="S2370" s="177"/>
      <c r="T2370" s="177"/>
      <c r="U2370" s="177"/>
      <c r="V2370" s="2866"/>
      <c r="W2370" s="909">
        <v>869</v>
      </c>
      <c r="X2370" s="909">
        <v>869</v>
      </c>
      <c r="Y2370" s="926">
        <v>869</v>
      </c>
      <c r="Z2370" s="909"/>
      <c r="AA2370" s="926"/>
      <c r="AB2370" s="909"/>
      <c r="AC2370" s="909"/>
      <c r="AD2370" s="909"/>
      <c r="AE2370" s="909"/>
      <c r="AF2370" s="909"/>
      <c r="AG2370" s="909"/>
      <c r="BB2370" s="784"/>
      <c r="BC2370" s="785"/>
      <c r="BD2370" s="900"/>
      <c r="BE2370" s="797"/>
    </row>
    <row r="2371" spans="1:57" s="65" customFormat="1" ht="15" hidden="1" customHeight="1" outlineLevel="1" x14ac:dyDescent="0.25">
      <c r="A2371" s="718"/>
      <c r="B2371" s="177"/>
      <c r="C2371" s="455"/>
      <c r="D2371" s="2806"/>
      <c r="E2371" s="2856"/>
      <c r="F2371" s="2908" t="str">
        <f>$E$1522</f>
        <v>ASHP SEER 19 replace ASHP - replace on fail SF</v>
      </c>
      <c r="G2371" s="2909"/>
      <c r="H2371" s="2909"/>
      <c r="I2371" s="2910"/>
      <c r="J2371" s="1657" t="str">
        <f>$C$1522</f>
        <v>354050_2019_12_</v>
      </c>
      <c r="K2371" s="926">
        <v>869</v>
      </c>
      <c r="L2371" s="1124"/>
      <c r="M2371" s="928" t="s">
        <v>1289</v>
      </c>
      <c r="N2371" s="177"/>
      <c r="O2371" s="332"/>
      <c r="P2371" s="1116"/>
      <c r="Q2371" s="1117"/>
      <c r="R2371" s="1116"/>
      <c r="S2371" s="1103"/>
      <c r="T2371" s="1639"/>
      <c r="U2371" s="177"/>
      <c r="V2371" s="2866"/>
      <c r="W2371" s="909">
        <v>869</v>
      </c>
      <c r="X2371" s="909">
        <v>869</v>
      </c>
      <c r="Y2371" s="926">
        <v>869</v>
      </c>
      <c r="Z2371" s="909"/>
      <c r="AA2371" s="926"/>
      <c r="AB2371" s="909"/>
      <c r="AC2371" s="909"/>
      <c r="AD2371" s="909"/>
      <c r="AE2371" s="909"/>
      <c r="AF2371" s="909"/>
      <c r="AG2371" s="909"/>
      <c r="BB2371" s="784"/>
      <c r="BC2371" s="785"/>
      <c r="BD2371" s="900"/>
      <c r="BE2371" s="797"/>
    </row>
    <row r="2372" spans="1:57" s="65" customFormat="1" ht="15" hidden="1" customHeight="1" outlineLevel="1" x14ac:dyDescent="0.25">
      <c r="A2372" s="718"/>
      <c r="B2372" s="177"/>
      <c r="C2372" s="455"/>
      <c r="D2372" s="2806"/>
      <c r="E2372" s="2856"/>
      <c r="F2372" s="2908" t="str">
        <f>$E$1524</f>
        <v>ASHP - SEER 17 - replace electric furnace / CAC - early replacement SF ER1</v>
      </c>
      <c r="G2372" s="2909"/>
      <c r="H2372" s="2909"/>
      <c r="I2372" s="2910"/>
      <c r="J2372" s="1657" t="str">
        <f>$C$1524</f>
        <v>354100_2019_12_</v>
      </c>
      <c r="K2372" s="926">
        <v>869</v>
      </c>
      <c r="L2372" s="1124"/>
      <c r="M2372" s="928"/>
      <c r="N2372" s="177"/>
      <c r="O2372" s="332"/>
      <c r="P2372" s="1116"/>
      <c r="Q2372" s="1117"/>
      <c r="R2372" s="1116"/>
      <c r="S2372" s="1103"/>
      <c r="T2372" s="1639"/>
      <c r="U2372" s="177"/>
      <c r="V2372" s="2866"/>
      <c r="W2372" s="909">
        <v>869</v>
      </c>
      <c r="X2372" s="909">
        <v>869</v>
      </c>
      <c r="Y2372" s="926">
        <v>869</v>
      </c>
      <c r="Z2372" s="909"/>
      <c r="AA2372" s="926"/>
      <c r="AB2372" s="909"/>
      <c r="AC2372" s="909"/>
      <c r="AD2372" s="909"/>
      <c r="AE2372" s="909"/>
      <c r="AF2372" s="909"/>
      <c r="AG2372" s="909"/>
      <c r="BB2372" s="784"/>
      <c r="BC2372" s="785"/>
      <c r="BD2372" s="900"/>
      <c r="BE2372" s="797"/>
    </row>
    <row r="2373" spans="1:57" s="65" customFormat="1" ht="15" hidden="1" customHeight="1" outlineLevel="1" x14ac:dyDescent="0.25">
      <c r="A2373" s="718"/>
      <c r="B2373" s="177"/>
      <c r="C2373" s="455"/>
      <c r="D2373" s="2806"/>
      <c r="E2373" s="2856"/>
      <c r="F2373" s="2908" t="str">
        <f>$E$1526</f>
        <v>ASHP - SEER 17 - replace electric furnace / CAC - early replacement SF ER2</v>
      </c>
      <c r="G2373" s="2909"/>
      <c r="H2373" s="2909"/>
      <c r="I2373" s="2910"/>
      <c r="J2373" s="1657" t="str">
        <f>$C$1526</f>
        <v>354100_2019_12_</v>
      </c>
      <c r="K2373" s="926">
        <v>869</v>
      </c>
      <c r="L2373" s="1124"/>
      <c r="M2373" s="928"/>
      <c r="N2373" s="177"/>
      <c r="O2373" s="332"/>
      <c r="P2373" s="1116"/>
      <c r="Q2373" s="1117"/>
      <c r="R2373" s="1116"/>
      <c r="S2373" s="1103"/>
      <c r="T2373" s="1639"/>
      <c r="U2373" s="177"/>
      <c r="V2373" s="2866"/>
      <c r="W2373" s="909">
        <v>869</v>
      </c>
      <c r="X2373" s="909">
        <v>869</v>
      </c>
      <c r="Y2373" s="926">
        <v>869</v>
      </c>
      <c r="Z2373" s="909"/>
      <c r="AA2373" s="926"/>
      <c r="AB2373" s="909"/>
      <c r="AC2373" s="909"/>
      <c r="AD2373" s="909"/>
      <c r="AE2373" s="909"/>
      <c r="AF2373" s="909"/>
      <c r="AG2373" s="909"/>
      <c r="BB2373" s="784"/>
      <c r="BC2373" s="785"/>
      <c r="BD2373" s="900"/>
      <c r="BE2373" s="797"/>
    </row>
    <row r="2374" spans="1:57" s="65" customFormat="1" ht="15" hidden="1" customHeight="1" outlineLevel="1" x14ac:dyDescent="0.25">
      <c r="A2374" s="718"/>
      <c r="B2374" s="177"/>
      <c r="C2374" s="455"/>
      <c r="D2374" s="2806"/>
      <c r="E2374" s="2856"/>
      <c r="F2374" s="2908" t="str">
        <f>$E$1528</f>
        <v>ASHP - SEER 17 - replace electric furnace / CAC - early replacement MF ER1</v>
      </c>
      <c r="G2374" s="2909"/>
      <c r="H2374" s="2909"/>
      <c r="I2374" s="2910"/>
      <c r="J2374" s="1657" t="str">
        <f>$C$1528</f>
        <v>354150_2019_12_</v>
      </c>
      <c r="K2374" s="926">
        <v>869</v>
      </c>
      <c r="L2374" s="1124"/>
      <c r="M2374" s="928"/>
      <c r="N2374" s="177"/>
      <c r="O2374" s="332"/>
      <c r="P2374" s="1116"/>
      <c r="Q2374" s="1117"/>
      <c r="R2374" s="1116"/>
      <c r="S2374" s="1103"/>
      <c r="T2374" s="1639"/>
      <c r="U2374" s="177"/>
      <c r="V2374" s="2866"/>
      <c r="W2374" s="909">
        <v>869</v>
      </c>
      <c r="X2374" s="909">
        <v>869</v>
      </c>
      <c r="Y2374" s="926">
        <v>869</v>
      </c>
      <c r="Z2374" s="909"/>
      <c r="AA2374" s="926"/>
      <c r="AB2374" s="909"/>
      <c r="AC2374" s="909"/>
      <c r="AD2374" s="909"/>
      <c r="AE2374" s="909"/>
      <c r="AF2374" s="909"/>
      <c r="AG2374" s="909"/>
      <c r="BB2374" s="784"/>
      <c r="BC2374" s="785"/>
      <c r="BD2374" s="900"/>
      <c r="BE2374" s="797"/>
    </row>
    <row r="2375" spans="1:57" s="65" customFormat="1" ht="15" hidden="1" customHeight="1" outlineLevel="1" x14ac:dyDescent="0.25">
      <c r="A2375" s="718"/>
      <c r="B2375" s="177"/>
      <c r="C2375" s="455"/>
      <c r="D2375" s="2806"/>
      <c r="E2375" s="2856"/>
      <c r="F2375" s="2908" t="str">
        <f>$E$1530</f>
        <v>ASHP - SEER 17 - replace electric furnace / CAC - early replacement MF ER2</v>
      </c>
      <c r="G2375" s="2909"/>
      <c r="H2375" s="2909"/>
      <c r="I2375" s="2910"/>
      <c r="J2375" s="1657" t="str">
        <f>$C$1530</f>
        <v>354150_2019_12_</v>
      </c>
      <c r="K2375" s="926">
        <v>869</v>
      </c>
      <c r="L2375" s="1124"/>
      <c r="M2375" s="1133"/>
      <c r="N2375" s="177"/>
      <c r="O2375" s="332"/>
      <c r="P2375" s="1116"/>
      <c r="Q2375" s="1117"/>
      <c r="R2375" s="1116"/>
      <c r="S2375" s="1103"/>
      <c r="T2375" s="1639"/>
      <c r="U2375" s="177"/>
      <c r="V2375" s="2866"/>
      <c r="W2375" s="909">
        <v>869</v>
      </c>
      <c r="X2375" s="909">
        <v>869</v>
      </c>
      <c r="Y2375" s="926">
        <v>869</v>
      </c>
      <c r="Z2375" s="909"/>
      <c r="AA2375" s="926"/>
      <c r="AB2375" s="909"/>
      <c r="AC2375" s="909"/>
      <c r="AD2375" s="909"/>
      <c r="AE2375" s="909"/>
      <c r="AF2375" s="909"/>
      <c r="AG2375" s="909"/>
      <c r="BB2375" s="784"/>
      <c r="BC2375" s="785"/>
      <c r="BD2375" s="900"/>
      <c r="BE2375" s="797"/>
    </row>
    <row r="2376" spans="1:57" s="65" customFormat="1" ht="15" hidden="1" customHeight="1" outlineLevel="1" x14ac:dyDescent="0.25">
      <c r="A2376" s="718"/>
      <c r="B2376" s="177"/>
      <c r="C2376" s="455"/>
      <c r="D2376" s="2806"/>
      <c r="E2376" s="2856"/>
      <c r="F2376" s="2908" t="str">
        <f>$E$1532</f>
        <v>ASHP - SEER 17 - replace electric furnace / CAC - early replacement MF ER1_CompE</v>
      </c>
      <c r="G2376" s="2909"/>
      <c r="H2376" s="2909"/>
      <c r="I2376" s="2910"/>
      <c r="J2376" s="1657" t="str">
        <f>$C$1532</f>
        <v>354151_2019_12_</v>
      </c>
      <c r="K2376" s="926">
        <f t="shared" ref="K2376:K2377" si="217">$K$2318</f>
        <v>632</v>
      </c>
      <c r="L2376" s="1124"/>
      <c r="M2376" s="1053" t="s">
        <v>953</v>
      </c>
      <c r="N2376" s="177"/>
      <c r="O2376" s="332"/>
      <c r="P2376" s="1116"/>
      <c r="Q2376" s="1117"/>
      <c r="R2376" s="1116"/>
      <c r="S2376" s="1103"/>
      <c r="T2376" s="1639"/>
      <c r="U2376" s="177"/>
      <c r="V2376" s="2866"/>
      <c r="W2376" s="909"/>
      <c r="X2376" s="909"/>
      <c r="Y2376" s="933">
        <f t="shared" ref="Y2376:Y2377" si="218">$K$2318</f>
        <v>632</v>
      </c>
      <c r="Z2376" s="909"/>
      <c r="AA2376" s="926"/>
      <c r="AB2376" s="909"/>
      <c r="AC2376" s="909"/>
      <c r="AD2376" s="909"/>
      <c r="AE2376" s="909"/>
      <c r="AF2376" s="909"/>
      <c r="AG2376" s="909"/>
      <c r="BB2376" s="784"/>
      <c r="BC2376" s="785"/>
      <c r="BD2376" s="900"/>
      <c r="BE2376" s="797"/>
    </row>
    <row r="2377" spans="1:57" s="65" customFormat="1" ht="15" hidden="1" customHeight="1" outlineLevel="1" x14ac:dyDescent="0.25">
      <c r="A2377" s="718"/>
      <c r="B2377" s="177"/>
      <c r="C2377" s="455"/>
      <c r="D2377" s="2806"/>
      <c r="E2377" s="2856"/>
      <c r="F2377" s="2908" t="str">
        <f>$E$1534</f>
        <v>ASHP - SEER 17 - replace electric furnace / CAC - early replacement MF ER2_CompE</v>
      </c>
      <c r="G2377" s="2909"/>
      <c r="H2377" s="2909"/>
      <c r="I2377" s="2910"/>
      <c r="J2377" s="1657" t="str">
        <f>$C$1534</f>
        <v>354151_2019_12_</v>
      </c>
      <c r="K2377" s="926">
        <f t="shared" si="217"/>
        <v>632</v>
      </c>
      <c r="L2377" s="1124"/>
      <c r="M2377" s="1053" t="s">
        <v>953</v>
      </c>
      <c r="N2377" s="177"/>
      <c r="O2377" s="332"/>
      <c r="P2377" s="1116"/>
      <c r="Q2377" s="1117"/>
      <c r="R2377" s="1116"/>
      <c r="S2377" s="1103"/>
      <c r="T2377" s="1639"/>
      <c r="U2377" s="177"/>
      <c r="V2377" s="2866"/>
      <c r="W2377" s="909"/>
      <c r="X2377" s="909"/>
      <c r="Y2377" s="933">
        <f t="shared" si="218"/>
        <v>632</v>
      </c>
      <c r="Z2377" s="909"/>
      <c r="AA2377" s="926"/>
      <c r="AB2377" s="909"/>
      <c r="AC2377" s="909"/>
      <c r="AD2377" s="909"/>
      <c r="AE2377" s="909"/>
      <c r="AF2377" s="909"/>
      <c r="AG2377" s="909"/>
      <c r="BB2377" s="784"/>
      <c r="BC2377" s="785"/>
      <c r="BD2377" s="900"/>
      <c r="BE2377" s="797"/>
    </row>
    <row r="2378" spans="1:57" s="65" customFormat="1" ht="15" hidden="1" customHeight="1" outlineLevel="1" x14ac:dyDescent="0.25">
      <c r="A2378" s="718"/>
      <c r="B2378" s="177"/>
      <c r="C2378" s="455"/>
      <c r="D2378" s="2806"/>
      <c r="E2378" s="2856"/>
      <c r="F2378" s="2908" t="str">
        <f>$E$1536</f>
        <v>ASHP SEER 17 replace ASHP - early replacement MF ER1</v>
      </c>
      <c r="G2378" s="2909"/>
      <c r="H2378" s="2909"/>
      <c r="I2378" s="2910"/>
      <c r="J2378" s="1657" t="str">
        <f>$C$1536</f>
        <v>354200_2019_12_</v>
      </c>
      <c r="K2378" s="926">
        <v>869</v>
      </c>
      <c r="L2378" s="1124"/>
      <c r="M2378" s="1133"/>
      <c r="N2378" s="177"/>
      <c r="O2378" s="332"/>
      <c r="P2378" s="1116"/>
      <c r="Q2378" s="1117"/>
      <c r="R2378" s="1116"/>
      <c r="S2378" s="1103"/>
      <c r="T2378" s="1639"/>
      <c r="U2378" s="177"/>
      <c r="V2378" s="2866"/>
      <c r="W2378" s="909">
        <v>869</v>
      </c>
      <c r="X2378" s="909">
        <v>869</v>
      </c>
      <c r="Y2378" s="926">
        <v>869</v>
      </c>
      <c r="Z2378" s="909"/>
      <c r="AA2378" s="926"/>
      <c r="AB2378" s="909"/>
      <c r="AC2378" s="909"/>
      <c r="AD2378" s="909"/>
      <c r="AE2378" s="909"/>
      <c r="AF2378" s="909"/>
      <c r="AG2378" s="909"/>
      <c r="BB2378" s="784"/>
      <c r="BC2378" s="785"/>
      <c r="BD2378" s="900"/>
      <c r="BE2378" s="797"/>
    </row>
    <row r="2379" spans="1:57" s="65" customFormat="1" ht="15" hidden="1" customHeight="1" outlineLevel="1" x14ac:dyDescent="0.25">
      <c r="A2379" s="718"/>
      <c r="B2379" s="177"/>
      <c r="C2379" s="455"/>
      <c r="D2379" s="2806"/>
      <c r="E2379" s="2856"/>
      <c r="F2379" s="2908" t="str">
        <f>$E$1538</f>
        <v>ASHP SEER 17 replace ASHP - early replacement MF ER2</v>
      </c>
      <c r="G2379" s="2909"/>
      <c r="H2379" s="2909"/>
      <c r="I2379" s="2910"/>
      <c r="J2379" s="1657" t="str">
        <f>$C$1538</f>
        <v>354200_2019_12_</v>
      </c>
      <c r="K2379" s="926">
        <v>869</v>
      </c>
      <c r="L2379" s="1124"/>
      <c r="M2379" s="1133"/>
      <c r="N2379" s="177"/>
      <c r="O2379" s="332"/>
      <c r="P2379" s="1116"/>
      <c r="Q2379" s="1117"/>
      <c r="R2379" s="1116"/>
      <c r="S2379" s="1103"/>
      <c r="T2379" s="1639"/>
      <c r="U2379" s="177"/>
      <c r="V2379" s="2866"/>
      <c r="W2379" s="909">
        <v>869</v>
      </c>
      <c r="X2379" s="909">
        <v>869</v>
      </c>
      <c r="Y2379" s="926">
        <v>869</v>
      </c>
      <c r="Z2379" s="909"/>
      <c r="AA2379" s="926"/>
      <c r="AB2379" s="909"/>
      <c r="AC2379" s="909"/>
      <c r="AD2379" s="909"/>
      <c r="AE2379" s="909"/>
      <c r="AF2379" s="909"/>
      <c r="AG2379" s="909"/>
      <c r="BB2379" s="784"/>
      <c r="BC2379" s="785"/>
      <c r="BD2379" s="900"/>
      <c r="BE2379" s="797"/>
    </row>
    <row r="2380" spans="1:57" s="65" customFormat="1" ht="15" hidden="1" customHeight="1" outlineLevel="1" x14ac:dyDescent="0.25">
      <c r="A2380" s="718"/>
      <c r="B2380" s="177"/>
      <c r="C2380" s="455"/>
      <c r="D2380" s="2806"/>
      <c r="E2380" s="2856"/>
      <c r="F2380" s="2908" t="str">
        <f>$E$1540</f>
        <v>ASHP SEER 17 replace ASHP - early replacement MF ER1_CompE</v>
      </c>
      <c r="G2380" s="2909"/>
      <c r="H2380" s="2909"/>
      <c r="I2380" s="2910"/>
      <c r="J2380" s="1657" t="str">
        <f>$C$1540</f>
        <v>354201_2019_12_</v>
      </c>
      <c r="K2380" s="926">
        <f t="shared" ref="K2380:K2381" si="219">$K$2318</f>
        <v>632</v>
      </c>
      <c r="L2380" s="1124"/>
      <c r="M2380" s="1053" t="s">
        <v>953</v>
      </c>
      <c r="N2380" s="177"/>
      <c r="O2380" s="332"/>
      <c r="P2380" s="1116"/>
      <c r="Q2380" s="1117"/>
      <c r="R2380" s="1116"/>
      <c r="S2380" s="1103"/>
      <c r="T2380" s="1639"/>
      <c r="U2380" s="177"/>
      <c r="V2380" s="2866"/>
      <c r="W2380" s="909"/>
      <c r="X2380" s="909"/>
      <c r="Y2380" s="933">
        <f t="shared" ref="Y2380:Y2381" si="220">$K$2318</f>
        <v>632</v>
      </c>
      <c r="Z2380" s="909"/>
      <c r="AA2380" s="926"/>
      <c r="AB2380" s="909"/>
      <c r="AC2380" s="909"/>
      <c r="AD2380" s="909"/>
      <c r="AE2380" s="909"/>
      <c r="AF2380" s="909"/>
      <c r="AG2380" s="909"/>
      <c r="BB2380" s="784"/>
      <c r="BC2380" s="785"/>
      <c r="BD2380" s="900"/>
      <c r="BE2380" s="797"/>
    </row>
    <row r="2381" spans="1:57" s="65" customFormat="1" ht="15" hidden="1" customHeight="1" outlineLevel="1" x14ac:dyDescent="0.25">
      <c r="A2381" s="718"/>
      <c r="B2381" s="177"/>
      <c r="C2381" s="455"/>
      <c r="D2381" s="2806"/>
      <c r="E2381" s="2856"/>
      <c r="F2381" s="2908" t="str">
        <f>$E$1542</f>
        <v>ASHP SEER 17 replace ASHP - early replacement MF ER2_CompE</v>
      </c>
      <c r="G2381" s="2909"/>
      <c r="H2381" s="2909"/>
      <c r="I2381" s="2910"/>
      <c r="J2381" s="1657" t="str">
        <f>$C$1542</f>
        <v>354201_2019_12_</v>
      </c>
      <c r="K2381" s="926">
        <f t="shared" si="219"/>
        <v>632</v>
      </c>
      <c r="L2381" s="1124"/>
      <c r="M2381" s="1053" t="s">
        <v>953</v>
      </c>
      <c r="N2381" s="177"/>
      <c r="O2381" s="332"/>
      <c r="P2381" s="1116"/>
      <c r="Q2381" s="1117"/>
      <c r="R2381" s="1116"/>
      <c r="S2381" s="1103"/>
      <c r="T2381" s="1639"/>
      <c r="U2381" s="177"/>
      <c r="V2381" s="2866"/>
      <c r="W2381" s="909"/>
      <c r="X2381" s="909"/>
      <c r="Y2381" s="933">
        <f t="shared" si="220"/>
        <v>632</v>
      </c>
      <c r="Z2381" s="909"/>
      <c r="AA2381" s="926"/>
      <c r="AB2381" s="909"/>
      <c r="AC2381" s="909"/>
      <c r="AD2381" s="909"/>
      <c r="AE2381" s="909"/>
      <c r="AF2381" s="909"/>
      <c r="AG2381" s="909"/>
      <c r="BB2381" s="784"/>
      <c r="BC2381" s="785"/>
      <c r="BD2381" s="900"/>
      <c r="BE2381" s="797"/>
    </row>
    <row r="2382" spans="1:57" s="65" customFormat="1" ht="15" hidden="1" customHeight="1" outlineLevel="1" x14ac:dyDescent="0.25">
      <c r="A2382" s="718"/>
      <c r="B2382" s="177"/>
      <c r="C2382" s="455"/>
      <c r="D2382" s="2806"/>
      <c r="E2382" s="2856"/>
      <c r="F2382" s="2908" t="str">
        <f>$E$1544</f>
        <v>ASHP - SEER 18 - replace electric furnace / CAC - early replacement SF ER1</v>
      </c>
      <c r="G2382" s="2909"/>
      <c r="H2382" s="2909"/>
      <c r="I2382" s="2910"/>
      <c r="J2382" s="1657" t="str">
        <f>$C$1544</f>
        <v>354250_2019_12_</v>
      </c>
      <c r="K2382" s="926">
        <v>869</v>
      </c>
      <c r="L2382" s="1124"/>
      <c r="M2382" s="1133"/>
      <c r="N2382" s="177"/>
      <c r="O2382" s="332"/>
      <c r="P2382" s="1116"/>
      <c r="Q2382" s="1117"/>
      <c r="R2382" s="1116"/>
      <c r="S2382" s="1103"/>
      <c r="T2382" s="1639"/>
      <c r="U2382" s="177"/>
      <c r="V2382" s="2866"/>
      <c r="W2382" s="909">
        <v>869</v>
      </c>
      <c r="X2382" s="909">
        <v>869</v>
      </c>
      <c r="Y2382" s="926">
        <v>869</v>
      </c>
      <c r="Z2382" s="909"/>
      <c r="AA2382" s="926"/>
      <c r="AB2382" s="909"/>
      <c r="AC2382" s="909"/>
      <c r="AD2382" s="909"/>
      <c r="AE2382" s="909"/>
      <c r="AF2382" s="909"/>
      <c r="AG2382" s="909"/>
      <c r="BB2382" s="784"/>
      <c r="BC2382" s="785"/>
      <c r="BD2382" s="900"/>
      <c r="BE2382" s="797"/>
    </row>
    <row r="2383" spans="1:57" s="65" customFormat="1" ht="15" hidden="1" customHeight="1" outlineLevel="1" x14ac:dyDescent="0.25">
      <c r="A2383" s="718"/>
      <c r="B2383" s="177"/>
      <c r="C2383" s="455"/>
      <c r="D2383" s="2806"/>
      <c r="E2383" s="2856"/>
      <c r="F2383" s="2908" t="str">
        <f>$E$1546</f>
        <v>ASHP - SEER 18 - replace electric furnace / CAC - early replacement SF ER2</v>
      </c>
      <c r="G2383" s="2909"/>
      <c r="H2383" s="2909"/>
      <c r="I2383" s="2910"/>
      <c r="J2383" s="1657" t="str">
        <f>$C$1546</f>
        <v>354250_2019_12_</v>
      </c>
      <c r="K2383" s="926">
        <v>869</v>
      </c>
      <c r="L2383" s="1124"/>
      <c r="M2383" s="1133"/>
      <c r="N2383" s="177"/>
      <c r="O2383" s="332"/>
      <c r="P2383" s="1116"/>
      <c r="Q2383" s="1117"/>
      <c r="R2383" s="1116"/>
      <c r="S2383" s="1103"/>
      <c r="T2383" s="1639"/>
      <c r="U2383" s="177"/>
      <c r="V2383" s="2866"/>
      <c r="W2383" s="909">
        <v>869</v>
      </c>
      <c r="X2383" s="909">
        <v>869</v>
      </c>
      <c r="Y2383" s="926">
        <v>869</v>
      </c>
      <c r="Z2383" s="909"/>
      <c r="AA2383" s="926"/>
      <c r="AB2383" s="909"/>
      <c r="AC2383" s="909"/>
      <c r="AD2383" s="909"/>
      <c r="AE2383" s="909"/>
      <c r="AF2383" s="909"/>
      <c r="AG2383" s="909"/>
      <c r="BB2383" s="784"/>
      <c r="BC2383" s="785"/>
      <c r="BD2383" s="900"/>
      <c r="BE2383" s="797"/>
    </row>
    <row r="2384" spans="1:57" s="65" customFormat="1" ht="15" hidden="1" customHeight="1" outlineLevel="1" x14ac:dyDescent="0.25">
      <c r="A2384" s="718"/>
      <c r="B2384" s="177"/>
      <c r="C2384" s="455"/>
      <c r="D2384" s="2806"/>
      <c r="E2384" s="2856"/>
      <c r="F2384" s="2908" t="str">
        <f>$E$1548</f>
        <v>ASHP - SEER 18 - replace electric furnace / CAC - early replacement MF ER1</v>
      </c>
      <c r="G2384" s="2909"/>
      <c r="H2384" s="2909"/>
      <c r="I2384" s="2910"/>
      <c r="J2384" s="1657" t="str">
        <f>$C$1548</f>
        <v>354300_2019_12_</v>
      </c>
      <c r="K2384" s="926">
        <v>869</v>
      </c>
      <c r="L2384" s="1124"/>
      <c r="M2384" s="1133"/>
      <c r="N2384" s="177"/>
      <c r="O2384" s="332"/>
      <c r="P2384" s="1116"/>
      <c r="Q2384" s="1117"/>
      <c r="R2384" s="1116"/>
      <c r="S2384" s="1103"/>
      <c r="T2384" s="1639"/>
      <c r="U2384" s="177"/>
      <c r="V2384" s="2866"/>
      <c r="W2384" s="909">
        <v>869</v>
      </c>
      <c r="X2384" s="909">
        <v>869</v>
      </c>
      <c r="Y2384" s="926">
        <v>869</v>
      </c>
      <c r="Z2384" s="909"/>
      <c r="AA2384" s="926"/>
      <c r="AB2384" s="909"/>
      <c r="AC2384" s="909"/>
      <c r="AD2384" s="909"/>
      <c r="AE2384" s="909"/>
      <c r="AF2384" s="909"/>
      <c r="AG2384" s="909"/>
      <c r="BB2384" s="784"/>
      <c r="BC2384" s="785"/>
      <c r="BD2384" s="900"/>
      <c r="BE2384" s="797"/>
    </row>
    <row r="2385" spans="1:57" s="65" customFormat="1" ht="15" hidden="1" customHeight="1" outlineLevel="1" x14ac:dyDescent="0.25">
      <c r="A2385" s="718"/>
      <c r="B2385" s="177"/>
      <c r="C2385" s="455"/>
      <c r="D2385" s="2806"/>
      <c r="E2385" s="2856"/>
      <c r="F2385" s="2908" t="str">
        <f>$E$1550</f>
        <v>ASHP - SEER 18 - replace electric furnace / CAC - early replacement MF ER2</v>
      </c>
      <c r="G2385" s="2909"/>
      <c r="H2385" s="2909"/>
      <c r="I2385" s="2910"/>
      <c r="J2385" s="1657" t="str">
        <f>$C$1550</f>
        <v>354300_2019_12_</v>
      </c>
      <c r="K2385" s="926">
        <v>869</v>
      </c>
      <c r="L2385" s="1124"/>
      <c r="M2385" s="1133"/>
      <c r="N2385" s="177"/>
      <c r="O2385" s="332"/>
      <c r="P2385" s="1116"/>
      <c r="Q2385" s="1117"/>
      <c r="R2385" s="1116"/>
      <c r="S2385" s="1103"/>
      <c r="T2385" s="1639"/>
      <c r="U2385" s="177"/>
      <c r="V2385" s="2866"/>
      <c r="W2385" s="909">
        <v>869</v>
      </c>
      <c r="X2385" s="909">
        <v>869</v>
      </c>
      <c r="Y2385" s="926">
        <v>869</v>
      </c>
      <c r="Z2385" s="909"/>
      <c r="AA2385" s="926"/>
      <c r="AB2385" s="909"/>
      <c r="AC2385" s="909"/>
      <c r="AD2385" s="909"/>
      <c r="AE2385" s="909"/>
      <c r="AF2385" s="909"/>
      <c r="AG2385" s="909"/>
      <c r="BB2385" s="784"/>
      <c r="BC2385" s="785"/>
      <c r="BD2385" s="900"/>
      <c r="BE2385" s="797"/>
    </row>
    <row r="2386" spans="1:57" s="65" customFormat="1" ht="15" hidden="1" customHeight="1" outlineLevel="1" x14ac:dyDescent="0.25">
      <c r="A2386" s="718"/>
      <c r="B2386" s="177"/>
      <c r="C2386" s="455"/>
      <c r="D2386" s="2806"/>
      <c r="E2386" s="2856"/>
      <c r="F2386" s="2908" t="str">
        <f>$E$1552</f>
        <v>ASHP - SEER 18 - replace electric furnace / CAC - early replacement MF ER1_CompE</v>
      </c>
      <c r="G2386" s="2909"/>
      <c r="H2386" s="2909"/>
      <c r="I2386" s="2910"/>
      <c r="J2386" s="1657" t="str">
        <f>$C$1552</f>
        <v>354301_2019_12_</v>
      </c>
      <c r="K2386" s="926">
        <f t="shared" ref="K2386:K2387" si="221">$K$2318</f>
        <v>632</v>
      </c>
      <c r="L2386" s="1124"/>
      <c r="M2386" s="1053" t="s">
        <v>953</v>
      </c>
      <c r="N2386" s="177"/>
      <c r="O2386" s="332"/>
      <c r="P2386" s="1116"/>
      <c r="Q2386" s="1117"/>
      <c r="R2386" s="1116"/>
      <c r="S2386" s="1103"/>
      <c r="T2386" s="1639"/>
      <c r="U2386" s="177"/>
      <c r="V2386" s="2866"/>
      <c r="W2386" s="909"/>
      <c r="X2386" s="909"/>
      <c r="Y2386" s="933">
        <f t="shared" ref="Y2386:Y2387" si="222">$K$2318</f>
        <v>632</v>
      </c>
      <c r="Z2386" s="909"/>
      <c r="AA2386" s="926"/>
      <c r="AB2386" s="909"/>
      <c r="AC2386" s="909"/>
      <c r="AD2386" s="909"/>
      <c r="AE2386" s="909"/>
      <c r="AF2386" s="909"/>
      <c r="AG2386" s="909"/>
      <c r="BB2386" s="784"/>
      <c r="BC2386" s="785"/>
      <c r="BD2386" s="900"/>
      <c r="BE2386" s="797"/>
    </row>
    <row r="2387" spans="1:57" s="65" customFormat="1" ht="15" hidden="1" customHeight="1" outlineLevel="1" x14ac:dyDescent="0.25">
      <c r="A2387" s="718"/>
      <c r="B2387" s="177"/>
      <c r="C2387" s="455"/>
      <c r="D2387" s="2806"/>
      <c r="E2387" s="2856"/>
      <c r="F2387" s="2908" t="str">
        <f>$E$1554</f>
        <v>ASHP - SEER 18 - replace electric furnace / CAC - early replacement MF ER2_CompE</v>
      </c>
      <c r="G2387" s="2909"/>
      <c r="H2387" s="2909"/>
      <c r="I2387" s="2910"/>
      <c r="J2387" s="1657" t="str">
        <f>$C$1554</f>
        <v>354301_2019_12_</v>
      </c>
      <c r="K2387" s="926">
        <f t="shared" si="221"/>
        <v>632</v>
      </c>
      <c r="L2387" s="1124"/>
      <c r="M2387" s="1053" t="s">
        <v>953</v>
      </c>
      <c r="N2387" s="177"/>
      <c r="O2387" s="332"/>
      <c r="P2387" s="1116"/>
      <c r="Q2387" s="1117"/>
      <c r="R2387" s="1116"/>
      <c r="S2387" s="1103"/>
      <c r="T2387" s="1639"/>
      <c r="U2387" s="177"/>
      <c r="V2387" s="2866"/>
      <c r="W2387" s="909"/>
      <c r="X2387" s="909"/>
      <c r="Y2387" s="933">
        <f t="shared" si="222"/>
        <v>632</v>
      </c>
      <c r="Z2387" s="909"/>
      <c r="AA2387" s="926"/>
      <c r="AB2387" s="909"/>
      <c r="AC2387" s="909"/>
      <c r="AD2387" s="909"/>
      <c r="AE2387" s="909"/>
      <c r="AF2387" s="909"/>
      <c r="AG2387" s="909"/>
      <c r="BB2387" s="784"/>
      <c r="BC2387" s="785"/>
      <c r="BD2387" s="900"/>
      <c r="BE2387" s="797"/>
    </row>
    <row r="2388" spans="1:57" s="65" customFormat="1" ht="15" hidden="1" customHeight="1" outlineLevel="1" x14ac:dyDescent="0.25">
      <c r="A2388" s="718"/>
      <c r="B2388" s="177"/>
      <c r="C2388" s="455"/>
      <c r="D2388" s="2806"/>
      <c r="E2388" s="2856"/>
      <c r="F2388" s="2908" t="str">
        <f>$E$1556</f>
        <v>ASHP SEER 18 replace ASHP - early replacement MF ER1</v>
      </c>
      <c r="G2388" s="2909"/>
      <c r="H2388" s="2909"/>
      <c r="I2388" s="2910"/>
      <c r="J2388" s="1657" t="str">
        <f>$C$1556</f>
        <v>354350_2019_12_</v>
      </c>
      <c r="K2388" s="926">
        <v>869</v>
      </c>
      <c r="L2388" s="1124"/>
      <c r="M2388" s="1133"/>
      <c r="N2388" s="177"/>
      <c r="O2388" s="332"/>
      <c r="P2388" s="1116"/>
      <c r="Q2388" s="1117"/>
      <c r="R2388" s="1116"/>
      <c r="S2388" s="1103"/>
      <c r="T2388" s="1639"/>
      <c r="U2388" s="177"/>
      <c r="V2388" s="2866"/>
      <c r="W2388" s="909">
        <v>869</v>
      </c>
      <c r="X2388" s="909">
        <v>869</v>
      </c>
      <c r="Y2388" s="926">
        <v>869</v>
      </c>
      <c r="Z2388" s="909"/>
      <c r="AA2388" s="926"/>
      <c r="AB2388" s="909"/>
      <c r="AC2388" s="909"/>
      <c r="AD2388" s="909"/>
      <c r="AE2388" s="909"/>
      <c r="AF2388" s="909"/>
      <c r="AG2388" s="909"/>
      <c r="BB2388" s="784"/>
      <c r="BC2388" s="785"/>
      <c r="BD2388" s="900"/>
      <c r="BE2388" s="797"/>
    </row>
    <row r="2389" spans="1:57" s="65" customFormat="1" ht="15" hidden="1" customHeight="1" outlineLevel="1" x14ac:dyDescent="0.25">
      <c r="A2389" s="718"/>
      <c r="B2389" s="177"/>
      <c r="C2389" s="455"/>
      <c r="D2389" s="2806"/>
      <c r="E2389" s="2856"/>
      <c r="F2389" s="2908" t="str">
        <f>$E$1558</f>
        <v>ASHP SEER 18 replace ASHP - early replacement MF ER2</v>
      </c>
      <c r="G2389" s="2909"/>
      <c r="H2389" s="2909"/>
      <c r="I2389" s="2910"/>
      <c r="J2389" s="1657" t="str">
        <f>$C$1558</f>
        <v>354350_2019_12_</v>
      </c>
      <c r="K2389" s="926">
        <v>869</v>
      </c>
      <c r="L2389" s="1124"/>
      <c r="M2389" s="1133"/>
      <c r="N2389" s="177"/>
      <c r="O2389" s="332"/>
      <c r="P2389" s="1116"/>
      <c r="Q2389" s="1117"/>
      <c r="R2389" s="1116"/>
      <c r="S2389" s="1103"/>
      <c r="T2389" s="1639"/>
      <c r="U2389" s="177"/>
      <c r="V2389" s="2866"/>
      <c r="W2389" s="909">
        <v>869</v>
      </c>
      <c r="X2389" s="909">
        <v>869</v>
      </c>
      <c r="Y2389" s="926">
        <v>869</v>
      </c>
      <c r="Z2389" s="909"/>
      <c r="AA2389" s="926"/>
      <c r="AB2389" s="909"/>
      <c r="AC2389" s="909"/>
      <c r="AD2389" s="909"/>
      <c r="AE2389" s="909"/>
      <c r="AF2389" s="909"/>
      <c r="AG2389" s="909"/>
      <c r="BB2389" s="784"/>
      <c r="BC2389" s="785"/>
      <c r="BD2389" s="900"/>
      <c r="BE2389" s="797"/>
    </row>
    <row r="2390" spans="1:57" s="65" customFormat="1" ht="15" hidden="1" customHeight="1" outlineLevel="1" x14ac:dyDescent="0.25">
      <c r="A2390" s="718"/>
      <c r="B2390" s="177"/>
      <c r="C2390" s="455"/>
      <c r="D2390" s="2806"/>
      <c r="E2390" s="2856"/>
      <c r="F2390" s="2908" t="str">
        <f>$E$1560</f>
        <v>ASHP SEER 18 replace ASHP - early replacement MF ER1_CompE</v>
      </c>
      <c r="G2390" s="2909"/>
      <c r="H2390" s="2909"/>
      <c r="I2390" s="2910"/>
      <c r="J2390" s="1657" t="str">
        <f>$C$1560</f>
        <v>354351_2019_12_</v>
      </c>
      <c r="K2390" s="926">
        <f t="shared" ref="K2390:K2391" si="223">$K$2318</f>
        <v>632</v>
      </c>
      <c r="L2390" s="1124"/>
      <c r="M2390" s="1053" t="s">
        <v>953</v>
      </c>
      <c r="N2390" s="177"/>
      <c r="O2390" s="332"/>
      <c r="P2390" s="1116"/>
      <c r="Q2390" s="1117"/>
      <c r="R2390" s="1116"/>
      <c r="S2390" s="1103"/>
      <c r="T2390" s="1639"/>
      <c r="U2390" s="177"/>
      <c r="V2390" s="2866"/>
      <c r="W2390" s="909"/>
      <c r="X2390" s="909"/>
      <c r="Y2390" s="933">
        <f t="shared" ref="Y2390:Y2391" si="224">$K$2318</f>
        <v>632</v>
      </c>
      <c r="Z2390" s="909"/>
      <c r="AA2390" s="926"/>
      <c r="AB2390" s="909"/>
      <c r="AC2390" s="909"/>
      <c r="AD2390" s="909"/>
      <c r="AE2390" s="909"/>
      <c r="AF2390" s="909"/>
      <c r="AG2390" s="909"/>
      <c r="BB2390" s="784"/>
      <c r="BC2390" s="785"/>
      <c r="BD2390" s="900"/>
      <c r="BE2390" s="797"/>
    </row>
    <row r="2391" spans="1:57" s="65" customFormat="1" ht="15" hidden="1" customHeight="1" outlineLevel="1" x14ac:dyDescent="0.25">
      <c r="A2391" s="718"/>
      <c r="B2391" s="177"/>
      <c r="C2391" s="455"/>
      <c r="D2391" s="2806"/>
      <c r="E2391" s="2856"/>
      <c r="F2391" s="2908" t="str">
        <f>$E$1562</f>
        <v>ASHP SEER 18 replace ASHP - early replacement MF ER2_CompE</v>
      </c>
      <c r="G2391" s="2909"/>
      <c r="H2391" s="2909"/>
      <c r="I2391" s="2910"/>
      <c r="J2391" s="1657" t="str">
        <f>$C$1562</f>
        <v>354351_2019_12_</v>
      </c>
      <c r="K2391" s="926">
        <f t="shared" si="223"/>
        <v>632</v>
      </c>
      <c r="L2391" s="1124"/>
      <c r="M2391" s="1053" t="s">
        <v>953</v>
      </c>
      <c r="N2391" s="177"/>
      <c r="O2391" s="332"/>
      <c r="P2391" s="1116"/>
      <c r="Q2391" s="1117"/>
      <c r="R2391" s="1116"/>
      <c r="S2391" s="1103"/>
      <c r="T2391" s="1639"/>
      <c r="U2391" s="177"/>
      <c r="V2391" s="2866"/>
      <c r="W2391" s="909"/>
      <c r="X2391" s="909"/>
      <c r="Y2391" s="933">
        <f t="shared" si="224"/>
        <v>632</v>
      </c>
      <c r="Z2391" s="909"/>
      <c r="AA2391" s="926"/>
      <c r="AB2391" s="909"/>
      <c r="AC2391" s="909"/>
      <c r="AD2391" s="909"/>
      <c r="AE2391" s="909"/>
      <c r="AF2391" s="909"/>
      <c r="AG2391" s="909"/>
      <c r="BB2391" s="784"/>
      <c r="BC2391" s="785"/>
      <c r="BD2391" s="900"/>
      <c r="BE2391" s="797"/>
    </row>
    <row r="2392" spans="1:57" s="65" customFormat="1" ht="15" hidden="1" customHeight="1" outlineLevel="1" x14ac:dyDescent="0.25">
      <c r="A2392" s="718"/>
      <c r="B2392" s="177"/>
      <c r="C2392" s="455"/>
      <c r="D2392" s="2806"/>
      <c r="E2392" s="2856"/>
      <c r="F2392" s="2908" t="str">
        <f>$E$1564</f>
        <v>ASHP - SEER 19 - replace electric furnace / CAC - early replacement SF ER1</v>
      </c>
      <c r="G2392" s="2909"/>
      <c r="H2392" s="2909"/>
      <c r="I2392" s="2910"/>
      <c r="J2392" s="1657" t="str">
        <f>$C$1564</f>
        <v>354400_2019_12_</v>
      </c>
      <c r="K2392" s="926">
        <v>869</v>
      </c>
      <c r="L2392" s="1124"/>
      <c r="M2392" s="1133"/>
      <c r="N2392" s="177"/>
      <c r="O2392" s="332"/>
      <c r="P2392" s="1116"/>
      <c r="Q2392" s="1117"/>
      <c r="R2392" s="1116"/>
      <c r="S2392" s="1103"/>
      <c r="T2392" s="1639"/>
      <c r="U2392" s="177"/>
      <c r="V2392" s="2866"/>
      <c r="W2392" s="909">
        <v>869</v>
      </c>
      <c r="X2392" s="909">
        <v>869</v>
      </c>
      <c r="Y2392" s="926">
        <v>869</v>
      </c>
      <c r="Z2392" s="909"/>
      <c r="AA2392" s="926"/>
      <c r="AB2392" s="909"/>
      <c r="AC2392" s="909"/>
      <c r="AD2392" s="909"/>
      <c r="AE2392" s="909"/>
      <c r="AF2392" s="909"/>
      <c r="AG2392" s="909"/>
      <c r="BB2392" s="784"/>
      <c r="BC2392" s="785"/>
      <c r="BD2392" s="900"/>
      <c r="BE2392" s="797"/>
    </row>
    <row r="2393" spans="1:57" s="65" customFormat="1" ht="15" hidden="1" customHeight="1" outlineLevel="1" x14ac:dyDescent="0.25">
      <c r="A2393" s="718"/>
      <c r="B2393" s="177"/>
      <c r="C2393" s="455"/>
      <c r="D2393" s="2806"/>
      <c r="E2393" s="2856"/>
      <c r="F2393" s="2908" t="str">
        <f>$E$1566</f>
        <v>ASHP - SEER 19 - replace electric furnace / CAC - early replacement SF ER2</v>
      </c>
      <c r="G2393" s="2909"/>
      <c r="H2393" s="2909"/>
      <c r="I2393" s="2910"/>
      <c r="J2393" s="1657" t="str">
        <f>$C$1566</f>
        <v>354400_2019_12_</v>
      </c>
      <c r="K2393" s="926">
        <v>869</v>
      </c>
      <c r="L2393" s="1124"/>
      <c r="M2393" s="1133"/>
      <c r="N2393" s="177"/>
      <c r="O2393" s="332"/>
      <c r="P2393" s="1116"/>
      <c r="Q2393" s="1117"/>
      <c r="R2393" s="1116"/>
      <c r="S2393" s="1103"/>
      <c r="T2393" s="1639"/>
      <c r="U2393" s="177"/>
      <c r="V2393" s="2866"/>
      <c r="W2393" s="909">
        <v>869</v>
      </c>
      <c r="X2393" s="909">
        <v>869</v>
      </c>
      <c r="Y2393" s="926">
        <v>869</v>
      </c>
      <c r="Z2393" s="909"/>
      <c r="AA2393" s="926"/>
      <c r="AB2393" s="909"/>
      <c r="AC2393" s="909"/>
      <c r="AD2393" s="909"/>
      <c r="AE2393" s="909"/>
      <c r="AF2393" s="909"/>
      <c r="AG2393" s="909"/>
      <c r="BB2393" s="784"/>
      <c r="BC2393" s="785"/>
      <c r="BD2393" s="900"/>
      <c r="BE2393" s="797"/>
    </row>
    <row r="2394" spans="1:57" s="65" customFormat="1" ht="15" hidden="1" customHeight="1" outlineLevel="1" x14ac:dyDescent="0.25">
      <c r="A2394" s="718"/>
      <c r="B2394" s="177"/>
      <c r="C2394" s="455"/>
      <c r="D2394" s="2806"/>
      <c r="E2394" s="2856"/>
      <c r="F2394" s="2908" t="str">
        <f>$E$1568</f>
        <v>ASHP - SEER 19 - replace electric furnace / CAC - early replacement MF ER1</v>
      </c>
      <c r="G2394" s="2909"/>
      <c r="H2394" s="2909"/>
      <c r="I2394" s="2910"/>
      <c r="J2394" s="1657" t="str">
        <f>$C$1568</f>
        <v>354450_2019_12_</v>
      </c>
      <c r="K2394" s="926">
        <v>869</v>
      </c>
      <c r="L2394" s="1124"/>
      <c r="M2394" s="1133"/>
      <c r="N2394" s="177"/>
      <c r="O2394" s="332"/>
      <c r="P2394" s="1116"/>
      <c r="Q2394" s="1117"/>
      <c r="R2394" s="1116"/>
      <c r="S2394" s="1103"/>
      <c r="T2394" s="1639"/>
      <c r="U2394" s="177"/>
      <c r="V2394" s="2866"/>
      <c r="W2394" s="909">
        <v>869</v>
      </c>
      <c r="X2394" s="909">
        <v>869</v>
      </c>
      <c r="Y2394" s="926">
        <v>869</v>
      </c>
      <c r="Z2394" s="909"/>
      <c r="AA2394" s="926"/>
      <c r="AB2394" s="909"/>
      <c r="AC2394" s="909"/>
      <c r="AD2394" s="909"/>
      <c r="AE2394" s="909"/>
      <c r="AF2394" s="909"/>
      <c r="AG2394" s="909"/>
      <c r="BB2394" s="784"/>
      <c r="BC2394" s="785"/>
      <c r="BD2394" s="900"/>
      <c r="BE2394" s="797"/>
    </row>
    <row r="2395" spans="1:57" s="65" customFormat="1" ht="15" hidden="1" customHeight="1" outlineLevel="1" x14ac:dyDescent="0.25">
      <c r="A2395" s="718"/>
      <c r="B2395" s="177"/>
      <c r="C2395" s="455"/>
      <c r="D2395" s="2806"/>
      <c r="E2395" s="2856"/>
      <c r="F2395" s="2908" t="str">
        <f>$E$1570</f>
        <v>ASHP - SEER 19 - replace electric furnace / CAC - early replacement MF ER2</v>
      </c>
      <c r="G2395" s="2909"/>
      <c r="H2395" s="2909"/>
      <c r="I2395" s="2910"/>
      <c r="J2395" s="1657" t="str">
        <f>$C$1570</f>
        <v>354450_2019_12_</v>
      </c>
      <c r="K2395" s="926">
        <v>869</v>
      </c>
      <c r="L2395" s="1124"/>
      <c r="M2395" s="1133"/>
      <c r="N2395" s="177"/>
      <c r="O2395" s="332"/>
      <c r="P2395" s="1116"/>
      <c r="Q2395" s="1117"/>
      <c r="R2395" s="1116"/>
      <c r="S2395" s="1103"/>
      <c r="T2395" s="1639"/>
      <c r="U2395" s="177"/>
      <c r="V2395" s="2866"/>
      <c r="W2395" s="909">
        <v>869</v>
      </c>
      <c r="X2395" s="909">
        <v>869</v>
      </c>
      <c r="Y2395" s="926">
        <v>869</v>
      </c>
      <c r="Z2395" s="909"/>
      <c r="AA2395" s="926"/>
      <c r="AB2395" s="909"/>
      <c r="AC2395" s="909"/>
      <c r="AD2395" s="909"/>
      <c r="AE2395" s="909"/>
      <c r="AF2395" s="909"/>
      <c r="AG2395" s="909"/>
      <c r="BB2395" s="784"/>
      <c r="BC2395" s="785"/>
      <c r="BD2395" s="900"/>
      <c r="BE2395" s="797"/>
    </row>
    <row r="2396" spans="1:57" s="65" customFormat="1" ht="15" hidden="1" customHeight="1" outlineLevel="1" x14ac:dyDescent="0.25">
      <c r="A2396" s="718"/>
      <c r="B2396" s="177"/>
      <c r="C2396" s="455"/>
      <c r="D2396" s="2806"/>
      <c r="E2396" s="2856"/>
      <c r="F2396" s="2908" t="str">
        <f>$E$1572</f>
        <v>ASHP - SEER 19 - replace electric furnace / CAC - early replacement MF ER1_CompE</v>
      </c>
      <c r="G2396" s="2909"/>
      <c r="H2396" s="2909"/>
      <c r="I2396" s="2910"/>
      <c r="J2396" s="1657" t="str">
        <f>$C$1572</f>
        <v>354451_2019_12_</v>
      </c>
      <c r="K2396" s="926">
        <f t="shared" ref="K2396:K2397" si="225">$K$2318</f>
        <v>632</v>
      </c>
      <c r="L2396" s="1124"/>
      <c r="M2396" s="1053" t="s">
        <v>953</v>
      </c>
      <c r="N2396" s="177"/>
      <c r="O2396" s="332"/>
      <c r="P2396" s="1116"/>
      <c r="Q2396" s="1117"/>
      <c r="R2396" s="1116"/>
      <c r="S2396" s="1103"/>
      <c r="T2396" s="1639"/>
      <c r="U2396" s="177"/>
      <c r="V2396" s="2866"/>
      <c r="W2396" s="909"/>
      <c r="X2396" s="909"/>
      <c r="Y2396" s="933">
        <f t="shared" ref="Y2396:Y2397" si="226">$K$2318</f>
        <v>632</v>
      </c>
      <c r="Z2396" s="909"/>
      <c r="AA2396" s="926"/>
      <c r="AB2396" s="909"/>
      <c r="AC2396" s="909"/>
      <c r="AD2396" s="909"/>
      <c r="AE2396" s="909"/>
      <c r="AF2396" s="909"/>
      <c r="AG2396" s="909"/>
      <c r="BB2396" s="784"/>
      <c r="BC2396" s="785"/>
      <c r="BD2396" s="900"/>
      <c r="BE2396" s="797"/>
    </row>
    <row r="2397" spans="1:57" s="65" customFormat="1" ht="15" hidden="1" customHeight="1" outlineLevel="1" x14ac:dyDescent="0.25">
      <c r="A2397" s="718"/>
      <c r="B2397" s="177"/>
      <c r="C2397" s="455"/>
      <c r="D2397" s="2806"/>
      <c r="E2397" s="2856"/>
      <c r="F2397" s="2908" t="str">
        <f>$E$1574</f>
        <v>ASHP - SEER 19 - replace electric furnace / CAC - early replacement MF ER2_CompE</v>
      </c>
      <c r="G2397" s="2909"/>
      <c r="H2397" s="2909"/>
      <c r="I2397" s="2910"/>
      <c r="J2397" s="1657" t="str">
        <f>$C$1574</f>
        <v>354451_2019_12_</v>
      </c>
      <c r="K2397" s="926">
        <f t="shared" si="225"/>
        <v>632</v>
      </c>
      <c r="L2397" s="1124"/>
      <c r="M2397" s="1053" t="s">
        <v>953</v>
      </c>
      <c r="N2397" s="177"/>
      <c r="O2397" s="332"/>
      <c r="P2397" s="1116"/>
      <c r="Q2397" s="1117"/>
      <c r="R2397" s="1116"/>
      <c r="S2397" s="1103"/>
      <c r="T2397" s="1639"/>
      <c r="U2397" s="177"/>
      <c r="V2397" s="2866"/>
      <c r="W2397" s="909"/>
      <c r="X2397" s="909"/>
      <c r="Y2397" s="933">
        <f t="shared" si="226"/>
        <v>632</v>
      </c>
      <c r="Z2397" s="909"/>
      <c r="AA2397" s="926"/>
      <c r="AB2397" s="909"/>
      <c r="AC2397" s="909"/>
      <c r="AD2397" s="909"/>
      <c r="AE2397" s="909"/>
      <c r="AF2397" s="909"/>
      <c r="AG2397" s="909"/>
      <c r="BB2397" s="784"/>
      <c r="BC2397" s="785"/>
      <c r="BD2397" s="900"/>
      <c r="BE2397" s="797"/>
    </row>
    <row r="2398" spans="1:57" s="65" customFormat="1" ht="15" hidden="1" customHeight="1" outlineLevel="1" x14ac:dyDescent="0.25">
      <c r="A2398" s="718"/>
      <c r="B2398" s="177"/>
      <c r="C2398" s="455"/>
      <c r="D2398" s="2806"/>
      <c r="E2398" s="2856"/>
      <c r="F2398" s="2908" t="str">
        <f>$E$1576</f>
        <v>ASHP SEER 19 replace ASHP - early replacement MF ER1</v>
      </c>
      <c r="G2398" s="2909"/>
      <c r="H2398" s="2909"/>
      <c r="I2398" s="2910"/>
      <c r="J2398" s="1657" t="str">
        <f>$C$1576</f>
        <v>354500_2019_12_</v>
      </c>
      <c r="K2398" s="926">
        <v>869</v>
      </c>
      <c r="L2398" s="1124"/>
      <c r="M2398" s="1133"/>
      <c r="N2398" s="177"/>
      <c r="O2398" s="332"/>
      <c r="P2398" s="1116"/>
      <c r="Q2398" s="1117"/>
      <c r="R2398" s="1116"/>
      <c r="S2398" s="1103"/>
      <c r="T2398" s="1639"/>
      <c r="U2398" s="177"/>
      <c r="V2398" s="2866"/>
      <c r="W2398" s="909">
        <v>869</v>
      </c>
      <c r="X2398" s="909">
        <v>869</v>
      </c>
      <c r="Y2398" s="926">
        <v>869</v>
      </c>
      <c r="Z2398" s="909"/>
      <c r="AA2398" s="926"/>
      <c r="AB2398" s="909"/>
      <c r="AC2398" s="909"/>
      <c r="AD2398" s="909"/>
      <c r="AE2398" s="909"/>
      <c r="AF2398" s="909"/>
      <c r="AG2398" s="909"/>
      <c r="BB2398" s="784"/>
      <c r="BC2398" s="785"/>
      <c r="BD2398" s="900"/>
      <c r="BE2398" s="797"/>
    </row>
    <row r="2399" spans="1:57" s="65" customFormat="1" ht="15" hidden="1" customHeight="1" outlineLevel="1" x14ac:dyDescent="0.25">
      <c r="A2399" s="718"/>
      <c r="B2399" s="177"/>
      <c r="C2399" s="455"/>
      <c r="D2399" s="2806"/>
      <c r="E2399" s="2856"/>
      <c r="F2399" s="2908" t="str">
        <f>$E$1578</f>
        <v>ASHP SEER 19 replace ASHP - early replacement MF ER2</v>
      </c>
      <c r="G2399" s="2909"/>
      <c r="H2399" s="2909"/>
      <c r="I2399" s="2910"/>
      <c r="J2399" s="1657" t="str">
        <f>$C$1578</f>
        <v>354500_2019_12_</v>
      </c>
      <c r="K2399" s="926">
        <v>869</v>
      </c>
      <c r="L2399" s="1124"/>
      <c r="M2399" s="1133"/>
      <c r="N2399" s="177"/>
      <c r="O2399" s="332"/>
      <c r="P2399" s="1116"/>
      <c r="Q2399" s="1117"/>
      <c r="R2399" s="1116"/>
      <c r="S2399" s="1103"/>
      <c r="T2399" s="1639"/>
      <c r="U2399" s="177"/>
      <c r="V2399" s="2866"/>
      <c r="W2399" s="909">
        <v>869</v>
      </c>
      <c r="X2399" s="909">
        <v>869</v>
      </c>
      <c r="Y2399" s="926">
        <v>869</v>
      </c>
      <c r="Z2399" s="909"/>
      <c r="AA2399" s="926"/>
      <c r="AB2399" s="909"/>
      <c r="AC2399" s="909"/>
      <c r="AD2399" s="909"/>
      <c r="AE2399" s="909"/>
      <c r="AF2399" s="909"/>
      <c r="AG2399" s="909"/>
      <c r="BB2399" s="784"/>
      <c r="BC2399" s="785"/>
      <c r="BD2399" s="900"/>
      <c r="BE2399" s="797"/>
    </row>
    <row r="2400" spans="1:57" s="65" customFormat="1" ht="15" hidden="1" customHeight="1" outlineLevel="1" x14ac:dyDescent="0.25">
      <c r="A2400" s="718"/>
      <c r="B2400" s="177"/>
      <c r="C2400" s="455"/>
      <c r="D2400" s="2806"/>
      <c r="E2400" s="2856"/>
      <c r="F2400" s="2908" t="str">
        <f>$E$1580</f>
        <v>ASHP SEER 19 replace ASHP - early replacement MF ER1_CompE</v>
      </c>
      <c r="G2400" s="2909"/>
      <c r="H2400" s="2909"/>
      <c r="I2400" s="2910"/>
      <c r="J2400" s="1657" t="str">
        <f>$C$1580</f>
        <v>354501_2019_12_</v>
      </c>
      <c r="K2400" s="926">
        <f t="shared" ref="K2400:K2401" si="227">$K$2318</f>
        <v>632</v>
      </c>
      <c r="L2400" s="1124"/>
      <c r="M2400" s="1053" t="s">
        <v>953</v>
      </c>
      <c r="N2400" s="177"/>
      <c r="O2400" s="332"/>
      <c r="P2400" s="1116"/>
      <c r="Q2400" s="1117"/>
      <c r="R2400" s="1116"/>
      <c r="S2400" s="1103"/>
      <c r="T2400" s="1639"/>
      <c r="U2400" s="177"/>
      <c r="V2400" s="2866"/>
      <c r="W2400" s="909"/>
      <c r="X2400" s="909"/>
      <c r="Y2400" s="933">
        <f t="shared" ref="Y2400:Y2401" si="228">$K$2318</f>
        <v>632</v>
      </c>
      <c r="Z2400" s="909"/>
      <c r="AA2400" s="926"/>
      <c r="AB2400" s="909"/>
      <c r="AC2400" s="909"/>
      <c r="AD2400" s="909"/>
      <c r="AE2400" s="909"/>
      <c r="AF2400" s="909"/>
      <c r="AG2400" s="909"/>
      <c r="BB2400" s="784"/>
      <c r="BC2400" s="785"/>
      <c r="BD2400" s="900"/>
      <c r="BE2400" s="797"/>
    </row>
    <row r="2401" spans="1:57" s="65" customFormat="1" ht="15" hidden="1" customHeight="1" outlineLevel="1" x14ac:dyDescent="0.25">
      <c r="A2401" s="718"/>
      <c r="B2401" s="177"/>
      <c r="C2401" s="455"/>
      <c r="D2401" s="2806"/>
      <c r="E2401" s="2856"/>
      <c r="F2401" s="2908" t="str">
        <f>$E$1582</f>
        <v>ASHP SEER 19 replace ASHP - early replacement MF ER2_CompE</v>
      </c>
      <c r="G2401" s="2909"/>
      <c r="H2401" s="2909"/>
      <c r="I2401" s="2910"/>
      <c r="J2401" s="1657" t="str">
        <f>$C$1582</f>
        <v>354501_2019_12_</v>
      </c>
      <c r="K2401" s="926">
        <f t="shared" si="227"/>
        <v>632</v>
      </c>
      <c r="L2401" s="1124"/>
      <c r="M2401" s="1053" t="s">
        <v>953</v>
      </c>
      <c r="N2401" s="177"/>
      <c r="O2401" s="332"/>
      <c r="P2401" s="1116"/>
      <c r="Q2401" s="1117"/>
      <c r="R2401" s="1116"/>
      <c r="S2401" s="1103"/>
      <c r="T2401" s="1639"/>
      <c r="U2401" s="177"/>
      <c r="V2401" s="2866"/>
      <c r="W2401" s="909"/>
      <c r="X2401" s="909"/>
      <c r="Y2401" s="933">
        <f t="shared" si="228"/>
        <v>632</v>
      </c>
      <c r="Z2401" s="909"/>
      <c r="AA2401" s="926"/>
      <c r="AB2401" s="909"/>
      <c r="AC2401" s="909"/>
      <c r="AD2401" s="909"/>
      <c r="AE2401" s="909"/>
      <c r="AF2401" s="909"/>
      <c r="AG2401" s="909"/>
      <c r="BB2401" s="784"/>
      <c r="BC2401" s="785"/>
      <c r="BD2401" s="900"/>
      <c r="BE2401" s="797"/>
    </row>
    <row r="2402" spans="1:57" s="65" customFormat="1" ht="15" hidden="1" customHeight="1" outlineLevel="1" x14ac:dyDescent="0.25">
      <c r="A2402" s="718"/>
      <c r="B2402" s="177"/>
      <c r="C2402" s="455"/>
      <c r="D2402" s="2806"/>
      <c r="E2402" s="2856"/>
      <c r="F2402" s="2908" t="str">
        <f>$E$1584</f>
        <v>ASHP SEER 20 replace ASHP - early replacement SF ER1</v>
      </c>
      <c r="G2402" s="2909"/>
      <c r="H2402" s="2909"/>
      <c r="I2402" s="2910"/>
      <c r="J2402" s="1657" t="str">
        <f>$C$1584</f>
        <v>354550_2019_12_</v>
      </c>
      <c r="K2402" s="926">
        <v>869</v>
      </c>
      <c r="L2402" s="1124"/>
      <c r="M2402" s="1133"/>
      <c r="N2402" s="177"/>
      <c r="O2402" s="332"/>
      <c r="P2402" s="1116"/>
      <c r="Q2402" s="1117"/>
      <c r="R2402" s="1116"/>
      <c r="S2402" s="1103"/>
      <c r="T2402" s="1639"/>
      <c r="U2402" s="177"/>
      <c r="V2402" s="2866"/>
      <c r="W2402" s="909">
        <v>869</v>
      </c>
      <c r="X2402" s="909">
        <v>869</v>
      </c>
      <c r="Y2402" s="926">
        <v>869</v>
      </c>
      <c r="Z2402" s="909"/>
      <c r="AA2402" s="926"/>
      <c r="AB2402" s="909"/>
      <c r="AC2402" s="909"/>
      <c r="AD2402" s="909"/>
      <c r="AE2402" s="909"/>
      <c r="AF2402" s="909"/>
      <c r="AG2402" s="909"/>
      <c r="BB2402" s="784"/>
      <c r="BC2402" s="785"/>
      <c r="BD2402" s="900"/>
      <c r="BE2402" s="797"/>
    </row>
    <row r="2403" spans="1:57" s="65" customFormat="1" ht="15" hidden="1" customHeight="1" outlineLevel="1" x14ac:dyDescent="0.25">
      <c r="A2403" s="718"/>
      <c r="B2403" s="177"/>
      <c r="C2403" s="455"/>
      <c r="D2403" s="2806"/>
      <c r="E2403" s="2856"/>
      <c r="F2403" s="2908" t="str">
        <f>$E$1586</f>
        <v>ASHP SEER 20 replace ASHP - early replacement SF ER2</v>
      </c>
      <c r="G2403" s="2909"/>
      <c r="H2403" s="2909"/>
      <c r="I2403" s="2910"/>
      <c r="J2403" s="1657" t="str">
        <f>$C$1586</f>
        <v>354550_2019_12_</v>
      </c>
      <c r="K2403" s="926">
        <v>869</v>
      </c>
      <c r="L2403" s="1124"/>
      <c r="M2403" s="1133"/>
      <c r="N2403" s="177"/>
      <c r="O2403" s="332"/>
      <c r="P2403" s="1116"/>
      <c r="Q2403" s="1117"/>
      <c r="R2403" s="1116"/>
      <c r="S2403" s="1103"/>
      <c r="T2403" s="1639"/>
      <c r="U2403" s="177"/>
      <c r="V2403" s="2866"/>
      <c r="W2403" s="909">
        <v>869</v>
      </c>
      <c r="X2403" s="909">
        <v>869</v>
      </c>
      <c r="Y2403" s="926">
        <v>869</v>
      </c>
      <c r="Z2403" s="909"/>
      <c r="AA2403" s="926"/>
      <c r="AB2403" s="909"/>
      <c r="AC2403" s="909"/>
      <c r="AD2403" s="909"/>
      <c r="AE2403" s="909"/>
      <c r="AF2403" s="909"/>
      <c r="AG2403" s="909"/>
      <c r="BB2403" s="784"/>
      <c r="BC2403" s="785"/>
      <c r="BD2403" s="900"/>
      <c r="BE2403" s="797"/>
    </row>
    <row r="2404" spans="1:57" s="65" customFormat="1" ht="15" hidden="1" customHeight="1" outlineLevel="1" x14ac:dyDescent="0.25">
      <c r="A2404" s="718"/>
      <c r="B2404" s="177"/>
      <c r="C2404" s="455"/>
      <c r="D2404" s="2806"/>
      <c r="E2404" s="2856"/>
      <c r="F2404" s="2908" t="str">
        <f>$E$1588</f>
        <v>ASHP SEER 20 replace ASHP - replace on fail SF</v>
      </c>
      <c r="G2404" s="2909"/>
      <c r="H2404" s="2909"/>
      <c r="I2404" s="2910"/>
      <c r="J2404" s="1657" t="str">
        <f>$C$1588</f>
        <v>354600_2019_12_</v>
      </c>
      <c r="K2404" s="926">
        <v>869</v>
      </c>
      <c r="L2404" s="1124"/>
      <c r="M2404" s="1133"/>
      <c r="N2404" s="177"/>
      <c r="O2404" s="332"/>
      <c r="P2404" s="1116"/>
      <c r="Q2404" s="1117"/>
      <c r="R2404" s="1116"/>
      <c r="S2404" s="1103"/>
      <c r="T2404" s="1639"/>
      <c r="U2404" s="177"/>
      <c r="V2404" s="2866"/>
      <c r="W2404" s="909">
        <v>869</v>
      </c>
      <c r="X2404" s="909">
        <v>869</v>
      </c>
      <c r="Y2404" s="926">
        <v>869</v>
      </c>
      <c r="Z2404" s="909"/>
      <c r="AA2404" s="926"/>
      <c r="AB2404" s="909"/>
      <c r="AC2404" s="909"/>
      <c r="AD2404" s="909"/>
      <c r="AE2404" s="909"/>
      <c r="AF2404" s="909"/>
      <c r="AG2404" s="909"/>
      <c r="BB2404" s="784"/>
      <c r="BC2404" s="785"/>
      <c r="BD2404" s="900"/>
      <c r="BE2404" s="797"/>
    </row>
    <row r="2405" spans="1:57" s="65" customFormat="1" ht="15" hidden="1" customHeight="1" outlineLevel="1" x14ac:dyDescent="0.25">
      <c r="A2405" s="718"/>
      <c r="B2405" s="177"/>
      <c r="C2405" s="455"/>
      <c r="D2405" s="2806"/>
      <c r="E2405" s="2856"/>
      <c r="F2405" s="2908" t="str">
        <f>$E$1590</f>
        <v>ASHP - SEER 20 - replace electric furnace / CAC - early replacement MF ER1</v>
      </c>
      <c r="G2405" s="2909"/>
      <c r="H2405" s="2909"/>
      <c r="I2405" s="2910"/>
      <c r="J2405" s="1657" t="str">
        <f>$C$1590</f>
        <v>354650_2019_12_</v>
      </c>
      <c r="K2405" s="926">
        <v>869</v>
      </c>
      <c r="L2405" s="1124"/>
      <c r="M2405" s="1133"/>
      <c r="N2405" s="177"/>
      <c r="O2405" s="332"/>
      <c r="P2405" s="1116"/>
      <c r="Q2405" s="1117"/>
      <c r="R2405" s="1116"/>
      <c r="S2405" s="1103"/>
      <c r="T2405" s="1639"/>
      <c r="U2405" s="177"/>
      <c r="V2405" s="2866"/>
      <c r="W2405" s="909">
        <v>869</v>
      </c>
      <c r="X2405" s="909">
        <v>869</v>
      </c>
      <c r="Y2405" s="926">
        <v>869</v>
      </c>
      <c r="Z2405" s="909"/>
      <c r="AA2405" s="926"/>
      <c r="AB2405" s="909"/>
      <c r="AC2405" s="909"/>
      <c r="AD2405" s="909"/>
      <c r="AE2405" s="909"/>
      <c r="AF2405" s="909"/>
      <c r="AG2405" s="909"/>
      <c r="BB2405" s="784"/>
      <c r="BC2405" s="785"/>
      <c r="BD2405" s="900"/>
      <c r="BE2405" s="797"/>
    </row>
    <row r="2406" spans="1:57" s="65" customFormat="1" ht="15" hidden="1" customHeight="1" outlineLevel="1" x14ac:dyDescent="0.25">
      <c r="A2406" s="718"/>
      <c r="B2406" s="177"/>
      <c r="C2406" s="455"/>
      <c r="D2406" s="2806"/>
      <c r="E2406" s="2856"/>
      <c r="F2406" s="2908" t="str">
        <f>$E$1592</f>
        <v>ASHP - SEER 20 - replace electric furnace / CAC - early replacement MF ER2</v>
      </c>
      <c r="G2406" s="2909"/>
      <c r="H2406" s="2909"/>
      <c r="I2406" s="2910"/>
      <c r="J2406" s="1657" t="str">
        <f>$C$1592</f>
        <v>354650_2019_12_</v>
      </c>
      <c r="K2406" s="926">
        <v>869</v>
      </c>
      <c r="L2406" s="1124"/>
      <c r="M2406" s="1133"/>
      <c r="N2406" s="177"/>
      <c r="O2406" s="332"/>
      <c r="P2406" s="1116"/>
      <c r="Q2406" s="1117"/>
      <c r="R2406" s="1116"/>
      <c r="S2406" s="1103"/>
      <c r="T2406" s="1639"/>
      <c r="U2406" s="177"/>
      <c r="V2406" s="2866"/>
      <c r="W2406" s="909">
        <v>869</v>
      </c>
      <c r="X2406" s="909">
        <v>869</v>
      </c>
      <c r="Y2406" s="926">
        <v>869</v>
      </c>
      <c r="Z2406" s="909"/>
      <c r="AA2406" s="926"/>
      <c r="AB2406" s="909"/>
      <c r="AC2406" s="909"/>
      <c r="AD2406" s="909"/>
      <c r="AE2406" s="909"/>
      <c r="AF2406" s="909"/>
      <c r="AG2406" s="909"/>
      <c r="BB2406" s="784"/>
      <c r="BC2406" s="785"/>
      <c r="BD2406" s="900"/>
      <c r="BE2406" s="797"/>
    </row>
    <row r="2407" spans="1:57" s="65" customFormat="1" ht="15" hidden="1" customHeight="1" outlineLevel="1" x14ac:dyDescent="0.25">
      <c r="A2407" s="718"/>
      <c r="B2407" s="177"/>
      <c r="C2407" s="455"/>
      <c r="D2407" s="2806"/>
      <c r="E2407" s="2856"/>
      <c r="F2407" s="2908" t="str">
        <f>$E$1594</f>
        <v>ASHP - SEER 20 - replace electric furnace / CAC - early replacement MF ER1_CompE</v>
      </c>
      <c r="G2407" s="2909"/>
      <c r="H2407" s="2909"/>
      <c r="I2407" s="2910"/>
      <c r="J2407" s="1657" t="str">
        <f>$C$1594</f>
        <v>354651_2019_12_</v>
      </c>
      <c r="K2407" s="926">
        <f t="shared" ref="K2407:K2408" si="229">$K$2318</f>
        <v>632</v>
      </c>
      <c r="L2407" s="1124"/>
      <c r="M2407" s="1053" t="s">
        <v>953</v>
      </c>
      <c r="N2407" s="177"/>
      <c r="O2407" s="332"/>
      <c r="P2407" s="1116"/>
      <c r="Q2407" s="1117"/>
      <c r="R2407" s="1116"/>
      <c r="S2407" s="1103"/>
      <c r="T2407" s="1639"/>
      <c r="U2407" s="177"/>
      <c r="V2407" s="2866"/>
      <c r="W2407" s="909"/>
      <c r="X2407" s="909"/>
      <c r="Y2407" s="933">
        <f t="shared" ref="Y2407:Y2408" si="230">$K$2318</f>
        <v>632</v>
      </c>
      <c r="Z2407" s="909"/>
      <c r="AA2407" s="926"/>
      <c r="AB2407" s="909"/>
      <c r="AC2407" s="909"/>
      <c r="AD2407" s="909"/>
      <c r="AE2407" s="909"/>
      <c r="AF2407" s="909"/>
      <c r="AG2407" s="909"/>
      <c r="BB2407" s="784"/>
      <c r="BC2407" s="785"/>
      <c r="BD2407" s="900"/>
      <c r="BE2407" s="797"/>
    </row>
    <row r="2408" spans="1:57" s="65" customFormat="1" ht="15" hidden="1" customHeight="1" outlineLevel="1" x14ac:dyDescent="0.25">
      <c r="A2408" s="718"/>
      <c r="B2408" s="177"/>
      <c r="C2408" s="455"/>
      <c r="D2408" s="2806"/>
      <c r="E2408" s="2856"/>
      <c r="F2408" s="2908" t="str">
        <f>$E$1596</f>
        <v>ASHP - SEER 20 - replace electric furnace / CAC - early replacement MF ER2_CompE</v>
      </c>
      <c r="G2408" s="2909"/>
      <c r="H2408" s="2909"/>
      <c r="I2408" s="2910"/>
      <c r="J2408" s="1657" t="str">
        <f>$C$1596</f>
        <v>354651_2019_12_</v>
      </c>
      <c r="K2408" s="926">
        <f t="shared" si="229"/>
        <v>632</v>
      </c>
      <c r="L2408" s="1124"/>
      <c r="M2408" s="1053" t="s">
        <v>953</v>
      </c>
      <c r="N2408" s="177"/>
      <c r="O2408" s="332"/>
      <c r="P2408" s="1116"/>
      <c r="Q2408" s="1117"/>
      <c r="R2408" s="1116"/>
      <c r="S2408" s="1103"/>
      <c r="T2408" s="1639"/>
      <c r="U2408" s="177"/>
      <c r="V2408" s="2866"/>
      <c r="W2408" s="909"/>
      <c r="X2408" s="909"/>
      <c r="Y2408" s="933">
        <f t="shared" si="230"/>
        <v>632</v>
      </c>
      <c r="Z2408" s="909"/>
      <c r="AA2408" s="926"/>
      <c r="AB2408" s="909"/>
      <c r="AC2408" s="909"/>
      <c r="AD2408" s="909"/>
      <c r="AE2408" s="909"/>
      <c r="AF2408" s="909"/>
      <c r="AG2408" s="909"/>
      <c r="BB2408" s="784"/>
      <c r="BC2408" s="785"/>
      <c r="BD2408" s="900"/>
      <c r="BE2408" s="797"/>
    </row>
    <row r="2409" spans="1:57" s="65" customFormat="1" ht="15" hidden="1" customHeight="1" outlineLevel="1" x14ac:dyDescent="0.25">
      <c r="A2409" s="718"/>
      <c r="B2409" s="177"/>
      <c r="C2409" s="455"/>
      <c r="D2409" s="2806"/>
      <c r="E2409" s="2856"/>
      <c r="F2409" s="2908" t="str">
        <f>$E$1598</f>
        <v>ASHP SEER 20 replace ASHP - early replacement MF ER1</v>
      </c>
      <c r="G2409" s="2909"/>
      <c r="H2409" s="2909"/>
      <c r="I2409" s="2910"/>
      <c r="J2409" s="1657" t="str">
        <f>$C$1598</f>
        <v>354700_2019_12_</v>
      </c>
      <c r="K2409" s="926">
        <v>869</v>
      </c>
      <c r="L2409" s="1124"/>
      <c r="M2409" s="1133"/>
      <c r="N2409" s="177"/>
      <c r="O2409" s="332"/>
      <c r="P2409" s="1116"/>
      <c r="Q2409" s="1117"/>
      <c r="R2409" s="1116"/>
      <c r="S2409" s="1103"/>
      <c r="T2409" s="1639"/>
      <c r="U2409" s="177"/>
      <c r="V2409" s="2866"/>
      <c r="W2409" s="909">
        <v>869</v>
      </c>
      <c r="X2409" s="909">
        <v>869</v>
      </c>
      <c r="Y2409" s="926">
        <v>869</v>
      </c>
      <c r="Z2409" s="909"/>
      <c r="AA2409" s="926"/>
      <c r="AB2409" s="909"/>
      <c r="AC2409" s="909"/>
      <c r="AD2409" s="909"/>
      <c r="AE2409" s="909"/>
      <c r="AF2409" s="909"/>
      <c r="AG2409" s="909"/>
      <c r="BB2409" s="784"/>
      <c r="BC2409" s="785"/>
      <c r="BD2409" s="900"/>
      <c r="BE2409" s="797"/>
    </row>
    <row r="2410" spans="1:57" s="65" customFormat="1" ht="15" hidden="1" customHeight="1" outlineLevel="1" x14ac:dyDescent="0.25">
      <c r="A2410" s="718"/>
      <c r="B2410" s="177"/>
      <c r="C2410" s="455"/>
      <c r="D2410" s="2806"/>
      <c r="E2410" s="2856"/>
      <c r="F2410" s="2908" t="str">
        <f>$E$1600</f>
        <v>ASHP SEER 20 replace ASHP - early replacement MF ER2</v>
      </c>
      <c r="G2410" s="2909"/>
      <c r="H2410" s="2909"/>
      <c r="I2410" s="2910"/>
      <c r="J2410" s="1657" t="str">
        <f>$C$1600</f>
        <v>354700_2019_12_</v>
      </c>
      <c r="K2410" s="926">
        <v>869</v>
      </c>
      <c r="L2410" s="1124"/>
      <c r="M2410" s="1133"/>
      <c r="N2410" s="177"/>
      <c r="O2410" s="332"/>
      <c r="P2410" s="1116"/>
      <c r="Q2410" s="1117"/>
      <c r="R2410" s="1116"/>
      <c r="S2410" s="1103"/>
      <c r="T2410" s="1639"/>
      <c r="U2410" s="177"/>
      <c r="V2410" s="2866"/>
      <c r="W2410" s="909">
        <v>869</v>
      </c>
      <c r="X2410" s="909">
        <v>869</v>
      </c>
      <c r="Y2410" s="926">
        <v>869</v>
      </c>
      <c r="Z2410" s="909"/>
      <c r="AA2410" s="926"/>
      <c r="AB2410" s="909"/>
      <c r="AC2410" s="909"/>
      <c r="AD2410" s="909"/>
      <c r="AE2410" s="909"/>
      <c r="AF2410" s="909"/>
      <c r="AG2410" s="909"/>
      <c r="BB2410" s="784"/>
      <c r="BC2410" s="785"/>
      <c r="BD2410" s="900"/>
      <c r="BE2410" s="797"/>
    </row>
    <row r="2411" spans="1:57" s="65" customFormat="1" ht="15" hidden="1" customHeight="1" outlineLevel="1" x14ac:dyDescent="0.25">
      <c r="A2411" s="718"/>
      <c r="B2411" s="177"/>
      <c r="C2411" s="455"/>
      <c r="D2411" s="2806"/>
      <c r="E2411" s="2856"/>
      <c r="F2411" s="2908" t="str">
        <f>$E$1602</f>
        <v>ASHP SEER 20 replace ASHP - early replacement MF ER1_CompE</v>
      </c>
      <c r="G2411" s="2909"/>
      <c r="H2411" s="2909"/>
      <c r="I2411" s="2910"/>
      <c r="J2411" s="1657" t="str">
        <f>$C$1602</f>
        <v>354701_2019_12_</v>
      </c>
      <c r="K2411" s="926">
        <f t="shared" ref="K2411:K2412" si="231">$K$2318</f>
        <v>632</v>
      </c>
      <c r="L2411" s="1124"/>
      <c r="M2411" s="1053" t="s">
        <v>953</v>
      </c>
      <c r="N2411" s="177"/>
      <c r="O2411" s="332"/>
      <c r="P2411" s="1116"/>
      <c r="Q2411" s="1117"/>
      <c r="R2411" s="1116"/>
      <c r="S2411" s="1103"/>
      <c r="T2411" s="1639"/>
      <c r="U2411" s="177"/>
      <c r="V2411" s="2866"/>
      <c r="W2411" s="909"/>
      <c r="X2411" s="909"/>
      <c r="Y2411" s="933">
        <f t="shared" ref="Y2411:Y2412" si="232">$K$2318</f>
        <v>632</v>
      </c>
      <c r="Z2411" s="909"/>
      <c r="AA2411" s="926"/>
      <c r="AB2411" s="909"/>
      <c r="AC2411" s="909"/>
      <c r="AD2411" s="909"/>
      <c r="AE2411" s="909"/>
      <c r="AF2411" s="909"/>
      <c r="AG2411" s="909"/>
      <c r="BB2411" s="784"/>
      <c r="BC2411" s="785"/>
      <c r="BD2411" s="900"/>
      <c r="BE2411" s="797"/>
    </row>
    <row r="2412" spans="1:57" s="65" customFormat="1" ht="15" hidden="1" customHeight="1" outlineLevel="1" x14ac:dyDescent="0.25">
      <c r="A2412" s="718"/>
      <c r="B2412" s="177"/>
      <c r="C2412" s="455"/>
      <c r="D2412" s="2806"/>
      <c r="E2412" s="2856"/>
      <c r="F2412" s="2908" t="str">
        <f>$E$1604</f>
        <v>ASHP SEER 20 replace ASHP - early replacement MF ER2_CompE</v>
      </c>
      <c r="G2412" s="2909"/>
      <c r="H2412" s="2909"/>
      <c r="I2412" s="2910"/>
      <c r="J2412" s="1657" t="str">
        <f>$C$1604</f>
        <v>354701_2019_12_</v>
      </c>
      <c r="K2412" s="926">
        <f t="shared" si="231"/>
        <v>632</v>
      </c>
      <c r="L2412" s="1124"/>
      <c r="M2412" s="1053" t="s">
        <v>953</v>
      </c>
      <c r="N2412" s="177"/>
      <c r="O2412" s="332"/>
      <c r="P2412" s="1116"/>
      <c r="Q2412" s="1117"/>
      <c r="R2412" s="1116"/>
      <c r="S2412" s="1103"/>
      <c r="T2412" s="1639"/>
      <c r="U2412" s="177"/>
      <c r="V2412" s="2866"/>
      <c r="W2412" s="909"/>
      <c r="X2412" s="909"/>
      <c r="Y2412" s="933">
        <f t="shared" si="232"/>
        <v>632</v>
      </c>
      <c r="Z2412" s="909"/>
      <c r="AA2412" s="926"/>
      <c r="AB2412" s="909"/>
      <c r="AC2412" s="909"/>
      <c r="AD2412" s="909"/>
      <c r="AE2412" s="909"/>
      <c r="AF2412" s="909"/>
      <c r="AG2412" s="909"/>
      <c r="BB2412" s="784"/>
      <c r="BC2412" s="785"/>
      <c r="BD2412" s="900"/>
      <c r="BE2412" s="797"/>
    </row>
    <row r="2413" spans="1:57" s="65" customFormat="1" ht="15" hidden="1" customHeight="1" outlineLevel="1" x14ac:dyDescent="0.25">
      <c r="A2413" s="718"/>
      <c r="B2413" s="177"/>
      <c r="C2413" s="455"/>
      <c r="D2413" s="2806"/>
      <c r="E2413" s="2856"/>
      <c r="F2413" s="2908" t="str">
        <f>$E$1606</f>
        <v>ASHP SEER 21 replace ASHP - early replacement SF ER1</v>
      </c>
      <c r="G2413" s="2909"/>
      <c r="H2413" s="2909"/>
      <c r="I2413" s="2910"/>
      <c r="J2413" s="1657" t="str">
        <f>$C$1606</f>
        <v>354750_2019_12_</v>
      </c>
      <c r="K2413" s="926">
        <v>869</v>
      </c>
      <c r="L2413" s="1124"/>
      <c r="M2413" s="1133"/>
      <c r="N2413" s="177"/>
      <c r="O2413" s="332"/>
      <c r="P2413" s="1116"/>
      <c r="Q2413" s="1117"/>
      <c r="R2413" s="1116"/>
      <c r="S2413" s="1103"/>
      <c r="T2413" s="1639"/>
      <c r="U2413" s="177"/>
      <c r="V2413" s="2866"/>
      <c r="W2413" s="909">
        <v>869</v>
      </c>
      <c r="X2413" s="909">
        <v>869</v>
      </c>
      <c r="Y2413" s="926">
        <v>869</v>
      </c>
      <c r="Z2413" s="909"/>
      <c r="AA2413" s="926"/>
      <c r="AB2413" s="909"/>
      <c r="AC2413" s="909"/>
      <c r="AD2413" s="909"/>
      <c r="AE2413" s="909"/>
      <c r="AF2413" s="909"/>
      <c r="AG2413" s="909"/>
      <c r="BB2413" s="784"/>
      <c r="BC2413" s="785"/>
      <c r="BD2413" s="900"/>
      <c r="BE2413" s="797"/>
    </row>
    <row r="2414" spans="1:57" s="65" customFormat="1" ht="15" hidden="1" customHeight="1" outlineLevel="1" x14ac:dyDescent="0.25">
      <c r="A2414" s="718"/>
      <c r="B2414" s="177"/>
      <c r="C2414" s="455"/>
      <c r="D2414" s="2806"/>
      <c r="E2414" s="2856"/>
      <c r="F2414" s="2908" t="str">
        <f>$E$1608</f>
        <v>ASHP SEER 21 replace ASHP - early replacement SF ER2</v>
      </c>
      <c r="G2414" s="2909"/>
      <c r="H2414" s="2909"/>
      <c r="I2414" s="2910"/>
      <c r="J2414" s="1657" t="str">
        <f>$C$1608</f>
        <v>354750_2019_12_</v>
      </c>
      <c r="K2414" s="926">
        <v>869</v>
      </c>
      <c r="L2414" s="1124"/>
      <c r="M2414" s="1133"/>
      <c r="N2414" s="177"/>
      <c r="O2414" s="332"/>
      <c r="P2414" s="1116"/>
      <c r="Q2414" s="1117"/>
      <c r="R2414" s="1116"/>
      <c r="S2414" s="1103"/>
      <c r="T2414" s="1639"/>
      <c r="U2414" s="177"/>
      <c r="V2414" s="2866"/>
      <c r="W2414" s="909">
        <v>869</v>
      </c>
      <c r="X2414" s="909">
        <v>869</v>
      </c>
      <c r="Y2414" s="926">
        <v>869</v>
      </c>
      <c r="Z2414" s="909"/>
      <c r="AA2414" s="926"/>
      <c r="AB2414" s="909"/>
      <c r="AC2414" s="909"/>
      <c r="AD2414" s="909"/>
      <c r="AE2414" s="909"/>
      <c r="AF2414" s="909"/>
      <c r="AG2414" s="909"/>
      <c r="BB2414" s="784"/>
      <c r="BC2414" s="785"/>
      <c r="BD2414" s="900"/>
      <c r="BE2414" s="797"/>
    </row>
    <row r="2415" spans="1:57" s="65" customFormat="1" ht="15" hidden="1" customHeight="1" outlineLevel="1" x14ac:dyDescent="0.25">
      <c r="A2415" s="718"/>
      <c r="B2415" s="177"/>
      <c r="C2415" s="455"/>
      <c r="D2415" s="2806"/>
      <c r="E2415" s="2856"/>
      <c r="F2415" s="2908" t="str">
        <f>$E$1610</f>
        <v>ASHP SEER 21 replace ASHP - replace on fail SF</v>
      </c>
      <c r="G2415" s="2909"/>
      <c r="H2415" s="2909"/>
      <c r="I2415" s="2910"/>
      <c r="J2415" s="1657" t="str">
        <f>$C$1610</f>
        <v>354800_2019_12_</v>
      </c>
      <c r="K2415" s="926">
        <v>869</v>
      </c>
      <c r="L2415" s="1124"/>
      <c r="M2415" s="1133"/>
      <c r="N2415" s="177"/>
      <c r="O2415" s="332"/>
      <c r="P2415" s="1116"/>
      <c r="Q2415" s="1117"/>
      <c r="R2415" s="1116"/>
      <c r="S2415" s="1103"/>
      <c r="T2415" s="1639"/>
      <c r="U2415" s="177"/>
      <c r="V2415" s="2866"/>
      <c r="W2415" s="909">
        <v>869</v>
      </c>
      <c r="X2415" s="909">
        <v>869</v>
      </c>
      <c r="Y2415" s="926">
        <v>869</v>
      </c>
      <c r="Z2415" s="909"/>
      <c r="AA2415" s="926"/>
      <c r="AB2415" s="909"/>
      <c r="AC2415" s="909"/>
      <c r="AD2415" s="909"/>
      <c r="AE2415" s="909"/>
      <c r="AF2415" s="909"/>
      <c r="AG2415" s="909"/>
      <c r="BB2415" s="784"/>
      <c r="BC2415" s="785"/>
      <c r="BD2415" s="900"/>
      <c r="BE2415" s="797"/>
    </row>
    <row r="2416" spans="1:57" s="65" customFormat="1" ht="15" hidden="1" customHeight="1" outlineLevel="1" x14ac:dyDescent="0.25">
      <c r="A2416" s="718"/>
      <c r="B2416" s="177"/>
      <c r="C2416" s="455"/>
      <c r="D2416" s="2806"/>
      <c r="E2416" s="2856"/>
      <c r="F2416" s="2908" t="str">
        <f>$E$1612</f>
        <v>ASHP - SEER 21 - replace electric furnace / CAC MF</v>
      </c>
      <c r="G2416" s="2909"/>
      <c r="H2416" s="2909"/>
      <c r="I2416" s="2910"/>
      <c r="J2416" s="1657" t="str">
        <f>$C$1612</f>
        <v>354850_2019_12_</v>
      </c>
      <c r="K2416" s="926">
        <v>869</v>
      </c>
      <c r="L2416" s="1124"/>
      <c r="M2416" s="1133"/>
      <c r="N2416" s="177"/>
      <c r="O2416" s="332"/>
      <c r="P2416" s="1116"/>
      <c r="Q2416" s="1117"/>
      <c r="R2416" s="1116"/>
      <c r="S2416" s="1103"/>
      <c r="T2416" s="1639"/>
      <c r="U2416" s="177"/>
      <c r="V2416" s="2866"/>
      <c r="W2416" s="909">
        <v>869</v>
      </c>
      <c r="X2416" s="909">
        <v>869</v>
      </c>
      <c r="Y2416" s="926">
        <v>869</v>
      </c>
      <c r="Z2416" s="909"/>
      <c r="AA2416" s="926"/>
      <c r="AB2416" s="909"/>
      <c r="AC2416" s="909"/>
      <c r="AD2416" s="909"/>
      <c r="AE2416" s="909"/>
      <c r="AF2416" s="909"/>
      <c r="AG2416" s="909"/>
      <c r="BB2416" s="784"/>
      <c r="BC2416" s="785"/>
      <c r="BD2416" s="900"/>
      <c r="BE2416" s="797"/>
    </row>
    <row r="2417" spans="1:57" s="65" customFormat="1" ht="15" hidden="1" customHeight="1" outlineLevel="1" x14ac:dyDescent="0.25">
      <c r="A2417" s="718"/>
      <c r="B2417" s="177"/>
      <c r="C2417" s="455"/>
      <c r="D2417" s="2806"/>
      <c r="E2417" s="2856"/>
      <c r="F2417" s="2908" t="str">
        <f>$E$1614</f>
        <v>ASHP - SEER 21 - replace electric furnace / CAC MF_CompE</v>
      </c>
      <c r="G2417" s="2909"/>
      <c r="H2417" s="2909"/>
      <c r="I2417" s="2910"/>
      <c r="J2417" s="1657" t="str">
        <f>$C$1614</f>
        <v>354851_2019_12_</v>
      </c>
      <c r="K2417" s="926">
        <f>$K$2318</f>
        <v>632</v>
      </c>
      <c r="L2417" s="1124"/>
      <c r="M2417" s="1053" t="s">
        <v>953</v>
      </c>
      <c r="N2417" s="177"/>
      <c r="O2417" s="332"/>
      <c r="P2417" s="1116"/>
      <c r="Q2417" s="1117"/>
      <c r="R2417" s="1116"/>
      <c r="S2417" s="1103"/>
      <c r="T2417" s="1639"/>
      <c r="U2417" s="177"/>
      <c r="V2417" s="2866"/>
      <c r="W2417" s="909"/>
      <c r="X2417" s="909"/>
      <c r="Y2417" s="933">
        <f>$K$2318</f>
        <v>632</v>
      </c>
      <c r="Z2417" s="909"/>
      <c r="AA2417" s="926"/>
      <c r="AB2417" s="909"/>
      <c r="AC2417" s="909"/>
      <c r="AD2417" s="909"/>
      <c r="AE2417" s="909"/>
      <c r="AF2417" s="909"/>
      <c r="AG2417" s="909"/>
      <c r="BB2417" s="784"/>
      <c r="BC2417" s="785"/>
      <c r="BD2417" s="900"/>
      <c r="BE2417" s="797"/>
    </row>
    <row r="2418" spans="1:57" s="65" customFormat="1" ht="15" hidden="1" customHeight="1" outlineLevel="1" x14ac:dyDescent="0.25">
      <c r="A2418" s="718"/>
      <c r="B2418" s="177"/>
      <c r="C2418" s="455"/>
      <c r="D2418" s="2806"/>
      <c r="E2418" s="2856"/>
      <c r="F2418" s="2908" t="str">
        <f>$E$1616</f>
        <v>ASHP SEER 21 replace ASHP - early replacement MF ER1</v>
      </c>
      <c r="G2418" s="2909"/>
      <c r="H2418" s="2909"/>
      <c r="I2418" s="2910"/>
      <c r="J2418" s="1657" t="str">
        <f>$C$1616</f>
        <v>354900_2019_12_</v>
      </c>
      <c r="K2418" s="926">
        <v>869</v>
      </c>
      <c r="L2418" s="1124"/>
      <c r="M2418" s="1053" t="s">
        <v>953</v>
      </c>
      <c r="N2418" s="177"/>
      <c r="O2418" s="332"/>
      <c r="P2418" s="1116"/>
      <c r="Q2418" s="1117"/>
      <c r="R2418" s="1116"/>
      <c r="S2418" s="1103"/>
      <c r="T2418" s="1639"/>
      <c r="U2418" s="177"/>
      <c r="V2418" s="2866"/>
      <c r="W2418" s="909">
        <v>869</v>
      </c>
      <c r="X2418" s="909">
        <v>869</v>
      </c>
      <c r="Y2418" s="926">
        <v>869</v>
      </c>
      <c r="Z2418" s="909"/>
      <c r="AA2418" s="926"/>
      <c r="AB2418" s="909"/>
      <c r="AC2418" s="909"/>
      <c r="AD2418" s="909"/>
      <c r="AE2418" s="909"/>
      <c r="AF2418" s="909"/>
      <c r="AG2418" s="909"/>
      <c r="BB2418" s="784"/>
      <c r="BC2418" s="785"/>
      <c r="BD2418" s="900"/>
      <c r="BE2418" s="797"/>
    </row>
    <row r="2419" spans="1:57" s="65" customFormat="1" ht="15" hidden="1" customHeight="1" outlineLevel="1" x14ac:dyDescent="0.25">
      <c r="A2419" s="718"/>
      <c r="B2419" s="177"/>
      <c r="C2419" s="455"/>
      <c r="D2419" s="2806"/>
      <c r="E2419" s="2856"/>
      <c r="F2419" s="2908" t="str">
        <f>$E$1618</f>
        <v>ASHP SEER 21 replace ASHP - early replacement MF ER2</v>
      </c>
      <c r="G2419" s="2909"/>
      <c r="H2419" s="2909"/>
      <c r="I2419" s="2910"/>
      <c r="J2419" s="1657" t="str">
        <f>$C$1618</f>
        <v>354900_2019_12_</v>
      </c>
      <c r="K2419" s="926">
        <v>869</v>
      </c>
      <c r="L2419" s="1124"/>
      <c r="M2419" s="1133"/>
      <c r="N2419" s="177"/>
      <c r="O2419" s="332"/>
      <c r="P2419" s="1116"/>
      <c r="Q2419" s="1117"/>
      <c r="R2419" s="1116"/>
      <c r="S2419" s="1103"/>
      <c r="T2419" s="1639"/>
      <c r="U2419" s="177"/>
      <c r="V2419" s="2866"/>
      <c r="W2419" s="909">
        <v>869</v>
      </c>
      <c r="X2419" s="909">
        <v>869</v>
      </c>
      <c r="Y2419" s="926">
        <v>869</v>
      </c>
      <c r="Z2419" s="909"/>
      <c r="AA2419" s="926"/>
      <c r="AB2419" s="909"/>
      <c r="AC2419" s="909"/>
      <c r="AD2419" s="909"/>
      <c r="AE2419" s="909"/>
      <c r="AF2419" s="909"/>
      <c r="AG2419" s="909"/>
      <c r="BB2419" s="784"/>
      <c r="BC2419" s="785"/>
      <c r="BD2419" s="900"/>
      <c r="BE2419" s="797"/>
    </row>
    <row r="2420" spans="1:57" s="65" customFormat="1" ht="15" hidden="1" customHeight="1" outlineLevel="1" x14ac:dyDescent="0.25">
      <c r="A2420" s="718"/>
      <c r="B2420" s="177"/>
      <c r="C2420" s="455"/>
      <c r="D2420" s="2806"/>
      <c r="E2420" s="2856"/>
      <c r="F2420" s="2908" t="str">
        <f>$E$1620</f>
        <v>ASHP SEER 21 replace ASHP - early replacement MF ER1_CompE</v>
      </c>
      <c r="G2420" s="2909"/>
      <c r="H2420" s="2909"/>
      <c r="I2420" s="2910"/>
      <c r="J2420" s="1657" t="str">
        <f>$C$1620</f>
        <v>354901_2019_12_</v>
      </c>
      <c r="K2420" s="926">
        <f t="shared" ref="K2420:K2421" si="233">$K$2318</f>
        <v>632</v>
      </c>
      <c r="L2420" s="1124"/>
      <c r="M2420" s="1053" t="s">
        <v>953</v>
      </c>
      <c r="N2420" s="177"/>
      <c r="O2420" s="332"/>
      <c r="P2420" s="1116"/>
      <c r="Q2420" s="1117"/>
      <c r="R2420" s="1116"/>
      <c r="S2420" s="1103"/>
      <c r="T2420" s="1639"/>
      <c r="U2420" s="177"/>
      <c r="V2420" s="2866"/>
      <c r="W2420" s="909"/>
      <c r="X2420" s="909"/>
      <c r="Y2420" s="933">
        <f t="shared" ref="Y2420:Y2421" si="234">$K$2318</f>
        <v>632</v>
      </c>
      <c r="Z2420" s="909"/>
      <c r="AA2420" s="926"/>
      <c r="AB2420" s="909"/>
      <c r="AC2420" s="909"/>
      <c r="AD2420" s="909"/>
      <c r="AE2420" s="909"/>
      <c r="AF2420" s="909"/>
      <c r="AG2420" s="909"/>
      <c r="BB2420" s="784"/>
      <c r="BC2420" s="785"/>
      <c r="BD2420" s="900"/>
      <c r="BE2420" s="797"/>
    </row>
    <row r="2421" spans="1:57" s="65" customFormat="1" ht="15" hidden="1" customHeight="1" outlineLevel="1" x14ac:dyDescent="0.25">
      <c r="A2421" s="718"/>
      <c r="B2421" s="177"/>
      <c r="C2421" s="455"/>
      <c r="D2421" s="2806"/>
      <c r="E2421" s="2856"/>
      <c r="F2421" s="2908" t="str">
        <f>$E$1622</f>
        <v>ASHP SEER 21 replace ASHP - early replacement MF ER2_CompE</v>
      </c>
      <c r="G2421" s="2909"/>
      <c r="H2421" s="2909"/>
      <c r="I2421" s="2910"/>
      <c r="J2421" s="1657" t="str">
        <f>$C$1622</f>
        <v>354901_2019_12_</v>
      </c>
      <c r="K2421" s="926">
        <f t="shared" si="233"/>
        <v>632</v>
      </c>
      <c r="L2421" s="1124"/>
      <c r="M2421" s="1053" t="s">
        <v>953</v>
      </c>
      <c r="N2421" s="177"/>
      <c r="O2421" s="332"/>
      <c r="P2421" s="1116"/>
      <c r="Q2421" s="1117"/>
      <c r="R2421" s="1116"/>
      <c r="S2421" s="1103"/>
      <c r="T2421" s="1639"/>
      <c r="U2421" s="177"/>
      <c r="V2421" s="2866"/>
      <c r="W2421" s="909"/>
      <c r="X2421" s="909"/>
      <c r="Y2421" s="933">
        <f t="shared" si="234"/>
        <v>632</v>
      </c>
      <c r="Z2421" s="909"/>
      <c r="AA2421" s="926"/>
      <c r="AB2421" s="909"/>
      <c r="AC2421" s="909"/>
      <c r="AD2421" s="909"/>
      <c r="AE2421" s="909"/>
      <c r="AF2421" s="909"/>
      <c r="AG2421" s="909"/>
      <c r="BB2421" s="784"/>
      <c r="BC2421" s="785"/>
      <c r="BD2421" s="900"/>
      <c r="BE2421" s="797"/>
    </row>
    <row r="2422" spans="1:57" s="65" customFormat="1" ht="15" hidden="1" customHeight="1" outlineLevel="1" x14ac:dyDescent="0.25">
      <c r="A2422" s="718"/>
      <c r="B2422" s="177"/>
      <c r="C2422" s="455"/>
      <c r="D2422" s="2806"/>
      <c r="E2422" s="2856"/>
      <c r="F2422" s="2908" t="str">
        <f>$E$1624</f>
        <v>ASHP - SEER 17 - replace on fail MF</v>
      </c>
      <c r="G2422" s="2909"/>
      <c r="H2422" s="2909"/>
      <c r="I2422" s="2910"/>
      <c r="J2422" s="1657" t="str">
        <f>$C$1624</f>
        <v>354950_2019_12_</v>
      </c>
      <c r="K2422" s="926">
        <v>869</v>
      </c>
      <c r="L2422" s="1124"/>
      <c r="M2422" s="1133" t="s">
        <v>1289</v>
      </c>
      <c r="N2422" s="177"/>
      <c r="O2422" s="332"/>
      <c r="P2422" s="1116"/>
      <c r="Q2422" s="1117"/>
      <c r="R2422" s="1116"/>
      <c r="S2422" s="1103"/>
      <c r="T2422" s="1639"/>
      <c r="U2422" s="177"/>
      <c r="V2422" s="2866"/>
      <c r="W2422" s="909">
        <v>869</v>
      </c>
      <c r="X2422" s="909">
        <v>869</v>
      </c>
      <c r="Y2422" s="926">
        <v>869</v>
      </c>
      <c r="Z2422" s="909"/>
      <c r="AA2422" s="926"/>
      <c r="AB2422" s="909"/>
      <c r="AC2422" s="909"/>
      <c r="AD2422" s="909"/>
      <c r="AE2422" s="909"/>
      <c r="AF2422" s="909"/>
      <c r="AG2422" s="909"/>
      <c r="BB2422" s="784"/>
      <c r="BC2422" s="785"/>
      <c r="BD2422" s="900"/>
      <c r="BE2422" s="797"/>
    </row>
    <row r="2423" spans="1:57" s="65" customFormat="1" ht="15" hidden="1" customHeight="1" outlineLevel="1" x14ac:dyDescent="0.25">
      <c r="A2423" s="718"/>
      <c r="B2423" s="177"/>
      <c r="C2423" s="455"/>
      <c r="D2423" s="2806"/>
      <c r="E2423" s="2856"/>
      <c r="F2423" s="2908" t="str">
        <f>$E$1626</f>
        <v>ASHP - SEER 17 - replace on fail MF_CompE</v>
      </c>
      <c r="G2423" s="2909"/>
      <c r="H2423" s="2909"/>
      <c r="I2423" s="2910"/>
      <c r="J2423" s="1657" t="str">
        <f>$C$1626</f>
        <v>354951_2019_12_</v>
      </c>
      <c r="K2423" s="926">
        <f>$K$2318</f>
        <v>632</v>
      </c>
      <c r="L2423" s="1124"/>
      <c r="M2423" s="1053" t="s">
        <v>953</v>
      </c>
      <c r="N2423" s="177"/>
      <c r="O2423" s="332"/>
      <c r="P2423" s="1116"/>
      <c r="Q2423" s="1117"/>
      <c r="R2423" s="1116"/>
      <c r="S2423" s="1103"/>
      <c r="T2423" s="1639"/>
      <c r="U2423" s="177"/>
      <c r="V2423" s="2866"/>
      <c r="W2423" s="909"/>
      <c r="X2423" s="909"/>
      <c r="Y2423" s="933">
        <f>$K$2318</f>
        <v>632</v>
      </c>
      <c r="Z2423" s="909"/>
      <c r="AA2423" s="926"/>
      <c r="AB2423" s="909"/>
      <c r="AC2423" s="909"/>
      <c r="AD2423" s="909"/>
      <c r="AE2423" s="909"/>
      <c r="AF2423" s="909"/>
      <c r="AG2423" s="909"/>
      <c r="BB2423" s="784"/>
      <c r="BC2423" s="785"/>
      <c r="BD2423" s="900"/>
      <c r="BE2423" s="797"/>
    </row>
    <row r="2424" spans="1:57" s="65" customFormat="1" ht="15" hidden="1" customHeight="1" outlineLevel="1" x14ac:dyDescent="0.25">
      <c r="A2424" s="785"/>
      <c r="B2424" s="177"/>
      <c r="C2424" s="455"/>
      <c r="D2424" s="2806"/>
      <c r="E2424" s="2856"/>
      <c r="F2424" s="2908" t="str">
        <f>$E$1628</f>
        <v>ASHP - SEER 18 - replace on fail MF</v>
      </c>
      <c r="G2424" s="2909"/>
      <c r="H2424" s="2909"/>
      <c r="I2424" s="2910"/>
      <c r="J2424" s="1657" t="str">
        <f>$C$1628</f>
        <v>355000_2019_12_</v>
      </c>
      <c r="K2424" s="926">
        <v>869</v>
      </c>
      <c r="L2424" s="1124"/>
      <c r="M2424" s="1133" t="s">
        <v>1289</v>
      </c>
      <c r="N2424" s="177"/>
      <c r="O2424" s="332"/>
      <c r="P2424" s="332"/>
      <c r="Q2424" s="332"/>
      <c r="R2424" s="332"/>
      <c r="S2424" s="177"/>
      <c r="T2424" s="177"/>
      <c r="U2424" s="177"/>
      <c r="V2424" s="2866"/>
      <c r="W2424" s="909">
        <v>869</v>
      </c>
      <c r="X2424" s="909">
        <v>869</v>
      </c>
      <c r="Y2424" s="926">
        <v>869</v>
      </c>
      <c r="Z2424" s="909"/>
      <c r="AA2424" s="926"/>
      <c r="AB2424" s="909"/>
      <c r="AC2424" s="909"/>
      <c r="AD2424" s="909"/>
      <c r="AE2424" s="909"/>
      <c r="AF2424" s="909"/>
      <c r="AG2424" s="909"/>
      <c r="BB2424" s="784"/>
      <c r="BC2424" s="785"/>
      <c r="BD2424" s="900"/>
      <c r="BE2424" s="797"/>
    </row>
    <row r="2425" spans="1:57" s="65" customFormat="1" ht="15" hidden="1" customHeight="1" outlineLevel="1" x14ac:dyDescent="0.25">
      <c r="A2425" s="785"/>
      <c r="B2425" s="177"/>
      <c r="C2425" s="455"/>
      <c r="D2425" s="2806"/>
      <c r="E2425" s="2856"/>
      <c r="F2425" s="2908" t="str">
        <f>$E$1630</f>
        <v>ASHP - SEER 18 - replace on fail MF_CompE</v>
      </c>
      <c r="G2425" s="2909"/>
      <c r="H2425" s="2909"/>
      <c r="I2425" s="2910"/>
      <c r="J2425" s="1657" t="str">
        <f>$C$1630</f>
        <v>355001_2019_12_</v>
      </c>
      <c r="K2425" s="926">
        <f>$K$2318</f>
        <v>632</v>
      </c>
      <c r="L2425" s="1124"/>
      <c r="M2425" s="1053" t="s">
        <v>953</v>
      </c>
      <c r="N2425" s="177"/>
      <c r="O2425" s="332"/>
      <c r="P2425" s="332"/>
      <c r="Q2425" s="332"/>
      <c r="R2425" s="332"/>
      <c r="S2425" s="177"/>
      <c r="T2425" s="177"/>
      <c r="U2425" s="177"/>
      <c r="V2425" s="2866"/>
      <c r="W2425" s="909"/>
      <c r="X2425" s="909"/>
      <c r="Y2425" s="933">
        <f>$K$2318</f>
        <v>632</v>
      </c>
      <c r="Z2425" s="909"/>
      <c r="AA2425" s="926"/>
      <c r="AB2425" s="909"/>
      <c r="AC2425" s="909"/>
      <c r="AD2425" s="909"/>
      <c r="AE2425" s="909"/>
      <c r="AF2425" s="909"/>
      <c r="AG2425" s="909"/>
      <c r="BB2425" s="784"/>
      <c r="BC2425" s="785"/>
      <c r="BD2425" s="900"/>
      <c r="BE2425" s="797"/>
    </row>
    <row r="2426" spans="1:57" s="65" customFormat="1" ht="15" hidden="1" customHeight="1" outlineLevel="1" x14ac:dyDescent="0.25">
      <c r="A2426" s="785"/>
      <c r="B2426" s="177"/>
      <c r="C2426" s="455"/>
      <c r="D2426" s="2806"/>
      <c r="E2426" s="2856"/>
      <c r="F2426" s="2908" t="str">
        <f>$E$1632</f>
        <v>ASHP - SEER 19 - replace on fail MF</v>
      </c>
      <c r="G2426" s="2909"/>
      <c r="H2426" s="2909"/>
      <c r="I2426" s="2910"/>
      <c r="J2426" s="1657" t="str">
        <f>$C$1632</f>
        <v>355050_2019_12_</v>
      </c>
      <c r="K2426" s="926">
        <v>869</v>
      </c>
      <c r="L2426" s="1124"/>
      <c r="M2426" s="1133" t="s">
        <v>1289</v>
      </c>
      <c r="N2426" s="177"/>
      <c r="O2426" s="332"/>
      <c r="P2426" s="332"/>
      <c r="Q2426" s="332"/>
      <c r="R2426" s="332"/>
      <c r="S2426" s="177"/>
      <c r="T2426" s="177"/>
      <c r="U2426" s="177"/>
      <c r="V2426" s="2866"/>
      <c r="W2426" s="909">
        <v>869</v>
      </c>
      <c r="X2426" s="909">
        <v>869</v>
      </c>
      <c r="Y2426" s="926">
        <v>869</v>
      </c>
      <c r="Z2426" s="909"/>
      <c r="AA2426" s="926"/>
      <c r="AB2426" s="909"/>
      <c r="AC2426" s="909"/>
      <c r="AD2426" s="909"/>
      <c r="AE2426" s="909"/>
      <c r="AF2426" s="909"/>
      <c r="AG2426" s="909"/>
      <c r="BB2426" s="784"/>
      <c r="BC2426" s="785"/>
      <c r="BD2426" s="900"/>
      <c r="BE2426" s="797"/>
    </row>
    <row r="2427" spans="1:57" s="65" customFormat="1" ht="15" hidden="1" customHeight="1" outlineLevel="1" x14ac:dyDescent="0.25">
      <c r="A2427" s="785"/>
      <c r="B2427" s="177"/>
      <c r="C2427" s="455"/>
      <c r="D2427" s="2806"/>
      <c r="E2427" s="2856"/>
      <c r="F2427" s="2908" t="str">
        <f>$E$1634</f>
        <v>ASHP - SEER 19 - replace on fail MF_CompE</v>
      </c>
      <c r="G2427" s="2909"/>
      <c r="H2427" s="2909"/>
      <c r="I2427" s="2910"/>
      <c r="J2427" s="1657" t="str">
        <f>$C$1634</f>
        <v>355051_2019_12_</v>
      </c>
      <c r="K2427" s="926">
        <f>$K$2318</f>
        <v>632</v>
      </c>
      <c r="L2427" s="1124"/>
      <c r="M2427" s="1053" t="s">
        <v>953</v>
      </c>
      <c r="N2427" s="177"/>
      <c r="O2427" s="332"/>
      <c r="P2427" s="332"/>
      <c r="Q2427" s="332"/>
      <c r="R2427" s="332"/>
      <c r="S2427" s="177"/>
      <c r="T2427" s="177"/>
      <c r="U2427" s="177"/>
      <c r="V2427" s="2866"/>
      <c r="W2427" s="909"/>
      <c r="X2427" s="909"/>
      <c r="Y2427" s="933">
        <f>$K$2318</f>
        <v>632</v>
      </c>
      <c r="Z2427" s="909"/>
      <c r="AA2427" s="926"/>
      <c r="AB2427" s="909"/>
      <c r="AC2427" s="909"/>
      <c r="AD2427" s="909"/>
      <c r="AE2427" s="909"/>
      <c r="AF2427" s="909"/>
      <c r="AG2427" s="909"/>
      <c r="BB2427" s="784"/>
      <c r="BC2427" s="785"/>
      <c r="BD2427" s="900"/>
      <c r="BE2427" s="797"/>
    </row>
    <row r="2428" spans="1:57" s="65" customFormat="1" ht="15" hidden="1" customHeight="1" outlineLevel="1" x14ac:dyDescent="0.25">
      <c r="A2428" s="718"/>
      <c r="B2428" s="177"/>
      <c r="C2428" s="455"/>
      <c r="D2428" s="2806"/>
      <c r="E2428" s="2856"/>
      <c r="F2428" s="2908" t="str">
        <f>$E$1636</f>
        <v>ASHP - SEER 20 - replace on fail MF</v>
      </c>
      <c r="G2428" s="2909"/>
      <c r="H2428" s="2909"/>
      <c r="I2428" s="2910"/>
      <c r="J2428" s="1657" t="str">
        <f>$C$1636</f>
        <v>355100_2019_12_</v>
      </c>
      <c r="K2428" s="926">
        <v>869</v>
      </c>
      <c r="L2428" s="1124"/>
      <c r="M2428" s="1133" t="s">
        <v>1289</v>
      </c>
      <c r="N2428" s="177"/>
      <c r="O2428" s="332"/>
      <c r="P2428" s="1116"/>
      <c r="Q2428" s="1117"/>
      <c r="R2428" s="1116"/>
      <c r="S2428" s="1103"/>
      <c r="T2428" s="1639"/>
      <c r="U2428" s="177"/>
      <c r="V2428" s="2866"/>
      <c r="W2428" s="909">
        <v>869</v>
      </c>
      <c r="X2428" s="909">
        <v>869</v>
      </c>
      <c r="Y2428" s="926">
        <v>869</v>
      </c>
      <c r="Z2428" s="909"/>
      <c r="AA2428" s="926"/>
      <c r="AB2428" s="909"/>
      <c r="AC2428" s="909"/>
      <c r="AD2428" s="909"/>
      <c r="AE2428" s="909"/>
      <c r="AF2428" s="909"/>
      <c r="AG2428" s="909"/>
      <c r="BB2428" s="784"/>
      <c r="BC2428" s="785"/>
      <c r="BD2428" s="900"/>
      <c r="BE2428" s="797"/>
    </row>
    <row r="2429" spans="1:57" s="65" customFormat="1" ht="15" hidden="1" customHeight="1" outlineLevel="1" x14ac:dyDescent="0.25">
      <c r="A2429" s="718"/>
      <c r="B2429" s="177"/>
      <c r="C2429" s="455"/>
      <c r="D2429" s="2806"/>
      <c r="E2429" s="2856"/>
      <c r="F2429" s="2908" t="str">
        <f>$E$1638</f>
        <v>ASHP - SEER 20 - replace on fail MF_CompE</v>
      </c>
      <c r="G2429" s="2909"/>
      <c r="H2429" s="2909"/>
      <c r="I2429" s="2910"/>
      <c r="J2429" s="1657" t="str">
        <f>$C$1638</f>
        <v>355101_2019_12_</v>
      </c>
      <c r="K2429" s="926">
        <f>$K$2318</f>
        <v>632</v>
      </c>
      <c r="L2429" s="1125"/>
      <c r="M2429" s="1053" t="s">
        <v>953</v>
      </c>
      <c r="N2429" s="177"/>
      <c r="O2429" s="332"/>
      <c r="P2429" s="1116"/>
      <c r="Q2429" s="1117"/>
      <c r="R2429" s="1116"/>
      <c r="S2429" s="1103"/>
      <c r="T2429" s="1639"/>
      <c r="U2429" s="177"/>
      <c r="V2429" s="2866"/>
      <c r="W2429" s="921"/>
      <c r="X2429" s="921"/>
      <c r="Y2429" s="933">
        <f>$K$2318</f>
        <v>632</v>
      </c>
      <c r="Z2429" s="909"/>
      <c r="AA2429" s="926"/>
      <c r="AB2429" s="921"/>
      <c r="AC2429" s="921"/>
      <c r="AD2429" s="921"/>
      <c r="AE2429" s="921"/>
      <c r="AF2429" s="921"/>
      <c r="AG2429" s="921"/>
      <c r="BB2429" s="784"/>
      <c r="BC2429" s="785"/>
      <c r="BD2429" s="900"/>
      <c r="BE2429" s="797"/>
    </row>
    <row r="2430" spans="1:57" s="65" customFormat="1" ht="15.75" hidden="1" customHeight="1" outlineLevel="1" x14ac:dyDescent="0.25">
      <c r="A2430" s="718"/>
      <c r="B2430" s="177"/>
      <c r="C2430" s="455"/>
      <c r="D2430" s="2806"/>
      <c r="E2430" s="2856"/>
      <c r="F2430" s="2908" t="str">
        <f>$E$1640</f>
        <v>ASHP - SEER 21 - replace on fail MF</v>
      </c>
      <c r="G2430" s="2909"/>
      <c r="H2430" s="2909"/>
      <c r="I2430" s="2910"/>
      <c r="J2430" s="1657" t="str">
        <f>$C$1640</f>
        <v>355150_2019_12_</v>
      </c>
      <c r="K2430" s="1663">
        <v>869</v>
      </c>
      <c r="L2430" s="1124"/>
      <c r="M2430" s="1133" t="s">
        <v>1289</v>
      </c>
      <c r="N2430" s="177"/>
      <c r="O2430" s="332"/>
      <c r="P2430" s="1116"/>
      <c r="Q2430" s="1117"/>
      <c r="R2430" s="1116"/>
      <c r="S2430" s="1103"/>
      <c r="T2430" s="1639"/>
      <c r="U2430" s="177"/>
      <c r="V2430" s="2866"/>
      <c r="W2430" s="921">
        <v>869</v>
      </c>
      <c r="X2430" s="921">
        <v>869</v>
      </c>
      <c r="Y2430" s="921">
        <v>869</v>
      </c>
      <c r="Z2430" s="921"/>
      <c r="AA2430" s="921"/>
      <c r="AB2430" s="921"/>
      <c r="AC2430" s="921"/>
      <c r="AD2430" s="921"/>
      <c r="AE2430" s="921"/>
      <c r="AF2430" s="921"/>
      <c r="AG2430" s="921"/>
      <c r="BB2430" s="784"/>
      <c r="BC2430" s="785"/>
      <c r="BD2430" s="900"/>
      <c r="BE2430" s="797"/>
    </row>
    <row r="2431" spans="1:57" s="65" customFormat="1" ht="15.75" hidden="1" customHeight="1" outlineLevel="1" thickBot="1" x14ac:dyDescent="0.3">
      <c r="A2431" s="718"/>
      <c r="B2431" s="177"/>
      <c r="C2431" s="455"/>
      <c r="D2431" s="2808"/>
      <c r="E2431" s="2858"/>
      <c r="F2431" s="2100" t="str">
        <f>$E$1642</f>
        <v>ASHP - SEER 21 - replace on fail MF_CompE</v>
      </c>
      <c r="G2431" s="1119"/>
      <c r="H2431" s="1119"/>
      <c r="I2431" s="1120"/>
      <c r="J2431" s="2100" t="str">
        <f>$C$1642</f>
        <v>355151_2019_12_</v>
      </c>
      <c r="K2431" s="1128">
        <f>$K$2318</f>
        <v>632</v>
      </c>
      <c r="L2431" s="1127"/>
      <c r="M2431" s="2108" t="s">
        <v>953</v>
      </c>
      <c r="N2431" s="177"/>
      <c r="O2431" s="332"/>
      <c r="P2431" s="1116"/>
      <c r="Q2431" s="1117"/>
      <c r="R2431" s="1116"/>
      <c r="S2431" s="1103"/>
      <c r="T2431" s="1639"/>
      <c r="U2431" s="177"/>
      <c r="V2431" s="2848"/>
      <c r="W2431" s="945"/>
      <c r="X2431" s="945"/>
      <c r="Y2431" s="1021">
        <f>$K$2318</f>
        <v>632</v>
      </c>
      <c r="Z2431" s="945"/>
      <c r="AA2431" s="945"/>
      <c r="AB2431" s="945"/>
      <c r="AC2431" s="945"/>
      <c r="AD2431" s="945"/>
      <c r="AE2431" s="945"/>
      <c r="AF2431" s="945"/>
      <c r="AG2431" s="945"/>
      <c r="BB2431" s="784"/>
      <c r="BC2431" s="785"/>
      <c r="BD2431" s="900"/>
      <c r="BE2431" s="797"/>
    </row>
    <row r="2432" spans="1:57" s="65" customFormat="1" ht="15" hidden="1" customHeight="1" outlineLevel="1" x14ac:dyDescent="0.25">
      <c r="A2432" s="718"/>
      <c r="B2432" s="177"/>
      <c r="C2432" s="455"/>
      <c r="D2432" s="2805" t="s">
        <v>1394</v>
      </c>
      <c r="E2432" s="2855" t="s">
        <v>1395</v>
      </c>
      <c r="F2432" s="2905" t="str">
        <f>$E$1388</f>
        <v>ASHP - SEER 15 ER Elec Resist Furnace: HVAC ER1</v>
      </c>
      <c r="G2432" s="2905"/>
      <c r="H2432" s="2905"/>
      <c r="I2432" s="2905"/>
      <c r="J2432" s="1656" t="str">
        <f>$C$1388</f>
        <v>352300_2019_12_</v>
      </c>
      <c r="K2432" s="1667">
        <v>8.33</v>
      </c>
      <c r="L2432" s="1008"/>
      <c r="M2432" s="2914" t="s">
        <v>1603</v>
      </c>
      <c r="N2432" s="177"/>
      <c r="O2432" s="332"/>
      <c r="P2432" s="1116"/>
      <c r="Q2432" s="1116"/>
      <c r="R2432" s="1116"/>
      <c r="S2432" s="1103"/>
      <c r="T2432" s="1639"/>
      <c r="U2432" s="177"/>
      <c r="V2432" s="2867" t="s">
        <v>1394</v>
      </c>
      <c r="W2432" s="903">
        <v>6.8</v>
      </c>
      <c r="X2432" s="902">
        <v>8.33</v>
      </c>
      <c r="Y2432" s="926">
        <v>8.33</v>
      </c>
      <c r="Z2432" s="903"/>
      <c r="AA2432" s="903"/>
      <c r="AB2432" s="903"/>
      <c r="AC2432" s="903"/>
      <c r="AD2432" s="903"/>
      <c r="AE2432" s="903"/>
      <c r="AF2432" s="903"/>
      <c r="AG2432" s="903"/>
      <c r="BB2432" s="784"/>
      <c r="BC2432" s="785"/>
      <c r="BD2432" s="900"/>
      <c r="BE2432" s="797"/>
    </row>
    <row r="2433" spans="1:57" s="65" customFormat="1" ht="15" hidden="1" customHeight="1" outlineLevel="1" x14ac:dyDescent="0.25">
      <c r="A2433" s="718"/>
      <c r="B2433" s="177"/>
      <c r="C2433" s="455"/>
      <c r="D2433" s="2806"/>
      <c r="E2433" s="2856"/>
      <c r="F2433" s="2908" t="str">
        <f>$E$1390</f>
        <v>ASHP - SEER 15 ER Elec Resist Furnace: HVAC ER2</v>
      </c>
      <c r="G2433" s="2909"/>
      <c r="H2433" s="2909"/>
      <c r="I2433" s="2910"/>
      <c r="J2433" s="1657" t="str">
        <f>$C$1390</f>
        <v>352300_2019_12_</v>
      </c>
      <c r="K2433" s="1663">
        <v>13</v>
      </c>
      <c r="L2433" s="1123"/>
      <c r="M2433" s="2915"/>
      <c r="N2433" s="177"/>
      <c r="O2433" s="332"/>
      <c r="P2433" s="1116"/>
      <c r="Q2433" s="1116"/>
      <c r="R2433" s="1116"/>
      <c r="S2433" s="1103"/>
      <c r="T2433" s="1639"/>
      <c r="U2433" s="177"/>
      <c r="V2433" s="2866"/>
      <c r="W2433" s="909">
        <v>13</v>
      </c>
      <c r="X2433" s="909">
        <v>13</v>
      </c>
      <c r="Y2433" s="926">
        <v>13</v>
      </c>
      <c r="Z2433" s="909"/>
      <c r="AA2433" s="909"/>
      <c r="AB2433" s="909"/>
      <c r="AC2433" s="909"/>
      <c r="AD2433" s="909"/>
      <c r="AE2433" s="909"/>
      <c r="AF2433" s="909"/>
      <c r="AG2433" s="909"/>
      <c r="BB2433" s="784"/>
      <c r="BC2433" s="785"/>
      <c r="BD2433" s="900"/>
      <c r="BE2433" s="797"/>
    </row>
    <row r="2434" spans="1:57" s="65" customFormat="1" ht="15" hidden="1" customHeight="1" outlineLevel="1" x14ac:dyDescent="0.25">
      <c r="A2434" s="718"/>
      <c r="B2434" s="177"/>
      <c r="C2434" s="455"/>
      <c r="D2434" s="2806"/>
      <c r="E2434" s="2856"/>
      <c r="F2434" s="2908" t="str">
        <f>$E$1392</f>
        <v>ASHP - SEER 15 ER with ASHP: HVAC ER1</v>
      </c>
      <c r="G2434" s="2909"/>
      <c r="H2434" s="2909"/>
      <c r="I2434" s="2910"/>
      <c r="J2434" s="1657" t="str">
        <f>$C$1392</f>
        <v>352350_2019_12_</v>
      </c>
      <c r="K2434" s="1663">
        <v>8.33</v>
      </c>
      <c r="L2434" s="1123"/>
      <c r="M2434" s="2915"/>
      <c r="N2434" s="177"/>
      <c r="O2434" s="332"/>
      <c r="P2434" s="1116"/>
      <c r="Q2434" s="1116"/>
      <c r="R2434" s="1116"/>
      <c r="S2434" s="1103"/>
      <c r="T2434" s="1639"/>
      <c r="U2434" s="177"/>
      <c r="V2434" s="2866"/>
      <c r="W2434" s="909">
        <v>7.2</v>
      </c>
      <c r="X2434" s="908">
        <v>8.33</v>
      </c>
      <c r="Y2434" s="926">
        <v>8.33</v>
      </c>
      <c r="Z2434" s="909"/>
      <c r="AA2434" s="909"/>
      <c r="AB2434" s="909"/>
      <c r="AC2434" s="909"/>
      <c r="AD2434" s="909"/>
      <c r="AE2434" s="909"/>
      <c r="AF2434" s="909"/>
      <c r="AG2434" s="909"/>
      <c r="BB2434" s="784"/>
      <c r="BC2434" s="785"/>
      <c r="BD2434" s="900"/>
      <c r="BE2434" s="797"/>
    </row>
    <row r="2435" spans="1:57" s="65" customFormat="1" ht="15" hidden="1" customHeight="1" outlineLevel="1" x14ac:dyDescent="0.25">
      <c r="A2435" s="718"/>
      <c r="B2435" s="177"/>
      <c r="C2435" s="455"/>
      <c r="D2435" s="2806"/>
      <c r="E2435" s="2856"/>
      <c r="F2435" s="2908" t="str">
        <f>$E$1394</f>
        <v>ASHP - SEER 15 ER with ASHP: HVAC ER2</v>
      </c>
      <c r="G2435" s="2909"/>
      <c r="H2435" s="2909"/>
      <c r="I2435" s="2910"/>
      <c r="J2435" s="1657" t="str">
        <f>$C$1394</f>
        <v>352350_2019_12_</v>
      </c>
      <c r="K2435" s="1663">
        <v>14</v>
      </c>
      <c r="L2435" s="1123"/>
      <c r="M2435" s="2915"/>
      <c r="N2435" s="177"/>
      <c r="O2435" s="332"/>
      <c r="P2435" s="1116"/>
      <c r="Q2435" s="1116"/>
      <c r="R2435" s="1116"/>
      <c r="S2435" s="1103"/>
      <c r="T2435" s="1639"/>
      <c r="U2435" s="177"/>
      <c r="V2435" s="2866"/>
      <c r="W2435" s="909">
        <v>14</v>
      </c>
      <c r="X2435" s="909">
        <v>14</v>
      </c>
      <c r="Y2435" s="926">
        <v>14</v>
      </c>
      <c r="Z2435" s="909"/>
      <c r="AA2435" s="909"/>
      <c r="AB2435" s="909"/>
      <c r="AC2435" s="909"/>
      <c r="AD2435" s="909"/>
      <c r="AE2435" s="909"/>
      <c r="AF2435" s="909"/>
      <c r="AG2435" s="909"/>
      <c r="BB2435" s="784"/>
      <c r="BC2435" s="785"/>
      <c r="BD2435" s="900"/>
      <c r="BE2435" s="797"/>
    </row>
    <row r="2436" spans="1:57" s="65" customFormat="1" ht="15" hidden="1" customHeight="1" outlineLevel="1" x14ac:dyDescent="0.25">
      <c r="A2436" s="718"/>
      <c r="B2436" s="177"/>
      <c r="C2436" s="455"/>
      <c r="D2436" s="2806"/>
      <c r="E2436" s="2856"/>
      <c r="F2436" s="2908" t="str">
        <f>$E$1396</f>
        <v>ASHP-  SEER 15 Replace at Fail Elec Resist Furnace: HVAC</v>
      </c>
      <c r="G2436" s="2909"/>
      <c r="H2436" s="2909"/>
      <c r="I2436" s="2910"/>
      <c r="J2436" s="1657" t="str">
        <f>$C$1396</f>
        <v>352400_2019_12_</v>
      </c>
      <c r="K2436" s="1663">
        <v>13</v>
      </c>
      <c r="L2436" s="1123"/>
      <c r="M2436" s="2915"/>
      <c r="N2436" s="177"/>
      <c r="O2436" s="332"/>
      <c r="P2436" s="1116"/>
      <c r="Q2436" s="1116"/>
      <c r="R2436" s="1116"/>
      <c r="S2436" s="1103"/>
      <c r="T2436" s="1639"/>
      <c r="U2436" s="177"/>
      <c r="V2436" s="2866"/>
      <c r="W2436" s="909">
        <v>13</v>
      </c>
      <c r="X2436" s="909">
        <v>13</v>
      </c>
      <c r="Y2436" s="926">
        <v>13</v>
      </c>
      <c r="Z2436" s="909"/>
      <c r="AA2436" s="909"/>
      <c r="AB2436" s="909"/>
      <c r="AC2436" s="909"/>
      <c r="AD2436" s="909"/>
      <c r="AE2436" s="909"/>
      <c r="AF2436" s="909"/>
      <c r="AG2436" s="909"/>
      <c r="BB2436" s="784"/>
      <c r="BC2436" s="785"/>
      <c r="BD2436" s="900"/>
      <c r="BE2436" s="797"/>
    </row>
    <row r="2437" spans="1:57" s="65" customFormat="1" ht="15" hidden="1" customHeight="1" outlineLevel="1" x14ac:dyDescent="0.25">
      <c r="A2437" s="718"/>
      <c r="B2437" s="177"/>
      <c r="C2437" s="455"/>
      <c r="D2437" s="2806"/>
      <c r="E2437" s="2856"/>
      <c r="F2437" s="2908" t="str">
        <f>$E$1398</f>
        <v>ASHP - SEER 15 Replace at Fail with ASHP: HVAC</v>
      </c>
      <c r="G2437" s="2909"/>
      <c r="H2437" s="2909"/>
      <c r="I2437" s="2910"/>
      <c r="J2437" s="1657" t="str">
        <f>$C$1398</f>
        <v>352450_2019_12_</v>
      </c>
      <c r="K2437" s="1663">
        <v>14</v>
      </c>
      <c r="L2437" s="1123"/>
      <c r="M2437" s="2915"/>
      <c r="N2437" s="177"/>
      <c r="O2437" s="332"/>
      <c r="P2437" s="1116"/>
      <c r="Q2437" s="1116"/>
      <c r="R2437" s="1116"/>
      <c r="S2437" s="1103"/>
      <c r="T2437" s="1639"/>
      <c r="U2437" s="177"/>
      <c r="V2437" s="2866"/>
      <c r="W2437" s="909">
        <v>14</v>
      </c>
      <c r="X2437" s="909">
        <v>14</v>
      </c>
      <c r="Y2437" s="926">
        <v>14</v>
      </c>
      <c r="Z2437" s="909"/>
      <c r="AA2437" s="909"/>
      <c r="AB2437" s="909"/>
      <c r="AC2437" s="909"/>
      <c r="AD2437" s="909"/>
      <c r="AE2437" s="909"/>
      <c r="AF2437" s="909"/>
      <c r="AG2437" s="909"/>
      <c r="BB2437" s="784"/>
      <c r="BC2437" s="785"/>
      <c r="BD2437" s="900"/>
      <c r="BE2437" s="797"/>
    </row>
    <row r="2438" spans="1:57" s="65" customFormat="1" ht="15" hidden="1" customHeight="1" outlineLevel="1" x14ac:dyDescent="0.25">
      <c r="A2438" s="718"/>
      <c r="B2438" s="177"/>
      <c r="C2438" s="455"/>
      <c r="D2438" s="2806"/>
      <c r="E2438" s="2856"/>
      <c r="F2438" s="2908" t="str">
        <f>$E$1400</f>
        <v>ASHP - SEER 16 - replace electric furnace / CAC - early replacement SF ER1</v>
      </c>
      <c r="G2438" s="2909"/>
      <c r="H2438" s="2909"/>
      <c r="I2438" s="2910"/>
      <c r="J2438" s="1657" t="str">
        <f>$C$1400</f>
        <v>352500_2019_12_</v>
      </c>
      <c r="K2438" s="1663">
        <v>8.33</v>
      </c>
      <c r="L2438" s="1123"/>
      <c r="M2438" s="2915"/>
      <c r="N2438" s="177"/>
      <c r="O2438" s="332"/>
      <c r="P2438" s="1116"/>
      <c r="Q2438" s="1116"/>
      <c r="R2438" s="1116"/>
      <c r="S2438" s="1103"/>
      <c r="T2438" s="1639"/>
      <c r="U2438" s="177"/>
      <c r="V2438" s="2866"/>
      <c r="W2438" s="909">
        <v>6.8</v>
      </c>
      <c r="X2438" s="908">
        <v>8.33</v>
      </c>
      <c r="Y2438" s="926">
        <v>8.33</v>
      </c>
      <c r="Z2438" s="909"/>
      <c r="AA2438" s="909"/>
      <c r="AB2438" s="909"/>
      <c r="AC2438" s="909"/>
      <c r="AD2438" s="909"/>
      <c r="AE2438" s="909"/>
      <c r="AF2438" s="909"/>
      <c r="AG2438" s="909"/>
      <c r="BB2438" s="784"/>
      <c r="BC2438" s="785"/>
      <c r="BD2438" s="900"/>
      <c r="BE2438" s="797"/>
    </row>
    <row r="2439" spans="1:57" s="65" customFormat="1" ht="15" hidden="1" customHeight="1" outlineLevel="1" x14ac:dyDescent="0.25">
      <c r="A2439" s="785"/>
      <c r="B2439" s="177"/>
      <c r="C2439" s="455"/>
      <c r="D2439" s="2806"/>
      <c r="E2439" s="2856"/>
      <c r="F2439" s="2908" t="str">
        <f>$E$1402</f>
        <v>ASHP - SEER 16 - replace electric furnace / CAC - early replacement SF ER2</v>
      </c>
      <c r="G2439" s="2909"/>
      <c r="H2439" s="2909"/>
      <c r="I2439" s="2910"/>
      <c r="J2439" s="1657" t="str">
        <f>$C$1402</f>
        <v>352500_2019_12_</v>
      </c>
      <c r="K2439" s="1663">
        <v>13</v>
      </c>
      <c r="L2439" s="1123"/>
      <c r="M2439" s="2915"/>
      <c r="N2439" s="177"/>
      <c r="O2439" s="332"/>
      <c r="P2439" s="1116"/>
      <c r="Q2439" s="1116"/>
      <c r="R2439" s="1116"/>
      <c r="S2439" s="1103"/>
      <c r="T2439" s="1639"/>
      <c r="U2439" s="177"/>
      <c r="V2439" s="2866"/>
      <c r="W2439" s="909">
        <v>13</v>
      </c>
      <c r="X2439" s="909">
        <v>13</v>
      </c>
      <c r="Y2439" s="926">
        <v>13</v>
      </c>
      <c r="Z2439" s="909"/>
      <c r="AA2439" s="909"/>
      <c r="AB2439" s="909"/>
      <c r="AC2439" s="909"/>
      <c r="AD2439" s="909"/>
      <c r="AE2439" s="909"/>
      <c r="AF2439" s="909"/>
      <c r="AG2439" s="909"/>
      <c r="BB2439" s="784"/>
      <c r="BC2439" s="785"/>
      <c r="BD2439" s="900"/>
      <c r="BE2439" s="797"/>
    </row>
    <row r="2440" spans="1:57" s="65" customFormat="1" ht="15" hidden="1" customHeight="1" outlineLevel="1" x14ac:dyDescent="0.25">
      <c r="A2440" s="718"/>
      <c r="B2440" s="177"/>
      <c r="C2440" s="455"/>
      <c r="D2440" s="2806"/>
      <c r="E2440" s="2856"/>
      <c r="F2440" s="2908" t="str">
        <f>$E$1404</f>
        <v>ASHP SEER 16 replace ASHP - early replacement SF ER1</v>
      </c>
      <c r="G2440" s="2909"/>
      <c r="H2440" s="2909"/>
      <c r="I2440" s="2910"/>
      <c r="J2440" s="1657" t="str">
        <f>$C$1404</f>
        <v>352550_2019_12_</v>
      </c>
      <c r="K2440" s="1663">
        <v>8.33</v>
      </c>
      <c r="L2440" s="1123"/>
      <c r="M2440" s="2915"/>
      <c r="N2440" s="177"/>
      <c r="O2440" s="332"/>
      <c r="P2440" s="1116"/>
      <c r="Q2440" s="1116"/>
      <c r="R2440" s="1116"/>
      <c r="S2440" s="1103"/>
      <c r="T2440" s="1639"/>
      <c r="U2440" s="177"/>
      <c r="V2440" s="2866"/>
      <c r="W2440" s="909">
        <v>7.2</v>
      </c>
      <c r="X2440" s="908">
        <v>8.33</v>
      </c>
      <c r="Y2440" s="926">
        <v>8.33</v>
      </c>
      <c r="Z2440" s="909"/>
      <c r="AA2440" s="909"/>
      <c r="AB2440" s="909"/>
      <c r="AC2440" s="909"/>
      <c r="AD2440" s="909"/>
      <c r="AE2440" s="909"/>
      <c r="AF2440" s="909"/>
      <c r="AG2440" s="909"/>
      <c r="BB2440" s="784"/>
      <c r="BC2440" s="785"/>
      <c r="BD2440" s="900"/>
      <c r="BE2440" s="797"/>
    </row>
    <row r="2441" spans="1:57" s="65" customFormat="1" ht="15" hidden="1" customHeight="1" outlineLevel="1" x14ac:dyDescent="0.25">
      <c r="A2441" s="718"/>
      <c r="B2441" s="177"/>
      <c r="C2441" s="455"/>
      <c r="D2441" s="2806"/>
      <c r="E2441" s="2856"/>
      <c r="F2441" s="2908" t="str">
        <f>$E$1406</f>
        <v>ASHP SEER 16 replace ASHP - early replacement SF ER2</v>
      </c>
      <c r="G2441" s="2909"/>
      <c r="H2441" s="2909"/>
      <c r="I2441" s="2910"/>
      <c r="J2441" s="1657" t="str">
        <f>$C$1406</f>
        <v>352550_2019_12_</v>
      </c>
      <c r="K2441" s="1663">
        <v>14</v>
      </c>
      <c r="L2441" s="1124"/>
      <c r="M2441" s="2915"/>
      <c r="N2441" s="177"/>
      <c r="O2441" s="332"/>
      <c r="P2441" s="1116"/>
      <c r="Q2441" s="1116"/>
      <c r="R2441" s="1116"/>
      <c r="S2441" s="1103"/>
      <c r="T2441" s="1639"/>
      <c r="U2441" s="177"/>
      <c r="V2441" s="2866"/>
      <c r="W2441" s="909">
        <v>14</v>
      </c>
      <c r="X2441" s="909">
        <v>14</v>
      </c>
      <c r="Y2441" s="926">
        <v>14</v>
      </c>
      <c r="Z2441" s="909"/>
      <c r="AA2441" s="909"/>
      <c r="AB2441" s="909"/>
      <c r="AC2441" s="909"/>
      <c r="AD2441" s="909"/>
      <c r="AE2441" s="909"/>
      <c r="AF2441" s="909"/>
      <c r="AG2441" s="909"/>
      <c r="BB2441" s="784"/>
      <c r="BC2441" s="785"/>
      <c r="BD2441" s="900"/>
      <c r="BE2441" s="797"/>
    </row>
    <row r="2442" spans="1:57" s="65" customFormat="1" ht="15" hidden="1" customHeight="1" outlineLevel="1" x14ac:dyDescent="0.25">
      <c r="A2442" s="718"/>
      <c r="B2442" s="177"/>
      <c r="C2442" s="455"/>
      <c r="D2442" s="2806"/>
      <c r="E2442" s="2856"/>
      <c r="F2442" s="2908" t="str">
        <f>$E$1408</f>
        <v>ASHP - SEER 16 - replace electric furnace / CAC SF</v>
      </c>
      <c r="G2442" s="2909"/>
      <c r="H2442" s="2909"/>
      <c r="I2442" s="2910"/>
      <c r="J2442" s="1657" t="str">
        <f>$C$1408</f>
        <v>352600_2019_12_</v>
      </c>
      <c r="K2442" s="1663">
        <v>13</v>
      </c>
      <c r="L2442" s="1124"/>
      <c r="M2442" s="2915"/>
      <c r="N2442" s="177"/>
      <c r="O2442" s="332"/>
      <c r="P2442" s="1116"/>
      <c r="Q2442" s="1116"/>
      <c r="R2442" s="1116"/>
      <c r="S2442" s="1103"/>
      <c r="T2442" s="1639"/>
      <c r="U2442" s="177"/>
      <c r="V2442" s="2866"/>
      <c r="W2442" s="909">
        <v>13</v>
      </c>
      <c r="X2442" s="909">
        <v>13</v>
      </c>
      <c r="Y2442" s="926">
        <v>13</v>
      </c>
      <c r="Z2442" s="909"/>
      <c r="AA2442" s="909"/>
      <c r="AB2442" s="909"/>
      <c r="AC2442" s="909"/>
      <c r="AD2442" s="909"/>
      <c r="AE2442" s="909"/>
      <c r="AF2442" s="909"/>
      <c r="AG2442" s="909"/>
      <c r="BB2442" s="784"/>
      <c r="BC2442" s="785"/>
      <c r="BD2442" s="900"/>
      <c r="BE2442" s="797"/>
    </row>
    <row r="2443" spans="1:57" s="65" customFormat="1" ht="15" hidden="1" customHeight="1" outlineLevel="1" x14ac:dyDescent="0.25">
      <c r="A2443" s="718"/>
      <c r="B2443" s="177"/>
      <c r="C2443" s="455"/>
      <c r="D2443" s="2806"/>
      <c r="E2443" s="2856"/>
      <c r="F2443" s="2908" t="str">
        <f>$E$1410</f>
        <v>ASHP SEER 16 replace ASHP - replace on fail SF</v>
      </c>
      <c r="G2443" s="2909"/>
      <c r="H2443" s="2909"/>
      <c r="I2443" s="2910"/>
      <c r="J2443" s="1657" t="str">
        <f>$C$1410</f>
        <v>352650_2019_12_</v>
      </c>
      <c r="K2443" s="1663">
        <v>14</v>
      </c>
      <c r="L2443" s="1124"/>
      <c r="M2443" s="2915"/>
      <c r="N2443" s="177"/>
      <c r="O2443" s="332"/>
      <c r="P2443" s="1116"/>
      <c r="Q2443" s="1116"/>
      <c r="R2443" s="1116"/>
      <c r="S2443" s="1103"/>
      <c r="T2443" s="1639"/>
      <c r="U2443" s="177"/>
      <c r="V2443" s="2866"/>
      <c r="W2443" s="909">
        <v>14</v>
      </c>
      <c r="X2443" s="909">
        <v>14</v>
      </c>
      <c r="Y2443" s="926">
        <v>14</v>
      </c>
      <c r="Z2443" s="909"/>
      <c r="AA2443" s="909"/>
      <c r="AB2443" s="909"/>
      <c r="AC2443" s="909"/>
      <c r="AD2443" s="909"/>
      <c r="AE2443" s="909"/>
      <c r="AF2443" s="909"/>
      <c r="AG2443" s="909"/>
      <c r="BB2443" s="784"/>
      <c r="BC2443" s="785"/>
      <c r="BD2443" s="900"/>
      <c r="BE2443" s="797"/>
    </row>
    <row r="2444" spans="1:57" s="65" customFormat="1" ht="15" hidden="1" customHeight="1" outlineLevel="1" x14ac:dyDescent="0.25">
      <c r="A2444" s="718"/>
      <c r="B2444" s="177"/>
      <c r="C2444" s="455"/>
      <c r="D2444" s="2806"/>
      <c r="E2444" s="2856"/>
      <c r="F2444" s="2908" t="str">
        <f>$E$1412</f>
        <v>ASHP SEER 15 MF ER replace ASHP: HVAC ER1</v>
      </c>
      <c r="G2444" s="2909"/>
      <c r="H2444" s="2909"/>
      <c r="I2444" s="2910"/>
      <c r="J2444" s="1657" t="str">
        <f>$C$1412</f>
        <v>352700_2019_12_</v>
      </c>
      <c r="K2444" s="1663">
        <v>8.33</v>
      </c>
      <c r="L2444" s="1124"/>
      <c r="M2444" s="2915"/>
      <c r="N2444" s="177"/>
      <c r="O2444" s="332"/>
      <c r="P2444" s="1116"/>
      <c r="Q2444" s="1116"/>
      <c r="R2444" s="1116"/>
      <c r="S2444" s="1103"/>
      <c r="T2444" s="1639"/>
      <c r="U2444" s="177"/>
      <c r="V2444" s="2866"/>
      <c r="W2444" s="909">
        <v>7.2</v>
      </c>
      <c r="X2444" s="908">
        <v>8.33</v>
      </c>
      <c r="Y2444" s="926">
        <v>8.33</v>
      </c>
      <c r="Z2444" s="909"/>
      <c r="AA2444" s="909"/>
      <c r="AB2444" s="909"/>
      <c r="AC2444" s="909"/>
      <c r="AD2444" s="909"/>
      <c r="AE2444" s="909"/>
      <c r="AF2444" s="909"/>
      <c r="AG2444" s="909"/>
      <c r="BB2444" s="784"/>
      <c r="BC2444" s="785"/>
      <c r="BD2444" s="900"/>
      <c r="BE2444" s="797"/>
    </row>
    <row r="2445" spans="1:57" s="65" customFormat="1" ht="15" hidden="1" customHeight="1" outlineLevel="1" x14ac:dyDescent="0.25">
      <c r="A2445" s="718"/>
      <c r="B2445" s="177"/>
      <c r="C2445" s="455"/>
      <c r="D2445" s="2806"/>
      <c r="E2445" s="2856"/>
      <c r="F2445" s="2908" t="str">
        <f>$E$1414</f>
        <v>ASHP SEER 15 MF ER replace ASHP: HVAC ER2</v>
      </c>
      <c r="G2445" s="2909"/>
      <c r="H2445" s="2909"/>
      <c r="I2445" s="2910"/>
      <c r="J2445" s="1657" t="str">
        <f>$C$1414</f>
        <v>352700_2019_12_</v>
      </c>
      <c r="K2445" s="1663">
        <v>14</v>
      </c>
      <c r="L2445" s="1124"/>
      <c r="M2445" s="2915"/>
      <c r="N2445" s="177"/>
      <c r="O2445" s="332"/>
      <c r="P2445" s="1116"/>
      <c r="Q2445" s="1116"/>
      <c r="R2445" s="1116"/>
      <c r="S2445" s="1103"/>
      <c r="T2445" s="1639"/>
      <c r="U2445" s="177"/>
      <c r="V2445" s="2866"/>
      <c r="W2445" s="909">
        <v>14</v>
      </c>
      <c r="X2445" s="909">
        <v>14</v>
      </c>
      <c r="Y2445" s="926">
        <v>14</v>
      </c>
      <c r="Z2445" s="909"/>
      <c r="AA2445" s="909"/>
      <c r="AB2445" s="909"/>
      <c r="AC2445" s="909"/>
      <c r="AD2445" s="909"/>
      <c r="AE2445" s="909"/>
      <c r="AF2445" s="909"/>
      <c r="AG2445" s="909"/>
      <c r="BB2445" s="784"/>
      <c r="BC2445" s="785"/>
      <c r="BD2445" s="900"/>
      <c r="BE2445" s="797"/>
    </row>
    <row r="2446" spans="1:57" s="65" customFormat="1" ht="15" hidden="1" customHeight="1" outlineLevel="1" x14ac:dyDescent="0.25">
      <c r="A2446" s="718"/>
      <c r="B2446" s="177"/>
      <c r="C2446" s="455"/>
      <c r="D2446" s="2806"/>
      <c r="E2446" s="2856"/>
      <c r="F2446" s="2908" t="str">
        <f>$E$1416</f>
        <v>ASHP SEER 15 MF ER replace ASHP: HVAC ER1_CompE</v>
      </c>
      <c r="G2446" s="2909"/>
      <c r="H2446" s="2909"/>
      <c r="I2446" s="2910"/>
      <c r="J2446" s="1657" t="str">
        <f>$C$1416</f>
        <v>352701_2019_12_</v>
      </c>
      <c r="K2446" s="1663">
        <v>8.33</v>
      </c>
      <c r="L2446" s="1124"/>
      <c r="M2446" s="2915"/>
      <c r="N2446" s="177"/>
      <c r="O2446" s="332"/>
      <c r="P2446" s="1116"/>
      <c r="Q2446" s="1116"/>
      <c r="R2446" s="1116"/>
      <c r="S2446" s="1103"/>
      <c r="T2446" s="1639"/>
      <c r="U2446" s="177"/>
      <c r="V2446" s="2866"/>
      <c r="W2446" s="909"/>
      <c r="X2446" s="909"/>
      <c r="Y2446" s="933">
        <v>8.33</v>
      </c>
      <c r="Z2446" s="909"/>
      <c r="AA2446" s="909"/>
      <c r="AB2446" s="909"/>
      <c r="AC2446" s="909"/>
      <c r="AD2446" s="909"/>
      <c r="AE2446" s="909"/>
      <c r="AF2446" s="909"/>
      <c r="AG2446" s="909"/>
      <c r="BB2446" s="784"/>
      <c r="BC2446" s="785"/>
      <c r="BD2446" s="900"/>
      <c r="BE2446" s="797"/>
    </row>
    <row r="2447" spans="1:57" s="65" customFormat="1" ht="15" hidden="1" customHeight="1" outlineLevel="1" x14ac:dyDescent="0.25">
      <c r="A2447" s="718"/>
      <c r="B2447" s="177"/>
      <c r="C2447" s="455"/>
      <c r="D2447" s="2806"/>
      <c r="E2447" s="2856"/>
      <c r="F2447" s="2908" t="str">
        <f>$E$1418</f>
        <v>ASHP SEER 15 MF ER replace ASHP: HVAC ER2_CompE</v>
      </c>
      <c r="G2447" s="2909"/>
      <c r="H2447" s="2909"/>
      <c r="I2447" s="2910"/>
      <c r="J2447" s="1657" t="str">
        <f>$C$1418</f>
        <v>352701_2019_12_</v>
      </c>
      <c r="K2447" s="1663">
        <v>14</v>
      </c>
      <c r="L2447" s="1124"/>
      <c r="M2447" s="2915"/>
      <c r="N2447" s="177"/>
      <c r="O2447" s="332"/>
      <c r="P2447" s="1116"/>
      <c r="Q2447" s="1116"/>
      <c r="R2447" s="1116"/>
      <c r="S2447" s="1103"/>
      <c r="T2447" s="1639"/>
      <c r="U2447" s="177"/>
      <c r="V2447" s="2866"/>
      <c r="W2447" s="909"/>
      <c r="X2447" s="909"/>
      <c r="Y2447" s="933">
        <v>14</v>
      </c>
      <c r="Z2447" s="909"/>
      <c r="AA2447" s="909"/>
      <c r="AB2447" s="909"/>
      <c r="AC2447" s="909"/>
      <c r="AD2447" s="909"/>
      <c r="AE2447" s="909"/>
      <c r="AF2447" s="909"/>
      <c r="AG2447" s="909"/>
      <c r="BB2447" s="784"/>
      <c r="BC2447" s="785"/>
      <c r="BD2447" s="900"/>
      <c r="BE2447" s="797"/>
    </row>
    <row r="2448" spans="1:57" s="65" customFormat="1" ht="15" hidden="1" customHeight="1" outlineLevel="1" x14ac:dyDescent="0.25">
      <c r="A2448" s="718"/>
      <c r="B2448" s="177"/>
      <c r="C2448" s="455"/>
      <c r="D2448" s="2806"/>
      <c r="E2448" s="2856"/>
      <c r="F2448" s="2908" t="str">
        <f>$E$1420</f>
        <v>ASHP SEER 15 MF ER replace Elec Resist Furnace: HVAC ER1</v>
      </c>
      <c r="G2448" s="2909"/>
      <c r="H2448" s="2909"/>
      <c r="I2448" s="2910"/>
      <c r="J2448" s="1657" t="str">
        <f>$C$1420</f>
        <v>352750_2019_12_</v>
      </c>
      <c r="K2448" s="1663">
        <v>8.33</v>
      </c>
      <c r="L2448" s="1124"/>
      <c r="M2448" s="2915"/>
      <c r="N2448" s="177"/>
      <c r="O2448" s="332"/>
      <c r="P2448" s="1116"/>
      <c r="Q2448" s="1116"/>
      <c r="R2448" s="1116"/>
      <c r="S2448" s="1103"/>
      <c r="T2448" s="1639"/>
      <c r="U2448" s="177"/>
      <c r="V2448" s="2866"/>
      <c r="W2448" s="909">
        <v>6.8</v>
      </c>
      <c r="X2448" s="908">
        <v>8.33</v>
      </c>
      <c r="Y2448" s="926">
        <v>8.33</v>
      </c>
      <c r="Z2448" s="909"/>
      <c r="AA2448" s="909"/>
      <c r="AB2448" s="909"/>
      <c r="AC2448" s="909"/>
      <c r="AD2448" s="909"/>
      <c r="AE2448" s="909"/>
      <c r="AF2448" s="909"/>
      <c r="AG2448" s="909"/>
      <c r="BB2448" s="784"/>
      <c r="BC2448" s="785"/>
      <c r="BD2448" s="900"/>
      <c r="BE2448" s="797"/>
    </row>
    <row r="2449" spans="1:57" s="65" customFormat="1" ht="15" hidden="1" customHeight="1" outlineLevel="1" x14ac:dyDescent="0.25">
      <c r="A2449" s="718"/>
      <c r="B2449" s="177"/>
      <c r="C2449" s="455"/>
      <c r="D2449" s="2806"/>
      <c r="E2449" s="2856"/>
      <c r="F2449" s="2908" t="str">
        <f>$E$1422</f>
        <v>ASHP SEER 15 MF ER replace Elec Resist Furnace: HVAC ER2</v>
      </c>
      <c r="G2449" s="2909"/>
      <c r="H2449" s="2909"/>
      <c r="I2449" s="2910"/>
      <c r="J2449" s="1657" t="str">
        <f>$C$1422</f>
        <v>352750_2019_12_</v>
      </c>
      <c r="K2449" s="1663">
        <v>13</v>
      </c>
      <c r="L2449" s="1124"/>
      <c r="M2449" s="2915"/>
      <c r="N2449" s="177"/>
      <c r="O2449" s="332"/>
      <c r="P2449" s="1116"/>
      <c r="Q2449" s="1116"/>
      <c r="R2449" s="1116"/>
      <c r="S2449" s="1103"/>
      <c r="T2449" s="1639"/>
      <c r="U2449" s="177"/>
      <c r="V2449" s="2866"/>
      <c r="W2449" s="909">
        <v>13</v>
      </c>
      <c r="X2449" s="909">
        <v>13</v>
      </c>
      <c r="Y2449" s="926">
        <v>13</v>
      </c>
      <c r="Z2449" s="909"/>
      <c r="AA2449" s="909"/>
      <c r="AB2449" s="909"/>
      <c r="AC2449" s="909"/>
      <c r="AD2449" s="909"/>
      <c r="AE2449" s="909"/>
      <c r="AF2449" s="909"/>
      <c r="AG2449" s="909"/>
      <c r="BB2449" s="784"/>
      <c r="BC2449" s="785"/>
      <c r="BD2449" s="900"/>
      <c r="BE2449" s="797"/>
    </row>
    <row r="2450" spans="1:57" s="65" customFormat="1" ht="15" hidden="1" customHeight="1" outlineLevel="1" x14ac:dyDescent="0.25">
      <c r="A2450" s="718"/>
      <c r="B2450" s="177"/>
      <c r="C2450" s="455"/>
      <c r="D2450" s="2806"/>
      <c r="E2450" s="2856"/>
      <c r="F2450" s="2908" t="str">
        <f>$E$1424</f>
        <v>ASHP SEER 15 MF ER replace Elec Resist Furnace: HVAC ER1_CompE</v>
      </c>
      <c r="G2450" s="2909"/>
      <c r="H2450" s="2909"/>
      <c r="I2450" s="2910"/>
      <c r="J2450" s="1657" t="str">
        <f>$C$1424</f>
        <v>352751_2019_12_</v>
      </c>
      <c r="K2450" s="1663">
        <v>8.33</v>
      </c>
      <c r="L2450" s="1124"/>
      <c r="M2450" s="2915"/>
      <c r="N2450" s="177"/>
      <c r="O2450" s="332"/>
      <c r="P2450" s="1116"/>
      <c r="Q2450" s="1116"/>
      <c r="R2450" s="1116"/>
      <c r="S2450" s="1103"/>
      <c r="T2450" s="1639"/>
      <c r="U2450" s="177"/>
      <c r="V2450" s="2866"/>
      <c r="W2450" s="909"/>
      <c r="X2450" s="909"/>
      <c r="Y2450" s="933">
        <v>8.33</v>
      </c>
      <c r="Z2450" s="909"/>
      <c r="AA2450" s="909"/>
      <c r="AB2450" s="909"/>
      <c r="AC2450" s="909"/>
      <c r="AD2450" s="909"/>
      <c r="AE2450" s="909"/>
      <c r="AF2450" s="909"/>
      <c r="AG2450" s="909"/>
      <c r="BB2450" s="784"/>
      <c r="BC2450" s="785"/>
      <c r="BD2450" s="900"/>
      <c r="BE2450" s="797"/>
    </row>
    <row r="2451" spans="1:57" s="65" customFormat="1" ht="15" hidden="1" customHeight="1" outlineLevel="1" x14ac:dyDescent="0.25">
      <c r="A2451" s="718"/>
      <c r="B2451" s="177"/>
      <c r="C2451" s="455"/>
      <c r="D2451" s="2806"/>
      <c r="E2451" s="2856"/>
      <c r="F2451" s="2908" t="str">
        <f>$E$1426</f>
        <v>ASHP SEER 15 MF ER replace Elec Resist Furnace: HVAC ER2_CompE</v>
      </c>
      <c r="G2451" s="2909"/>
      <c r="H2451" s="2909"/>
      <c r="I2451" s="2910"/>
      <c r="J2451" s="1657" t="str">
        <f>$C$1426</f>
        <v>352751_2019_12_</v>
      </c>
      <c r="K2451" s="1663">
        <v>13</v>
      </c>
      <c r="L2451" s="1124"/>
      <c r="M2451" s="2915"/>
      <c r="N2451" s="177"/>
      <c r="O2451" s="332"/>
      <c r="P2451" s="1116"/>
      <c r="Q2451" s="1116"/>
      <c r="R2451" s="1116"/>
      <c r="S2451" s="1103"/>
      <c r="T2451" s="1639"/>
      <c r="U2451" s="177"/>
      <c r="V2451" s="2866"/>
      <c r="W2451" s="909"/>
      <c r="X2451" s="909"/>
      <c r="Y2451" s="933">
        <v>13</v>
      </c>
      <c r="Z2451" s="909"/>
      <c r="AA2451" s="909"/>
      <c r="AB2451" s="909"/>
      <c r="AC2451" s="909"/>
      <c r="AD2451" s="909"/>
      <c r="AE2451" s="909"/>
      <c r="AF2451" s="909"/>
      <c r="AG2451" s="909"/>
      <c r="BB2451" s="784"/>
      <c r="BC2451" s="785"/>
      <c r="BD2451" s="900"/>
      <c r="BE2451" s="797"/>
    </row>
    <row r="2452" spans="1:57" s="65" customFormat="1" ht="15" hidden="1" customHeight="1" outlineLevel="1" x14ac:dyDescent="0.25">
      <c r="A2452" s="718"/>
      <c r="B2452" s="177"/>
      <c r="C2452" s="455"/>
      <c r="D2452" s="2806"/>
      <c r="E2452" s="2856"/>
      <c r="F2452" s="2908" t="str">
        <f>$E$1428</f>
        <v>ASHP SEER 15 MF replace at Fail Elec Resist Furnace: HVAC</v>
      </c>
      <c r="G2452" s="2909"/>
      <c r="H2452" s="2909"/>
      <c r="I2452" s="2910"/>
      <c r="J2452" s="1657" t="str">
        <f>$C$1428</f>
        <v>352800_2019_12_</v>
      </c>
      <c r="K2452" s="1663">
        <v>13</v>
      </c>
      <c r="L2452" s="1124"/>
      <c r="M2452" s="2915"/>
      <c r="N2452" s="177"/>
      <c r="O2452" s="332"/>
      <c r="P2452" s="1116"/>
      <c r="Q2452" s="1116"/>
      <c r="R2452" s="1116"/>
      <c r="S2452" s="1103"/>
      <c r="T2452" s="1639"/>
      <c r="U2452" s="177"/>
      <c r="V2452" s="2866"/>
      <c r="W2452" s="909">
        <v>13</v>
      </c>
      <c r="X2452" s="909">
        <v>13</v>
      </c>
      <c r="Y2452" s="926">
        <v>13</v>
      </c>
      <c r="Z2452" s="909"/>
      <c r="AA2452" s="909"/>
      <c r="AB2452" s="909"/>
      <c r="AC2452" s="909"/>
      <c r="AD2452" s="909"/>
      <c r="AE2452" s="909"/>
      <c r="AF2452" s="909"/>
      <c r="AG2452" s="909"/>
      <c r="BB2452" s="784"/>
      <c r="BC2452" s="785"/>
      <c r="BD2452" s="900"/>
      <c r="BE2452" s="797"/>
    </row>
    <row r="2453" spans="1:57" s="65" customFormat="1" ht="15" hidden="1" customHeight="1" outlineLevel="1" x14ac:dyDescent="0.25">
      <c r="A2453" s="718"/>
      <c r="B2453" s="177"/>
      <c r="C2453" s="455"/>
      <c r="D2453" s="2806"/>
      <c r="E2453" s="2856"/>
      <c r="F2453" s="2908" t="str">
        <f>$E$1430</f>
        <v>ASHP SEER 15 MF replace at Fail Elec Resist Furnace: HVAC_CompE</v>
      </c>
      <c r="G2453" s="2909"/>
      <c r="H2453" s="2909"/>
      <c r="I2453" s="2910"/>
      <c r="J2453" s="1657" t="str">
        <f>$C$1430</f>
        <v>352801_2019_12_</v>
      </c>
      <c r="K2453" s="1663">
        <v>13</v>
      </c>
      <c r="L2453" s="1124"/>
      <c r="M2453" s="2915"/>
      <c r="N2453" s="177"/>
      <c r="O2453" s="332"/>
      <c r="P2453" s="1116"/>
      <c r="Q2453" s="1116"/>
      <c r="R2453" s="1116"/>
      <c r="S2453" s="1103"/>
      <c r="T2453" s="1639"/>
      <c r="U2453" s="177"/>
      <c r="V2453" s="2866"/>
      <c r="W2453" s="909"/>
      <c r="X2453" s="909"/>
      <c r="Y2453" s="933">
        <v>13</v>
      </c>
      <c r="Z2453" s="909"/>
      <c r="AA2453" s="909"/>
      <c r="AB2453" s="909"/>
      <c r="AC2453" s="909"/>
      <c r="AD2453" s="909"/>
      <c r="AE2453" s="909"/>
      <c r="AF2453" s="909"/>
      <c r="AG2453" s="909"/>
      <c r="BB2453" s="784"/>
      <c r="BC2453" s="785"/>
      <c r="BD2453" s="900"/>
      <c r="BE2453" s="797"/>
    </row>
    <row r="2454" spans="1:57" s="65" customFormat="1" ht="15" hidden="1" customHeight="1" outlineLevel="1" x14ac:dyDescent="0.25">
      <c r="A2454" s="718"/>
      <c r="B2454" s="177"/>
      <c r="C2454" s="455"/>
      <c r="D2454" s="2806"/>
      <c r="E2454" s="2856"/>
      <c r="F2454" s="2908" t="str">
        <f>$E$1432</f>
        <v>ASHP SEER 16 MF ER replace ASHP: HVAC ER1</v>
      </c>
      <c r="G2454" s="2909"/>
      <c r="H2454" s="2909"/>
      <c r="I2454" s="2910"/>
      <c r="J2454" s="1657" t="str">
        <f>$C$1432</f>
        <v>352850_2019_12_</v>
      </c>
      <c r="K2454" s="1663">
        <v>8.33</v>
      </c>
      <c r="L2454" s="1124"/>
      <c r="M2454" s="2915"/>
      <c r="N2454" s="177"/>
      <c r="O2454" s="332"/>
      <c r="P2454" s="1116"/>
      <c r="Q2454" s="1116"/>
      <c r="R2454" s="1116"/>
      <c r="S2454" s="1103"/>
      <c r="T2454" s="1639"/>
      <c r="U2454" s="177"/>
      <c r="V2454" s="2866"/>
      <c r="W2454" s="909">
        <v>7.2</v>
      </c>
      <c r="X2454" s="908">
        <v>8.33</v>
      </c>
      <c r="Y2454" s="926">
        <v>8.33</v>
      </c>
      <c r="Z2454" s="909"/>
      <c r="AA2454" s="909"/>
      <c r="AB2454" s="909"/>
      <c r="AC2454" s="909"/>
      <c r="AD2454" s="909"/>
      <c r="AE2454" s="909"/>
      <c r="AF2454" s="909"/>
      <c r="AG2454" s="909"/>
      <c r="BB2454" s="784"/>
      <c r="BC2454" s="785"/>
      <c r="BD2454" s="900"/>
      <c r="BE2454" s="797"/>
    </row>
    <row r="2455" spans="1:57" s="65" customFormat="1" ht="15" hidden="1" customHeight="1" outlineLevel="1" x14ac:dyDescent="0.25">
      <c r="A2455" s="718"/>
      <c r="B2455" s="177"/>
      <c r="C2455" s="455"/>
      <c r="D2455" s="2806"/>
      <c r="E2455" s="2856"/>
      <c r="F2455" s="2908" t="str">
        <f>$E$1434</f>
        <v>ASHP SEER 16 MF ER replace ASHP: HVAC ER2</v>
      </c>
      <c r="G2455" s="2909"/>
      <c r="H2455" s="2909"/>
      <c r="I2455" s="2910"/>
      <c r="J2455" s="1657" t="str">
        <f>$C$1434</f>
        <v>352850_2019_12_</v>
      </c>
      <c r="K2455" s="1663">
        <v>14</v>
      </c>
      <c r="L2455" s="1124"/>
      <c r="M2455" s="2915"/>
      <c r="N2455" s="177"/>
      <c r="O2455" s="332"/>
      <c r="P2455" s="1116"/>
      <c r="Q2455" s="1116"/>
      <c r="R2455" s="1116"/>
      <c r="S2455" s="1103"/>
      <c r="T2455" s="1639"/>
      <c r="U2455" s="177"/>
      <c r="V2455" s="2866"/>
      <c r="W2455" s="909">
        <v>14</v>
      </c>
      <c r="X2455" s="909">
        <v>14</v>
      </c>
      <c r="Y2455" s="926">
        <v>14</v>
      </c>
      <c r="Z2455" s="909"/>
      <c r="AA2455" s="909"/>
      <c r="AB2455" s="909"/>
      <c r="AC2455" s="909"/>
      <c r="AD2455" s="909"/>
      <c r="AE2455" s="909"/>
      <c r="AF2455" s="909"/>
      <c r="AG2455" s="909"/>
      <c r="BB2455" s="784"/>
      <c r="BC2455" s="785"/>
      <c r="BD2455" s="900"/>
      <c r="BE2455" s="797"/>
    </row>
    <row r="2456" spans="1:57" s="65" customFormat="1" ht="15" hidden="1" customHeight="1" outlineLevel="1" x14ac:dyDescent="0.25">
      <c r="A2456" s="718"/>
      <c r="B2456" s="177"/>
      <c r="C2456" s="455"/>
      <c r="D2456" s="2806"/>
      <c r="E2456" s="2856"/>
      <c r="F2456" s="2908" t="str">
        <f>$E$1436</f>
        <v>ASHP SEER 16 MF ER replace ASHP: HVAC ER1_CompE</v>
      </c>
      <c r="G2456" s="2909"/>
      <c r="H2456" s="2909"/>
      <c r="I2456" s="2910"/>
      <c r="J2456" s="1657" t="str">
        <f>$C$1436</f>
        <v>352851_2019_12_</v>
      </c>
      <c r="K2456" s="1663">
        <v>8.33</v>
      </c>
      <c r="L2456" s="1124"/>
      <c r="M2456" s="2915"/>
      <c r="N2456" s="177"/>
      <c r="O2456" s="332"/>
      <c r="P2456" s="1116"/>
      <c r="Q2456" s="1116"/>
      <c r="R2456" s="1116"/>
      <c r="S2456" s="1103"/>
      <c r="T2456" s="1639"/>
      <c r="U2456" s="177"/>
      <c r="V2456" s="2866"/>
      <c r="W2456" s="909"/>
      <c r="X2456" s="909"/>
      <c r="Y2456" s="933">
        <v>8.33</v>
      </c>
      <c r="Z2456" s="909"/>
      <c r="AA2456" s="909"/>
      <c r="AB2456" s="909"/>
      <c r="AC2456" s="909"/>
      <c r="AD2456" s="909"/>
      <c r="AE2456" s="909"/>
      <c r="AF2456" s="909"/>
      <c r="AG2456" s="909"/>
      <c r="BB2456" s="784"/>
      <c r="BC2456" s="785"/>
      <c r="BD2456" s="900"/>
      <c r="BE2456" s="797"/>
    </row>
    <row r="2457" spans="1:57" s="65" customFormat="1" ht="15" hidden="1" customHeight="1" outlineLevel="1" x14ac:dyDescent="0.25">
      <c r="A2457" s="718"/>
      <c r="B2457" s="177"/>
      <c r="C2457" s="455"/>
      <c r="D2457" s="2806"/>
      <c r="E2457" s="2856"/>
      <c r="F2457" s="2908" t="str">
        <f>$E$1438</f>
        <v>ASHP SEER 16 MF ER replace ASHP: HVAC ER2_CompE</v>
      </c>
      <c r="G2457" s="2909"/>
      <c r="H2457" s="2909"/>
      <c r="I2457" s="2910"/>
      <c r="J2457" s="1657" t="str">
        <f>$C$1438</f>
        <v>352851_2019_12_</v>
      </c>
      <c r="K2457" s="1663">
        <v>14</v>
      </c>
      <c r="L2457" s="1124"/>
      <c r="M2457" s="2915"/>
      <c r="N2457" s="177"/>
      <c r="O2457" s="332"/>
      <c r="P2457" s="1116"/>
      <c r="Q2457" s="1116"/>
      <c r="R2457" s="1116"/>
      <c r="S2457" s="1103"/>
      <c r="T2457" s="1639"/>
      <c r="U2457" s="177"/>
      <c r="V2457" s="2866"/>
      <c r="W2457" s="909"/>
      <c r="X2457" s="909"/>
      <c r="Y2457" s="933">
        <v>14</v>
      </c>
      <c r="Z2457" s="909"/>
      <c r="AA2457" s="909"/>
      <c r="AB2457" s="909"/>
      <c r="AC2457" s="909"/>
      <c r="AD2457" s="909"/>
      <c r="AE2457" s="909"/>
      <c r="AF2457" s="909"/>
      <c r="AG2457" s="909"/>
      <c r="BB2457" s="784"/>
      <c r="BC2457" s="785"/>
      <c r="BD2457" s="900"/>
      <c r="BE2457" s="797"/>
    </row>
    <row r="2458" spans="1:57" s="65" customFormat="1" ht="15" hidden="1" customHeight="1" outlineLevel="1" x14ac:dyDescent="0.25">
      <c r="A2458" s="718"/>
      <c r="B2458" s="177"/>
      <c r="C2458" s="455"/>
      <c r="D2458" s="2806"/>
      <c r="E2458" s="2856"/>
      <c r="F2458" s="2908" t="str">
        <f>$E$1440</f>
        <v>ASHP - SEER 16 - replace on fail MF</v>
      </c>
      <c r="G2458" s="2909"/>
      <c r="H2458" s="2909"/>
      <c r="I2458" s="2910"/>
      <c r="J2458" s="1657" t="str">
        <f>$C$1440</f>
        <v>352900_2019_12_</v>
      </c>
      <c r="K2458" s="1663">
        <v>14</v>
      </c>
      <c r="L2458" s="1124"/>
      <c r="M2458" s="2915"/>
      <c r="N2458" s="177"/>
      <c r="O2458" s="332"/>
      <c r="P2458" s="1116"/>
      <c r="Q2458" s="1116"/>
      <c r="R2458" s="1116"/>
      <c r="S2458" s="1103"/>
      <c r="T2458" s="1639"/>
      <c r="U2458" s="177"/>
      <c r="V2458" s="2866"/>
      <c r="W2458" s="909">
        <v>14</v>
      </c>
      <c r="X2458" s="909">
        <v>14</v>
      </c>
      <c r="Y2458" s="926">
        <v>14</v>
      </c>
      <c r="Z2458" s="909"/>
      <c r="AA2458" s="909"/>
      <c r="AB2458" s="909"/>
      <c r="AC2458" s="909"/>
      <c r="AD2458" s="909"/>
      <c r="AE2458" s="909"/>
      <c r="AF2458" s="909"/>
      <c r="AG2458" s="909"/>
      <c r="BB2458" s="784"/>
      <c r="BC2458" s="785"/>
      <c r="BD2458" s="900"/>
      <c r="BE2458" s="797"/>
    </row>
    <row r="2459" spans="1:57" s="65" customFormat="1" ht="15" hidden="1" customHeight="1" outlineLevel="1" x14ac:dyDescent="0.25">
      <c r="A2459" s="718"/>
      <c r="B2459" s="177"/>
      <c r="C2459" s="455"/>
      <c r="D2459" s="2806"/>
      <c r="E2459" s="2856"/>
      <c r="F2459" s="2908" t="str">
        <f>$E$1442</f>
        <v>ASHP - SEER 16 - replace on fail MF_CompE</v>
      </c>
      <c r="G2459" s="2909"/>
      <c r="H2459" s="2909"/>
      <c r="I2459" s="2910"/>
      <c r="J2459" s="1657" t="str">
        <f>$C$1442</f>
        <v>352901_2019_12_</v>
      </c>
      <c r="K2459" s="1663">
        <v>14</v>
      </c>
      <c r="L2459" s="1124"/>
      <c r="M2459" s="2915"/>
      <c r="N2459" s="177"/>
      <c r="O2459" s="332"/>
      <c r="P2459" s="1116"/>
      <c r="Q2459" s="1116"/>
      <c r="R2459" s="1116"/>
      <c r="S2459" s="1103"/>
      <c r="T2459" s="1639"/>
      <c r="U2459" s="177"/>
      <c r="V2459" s="2866"/>
      <c r="W2459" s="909"/>
      <c r="X2459" s="909"/>
      <c r="Y2459" s="933">
        <v>14</v>
      </c>
      <c r="Z2459" s="909"/>
      <c r="AA2459" s="909"/>
      <c r="AB2459" s="909"/>
      <c r="AC2459" s="909"/>
      <c r="AD2459" s="909"/>
      <c r="AE2459" s="909"/>
      <c r="AF2459" s="909"/>
      <c r="AG2459" s="909"/>
      <c r="BB2459" s="784"/>
      <c r="BC2459" s="785"/>
      <c r="BD2459" s="900"/>
      <c r="BE2459" s="797"/>
    </row>
    <row r="2460" spans="1:57" s="65" customFormat="1" ht="15" hidden="1" customHeight="1" outlineLevel="1" x14ac:dyDescent="0.25">
      <c r="A2460" s="718"/>
      <c r="B2460" s="177"/>
      <c r="C2460" s="455"/>
      <c r="D2460" s="2806"/>
      <c r="E2460" s="2856"/>
      <c r="F2460" s="2908" t="str">
        <f>$E$1444</f>
        <v>ASHP - SEER 16 - replace electric furnace / CAC MF</v>
      </c>
      <c r="G2460" s="2909"/>
      <c r="H2460" s="2909"/>
      <c r="I2460" s="2910"/>
      <c r="J2460" s="1657" t="str">
        <f>$C$1444</f>
        <v>352950_2019_12_</v>
      </c>
      <c r="K2460" s="1663">
        <v>13</v>
      </c>
      <c r="L2460" s="1124"/>
      <c r="M2460" s="2915"/>
      <c r="N2460" s="177"/>
      <c r="O2460" s="332"/>
      <c r="P2460" s="1116"/>
      <c r="Q2460" s="1116"/>
      <c r="R2460" s="1116"/>
      <c r="S2460" s="1103"/>
      <c r="T2460" s="1639"/>
      <c r="U2460" s="177"/>
      <c r="V2460" s="2866"/>
      <c r="W2460" s="909">
        <v>13</v>
      </c>
      <c r="X2460" s="909">
        <v>13</v>
      </c>
      <c r="Y2460" s="926">
        <v>13</v>
      </c>
      <c r="Z2460" s="909"/>
      <c r="AA2460" s="909"/>
      <c r="AB2460" s="909"/>
      <c r="AC2460" s="909"/>
      <c r="AD2460" s="909"/>
      <c r="AE2460" s="909"/>
      <c r="AF2460" s="909"/>
      <c r="AG2460" s="909"/>
      <c r="BB2460" s="784"/>
      <c r="BC2460" s="785"/>
      <c r="BD2460" s="900"/>
      <c r="BE2460" s="797"/>
    </row>
    <row r="2461" spans="1:57" s="65" customFormat="1" ht="15" hidden="1" customHeight="1" outlineLevel="1" x14ac:dyDescent="0.25">
      <c r="A2461" s="718"/>
      <c r="B2461" s="177"/>
      <c r="C2461" s="455"/>
      <c r="D2461" s="2806"/>
      <c r="E2461" s="2856"/>
      <c r="F2461" s="2908" t="str">
        <f>$E$1446</f>
        <v>ASHP - SEER 16 - replace electric furnace / CAC MF_CompE</v>
      </c>
      <c r="G2461" s="2909"/>
      <c r="H2461" s="2909"/>
      <c r="I2461" s="2910"/>
      <c r="J2461" s="1657" t="str">
        <f>$C$1446</f>
        <v>352951_2019_12_</v>
      </c>
      <c r="K2461" s="1663">
        <v>13</v>
      </c>
      <c r="L2461" s="1124"/>
      <c r="M2461" s="2915"/>
      <c r="N2461" s="177"/>
      <c r="O2461" s="332"/>
      <c r="P2461" s="1116"/>
      <c r="Q2461" s="1116"/>
      <c r="R2461" s="1116"/>
      <c r="S2461" s="1103"/>
      <c r="T2461" s="1639"/>
      <c r="U2461" s="177"/>
      <c r="V2461" s="2866"/>
      <c r="W2461" s="909"/>
      <c r="X2461" s="909"/>
      <c r="Y2461" s="933">
        <v>13</v>
      </c>
      <c r="Z2461" s="909"/>
      <c r="AA2461" s="909"/>
      <c r="AB2461" s="909"/>
      <c r="AC2461" s="909"/>
      <c r="AD2461" s="909"/>
      <c r="AE2461" s="909"/>
      <c r="AF2461" s="909"/>
      <c r="AG2461" s="909"/>
      <c r="BB2461" s="784"/>
      <c r="BC2461" s="785"/>
      <c r="BD2461" s="900"/>
      <c r="BE2461" s="797"/>
    </row>
    <row r="2462" spans="1:57" s="65" customFormat="1" ht="15" hidden="1" customHeight="1" outlineLevel="1" x14ac:dyDescent="0.25">
      <c r="A2462" s="718"/>
      <c r="B2462" s="177"/>
      <c r="C2462" s="455"/>
      <c r="D2462" s="2806"/>
      <c r="E2462" s="2856"/>
      <c r="F2462" s="2908" t="str">
        <f>$E$1448</f>
        <v>ASHP - SEER 16 - replace electric furnace / CAC - early replacement MF ER1</v>
      </c>
      <c r="G2462" s="2909"/>
      <c r="H2462" s="2909"/>
      <c r="I2462" s="2910"/>
      <c r="J2462" s="1657" t="str">
        <f>$C$1448</f>
        <v>353000_2019_12_</v>
      </c>
      <c r="K2462" s="1663">
        <v>8.33</v>
      </c>
      <c r="L2462" s="1124"/>
      <c r="M2462" s="2915"/>
      <c r="N2462" s="177"/>
      <c r="O2462" s="332"/>
      <c r="P2462" s="1116"/>
      <c r="Q2462" s="1116"/>
      <c r="R2462" s="1116"/>
      <c r="S2462" s="1103"/>
      <c r="T2462" s="1639"/>
      <c r="U2462" s="177"/>
      <c r="V2462" s="2866"/>
      <c r="W2462" s="909">
        <v>6.8</v>
      </c>
      <c r="X2462" s="908">
        <v>8.33</v>
      </c>
      <c r="Y2462" s="926">
        <v>8.33</v>
      </c>
      <c r="Z2462" s="909"/>
      <c r="AA2462" s="909"/>
      <c r="AB2462" s="909"/>
      <c r="AC2462" s="909"/>
      <c r="AD2462" s="909"/>
      <c r="AE2462" s="909"/>
      <c r="AF2462" s="909"/>
      <c r="AG2462" s="909"/>
      <c r="BB2462" s="784"/>
      <c r="BC2462" s="785"/>
      <c r="BD2462" s="900"/>
      <c r="BE2462" s="797"/>
    </row>
    <row r="2463" spans="1:57" s="65" customFormat="1" ht="15" hidden="1" customHeight="1" outlineLevel="1" x14ac:dyDescent="0.25">
      <c r="A2463" s="718"/>
      <c r="B2463" s="177"/>
      <c r="C2463" s="455"/>
      <c r="D2463" s="2806"/>
      <c r="E2463" s="2856"/>
      <c r="F2463" s="2908" t="str">
        <f>$E$1450</f>
        <v>ASHP - SEER 16 - replace electric furnace / CAC - early replacement MF ER2</v>
      </c>
      <c r="G2463" s="2909"/>
      <c r="H2463" s="2909"/>
      <c r="I2463" s="2910"/>
      <c r="J2463" s="1657" t="str">
        <f>$C$1450</f>
        <v>353000_2019_12_</v>
      </c>
      <c r="K2463" s="1663">
        <v>13</v>
      </c>
      <c r="L2463" s="1124"/>
      <c r="M2463" s="2915"/>
      <c r="N2463" s="177"/>
      <c r="O2463" s="332"/>
      <c r="P2463" s="1116"/>
      <c r="Q2463" s="1116"/>
      <c r="R2463" s="1116"/>
      <c r="S2463" s="1103"/>
      <c r="T2463" s="1639"/>
      <c r="U2463" s="177"/>
      <c r="V2463" s="2866"/>
      <c r="W2463" s="909">
        <v>13</v>
      </c>
      <c r="X2463" s="909">
        <v>13</v>
      </c>
      <c r="Y2463" s="926">
        <v>13</v>
      </c>
      <c r="Z2463" s="909"/>
      <c r="AA2463" s="909"/>
      <c r="AB2463" s="909"/>
      <c r="AC2463" s="909"/>
      <c r="AD2463" s="909"/>
      <c r="AE2463" s="909"/>
      <c r="AF2463" s="909"/>
      <c r="AG2463" s="909"/>
      <c r="BB2463" s="784"/>
      <c r="BC2463" s="785"/>
      <c r="BD2463" s="900"/>
      <c r="BE2463" s="797"/>
    </row>
    <row r="2464" spans="1:57" s="65" customFormat="1" ht="15" hidden="1" customHeight="1" outlineLevel="1" x14ac:dyDescent="0.25">
      <c r="A2464" s="718"/>
      <c r="B2464" s="177"/>
      <c r="C2464" s="455"/>
      <c r="D2464" s="2806"/>
      <c r="E2464" s="2856"/>
      <c r="F2464" s="2908" t="str">
        <f>$E$1452</f>
        <v>ASHP - SEER 16 - replace electric furnace / CAC - early replacement MF ER1_CompE</v>
      </c>
      <c r="G2464" s="2909"/>
      <c r="H2464" s="2909"/>
      <c r="I2464" s="2910"/>
      <c r="J2464" s="1657" t="str">
        <f>$C$1452</f>
        <v>353001_2019_12_</v>
      </c>
      <c r="K2464" s="1663">
        <v>8.33</v>
      </c>
      <c r="L2464" s="1124"/>
      <c r="M2464" s="2915"/>
      <c r="N2464" s="177"/>
      <c r="O2464" s="332"/>
      <c r="P2464" s="1116"/>
      <c r="Q2464" s="1116"/>
      <c r="R2464" s="1116"/>
      <c r="S2464" s="1103"/>
      <c r="T2464" s="1639"/>
      <c r="U2464" s="177"/>
      <c r="V2464" s="2866"/>
      <c r="W2464" s="909"/>
      <c r="X2464" s="909"/>
      <c r="Y2464" s="933">
        <v>8.33</v>
      </c>
      <c r="Z2464" s="909"/>
      <c r="AA2464" s="909"/>
      <c r="AB2464" s="909"/>
      <c r="AC2464" s="909"/>
      <c r="AD2464" s="909"/>
      <c r="AE2464" s="909"/>
      <c r="AF2464" s="909"/>
      <c r="AG2464" s="909"/>
      <c r="BB2464" s="784"/>
      <c r="BC2464" s="785"/>
      <c r="BD2464" s="900"/>
      <c r="BE2464" s="797"/>
    </row>
    <row r="2465" spans="1:57" s="65" customFormat="1" ht="15" hidden="1" customHeight="1" outlineLevel="1" x14ac:dyDescent="0.25">
      <c r="A2465" s="718"/>
      <c r="B2465" s="177"/>
      <c r="C2465" s="455"/>
      <c r="D2465" s="2806"/>
      <c r="E2465" s="2856"/>
      <c r="F2465" s="2908" t="str">
        <f>$E$1454</f>
        <v>ASHP - SEER 16 - replace electric furnace / CAC - early replacement MF ER2_CompE</v>
      </c>
      <c r="G2465" s="2909"/>
      <c r="H2465" s="2909"/>
      <c r="I2465" s="2910"/>
      <c r="J2465" s="1657" t="str">
        <f>$C$1454</f>
        <v>353001_2019_12_</v>
      </c>
      <c r="K2465" s="1663">
        <v>13</v>
      </c>
      <c r="L2465" s="1124"/>
      <c r="M2465" s="2915"/>
      <c r="N2465" s="177"/>
      <c r="O2465" s="332"/>
      <c r="P2465" s="1116"/>
      <c r="Q2465" s="1116"/>
      <c r="R2465" s="1116"/>
      <c r="S2465" s="1103"/>
      <c r="T2465" s="1639"/>
      <c r="U2465" s="177"/>
      <c r="V2465" s="2866"/>
      <c r="W2465" s="909"/>
      <c r="X2465" s="909"/>
      <c r="Y2465" s="933">
        <v>13</v>
      </c>
      <c r="Z2465" s="909"/>
      <c r="AA2465" s="909"/>
      <c r="AB2465" s="909"/>
      <c r="AC2465" s="909"/>
      <c r="AD2465" s="909"/>
      <c r="AE2465" s="909"/>
      <c r="AF2465" s="909"/>
      <c r="AG2465" s="909"/>
      <c r="BB2465" s="784"/>
      <c r="BC2465" s="785"/>
      <c r="BD2465" s="900"/>
      <c r="BE2465" s="797"/>
    </row>
    <row r="2466" spans="1:57" s="65" customFormat="1" ht="15" hidden="1" customHeight="1" outlineLevel="1" x14ac:dyDescent="0.25">
      <c r="A2466" s="718"/>
      <c r="B2466" s="177"/>
      <c r="C2466" s="455"/>
      <c r="D2466" s="2806"/>
      <c r="E2466" s="2856"/>
      <c r="F2466" s="2911" t="str">
        <f>$E$1456</f>
        <v xml:space="preserve">ASHP SEER 15 - replace on Fail MF </v>
      </c>
      <c r="G2466" s="2912"/>
      <c r="H2466" s="2912"/>
      <c r="I2466" s="2913"/>
      <c r="J2466" s="1658" t="str">
        <f>$C$1456</f>
        <v>353050_2019_12_</v>
      </c>
      <c r="K2466" s="1663">
        <v>14</v>
      </c>
      <c r="L2466" s="1124"/>
      <c r="M2466" s="2915"/>
      <c r="N2466" s="177"/>
      <c r="O2466" s="332"/>
      <c r="P2466" s="1116"/>
      <c r="Q2466" s="1116"/>
      <c r="R2466" s="1116"/>
      <c r="S2466" s="1103"/>
      <c r="T2466" s="1639"/>
      <c r="U2466" s="177"/>
      <c r="V2466" s="2866"/>
      <c r="W2466" s="909">
        <v>14</v>
      </c>
      <c r="X2466" s="909">
        <v>14</v>
      </c>
      <c r="Y2466" s="926">
        <v>14</v>
      </c>
      <c r="Z2466" s="909"/>
      <c r="AA2466" s="909"/>
      <c r="AB2466" s="909"/>
      <c r="AC2466" s="909"/>
      <c r="AD2466" s="909"/>
      <c r="AE2466" s="909"/>
      <c r="AF2466" s="909"/>
      <c r="AG2466" s="909"/>
      <c r="BB2466" s="784"/>
      <c r="BC2466" s="785"/>
      <c r="BD2466" s="900"/>
      <c r="BE2466" s="797"/>
    </row>
    <row r="2467" spans="1:57" s="65" customFormat="1" ht="15" hidden="1" customHeight="1" outlineLevel="1" x14ac:dyDescent="0.25">
      <c r="A2467" s="718"/>
      <c r="B2467" s="177"/>
      <c r="C2467" s="455"/>
      <c r="D2467" s="2806"/>
      <c r="E2467" s="2856"/>
      <c r="F2467" s="2911" t="str">
        <f>$E$1458</f>
        <v>ASHP SEER 15 - replace on Fail MF _CompE</v>
      </c>
      <c r="G2467" s="2912"/>
      <c r="H2467" s="2912"/>
      <c r="I2467" s="2913"/>
      <c r="J2467" s="1658" t="str">
        <f>$C$1458</f>
        <v>353051_2019_12_</v>
      </c>
      <c r="K2467" s="1663">
        <v>14</v>
      </c>
      <c r="L2467" s="1124"/>
      <c r="M2467" s="2915"/>
      <c r="N2467" s="177"/>
      <c r="O2467" s="332"/>
      <c r="P2467" s="1116"/>
      <c r="Q2467" s="1116"/>
      <c r="R2467" s="1116"/>
      <c r="S2467" s="1103"/>
      <c r="T2467" s="1639"/>
      <c r="U2467" s="177"/>
      <c r="V2467" s="2866"/>
      <c r="W2467" s="909"/>
      <c r="X2467" s="909"/>
      <c r="Y2467" s="933">
        <v>14</v>
      </c>
      <c r="Z2467" s="909"/>
      <c r="AA2467" s="909"/>
      <c r="AB2467" s="909"/>
      <c r="AC2467" s="909"/>
      <c r="AD2467" s="909"/>
      <c r="AE2467" s="909"/>
      <c r="AF2467" s="909"/>
      <c r="AG2467" s="909"/>
      <c r="BB2467" s="784"/>
      <c r="BC2467" s="785"/>
      <c r="BD2467" s="900"/>
      <c r="BE2467" s="797"/>
    </row>
    <row r="2468" spans="1:57" s="65" customFormat="1" ht="15" hidden="1" customHeight="1" outlineLevel="1" x14ac:dyDescent="0.25">
      <c r="A2468" s="718"/>
      <c r="B2468" s="177"/>
      <c r="C2468" s="455"/>
      <c r="D2468" s="2806"/>
      <c r="E2468" s="2856"/>
      <c r="F2468" s="2908" t="str">
        <f>$E$1460</f>
        <v>ASHP - SEER 17 - replace electric furnace / CAC SF</v>
      </c>
      <c r="G2468" s="2909"/>
      <c r="H2468" s="2909"/>
      <c r="I2468" s="2910"/>
      <c r="J2468" s="1657" t="str">
        <f>$C$1460</f>
        <v>353100_2019_12_</v>
      </c>
      <c r="K2468" s="1663">
        <v>13</v>
      </c>
      <c r="L2468" s="1124"/>
      <c r="M2468" s="2915"/>
      <c r="N2468" s="177"/>
      <c r="O2468" s="332"/>
      <c r="P2468" s="1116"/>
      <c r="Q2468" s="1116"/>
      <c r="R2468" s="1116"/>
      <c r="S2468" s="1103"/>
      <c r="T2468" s="1639"/>
      <c r="U2468" s="177"/>
      <c r="V2468" s="2866"/>
      <c r="W2468" s="909">
        <v>6.8</v>
      </c>
      <c r="X2468" s="908">
        <v>8.33</v>
      </c>
      <c r="Y2468" s="933">
        <v>13</v>
      </c>
      <c r="Z2468" s="909"/>
      <c r="AA2468" s="909"/>
      <c r="AB2468" s="909"/>
      <c r="AC2468" s="909"/>
      <c r="AD2468" s="909"/>
      <c r="AE2468" s="909"/>
      <c r="AF2468" s="909"/>
      <c r="AG2468" s="909"/>
      <c r="BB2468" s="784"/>
      <c r="BC2468" s="785"/>
      <c r="BD2468" s="900"/>
      <c r="BE2468" s="797"/>
    </row>
    <row r="2469" spans="1:57" s="65" customFormat="1" ht="15" hidden="1" customHeight="1" outlineLevel="1" x14ac:dyDescent="0.25">
      <c r="A2469" s="718"/>
      <c r="B2469" s="177"/>
      <c r="C2469" s="455"/>
      <c r="D2469" s="2806"/>
      <c r="E2469" s="2856"/>
      <c r="F2469" s="2908" t="str">
        <f>$E$1462</f>
        <v>ASHP - SEER 17 - replace electric furnace / CAC MF</v>
      </c>
      <c r="G2469" s="2909"/>
      <c r="H2469" s="2909"/>
      <c r="I2469" s="2910"/>
      <c r="J2469" s="1657" t="str">
        <f>$C$1462</f>
        <v>353150_2019_12_</v>
      </c>
      <c r="K2469" s="1663">
        <v>13</v>
      </c>
      <c r="L2469" s="1124"/>
      <c r="M2469" s="2915"/>
      <c r="N2469" s="177"/>
      <c r="O2469" s="332"/>
      <c r="P2469" s="1116"/>
      <c r="Q2469" s="1116"/>
      <c r="R2469" s="1116"/>
      <c r="S2469" s="1103"/>
      <c r="T2469" s="1639"/>
      <c r="U2469" s="177"/>
      <c r="V2469" s="2866"/>
      <c r="W2469" s="909">
        <v>6.8</v>
      </c>
      <c r="X2469" s="908">
        <v>8.33</v>
      </c>
      <c r="Y2469" s="933">
        <v>13</v>
      </c>
      <c r="Z2469" s="909"/>
      <c r="AA2469" s="909"/>
      <c r="AB2469" s="909"/>
      <c r="AC2469" s="909"/>
      <c r="AD2469" s="909"/>
      <c r="AE2469" s="909"/>
      <c r="AF2469" s="909"/>
      <c r="AG2469" s="909"/>
      <c r="BB2469" s="784"/>
      <c r="BC2469" s="785"/>
      <c r="BD2469" s="900"/>
      <c r="BE2469" s="797"/>
    </row>
    <row r="2470" spans="1:57" s="65" customFormat="1" ht="15" hidden="1" customHeight="1" outlineLevel="1" x14ac:dyDescent="0.25">
      <c r="A2470" s="718"/>
      <c r="B2470" s="177"/>
      <c r="C2470" s="455"/>
      <c r="D2470" s="2806"/>
      <c r="E2470" s="2856"/>
      <c r="F2470" s="2908" t="str">
        <f>$E$1464</f>
        <v>ASHP - SEER 17 - replace electric furnace / CAC MF_CompE</v>
      </c>
      <c r="G2470" s="2909"/>
      <c r="H2470" s="2909"/>
      <c r="I2470" s="2910"/>
      <c r="J2470" s="1657" t="str">
        <f>$C$1464</f>
        <v>353151_2019_12_</v>
      </c>
      <c r="K2470" s="1663">
        <v>13</v>
      </c>
      <c r="L2470" s="1124"/>
      <c r="M2470" s="2915"/>
      <c r="N2470" s="177"/>
      <c r="O2470" s="332"/>
      <c r="P2470" s="1116"/>
      <c r="Q2470" s="1116"/>
      <c r="R2470" s="1116"/>
      <c r="S2470" s="1103"/>
      <c r="T2470" s="1639"/>
      <c r="U2470" s="177"/>
      <c r="V2470" s="2866"/>
      <c r="W2470" s="909"/>
      <c r="X2470" s="908"/>
      <c r="Y2470" s="933">
        <v>13</v>
      </c>
      <c r="Z2470" s="909"/>
      <c r="AA2470" s="909"/>
      <c r="AB2470" s="909"/>
      <c r="AC2470" s="909"/>
      <c r="AD2470" s="909"/>
      <c r="AE2470" s="909"/>
      <c r="AF2470" s="909"/>
      <c r="AG2470" s="909"/>
      <c r="BB2470" s="784"/>
      <c r="BC2470" s="785"/>
      <c r="BD2470" s="900"/>
      <c r="BE2470" s="797"/>
    </row>
    <row r="2471" spans="1:57" s="65" customFormat="1" ht="15" hidden="1" customHeight="1" outlineLevel="1" x14ac:dyDescent="0.25">
      <c r="A2471" s="718"/>
      <c r="B2471" s="177"/>
      <c r="C2471" s="455"/>
      <c r="D2471" s="2806"/>
      <c r="E2471" s="2856"/>
      <c r="F2471" s="2908" t="str">
        <f>$E$1466</f>
        <v>ASHP - SEER 18 - replace electric furnace / CAC SF</v>
      </c>
      <c r="G2471" s="2909"/>
      <c r="H2471" s="2909"/>
      <c r="I2471" s="2910"/>
      <c r="J2471" s="1657" t="str">
        <f>$C$1466</f>
        <v>353200_2019_12_</v>
      </c>
      <c r="K2471" s="1663">
        <v>13</v>
      </c>
      <c r="L2471" s="1124"/>
      <c r="M2471" s="2915"/>
      <c r="N2471" s="177"/>
      <c r="O2471" s="332"/>
      <c r="P2471" s="1116"/>
      <c r="Q2471" s="1116"/>
      <c r="R2471" s="1116"/>
      <c r="S2471" s="1103"/>
      <c r="T2471" s="1639"/>
      <c r="U2471" s="177"/>
      <c r="V2471" s="2866"/>
      <c r="W2471" s="909">
        <v>6.8</v>
      </c>
      <c r="X2471" s="908">
        <v>8.33</v>
      </c>
      <c r="Y2471" s="933">
        <v>13</v>
      </c>
      <c r="Z2471" s="909"/>
      <c r="AA2471" s="909"/>
      <c r="AB2471" s="909"/>
      <c r="AC2471" s="909"/>
      <c r="AD2471" s="909"/>
      <c r="AE2471" s="909"/>
      <c r="AF2471" s="909"/>
      <c r="AG2471" s="909"/>
      <c r="BB2471" s="784"/>
      <c r="BC2471" s="785"/>
      <c r="BD2471" s="900"/>
      <c r="BE2471" s="797"/>
    </row>
    <row r="2472" spans="1:57" s="65" customFormat="1" ht="15" hidden="1" customHeight="1" outlineLevel="1" x14ac:dyDescent="0.25">
      <c r="A2472" s="718"/>
      <c r="B2472" s="177"/>
      <c r="C2472" s="455"/>
      <c r="D2472" s="2806"/>
      <c r="E2472" s="2856"/>
      <c r="F2472" s="2908" t="str">
        <f>$E$1468</f>
        <v>ASHP - SEER 18 - replace electric furnace / CAC MF</v>
      </c>
      <c r="G2472" s="2909"/>
      <c r="H2472" s="2909"/>
      <c r="I2472" s="2910"/>
      <c r="J2472" s="1657" t="str">
        <f>$C$1468</f>
        <v>353250_2019_12_</v>
      </c>
      <c r="K2472" s="1663">
        <v>13</v>
      </c>
      <c r="L2472" s="1124"/>
      <c r="M2472" s="2915"/>
      <c r="N2472" s="177"/>
      <c r="O2472" s="332"/>
      <c r="P2472" s="1116"/>
      <c r="Q2472" s="1116"/>
      <c r="R2472" s="1116"/>
      <c r="S2472" s="1103"/>
      <c r="T2472" s="1639"/>
      <c r="U2472" s="177"/>
      <c r="V2472" s="2866"/>
      <c r="W2472" s="909">
        <v>6.8</v>
      </c>
      <c r="X2472" s="908">
        <v>8.33</v>
      </c>
      <c r="Y2472" s="933">
        <v>13</v>
      </c>
      <c r="Z2472" s="909"/>
      <c r="AA2472" s="909"/>
      <c r="AB2472" s="909"/>
      <c r="AC2472" s="909"/>
      <c r="AD2472" s="909"/>
      <c r="AE2472" s="909"/>
      <c r="AF2472" s="909"/>
      <c r="AG2472" s="909"/>
      <c r="BB2472" s="784"/>
      <c r="BC2472" s="785"/>
      <c r="BD2472" s="900"/>
      <c r="BE2472" s="797"/>
    </row>
    <row r="2473" spans="1:57" s="65" customFormat="1" ht="15" hidden="1" customHeight="1" outlineLevel="1" x14ac:dyDescent="0.25">
      <c r="A2473" s="718"/>
      <c r="B2473" s="177"/>
      <c r="C2473" s="455"/>
      <c r="D2473" s="2806"/>
      <c r="E2473" s="2856"/>
      <c r="F2473" s="2908" t="str">
        <f>$E$1470</f>
        <v>ASHP - SEER 18 - replace electric furnace / CAC MF_CompE</v>
      </c>
      <c r="G2473" s="2909"/>
      <c r="H2473" s="2909"/>
      <c r="I2473" s="2910"/>
      <c r="J2473" s="1657" t="str">
        <f>$C$1470</f>
        <v>353251_2019_12_</v>
      </c>
      <c r="K2473" s="1663">
        <v>13</v>
      </c>
      <c r="L2473" s="1124"/>
      <c r="M2473" s="2915"/>
      <c r="N2473" s="177"/>
      <c r="O2473" s="332"/>
      <c r="P2473" s="1116"/>
      <c r="Q2473" s="1116"/>
      <c r="R2473" s="1116"/>
      <c r="S2473" s="1103"/>
      <c r="T2473" s="1639"/>
      <c r="U2473" s="177"/>
      <c r="V2473" s="2866"/>
      <c r="W2473" s="909"/>
      <c r="X2473" s="908"/>
      <c r="Y2473" s="933">
        <v>13</v>
      </c>
      <c r="Z2473" s="909"/>
      <c r="AA2473" s="909"/>
      <c r="AB2473" s="909"/>
      <c r="AC2473" s="909"/>
      <c r="AD2473" s="909"/>
      <c r="AE2473" s="909"/>
      <c r="AF2473" s="909"/>
      <c r="AG2473" s="909"/>
      <c r="BB2473" s="784"/>
      <c r="BC2473" s="785"/>
      <c r="BD2473" s="900"/>
      <c r="BE2473" s="797"/>
    </row>
    <row r="2474" spans="1:57" s="65" customFormat="1" ht="15" hidden="1" customHeight="1" outlineLevel="1" x14ac:dyDescent="0.25">
      <c r="A2474" s="718"/>
      <c r="B2474" s="177"/>
      <c r="C2474" s="455"/>
      <c r="D2474" s="2806"/>
      <c r="E2474" s="2856"/>
      <c r="F2474" s="2908" t="str">
        <f>$E$1472</f>
        <v>ASHP - SEER 19 - replace electric furnace / CAC SF</v>
      </c>
      <c r="G2474" s="2909"/>
      <c r="H2474" s="2909"/>
      <c r="I2474" s="2910"/>
      <c r="J2474" s="1657" t="str">
        <f>$C$1472</f>
        <v>353300_2019_12_</v>
      </c>
      <c r="K2474" s="1663">
        <v>13</v>
      </c>
      <c r="L2474" s="1124"/>
      <c r="M2474" s="2915"/>
      <c r="N2474" s="177"/>
      <c r="O2474" s="332"/>
      <c r="P2474" s="1116"/>
      <c r="Q2474" s="1116"/>
      <c r="R2474" s="1116"/>
      <c r="S2474" s="1103"/>
      <c r="T2474" s="1639"/>
      <c r="U2474" s="177"/>
      <c r="V2474" s="2866"/>
      <c r="W2474" s="909">
        <v>6.8</v>
      </c>
      <c r="X2474" s="908">
        <v>8.33</v>
      </c>
      <c r="Y2474" s="933">
        <v>13</v>
      </c>
      <c r="Z2474" s="909"/>
      <c r="AA2474" s="909"/>
      <c r="AB2474" s="909"/>
      <c r="AC2474" s="909"/>
      <c r="AD2474" s="909"/>
      <c r="AE2474" s="909"/>
      <c r="AF2474" s="909"/>
      <c r="AG2474" s="909"/>
      <c r="BB2474" s="784"/>
      <c r="BC2474" s="785"/>
      <c r="BD2474" s="900"/>
      <c r="BE2474" s="797"/>
    </row>
    <row r="2475" spans="1:57" s="65" customFormat="1" ht="15" hidden="1" customHeight="1" outlineLevel="1" x14ac:dyDescent="0.25">
      <c r="A2475" s="718"/>
      <c r="B2475" s="177"/>
      <c r="C2475" s="455"/>
      <c r="D2475" s="2806"/>
      <c r="E2475" s="2856"/>
      <c r="F2475" s="2908" t="str">
        <f>$E$1474</f>
        <v>ASHP - SEER 19 - replace electric furnace / CAC MF</v>
      </c>
      <c r="G2475" s="2909"/>
      <c r="H2475" s="2909"/>
      <c r="I2475" s="2910"/>
      <c r="J2475" s="1657" t="str">
        <f>$C$1474</f>
        <v>353350_2019_12_</v>
      </c>
      <c r="K2475" s="1663">
        <v>13</v>
      </c>
      <c r="L2475" s="1124"/>
      <c r="M2475" s="2915"/>
      <c r="N2475" s="177"/>
      <c r="O2475" s="332"/>
      <c r="P2475" s="1116"/>
      <c r="Q2475" s="1116"/>
      <c r="R2475" s="1116"/>
      <c r="S2475" s="1103"/>
      <c r="T2475" s="1639"/>
      <c r="U2475" s="177"/>
      <c r="V2475" s="2866"/>
      <c r="W2475" s="909">
        <v>6.8</v>
      </c>
      <c r="X2475" s="908">
        <v>8.33</v>
      </c>
      <c r="Y2475" s="933">
        <v>13</v>
      </c>
      <c r="Z2475" s="909"/>
      <c r="AA2475" s="909"/>
      <c r="AB2475" s="909"/>
      <c r="AC2475" s="909"/>
      <c r="AD2475" s="909"/>
      <c r="AE2475" s="909"/>
      <c r="AF2475" s="909"/>
      <c r="AG2475" s="909"/>
      <c r="BB2475" s="784"/>
      <c r="BC2475" s="785"/>
      <c r="BD2475" s="900"/>
      <c r="BE2475" s="797"/>
    </row>
    <row r="2476" spans="1:57" s="65" customFormat="1" ht="15" hidden="1" customHeight="1" outlineLevel="1" x14ac:dyDescent="0.25">
      <c r="A2476" s="718"/>
      <c r="B2476" s="177"/>
      <c r="C2476" s="455"/>
      <c r="D2476" s="2806"/>
      <c r="E2476" s="2856"/>
      <c r="F2476" s="2908" t="str">
        <f>$E$1476</f>
        <v>ASHP - SEER 19 - replace electric furnace / CAC MF_CompE</v>
      </c>
      <c r="G2476" s="2909"/>
      <c r="H2476" s="2909"/>
      <c r="I2476" s="2910"/>
      <c r="J2476" s="1657" t="str">
        <f>$C$1476</f>
        <v>353351_2019_12_</v>
      </c>
      <c r="K2476" s="1663">
        <v>13</v>
      </c>
      <c r="L2476" s="1124"/>
      <c r="M2476" s="2915"/>
      <c r="N2476" s="177"/>
      <c r="O2476" s="332"/>
      <c r="P2476" s="1116"/>
      <c r="Q2476" s="1116"/>
      <c r="R2476" s="1116"/>
      <c r="S2476" s="1103"/>
      <c r="T2476" s="1639"/>
      <c r="U2476" s="177"/>
      <c r="V2476" s="2866"/>
      <c r="W2476" s="909"/>
      <c r="X2476" s="908"/>
      <c r="Y2476" s="933">
        <v>13</v>
      </c>
      <c r="Z2476" s="909"/>
      <c r="AA2476" s="909"/>
      <c r="AB2476" s="909"/>
      <c r="AC2476" s="909"/>
      <c r="AD2476" s="909"/>
      <c r="AE2476" s="909"/>
      <c r="AF2476" s="909"/>
      <c r="AG2476" s="909"/>
      <c r="BB2476" s="784"/>
      <c r="BC2476" s="785"/>
      <c r="BD2476" s="900"/>
      <c r="BE2476" s="797"/>
    </row>
    <row r="2477" spans="1:57" s="65" customFormat="1" ht="15" hidden="1" customHeight="1" outlineLevel="1" x14ac:dyDescent="0.25">
      <c r="A2477" s="718"/>
      <c r="B2477" s="177"/>
      <c r="C2477" s="455"/>
      <c r="D2477" s="2806"/>
      <c r="E2477" s="2856"/>
      <c r="F2477" s="2908" t="str">
        <f>$E$1478</f>
        <v>ASHP - SEER 20 - replace electric furnace / CAC - early replacement SF ER1</v>
      </c>
      <c r="G2477" s="2909"/>
      <c r="H2477" s="2909"/>
      <c r="I2477" s="2910"/>
      <c r="J2477" s="1657" t="str">
        <f>$C$1478</f>
        <v>353400_2019_12_</v>
      </c>
      <c r="K2477" s="1663">
        <v>8.33</v>
      </c>
      <c r="L2477" s="1124"/>
      <c r="M2477" s="2915"/>
      <c r="N2477" s="177"/>
      <c r="O2477" s="332"/>
      <c r="P2477" s="1116"/>
      <c r="Q2477" s="1116"/>
      <c r="R2477" s="1116"/>
      <c r="S2477" s="1103"/>
      <c r="T2477" s="1639"/>
      <c r="U2477" s="177"/>
      <c r="V2477" s="2866"/>
      <c r="W2477" s="909">
        <v>6.8</v>
      </c>
      <c r="X2477" s="908">
        <v>8.33</v>
      </c>
      <c r="Y2477" s="926">
        <v>8.33</v>
      </c>
      <c r="Z2477" s="909"/>
      <c r="AA2477" s="909"/>
      <c r="AB2477" s="909"/>
      <c r="AC2477" s="909"/>
      <c r="AD2477" s="909"/>
      <c r="AE2477" s="909"/>
      <c r="AF2477" s="909"/>
      <c r="AG2477" s="909"/>
      <c r="BB2477" s="784"/>
      <c r="BC2477" s="785"/>
      <c r="BD2477" s="900"/>
      <c r="BE2477" s="797"/>
    </row>
    <row r="2478" spans="1:57" s="65" customFormat="1" ht="15" hidden="1" customHeight="1" outlineLevel="1" x14ac:dyDescent="0.25">
      <c r="A2478" s="718"/>
      <c r="B2478" s="177"/>
      <c r="C2478" s="455"/>
      <c r="D2478" s="2806"/>
      <c r="E2478" s="2856"/>
      <c r="F2478" s="2908" t="str">
        <f>$E$1480</f>
        <v>ASHP - SEER 20 - replace electric furnace / CAC - early replacement SF ER2</v>
      </c>
      <c r="G2478" s="2909"/>
      <c r="H2478" s="2909"/>
      <c r="I2478" s="2910"/>
      <c r="J2478" s="1657" t="str">
        <f>$C$1480</f>
        <v>353400_2019_12_</v>
      </c>
      <c r="K2478" s="1663">
        <v>13</v>
      </c>
      <c r="L2478" s="1124"/>
      <c r="M2478" s="2915"/>
      <c r="N2478" s="177"/>
      <c r="O2478" s="332"/>
      <c r="P2478" s="1116"/>
      <c r="Q2478" s="1116"/>
      <c r="R2478" s="1116"/>
      <c r="S2478" s="1103"/>
      <c r="T2478" s="1639"/>
      <c r="U2478" s="177"/>
      <c r="V2478" s="2866"/>
      <c r="W2478" s="909">
        <v>13</v>
      </c>
      <c r="X2478" s="909">
        <v>13</v>
      </c>
      <c r="Y2478" s="926">
        <v>13</v>
      </c>
      <c r="Z2478" s="909"/>
      <c r="AA2478" s="909"/>
      <c r="AB2478" s="909"/>
      <c r="AC2478" s="909"/>
      <c r="AD2478" s="909"/>
      <c r="AE2478" s="909"/>
      <c r="AF2478" s="909"/>
      <c r="AG2478" s="909"/>
      <c r="BB2478" s="784"/>
      <c r="BC2478" s="785"/>
      <c r="BD2478" s="900"/>
      <c r="BE2478" s="797"/>
    </row>
    <row r="2479" spans="1:57" s="65" customFormat="1" ht="15" hidden="1" customHeight="1" outlineLevel="1" x14ac:dyDescent="0.25">
      <c r="A2479" s="718"/>
      <c r="B2479" s="177"/>
      <c r="C2479" s="455"/>
      <c r="D2479" s="2806"/>
      <c r="E2479" s="2856"/>
      <c r="F2479" s="2908" t="str">
        <f>$E$1482</f>
        <v>ASHP - SEER 20 - replace electric furnace / CAC SF</v>
      </c>
      <c r="G2479" s="2909"/>
      <c r="H2479" s="2909"/>
      <c r="I2479" s="2910"/>
      <c r="J2479" s="1657" t="str">
        <f>$C$1482</f>
        <v>353450_2019_12_</v>
      </c>
      <c r="K2479" s="1663">
        <v>13</v>
      </c>
      <c r="L2479" s="1124"/>
      <c r="M2479" s="2915"/>
      <c r="N2479" s="177"/>
      <c r="O2479" s="332"/>
      <c r="P2479" s="1116"/>
      <c r="Q2479" s="1116"/>
      <c r="R2479" s="1116"/>
      <c r="S2479" s="1103"/>
      <c r="T2479" s="1639"/>
      <c r="U2479" s="177"/>
      <c r="V2479" s="2866"/>
      <c r="W2479" s="909">
        <v>13</v>
      </c>
      <c r="X2479" s="909">
        <v>13</v>
      </c>
      <c r="Y2479" s="926">
        <v>13</v>
      </c>
      <c r="Z2479" s="909"/>
      <c r="AA2479" s="909"/>
      <c r="AB2479" s="909"/>
      <c r="AC2479" s="909"/>
      <c r="AD2479" s="909"/>
      <c r="AE2479" s="909"/>
      <c r="AF2479" s="909"/>
      <c r="AG2479" s="909"/>
      <c r="BB2479" s="784"/>
      <c r="BC2479" s="785"/>
      <c r="BD2479" s="900"/>
      <c r="BE2479" s="797"/>
    </row>
    <row r="2480" spans="1:57" s="65" customFormat="1" ht="15" hidden="1" customHeight="1" outlineLevel="1" x14ac:dyDescent="0.25">
      <c r="A2480" s="718"/>
      <c r="B2480" s="177"/>
      <c r="C2480" s="455"/>
      <c r="D2480" s="2806"/>
      <c r="E2480" s="2856"/>
      <c r="F2480" s="2908" t="str">
        <f>$E$1484</f>
        <v>ASHP - SEER 20 - replace electric furnace / CAC MF</v>
      </c>
      <c r="G2480" s="2909"/>
      <c r="H2480" s="2909"/>
      <c r="I2480" s="2910"/>
      <c r="J2480" s="1657" t="str">
        <f>$C$1484</f>
        <v>353500_2019_12_</v>
      </c>
      <c r="K2480" s="1663">
        <v>13</v>
      </c>
      <c r="L2480" s="1124"/>
      <c r="M2480" s="2915"/>
      <c r="N2480" s="177"/>
      <c r="O2480" s="332"/>
      <c r="P2480" s="1116"/>
      <c r="Q2480" s="1116"/>
      <c r="R2480" s="1116"/>
      <c r="S2480" s="1103"/>
      <c r="T2480" s="1639"/>
      <c r="U2480" s="177"/>
      <c r="V2480" s="2866"/>
      <c r="W2480" s="909">
        <v>13</v>
      </c>
      <c r="X2480" s="909">
        <v>13</v>
      </c>
      <c r="Y2480" s="926">
        <v>13</v>
      </c>
      <c r="Z2480" s="909"/>
      <c r="AA2480" s="909"/>
      <c r="AB2480" s="909"/>
      <c r="AC2480" s="909"/>
      <c r="AD2480" s="909"/>
      <c r="AE2480" s="909"/>
      <c r="AF2480" s="909"/>
      <c r="AG2480" s="909"/>
      <c r="BB2480" s="784"/>
      <c r="BC2480" s="785"/>
      <c r="BD2480" s="900"/>
      <c r="BE2480" s="797"/>
    </row>
    <row r="2481" spans="1:57" s="65" customFormat="1" ht="15" hidden="1" customHeight="1" outlineLevel="1" x14ac:dyDescent="0.25">
      <c r="A2481" s="718"/>
      <c r="B2481" s="177"/>
      <c r="C2481" s="455"/>
      <c r="D2481" s="2806"/>
      <c r="E2481" s="2856"/>
      <c r="F2481" s="2908" t="str">
        <f>$E$1486</f>
        <v>ASHP - SEER 20 - replace electric furnace / CAC MF_CompE</v>
      </c>
      <c r="G2481" s="2909"/>
      <c r="H2481" s="2909"/>
      <c r="I2481" s="2910"/>
      <c r="J2481" s="1657" t="str">
        <f>$C$1486</f>
        <v>353501_2019_12_</v>
      </c>
      <c r="K2481" s="1663">
        <v>13</v>
      </c>
      <c r="L2481" s="1124"/>
      <c r="M2481" s="2915"/>
      <c r="N2481" s="177"/>
      <c r="O2481" s="332"/>
      <c r="P2481" s="1116"/>
      <c r="Q2481" s="1116"/>
      <c r="R2481" s="1116"/>
      <c r="S2481" s="1103"/>
      <c r="T2481" s="1639"/>
      <c r="U2481" s="177"/>
      <c r="V2481" s="2866"/>
      <c r="W2481" s="909"/>
      <c r="X2481" s="909"/>
      <c r="Y2481" s="933">
        <v>13</v>
      </c>
      <c r="Z2481" s="909"/>
      <c r="AA2481" s="909"/>
      <c r="AB2481" s="909"/>
      <c r="AC2481" s="909"/>
      <c r="AD2481" s="909"/>
      <c r="AE2481" s="909"/>
      <c r="AF2481" s="909"/>
      <c r="AG2481" s="909"/>
      <c r="BB2481" s="784"/>
      <c r="BC2481" s="785"/>
      <c r="BD2481" s="900"/>
      <c r="BE2481" s="797"/>
    </row>
    <row r="2482" spans="1:57" s="65" customFormat="1" ht="15" hidden="1" customHeight="1" outlineLevel="1" x14ac:dyDescent="0.25">
      <c r="A2482" s="718"/>
      <c r="B2482" s="177"/>
      <c r="C2482" s="455"/>
      <c r="D2482" s="2806"/>
      <c r="E2482" s="2856"/>
      <c r="F2482" s="2908" t="str">
        <f>$E$1488</f>
        <v>ASHP - SEER 21 - replace electric furnace / CAC - early replacement SF ER1</v>
      </c>
      <c r="G2482" s="2909"/>
      <c r="H2482" s="2909"/>
      <c r="I2482" s="2910"/>
      <c r="J2482" s="1657" t="str">
        <f>$C$1488</f>
        <v>353550_2019_12_</v>
      </c>
      <c r="K2482" s="1663">
        <v>8.33</v>
      </c>
      <c r="L2482" s="1124"/>
      <c r="M2482" s="2915"/>
      <c r="N2482" s="177"/>
      <c r="O2482" s="332"/>
      <c r="P2482" s="1116"/>
      <c r="Q2482" s="1117"/>
      <c r="R2482" s="1116"/>
      <c r="S2482" s="1103"/>
      <c r="T2482" s="1639"/>
      <c r="U2482" s="177"/>
      <c r="V2482" s="2866"/>
      <c r="W2482" s="909">
        <v>6.8</v>
      </c>
      <c r="X2482" s="908">
        <v>8.33</v>
      </c>
      <c r="Y2482" s="926">
        <v>8.33</v>
      </c>
      <c r="Z2482" s="909"/>
      <c r="AA2482" s="909"/>
      <c r="AB2482" s="909"/>
      <c r="AC2482" s="909"/>
      <c r="AD2482" s="909"/>
      <c r="AE2482" s="909"/>
      <c r="AF2482" s="909"/>
      <c r="AG2482" s="909"/>
      <c r="BB2482" s="784"/>
      <c r="BC2482" s="785"/>
      <c r="BD2482" s="900"/>
      <c r="BE2482" s="797"/>
    </row>
    <row r="2483" spans="1:57" s="65" customFormat="1" ht="15" hidden="1" customHeight="1" outlineLevel="1" x14ac:dyDescent="0.25">
      <c r="A2483" s="718"/>
      <c r="B2483" s="177"/>
      <c r="C2483" s="455"/>
      <c r="D2483" s="2806"/>
      <c r="E2483" s="2856"/>
      <c r="F2483" s="2908" t="str">
        <f>$E$1490</f>
        <v>ASHP - SEER 21 - replace electric furnace / CAC - early replacement SF ER2</v>
      </c>
      <c r="G2483" s="2909"/>
      <c r="H2483" s="2909"/>
      <c r="I2483" s="2910"/>
      <c r="J2483" s="1657" t="str">
        <f>$C$1490</f>
        <v>353550_2019_12_</v>
      </c>
      <c r="K2483" s="1663">
        <v>13</v>
      </c>
      <c r="L2483" s="1124"/>
      <c r="M2483" s="2915"/>
      <c r="N2483" s="177"/>
      <c r="O2483" s="332"/>
      <c r="P2483" s="1116"/>
      <c r="Q2483" s="1117"/>
      <c r="R2483" s="1116"/>
      <c r="S2483" s="1103"/>
      <c r="T2483" s="1639"/>
      <c r="U2483" s="177"/>
      <c r="V2483" s="2866"/>
      <c r="W2483" s="909">
        <v>13</v>
      </c>
      <c r="X2483" s="909">
        <v>13</v>
      </c>
      <c r="Y2483" s="926">
        <v>13</v>
      </c>
      <c r="Z2483" s="909"/>
      <c r="AA2483" s="909"/>
      <c r="AB2483" s="909"/>
      <c r="AC2483" s="909"/>
      <c r="AD2483" s="909"/>
      <c r="AE2483" s="909"/>
      <c r="AF2483" s="909"/>
      <c r="AG2483" s="909"/>
      <c r="BB2483" s="784"/>
      <c r="BC2483" s="785"/>
      <c r="BD2483" s="900"/>
      <c r="BE2483" s="797"/>
    </row>
    <row r="2484" spans="1:57" s="65" customFormat="1" ht="15" hidden="1" customHeight="1" outlineLevel="1" x14ac:dyDescent="0.25">
      <c r="A2484" s="718"/>
      <c r="B2484" s="177"/>
      <c r="C2484" s="455"/>
      <c r="D2484" s="2806"/>
      <c r="E2484" s="2856"/>
      <c r="F2484" s="2908" t="str">
        <f>$E$1492</f>
        <v>ASHP - SEER 21 - replace electric furnace / CAC - early replacement MF ER1</v>
      </c>
      <c r="G2484" s="2909"/>
      <c r="H2484" s="2909"/>
      <c r="I2484" s="2910"/>
      <c r="J2484" s="1657" t="str">
        <f>$C$1492</f>
        <v>353600_2019_12_</v>
      </c>
      <c r="K2484" s="1663">
        <v>8.33</v>
      </c>
      <c r="L2484" s="1124"/>
      <c r="M2484" s="2915"/>
      <c r="N2484" s="177"/>
      <c r="O2484" s="332"/>
      <c r="P2484" s="1116"/>
      <c r="Q2484" s="1117"/>
      <c r="R2484" s="1116"/>
      <c r="S2484" s="1103"/>
      <c r="T2484" s="1639"/>
      <c r="U2484" s="177"/>
      <c r="V2484" s="2866"/>
      <c r="W2484" s="909">
        <v>6.8</v>
      </c>
      <c r="X2484" s="908">
        <v>8.33</v>
      </c>
      <c r="Y2484" s="926">
        <v>8.33</v>
      </c>
      <c r="Z2484" s="909"/>
      <c r="AA2484" s="909"/>
      <c r="AB2484" s="909"/>
      <c r="AC2484" s="909"/>
      <c r="AD2484" s="909"/>
      <c r="AE2484" s="909"/>
      <c r="AF2484" s="909"/>
      <c r="AG2484" s="909"/>
      <c r="BB2484" s="784"/>
      <c r="BC2484" s="785"/>
      <c r="BD2484" s="900"/>
      <c r="BE2484" s="797"/>
    </row>
    <row r="2485" spans="1:57" s="65" customFormat="1" ht="15" hidden="1" customHeight="1" outlineLevel="1" x14ac:dyDescent="0.25">
      <c r="A2485" s="718"/>
      <c r="B2485" s="177"/>
      <c r="C2485" s="455"/>
      <c r="D2485" s="2806"/>
      <c r="E2485" s="2856"/>
      <c r="F2485" s="2908" t="str">
        <f>$E$1494</f>
        <v>ASHP - SEER 21 - replace electric furnace / CAC - early replacement MF ER2</v>
      </c>
      <c r="G2485" s="2909"/>
      <c r="H2485" s="2909"/>
      <c r="I2485" s="2910"/>
      <c r="J2485" s="1657" t="str">
        <f>$C$1494</f>
        <v>353600_2019_12_</v>
      </c>
      <c r="K2485" s="1663">
        <v>13</v>
      </c>
      <c r="L2485" s="1124"/>
      <c r="M2485" s="2915"/>
      <c r="N2485" s="177"/>
      <c r="O2485" s="332"/>
      <c r="P2485" s="1116"/>
      <c r="Q2485" s="1117"/>
      <c r="R2485" s="1116"/>
      <c r="S2485" s="1103"/>
      <c r="T2485" s="1639"/>
      <c r="U2485" s="177"/>
      <c r="V2485" s="2866"/>
      <c r="W2485" s="909">
        <v>13</v>
      </c>
      <c r="X2485" s="909">
        <v>13</v>
      </c>
      <c r="Y2485" s="926">
        <v>13</v>
      </c>
      <c r="Z2485" s="909"/>
      <c r="AA2485" s="909"/>
      <c r="AB2485" s="909"/>
      <c r="AC2485" s="909"/>
      <c r="AD2485" s="909"/>
      <c r="AE2485" s="909"/>
      <c r="AF2485" s="909"/>
      <c r="AG2485" s="909"/>
      <c r="BB2485" s="784"/>
      <c r="BC2485" s="785"/>
      <c r="BD2485" s="900"/>
      <c r="BE2485" s="797"/>
    </row>
    <row r="2486" spans="1:57" s="65" customFormat="1" ht="15" hidden="1" customHeight="1" outlineLevel="1" x14ac:dyDescent="0.25">
      <c r="A2486" s="718"/>
      <c r="B2486" s="177"/>
      <c r="C2486" s="455"/>
      <c r="D2486" s="2806"/>
      <c r="E2486" s="2856"/>
      <c r="F2486" s="2908" t="str">
        <f>$E$1496</f>
        <v>ASHP - SEER 21 - replace electric furnace / CAC - early replacement MF ER1_CompE</v>
      </c>
      <c r="G2486" s="2909"/>
      <c r="H2486" s="2909"/>
      <c r="I2486" s="2910"/>
      <c r="J2486" s="1657" t="str">
        <f>$C$1496</f>
        <v>353601_2019_12_</v>
      </c>
      <c r="K2486" s="1663">
        <v>8.33</v>
      </c>
      <c r="L2486" s="1124"/>
      <c r="M2486" s="2915"/>
      <c r="N2486" s="177"/>
      <c r="O2486" s="332"/>
      <c r="P2486" s="1116"/>
      <c r="Q2486" s="1117"/>
      <c r="R2486" s="1116"/>
      <c r="S2486" s="1103"/>
      <c r="T2486" s="1639"/>
      <c r="U2486" s="177"/>
      <c r="V2486" s="2866"/>
      <c r="W2486" s="909"/>
      <c r="X2486" s="909"/>
      <c r="Y2486" s="933">
        <v>8.33</v>
      </c>
      <c r="Z2486" s="909"/>
      <c r="AA2486" s="909"/>
      <c r="AB2486" s="909"/>
      <c r="AC2486" s="909"/>
      <c r="AD2486" s="909"/>
      <c r="AE2486" s="909"/>
      <c r="AF2486" s="909"/>
      <c r="AG2486" s="909"/>
      <c r="BB2486" s="784"/>
      <c r="BC2486" s="785"/>
      <c r="BD2486" s="900"/>
      <c r="BE2486" s="797"/>
    </row>
    <row r="2487" spans="1:57" s="65" customFormat="1" ht="15" hidden="1" customHeight="1" outlineLevel="1" x14ac:dyDescent="0.25">
      <c r="A2487" s="718"/>
      <c r="B2487" s="177"/>
      <c r="C2487" s="455"/>
      <c r="D2487" s="2806"/>
      <c r="E2487" s="2856"/>
      <c r="F2487" s="2908" t="str">
        <f>$E$1498</f>
        <v>ASHP - SEER 21 - replace electric furnace / CAC - early replacement MF ER2_CompE</v>
      </c>
      <c r="G2487" s="2909"/>
      <c r="H2487" s="2909"/>
      <c r="I2487" s="2910"/>
      <c r="J2487" s="1657" t="str">
        <f>$C$1498</f>
        <v>353601_2019_12_</v>
      </c>
      <c r="K2487" s="1663">
        <v>13</v>
      </c>
      <c r="L2487" s="1124"/>
      <c r="M2487" s="2915"/>
      <c r="N2487" s="177"/>
      <c r="O2487" s="332"/>
      <c r="P2487" s="1116"/>
      <c r="Q2487" s="1117"/>
      <c r="R2487" s="1116"/>
      <c r="S2487" s="1103"/>
      <c r="T2487" s="1639"/>
      <c r="U2487" s="177"/>
      <c r="V2487" s="2866"/>
      <c r="W2487" s="909"/>
      <c r="X2487" s="909"/>
      <c r="Y2487" s="933">
        <v>13</v>
      </c>
      <c r="Z2487" s="909"/>
      <c r="AA2487" s="909"/>
      <c r="AB2487" s="909"/>
      <c r="AC2487" s="909"/>
      <c r="AD2487" s="909"/>
      <c r="AE2487" s="909"/>
      <c r="AF2487" s="909"/>
      <c r="AG2487" s="909"/>
      <c r="BB2487" s="784"/>
      <c r="BC2487" s="785"/>
      <c r="BD2487" s="900"/>
      <c r="BE2487" s="797"/>
    </row>
    <row r="2488" spans="1:57" s="65" customFormat="1" ht="15" hidden="1" customHeight="1" outlineLevel="1" x14ac:dyDescent="0.25">
      <c r="A2488" s="718"/>
      <c r="B2488" s="177"/>
      <c r="C2488" s="455"/>
      <c r="D2488" s="2806"/>
      <c r="E2488" s="2856"/>
      <c r="F2488" s="2908" t="str">
        <f>$E$1500</f>
        <v>ASHP - SEER 21 - replace electric furnace / CAC SF</v>
      </c>
      <c r="G2488" s="2909"/>
      <c r="H2488" s="2909"/>
      <c r="I2488" s="2910"/>
      <c r="J2488" s="1657" t="str">
        <f>$C$1500</f>
        <v>353650_2019_12_</v>
      </c>
      <c r="K2488" s="1663">
        <v>13</v>
      </c>
      <c r="L2488" s="1124"/>
      <c r="M2488" s="2915"/>
      <c r="N2488" s="177"/>
      <c r="O2488" s="332"/>
      <c r="P2488" s="1116"/>
      <c r="Q2488" s="1117"/>
      <c r="R2488" s="1116"/>
      <c r="S2488" s="1103"/>
      <c r="T2488" s="1639"/>
      <c r="U2488" s="177"/>
      <c r="V2488" s="2866"/>
      <c r="W2488" s="909">
        <v>13</v>
      </c>
      <c r="X2488" s="909">
        <v>13</v>
      </c>
      <c r="Y2488" s="926">
        <v>13</v>
      </c>
      <c r="Z2488" s="909"/>
      <c r="AA2488" s="909"/>
      <c r="AB2488" s="909"/>
      <c r="AC2488" s="909"/>
      <c r="AD2488" s="909"/>
      <c r="AE2488" s="909"/>
      <c r="AF2488" s="909"/>
      <c r="AG2488" s="909"/>
      <c r="BB2488" s="784"/>
      <c r="BC2488" s="785"/>
      <c r="BD2488" s="900"/>
      <c r="BE2488" s="797"/>
    </row>
    <row r="2489" spans="1:57" s="65" customFormat="1" ht="15" hidden="1" customHeight="1" outlineLevel="1" x14ac:dyDescent="0.25">
      <c r="A2489" s="718"/>
      <c r="B2489" s="177"/>
      <c r="C2489" s="455"/>
      <c r="D2489" s="2806"/>
      <c r="E2489" s="2856"/>
      <c r="F2489" s="2908" t="str">
        <f>$E$1502</f>
        <v>ASHP-  SEER 21+ replace at Fail Elec Resist Furnace MF</v>
      </c>
      <c r="G2489" s="2909"/>
      <c r="H2489" s="2909"/>
      <c r="I2489" s="2910"/>
      <c r="J2489" s="1657" t="str">
        <f>$C$1502</f>
        <v>353700_2019_12_</v>
      </c>
      <c r="K2489" s="1663">
        <v>13</v>
      </c>
      <c r="L2489" s="1124"/>
      <c r="M2489" s="2915"/>
      <c r="N2489" s="177"/>
      <c r="O2489" s="332"/>
      <c r="P2489" s="1116"/>
      <c r="Q2489" s="1117"/>
      <c r="R2489" s="1116"/>
      <c r="S2489" s="1103"/>
      <c r="T2489" s="1639"/>
      <c r="U2489" s="177"/>
      <c r="V2489" s="2866"/>
      <c r="W2489" s="909">
        <v>13</v>
      </c>
      <c r="X2489" s="909">
        <v>13</v>
      </c>
      <c r="Y2489" s="926">
        <v>13</v>
      </c>
      <c r="Z2489" s="909"/>
      <c r="AA2489" s="909"/>
      <c r="AB2489" s="909"/>
      <c r="AC2489" s="909"/>
      <c r="AD2489" s="909"/>
      <c r="AE2489" s="909"/>
      <c r="AF2489" s="909"/>
      <c r="AG2489" s="909"/>
      <c r="BB2489" s="784"/>
      <c r="BC2489" s="785"/>
      <c r="BD2489" s="900"/>
      <c r="BE2489" s="797"/>
    </row>
    <row r="2490" spans="1:57" s="65" customFormat="1" ht="15" hidden="1" customHeight="1" outlineLevel="1" x14ac:dyDescent="0.25">
      <c r="A2490" s="718"/>
      <c r="B2490" s="177"/>
      <c r="C2490" s="455"/>
      <c r="D2490" s="2806"/>
      <c r="E2490" s="2856"/>
      <c r="F2490" s="2908" t="str">
        <f>$E$1504</f>
        <v>ASHP-  SEER 21+ replace at Fail Elec Resist Furnace MF_CompE</v>
      </c>
      <c r="G2490" s="2909"/>
      <c r="H2490" s="2909"/>
      <c r="I2490" s="2910"/>
      <c r="J2490" s="1657" t="str">
        <f>$C$1504</f>
        <v>353701_2019_12_</v>
      </c>
      <c r="K2490" s="1663">
        <v>13</v>
      </c>
      <c r="L2490" s="1124"/>
      <c r="M2490" s="2915"/>
      <c r="N2490" s="177"/>
      <c r="O2490" s="332"/>
      <c r="P2490" s="1116"/>
      <c r="Q2490" s="1117"/>
      <c r="R2490" s="1116"/>
      <c r="S2490" s="1103"/>
      <c r="T2490" s="1639"/>
      <c r="U2490" s="177"/>
      <c r="V2490" s="2866"/>
      <c r="W2490" s="909"/>
      <c r="X2490" s="909"/>
      <c r="Y2490" s="933">
        <v>13</v>
      </c>
      <c r="Z2490" s="909"/>
      <c r="AA2490" s="909"/>
      <c r="AB2490" s="909"/>
      <c r="AC2490" s="909"/>
      <c r="AD2490" s="909"/>
      <c r="AE2490" s="909"/>
      <c r="AF2490" s="909"/>
      <c r="AG2490" s="909"/>
      <c r="BB2490" s="784"/>
      <c r="BC2490" s="785"/>
      <c r="BD2490" s="900"/>
      <c r="BE2490" s="797"/>
    </row>
    <row r="2491" spans="1:57" s="65" customFormat="1" ht="15" hidden="1" customHeight="1" outlineLevel="1" x14ac:dyDescent="0.25">
      <c r="A2491" s="785"/>
      <c r="B2491" s="177"/>
      <c r="C2491" s="455"/>
      <c r="D2491" s="2806"/>
      <c r="E2491" s="2856"/>
      <c r="F2491" s="2908" t="str">
        <f>$E$1506</f>
        <v>ASHP SEER 17 replace ASHP - early replacement SF ER1</v>
      </c>
      <c r="G2491" s="2909"/>
      <c r="H2491" s="2909"/>
      <c r="I2491" s="2910"/>
      <c r="J2491" s="1657" t="str">
        <f>$C$1506</f>
        <v>353750_2019_12_</v>
      </c>
      <c r="K2491" s="1663">
        <v>8.33</v>
      </c>
      <c r="L2491" s="1124"/>
      <c r="M2491" s="2915"/>
      <c r="N2491" s="177"/>
      <c r="O2491" s="332"/>
      <c r="P2491" s="332"/>
      <c r="Q2491" s="332"/>
      <c r="R2491" s="332"/>
      <c r="S2491" s="177"/>
      <c r="T2491" s="177"/>
      <c r="U2491" s="177"/>
      <c r="V2491" s="2866"/>
      <c r="W2491" s="909">
        <v>7.2</v>
      </c>
      <c r="X2491" s="908">
        <v>8.33</v>
      </c>
      <c r="Y2491" s="926">
        <v>8.33</v>
      </c>
      <c r="Z2491" s="909"/>
      <c r="AA2491" s="909"/>
      <c r="AB2491" s="909"/>
      <c r="AC2491" s="909"/>
      <c r="AD2491" s="909"/>
      <c r="AE2491" s="909"/>
      <c r="AF2491" s="909"/>
      <c r="AG2491" s="909"/>
      <c r="BB2491" s="784"/>
      <c r="BC2491" s="785"/>
      <c r="BD2491" s="900"/>
      <c r="BE2491" s="797"/>
    </row>
    <row r="2492" spans="1:57" s="65" customFormat="1" ht="15" hidden="1" customHeight="1" outlineLevel="1" x14ac:dyDescent="0.25">
      <c r="A2492" s="718"/>
      <c r="B2492" s="177"/>
      <c r="C2492" s="455"/>
      <c r="D2492" s="2806"/>
      <c r="E2492" s="2856"/>
      <c r="F2492" s="2908" t="str">
        <f>$E$1508</f>
        <v>ASHP SEER 17 replace ASHP - early replacement SF ER2</v>
      </c>
      <c r="G2492" s="2909"/>
      <c r="H2492" s="2909"/>
      <c r="I2492" s="2910"/>
      <c r="J2492" s="1657" t="str">
        <f>$C$1508</f>
        <v>353750_2019_12_</v>
      </c>
      <c r="K2492" s="1663">
        <v>14</v>
      </c>
      <c r="L2492" s="1124"/>
      <c r="M2492" s="2915"/>
      <c r="N2492" s="177"/>
      <c r="O2492" s="332"/>
      <c r="P2492" s="1116"/>
      <c r="Q2492" s="1117"/>
      <c r="R2492" s="1116"/>
      <c r="S2492" s="1103"/>
      <c r="T2492" s="1639"/>
      <c r="U2492" s="177"/>
      <c r="V2492" s="2866"/>
      <c r="W2492" s="909">
        <v>14</v>
      </c>
      <c r="X2492" s="909">
        <v>14</v>
      </c>
      <c r="Y2492" s="926">
        <v>14</v>
      </c>
      <c r="Z2492" s="909"/>
      <c r="AA2492" s="909"/>
      <c r="AB2492" s="909"/>
      <c r="AC2492" s="909"/>
      <c r="AD2492" s="909"/>
      <c r="AE2492" s="909"/>
      <c r="AF2492" s="909"/>
      <c r="AG2492" s="909"/>
      <c r="BB2492" s="784"/>
      <c r="BC2492" s="785"/>
      <c r="BD2492" s="900"/>
      <c r="BE2492" s="797"/>
    </row>
    <row r="2493" spans="1:57" s="65" customFormat="1" ht="15" hidden="1" customHeight="1" outlineLevel="1" x14ac:dyDescent="0.25">
      <c r="A2493" s="785"/>
      <c r="B2493" s="177"/>
      <c r="C2493" s="455"/>
      <c r="D2493" s="2806"/>
      <c r="E2493" s="2856"/>
      <c r="F2493" s="2908" t="str">
        <f>$E$1510</f>
        <v>ASHP SEER 17 replace ASHP - replace on fail SF</v>
      </c>
      <c r="G2493" s="2909"/>
      <c r="H2493" s="2909"/>
      <c r="I2493" s="2910"/>
      <c r="J2493" s="1657" t="str">
        <f>$C$1510</f>
        <v>353800_2019_12_</v>
      </c>
      <c r="K2493" s="1663">
        <v>14</v>
      </c>
      <c r="L2493" s="1124"/>
      <c r="M2493" s="2915"/>
      <c r="N2493" s="177"/>
      <c r="O2493" s="332"/>
      <c r="P2493" s="332"/>
      <c r="Q2493" s="332"/>
      <c r="R2493" s="332"/>
      <c r="S2493" s="177"/>
      <c r="T2493" s="177"/>
      <c r="U2493" s="177"/>
      <c r="V2493" s="2866"/>
      <c r="W2493" s="909">
        <v>14</v>
      </c>
      <c r="X2493" s="909">
        <v>14</v>
      </c>
      <c r="Y2493" s="926">
        <v>14</v>
      </c>
      <c r="Z2493" s="909"/>
      <c r="AA2493" s="909"/>
      <c r="AB2493" s="909"/>
      <c r="AC2493" s="909"/>
      <c r="AD2493" s="909"/>
      <c r="AE2493" s="909"/>
      <c r="AF2493" s="909"/>
      <c r="AG2493" s="909"/>
      <c r="BB2493" s="784"/>
      <c r="BC2493" s="785"/>
      <c r="BD2493" s="900"/>
      <c r="BE2493" s="797"/>
    </row>
    <row r="2494" spans="1:57" s="65" customFormat="1" ht="15" hidden="1" customHeight="1" outlineLevel="1" x14ac:dyDescent="0.25">
      <c r="A2494" s="718"/>
      <c r="B2494" s="177"/>
      <c r="C2494" s="455"/>
      <c r="D2494" s="2806"/>
      <c r="E2494" s="2856"/>
      <c r="F2494" s="2908" t="str">
        <f>$E$1512</f>
        <v>ASHP SEER 18 replace ASHP - early replacement SF ER1</v>
      </c>
      <c r="G2494" s="2909"/>
      <c r="H2494" s="2909"/>
      <c r="I2494" s="2910"/>
      <c r="J2494" s="1657" t="str">
        <f>$C$1512</f>
        <v>353850_2019_12_</v>
      </c>
      <c r="K2494" s="1663">
        <v>8.33</v>
      </c>
      <c r="L2494" s="1124"/>
      <c r="M2494" s="2915"/>
      <c r="N2494" s="177"/>
      <c r="O2494" s="332"/>
      <c r="P2494" s="1116"/>
      <c r="Q2494" s="1117"/>
      <c r="R2494" s="1116"/>
      <c r="S2494" s="1103"/>
      <c r="T2494" s="1639"/>
      <c r="U2494" s="177"/>
      <c r="V2494" s="2866"/>
      <c r="W2494" s="909">
        <v>7.2</v>
      </c>
      <c r="X2494" s="908">
        <v>8.33</v>
      </c>
      <c r="Y2494" s="926">
        <v>8.33</v>
      </c>
      <c r="Z2494" s="909"/>
      <c r="AA2494" s="909"/>
      <c r="AB2494" s="909"/>
      <c r="AC2494" s="909"/>
      <c r="AD2494" s="909"/>
      <c r="AE2494" s="909"/>
      <c r="AF2494" s="909"/>
      <c r="AG2494" s="909"/>
      <c r="BB2494" s="784"/>
      <c r="BC2494" s="785"/>
      <c r="BD2494" s="900"/>
      <c r="BE2494" s="797"/>
    </row>
    <row r="2495" spans="1:57" s="65" customFormat="1" ht="15" hidden="1" customHeight="1" outlineLevel="1" x14ac:dyDescent="0.25">
      <c r="A2495" s="785"/>
      <c r="B2495" s="177"/>
      <c r="C2495" s="455"/>
      <c r="D2495" s="2806"/>
      <c r="E2495" s="2856"/>
      <c r="F2495" s="2908" t="str">
        <f>$E$1514</f>
        <v>ASHP SEER 18 replace ASHP - early replacement SF ER2</v>
      </c>
      <c r="G2495" s="2909"/>
      <c r="H2495" s="2909"/>
      <c r="I2495" s="2910"/>
      <c r="J2495" s="1657" t="str">
        <f>$C$1514</f>
        <v>353850_2019_12_</v>
      </c>
      <c r="K2495" s="1663">
        <v>14</v>
      </c>
      <c r="L2495" s="1124"/>
      <c r="M2495" s="2915"/>
      <c r="N2495" s="177"/>
      <c r="O2495" s="332"/>
      <c r="P2495" s="332"/>
      <c r="Q2495" s="332"/>
      <c r="R2495" s="332"/>
      <c r="S2495" s="177"/>
      <c r="T2495" s="177"/>
      <c r="U2495" s="177"/>
      <c r="V2495" s="2866"/>
      <c r="W2495" s="909">
        <v>14</v>
      </c>
      <c r="X2495" s="909">
        <v>14</v>
      </c>
      <c r="Y2495" s="926">
        <v>14</v>
      </c>
      <c r="Z2495" s="909"/>
      <c r="AA2495" s="909"/>
      <c r="AB2495" s="909"/>
      <c r="AC2495" s="909"/>
      <c r="AD2495" s="909"/>
      <c r="AE2495" s="909"/>
      <c r="AF2495" s="909"/>
      <c r="AG2495" s="909"/>
      <c r="BB2495" s="784"/>
      <c r="BC2495" s="785"/>
      <c r="BD2495" s="900"/>
      <c r="BE2495" s="797"/>
    </row>
    <row r="2496" spans="1:57" s="65" customFormat="1" ht="15" hidden="1" customHeight="1" outlineLevel="1" x14ac:dyDescent="0.25">
      <c r="A2496" s="718"/>
      <c r="B2496" s="177"/>
      <c r="C2496" s="455"/>
      <c r="D2496" s="2806"/>
      <c r="E2496" s="2856"/>
      <c r="F2496" s="2908" t="str">
        <f>$E$1516</f>
        <v>ASHP - SEER 18 - replace on fail SF</v>
      </c>
      <c r="G2496" s="2909"/>
      <c r="H2496" s="2909"/>
      <c r="I2496" s="2910"/>
      <c r="J2496" s="1657" t="str">
        <f>$C$1516</f>
        <v>353950_2019_12_</v>
      </c>
      <c r="K2496" s="1663">
        <v>14</v>
      </c>
      <c r="L2496" s="1124"/>
      <c r="M2496" s="2915"/>
      <c r="N2496" s="177"/>
      <c r="O2496" s="332"/>
      <c r="P2496" s="1116"/>
      <c r="Q2496" s="1117"/>
      <c r="R2496" s="1116"/>
      <c r="S2496" s="1103"/>
      <c r="T2496" s="1639"/>
      <c r="U2496" s="177"/>
      <c r="V2496" s="2866"/>
      <c r="W2496" s="909">
        <v>14</v>
      </c>
      <c r="X2496" s="909">
        <v>14</v>
      </c>
      <c r="Y2496" s="926">
        <v>14</v>
      </c>
      <c r="Z2496" s="909"/>
      <c r="AA2496" s="909"/>
      <c r="AB2496" s="909"/>
      <c r="AC2496" s="909"/>
      <c r="AD2496" s="909"/>
      <c r="AE2496" s="909"/>
      <c r="AF2496" s="909"/>
      <c r="AG2496" s="909"/>
      <c r="BB2496" s="784"/>
      <c r="BC2496" s="785"/>
      <c r="BD2496" s="900"/>
      <c r="BE2496" s="797"/>
    </row>
    <row r="2497" spans="1:57" s="65" customFormat="1" ht="15" hidden="1" customHeight="1" outlineLevel="1" x14ac:dyDescent="0.25">
      <c r="A2497" s="718"/>
      <c r="B2497" s="177"/>
      <c r="C2497" s="455"/>
      <c r="D2497" s="2806"/>
      <c r="E2497" s="2856"/>
      <c r="F2497" s="2908" t="str">
        <f>$E$1518</f>
        <v>ASHP SEER 19 replace ASHP - early replacement SF ER1</v>
      </c>
      <c r="G2497" s="2909"/>
      <c r="H2497" s="2909"/>
      <c r="I2497" s="2910"/>
      <c r="J2497" s="1657" t="str">
        <f>$C$1518</f>
        <v>354000_2019_12_</v>
      </c>
      <c r="K2497" s="1663">
        <v>8.33</v>
      </c>
      <c r="L2497" s="1124"/>
      <c r="M2497" s="2915"/>
      <c r="N2497" s="177"/>
      <c r="O2497" s="332"/>
      <c r="P2497" s="1116"/>
      <c r="Q2497" s="1117"/>
      <c r="R2497" s="1116"/>
      <c r="S2497" s="1103"/>
      <c r="T2497" s="1639"/>
      <c r="U2497" s="177"/>
      <c r="V2497" s="2866"/>
      <c r="W2497" s="909">
        <v>7.2</v>
      </c>
      <c r="X2497" s="908">
        <v>8.33</v>
      </c>
      <c r="Y2497" s="926">
        <v>8.33</v>
      </c>
      <c r="Z2497" s="909"/>
      <c r="AA2497" s="909"/>
      <c r="AB2497" s="909"/>
      <c r="AC2497" s="909"/>
      <c r="AD2497" s="909"/>
      <c r="AE2497" s="909"/>
      <c r="AF2497" s="909"/>
      <c r="AG2497" s="909"/>
      <c r="BB2497" s="784"/>
      <c r="BC2497" s="785"/>
      <c r="BD2497" s="900"/>
      <c r="BE2497" s="797"/>
    </row>
    <row r="2498" spans="1:57" s="65" customFormat="1" ht="15" hidden="1" customHeight="1" outlineLevel="1" x14ac:dyDescent="0.25">
      <c r="A2498" s="785"/>
      <c r="B2498" s="177"/>
      <c r="C2498" s="455"/>
      <c r="D2498" s="2806"/>
      <c r="E2498" s="2856"/>
      <c r="F2498" s="2908" t="str">
        <f>$E$1520</f>
        <v>ASHP SEER 19 replace ASHP - early replacement SF ER2</v>
      </c>
      <c r="G2498" s="2909"/>
      <c r="H2498" s="2909"/>
      <c r="I2498" s="2910"/>
      <c r="J2498" s="1657" t="str">
        <f>$C$1520</f>
        <v>354000_2019_12_</v>
      </c>
      <c r="K2498" s="1663">
        <v>14</v>
      </c>
      <c r="L2498" s="1124"/>
      <c r="M2498" s="2915"/>
      <c r="N2498" s="177"/>
      <c r="O2498" s="332"/>
      <c r="P2498" s="332"/>
      <c r="Q2498" s="332"/>
      <c r="R2498" s="332"/>
      <c r="S2498" s="177"/>
      <c r="T2498" s="177"/>
      <c r="U2498" s="177"/>
      <c r="V2498" s="2866"/>
      <c r="W2498" s="909">
        <v>14</v>
      </c>
      <c r="X2498" s="909">
        <v>14</v>
      </c>
      <c r="Y2498" s="926">
        <v>14</v>
      </c>
      <c r="Z2498" s="909"/>
      <c r="AA2498" s="909"/>
      <c r="AB2498" s="909"/>
      <c r="AC2498" s="909"/>
      <c r="AD2498" s="909"/>
      <c r="AE2498" s="909"/>
      <c r="AF2498" s="909"/>
      <c r="AG2498" s="909"/>
      <c r="BB2498" s="784"/>
      <c r="BC2498" s="785"/>
      <c r="BD2498" s="900"/>
      <c r="BE2498" s="797"/>
    </row>
    <row r="2499" spans="1:57" s="65" customFormat="1" ht="15" hidden="1" customHeight="1" outlineLevel="1" x14ac:dyDescent="0.25">
      <c r="A2499" s="785"/>
      <c r="B2499" s="177"/>
      <c r="C2499" s="455"/>
      <c r="D2499" s="2806"/>
      <c r="E2499" s="2856"/>
      <c r="F2499" s="2908" t="str">
        <f>$E$1522</f>
        <v>ASHP SEER 19 replace ASHP - replace on fail SF</v>
      </c>
      <c r="G2499" s="2909"/>
      <c r="H2499" s="2909"/>
      <c r="I2499" s="2910"/>
      <c r="J2499" s="1657" t="str">
        <f>$C$1522</f>
        <v>354050_2019_12_</v>
      </c>
      <c r="K2499" s="1663">
        <v>14</v>
      </c>
      <c r="L2499" s="1124"/>
      <c r="M2499" s="2915"/>
      <c r="N2499" s="177"/>
      <c r="O2499" s="332"/>
      <c r="P2499" s="332"/>
      <c r="Q2499" s="332"/>
      <c r="R2499" s="332"/>
      <c r="S2499" s="177"/>
      <c r="T2499" s="177"/>
      <c r="U2499" s="177"/>
      <c r="V2499" s="2866"/>
      <c r="W2499" s="909">
        <v>14</v>
      </c>
      <c r="X2499" s="909">
        <v>14</v>
      </c>
      <c r="Y2499" s="926">
        <v>14</v>
      </c>
      <c r="Z2499" s="909"/>
      <c r="AA2499" s="909"/>
      <c r="AB2499" s="909"/>
      <c r="AC2499" s="909"/>
      <c r="AD2499" s="909"/>
      <c r="AE2499" s="909"/>
      <c r="AF2499" s="909"/>
      <c r="AG2499" s="909"/>
      <c r="BB2499" s="784"/>
      <c r="BC2499" s="785"/>
      <c r="BD2499" s="900"/>
      <c r="BE2499" s="797"/>
    </row>
    <row r="2500" spans="1:57" s="65" customFormat="1" ht="15" hidden="1" customHeight="1" outlineLevel="1" x14ac:dyDescent="0.25">
      <c r="A2500" s="785"/>
      <c r="B2500" s="177"/>
      <c r="C2500" s="455"/>
      <c r="D2500" s="2806"/>
      <c r="E2500" s="2856"/>
      <c r="F2500" s="2908" t="str">
        <f>$E$1524</f>
        <v>ASHP - SEER 17 - replace electric furnace / CAC - early replacement SF ER1</v>
      </c>
      <c r="G2500" s="2909"/>
      <c r="H2500" s="2909"/>
      <c r="I2500" s="2910"/>
      <c r="J2500" s="1657" t="str">
        <f>$C$1524</f>
        <v>354100_2019_12_</v>
      </c>
      <c r="K2500" s="1663">
        <v>8.33</v>
      </c>
      <c r="L2500" s="1124"/>
      <c r="M2500" s="2915"/>
      <c r="N2500" s="177"/>
      <c r="O2500" s="332"/>
      <c r="P2500" s="332"/>
      <c r="Q2500" s="332"/>
      <c r="R2500" s="332"/>
      <c r="S2500" s="177"/>
      <c r="T2500" s="177"/>
      <c r="U2500" s="177"/>
      <c r="V2500" s="2866"/>
      <c r="W2500" s="909">
        <v>6.8</v>
      </c>
      <c r="X2500" s="908">
        <v>8.33</v>
      </c>
      <c r="Y2500" s="926">
        <v>8.33</v>
      </c>
      <c r="Z2500" s="909"/>
      <c r="AA2500" s="909"/>
      <c r="AB2500" s="909"/>
      <c r="AC2500" s="909"/>
      <c r="AD2500" s="909"/>
      <c r="AE2500" s="909"/>
      <c r="AF2500" s="909"/>
      <c r="AG2500" s="909"/>
      <c r="BB2500" s="784"/>
      <c r="BC2500" s="785"/>
      <c r="BD2500" s="900"/>
      <c r="BE2500" s="797"/>
    </row>
    <row r="2501" spans="1:57" s="65" customFormat="1" ht="15" hidden="1" customHeight="1" outlineLevel="1" x14ac:dyDescent="0.25">
      <c r="A2501" s="785"/>
      <c r="B2501" s="177"/>
      <c r="C2501" s="455"/>
      <c r="D2501" s="2806"/>
      <c r="E2501" s="2856"/>
      <c r="F2501" s="2908" t="str">
        <f>$E$1526</f>
        <v>ASHP - SEER 17 - replace electric furnace / CAC - early replacement SF ER2</v>
      </c>
      <c r="G2501" s="2909"/>
      <c r="H2501" s="2909"/>
      <c r="I2501" s="2910"/>
      <c r="J2501" s="1657" t="str">
        <f>$C$1526</f>
        <v>354100_2019_12_</v>
      </c>
      <c r="K2501" s="1663">
        <v>13</v>
      </c>
      <c r="L2501" s="1124"/>
      <c r="M2501" s="2915"/>
      <c r="N2501" s="177"/>
      <c r="O2501" s="332"/>
      <c r="P2501" s="332"/>
      <c r="Q2501" s="332"/>
      <c r="R2501" s="332"/>
      <c r="S2501" s="177"/>
      <c r="T2501" s="177"/>
      <c r="U2501" s="177"/>
      <c r="V2501" s="2866"/>
      <c r="W2501" s="909">
        <v>13</v>
      </c>
      <c r="X2501" s="909">
        <v>13</v>
      </c>
      <c r="Y2501" s="926">
        <v>13</v>
      </c>
      <c r="Z2501" s="909"/>
      <c r="AA2501" s="909"/>
      <c r="AB2501" s="909"/>
      <c r="AC2501" s="909"/>
      <c r="AD2501" s="909"/>
      <c r="AE2501" s="909"/>
      <c r="AF2501" s="909"/>
      <c r="AG2501" s="909"/>
      <c r="BB2501" s="784"/>
      <c r="BC2501" s="785"/>
      <c r="BD2501" s="900"/>
      <c r="BE2501" s="797"/>
    </row>
    <row r="2502" spans="1:57" s="65" customFormat="1" ht="15" hidden="1" customHeight="1" outlineLevel="1" x14ac:dyDescent="0.25">
      <c r="A2502" s="785"/>
      <c r="B2502" s="177"/>
      <c r="C2502" s="455"/>
      <c r="D2502" s="2806"/>
      <c r="E2502" s="2856"/>
      <c r="F2502" s="2908" t="str">
        <f>$E$1528</f>
        <v>ASHP - SEER 17 - replace electric furnace / CAC - early replacement MF ER1</v>
      </c>
      <c r="G2502" s="2909"/>
      <c r="H2502" s="2909"/>
      <c r="I2502" s="2910"/>
      <c r="J2502" s="1657" t="str">
        <f>$C$1528</f>
        <v>354150_2019_12_</v>
      </c>
      <c r="K2502" s="1663">
        <v>8.33</v>
      </c>
      <c r="L2502" s="1124"/>
      <c r="M2502" s="2915"/>
      <c r="N2502" s="177"/>
      <c r="O2502" s="332"/>
      <c r="P2502" s="332"/>
      <c r="Q2502" s="332"/>
      <c r="R2502" s="332"/>
      <c r="S2502" s="177"/>
      <c r="T2502" s="177"/>
      <c r="U2502" s="177"/>
      <c r="V2502" s="2866"/>
      <c r="W2502" s="909">
        <v>6.8</v>
      </c>
      <c r="X2502" s="908">
        <v>8.33</v>
      </c>
      <c r="Y2502" s="926">
        <v>8.33</v>
      </c>
      <c r="Z2502" s="909"/>
      <c r="AA2502" s="909"/>
      <c r="AB2502" s="909"/>
      <c r="AC2502" s="909"/>
      <c r="AD2502" s="909"/>
      <c r="AE2502" s="909"/>
      <c r="AF2502" s="909"/>
      <c r="AG2502" s="909"/>
      <c r="BB2502" s="784"/>
      <c r="BC2502" s="785"/>
      <c r="BD2502" s="900"/>
      <c r="BE2502" s="797"/>
    </row>
    <row r="2503" spans="1:57" s="65" customFormat="1" ht="15" hidden="1" customHeight="1" outlineLevel="1" x14ac:dyDescent="0.25">
      <c r="A2503" s="785"/>
      <c r="B2503" s="177"/>
      <c r="C2503" s="455"/>
      <c r="D2503" s="2806"/>
      <c r="E2503" s="2856"/>
      <c r="F2503" s="2908" t="str">
        <f>$E$1530</f>
        <v>ASHP - SEER 17 - replace electric furnace / CAC - early replacement MF ER2</v>
      </c>
      <c r="G2503" s="2909"/>
      <c r="H2503" s="2909"/>
      <c r="I2503" s="2910"/>
      <c r="J2503" s="1657" t="str">
        <f>$C$1530</f>
        <v>354150_2019_12_</v>
      </c>
      <c r="K2503" s="1663">
        <v>13</v>
      </c>
      <c r="L2503" s="1124"/>
      <c r="M2503" s="2915"/>
      <c r="N2503" s="177"/>
      <c r="O2503" s="332"/>
      <c r="P2503" s="332"/>
      <c r="Q2503" s="332"/>
      <c r="R2503" s="332"/>
      <c r="S2503" s="177"/>
      <c r="T2503" s="177"/>
      <c r="U2503" s="177"/>
      <c r="V2503" s="2866"/>
      <c r="W2503" s="909">
        <v>13</v>
      </c>
      <c r="X2503" s="909">
        <v>13</v>
      </c>
      <c r="Y2503" s="926">
        <v>13</v>
      </c>
      <c r="Z2503" s="909"/>
      <c r="AA2503" s="909"/>
      <c r="AB2503" s="909"/>
      <c r="AC2503" s="909"/>
      <c r="AD2503" s="909"/>
      <c r="AE2503" s="909"/>
      <c r="AF2503" s="909"/>
      <c r="AG2503" s="909"/>
      <c r="BB2503" s="784"/>
      <c r="BC2503" s="785"/>
      <c r="BD2503" s="900"/>
      <c r="BE2503" s="797"/>
    </row>
    <row r="2504" spans="1:57" s="65" customFormat="1" ht="15" hidden="1" customHeight="1" outlineLevel="1" x14ac:dyDescent="0.25">
      <c r="A2504" s="785"/>
      <c r="B2504" s="177"/>
      <c r="C2504" s="455"/>
      <c r="D2504" s="2806"/>
      <c r="E2504" s="2856"/>
      <c r="F2504" s="2908" t="str">
        <f>$E$1532</f>
        <v>ASHP - SEER 17 - replace electric furnace / CAC - early replacement MF ER1_CompE</v>
      </c>
      <c r="G2504" s="2909"/>
      <c r="H2504" s="2909"/>
      <c r="I2504" s="2910"/>
      <c r="J2504" s="1657" t="str">
        <f>$C$1532</f>
        <v>354151_2019_12_</v>
      </c>
      <c r="K2504" s="1663">
        <v>8.33</v>
      </c>
      <c r="L2504" s="1124"/>
      <c r="M2504" s="2915"/>
      <c r="N2504" s="177"/>
      <c r="O2504" s="332"/>
      <c r="P2504" s="332"/>
      <c r="Q2504" s="332"/>
      <c r="R2504" s="332"/>
      <c r="S2504" s="177"/>
      <c r="T2504" s="177"/>
      <c r="U2504" s="177"/>
      <c r="V2504" s="2866"/>
      <c r="W2504" s="909"/>
      <c r="X2504" s="909"/>
      <c r="Y2504" s="933">
        <v>8.33</v>
      </c>
      <c r="Z2504" s="909"/>
      <c r="AA2504" s="909"/>
      <c r="AB2504" s="909"/>
      <c r="AC2504" s="909"/>
      <c r="AD2504" s="909"/>
      <c r="AE2504" s="909"/>
      <c r="AF2504" s="909"/>
      <c r="AG2504" s="909"/>
      <c r="BB2504" s="784"/>
      <c r="BC2504" s="785"/>
      <c r="BD2504" s="900"/>
      <c r="BE2504" s="797"/>
    </row>
    <row r="2505" spans="1:57" s="65" customFormat="1" ht="15" hidden="1" customHeight="1" outlineLevel="1" x14ac:dyDescent="0.25">
      <c r="A2505" s="785"/>
      <c r="B2505" s="177"/>
      <c r="C2505" s="455"/>
      <c r="D2505" s="2806"/>
      <c r="E2505" s="2856"/>
      <c r="F2505" s="2908" t="str">
        <f>$E$1534</f>
        <v>ASHP - SEER 17 - replace electric furnace / CAC - early replacement MF ER2_CompE</v>
      </c>
      <c r="G2505" s="2909"/>
      <c r="H2505" s="2909"/>
      <c r="I2505" s="2910"/>
      <c r="J2505" s="1657" t="str">
        <f>$C$1534</f>
        <v>354151_2019_12_</v>
      </c>
      <c r="K2505" s="1663">
        <v>13</v>
      </c>
      <c r="L2505" s="1124"/>
      <c r="M2505" s="2915"/>
      <c r="N2505" s="177"/>
      <c r="O2505" s="332"/>
      <c r="P2505" s="332"/>
      <c r="Q2505" s="332"/>
      <c r="R2505" s="332"/>
      <c r="S2505" s="177"/>
      <c r="T2505" s="177"/>
      <c r="U2505" s="177"/>
      <c r="V2505" s="2866"/>
      <c r="W2505" s="909"/>
      <c r="X2505" s="909"/>
      <c r="Y2505" s="933">
        <v>13</v>
      </c>
      <c r="Z2505" s="909"/>
      <c r="AA2505" s="909"/>
      <c r="AB2505" s="909"/>
      <c r="AC2505" s="909"/>
      <c r="AD2505" s="909"/>
      <c r="AE2505" s="909"/>
      <c r="AF2505" s="909"/>
      <c r="AG2505" s="909"/>
      <c r="BB2505" s="784"/>
      <c r="BC2505" s="785"/>
      <c r="BD2505" s="900"/>
      <c r="BE2505" s="797"/>
    </row>
    <row r="2506" spans="1:57" s="65" customFormat="1" ht="15" hidden="1" customHeight="1" outlineLevel="1" x14ac:dyDescent="0.25">
      <c r="A2506" s="785"/>
      <c r="B2506" s="177"/>
      <c r="C2506" s="455"/>
      <c r="D2506" s="2806"/>
      <c r="E2506" s="2856"/>
      <c r="F2506" s="2908" t="str">
        <f>$E$1536</f>
        <v>ASHP SEER 17 replace ASHP - early replacement MF ER1</v>
      </c>
      <c r="G2506" s="2909"/>
      <c r="H2506" s="2909"/>
      <c r="I2506" s="2910"/>
      <c r="J2506" s="1657" t="str">
        <f>$C$1536</f>
        <v>354200_2019_12_</v>
      </c>
      <c r="K2506" s="1663">
        <v>8.33</v>
      </c>
      <c r="L2506" s="1124"/>
      <c r="M2506" s="2915"/>
      <c r="N2506" s="177"/>
      <c r="O2506" s="332"/>
      <c r="P2506" s="332"/>
      <c r="Q2506" s="332"/>
      <c r="R2506" s="332"/>
      <c r="S2506" s="177"/>
      <c r="T2506" s="177"/>
      <c r="U2506" s="177"/>
      <c r="V2506" s="2866"/>
      <c r="W2506" s="909">
        <v>7.2</v>
      </c>
      <c r="X2506" s="908">
        <v>8.33</v>
      </c>
      <c r="Y2506" s="926">
        <v>8.33</v>
      </c>
      <c r="Z2506" s="909"/>
      <c r="AA2506" s="909"/>
      <c r="AB2506" s="909"/>
      <c r="AC2506" s="909"/>
      <c r="AD2506" s="909"/>
      <c r="AE2506" s="909"/>
      <c r="AF2506" s="909"/>
      <c r="AG2506" s="909"/>
      <c r="BB2506" s="784"/>
      <c r="BC2506" s="785"/>
      <c r="BD2506" s="900"/>
      <c r="BE2506" s="797"/>
    </row>
    <row r="2507" spans="1:57" s="65" customFormat="1" ht="15" hidden="1" customHeight="1" outlineLevel="1" x14ac:dyDescent="0.25">
      <c r="A2507" s="785"/>
      <c r="B2507" s="177"/>
      <c r="C2507" s="455"/>
      <c r="D2507" s="2806"/>
      <c r="E2507" s="2856"/>
      <c r="F2507" s="2908" t="str">
        <f>$E$1538</f>
        <v>ASHP SEER 17 replace ASHP - early replacement MF ER2</v>
      </c>
      <c r="G2507" s="2909"/>
      <c r="H2507" s="2909"/>
      <c r="I2507" s="2910"/>
      <c r="J2507" s="1657" t="str">
        <f>$C$1538</f>
        <v>354200_2019_12_</v>
      </c>
      <c r="K2507" s="1663">
        <v>14</v>
      </c>
      <c r="L2507" s="1124"/>
      <c r="M2507" s="2915"/>
      <c r="N2507" s="177"/>
      <c r="O2507" s="332"/>
      <c r="P2507" s="332"/>
      <c r="Q2507" s="332"/>
      <c r="R2507" s="332"/>
      <c r="S2507" s="177"/>
      <c r="T2507" s="177"/>
      <c r="U2507" s="177"/>
      <c r="V2507" s="2866"/>
      <c r="W2507" s="909">
        <v>14</v>
      </c>
      <c r="X2507" s="909">
        <v>14</v>
      </c>
      <c r="Y2507" s="926">
        <v>14</v>
      </c>
      <c r="Z2507" s="909"/>
      <c r="AA2507" s="909"/>
      <c r="AB2507" s="909"/>
      <c r="AC2507" s="909"/>
      <c r="AD2507" s="909"/>
      <c r="AE2507" s="909"/>
      <c r="AF2507" s="909"/>
      <c r="AG2507" s="909"/>
      <c r="BB2507" s="784"/>
      <c r="BC2507" s="785"/>
      <c r="BD2507" s="900"/>
      <c r="BE2507" s="797"/>
    </row>
    <row r="2508" spans="1:57" s="65" customFormat="1" ht="15" hidden="1" customHeight="1" outlineLevel="1" x14ac:dyDescent="0.25">
      <c r="A2508" s="785"/>
      <c r="B2508" s="177"/>
      <c r="C2508" s="455"/>
      <c r="D2508" s="2806"/>
      <c r="E2508" s="2856"/>
      <c r="F2508" s="2908" t="str">
        <f>$E$1540</f>
        <v>ASHP SEER 17 replace ASHP - early replacement MF ER1_CompE</v>
      </c>
      <c r="G2508" s="2909"/>
      <c r="H2508" s="2909"/>
      <c r="I2508" s="2910"/>
      <c r="J2508" s="1657" t="str">
        <f>$C$1540</f>
        <v>354201_2019_12_</v>
      </c>
      <c r="K2508" s="1663">
        <v>8.33</v>
      </c>
      <c r="L2508" s="1124"/>
      <c r="M2508" s="2915"/>
      <c r="N2508" s="177"/>
      <c r="O2508" s="332"/>
      <c r="P2508" s="332"/>
      <c r="Q2508" s="332"/>
      <c r="R2508" s="332"/>
      <c r="S2508" s="177"/>
      <c r="T2508" s="177"/>
      <c r="U2508" s="177"/>
      <c r="V2508" s="2866"/>
      <c r="W2508" s="909"/>
      <c r="X2508" s="909"/>
      <c r="Y2508" s="933">
        <v>8.33</v>
      </c>
      <c r="Z2508" s="909"/>
      <c r="AA2508" s="909"/>
      <c r="AB2508" s="909"/>
      <c r="AC2508" s="909"/>
      <c r="AD2508" s="909"/>
      <c r="AE2508" s="909"/>
      <c r="AF2508" s="909"/>
      <c r="AG2508" s="909"/>
      <c r="BB2508" s="784"/>
      <c r="BC2508" s="785"/>
      <c r="BD2508" s="900"/>
      <c r="BE2508" s="797"/>
    </row>
    <row r="2509" spans="1:57" s="65" customFormat="1" ht="15" hidden="1" customHeight="1" outlineLevel="1" x14ac:dyDescent="0.25">
      <c r="A2509" s="785"/>
      <c r="B2509" s="177"/>
      <c r="C2509" s="455"/>
      <c r="D2509" s="2806"/>
      <c r="E2509" s="2856"/>
      <c r="F2509" s="2908" t="str">
        <f>$E$1542</f>
        <v>ASHP SEER 17 replace ASHP - early replacement MF ER2_CompE</v>
      </c>
      <c r="G2509" s="2909"/>
      <c r="H2509" s="2909"/>
      <c r="I2509" s="2910"/>
      <c r="J2509" s="1657" t="str">
        <f>$C$1542</f>
        <v>354201_2019_12_</v>
      </c>
      <c r="K2509" s="1663">
        <v>14</v>
      </c>
      <c r="L2509" s="1124"/>
      <c r="M2509" s="2915"/>
      <c r="N2509" s="177"/>
      <c r="O2509" s="332"/>
      <c r="P2509" s="332"/>
      <c r="Q2509" s="332"/>
      <c r="R2509" s="332"/>
      <c r="S2509" s="177"/>
      <c r="T2509" s="177"/>
      <c r="U2509" s="177"/>
      <c r="V2509" s="2866"/>
      <c r="W2509" s="909"/>
      <c r="X2509" s="909"/>
      <c r="Y2509" s="933">
        <v>14</v>
      </c>
      <c r="Z2509" s="909"/>
      <c r="AA2509" s="909"/>
      <c r="AB2509" s="909"/>
      <c r="AC2509" s="909"/>
      <c r="AD2509" s="909"/>
      <c r="AE2509" s="909"/>
      <c r="AF2509" s="909"/>
      <c r="AG2509" s="909"/>
      <c r="BB2509" s="784"/>
      <c r="BC2509" s="785"/>
      <c r="BD2509" s="900"/>
      <c r="BE2509" s="797"/>
    </row>
    <row r="2510" spans="1:57" s="65" customFormat="1" ht="15" hidden="1" customHeight="1" outlineLevel="1" x14ac:dyDescent="0.25">
      <c r="A2510" s="785"/>
      <c r="B2510" s="177"/>
      <c r="C2510" s="455"/>
      <c r="D2510" s="2806"/>
      <c r="E2510" s="2856"/>
      <c r="F2510" s="2908" t="str">
        <f>$E$1544</f>
        <v>ASHP - SEER 18 - replace electric furnace / CAC - early replacement SF ER1</v>
      </c>
      <c r="G2510" s="2909"/>
      <c r="H2510" s="2909"/>
      <c r="I2510" s="2910"/>
      <c r="J2510" s="1657" t="str">
        <f>$C$1544</f>
        <v>354250_2019_12_</v>
      </c>
      <c r="K2510" s="1663">
        <v>8.33</v>
      </c>
      <c r="L2510" s="1124"/>
      <c r="M2510" s="2915"/>
      <c r="N2510" s="177"/>
      <c r="O2510" s="332"/>
      <c r="P2510" s="332"/>
      <c r="Q2510" s="332"/>
      <c r="R2510" s="332"/>
      <c r="S2510" s="177"/>
      <c r="T2510" s="177"/>
      <c r="U2510" s="177"/>
      <c r="V2510" s="2866"/>
      <c r="W2510" s="909">
        <v>6.8</v>
      </c>
      <c r="X2510" s="908">
        <v>8.33</v>
      </c>
      <c r="Y2510" s="926">
        <v>8.33</v>
      </c>
      <c r="Z2510" s="909"/>
      <c r="AA2510" s="909"/>
      <c r="AB2510" s="909"/>
      <c r="AC2510" s="909"/>
      <c r="AD2510" s="909"/>
      <c r="AE2510" s="909"/>
      <c r="AF2510" s="909"/>
      <c r="AG2510" s="909"/>
      <c r="BB2510" s="784"/>
      <c r="BC2510" s="785"/>
      <c r="BD2510" s="900"/>
      <c r="BE2510" s="797"/>
    </row>
    <row r="2511" spans="1:57" s="65" customFormat="1" ht="15" hidden="1" customHeight="1" outlineLevel="1" x14ac:dyDescent="0.25">
      <c r="A2511" s="785"/>
      <c r="B2511" s="177"/>
      <c r="C2511" s="455"/>
      <c r="D2511" s="2806"/>
      <c r="E2511" s="2856"/>
      <c r="F2511" s="2908" t="str">
        <f>$E$1546</f>
        <v>ASHP - SEER 18 - replace electric furnace / CAC - early replacement SF ER2</v>
      </c>
      <c r="G2511" s="2909"/>
      <c r="H2511" s="2909"/>
      <c r="I2511" s="2910"/>
      <c r="J2511" s="1657" t="str">
        <f>$C$1546</f>
        <v>354250_2019_12_</v>
      </c>
      <c r="K2511" s="1663">
        <v>13</v>
      </c>
      <c r="L2511" s="1124"/>
      <c r="M2511" s="2915"/>
      <c r="N2511" s="177"/>
      <c r="O2511" s="332"/>
      <c r="P2511" s="332"/>
      <c r="Q2511" s="332"/>
      <c r="R2511" s="332"/>
      <c r="S2511" s="177"/>
      <c r="T2511" s="177"/>
      <c r="U2511" s="177"/>
      <c r="V2511" s="2866"/>
      <c r="W2511" s="909">
        <v>13</v>
      </c>
      <c r="X2511" s="909">
        <v>13</v>
      </c>
      <c r="Y2511" s="926">
        <v>13</v>
      </c>
      <c r="Z2511" s="909"/>
      <c r="AA2511" s="909"/>
      <c r="AB2511" s="909"/>
      <c r="AC2511" s="909"/>
      <c r="AD2511" s="909"/>
      <c r="AE2511" s="909"/>
      <c r="AF2511" s="909"/>
      <c r="AG2511" s="909"/>
      <c r="BB2511" s="784"/>
      <c r="BC2511" s="785"/>
      <c r="BD2511" s="900"/>
      <c r="BE2511" s="797"/>
    </row>
    <row r="2512" spans="1:57" s="65" customFormat="1" ht="15" hidden="1" customHeight="1" outlineLevel="1" x14ac:dyDescent="0.25">
      <c r="A2512" s="785"/>
      <c r="B2512" s="177"/>
      <c r="C2512" s="455"/>
      <c r="D2512" s="2806"/>
      <c r="E2512" s="2856"/>
      <c r="F2512" s="2908" t="str">
        <f>$E$1548</f>
        <v>ASHP - SEER 18 - replace electric furnace / CAC - early replacement MF ER1</v>
      </c>
      <c r="G2512" s="2909"/>
      <c r="H2512" s="2909"/>
      <c r="I2512" s="2910"/>
      <c r="J2512" s="1657" t="str">
        <f>$C$1548</f>
        <v>354300_2019_12_</v>
      </c>
      <c r="K2512" s="1663">
        <v>8.33</v>
      </c>
      <c r="L2512" s="1124"/>
      <c r="M2512" s="2915"/>
      <c r="N2512" s="177"/>
      <c r="O2512" s="332"/>
      <c r="P2512" s="332"/>
      <c r="Q2512" s="332"/>
      <c r="R2512" s="332"/>
      <c r="S2512" s="177"/>
      <c r="T2512" s="177"/>
      <c r="U2512" s="177"/>
      <c r="V2512" s="2866"/>
      <c r="W2512" s="909">
        <v>6.8</v>
      </c>
      <c r="X2512" s="908">
        <v>8.33</v>
      </c>
      <c r="Y2512" s="926">
        <v>8.33</v>
      </c>
      <c r="Z2512" s="909"/>
      <c r="AA2512" s="909"/>
      <c r="AB2512" s="909"/>
      <c r="AC2512" s="909"/>
      <c r="AD2512" s="909"/>
      <c r="AE2512" s="909"/>
      <c r="AF2512" s="909"/>
      <c r="AG2512" s="909"/>
      <c r="BB2512" s="784"/>
      <c r="BC2512" s="785"/>
      <c r="BD2512" s="900"/>
      <c r="BE2512" s="797"/>
    </row>
    <row r="2513" spans="1:57" s="65" customFormat="1" ht="15" hidden="1" customHeight="1" outlineLevel="1" x14ac:dyDescent="0.25">
      <c r="A2513" s="785"/>
      <c r="B2513" s="177"/>
      <c r="C2513" s="455"/>
      <c r="D2513" s="2806"/>
      <c r="E2513" s="2856"/>
      <c r="F2513" s="2908" t="str">
        <f>$E$1550</f>
        <v>ASHP - SEER 18 - replace electric furnace / CAC - early replacement MF ER2</v>
      </c>
      <c r="G2513" s="2909"/>
      <c r="H2513" s="2909"/>
      <c r="I2513" s="2910"/>
      <c r="J2513" s="1657" t="str">
        <f>$C$1550</f>
        <v>354300_2019_12_</v>
      </c>
      <c r="K2513" s="1663">
        <v>13</v>
      </c>
      <c r="L2513" s="1124"/>
      <c r="M2513" s="2915"/>
      <c r="N2513" s="177"/>
      <c r="O2513" s="332"/>
      <c r="P2513" s="332"/>
      <c r="Q2513" s="332"/>
      <c r="R2513" s="332"/>
      <c r="S2513" s="177"/>
      <c r="T2513" s="177"/>
      <c r="U2513" s="177"/>
      <c r="V2513" s="2866"/>
      <c r="W2513" s="909">
        <v>13</v>
      </c>
      <c r="X2513" s="909">
        <v>13</v>
      </c>
      <c r="Y2513" s="926">
        <v>13</v>
      </c>
      <c r="Z2513" s="909"/>
      <c r="AA2513" s="909"/>
      <c r="AB2513" s="909"/>
      <c r="AC2513" s="909"/>
      <c r="AD2513" s="909"/>
      <c r="AE2513" s="909"/>
      <c r="AF2513" s="909"/>
      <c r="AG2513" s="909"/>
      <c r="BB2513" s="784"/>
      <c r="BC2513" s="785"/>
      <c r="BD2513" s="900"/>
      <c r="BE2513" s="797"/>
    </row>
    <row r="2514" spans="1:57" s="65" customFormat="1" ht="15" hidden="1" customHeight="1" outlineLevel="1" x14ac:dyDescent="0.25">
      <c r="A2514" s="785"/>
      <c r="B2514" s="177"/>
      <c r="C2514" s="455"/>
      <c r="D2514" s="2806"/>
      <c r="E2514" s="2856"/>
      <c r="F2514" s="2908" t="str">
        <f>$E$1552</f>
        <v>ASHP - SEER 18 - replace electric furnace / CAC - early replacement MF ER1_CompE</v>
      </c>
      <c r="G2514" s="2909"/>
      <c r="H2514" s="2909"/>
      <c r="I2514" s="2910"/>
      <c r="J2514" s="1657" t="str">
        <f>$C$1552</f>
        <v>354301_2019_12_</v>
      </c>
      <c r="K2514" s="1663">
        <v>8.33</v>
      </c>
      <c r="L2514" s="1124"/>
      <c r="M2514" s="2915"/>
      <c r="N2514" s="177"/>
      <c r="O2514" s="332"/>
      <c r="P2514" s="332"/>
      <c r="Q2514" s="332"/>
      <c r="R2514" s="332"/>
      <c r="S2514" s="177"/>
      <c r="T2514" s="177"/>
      <c r="U2514" s="177"/>
      <c r="V2514" s="2866"/>
      <c r="W2514" s="909"/>
      <c r="X2514" s="909"/>
      <c r="Y2514" s="933">
        <v>8.33</v>
      </c>
      <c r="Z2514" s="909"/>
      <c r="AA2514" s="909"/>
      <c r="AB2514" s="909"/>
      <c r="AC2514" s="909"/>
      <c r="AD2514" s="909"/>
      <c r="AE2514" s="909"/>
      <c r="AF2514" s="909"/>
      <c r="AG2514" s="909"/>
      <c r="BB2514" s="784"/>
      <c r="BC2514" s="785"/>
      <c r="BD2514" s="900"/>
      <c r="BE2514" s="797"/>
    </row>
    <row r="2515" spans="1:57" s="65" customFormat="1" ht="15" hidden="1" customHeight="1" outlineLevel="1" x14ac:dyDescent="0.25">
      <c r="A2515" s="785"/>
      <c r="B2515" s="177"/>
      <c r="C2515" s="455"/>
      <c r="D2515" s="2806"/>
      <c r="E2515" s="2856"/>
      <c r="F2515" s="2908" t="str">
        <f>$E$1554</f>
        <v>ASHP - SEER 18 - replace electric furnace / CAC - early replacement MF ER2_CompE</v>
      </c>
      <c r="G2515" s="2909"/>
      <c r="H2515" s="2909"/>
      <c r="I2515" s="2910"/>
      <c r="J2515" s="1657" t="str">
        <f>$C$1554</f>
        <v>354301_2019_12_</v>
      </c>
      <c r="K2515" s="1663">
        <v>13</v>
      </c>
      <c r="L2515" s="1124"/>
      <c r="M2515" s="2915"/>
      <c r="N2515" s="177"/>
      <c r="O2515" s="332"/>
      <c r="P2515" s="332"/>
      <c r="Q2515" s="332"/>
      <c r="R2515" s="332"/>
      <c r="S2515" s="177"/>
      <c r="T2515" s="177"/>
      <c r="U2515" s="177"/>
      <c r="V2515" s="2866"/>
      <c r="W2515" s="909"/>
      <c r="X2515" s="909"/>
      <c r="Y2515" s="933">
        <v>13</v>
      </c>
      <c r="Z2515" s="909"/>
      <c r="AA2515" s="909"/>
      <c r="AB2515" s="909"/>
      <c r="AC2515" s="909"/>
      <c r="AD2515" s="909"/>
      <c r="AE2515" s="909"/>
      <c r="AF2515" s="909"/>
      <c r="AG2515" s="909"/>
      <c r="BB2515" s="784"/>
      <c r="BC2515" s="785"/>
      <c r="BD2515" s="900"/>
      <c r="BE2515" s="797"/>
    </row>
    <row r="2516" spans="1:57" s="65" customFormat="1" ht="15" hidden="1" customHeight="1" outlineLevel="1" x14ac:dyDescent="0.25">
      <c r="A2516" s="785"/>
      <c r="B2516" s="177"/>
      <c r="C2516" s="455"/>
      <c r="D2516" s="2806"/>
      <c r="E2516" s="2856"/>
      <c r="F2516" s="2908" t="str">
        <f>$E$1556</f>
        <v>ASHP SEER 18 replace ASHP - early replacement MF ER1</v>
      </c>
      <c r="G2516" s="2909"/>
      <c r="H2516" s="2909"/>
      <c r="I2516" s="2910"/>
      <c r="J2516" s="1657" t="str">
        <f>$C$1556</f>
        <v>354350_2019_12_</v>
      </c>
      <c r="K2516" s="1663">
        <v>8.33</v>
      </c>
      <c r="L2516" s="1124"/>
      <c r="M2516" s="2915"/>
      <c r="N2516" s="177"/>
      <c r="O2516" s="332"/>
      <c r="P2516" s="332"/>
      <c r="Q2516" s="332"/>
      <c r="R2516" s="332"/>
      <c r="S2516" s="177"/>
      <c r="T2516" s="177"/>
      <c r="U2516" s="177"/>
      <c r="V2516" s="2866"/>
      <c r="W2516" s="909">
        <v>7.2</v>
      </c>
      <c r="X2516" s="908">
        <v>8.33</v>
      </c>
      <c r="Y2516" s="926">
        <v>8.33</v>
      </c>
      <c r="Z2516" s="909"/>
      <c r="AA2516" s="909"/>
      <c r="AB2516" s="909"/>
      <c r="AC2516" s="909"/>
      <c r="AD2516" s="909"/>
      <c r="AE2516" s="909"/>
      <c r="AF2516" s="909"/>
      <c r="AG2516" s="909"/>
      <c r="BB2516" s="784"/>
      <c r="BC2516" s="785"/>
      <c r="BD2516" s="900"/>
      <c r="BE2516" s="797"/>
    </row>
    <row r="2517" spans="1:57" s="65" customFormat="1" ht="15" hidden="1" customHeight="1" outlineLevel="1" x14ac:dyDescent="0.25">
      <c r="A2517" s="785"/>
      <c r="B2517" s="177"/>
      <c r="C2517" s="455"/>
      <c r="D2517" s="2806"/>
      <c r="E2517" s="2856"/>
      <c r="F2517" s="2908" t="str">
        <f>$E$1558</f>
        <v>ASHP SEER 18 replace ASHP - early replacement MF ER2</v>
      </c>
      <c r="G2517" s="2909"/>
      <c r="H2517" s="2909"/>
      <c r="I2517" s="2910"/>
      <c r="J2517" s="1657" t="str">
        <f>$C$1558</f>
        <v>354350_2019_12_</v>
      </c>
      <c r="K2517" s="1663">
        <v>14</v>
      </c>
      <c r="L2517" s="1124"/>
      <c r="M2517" s="2915"/>
      <c r="N2517" s="177"/>
      <c r="O2517" s="332"/>
      <c r="P2517" s="332"/>
      <c r="Q2517" s="332"/>
      <c r="R2517" s="332"/>
      <c r="S2517" s="177"/>
      <c r="T2517" s="177"/>
      <c r="U2517" s="177"/>
      <c r="V2517" s="2866"/>
      <c r="W2517" s="909">
        <v>14</v>
      </c>
      <c r="X2517" s="909">
        <v>14</v>
      </c>
      <c r="Y2517" s="926">
        <v>14</v>
      </c>
      <c r="Z2517" s="909"/>
      <c r="AA2517" s="909"/>
      <c r="AB2517" s="909"/>
      <c r="AC2517" s="909"/>
      <c r="AD2517" s="909"/>
      <c r="AE2517" s="909"/>
      <c r="AF2517" s="909"/>
      <c r="AG2517" s="909"/>
      <c r="BB2517" s="784"/>
      <c r="BC2517" s="785"/>
      <c r="BD2517" s="900"/>
      <c r="BE2517" s="797"/>
    </row>
    <row r="2518" spans="1:57" s="65" customFormat="1" ht="15" hidden="1" customHeight="1" outlineLevel="1" x14ac:dyDescent="0.25">
      <c r="A2518" s="785"/>
      <c r="B2518" s="177"/>
      <c r="C2518" s="455"/>
      <c r="D2518" s="2806"/>
      <c r="E2518" s="2856"/>
      <c r="F2518" s="2908" t="str">
        <f>$E$1560</f>
        <v>ASHP SEER 18 replace ASHP - early replacement MF ER1_CompE</v>
      </c>
      <c r="G2518" s="2909"/>
      <c r="H2518" s="2909"/>
      <c r="I2518" s="2910"/>
      <c r="J2518" s="1657" t="str">
        <f>$C$1560</f>
        <v>354351_2019_12_</v>
      </c>
      <c r="K2518" s="1663">
        <v>8.33</v>
      </c>
      <c r="L2518" s="1124"/>
      <c r="M2518" s="2915"/>
      <c r="N2518" s="177"/>
      <c r="O2518" s="332"/>
      <c r="P2518" s="332"/>
      <c r="Q2518" s="332"/>
      <c r="R2518" s="332"/>
      <c r="S2518" s="177"/>
      <c r="T2518" s="177"/>
      <c r="U2518" s="177"/>
      <c r="V2518" s="2866"/>
      <c r="W2518" s="909"/>
      <c r="X2518" s="909"/>
      <c r="Y2518" s="933">
        <v>8.33</v>
      </c>
      <c r="Z2518" s="909"/>
      <c r="AA2518" s="909"/>
      <c r="AB2518" s="909"/>
      <c r="AC2518" s="909"/>
      <c r="AD2518" s="909"/>
      <c r="AE2518" s="909"/>
      <c r="AF2518" s="909"/>
      <c r="AG2518" s="909"/>
      <c r="BB2518" s="784"/>
      <c r="BC2518" s="785"/>
      <c r="BD2518" s="900"/>
      <c r="BE2518" s="797"/>
    </row>
    <row r="2519" spans="1:57" s="65" customFormat="1" ht="15" hidden="1" customHeight="1" outlineLevel="1" x14ac:dyDescent="0.25">
      <c r="A2519" s="785"/>
      <c r="B2519" s="177"/>
      <c r="C2519" s="455"/>
      <c r="D2519" s="2806"/>
      <c r="E2519" s="2856"/>
      <c r="F2519" s="2908" t="str">
        <f>$E$1562</f>
        <v>ASHP SEER 18 replace ASHP - early replacement MF ER2_CompE</v>
      </c>
      <c r="G2519" s="2909"/>
      <c r="H2519" s="2909"/>
      <c r="I2519" s="2910"/>
      <c r="J2519" s="1657" t="str">
        <f>$C$1562</f>
        <v>354351_2019_12_</v>
      </c>
      <c r="K2519" s="1663">
        <v>14</v>
      </c>
      <c r="L2519" s="1124"/>
      <c r="M2519" s="2915"/>
      <c r="N2519" s="177"/>
      <c r="O2519" s="332"/>
      <c r="P2519" s="332"/>
      <c r="Q2519" s="332"/>
      <c r="R2519" s="332"/>
      <c r="S2519" s="177"/>
      <c r="T2519" s="177"/>
      <c r="U2519" s="177"/>
      <c r="V2519" s="2866"/>
      <c r="W2519" s="909"/>
      <c r="X2519" s="909"/>
      <c r="Y2519" s="933">
        <v>14</v>
      </c>
      <c r="Z2519" s="909"/>
      <c r="AA2519" s="909"/>
      <c r="AB2519" s="909"/>
      <c r="AC2519" s="909"/>
      <c r="AD2519" s="909"/>
      <c r="AE2519" s="909"/>
      <c r="AF2519" s="909"/>
      <c r="AG2519" s="909"/>
      <c r="BB2519" s="784"/>
      <c r="BC2519" s="785"/>
      <c r="BD2519" s="900"/>
      <c r="BE2519" s="797"/>
    </row>
    <row r="2520" spans="1:57" s="65" customFormat="1" ht="15" hidden="1" customHeight="1" outlineLevel="1" x14ac:dyDescent="0.25">
      <c r="A2520" s="785"/>
      <c r="B2520" s="177"/>
      <c r="C2520" s="455"/>
      <c r="D2520" s="2806"/>
      <c r="E2520" s="2856"/>
      <c r="F2520" s="2908" t="str">
        <f>$E$1564</f>
        <v>ASHP - SEER 19 - replace electric furnace / CAC - early replacement SF ER1</v>
      </c>
      <c r="G2520" s="2909"/>
      <c r="H2520" s="2909"/>
      <c r="I2520" s="2910"/>
      <c r="J2520" s="1657" t="str">
        <f>$C$1564</f>
        <v>354400_2019_12_</v>
      </c>
      <c r="K2520" s="1663">
        <v>8.33</v>
      </c>
      <c r="L2520" s="1124"/>
      <c r="M2520" s="2915"/>
      <c r="N2520" s="177"/>
      <c r="O2520" s="332"/>
      <c r="P2520" s="332"/>
      <c r="Q2520" s="332"/>
      <c r="R2520" s="332"/>
      <c r="S2520" s="177"/>
      <c r="T2520" s="177"/>
      <c r="U2520" s="177"/>
      <c r="V2520" s="2866"/>
      <c r="W2520" s="909">
        <v>6.8</v>
      </c>
      <c r="X2520" s="908">
        <v>8.33</v>
      </c>
      <c r="Y2520" s="926">
        <v>8.33</v>
      </c>
      <c r="Z2520" s="909"/>
      <c r="AA2520" s="909"/>
      <c r="AB2520" s="909"/>
      <c r="AC2520" s="909"/>
      <c r="AD2520" s="909"/>
      <c r="AE2520" s="909"/>
      <c r="AF2520" s="909"/>
      <c r="AG2520" s="909"/>
      <c r="BB2520" s="784"/>
      <c r="BC2520" s="785"/>
      <c r="BD2520" s="900"/>
      <c r="BE2520" s="797"/>
    </row>
    <row r="2521" spans="1:57" s="65" customFormat="1" ht="15" hidden="1" customHeight="1" outlineLevel="1" x14ac:dyDescent="0.25">
      <c r="A2521" s="785"/>
      <c r="B2521" s="177"/>
      <c r="C2521" s="455"/>
      <c r="D2521" s="2806"/>
      <c r="E2521" s="2856"/>
      <c r="F2521" s="2908" t="str">
        <f>$E$1566</f>
        <v>ASHP - SEER 19 - replace electric furnace / CAC - early replacement SF ER2</v>
      </c>
      <c r="G2521" s="2909"/>
      <c r="H2521" s="2909"/>
      <c r="I2521" s="2910"/>
      <c r="J2521" s="1657" t="str">
        <f>$C$1566</f>
        <v>354400_2019_12_</v>
      </c>
      <c r="K2521" s="1663">
        <v>13</v>
      </c>
      <c r="L2521" s="1124"/>
      <c r="M2521" s="2915"/>
      <c r="N2521" s="177"/>
      <c r="O2521" s="332"/>
      <c r="P2521" s="332"/>
      <c r="Q2521" s="332"/>
      <c r="R2521" s="332"/>
      <c r="S2521" s="177"/>
      <c r="T2521" s="177"/>
      <c r="U2521" s="177"/>
      <c r="V2521" s="2866"/>
      <c r="W2521" s="909">
        <v>13</v>
      </c>
      <c r="X2521" s="909">
        <v>13</v>
      </c>
      <c r="Y2521" s="926">
        <v>13</v>
      </c>
      <c r="Z2521" s="909"/>
      <c r="AA2521" s="909"/>
      <c r="AB2521" s="909"/>
      <c r="AC2521" s="909"/>
      <c r="AD2521" s="909"/>
      <c r="AE2521" s="909"/>
      <c r="AF2521" s="909"/>
      <c r="AG2521" s="909"/>
      <c r="BB2521" s="784"/>
      <c r="BC2521" s="785"/>
      <c r="BD2521" s="900"/>
      <c r="BE2521" s="797"/>
    </row>
    <row r="2522" spans="1:57" s="65" customFormat="1" ht="15" hidden="1" customHeight="1" outlineLevel="1" x14ac:dyDescent="0.25">
      <c r="A2522" s="785"/>
      <c r="B2522" s="177"/>
      <c r="C2522" s="455"/>
      <c r="D2522" s="2806"/>
      <c r="E2522" s="2856"/>
      <c r="F2522" s="2908" t="str">
        <f>$E$1568</f>
        <v>ASHP - SEER 19 - replace electric furnace / CAC - early replacement MF ER1</v>
      </c>
      <c r="G2522" s="2909"/>
      <c r="H2522" s="2909"/>
      <c r="I2522" s="2910"/>
      <c r="J2522" s="1657" t="str">
        <f>$C$1568</f>
        <v>354450_2019_12_</v>
      </c>
      <c r="K2522" s="1663">
        <v>8.33</v>
      </c>
      <c r="L2522" s="1124"/>
      <c r="M2522" s="2915"/>
      <c r="N2522" s="177"/>
      <c r="O2522" s="332"/>
      <c r="P2522" s="332"/>
      <c r="Q2522" s="332"/>
      <c r="R2522" s="332"/>
      <c r="S2522" s="177"/>
      <c r="T2522" s="177"/>
      <c r="U2522" s="177"/>
      <c r="V2522" s="2866"/>
      <c r="W2522" s="909">
        <v>6.8</v>
      </c>
      <c r="X2522" s="908">
        <v>8.33</v>
      </c>
      <c r="Y2522" s="926">
        <v>8.33</v>
      </c>
      <c r="Z2522" s="909"/>
      <c r="AA2522" s="909"/>
      <c r="AB2522" s="909"/>
      <c r="AC2522" s="909"/>
      <c r="AD2522" s="909"/>
      <c r="AE2522" s="909"/>
      <c r="AF2522" s="909"/>
      <c r="AG2522" s="909"/>
      <c r="BB2522" s="784"/>
      <c r="BC2522" s="785"/>
      <c r="BD2522" s="900"/>
      <c r="BE2522" s="797"/>
    </row>
    <row r="2523" spans="1:57" s="65" customFormat="1" ht="15" hidden="1" customHeight="1" outlineLevel="1" x14ac:dyDescent="0.25">
      <c r="A2523" s="785"/>
      <c r="B2523" s="177"/>
      <c r="C2523" s="455"/>
      <c r="D2523" s="2806"/>
      <c r="E2523" s="2856"/>
      <c r="F2523" s="2908" t="str">
        <f>$E$1570</f>
        <v>ASHP - SEER 19 - replace electric furnace / CAC - early replacement MF ER2</v>
      </c>
      <c r="G2523" s="2909"/>
      <c r="H2523" s="2909"/>
      <c r="I2523" s="2910"/>
      <c r="J2523" s="1657" t="str">
        <f>$C$1570</f>
        <v>354450_2019_12_</v>
      </c>
      <c r="K2523" s="1663">
        <v>13</v>
      </c>
      <c r="L2523" s="1124"/>
      <c r="M2523" s="2915"/>
      <c r="N2523" s="177"/>
      <c r="O2523" s="332"/>
      <c r="P2523" s="332"/>
      <c r="Q2523" s="332"/>
      <c r="R2523" s="332"/>
      <c r="S2523" s="177"/>
      <c r="T2523" s="177"/>
      <c r="U2523" s="177"/>
      <c r="V2523" s="2866"/>
      <c r="W2523" s="909">
        <v>13</v>
      </c>
      <c r="X2523" s="909">
        <v>13</v>
      </c>
      <c r="Y2523" s="926">
        <v>13</v>
      </c>
      <c r="Z2523" s="909"/>
      <c r="AA2523" s="909"/>
      <c r="AB2523" s="909"/>
      <c r="AC2523" s="909"/>
      <c r="AD2523" s="909"/>
      <c r="AE2523" s="909"/>
      <c r="AF2523" s="909"/>
      <c r="AG2523" s="909"/>
      <c r="BB2523" s="784"/>
      <c r="BC2523" s="785"/>
      <c r="BD2523" s="900"/>
      <c r="BE2523" s="797"/>
    </row>
    <row r="2524" spans="1:57" s="65" customFormat="1" ht="15" hidden="1" customHeight="1" outlineLevel="1" x14ac:dyDescent="0.25">
      <c r="A2524" s="785"/>
      <c r="B2524" s="177"/>
      <c r="C2524" s="455"/>
      <c r="D2524" s="2806"/>
      <c r="E2524" s="2856"/>
      <c r="F2524" s="2908" t="str">
        <f>$E$1572</f>
        <v>ASHP - SEER 19 - replace electric furnace / CAC - early replacement MF ER1_CompE</v>
      </c>
      <c r="G2524" s="2909"/>
      <c r="H2524" s="2909"/>
      <c r="I2524" s="2910"/>
      <c r="J2524" s="1657" t="str">
        <f>$C$1572</f>
        <v>354451_2019_12_</v>
      </c>
      <c r="K2524" s="1663">
        <v>8.33</v>
      </c>
      <c r="L2524" s="1124"/>
      <c r="M2524" s="2915"/>
      <c r="N2524" s="177"/>
      <c r="O2524" s="332"/>
      <c r="P2524" s="332"/>
      <c r="Q2524" s="332"/>
      <c r="R2524" s="332"/>
      <c r="S2524" s="177"/>
      <c r="T2524" s="177"/>
      <c r="U2524" s="177"/>
      <c r="V2524" s="2866"/>
      <c r="W2524" s="909"/>
      <c r="X2524" s="909"/>
      <c r="Y2524" s="933">
        <v>8.33</v>
      </c>
      <c r="Z2524" s="909"/>
      <c r="AA2524" s="909"/>
      <c r="AB2524" s="909"/>
      <c r="AC2524" s="909"/>
      <c r="AD2524" s="909"/>
      <c r="AE2524" s="909"/>
      <c r="AF2524" s="909"/>
      <c r="AG2524" s="909"/>
      <c r="BB2524" s="784"/>
      <c r="BC2524" s="785"/>
      <c r="BD2524" s="900"/>
      <c r="BE2524" s="797"/>
    </row>
    <row r="2525" spans="1:57" s="65" customFormat="1" ht="15" hidden="1" customHeight="1" outlineLevel="1" x14ac:dyDescent="0.25">
      <c r="A2525" s="785"/>
      <c r="B2525" s="177"/>
      <c r="C2525" s="455"/>
      <c r="D2525" s="2806"/>
      <c r="E2525" s="2856"/>
      <c r="F2525" s="2908" t="str">
        <f>$E$1574</f>
        <v>ASHP - SEER 19 - replace electric furnace / CAC - early replacement MF ER2_CompE</v>
      </c>
      <c r="G2525" s="2909"/>
      <c r="H2525" s="2909"/>
      <c r="I2525" s="2910"/>
      <c r="J2525" s="1657" t="str">
        <f>$C$1574</f>
        <v>354451_2019_12_</v>
      </c>
      <c r="K2525" s="1663">
        <v>13</v>
      </c>
      <c r="L2525" s="1124"/>
      <c r="M2525" s="2915"/>
      <c r="N2525" s="177"/>
      <c r="O2525" s="332"/>
      <c r="P2525" s="332"/>
      <c r="Q2525" s="332"/>
      <c r="R2525" s="332"/>
      <c r="S2525" s="177"/>
      <c r="T2525" s="177"/>
      <c r="U2525" s="177"/>
      <c r="V2525" s="2866"/>
      <c r="W2525" s="909"/>
      <c r="X2525" s="909"/>
      <c r="Y2525" s="933">
        <v>13</v>
      </c>
      <c r="Z2525" s="909"/>
      <c r="AA2525" s="909"/>
      <c r="AB2525" s="909"/>
      <c r="AC2525" s="909"/>
      <c r="AD2525" s="909"/>
      <c r="AE2525" s="909"/>
      <c r="AF2525" s="909"/>
      <c r="AG2525" s="909"/>
      <c r="BB2525" s="784"/>
      <c r="BC2525" s="785"/>
      <c r="BD2525" s="900"/>
      <c r="BE2525" s="797"/>
    </row>
    <row r="2526" spans="1:57" s="65" customFormat="1" ht="15" hidden="1" customHeight="1" outlineLevel="1" x14ac:dyDescent="0.25">
      <c r="A2526" s="785"/>
      <c r="B2526" s="177"/>
      <c r="C2526" s="455"/>
      <c r="D2526" s="2806"/>
      <c r="E2526" s="2856"/>
      <c r="F2526" s="2908" t="str">
        <f>$E$1576</f>
        <v>ASHP SEER 19 replace ASHP - early replacement MF ER1</v>
      </c>
      <c r="G2526" s="2909"/>
      <c r="H2526" s="2909"/>
      <c r="I2526" s="2910"/>
      <c r="J2526" s="1657" t="str">
        <f>$C$1576</f>
        <v>354500_2019_12_</v>
      </c>
      <c r="K2526" s="1663">
        <v>8.33</v>
      </c>
      <c r="L2526" s="1124"/>
      <c r="M2526" s="2915"/>
      <c r="N2526" s="177"/>
      <c r="O2526" s="332"/>
      <c r="P2526" s="332"/>
      <c r="Q2526" s="332"/>
      <c r="R2526" s="332"/>
      <c r="S2526" s="177"/>
      <c r="T2526" s="177"/>
      <c r="U2526" s="177"/>
      <c r="V2526" s="2866"/>
      <c r="W2526" s="909">
        <v>7.2</v>
      </c>
      <c r="X2526" s="908">
        <v>8.33</v>
      </c>
      <c r="Y2526" s="926">
        <v>8.33</v>
      </c>
      <c r="Z2526" s="909"/>
      <c r="AA2526" s="909"/>
      <c r="AB2526" s="909"/>
      <c r="AC2526" s="909"/>
      <c r="AD2526" s="909"/>
      <c r="AE2526" s="909"/>
      <c r="AF2526" s="909"/>
      <c r="AG2526" s="909"/>
      <c r="BB2526" s="784"/>
      <c r="BC2526" s="785"/>
      <c r="BD2526" s="900"/>
      <c r="BE2526" s="797"/>
    </row>
    <row r="2527" spans="1:57" s="65" customFormat="1" ht="15" hidden="1" customHeight="1" outlineLevel="1" x14ac:dyDescent="0.25">
      <c r="A2527" s="785"/>
      <c r="B2527" s="177"/>
      <c r="C2527" s="455"/>
      <c r="D2527" s="2806"/>
      <c r="E2527" s="2856"/>
      <c r="F2527" s="2908" t="str">
        <f>$E$1578</f>
        <v>ASHP SEER 19 replace ASHP - early replacement MF ER2</v>
      </c>
      <c r="G2527" s="2909"/>
      <c r="H2527" s="2909"/>
      <c r="I2527" s="2910"/>
      <c r="J2527" s="1657" t="str">
        <f>$C$1578</f>
        <v>354500_2019_12_</v>
      </c>
      <c r="K2527" s="1663">
        <v>14</v>
      </c>
      <c r="L2527" s="1124"/>
      <c r="M2527" s="2915"/>
      <c r="N2527" s="177"/>
      <c r="O2527" s="332"/>
      <c r="P2527" s="332"/>
      <c r="Q2527" s="332"/>
      <c r="R2527" s="332"/>
      <c r="S2527" s="177"/>
      <c r="T2527" s="177"/>
      <c r="U2527" s="177"/>
      <c r="V2527" s="2866"/>
      <c r="W2527" s="909">
        <v>14</v>
      </c>
      <c r="X2527" s="909">
        <v>14</v>
      </c>
      <c r="Y2527" s="926">
        <v>14</v>
      </c>
      <c r="Z2527" s="909"/>
      <c r="AA2527" s="909"/>
      <c r="AB2527" s="909"/>
      <c r="AC2527" s="909"/>
      <c r="AD2527" s="909"/>
      <c r="AE2527" s="909"/>
      <c r="AF2527" s="909"/>
      <c r="AG2527" s="909"/>
      <c r="BB2527" s="784"/>
      <c r="BC2527" s="785"/>
      <c r="BD2527" s="900"/>
      <c r="BE2527" s="797"/>
    </row>
    <row r="2528" spans="1:57" s="65" customFormat="1" ht="15" hidden="1" customHeight="1" outlineLevel="1" x14ac:dyDescent="0.25">
      <c r="A2528" s="785"/>
      <c r="B2528" s="177"/>
      <c r="C2528" s="455"/>
      <c r="D2528" s="2806"/>
      <c r="E2528" s="2856"/>
      <c r="F2528" s="2908" t="str">
        <f>$E$1580</f>
        <v>ASHP SEER 19 replace ASHP - early replacement MF ER1_CompE</v>
      </c>
      <c r="G2528" s="2909"/>
      <c r="H2528" s="2909"/>
      <c r="I2528" s="2910"/>
      <c r="J2528" s="1657" t="str">
        <f>$C$1580</f>
        <v>354501_2019_12_</v>
      </c>
      <c r="K2528" s="1663">
        <v>8.33</v>
      </c>
      <c r="L2528" s="1124"/>
      <c r="M2528" s="2915"/>
      <c r="N2528" s="177"/>
      <c r="O2528" s="332"/>
      <c r="P2528" s="332"/>
      <c r="Q2528" s="332"/>
      <c r="R2528" s="332"/>
      <c r="S2528" s="177"/>
      <c r="T2528" s="177"/>
      <c r="U2528" s="177"/>
      <c r="V2528" s="2866"/>
      <c r="W2528" s="909"/>
      <c r="X2528" s="909"/>
      <c r="Y2528" s="933">
        <v>8.33</v>
      </c>
      <c r="Z2528" s="909"/>
      <c r="AA2528" s="909"/>
      <c r="AB2528" s="909"/>
      <c r="AC2528" s="909"/>
      <c r="AD2528" s="909"/>
      <c r="AE2528" s="909"/>
      <c r="AF2528" s="909"/>
      <c r="AG2528" s="909"/>
      <c r="BB2528" s="784"/>
      <c r="BC2528" s="785"/>
      <c r="BD2528" s="900"/>
      <c r="BE2528" s="797"/>
    </row>
    <row r="2529" spans="1:57" s="65" customFormat="1" ht="15" hidden="1" customHeight="1" outlineLevel="1" x14ac:dyDescent="0.25">
      <c r="A2529" s="785"/>
      <c r="B2529" s="177"/>
      <c r="C2529" s="455"/>
      <c r="D2529" s="2806"/>
      <c r="E2529" s="2856"/>
      <c r="F2529" s="2908" t="str">
        <f>$E$1582</f>
        <v>ASHP SEER 19 replace ASHP - early replacement MF ER2_CompE</v>
      </c>
      <c r="G2529" s="2909"/>
      <c r="H2529" s="2909"/>
      <c r="I2529" s="2910"/>
      <c r="J2529" s="1657" t="str">
        <f>$C$1582</f>
        <v>354501_2019_12_</v>
      </c>
      <c r="K2529" s="1663">
        <v>14</v>
      </c>
      <c r="L2529" s="1124"/>
      <c r="M2529" s="2915"/>
      <c r="N2529" s="177"/>
      <c r="O2529" s="332"/>
      <c r="P2529" s="332"/>
      <c r="Q2529" s="332"/>
      <c r="R2529" s="332"/>
      <c r="S2529" s="177"/>
      <c r="T2529" s="177"/>
      <c r="U2529" s="177"/>
      <c r="V2529" s="2866"/>
      <c r="W2529" s="909"/>
      <c r="X2529" s="909"/>
      <c r="Y2529" s="933">
        <v>14</v>
      </c>
      <c r="Z2529" s="909"/>
      <c r="AA2529" s="909"/>
      <c r="AB2529" s="909"/>
      <c r="AC2529" s="909"/>
      <c r="AD2529" s="909"/>
      <c r="AE2529" s="909"/>
      <c r="AF2529" s="909"/>
      <c r="AG2529" s="909"/>
      <c r="BB2529" s="784"/>
      <c r="BC2529" s="785"/>
      <c r="BD2529" s="900"/>
      <c r="BE2529" s="797"/>
    </row>
    <row r="2530" spans="1:57" s="65" customFormat="1" ht="15" hidden="1" customHeight="1" outlineLevel="1" x14ac:dyDescent="0.25">
      <c r="A2530" s="785"/>
      <c r="B2530" s="177"/>
      <c r="C2530" s="455"/>
      <c r="D2530" s="2806"/>
      <c r="E2530" s="2856"/>
      <c r="F2530" s="2908" t="str">
        <f>$E$1584</f>
        <v>ASHP SEER 20 replace ASHP - early replacement SF ER1</v>
      </c>
      <c r="G2530" s="2909"/>
      <c r="H2530" s="2909"/>
      <c r="I2530" s="2910"/>
      <c r="J2530" s="1657" t="str">
        <f>$C$1584</f>
        <v>354550_2019_12_</v>
      </c>
      <c r="K2530" s="1663">
        <v>8.33</v>
      </c>
      <c r="L2530" s="1124"/>
      <c r="M2530" s="2915"/>
      <c r="N2530" s="177"/>
      <c r="O2530" s="332"/>
      <c r="P2530" s="332"/>
      <c r="Q2530" s="332"/>
      <c r="R2530" s="332"/>
      <c r="S2530" s="177"/>
      <c r="T2530" s="177"/>
      <c r="U2530" s="177"/>
      <c r="V2530" s="2866"/>
      <c r="W2530" s="909">
        <v>7.2</v>
      </c>
      <c r="X2530" s="908">
        <v>8.33</v>
      </c>
      <c r="Y2530" s="926">
        <v>8.33</v>
      </c>
      <c r="Z2530" s="909"/>
      <c r="AA2530" s="909"/>
      <c r="AB2530" s="909"/>
      <c r="AC2530" s="909"/>
      <c r="AD2530" s="909"/>
      <c r="AE2530" s="909"/>
      <c r="AF2530" s="909"/>
      <c r="AG2530" s="909"/>
      <c r="BB2530" s="784"/>
      <c r="BC2530" s="785"/>
      <c r="BD2530" s="900"/>
      <c r="BE2530" s="797"/>
    </row>
    <row r="2531" spans="1:57" s="65" customFormat="1" ht="15" hidden="1" customHeight="1" outlineLevel="1" x14ac:dyDescent="0.25">
      <c r="A2531" s="785"/>
      <c r="B2531" s="177"/>
      <c r="C2531" s="455"/>
      <c r="D2531" s="2806"/>
      <c r="E2531" s="2856"/>
      <c r="F2531" s="2908" t="str">
        <f>$E$1586</f>
        <v>ASHP SEER 20 replace ASHP - early replacement SF ER2</v>
      </c>
      <c r="G2531" s="2909"/>
      <c r="H2531" s="2909"/>
      <c r="I2531" s="2910"/>
      <c r="J2531" s="1657" t="str">
        <f>$C$1586</f>
        <v>354550_2019_12_</v>
      </c>
      <c r="K2531" s="1663">
        <v>14</v>
      </c>
      <c r="L2531" s="1124"/>
      <c r="M2531" s="2915"/>
      <c r="N2531" s="177"/>
      <c r="O2531" s="332"/>
      <c r="P2531" s="332"/>
      <c r="Q2531" s="332"/>
      <c r="R2531" s="332"/>
      <c r="S2531" s="177"/>
      <c r="T2531" s="177"/>
      <c r="U2531" s="177"/>
      <c r="V2531" s="2866"/>
      <c r="W2531" s="909">
        <v>14</v>
      </c>
      <c r="X2531" s="909">
        <v>14</v>
      </c>
      <c r="Y2531" s="926">
        <v>14</v>
      </c>
      <c r="Z2531" s="909"/>
      <c r="AA2531" s="909"/>
      <c r="AB2531" s="909"/>
      <c r="AC2531" s="909"/>
      <c r="AD2531" s="909"/>
      <c r="AE2531" s="909"/>
      <c r="AF2531" s="909"/>
      <c r="AG2531" s="909"/>
      <c r="BB2531" s="784"/>
      <c r="BC2531" s="785"/>
      <c r="BD2531" s="900"/>
      <c r="BE2531" s="797"/>
    </row>
    <row r="2532" spans="1:57" s="65" customFormat="1" ht="15" hidden="1" customHeight="1" outlineLevel="1" x14ac:dyDescent="0.25">
      <c r="A2532" s="785"/>
      <c r="B2532" s="177"/>
      <c r="C2532" s="455"/>
      <c r="D2532" s="2806"/>
      <c r="E2532" s="2856"/>
      <c r="F2532" s="2908" t="str">
        <f>$E$1588</f>
        <v>ASHP SEER 20 replace ASHP - replace on fail SF</v>
      </c>
      <c r="G2532" s="2909"/>
      <c r="H2532" s="2909"/>
      <c r="I2532" s="2910"/>
      <c r="J2532" s="1657" t="str">
        <f>$C$1588</f>
        <v>354600_2019_12_</v>
      </c>
      <c r="K2532" s="1663">
        <v>14</v>
      </c>
      <c r="L2532" s="1124"/>
      <c r="M2532" s="2915"/>
      <c r="N2532" s="177"/>
      <c r="O2532" s="332"/>
      <c r="P2532" s="332"/>
      <c r="Q2532" s="332"/>
      <c r="R2532" s="332"/>
      <c r="S2532" s="177"/>
      <c r="T2532" s="177"/>
      <c r="U2532" s="177"/>
      <c r="V2532" s="2866"/>
      <c r="W2532" s="909">
        <v>14</v>
      </c>
      <c r="X2532" s="909">
        <v>14</v>
      </c>
      <c r="Y2532" s="926">
        <v>14</v>
      </c>
      <c r="Z2532" s="909"/>
      <c r="AA2532" s="909"/>
      <c r="AB2532" s="909"/>
      <c r="AC2532" s="909"/>
      <c r="AD2532" s="909"/>
      <c r="AE2532" s="909"/>
      <c r="AF2532" s="909"/>
      <c r="AG2532" s="909"/>
      <c r="BB2532" s="784"/>
      <c r="BC2532" s="785"/>
      <c r="BD2532" s="900"/>
      <c r="BE2532" s="797"/>
    </row>
    <row r="2533" spans="1:57" s="65" customFormat="1" ht="15" hidden="1" customHeight="1" outlineLevel="1" x14ac:dyDescent="0.25">
      <c r="A2533" s="785"/>
      <c r="B2533" s="177"/>
      <c r="C2533" s="455"/>
      <c r="D2533" s="2806"/>
      <c r="E2533" s="2856"/>
      <c r="F2533" s="2908" t="str">
        <f>$E$1590</f>
        <v>ASHP - SEER 20 - replace electric furnace / CAC - early replacement MF ER1</v>
      </c>
      <c r="G2533" s="2909"/>
      <c r="H2533" s="2909"/>
      <c r="I2533" s="2910"/>
      <c r="J2533" s="1657" t="str">
        <f>$C$1590</f>
        <v>354650_2019_12_</v>
      </c>
      <c r="K2533" s="1663">
        <v>8.33</v>
      </c>
      <c r="L2533" s="1124"/>
      <c r="M2533" s="2915"/>
      <c r="N2533" s="177"/>
      <c r="O2533" s="332"/>
      <c r="P2533" s="332"/>
      <c r="Q2533" s="332"/>
      <c r="R2533" s="332"/>
      <c r="S2533" s="177"/>
      <c r="T2533" s="177"/>
      <c r="U2533" s="177"/>
      <c r="V2533" s="2866"/>
      <c r="W2533" s="909">
        <v>6.8</v>
      </c>
      <c r="X2533" s="908">
        <v>8.33</v>
      </c>
      <c r="Y2533" s="926">
        <v>8.33</v>
      </c>
      <c r="Z2533" s="909"/>
      <c r="AA2533" s="909"/>
      <c r="AB2533" s="909"/>
      <c r="AC2533" s="909"/>
      <c r="AD2533" s="909"/>
      <c r="AE2533" s="909"/>
      <c r="AF2533" s="909"/>
      <c r="AG2533" s="909"/>
      <c r="BB2533" s="784"/>
      <c r="BC2533" s="785"/>
      <c r="BD2533" s="900"/>
      <c r="BE2533" s="797"/>
    </row>
    <row r="2534" spans="1:57" s="65" customFormat="1" ht="15" hidden="1" customHeight="1" outlineLevel="1" x14ac:dyDescent="0.25">
      <c r="A2534" s="785"/>
      <c r="B2534" s="177"/>
      <c r="C2534" s="455"/>
      <c r="D2534" s="2806"/>
      <c r="E2534" s="2856"/>
      <c r="F2534" s="2908" t="str">
        <f>$E$1592</f>
        <v>ASHP - SEER 20 - replace electric furnace / CAC - early replacement MF ER2</v>
      </c>
      <c r="G2534" s="2909"/>
      <c r="H2534" s="2909"/>
      <c r="I2534" s="2910"/>
      <c r="J2534" s="1657" t="str">
        <f>$C$1592</f>
        <v>354650_2019_12_</v>
      </c>
      <c r="K2534" s="1663">
        <v>13</v>
      </c>
      <c r="L2534" s="1124"/>
      <c r="M2534" s="2915"/>
      <c r="N2534" s="177"/>
      <c r="O2534" s="332"/>
      <c r="P2534" s="332"/>
      <c r="Q2534" s="332"/>
      <c r="R2534" s="332"/>
      <c r="S2534" s="177"/>
      <c r="T2534" s="177"/>
      <c r="U2534" s="177"/>
      <c r="V2534" s="2866"/>
      <c r="W2534" s="909">
        <v>13</v>
      </c>
      <c r="X2534" s="909">
        <v>13</v>
      </c>
      <c r="Y2534" s="926">
        <v>13</v>
      </c>
      <c r="Z2534" s="909"/>
      <c r="AA2534" s="909"/>
      <c r="AB2534" s="909"/>
      <c r="AC2534" s="909"/>
      <c r="AD2534" s="909"/>
      <c r="AE2534" s="909"/>
      <c r="AF2534" s="909"/>
      <c r="AG2534" s="909"/>
      <c r="BB2534" s="784"/>
      <c r="BC2534" s="785"/>
      <c r="BD2534" s="900"/>
      <c r="BE2534" s="797"/>
    </row>
    <row r="2535" spans="1:57" s="65" customFormat="1" ht="15" hidden="1" customHeight="1" outlineLevel="1" x14ac:dyDescent="0.25">
      <c r="A2535" s="785"/>
      <c r="B2535" s="177"/>
      <c r="C2535" s="455"/>
      <c r="D2535" s="2806"/>
      <c r="E2535" s="2856"/>
      <c r="F2535" s="2908" t="str">
        <f>$E$1594</f>
        <v>ASHP - SEER 20 - replace electric furnace / CAC - early replacement MF ER1_CompE</v>
      </c>
      <c r="G2535" s="2909"/>
      <c r="H2535" s="2909"/>
      <c r="I2535" s="2910"/>
      <c r="J2535" s="1657" t="str">
        <f>$C$1594</f>
        <v>354651_2019_12_</v>
      </c>
      <c r="K2535" s="1663">
        <v>8.33</v>
      </c>
      <c r="L2535" s="1124"/>
      <c r="M2535" s="2915"/>
      <c r="N2535" s="177"/>
      <c r="O2535" s="332"/>
      <c r="P2535" s="332"/>
      <c r="Q2535" s="332"/>
      <c r="R2535" s="332"/>
      <c r="S2535" s="177"/>
      <c r="T2535" s="177"/>
      <c r="U2535" s="177"/>
      <c r="V2535" s="2866"/>
      <c r="W2535" s="909"/>
      <c r="X2535" s="909"/>
      <c r="Y2535" s="933">
        <v>8.33</v>
      </c>
      <c r="Z2535" s="909"/>
      <c r="AA2535" s="909"/>
      <c r="AB2535" s="909"/>
      <c r="AC2535" s="909"/>
      <c r="AD2535" s="909"/>
      <c r="AE2535" s="909"/>
      <c r="AF2535" s="909"/>
      <c r="AG2535" s="909"/>
      <c r="BB2535" s="784"/>
      <c r="BC2535" s="785"/>
      <c r="BD2535" s="900"/>
      <c r="BE2535" s="797"/>
    </row>
    <row r="2536" spans="1:57" s="65" customFormat="1" ht="15" hidden="1" customHeight="1" outlineLevel="1" x14ac:dyDescent="0.25">
      <c r="A2536" s="785"/>
      <c r="B2536" s="177"/>
      <c r="C2536" s="455"/>
      <c r="D2536" s="2806"/>
      <c r="E2536" s="2856"/>
      <c r="F2536" s="2908" t="str">
        <f>$E$1596</f>
        <v>ASHP - SEER 20 - replace electric furnace / CAC - early replacement MF ER2_CompE</v>
      </c>
      <c r="G2536" s="2909"/>
      <c r="H2536" s="2909"/>
      <c r="I2536" s="2910"/>
      <c r="J2536" s="1657" t="str">
        <f>$C$1596</f>
        <v>354651_2019_12_</v>
      </c>
      <c r="K2536" s="1663">
        <v>13</v>
      </c>
      <c r="L2536" s="1124"/>
      <c r="M2536" s="2915"/>
      <c r="N2536" s="177"/>
      <c r="O2536" s="332"/>
      <c r="P2536" s="332"/>
      <c r="Q2536" s="332"/>
      <c r="R2536" s="332"/>
      <c r="S2536" s="177"/>
      <c r="T2536" s="177"/>
      <c r="U2536" s="177"/>
      <c r="V2536" s="2866"/>
      <c r="W2536" s="909"/>
      <c r="X2536" s="909"/>
      <c r="Y2536" s="933">
        <v>13</v>
      </c>
      <c r="Z2536" s="909"/>
      <c r="AA2536" s="909"/>
      <c r="AB2536" s="909"/>
      <c r="AC2536" s="909"/>
      <c r="AD2536" s="909"/>
      <c r="AE2536" s="909"/>
      <c r="AF2536" s="909"/>
      <c r="AG2536" s="909"/>
      <c r="BB2536" s="784"/>
      <c r="BC2536" s="785"/>
      <c r="BD2536" s="900"/>
      <c r="BE2536" s="797"/>
    </row>
    <row r="2537" spans="1:57" s="65" customFormat="1" ht="15" hidden="1" customHeight="1" outlineLevel="1" x14ac:dyDescent="0.25">
      <c r="A2537" s="785"/>
      <c r="B2537" s="177"/>
      <c r="C2537" s="455"/>
      <c r="D2537" s="2806"/>
      <c r="E2537" s="2856"/>
      <c r="F2537" s="2908" t="str">
        <f>$E$1598</f>
        <v>ASHP SEER 20 replace ASHP - early replacement MF ER1</v>
      </c>
      <c r="G2537" s="2909"/>
      <c r="H2537" s="2909"/>
      <c r="I2537" s="2910"/>
      <c r="J2537" s="1657" t="str">
        <f>$C$1598</f>
        <v>354700_2019_12_</v>
      </c>
      <c r="K2537" s="1663">
        <v>8.33</v>
      </c>
      <c r="L2537" s="1124"/>
      <c r="M2537" s="2915"/>
      <c r="N2537" s="177"/>
      <c r="O2537" s="332"/>
      <c r="P2537" s="332"/>
      <c r="Q2537" s="332"/>
      <c r="R2537" s="332"/>
      <c r="S2537" s="177"/>
      <c r="T2537" s="177"/>
      <c r="U2537" s="177"/>
      <c r="V2537" s="2866"/>
      <c r="W2537" s="909">
        <v>7.2</v>
      </c>
      <c r="X2537" s="908">
        <v>8.33</v>
      </c>
      <c r="Y2537" s="926">
        <v>8.33</v>
      </c>
      <c r="Z2537" s="909"/>
      <c r="AA2537" s="909"/>
      <c r="AB2537" s="909"/>
      <c r="AC2537" s="909"/>
      <c r="AD2537" s="909"/>
      <c r="AE2537" s="909"/>
      <c r="AF2537" s="909"/>
      <c r="AG2537" s="909"/>
      <c r="BB2537" s="784"/>
      <c r="BC2537" s="785"/>
      <c r="BD2537" s="900"/>
      <c r="BE2537" s="797"/>
    </row>
    <row r="2538" spans="1:57" s="65" customFormat="1" ht="15" hidden="1" customHeight="1" outlineLevel="1" x14ac:dyDescent="0.25">
      <c r="A2538" s="785"/>
      <c r="B2538" s="177"/>
      <c r="C2538" s="455"/>
      <c r="D2538" s="2806"/>
      <c r="E2538" s="2856"/>
      <c r="F2538" s="2908" t="str">
        <f>$E$1600</f>
        <v>ASHP SEER 20 replace ASHP - early replacement MF ER2</v>
      </c>
      <c r="G2538" s="2909"/>
      <c r="H2538" s="2909"/>
      <c r="I2538" s="2910"/>
      <c r="J2538" s="1657" t="str">
        <f>$C$1600</f>
        <v>354700_2019_12_</v>
      </c>
      <c r="K2538" s="1663">
        <v>14</v>
      </c>
      <c r="L2538" s="1124"/>
      <c r="M2538" s="2915"/>
      <c r="N2538" s="177"/>
      <c r="O2538" s="332"/>
      <c r="P2538" s="332"/>
      <c r="Q2538" s="332"/>
      <c r="R2538" s="332"/>
      <c r="S2538" s="177"/>
      <c r="T2538" s="177"/>
      <c r="U2538" s="177"/>
      <c r="V2538" s="2866"/>
      <c r="W2538" s="909">
        <v>14</v>
      </c>
      <c r="X2538" s="909">
        <v>14</v>
      </c>
      <c r="Y2538" s="926">
        <v>14</v>
      </c>
      <c r="Z2538" s="909"/>
      <c r="AA2538" s="909"/>
      <c r="AB2538" s="909"/>
      <c r="AC2538" s="909"/>
      <c r="AD2538" s="909"/>
      <c r="AE2538" s="909"/>
      <c r="AF2538" s="909"/>
      <c r="AG2538" s="909"/>
      <c r="BB2538" s="784"/>
      <c r="BC2538" s="785"/>
      <c r="BD2538" s="900"/>
      <c r="BE2538" s="797"/>
    </row>
    <row r="2539" spans="1:57" s="65" customFormat="1" ht="15" hidden="1" customHeight="1" outlineLevel="1" x14ac:dyDescent="0.25">
      <c r="A2539" s="785"/>
      <c r="B2539" s="177"/>
      <c r="C2539" s="455"/>
      <c r="D2539" s="2806"/>
      <c r="E2539" s="2856"/>
      <c r="F2539" s="2908" t="str">
        <f>$E$1602</f>
        <v>ASHP SEER 20 replace ASHP - early replacement MF ER1_CompE</v>
      </c>
      <c r="G2539" s="2909"/>
      <c r="H2539" s="2909"/>
      <c r="I2539" s="2910"/>
      <c r="J2539" s="1657" t="str">
        <f>$C$1602</f>
        <v>354701_2019_12_</v>
      </c>
      <c r="K2539" s="1663">
        <v>8.33</v>
      </c>
      <c r="L2539" s="1124"/>
      <c r="M2539" s="2915"/>
      <c r="N2539" s="177"/>
      <c r="O2539" s="332"/>
      <c r="P2539" s="332"/>
      <c r="Q2539" s="332"/>
      <c r="R2539" s="332"/>
      <c r="S2539" s="177"/>
      <c r="T2539" s="177"/>
      <c r="U2539" s="177"/>
      <c r="V2539" s="2866"/>
      <c r="W2539" s="909"/>
      <c r="X2539" s="909"/>
      <c r="Y2539" s="933">
        <v>8.33</v>
      </c>
      <c r="Z2539" s="909"/>
      <c r="AA2539" s="909"/>
      <c r="AB2539" s="909"/>
      <c r="AC2539" s="909"/>
      <c r="AD2539" s="909"/>
      <c r="AE2539" s="909"/>
      <c r="AF2539" s="909"/>
      <c r="AG2539" s="909"/>
      <c r="BB2539" s="784"/>
      <c r="BC2539" s="785"/>
      <c r="BD2539" s="900"/>
      <c r="BE2539" s="797"/>
    </row>
    <row r="2540" spans="1:57" s="65" customFormat="1" ht="15" hidden="1" customHeight="1" outlineLevel="1" x14ac:dyDescent="0.25">
      <c r="A2540" s="785"/>
      <c r="B2540" s="177"/>
      <c r="C2540" s="455"/>
      <c r="D2540" s="2806"/>
      <c r="E2540" s="2856"/>
      <c r="F2540" s="2908" t="str">
        <f>$E$1604</f>
        <v>ASHP SEER 20 replace ASHP - early replacement MF ER2_CompE</v>
      </c>
      <c r="G2540" s="2909"/>
      <c r="H2540" s="2909"/>
      <c r="I2540" s="2910"/>
      <c r="J2540" s="1657" t="str">
        <f>$C$1604</f>
        <v>354701_2019_12_</v>
      </c>
      <c r="K2540" s="1663">
        <v>14</v>
      </c>
      <c r="L2540" s="1124"/>
      <c r="M2540" s="2915"/>
      <c r="N2540" s="177"/>
      <c r="O2540" s="332"/>
      <c r="P2540" s="332"/>
      <c r="Q2540" s="332"/>
      <c r="R2540" s="332"/>
      <c r="S2540" s="177"/>
      <c r="T2540" s="177"/>
      <c r="U2540" s="177"/>
      <c r="V2540" s="2866"/>
      <c r="W2540" s="909"/>
      <c r="X2540" s="909"/>
      <c r="Y2540" s="933">
        <v>14</v>
      </c>
      <c r="Z2540" s="909"/>
      <c r="AA2540" s="909"/>
      <c r="AB2540" s="909"/>
      <c r="AC2540" s="909"/>
      <c r="AD2540" s="909"/>
      <c r="AE2540" s="909"/>
      <c r="AF2540" s="909"/>
      <c r="AG2540" s="909"/>
      <c r="BB2540" s="784"/>
      <c r="BC2540" s="785"/>
      <c r="BD2540" s="900"/>
      <c r="BE2540" s="797"/>
    </row>
    <row r="2541" spans="1:57" s="65" customFormat="1" ht="15" hidden="1" customHeight="1" outlineLevel="1" x14ac:dyDescent="0.25">
      <c r="A2541" s="785"/>
      <c r="B2541" s="177"/>
      <c r="C2541" s="455"/>
      <c r="D2541" s="2806"/>
      <c r="E2541" s="2856"/>
      <c r="F2541" s="2908" t="str">
        <f>$E$1606</f>
        <v>ASHP SEER 21 replace ASHP - early replacement SF ER1</v>
      </c>
      <c r="G2541" s="2909"/>
      <c r="H2541" s="2909"/>
      <c r="I2541" s="2910"/>
      <c r="J2541" s="1657" t="str">
        <f>$C$1606</f>
        <v>354750_2019_12_</v>
      </c>
      <c r="K2541" s="1663">
        <v>8.33</v>
      </c>
      <c r="L2541" s="1124"/>
      <c r="M2541" s="2915"/>
      <c r="N2541" s="177"/>
      <c r="O2541" s="332"/>
      <c r="P2541" s="332"/>
      <c r="Q2541" s="332"/>
      <c r="R2541" s="332"/>
      <c r="S2541" s="177"/>
      <c r="T2541" s="177"/>
      <c r="U2541" s="177"/>
      <c r="V2541" s="2866"/>
      <c r="W2541" s="909">
        <v>7.2</v>
      </c>
      <c r="X2541" s="908">
        <v>8.33</v>
      </c>
      <c r="Y2541" s="926">
        <v>8.33</v>
      </c>
      <c r="Z2541" s="909"/>
      <c r="AA2541" s="909"/>
      <c r="AB2541" s="909"/>
      <c r="AC2541" s="909"/>
      <c r="AD2541" s="909"/>
      <c r="AE2541" s="909"/>
      <c r="AF2541" s="909"/>
      <c r="AG2541" s="909"/>
      <c r="BB2541" s="784"/>
      <c r="BC2541" s="785"/>
      <c r="BD2541" s="900"/>
      <c r="BE2541" s="797"/>
    </row>
    <row r="2542" spans="1:57" s="65" customFormat="1" ht="15" hidden="1" customHeight="1" outlineLevel="1" x14ac:dyDescent="0.25">
      <c r="A2542" s="785"/>
      <c r="B2542" s="177"/>
      <c r="C2542" s="455"/>
      <c r="D2542" s="2806"/>
      <c r="E2542" s="2856"/>
      <c r="F2542" s="2908" t="str">
        <f>$E$1608</f>
        <v>ASHP SEER 21 replace ASHP - early replacement SF ER2</v>
      </c>
      <c r="G2542" s="2909"/>
      <c r="H2542" s="2909"/>
      <c r="I2542" s="2910"/>
      <c r="J2542" s="1657" t="str">
        <f>$C$1608</f>
        <v>354750_2019_12_</v>
      </c>
      <c r="K2542" s="1663">
        <v>14</v>
      </c>
      <c r="L2542" s="1124"/>
      <c r="M2542" s="2915"/>
      <c r="N2542" s="177"/>
      <c r="O2542" s="332"/>
      <c r="P2542" s="332"/>
      <c r="Q2542" s="332"/>
      <c r="R2542" s="332"/>
      <c r="S2542" s="177"/>
      <c r="T2542" s="177"/>
      <c r="U2542" s="177"/>
      <c r="V2542" s="2866"/>
      <c r="W2542" s="909">
        <v>14</v>
      </c>
      <c r="X2542" s="909">
        <v>14</v>
      </c>
      <c r="Y2542" s="926">
        <v>14</v>
      </c>
      <c r="Z2542" s="909"/>
      <c r="AA2542" s="909"/>
      <c r="AB2542" s="909"/>
      <c r="AC2542" s="909"/>
      <c r="AD2542" s="909"/>
      <c r="AE2542" s="909"/>
      <c r="AF2542" s="909"/>
      <c r="AG2542" s="909"/>
      <c r="BB2542" s="784"/>
      <c r="BC2542" s="785"/>
      <c r="BD2542" s="900"/>
      <c r="BE2542" s="797"/>
    </row>
    <row r="2543" spans="1:57" s="65" customFormat="1" ht="15" hidden="1" customHeight="1" outlineLevel="1" x14ac:dyDescent="0.25">
      <c r="A2543" s="785"/>
      <c r="B2543" s="177"/>
      <c r="C2543" s="455"/>
      <c r="D2543" s="2806"/>
      <c r="E2543" s="2856"/>
      <c r="F2543" s="2908" t="str">
        <f>$E$1610</f>
        <v>ASHP SEER 21 replace ASHP - replace on fail SF</v>
      </c>
      <c r="G2543" s="2909"/>
      <c r="H2543" s="2909"/>
      <c r="I2543" s="2910"/>
      <c r="J2543" s="1657" t="str">
        <f>$C$1610</f>
        <v>354800_2019_12_</v>
      </c>
      <c r="K2543" s="1663">
        <v>14</v>
      </c>
      <c r="L2543" s="1124"/>
      <c r="M2543" s="2915"/>
      <c r="N2543" s="177"/>
      <c r="O2543" s="332"/>
      <c r="P2543" s="332"/>
      <c r="Q2543" s="332"/>
      <c r="R2543" s="332"/>
      <c r="S2543" s="177"/>
      <c r="T2543" s="177"/>
      <c r="U2543" s="177"/>
      <c r="V2543" s="2866"/>
      <c r="W2543" s="909">
        <v>14</v>
      </c>
      <c r="X2543" s="909">
        <v>14</v>
      </c>
      <c r="Y2543" s="926">
        <v>14</v>
      </c>
      <c r="Z2543" s="909"/>
      <c r="AA2543" s="909"/>
      <c r="AB2543" s="909"/>
      <c r="AC2543" s="909"/>
      <c r="AD2543" s="909"/>
      <c r="AE2543" s="909"/>
      <c r="AF2543" s="909"/>
      <c r="AG2543" s="909"/>
      <c r="BB2543" s="784"/>
      <c r="BC2543" s="785"/>
      <c r="BD2543" s="900"/>
      <c r="BE2543" s="797"/>
    </row>
    <row r="2544" spans="1:57" s="65" customFormat="1" ht="15" hidden="1" customHeight="1" outlineLevel="1" x14ac:dyDescent="0.25">
      <c r="A2544" s="785"/>
      <c r="B2544" s="177"/>
      <c r="C2544" s="455"/>
      <c r="D2544" s="2806"/>
      <c r="E2544" s="2856"/>
      <c r="F2544" s="2908" t="str">
        <f>$E$1612</f>
        <v>ASHP - SEER 21 - replace electric furnace / CAC MF</v>
      </c>
      <c r="G2544" s="2909"/>
      <c r="H2544" s="2909"/>
      <c r="I2544" s="2910"/>
      <c r="J2544" s="1657" t="str">
        <f>$C$1612</f>
        <v>354850_2019_12_</v>
      </c>
      <c r="K2544" s="1663">
        <v>13</v>
      </c>
      <c r="L2544" s="1124"/>
      <c r="M2544" s="2915"/>
      <c r="N2544" s="177"/>
      <c r="O2544" s="332"/>
      <c r="P2544" s="332"/>
      <c r="Q2544" s="332"/>
      <c r="R2544" s="332"/>
      <c r="S2544" s="177"/>
      <c r="T2544" s="177"/>
      <c r="U2544" s="177"/>
      <c r="V2544" s="2866"/>
      <c r="W2544" s="909">
        <v>13</v>
      </c>
      <c r="X2544" s="909">
        <v>13</v>
      </c>
      <c r="Y2544" s="926">
        <v>13</v>
      </c>
      <c r="Z2544" s="909"/>
      <c r="AA2544" s="909"/>
      <c r="AB2544" s="909"/>
      <c r="AC2544" s="909"/>
      <c r="AD2544" s="909"/>
      <c r="AE2544" s="909"/>
      <c r="AF2544" s="909"/>
      <c r="AG2544" s="909"/>
      <c r="BB2544" s="784"/>
      <c r="BC2544" s="785"/>
      <c r="BD2544" s="900"/>
      <c r="BE2544" s="797"/>
    </row>
    <row r="2545" spans="1:57" s="65" customFormat="1" ht="15" hidden="1" customHeight="1" outlineLevel="1" x14ac:dyDescent="0.25">
      <c r="A2545" s="785"/>
      <c r="B2545" s="177"/>
      <c r="C2545" s="455"/>
      <c r="D2545" s="2806"/>
      <c r="E2545" s="2856"/>
      <c r="F2545" s="2908" t="str">
        <f>$E$1614</f>
        <v>ASHP - SEER 21 - replace electric furnace / CAC MF_CompE</v>
      </c>
      <c r="G2545" s="2909"/>
      <c r="H2545" s="2909"/>
      <c r="I2545" s="2910"/>
      <c r="J2545" s="1657" t="str">
        <f>$C$1614</f>
        <v>354851_2019_12_</v>
      </c>
      <c r="K2545" s="1663">
        <v>13</v>
      </c>
      <c r="L2545" s="1124"/>
      <c r="M2545" s="2915"/>
      <c r="N2545" s="177"/>
      <c r="O2545" s="332"/>
      <c r="P2545" s="332"/>
      <c r="Q2545" s="332"/>
      <c r="R2545" s="332"/>
      <c r="S2545" s="177"/>
      <c r="T2545" s="177"/>
      <c r="U2545" s="177"/>
      <c r="V2545" s="2866"/>
      <c r="W2545" s="909"/>
      <c r="X2545" s="909"/>
      <c r="Y2545" s="933">
        <v>13</v>
      </c>
      <c r="Z2545" s="909"/>
      <c r="AA2545" s="909"/>
      <c r="AB2545" s="909"/>
      <c r="AC2545" s="909"/>
      <c r="AD2545" s="909"/>
      <c r="AE2545" s="909"/>
      <c r="AF2545" s="909"/>
      <c r="AG2545" s="909"/>
      <c r="BB2545" s="784"/>
      <c r="BC2545" s="785"/>
      <c r="BD2545" s="900"/>
      <c r="BE2545" s="797"/>
    </row>
    <row r="2546" spans="1:57" s="65" customFormat="1" ht="15" hidden="1" customHeight="1" outlineLevel="1" x14ac:dyDescent="0.25">
      <c r="A2546" s="785"/>
      <c r="B2546" s="177"/>
      <c r="C2546" s="455"/>
      <c r="D2546" s="2806"/>
      <c r="E2546" s="2856"/>
      <c r="F2546" s="2908" t="str">
        <f>$E$1616</f>
        <v>ASHP SEER 21 replace ASHP - early replacement MF ER1</v>
      </c>
      <c r="G2546" s="2909"/>
      <c r="H2546" s="2909"/>
      <c r="I2546" s="2910"/>
      <c r="J2546" s="1657" t="str">
        <f>$C$1616</f>
        <v>354900_2019_12_</v>
      </c>
      <c r="K2546" s="1663">
        <v>8.33</v>
      </c>
      <c r="L2546" s="1124"/>
      <c r="M2546" s="2915"/>
      <c r="N2546" s="177"/>
      <c r="O2546" s="332"/>
      <c r="P2546" s="332"/>
      <c r="Q2546" s="332"/>
      <c r="R2546" s="332"/>
      <c r="S2546" s="177"/>
      <c r="T2546" s="177"/>
      <c r="U2546" s="177"/>
      <c r="V2546" s="2866"/>
      <c r="W2546" s="909">
        <v>7.2</v>
      </c>
      <c r="X2546" s="908">
        <v>8.33</v>
      </c>
      <c r="Y2546" s="926">
        <v>8.33</v>
      </c>
      <c r="Z2546" s="909"/>
      <c r="AA2546" s="909"/>
      <c r="AB2546" s="909"/>
      <c r="AC2546" s="909"/>
      <c r="AD2546" s="909"/>
      <c r="AE2546" s="909"/>
      <c r="AF2546" s="909"/>
      <c r="AG2546" s="909"/>
      <c r="BB2546" s="784"/>
      <c r="BC2546" s="785"/>
      <c r="BD2546" s="900"/>
      <c r="BE2546" s="797"/>
    </row>
    <row r="2547" spans="1:57" s="65" customFormat="1" ht="15" hidden="1" customHeight="1" outlineLevel="1" x14ac:dyDescent="0.25">
      <c r="A2547" s="785"/>
      <c r="B2547" s="177"/>
      <c r="C2547" s="455"/>
      <c r="D2547" s="2806"/>
      <c r="E2547" s="2856"/>
      <c r="F2547" s="2908" t="str">
        <f>$E$1618</f>
        <v>ASHP SEER 21 replace ASHP - early replacement MF ER2</v>
      </c>
      <c r="G2547" s="2909"/>
      <c r="H2547" s="2909"/>
      <c r="I2547" s="2910"/>
      <c r="J2547" s="1657" t="str">
        <f>$C$1618</f>
        <v>354900_2019_12_</v>
      </c>
      <c r="K2547" s="1663">
        <v>14</v>
      </c>
      <c r="L2547" s="1124"/>
      <c r="M2547" s="2915"/>
      <c r="N2547" s="177"/>
      <c r="O2547" s="332"/>
      <c r="P2547" s="332"/>
      <c r="Q2547" s="332"/>
      <c r="R2547" s="332"/>
      <c r="S2547" s="177"/>
      <c r="T2547" s="177"/>
      <c r="U2547" s="177"/>
      <c r="V2547" s="2866"/>
      <c r="W2547" s="909">
        <v>14</v>
      </c>
      <c r="X2547" s="909">
        <v>14</v>
      </c>
      <c r="Y2547" s="926">
        <v>14</v>
      </c>
      <c r="Z2547" s="909"/>
      <c r="AA2547" s="909"/>
      <c r="AB2547" s="909"/>
      <c r="AC2547" s="909"/>
      <c r="AD2547" s="909"/>
      <c r="AE2547" s="909"/>
      <c r="AF2547" s="909"/>
      <c r="AG2547" s="909"/>
      <c r="BB2547" s="784"/>
      <c r="BC2547" s="785"/>
      <c r="BD2547" s="900"/>
      <c r="BE2547" s="797"/>
    </row>
    <row r="2548" spans="1:57" s="65" customFormat="1" ht="15" hidden="1" customHeight="1" outlineLevel="1" x14ac:dyDescent="0.25">
      <c r="A2548" s="785"/>
      <c r="B2548" s="177"/>
      <c r="C2548" s="455"/>
      <c r="D2548" s="2806"/>
      <c r="E2548" s="2856"/>
      <c r="F2548" s="2908" t="str">
        <f>$E$1620</f>
        <v>ASHP SEER 21 replace ASHP - early replacement MF ER1_CompE</v>
      </c>
      <c r="G2548" s="2909"/>
      <c r="H2548" s="2909"/>
      <c r="I2548" s="2910"/>
      <c r="J2548" s="1657" t="str">
        <f>$C$1620</f>
        <v>354901_2019_12_</v>
      </c>
      <c r="K2548" s="1663">
        <v>8.33</v>
      </c>
      <c r="L2548" s="1124"/>
      <c r="M2548" s="2915"/>
      <c r="N2548" s="177"/>
      <c r="O2548" s="332"/>
      <c r="P2548" s="332"/>
      <c r="Q2548" s="332"/>
      <c r="R2548" s="332"/>
      <c r="S2548" s="177"/>
      <c r="T2548" s="177"/>
      <c r="U2548" s="177"/>
      <c r="V2548" s="2866"/>
      <c r="W2548" s="909"/>
      <c r="X2548" s="909"/>
      <c r="Y2548" s="933">
        <v>8.33</v>
      </c>
      <c r="Z2548" s="909"/>
      <c r="AA2548" s="909"/>
      <c r="AB2548" s="909"/>
      <c r="AC2548" s="909"/>
      <c r="AD2548" s="909"/>
      <c r="AE2548" s="909"/>
      <c r="AF2548" s="909"/>
      <c r="AG2548" s="909"/>
      <c r="BB2548" s="784"/>
      <c r="BC2548" s="785"/>
      <c r="BD2548" s="900"/>
      <c r="BE2548" s="797"/>
    </row>
    <row r="2549" spans="1:57" s="65" customFormat="1" ht="15" hidden="1" customHeight="1" outlineLevel="1" x14ac:dyDescent="0.25">
      <c r="A2549" s="785"/>
      <c r="B2549" s="177"/>
      <c r="C2549" s="455"/>
      <c r="D2549" s="2806"/>
      <c r="E2549" s="2856"/>
      <c r="F2549" s="2908" t="str">
        <f>$E$1622</f>
        <v>ASHP SEER 21 replace ASHP - early replacement MF ER2_CompE</v>
      </c>
      <c r="G2549" s="2909"/>
      <c r="H2549" s="2909"/>
      <c r="I2549" s="2910"/>
      <c r="J2549" s="1657" t="str">
        <f>$C$1622</f>
        <v>354901_2019_12_</v>
      </c>
      <c r="K2549" s="1663">
        <v>14</v>
      </c>
      <c r="L2549" s="1124"/>
      <c r="M2549" s="2915"/>
      <c r="N2549" s="177"/>
      <c r="O2549" s="332"/>
      <c r="P2549" s="332"/>
      <c r="Q2549" s="332"/>
      <c r="R2549" s="332"/>
      <c r="S2549" s="177"/>
      <c r="T2549" s="177"/>
      <c r="U2549" s="177"/>
      <c r="V2549" s="2866"/>
      <c r="W2549" s="909"/>
      <c r="X2549" s="909"/>
      <c r="Y2549" s="933">
        <v>14</v>
      </c>
      <c r="Z2549" s="909"/>
      <c r="AA2549" s="909"/>
      <c r="AB2549" s="909"/>
      <c r="AC2549" s="909"/>
      <c r="AD2549" s="909"/>
      <c r="AE2549" s="909"/>
      <c r="AF2549" s="909"/>
      <c r="AG2549" s="909"/>
      <c r="BB2549" s="784"/>
      <c r="BC2549" s="785"/>
      <c r="BD2549" s="900"/>
      <c r="BE2549" s="797"/>
    </row>
    <row r="2550" spans="1:57" s="65" customFormat="1" ht="15" hidden="1" customHeight="1" outlineLevel="1" x14ac:dyDescent="0.25">
      <c r="A2550" s="718"/>
      <c r="B2550" s="177"/>
      <c r="C2550" s="455"/>
      <c r="D2550" s="2806"/>
      <c r="E2550" s="2856"/>
      <c r="F2550" s="2908" t="str">
        <f>$E$1624</f>
        <v>ASHP - SEER 17 - replace on fail MF</v>
      </c>
      <c r="G2550" s="2909"/>
      <c r="H2550" s="2909"/>
      <c r="I2550" s="2910"/>
      <c r="J2550" s="1657" t="str">
        <f>$C$1624</f>
        <v>354950_2019_12_</v>
      </c>
      <c r="K2550" s="1663">
        <v>14</v>
      </c>
      <c r="L2550" s="1124"/>
      <c r="M2550" s="2915"/>
      <c r="N2550" s="177"/>
      <c r="O2550" s="332"/>
      <c r="P2550" s="1116"/>
      <c r="Q2550" s="1117"/>
      <c r="R2550" s="1116"/>
      <c r="S2550" s="1103"/>
      <c r="T2550" s="1639"/>
      <c r="U2550" s="177"/>
      <c r="V2550" s="2866"/>
      <c r="W2550" s="909">
        <v>14</v>
      </c>
      <c r="X2550" s="909">
        <v>14</v>
      </c>
      <c r="Y2550" s="926">
        <v>14</v>
      </c>
      <c r="Z2550" s="909"/>
      <c r="AA2550" s="909"/>
      <c r="AB2550" s="909"/>
      <c r="AC2550" s="909"/>
      <c r="AD2550" s="909"/>
      <c r="AE2550" s="909"/>
      <c r="AF2550" s="909"/>
      <c r="AG2550" s="909"/>
      <c r="BB2550" s="784"/>
      <c r="BC2550" s="785"/>
      <c r="BD2550" s="900"/>
      <c r="BE2550" s="797"/>
    </row>
    <row r="2551" spans="1:57" s="65" customFormat="1" ht="15" hidden="1" customHeight="1" outlineLevel="1" x14ac:dyDescent="0.25">
      <c r="A2551" s="718"/>
      <c r="B2551" s="177"/>
      <c r="C2551" s="455"/>
      <c r="D2551" s="2806"/>
      <c r="E2551" s="2856"/>
      <c r="F2551" s="2908" t="str">
        <f>$E$1626</f>
        <v>ASHP - SEER 17 - replace on fail MF_CompE</v>
      </c>
      <c r="G2551" s="2909"/>
      <c r="H2551" s="2909"/>
      <c r="I2551" s="2910"/>
      <c r="J2551" s="1657" t="str">
        <f>$C$1626</f>
        <v>354951_2019_12_</v>
      </c>
      <c r="K2551" s="1663">
        <v>14</v>
      </c>
      <c r="L2551" s="1124"/>
      <c r="M2551" s="2915"/>
      <c r="N2551" s="177"/>
      <c r="O2551" s="332"/>
      <c r="P2551" s="1116"/>
      <c r="Q2551" s="1117"/>
      <c r="R2551" s="1116"/>
      <c r="S2551" s="1103"/>
      <c r="T2551" s="1639"/>
      <c r="U2551" s="177"/>
      <c r="V2551" s="2866"/>
      <c r="W2551" s="909"/>
      <c r="X2551" s="909"/>
      <c r="Y2551" s="933">
        <v>14</v>
      </c>
      <c r="Z2551" s="909"/>
      <c r="AA2551" s="909"/>
      <c r="AB2551" s="909"/>
      <c r="AC2551" s="909"/>
      <c r="AD2551" s="909"/>
      <c r="AE2551" s="909"/>
      <c r="AF2551" s="909"/>
      <c r="AG2551" s="909"/>
      <c r="BB2551" s="784"/>
      <c r="BC2551" s="785"/>
      <c r="BD2551" s="900"/>
      <c r="BE2551" s="797"/>
    </row>
    <row r="2552" spans="1:57" s="65" customFormat="1" ht="15" hidden="1" customHeight="1" outlineLevel="1" x14ac:dyDescent="0.25">
      <c r="A2552" s="718"/>
      <c r="B2552" s="177"/>
      <c r="C2552" s="455"/>
      <c r="D2552" s="2806"/>
      <c r="E2552" s="2856"/>
      <c r="F2552" s="2908" t="str">
        <f>$E$1628</f>
        <v>ASHP - SEER 18 - replace on fail MF</v>
      </c>
      <c r="G2552" s="2909"/>
      <c r="H2552" s="2909"/>
      <c r="I2552" s="2910"/>
      <c r="J2552" s="1657" t="str">
        <f>$C$1628</f>
        <v>355000_2019_12_</v>
      </c>
      <c r="K2552" s="1663">
        <v>14</v>
      </c>
      <c r="L2552" s="1124"/>
      <c r="M2552" s="2915"/>
      <c r="N2552" s="177"/>
      <c r="O2552" s="332"/>
      <c r="P2552" s="1116"/>
      <c r="Q2552" s="1117"/>
      <c r="R2552" s="1116"/>
      <c r="S2552" s="1103"/>
      <c r="T2552" s="1639"/>
      <c r="U2552" s="177"/>
      <c r="V2552" s="2866"/>
      <c r="W2552" s="909">
        <v>14</v>
      </c>
      <c r="X2552" s="909">
        <v>14</v>
      </c>
      <c r="Y2552" s="926">
        <v>14</v>
      </c>
      <c r="Z2552" s="909"/>
      <c r="AA2552" s="909"/>
      <c r="AB2552" s="909"/>
      <c r="AC2552" s="909"/>
      <c r="AD2552" s="909"/>
      <c r="AE2552" s="909"/>
      <c r="AF2552" s="909"/>
      <c r="AG2552" s="909"/>
      <c r="BB2552" s="784"/>
      <c r="BC2552" s="785"/>
      <c r="BD2552" s="900"/>
      <c r="BE2552" s="797"/>
    </row>
    <row r="2553" spans="1:57" s="65" customFormat="1" ht="15" hidden="1" customHeight="1" outlineLevel="1" x14ac:dyDescent="0.25">
      <c r="A2553" s="718"/>
      <c r="B2553" s="177"/>
      <c r="C2553" s="455"/>
      <c r="D2553" s="2806"/>
      <c r="E2553" s="2856"/>
      <c r="F2553" s="2908" t="str">
        <f>$E$1630</f>
        <v>ASHP - SEER 18 - replace on fail MF_CompE</v>
      </c>
      <c r="G2553" s="2909"/>
      <c r="H2553" s="2909"/>
      <c r="I2553" s="2910"/>
      <c r="J2553" s="1657" t="str">
        <f>$C$1630</f>
        <v>355001_2019_12_</v>
      </c>
      <c r="K2553" s="1663">
        <v>14</v>
      </c>
      <c r="L2553" s="1124"/>
      <c r="M2553" s="2915"/>
      <c r="N2553" s="177"/>
      <c r="O2553" s="332"/>
      <c r="P2553" s="1116"/>
      <c r="Q2553" s="1117"/>
      <c r="R2553" s="1116"/>
      <c r="S2553" s="1103"/>
      <c r="T2553" s="1639"/>
      <c r="U2553" s="177"/>
      <c r="V2553" s="2866"/>
      <c r="W2553" s="909"/>
      <c r="X2553" s="909"/>
      <c r="Y2553" s="933">
        <v>14</v>
      </c>
      <c r="Z2553" s="909"/>
      <c r="AA2553" s="909"/>
      <c r="AB2553" s="909"/>
      <c r="AC2553" s="909"/>
      <c r="AD2553" s="909"/>
      <c r="AE2553" s="909"/>
      <c r="AF2553" s="909"/>
      <c r="AG2553" s="909"/>
      <c r="BB2553" s="784"/>
      <c r="BC2553" s="785"/>
      <c r="BD2553" s="900"/>
      <c r="BE2553" s="797"/>
    </row>
    <row r="2554" spans="1:57" s="65" customFormat="1" ht="15" hidden="1" customHeight="1" outlineLevel="1" x14ac:dyDescent="0.25">
      <c r="A2554" s="785"/>
      <c r="B2554" s="177"/>
      <c r="C2554" s="455"/>
      <c r="D2554" s="2806"/>
      <c r="E2554" s="2856"/>
      <c r="F2554" s="2908" t="str">
        <f>$E$1632</f>
        <v>ASHP - SEER 19 - replace on fail MF</v>
      </c>
      <c r="G2554" s="2909"/>
      <c r="H2554" s="2909"/>
      <c r="I2554" s="2910"/>
      <c r="J2554" s="1657" t="str">
        <f>$C$1632</f>
        <v>355050_2019_12_</v>
      </c>
      <c r="K2554" s="1663">
        <v>14</v>
      </c>
      <c r="L2554" s="1124"/>
      <c r="M2554" s="2915"/>
      <c r="N2554" s="177"/>
      <c r="O2554" s="332"/>
      <c r="P2554" s="332"/>
      <c r="Q2554" s="332"/>
      <c r="R2554" s="332"/>
      <c r="S2554" s="177"/>
      <c r="T2554" s="177"/>
      <c r="U2554" s="177"/>
      <c r="V2554" s="2866"/>
      <c r="W2554" s="909">
        <v>14</v>
      </c>
      <c r="X2554" s="909">
        <v>14</v>
      </c>
      <c r="Y2554" s="926">
        <v>14</v>
      </c>
      <c r="Z2554" s="909"/>
      <c r="AA2554" s="909"/>
      <c r="AB2554" s="909"/>
      <c r="AC2554" s="909"/>
      <c r="AD2554" s="909"/>
      <c r="AE2554" s="909"/>
      <c r="AF2554" s="909"/>
      <c r="AG2554" s="909"/>
      <c r="BB2554" s="784"/>
      <c r="BC2554" s="785"/>
      <c r="BD2554" s="900"/>
      <c r="BE2554" s="797"/>
    </row>
    <row r="2555" spans="1:57" s="65" customFormat="1" ht="15" hidden="1" customHeight="1" outlineLevel="1" x14ac:dyDescent="0.25">
      <c r="A2555" s="785"/>
      <c r="B2555" s="177"/>
      <c r="C2555" s="455"/>
      <c r="D2555" s="2806"/>
      <c r="E2555" s="2856"/>
      <c r="F2555" s="2908" t="str">
        <f>$E$1634</f>
        <v>ASHP - SEER 19 - replace on fail MF_CompE</v>
      </c>
      <c r="G2555" s="2909"/>
      <c r="H2555" s="2909"/>
      <c r="I2555" s="2910"/>
      <c r="J2555" s="1657" t="str">
        <f>$C$1634</f>
        <v>355051_2019_12_</v>
      </c>
      <c r="K2555" s="1663">
        <v>14</v>
      </c>
      <c r="L2555" s="1124"/>
      <c r="M2555" s="2915"/>
      <c r="N2555" s="177"/>
      <c r="O2555" s="332"/>
      <c r="P2555" s="332"/>
      <c r="Q2555" s="332"/>
      <c r="R2555" s="332"/>
      <c r="S2555" s="177"/>
      <c r="T2555" s="177"/>
      <c r="U2555" s="177"/>
      <c r="V2555" s="2866"/>
      <c r="W2555" s="909"/>
      <c r="X2555" s="909"/>
      <c r="Y2555" s="933">
        <v>14</v>
      </c>
      <c r="Z2555" s="909"/>
      <c r="AA2555" s="909"/>
      <c r="AB2555" s="909"/>
      <c r="AC2555" s="909"/>
      <c r="AD2555" s="909"/>
      <c r="AE2555" s="909"/>
      <c r="AF2555" s="909"/>
      <c r="AG2555" s="909"/>
      <c r="BB2555" s="784"/>
      <c r="BC2555" s="785"/>
      <c r="BD2555" s="900"/>
      <c r="BE2555" s="797"/>
    </row>
    <row r="2556" spans="1:57" s="65" customFormat="1" ht="15" hidden="1" customHeight="1" outlineLevel="1" x14ac:dyDescent="0.25">
      <c r="A2556" s="785"/>
      <c r="B2556" s="177"/>
      <c r="C2556" s="455"/>
      <c r="D2556" s="2806"/>
      <c r="E2556" s="2856"/>
      <c r="F2556" s="2908" t="str">
        <f>$E$1636</f>
        <v>ASHP - SEER 20 - replace on fail MF</v>
      </c>
      <c r="G2556" s="2909"/>
      <c r="H2556" s="2909"/>
      <c r="I2556" s="2910"/>
      <c r="J2556" s="1657" t="str">
        <f>$C$1636</f>
        <v>355100_2019_12_</v>
      </c>
      <c r="K2556" s="1663">
        <v>14</v>
      </c>
      <c r="L2556" s="1124"/>
      <c r="M2556" s="2915"/>
      <c r="N2556" s="177"/>
      <c r="O2556" s="332"/>
      <c r="P2556" s="332"/>
      <c r="Q2556" s="332"/>
      <c r="R2556" s="332"/>
      <c r="S2556" s="177"/>
      <c r="T2556" s="177"/>
      <c r="U2556" s="177"/>
      <c r="V2556" s="2866"/>
      <c r="W2556" s="909">
        <v>14</v>
      </c>
      <c r="X2556" s="909">
        <v>14</v>
      </c>
      <c r="Y2556" s="926">
        <v>14</v>
      </c>
      <c r="Z2556" s="909"/>
      <c r="AA2556" s="909"/>
      <c r="AB2556" s="909"/>
      <c r="AC2556" s="909"/>
      <c r="AD2556" s="909"/>
      <c r="AE2556" s="909"/>
      <c r="AF2556" s="909"/>
      <c r="AG2556" s="909"/>
      <c r="BB2556" s="784"/>
      <c r="BC2556" s="785"/>
      <c r="BD2556" s="900"/>
      <c r="BE2556" s="797"/>
    </row>
    <row r="2557" spans="1:57" s="65" customFormat="1" ht="15" hidden="1" customHeight="1" outlineLevel="1" x14ac:dyDescent="0.25">
      <c r="A2557" s="785"/>
      <c r="B2557" s="177"/>
      <c r="C2557" s="455"/>
      <c r="D2557" s="2806"/>
      <c r="E2557" s="2856"/>
      <c r="F2557" s="2908" t="str">
        <f>$E$1638</f>
        <v>ASHP - SEER 20 - replace on fail MF_CompE</v>
      </c>
      <c r="G2557" s="2909"/>
      <c r="H2557" s="2909"/>
      <c r="I2557" s="2910"/>
      <c r="J2557" s="1657" t="str">
        <f>$C$1638</f>
        <v>355101_2019_12_</v>
      </c>
      <c r="K2557" s="1663">
        <v>14</v>
      </c>
      <c r="L2557" s="1125"/>
      <c r="M2557" s="2915"/>
      <c r="N2557" s="177"/>
      <c r="O2557" s="332"/>
      <c r="P2557" s="332"/>
      <c r="Q2557" s="332"/>
      <c r="R2557" s="332"/>
      <c r="S2557" s="177"/>
      <c r="T2557" s="177"/>
      <c r="U2557" s="177"/>
      <c r="V2557" s="2866"/>
      <c r="W2557" s="921"/>
      <c r="X2557" s="921"/>
      <c r="Y2557" s="933">
        <v>14</v>
      </c>
      <c r="Z2557" s="921"/>
      <c r="AA2557" s="909"/>
      <c r="AB2557" s="921"/>
      <c r="AC2557" s="921"/>
      <c r="AD2557" s="921"/>
      <c r="AE2557" s="921"/>
      <c r="AF2557" s="921"/>
      <c r="AG2557" s="921"/>
      <c r="BB2557" s="784"/>
      <c r="BC2557" s="785"/>
      <c r="BD2557" s="900"/>
      <c r="BE2557" s="797"/>
    </row>
    <row r="2558" spans="1:57" s="65" customFormat="1" ht="15.75" hidden="1" customHeight="1" outlineLevel="1" x14ac:dyDescent="0.25">
      <c r="A2558" s="718"/>
      <c r="B2558" s="177"/>
      <c r="C2558" s="455"/>
      <c r="D2558" s="2806"/>
      <c r="E2558" s="2856"/>
      <c r="F2558" s="2908" t="str">
        <f>$E$1640</f>
        <v>ASHP - SEER 21 - replace on fail MF</v>
      </c>
      <c r="G2558" s="2909"/>
      <c r="H2558" s="2909"/>
      <c r="I2558" s="2910"/>
      <c r="J2558" s="1657" t="str">
        <f>$C$1640</f>
        <v>355150_2019_12_</v>
      </c>
      <c r="K2558" s="1663">
        <v>14</v>
      </c>
      <c r="L2558" s="1124"/>
      <c r="M2558" s="2915"/>
      <c r="N2558" s="177"/>
      <c r="O2558" s="332"/>
      <c r="P2558" s="1116"/>
      <c r="Q2558" s="1117"/>
      <c r="R2558" s="1116"/>
      <c r="S2558" s="1103"/>
      <c r="T2558" s="1639"/>
      <c r="U2558" s="177"/>
      <c r="V2558" s="2866"/>
      <c r="W2558" s="909">
        <v>14</v>
      </c>
      <c r="X2558" s="909">
        <v>14</v>
      </c>
      <c r="Y2558" s="921">
        <v>14</v>
      </c>
      <c r="Z2558" s="909"/>
      <c r="AA2558" s="909"/>
      <c r="AB2558" s="909"/>
      <c r="AC2558" s="909"/>
      <c r="AD2558" s="909"/>
      <c r="AE2558" s="909"/>
      <c r="AF2558" s="909"/>
      <c r="AG2558" s="909"/>
      <c r="BB2558" s="784"/>
      <c r="BC2558" s="785"/>
      <c r="BD2558" s="900"/>
      <c r="BE2558" s="797"/>
    </row>
    <row r="2559" spans="1:57" s="65" customFormat="1" ht="15.75" hidden="1" customHeight="1" outlineLevel="1" thickBot="1" x14ac:dyDescent="0.3">
      <c r="A2559" s="718"/>
      <c r="B2559" s="177"/>
      <c r="C2559" s="455"/>
      <c r="D2559" s="2808"/>
      <c r="E2559" s="2858"/>
      <c r="F2559" s="2100" t="str">
        <f>$E$1642</f>
        <v>ASHP - SEER 21 - replace on fail MF_CompE</v>
      </c>
      <c r="G2559" s="1119"/>
      <c r="H2559" s="1119"/>
      <c r="I2559" s="1120"/>
      <c r="J2559" s="2100" t="str">
        <f>$C$1642</f>
        <v>355151_2019_12_</v>
      </c>
      <c r="K2559" s="1128">
        <v>14</v>
      </c>
      <c r="L2559" s="1134"/>
      <c r="M2559" s="2916"/>
      <c r="N2559" s="177"/>
      <c r="O2559" s="332"/>
      <c r="P2559" s="1116"/>
      <c r="Q2559" s="1117"/>
      <c r="R2559" s="1116"/>
      <c r="S2559" s="1103"/>
      <c r="T2559" s="1639"/>
      <c r="U2559" s="177"/>
      <c r="V2559" s="2848"/>
      <c r="W2559" s="924"/>
      <c r="X2559" s="924"/>
      <c r="Y2559" s="1021">
        <v>14</v>
      </c>
      <c r="Z2559" s="924"/>
      <c r="AA2559" s="924"/>
      <c r="AB2559" s="924"/>
      <c r="AC2559" s="924"/>
      <c r="AD2559" s="924"/>
      <c r="AE2559" s="924"/>
      <c r="AF2559" s="924"/>
      <c r="AG2559" s="924"/>
      <c r="BB2559" s="784"/>
      <c r="BC2559" s="785"/>
      <c r="BD2559" s="900"/>
      <c r="BE2559" s="797"/>
    </row>
    <row r="2560" spans="1:57" s="65" customFormat="1" ht="15" hidden="1" customHeight="1" outlineLevel="1" x14ac:dyDescent="0.25">
      <c r="A2560" s="718"/>
      <c r="B2560" s="177"/>
      <c r="C2560" s="455"/>
      <c r="D2560" s="2805" t="s">
        <v>1396</v>
      </c>
      <c r="E2560" s="2855" t="s">
        <v>1604</v>
      </c>
      <c r="F2560" s="2905" t="str">
        <f>$E$1388</f>
        <v>ASHP - SEER 15 ER Elec Resist Furnace: HVAC ER1</v>
      </c>
      <c r="G2560" s="2905"/>
      <c r="H2560" s="2905"/>
      <c r="I2560" s="2905"/>
      <c r="J2560" s="1656" t="str">
        <f>$C$1388</f>
        <v>352300_2019_12_</v>
      </c>
      <c r="K2560" s="1667">
        <v>15.11</v>
      </c>
      <c r="L2560" s="1008"/>
      <c r="M2560" s="2104" t="s">
        <v>1280</v>
      </c>
      <c r="N2560" s="177"/>
      <c r="O2560" s="332"/>
      <c r="P2560" s="1116"/>
      <c r="Q2560" s="1116"/>
      <c r="R2560" s="1116"/>
      <c r="S2560" s="1103"/>
      <c r="T2560" s="1639"/>
      <c r="U2560" s="177"/>
      <c r="V2560" s="2867" t="s">
        <v>1396</v>
      </c>
      <c r="W2560" s="903">
        <v>15.1</v>
      </c>
      <c r="X2560" s="902">
        <v>15.12</v>
      </c>
      <c r="Y2560" s="933">
        <v>15.11</v>
      </c>
      <c r="Z2560" s="903"/>
      <c r="AA2560" s="903"/>
      <c r="AB2560" s="903"/>
      <c r="AC2560" s="903"/>
      <c r="AD2560" s="903"/>
      <c r="AE2560" s="903"/>
      <c r="AF2560" s="903"/>
      <c r="AG2560" s="903"/>
      <c r="BB2560" s="784"/>
      <c r="BC2560" s="785"/>
      <c r="BD2560" s="900"/>
      <c r="BE2560" s="797"/>
    </row>
    <row r="2561" spans="1:57" s="65" customFormat="1" ht="15" hidden="1" customHeight="1" outlineLevel="1" x14ac:dyDescent="0.25">
      <c r="A2561" s="718"/>
      <c r="B2561" s="177"/>
      <c r="C2561" s="455"/>
      <c r="D2561" s="2806"/>
      <c r="E2561" s="2856"/>
      <c r="F2561" s="2908" t="str">
        <f>$E$1390</f>
        <v>ASHP - SEER 15 ER Elec Resist Furnace: HVAC ER2</v>
      </c>
      <c r="G2561" s="2909"/>
      <c r="H2561" s="2909"/>
      <c r="I2561" s="2910"/>
      <c r="J2561" s="1657" t="str">
        <f>$C$1390</f>
        <v>352300_2019_12_</v>
      </c>
      <c r="K2561" s="1663">
        <v>15.11</v>
      </c>
      <c r="L2561" s="1123"/>
      <c r="M2561" s="2104" t="s">
        <v>1280</v>
      </c>
      <c r="N2561" s="177"/>
      <c r="O2561" s="332"/>
      <c r="P2561" s="1116"/>
      <c r="Q2561" s="1116"/>
      <c r="R2561" s="1116"/>
      <c r="S2561" s="1103"/>
      <c r="T2561" s="1639"/>
      <c r="U2561" s="177"/>
      <c r="V2561" s="2866"/>
      <c r="W2561" s="909">
        <v>15.1</v>
      </c>
      <c r="X2561" s="908">
        <v>15.12</v>
      </c>
      <c r="Y2561" s="933">
        <v>15.11</v>
      </c>
      <c r="Z2561" s="909"/>
      <c r="AA2561" s="909"/>
      <c r="AB2561" s="909"/>
      <c r="AC2561" s="909"/>
      <c r="AD2561" s="909"/>
      <c r="AE2561" s="909"/>
      <c r="AF2561" s="909"/>
      <c r="AG2561" s="909"/>
      <c r="BB2561" s="784"/>
      <c r="BC2561" s="785"/>
      <c r="BD2561" s="900"/>
      <c r="BE2561" s="797"/>
    </row>
    <row r="2562" spans="1:57" s="65" customFormat="1" ht="15" hidden="1" customHeight="1" outlineLevel="1" x14ac:dyDescent="0.25">
      <c r="A2562" s="718"/>
      <c r="B2562" s="177"/>
      <c r="C2562" s="455"/>
      <c r="D2562" s="2806"/>
      <c r="E2562" s="2856"/>
      <c r="F2562" s="2908" t="str">
        <f>$E$1392</f>
        <v>ASHP - SEER 15 ER with ASHP: HVAC ER1</v>
      </c>
      <c r="G2562" s="2909"/>
      <c r="H2562" s="2909"/>
      <c r="I2562" s="2910"/>
      <c r="J2562" s="1657" t="str">
        <f>$C$1392</f>
        <v>352350_2019_12_</v>
      </c>
      <c r="K2562" s="1663">
        <v>15.12</v>
      </c>
      <c r="L2562" s="1123"/>
      <c r="M2562" s="2104" t="s">
        <v>1280</v>
      </c>
      <c r="N2562" s="177"/>
      <c r="O2562" s="332"/>
      <c r="P2562" s="1116"/>
      <c r="Q2562" s="1116"/>
      <c r="R2562" s="1116"/>
      <c r="S2562" s="1103"/>
      <c r="T2562" s="1639"/>
      <c r="U2562" s="177"/>
      <c r="V2562" s="2866"/>
      <c r="W2562" s="909">
        <v>15.1</v>
      </c>
      <c r="X2562" s="908">
        <v>15.12</v>
      </c>
      <c r="Y2562" s="933">
        <v>15.12</v>
      </c>
      <c r="Z2562" s="909"/>
      <c r="AA2562" s="909"/>
      <c r="AB2562" s="909"/>
      <c r="AC2562" s="909"/>
      <c r="AD2562" s="909"/>
      <c r="AE2562" s="909"/>
      <c r="AF2562" s="909"/>
      <c r="AG2562" s="909"/>
      <c r="BB2562" s="784"/>
      <c r="BC2562" s="785"/>
      <c r="BD2562" s="900"/>
      <c r="BE2562" s="797"/>
    </row>
    <row r="2563" spans="1:57" s="65" customFormat="1" ht="15" hidden="1" customHeight="1" outlineLevel="1" x14ac:dyDescent="0.25">
      <c r="A2563" s="718"/>
      <c r="B2563" s="177"/>
      <c r="C2563" s="455"/>
      <c r="D2563" s="2806"/>
      <c r="E2563" s="2856"/>
      <c r="F2563" s="2908" t="str">
        <f>$E$1394</f>
        <v>ASHP - SEER 15 ER with ASHP: HVAC ER2</v>
      </c>
      <c r="G2563" s="2909"/>
      <c r="H2563" s="2909"/>
      <c r="I2563" s="2910"/>
      <c r="J2563" s="1657" t="str">
        <f>$C$1394</f>
        <v>352350_2019_12_</v>
      </c>
      <c r="K2563" s="1663">
        <v>15.12</v>
      </c>
      <c r="L2563" s="1123"/>
      <c r="M2563" s="2104" t="s">
        <v>1280</v>
      </c>
      <c r="N2563" s="177"/>
      <c r="O2563" s="332"/>
      <c r="P2563" s="1116"/>
      <c r="Q2563" s="1116"/>
      <c r="R2563" s="1116"/>
      <c r="S2563" s="1103"/>
      <c r="T2563" s="1639"/>
      <c r="U2563" s="177"/>
      <c r="V2563" s="2866"/>
      <c r="W2563" s="909">
        <v>15.1</v>
      </c>
      <c r="X2563" s="908">
        <v>15.12</v>
      </c>
      <c r="Y2563" s="933">
        <v>15.12</v>
      </c>
      <c r="Z2563" s="909"/>
      <c r="AA2563" s="909"/>
      <c r="AB2563" s="909"/>
      <c r="AC2563" s="909"/>
      <c r="AD2563" s="909"/>
      <c r="AE2563" s="909"/>
      <c r="AF2563" s="909"/>
      <c r="AG2563" s="909"/>
      <c r="BB2563" s="784"/>
      <c r="BC2563" s="785"/>
      <c r="BD2563" s="900"/>
      <c r="BE2563" s="797"/>
    </row>
    <row r="2564" spans="1:57" s="65" customFormat="1" ht="15" hidden="1" customHeight="1" outlineLevel="1" x14ac:dyDescent="0.25">
      <c r="A2564" s="718"/>
      <c r="B2564" s="177"/>
      <c r="C2564" s="455"/>
      <c r="D2564" s="2806"/>
      <c r="E2564" s="2856"/>
      <c r="F2564" s="2908" t="str">
        <f>$E$1396</f>
        <v>ASHP-  SEER 15 Replace at Fail Elec Resist Furnace: HVAC</v>
      </c>
      <c r="G2564" s="2909"/>
      <c r="H2564" s="2909"/>
      <c r="I2564" s="2910"/>
      <c r="J2564" s="1657" t="str">
        <f>$C$1396</f>
        <v>352400_2019_12_</v>
      </c>
      <c r="K2564" s="1663">
        <v>15.11</v>
      </c>
      <c r="L2564" s="1124"/>
      <c r="M2564" s="2104" t="s">
        <v>1280</v>
      </c>
      <c r="N2564" s="177"/>
      <c r="O2564" s="332"/>
      <c r="P2564" s="1116"/>
      <c r="Q2564" s="1116"/>
      <c r="R2564" s="1116"/>
      <c r="S2564" s="1103"/>
      <c r="T2564" s="1639"/>
      <c r="U2564" s="177"/>
      <c r="V2564" s="2866"/>
      <c r="W2564" s="909">
        <v>15.2</v>
      </c>
      <c r="X2564" s="908">
        <v>15.12</v>
      </c>
      <c r="Y2564" s="933">
        <v>15.11</v>
      </c>
      <c r="Z2564" s="909"/>
      <c r="AA2564" s="909"/>
      <c r="AB2564" s="909"/>
      <c r="AC2564" s="909"/>
      <c r="AD2564" s="909"/>
      <c r="AE2564" s="909"/>
      <c r="AF2564" s="909"/>
      <c r="AG2564" s="909"/>
      <c r="BB2564" s="784"/>
      <c r="BC2564" s="785"/>
      <c r="BD2564" s="900"/>
      <c r="BE2564" s="797"/>
    </row>
    <row r="2565" spans="1:57" s="65" customFormat="1" ht="15" hidden="1" customHeight="1" outlineLevel="1" x14ac:dyDescent="0.25">
      <c r="A2565" s="718"/>
      <c r="B2565" s="177"/>
      <c r="C2565" s="455"/>
      <c r="D2565" s="2806"/>
      <c r="E2565" s="2856"/>
      <c r="F2565" s="2908" t="str">
        <f>$E$1398</f>
        <v>ASHP - SEER 15 Replace at Fail with ASHP: HVAC</v>
      </c>
      <c r="G2565" s="2909"/>
      <c r="H2565" s="2909"/>
      <c r="I2565" s="2910"/>
      <c r="J2565" s="1657" t="str">
        <f>$C$1398</f>
        <v>352450_2019_12_</v>
      </c>
      <c r="K2565" s="1663">
        <v>15.17</v>
      </c>
      <c r="L2565" s="1124"/>
      <c r="M2565" s="2104" t="s">
        <v>1280</v>
      </c>
      <c r="N2565" s="177"/>
      <c r="O2565" s="332"/>
      <c r="P2565" s="1116"/>
      <c r="Q2565" s="1116"/>
      <c r="R2565" s="1116"/>
      <c r="S2565" s="1103"/>
      <c r="T2565" s="1639"/>
      <c r="U2565" s="177"/>
      <c r="V2565" s="2866"/>
      <c r="W2565" s="909">
        <v>15.1</v>
      </c>
      <c r="X2565" s="908">
        <v>15.12</v>
      </c>
      <c r="Y2565" s="933">
        <v>15.17</v>
      </c>
      <c r="Z2565" s="909"/>
      <c r="AA2565" s="909"/>
      <c r="AB2565" s="909"/>
      <c r="AC2565" s="909"/>
      <c r="AD2565" s="909"/>
      <c r="AE2565" s="909"/>
      <c r="AF2565" s="909"/>
      <c r="AG2565" s="909"/>
      <c r="BB2565" s="784"/>
      <c r="BC2565" s="785"/>
      <c r="BD2565" s="900"/>
      <c r="BE2565" s="797"/>
    </row>
    <row r="2566" spans="1:57" s="65" customFormat="1" ht="15" hidden="1" customHeight="1" outlineLevel="1" x14ac:dyDescent="0.25">
      <c r="A2566" s="718"/>
      <c r="B2566" s="177"/>
      <c r="C2566" s="455"/>
      <c r="D2566" s="2806"/>
      <c r="E2566" s="2856"/>
      <c r="F2566" s="2908" t="str">
        <f>$E$1400</f>
        <v>ASHP - SEER 16 - replace electric furnace / CAC - early replacement SF ER1</v>
      </c>
      <c r="G2566" s="2909"/>
      <c r="H2566" s="2909"/>
      <c r="I2566" s="2910"/>
      <c r="J2566" s="1657" t="str">
        <f>$C$1400</f>
        <v>352500_2019_12_</v>
      </c>
      <c r="K2566" s="1663">
        <v>16</v>
      </c>
      <c r="L2566" s="1124"/>
      <c r="M2566" s="1108" t="s">
        <v>1380</v>
      </c>
      <c r="N2566" s="177"/>
      <c r="O2566" s="332"/>
      <c r="P2566" s="1116"/>
      <c r="Q2566" s="1116"/>
      <c r="R2566" s="1116"/>
      <c r="S2566" s="1103"/>
      <c r="T2566" s="1639"/>
      <c r="U2566" s="177"/>
      <c r="V2566" s="2866"/>
      <c r="W2566" s="909">
        <v>16</v>
      </c>
      <c r="X2566" s="909">
        <v>16</v>
      </c>
      <c r="Y2566" s="926">
        <v>16</v>
      </c>
      <c r="Z2566" s="909"/>
      <c r="AA2566" s="909"/>
      <c r="AB2566" s="909"/>
      <c r="AC2566" s="909"/>
      <c r="AD2566" s="909"/>
      <c r="AE2566" s="909"/>
      <c r="AF2566" s="909"/>
      <c r="AG2566" s="909"/>
      <c r="BB2566" s="784"/>
      <c r="BC2566" s="785"/>
      <c r="BD2566" s="900"/>
      <c r="BE2566" s="797"/>
    </row>
    <row r="2567" spans="1:57" s="65" customFormat="1" ht="15" hidden="1" customHeight="1" outlineLevel="1" x14ac:dyDescent="0.25">
      <c r="A2567" s="718"/>
      <c r="B2567" s="177"/>
      <c r="C2567" s="455"/>
      <c r="D2567" s="2806"/>
      <c r="E2567" s="2856"/>
      <c r="F2567" s="2908" t="str">
        <f>$E$1402</f>
        <v>ASHP - SEER 16 - replace electric furnace / CAC - early replacement SF ER2</v>
      </c>
      <c r="G2567" s="2909"/>
      <c r="H2567" s="2909"/>
      <c r="I2567" s="2910"/>
      <c r="J2567" s="1657" t="str">
        <f>$C$1402</f>
        <v>352500_2019_12_</v>
      </c>
      <c r="K2567" s="1663">
        <v>16</v>
      </c>
      <c r="L2567" s="1124"/>
      <c r="M2567" s="1108" t="s">
        <v>1380</v>
      </c>
      <c r="N2567" s="177"/>
      <c r="O2567" s="332"/>
      <c r="P2567" s="1116"/>
      <c r="Q2567" s="1116"/>
      <c r="R2567" s="1116"/>
      <c r="S2567" s="1103"/>
      <c r="T2567" s="1639"/>
      <c r="U2567" s="177"/>
      <c r="V2567" s="2866"/>
      <c r="W2567" s="909">
        <v>16</v>
      </c>
      <c r="X2567" s="909">
        <v>16</v>
      </c>
      <c r="Y2567" s="926">
        <v>16</v>
      </c>
      <c r="Z2567" s="909"/>
      <c r="AA2567" s="909"/>
      <c r="AB2567" s="909"/>
      <c r="AC2567" s="909"/>
      <c r="AD2567" s="909"/>
      <c r="AE2567" s="909"/>
      <c r="AF2567" s="909"/>
      <c r="AG2567" s="909"/>
      <c r="BB2567" s="784"/>
      <c r="BC2567" s="785"/>
      <c r="BD2567" s="900"/>
      <c r="BE2567" s="797"/>
    </row>
    <row r="2568" spans="1:57" s="65" customFormat="1" ht="15" hidden="1" customHeight="1" outlineLevel="1" x14ac:dyDescent="0.25">
      <c r="A2568" s="718"/>
      <c r="B2568" s="177"/>
      <c r="C2568" s="455"/>
      <c r="D2568" s="2806"/>
      <c r="E2568" s="2856"/>
      <c r="F2568" s="2908" t="str">
        <f>$E$1404</f>
        <v>ASHP SEER 16 replace ASHP - early replacement SF ER1</v>
      </c>
      <c r="G2568" s="2909"/>
      <c r="H2568" s="2909"/>
      <c r="I2568" s="2910"/>
      <c r="J2568" s="1657" t="str">
        <f>$C$1404</f>
        <v>352550_2019_12_</v>
      </c>
      <c r="K2568" s="1663">
        <v>16</v>
      </c>
      <c r="L2568" s="1124"/>
      <c r="M2568" s="1108" t="s">
        <v>1380</v>
      </c>
      <c r="N2568" s="177"/>
      <c r="O2568" s="332"/>
      <c r="P2568" s="1116"/>
      <c r="Q2568" s="1116"/>
      <c r="R2568" s="1116"/>
      <c r="S2568" s="1103"/>
      <c r="T2568" s="1639"/>
      <c r="U2568" s="177"/>
      <c r="V2568" s="2866"/>
      <c r="W2568" s="909">
        <v>16</v>
      </c>
      <c r="X2568" s="909">
        <v>16</v>
      </c>
      <c r="Y2568" s="926">
        <v>16</v>
      </c>
      <c r="Z2568" s="909"/>
      <c r="AA2568" s="909"/>
      <c r="AB2568" s="909"/>
      <c r="AC2568" s="909"/>
      <c r="AD2568" s="909"/>
      <c r="AE2568" s="909"/>
      <c r="AF2568" s="909"/>
      <c r="AG2568" s="909"/>
      <c r="BB2568" s="784"/>
      <c r="BC2568" s="785"/>
      <c r="BD2568" s="900"/>
      <c r="BE2568" s="797"/>
    </row>
    <row r="2569" spans="1:57" s="65" customFormat="1" ht="15" hidden="1" customHeight="1" outlineLevel="1" x14ac:dyDescent="0.25">
      <c r="A2569" s="718"/>
      <c r="B2569" s="177"/>
      <c r="C2569" s="455"/>
      <c r="D2569" s="2806"/>
      <c r="E2569" s="2856"/>
      <c r="F2569" s="2908" t="str">
        <f>$E$1406</f>
        <v>ASHP SEER 16 replace ASHP - early replacement SF ER2</v>
      </c>
      <c r="G2569" s="2909"/>
      <c r="H2569" s="2909"/>
      <c r="I2569" s="2910"/>
      <c r="J2569" s="1657" t="str">
        <f>$C$1406</f>
        <v>352550_2019_12_</v>
      </c>
      <c r="K2569" s="1663">
        <v>16</v>
      </c>
      <c r="L2569" s="1124"/>
      <c r="M2569" s="1108" t="s">
        <v>1380</v>
      </c>
      <c r="N2569" s="177"/>
      <c r="O2569" s="332"/>
      <c r="P2569" s="1116"/>
      <c r="Q2569" s="1116"/>
      <c r="R2569" s="1116"/>
      <c r="S2569" s="1103"/>
      <c r="T2569" s="1639"/>
      <c r="U2569" s="177"/>
      <c r="V2569" s="2866"/>
      <c r="W2569" s="909">
        <v>16</v>
      </c>
      <c r="X2569" s="909">
        <v>16</v>
      </c>
      <c r="Y2569" s="926">
        <v>16</v>
      </c>
      <c r="Z2569" s="909"/>
      <c r="AA2569" s="909"/>
      <c r="AB2569" s="909"/>
      <c r="AC2569" s="909"/>
      <c r="AD2569" s="909"/>
      <c r="AE2569" s="909"/>
      <c r="AF2569" s="909"/>
      <c r="AG2569" s="909"/>
      <c r="BB2569" s="784"/>
      <c r="BC2569" s="785"/>
      <c r="BD2569" s="900"/>
      <c r="BE2569" s="797"/>
    </row>
    <row r="2570" spans="1:57" s="65" customFormat="1" ht="15" hidden="1" customHeight="1" outlineLevel="1" x14ac:dyDescent="0.25">
      <c r="A2570" s="718"/>
      <c r="B2570" s="177"/>
      <c r="C2570" s="455"/>
      <c r="D2570" s="2806"/>
      <c r="E2570" s="2856"/>
      <c r="F2570" s="2908" t="str">
        <f>$E$1408</f>
        <v>ASHP - SEER 16 - replace electric furnace / CAC SF</v>
      </c>
      <c r="G2570" s="2909"/>
      <c r="H2570" s="2909"/>
      <c r="I2570" s="2910"/>
      <c r="J2570" s="1657" t="str">
        <f>$C$1408</f>
        <v>352600_2019_12_</v>
      </c>
      <c r="K2570" s="1663">
        <v>16</v>
      </c>
      <c r="L2570" s="1124"/>
      <c r="M2570" s="1108" t="s">
        <v>1380</v>
      </c>
      <c r="N2570" s="177"/>
      <c r="O2570" s="332"/>
      <c r="P2570" s="1116"/>
      <c r="Q2570" s="1116"/>
      <c r="R2570" s="1116"/>
      <c r="S2570" s="1103"/>
      <c r="T2570" s="1639"/>
      <c r="U2570" s="177"/>
      <c r="V2570" s="2866"/>
      <c r="W2570" s="909">
        <v>16</v>
      </c>
      <c r="X2570" s="909">
        <v>16</v>
      </c>
      <c r="Y2570" s="926">
        <v>16</v>
      </c>
      <c r="Z2570" s="909"/>
      <c r="AA2570" s="909"/>
      <c r="AB2570" s="909"/>
      <c r="AC2570" s="909"/>
      <c r="AD2570" s="909"/>
      <c r="AE2570" s="909"/>
      <c r="AF2570" s="909"/>
      <c r="AG2570" s="909"/>
      <c r="BB2570" s="784"/>
      <c r="BC2570" s="785"/>
      <c r="BD2570" s="900"/>
      <c r="BE2570" s="797"/>
    </row>
    <row r="2571" spans="1:57" s="65" customFormat="1" ht="15" hidden="1" customHeight="1" outlineLevel="1" x14ac:dyDescent="0.25">
      <c r="A2571" s="718"/>
      <c r="B2571" s="177"/>
      <c r="C2571" s="455"/>
      <c r="D2571" s="2806"/>
      <c r="E2571" s="2856"/>
      <c r="F2571" s="2908" t="str">
        <f>$E$1410</f>
        <v>ASHP SEER 16 replace ASHP - replace on fail SF</v>
      </c>
      <c r="G2571" s="2909"/>
      <c r="H2571" s="2909"/>
      <c r="I2571" s="2910"/>
      <c r="J2571" s="1657" t="str">
        <f>$C$1410</f>
        <v>352650_2019_12_</v>
      </c>
      <c r="K2571" s="1663">
        <v>16</v>
      </c>
      <c r="L2571" s="1124"/>
      <c r="M2571" s="1108" t="s">
        <v>1380</v>
      </c>
      <c r="N2571" s="177"/>
      <c r="O2571" s="332"/>
      <c r="P2571" s="1116"/>
      <c r="Q2571" s="1116"/>
      <c r="R2571" s="1116"/>
      <c r="S2571" s="1103"/>
      <c r="T2571" s="1639"/>
      <c r="U2571" s="177"/>
      <c r="V2571" s="2866"/>
      <c r="W2571" s="909">
        <v>16</v>
      </c>
      <c r="X2571" s="909">
        <v>16</v>
      </c>
      <c r="Y2571" s="926">
        <v>16</v>
      </c>
      <c r="Z2571" s="909"/>
      <c r="AA2571" s="909"/>
      <c r="AB2571" s="909"/>
      <c r="AC2571" s="909"/>
      <c r="AD2571" s="909"/>
      <c r="AE2571" s="909"/>
      <c r="AF2571" s="909"/>
      <c r="AG2571" s="909"/>
      <c r="BB2571" s="784"/>
      <c r="BC2571" s="785"/>
      <c r="BD2571" s="900"/>
      <c r="BE2571" s="797"/>
    </row>
    <row r="2572" spans="1:57" s="65" customFormat="1" ht="15" hidden="1" customHeight="1" outlineLevel="1" x14ac:dyDescent="0.25">
      <c r="A2572" s="718"/>
      <c r="B2572" s="177"/>
      <c r="C2572" s="455"/>
      <c r="D2572" s="2806"/>
      <c r="E2572" s="2856"/>
      <c r="F2572" s="2908" t="str">
        <f>$E$1412</f>
        <v>ASHP SEER 15 MF ER replace ASHP: HVAC ER1</v>
      </c>
      <c r="G2572" s="2909"/>
      <c r="H2572" s="2909"/>
      <c r="I2572" s="2910"/>
      <c r="J2572" s="1657" t="str">
        <f>$C$1412</f>
        <v>352700_2019_12_</v>
      </c>
      <c r="K2572" s="1663">
        <v>15.1</v>
      </c>
      <c r="L2572" s="1124"/>
      <c r="M2572" s="1108" t="s">
        <v>1380</v>
      </c>
      <c r="N2572" s="177"/>
      <c r="O2572" s="332"/>
      <c r="P2572" s="1116"/>
      <c r="Q2572" s="1116"/>
      <c r="R2572" s="1116"/>
      <c r="S2572" s="1103"/>
      <c r="T2572" s="1639"/>
      <c r="U2572" s="177"/>
      <c r="V2572" s="2866"/>
      <c r="W2572" s="909">
        <v>15.1</v>
      </c>
      <c r="X2572" s="909">
        <v>15.1</v>
      </c>
      <c r="Y2572" s="926">
        <v>15.1</v>
      </c>
      <c r="Z2572" s="909"/>
      <c r="AA2572" s="909"/>
      <c r="AB2572" s="909"/>
      <c r="AC2572" s="909"/>
      <c r="AD2572" s="909"/>
      <c r="AE2572" s="909"/>
      <c r="AF2572" s="909"/>
      <c r="AG2572" s="909"/>
      <c r="BB2572" s="784"/>
      <c r="BC2572" s="785"/>
      <c r="BD2572" s="900"/>
      <c r="BE2572" s="797"/>
    </row>
    <row r="2573" spans="1:57" s="65" customFormat="1" ht="15" hidden="1" customHeight="1" outlineLevel="1" x14ac:dyDescent="0.25">
      <c r="A2573" s="718"/>
      <c r="B2573" s="177"/>
      <c r="C2573" s="455"/>
      <c r="D2573" s="2806"/>
      <c r="E2573" s="2856"/>
      <c r="F2573" s="2908" t="str">
        <f>$E$1414</f>
        <v>ASHP SEER 15 MF ER replace ASHP: HVAC ER2</v>
      </c>
      <c r="G2573" s="2909"/>
      <c r="H2573" s="2909"/>
      <c r="I2573" s="2910"/>
      <c r="J2573" s="1657" t="str">
        <f>$C$1414</f>
        <v>352700_2019_12_</v>
      </c>
      <c r="K2573" s="1663">
        <v>15.1</v>
      </c>
      <c r="L2573" s="1124"/>
      <c r="M2573" s="1108" t="s">
        <v>1380</v>
      </c>
      <c r="N2573" s="177"/>
      <c r="O2573" s="332"/>
      <c r="P2573" s="1116"/>
      <c r="Q2573" s="1116"/>
      <c r="R2573" s="1116"/>
      <c r="S2573" s="1103"/>
      <c r="T2573" s="1639"/>
      <c r="U2573" s="177"/>
      <c r="V2573" s="2866"/>
      <c r="W2573" s="909">
        <v>15.1</v>
      </c>
      <c r="X2573" s="909">
        <v>15.1</v>
      </c>
      <c r="Y2573" s="926">
        <v>15.1</v>
      </c>
      <c r="Z2573" s="909"/>
      <c r="AA2573" s="909"/>
      <c r="AB2573" s="909"/>
      <c r="AC2573" s="909"/>
      <c r="AD2573" s="909"/>
      <c r="AE2573" s="909"/>
      <c r="AF2573" s="909"/>
      <c r="AG2573" s="909"/>
      <c r="BB2573" s="784"/>
      <c r="BC2573" s="785"/>
      <c r="BD2573" s="900"/>
      <c r="BE2573" s="797"/>
    </row>
    <row r="2574" spans="1:57" s="65" customFormat="1" ht="15" hidden="1" customHeight="1" outlineLevel="1" x14ac:dyDescent="0.25">
      <c r="A2574" s="718"/>
      <c r="B2574" s="177"/>
      <c r="C2574" s="455"/>
      <c r="D2574" s="2806"/>
      <c r="E2574" s="2856"/>
      <c r="F2574" s="2908" t="str">
        <f>$E$1416</f>
        <v>ASHP SEER 15 MF ER replace ASHP: HVAC ER1_CompE</v>
      </c>
      <c r="G2574" s="2909"/>
      <c r="H2574" s="2909"/>
      <c r="I2574" s="2910"/>
      <c r="J2574" s="1657" t="str">
        <f>$C$1416</f>
        <v>352701_2019_12_</v>
      </c>
      <c r="K2574" s="1663">
        <v>15.1</v>
      </c>
      <c r="L2574" s="1124"/>
      <c r="M2574" s="1108"/>
      <c r="N2574" s="177"/>
      <c r="O2574" s="332"/>
      <c r="P2574" s="1116"/>
      <c r="Q2574" s="1116"/>
      <c r="R2574" s="1116"/>
      <c r="S2574" s="1103"/>
      <c r="T2574" s="1639"/>
      <c r="U2574" s="177"/>
      <c r="V2574" s="2866"/>
      <c r="W2574" s="909"/>
      <c r="X2574" s="909"/>
      <c r="Y2574" s="933">
        <v>15.1</v>
      </c>
      <c r="Z2574" s="909"/>
      <c r="AA2574" s="909"/>
      <c r="AB2574" s="909"/>
      <c r="AC2574" s="909"/>
      <c r="AD2574" s="909"/>
      <c r="AE2574" s="909"/>
      <c r="AF2574" s="909"/>
      <c r="AG2574" s="909"/>
      <c r="BB2574" s="784"/>
      <c r="BC2574" s="785"/>
      <c r="BD2574" s="900"/>
      <c r="BE2574" s="797"/>
    </row>
    <row r="2575" spans="1:57" s="65" customFormat="1" ht="15" hidden="1" customHeight="1" outlineLevel="1" x14ac:dyDescent="0.25">
      <c r="A2575" s="718"/>
      <c r="B2575" s="177"/>
      <c r="C2575" s="455"/>
      <c r="D2575" s="2806"/>
      <c r="E2575" s="2856"/>
      <c r="F2575" s="2908" t="str">
        <f>$E$1418</f>
        <v>ASHP SEER 15 MF ER replace ASHP: HVAC ER2_CompE</v>
      </c>
      <c r="G2575" s="2909"/>
      <c r="H2575" s="2909"/>
      <c r="I2575" s="2910"/>
      <c r="J2575" s="1657" t="str">
        <f>$C$1418</f>
        <v>352701_2019_12_</v>
      </c>
      <c r="K2575" s="1663">
        <v>15.1</v>
      </c>
      <c r="L2575" s="1124"/>
      <c r="M2575" s="1108"/>
      <c r="N2575" s="177"/>
      <c r="O2575" s="332"/>
      <c r="P2575" s="1116"/>
      <c r="Q2575" s="1116"/>
      <c r="R2575" s="1116"/>
      <c r="S2575" s="1103"/>
      <c r="T2575" s="1639"/>
      <c r="U2575" s="177"/>
      <c r="V2575" s="2866"/>
      <c r="W2575" s="909"/>
      <c r="X2575" s="909"/>
      <c r="Y2575" s="933">
        <v>15.1</v>
      </c>
      <c r="Z2575" s="909"/>
      <c r="AA2575" s="909"/>
      <c r="AB2575" s="909"/>
      <c r="AC2575" s="909"/>
      <c r="AD2575" s="909"/>
      <c r="AE2575" s="909"/>
      <c r="AF2575" s="909"/>
      <c r="AG2575" s="909"/>
      <c r="BB2575" s="784"/>
      <c r="BC2575" s="785"/>
      <c r="BD2575" s="900"/>
      <c r="BE2575" s="797"/>
    </row>
    <row r="2576" spans="1:57" s="65" customFormat="1" ht="15" hidden="1" customHeight="1" outlineLevel="1" x14ac:dyDescent="0.25">
      <c r="A2576" s="718"/>
      <c r="B2576" s="177"/>
      <c r="C2576" s="455"/>
      <c r="D2576" s="2806"/>
      <c r="E2576" s="2856"/>
      <c r="F2576" s="2908" t="str">
        <f>$E$1420</f>
        <v>ASHP SEER 15 MF ER replace Elec Resist Furnace: HVAC ER1</v>
      </c>
      <c r="G2576" s="2909"/>
      <c r="H2576" s="2909"/>
      <c r="I2576" s="2910"/>
      <c r="J2576" s="1657" t="str">
        <f>$C$1420</f>
        <v>352750_2019_12_</v>
      </c>
      <c r="K2576" s="1663">
        <v>15.1</v>
      </c>
      <c r="L2576" s="1124"/>
      <c r="M2576" s="1108" t="s">
        <v>1380</v>
      </c>
      <c r="N2576" s="177"/>
      <c r="O2576" s="332"/>
      <c r="P2576" s="1116"/>
      <c r="Q2576" s="1116"/>
      <c r="R2576" s="1116"/>
      <c r="S2576" s="1103"/>
      <c r="T2576" s="1639"/>
      <c r="U2576" s="177"/>
      <c r="V2576" s="2866"/>
      <c r="W2576" s="909">
        <v>15.1</v>
      </c>
      <c r="X2576" s="909">
        <v>15.1</v>
      </c>
      <c r="Y2576" s="926">
        <v>15.1</v>
      </c>
      <c r="Z2576" s="909"/>
      <c r="AA2576" s="909"/>
      <c r="AB2576" s="909"/>
      <c r="AC2576" s="909"/>
      <c r="AD2576" s="909"/>
      <c r="AE2576" s="909"/>
      <c r="AF2576" s="909"/>
      <c r="AG2576" s="909"/>
      <c r="BB2576" s="784"/>
      <c r="BC2576" s="785"/>
      <c r="BD2576" s="900"/>
      <c r="BE2576" s="797"/>
    </row>
    <row r="2577" spans="1:57" s="65" customFormat="1" ht="15" hidden="1" customHeight="1" outlineLevel="1" x14ac:dyDescent="0.25">
      <c r="A2577" s="718"/>
      <c r="B2577" s="177"/>
      <c r="C2577" s="455"/>
      <c r="D2577" s="2806"/>
      <c r="E2577" s="2856"/>
      <c r="F2577" s="2908" t="str">
        <f>$E$1422</f>
        <v>ASHP SEER 15 MF ER replace Elec Resist Furnace: HVAC ER2</v>
      </c>
      <c r="G2577" s="2909"/>
      <c r="H2577" s="2909"/>
      <c r="I2577" s="2910"/>
      <c r="J2577" s="1657" t="str">
        <f>$C$1422</f>
        <v>352750_2019_12_</v>
      </c>
      <c r="K2577" s="1663">
        <v>15.1</v>
      </c>
      <c r="L2577" s="1124"/>
      <c r="M2577" s="1108" t="s">
        <v>1380</v>
      </c>
      <c r="N2577" s="177"/>
      <c r="O2577" s="332"/>
      <c r="P2577" s="1116"/>
      <c r="Q2577" s="1116"/>
      <c r="R2577" s="1116"/>
      <c r="S2577" s="1103"/>
      <c r="T2577" s="1639"/>
      <c r="U2577" s="177"/>
      <c r="V2577" s="2866"/>
      <c r="W2577" s="909">
        <v>15.1</v>
      </c>
      <c r="X2577" s="909">
        <v>15.1</v>
      </c>
      <c r="Y2577" s="926">
        <v>15.1</v>
      </c>
      <c r="Z2577" s="909"/>
      <c r="AA2577" s="909"/>
      <c r="AB2577" s="909"/>
      <c r="AC2577" s="909"/>
      <c r="AD2577" s="909"/>
      <c r="AE2577" s="909"/>
      <c r="AF2577" s="909"/>
      <c r="AG2577" s="909"/>
      <c r="BB2577" s="784"/>
      <c r="BC2577" s="785"/>
      <c r="BD2577" s="900"/>
      <c r="BE2577" s="797"/>
    </row>
    <row r="2578" spans="1:57" s="65" customFormat="1" ht="15" hidden="1" customHeight="1" outlineLevel="1" x14ac:dyDescent="0.25">
      <c r="A2578" s="718"/>
      <c r="B2578" s="177"/>
      <c r="C2578" s="455"/>
      <c r="D2578" s="2806"/>
      <c r="E2578" s="2856"/>
      <c r="F2578" s="2908" t="str">
        <f>$E$1424</f>
        <v>ASHP SEER 15 MF ER replace Elec Resist Furnace: HVAC ER1_CompE</v>
      </c>
      <c r="G2578" s="2909"/>
      <c r="H2578" s="2909"/>
      <c r="I2578" s="2910"/>
      <c r="J2578" s="1657" t="str">
        <f>$C$1424</f>
        <v>352751_2019_12_</v>
      </c>
      <c r="K2578" s="1663">
        <v>15.1</v>
      </c>
      <c r="L2578" s="1124"/>
      <c r="M2578" s="1108"/>
      <c r="N2578" s="177"/>
      <c r="O2578" s="332"/>
      <c r="P2578" s="1116"/>
      <c r="Q2578" s="1116"/>
      <c r="R2578" s="1116"/>
      <c r="S2578" s="1103"/>
      <c r="T2578" s="1639"/>
      <c r="U2578" s="177"/>
      <c r="V2578" s="2866"/>
      <c r="W2578" s="909"/>
      <c r="X2578" s="909"/>
      <c r="Y2578" s="933">
        <v>15.1</v>
      </c>
      <c r="Z2578" s="909"/>
      <c r="AA2578" s="909"/>
      <c r="AB2578" s="909"/>
      <c r="AC2578" s="909"/>
      <c r="AD2578" s="909"/>
      <c r="AE2578" s="909"/>
      <c r="AF2578" s="909"/>
      <c r="AG2578" s="909"/>
      <c r="BB2578" s="784"/>
      <c r="BC2578" s="785"/>
      <c r="BD2578" s="900"/>
      <c r="BE2578" s="797"/>
    </row>
    <row r="2579" spans="1:57" s="65" customFormat="1" ht="15" hidden="1" customHeight="1" outlineLevel="1" x14ac:dyDescent="0.25">
      <c r="A2579" s="718"/>
      <c r="B2579" s="177"/>
      <c r="C2579" s="455"/>
      <c r="D2579" s="2806"/>
      <c r="E2579" s="2856"/>
      <c r="F2579" s="2908" t="str">
        <f>$E$1426</f>
        <v>ASHP SEER 15 MF ER replace Elec Resist Furnace: HVAC ER2_CompE</v>
      </c>
      <c r="G2579" s="2909"/>
      <c r="H2579" s="2909"/>
      <c r="I2579" s="2910"/>
      <c r="J2579" s="1657" t="str">
        <f>$C$1426</f>
        <v>352751_2019_12_</v>
      </c>
      <c r="K2579" s="1663">
        <v>15.1</v>
      </c>
      <c r="L2579" s="1124"/>
      <c r="M2579" s="1108"/>
      <c r="N2579" s="177"/>
      <c r="O2579" s="332"/>
      <c r="P2579" s="1116"/>
      <c r="Q2579" s="1116"/>
      <c r="R2579" s="1116"/>
      <c r="S2579" s="1103"/>
      <c r="T2579" s="1639"/>
      <c r="U2579" s="177"/>
      <c r="V2579" s="2866"/>
      <c r="W2579" s="909"/>
      <c r="X2579" s="909"/>
      <c r="Y2579" s="933">
        <v>15.1</v>
      </c>
      <c r="Z2579" s="909"/>
      <c r="AA2579" s="909"/>
      <c r="AB2579" s="909"/>
      <c r="AC2579" s="909"/>
      <c r="AD2579" s="909"/>
      <c r="AE2579" s="909"/>
      <c r="AF2579" s="909"/>
      <c r="AG2579" s="909"/>
      <c r="BB2579" s="784"/>
      <c r="BC2579" s="785"/>
      <c r="BD2579" s="900"/>
      <c r="BE2579" s="797"/>
    </row>
    <row r="2580" spans="1:57" s="65" customFormat="1" ht="15" hidden="1" customHeight="1" outlineLevel="1" x14ac:dyDescent="0.25">
      <c r="A2580" s="718"/>
      <c r="B2580" s="177"/>
      <c r="C2580" s="455"/>
      <c r="D2580" s="2806"/>
      <c r="E2580" s="2856"/>
      <c r="F2580" s="2908" t="str">
        <f>$E$1428</f>
        <v>ASHP SEER 15 MF replace at Fail Elec Resist Furnace: HVAC</v>
      </c>
      <c r="G2580" s="2909"/>
      <c r="H2580" s="2909"/>
      <c r="I2580" s="2910"/>
      <c r="J2580" s="1657" t="str">
        <f>$C$1428</f>
        <v>352800_2019_12_</v>
      </c>
      <c r="K2580" s="1663">
        <v>15.2</v>
      </c>
      <c r="L2580" s="1124"/>
      <c r="M2580" s="1108" t="s">
        <v>1380</v>
      </c>
      <c r="N2580" s="177"/>
      <c r="O2580" s="332"/>
      <c r="P2580" s="1116"/>
      <c r="Q2580" s="1116"/>
      <c r="R2580" s="1116"/>
      <c r="S2580" s="1103"/>
      <c r="T2580" s="1639"/>
      <c r="U2580" s="177"/>
      <c r="V2580" s="2866"/>
      <c r="W2580" s="909">
        <v>15.2</v>
      </c>
      <c r="X2580" s="909">
        <v>15.2</v>
      </c>
      <c r="Y2580" s="926">
        <v>15.2</v>
      </c>
      <c r="Z2580" s="909"/>
      <c r="AA2580" s="909"/>
      <c r="AB2580" s="909"/>
      <c r="AC2580" s="909"/>
      <c r="AD2580" s="909"/>
      <c r="AE2580" s="909"/>
      <c r="AF2580" s="909"/>
      <c r="AG2580" s="909"/>
      <c r="BB2580" s="784"/>
      <c r="BC2580" s="785"/>
      <c r="BD2580" s="900"/>
      <c r="BE2580" s="797"/>
    </row>
    <row r="2581" spans="1:57" s="65" customFormat="1" ht="15" hidden="1" customHeight="1" outlineLevel="1" x14ac:dyDescent="0.25">
      <c r="A2581" s="718"/>
      <c r="B2581" s="177"/>
      <c r="C2581" s="455"/>
      <c r="D2581" s="2806"/>
      <c r="E2581" s="2856"/>
      <c r="F2581" s="2908" t="str">
        <f>$E$1430</f>
        <v>ASHP SEER 15 MF replace at Fail Elec Resist Furnace: HVAC_CompE</v>
      </c>
      <c r="G2581" s="2909"/>
      <c r="H2581" s="2909"/>
      <c r="I2581" s="2910"/>
      <c r="J2581" s="1657" t="str">
        <f>$C$1430</f>
        <v>352801_2019_12_</v>
      </c>
      <c r="K2581" s="1663">
        <v>15.2</v>
      </c>
      <c r="L2581" s="1124"/>
      <c r="M2581" s="1108"/>
      <c r="N2581" s="177"/>
      <c r="O2581" s="332"/>
      <c r="P2581" s="1116"/>
      <c r="Q2581" s="1116"/>
      <c r="R2581" s="1116"/>
      <c r="S2581" s="1103"/>
      <c r="T2581" s="1639"/>
      <c r="U2581" s="177"/>
      <c r="V2581" s="2866"/>
      <c r="W2581" s="909"/>
      <c r="X2581" s="909"/>
      <c r="Y2581" s="933">
        <v>15.2</v>
      </c>
      <c r="Z2581" s="909"/>
      <c r="AA2581" s="909"/>
      <c r="AB2581" s="909"/>
      <c r="AC2581" s="909"/>
      <c r="AD2581" s="909"/>
      <c r="AE2581" s="909"/>
      <c r="AF2581" s="909"/>
      <c r="AG2581" s="909"/>
      <c r="BB2581" s="784"/>
      <c r="BC2581" s="785"/>
      <c r="BD2581" s="900"/>
      <c r="BE2581" s="797"/>
    </row>
    <row r="2582" spans="1:57" s="65" customFormat="1" ht="15" hidden="1" customHeight="1" outlineLevel="1" x14ac:dyDescent="0.25">
      <c r="A2582" s="718"/>
      <c r="B2582" s="177"/>
      <c r="C2582" s="455"/>
      <c r="D2582" s="2806"/>
      <c r="E2582" s="2856"/>
      <c r="F2582" s="2908" t="str">
        <f>$E$1432</f>
        <v>ASHP SEER 16 MF ER replace ASHP: HVAC ER1</v>
      </c>
      <c r="G2582" s="2909"/>
      <c r="H2582" s="2909"/>
      <c r="I2582" s="2910"/>
      <c r="J2582" s="1657" t="str">
        <f>$C$1432</f>
        <v>352850_2019_12_</v>
      </c>
      <c r="K2582" s="1663">
        <v>16</v>
      </c>
      <c r="L2582" s="1124"/>
      <c r="M2582" s="1108" t="s">
        <v>1380</v>
      </c>
      <c r="N2582" s="177"/>
      <c r="O2582" s="332"/>
      <c r="P2582" s="1116"/>
      <c r="Q2582" s="1116"/>
      <c r="R2582" s="1116"/>
      <c r="S2582" s="1103"/>
      <c r="T2582" s="1639"/>
      <c r="U2582" s="177"/>
      <c r="V2582" s="2866"/>
      <c r="W2582" s="909">
        <v>16</v>
      </c>
      <c r="X2582" s="909">
        <v>16</v>
      </c>
      <c r="Y2582" s="926">
        <v>16</v>
      </c>
      <c r="Z2582" s="909"/>
      <c r="AA2582" s="909"/>
      <c r="AB2582" s="909"/>
      <c r="AC2582" s="909"/>
      <c r="AD2582" s="909"/>
      <c r="AE2582" s="909"/>
      <c r="AF2582" s="909"/>
      <c r="AG2582" s="909"/>
      <c r="BB2582" s="784"/>
      <c r="BC2582" s="785"/>
      <c r="BD2582" s="900"/>
      <c r="BE2582" s="797"/>
    </row>
    <row r="2583" spans="1:57" s="65" customFormat="1" ht="15" hidden="1" customHeight="1" outlineLevel="1" x14ac:dyDescent="0.25">
      <c r="A2583" s="718"/>
      <c r="B2583" s="177"/>
      <c r="C2583" s="455"/>
      <c r="D2583" s="2806"/>
      <c r="E2583" s="2856"/>
      <c r="F2583" s="2908" t="str">
        <f>$E$1434</f>
        <v>ASHP SEER 16 MF ER replace ASHP: HVAC ER2</v>
      </c>
      <c r="G2583" s="2909"/>
      <c r="H2583" s="2909"/>
      <c r="I2583" s="2910"/>
      <c r="J2583" s="1657" t="str">
        <f>$C$1434</f>
        <v>352850_2019_12_</v>
      </c>
      <c r="K2583" s="1663">
        <v>16</v>
      </c>
      <c r="L2583" s="1124"/>
      <c r="M2583" s="1108" t="s">
        <v>1380</v>
      </c>
      <c r="N2583" s="177"/>
      <c r="O2583" s="332"/>
      <c r="P2583" s="1116"/>
      <c r="Q2583" s="1116"/>
      <c r="R2583" s="1116"/>
      <c r="S2583" s="1103"/>
      <c r="T2583" s="1639"/>
      <c r="U2583" s="177"/>
      <c r="V2583" s="2866"/>
      <c r="W2583" s="909">
        <v>16</v>
      </c>
      <c r="X2583" s="909">
        <v>16</v>
      </c>
      <c r="Y2583" s="926">
        <v>16</v>
      </c>
      <c r="Z2583" s="909"/>
      <c r="AA2583" s="909"/>
      <c r="AB2583" s="909"/>
      <c r="AC2583" s="909"/>
      <c r="AD2583" s="909"/>
      <c r="AE2583" s="909"/>
      <c r="AF2583" s="909"/>
      <c r="AG2583" s="909"/>
      <c r="BB2583" s="784"/>
      <c r="BC2583" s="785"/>
      <c r="BD2583" s="900"/>
      <c r="BE2583" s="797"/>
    </row>
    <row r="2584" spans="1:57" s="65" customFormat="1" ht="15" hidden="1" customHeight="1" outlineLevel="1" x14ac:dyDescent="0.25">
      <c r="A2584" s="718"/>
      <c r="B2584" s="177"/>
      <c r="C2584" s="455"/>
      <c r="D2584" s="2806"/>
      <c r="E2584" s="2856"/>
      <c r="F2584" s="2908" t="str">
        <f>$E$1436</f>
        <v>ASHP SEER 16 MF ER replace ASHP: HVAC ER1_CompE</v>
      </c>
      <c r="G2584" s="2909"/>
      <c r="H2584" s="2909"/>
      <c r="I2584" s="2910"/>
      <c r="J2584" s="1657" t="str">
        <f>$C$1436</f>
        <v>352851_2019_12_</v>
      </c>
      <c r="K2584" s="1663">
        <v>16</v>
      </c>
      <c r="L2584" s="1124"/>
      <c r="M2584" s="1108"/>
      <c r="N2584" s="177"/>
      <c r="O2584" s="332"/>
      <c r="P2584" s="1116"/>
      <c r="Q2584" s="1116"/>
      <c r="R2584" s="1116"/>
      <c r="S2584" s="1103"/>
      <c r="T2584" s="1639"/>
      <c r="U2584" s="177"/>
      <c r="V2584" s="2866"/>
      <c r="W2584" s="909"/>
      <c r="X2584" s="909"/>
      <c r="Y2584" s="933">
        <v>16</v>
      </c>
      <c r="Z2584" s="909"/>
      <c r="AA2584" s="909"/>
      <c r="AB2584" s="909"/>
      <c r="AC2584" s="909"/>
      <c r="AD2584" s="909"/>
      <c r="AE2584" s="909"/>
      <c r="AF2584" s="909"/>
      <c r="AG2584" s="909"/>
      <c r="BB2584" s="784"/>
      <c r="BC2584" s="785"/>
      <c r="BD2584" s="900"/>
      <c r="BE2584" s="797"/>
    </row>
    <row r="2585" spans="1:57" s="65" customFormat="1" ht="15" hidden="1" customHeight="1" outlineLevel="1" x14ac:dyDescent="0.25">
      <c r="A2585" s="718"/>
      <c r="B2585" s="177"/>
      <c r="C2585" s="455"/>
      <c r="D2585" s="2806"/>
      <c r="E2585" s="2856"/>
      <c r="F2585" s="2908" t="str">
        <f>$E$1438</f>
        <v>ASHP SEER 16 MF ER replace ASHP: HVAC ER2_CompE</v>
      </c>
      <c r="G2585" s="2909"/>
      <c r="H2585" s="2909"/>
      <c r="I2585" s="2910"/>
      <c r="J2585" s="1657" t="str">
        <f>$C$1438</f>
        <v>352851_2019_12_</v>
      </c>
      <c r="K2585" s="1663">
        <v>16</v>
      </c>
      <c r="L2585" s="1124"/>
      <c r="M2585" s="1108"/>
      <c r="N2585" s="177"/>
      <c r="O2585" s="332"/>
      <c r="P2585" s="1116"/>
      <c r="Q2585" s="1116"/>
      <c r="R2585" s="1116"/>
      <c r="S2585" s="1103"/>
      <c r="T2585" s="1639"/>
      <c r="U2585" s="177"/>
      <c r="V2585" s="2866"/>
      <c r="W2585" s="909"/>
      <c r="X2585" s="909"/>
      <c r="Y2585" s="933">
        <v>16</v>
      </c>
      <c r="Z2585" s="909"/>
      <c r="AA2585" s="909"/>
      <c r="AB2585" s="909"/>
      <c r="AC2585" s="909"/>
      <c r="AD2585" s="909"/>
      <c r="AE2585" s="909"/>
      <c r="AF2585" s="909"/>
      <c r="AG2585" s="909"/>
      <c r="BB2585" s="784"/>
      <c r="BC2585" s="785"/>
      <c r="BD2585" s="900"/>
      <c r="BE2585" s="797"/>
    </row>
    <row r="2586" spans="1:57" s="65" customFormat="1" ht="15" hidden="1" customHeight="1" outlineLevel="1" x14ac:dyDescent="0.25">
      <c r="A2586" s="718"/>
      <c r="B2586" s="177"/>
      <c r="C2586" s="455"/>
      <c r="D2586" s="2806"/>
      <c r="E2586" s="2856"/>
      <c r="F2586" s="2908" t="str">
        <f>$E$1440</f>
        <v>ASHP - SEER 16 - replace on fail MF</v>
      </c>
      <c r="G2586" s="2909"/>
      <c r="H2586" s="2909"/>
      <c r="I2586" s="2910"/>
      <c r="J2586" s="1657" t="str">
        <f>$C$1440</f>
        <v>352900_2019_12_</v>
      </c>
      <c r="K2586" s="1663">
        <v>16</v>
      </c>
      <c r="L2586" s="1124"/>
      <c r="M2586" s="1108" t="s">
        <v>1380</v>
      </c>
      <c r="N2586" s="177"/>
      <c r="O2586" s="332"/>
      <c r="P2586" s="1116"/>
      <c r="Q2586" s="1116"/>
      <c r="R2586" s="1116"/>
      <c r="S2586" s="1103"/>
      <c r="T2586" s="1639"/>
      <c r="U2586" s="177"/>
      <c r="V2586" s="2866"/>
      <c r="W2586" s="909">
        <v>16</v>
      </c>
      <c r="X2586" s="909">
        <v>16</v>
      </c>
      <c r="Y2586" s="926">
        <v>16</v>
      </c>
      <c r="Z2586" s="909"/>
      <c r="AA2586" s="909"/>
      <c r="AB2586" s="909"/>
      <c r="AC2586" s="909"/>
      <c r="AD2586" s="909"/>
      <c r="AE2586" s="909"/>
      <c r="AF2586" s="909"/>
      <c r="AG2586" s="909"/>
      <c r="BB2586" s="784"/>
      <c r="BC2586" s="785"/>
      <c r="BD2586" s="900"/>
      <c r="BE2586" s="797"/>
    </row>
    <row r="2587" spans="1:57" s="65" customFormat="1" ht="15" hidden="1" customHeight="1" outlineLevel="1" x14ac:dyDescent="0.25">
      <c r="A2587" s="718"/>
      <c r="B2587" s="177"/>
      <c r="C2587" s="455"/>
      <c r="D2587" s="2806"/>
      <c r="E2587" s="2856"/>
      <c r="F2587" s="2908" t="str">
        <f>$E$1442</f>
        <v>ASHP - SEER 16 - replace on fail MF_CompE</v>
      </c>
      <c r="G2587" s="2909"/>
      <c r="H2587" s="2909"/>
      <c r="I2587" s="2910"/>
      <c r="J2587" s="1657" t="str">
        <f>$C$1442</f>
        <v>352901_2019_12_</v>
      </c>
      <c r="K2587" s="1663">
        <v>16</v>
      </c>
      <c r="L2587" s="1124"/>
      <c r="M2587" s="1108"/>
      <c r="N2587" s="177"/>
      <c r="O2587" s="332"/>
      <c r="P2587" s="1116"/>
      <c r="Q2587" s="1116"/>
      <c r="R2587" s="1116"/>
      <c r="S2587" s="1103"/>
      <c r="T2587" s="1639"/>
      <c r="U2587" s="177"/>
      <c r="V2587" s="2866"/>
      <c r="W2587" s="909"/>
      <c r="X2587" s="909"/>
      <c r="Y2587" s="933">
        <v>16</v>
      </c>
      <c r="Z2587" s="909"/>
      <c r="AA2587" s="909"/>
      <c r="AB2587" s="909"/>
      <c r="AC2587" s="909"/>
      <c r="AD2587" s="909"/>
      <c r="AE2587" s="909"/>
      <c r="AF2587" s="909"/>
      <c r="AG2587" s="909"/>
      <c r="BB2587" s="784"/>
      <c r="BC2587" s="785"/>
      <c r="BD2587" s="900"/>
      <c r="BE2587" s="797"/>
    </row>
    <row r="2588" spans="1:57" s="65" customFormat="1" ht="15" hidden="1" customHeight="1" outlineLevel="1" x14ac:dyDescent="0.25">
      <c r="A2588" s="718"/>
      <c r="B2588" s="177"/>
      <c r="C2588" s="455"/>
      <c r="D2588" s="2806"/>
      <c r="E2588" s="2856"/>
      <c r="F2588" s="2908" t="str">
        <f>$E$1444</f>
        <v>ASHP - SEER 16 - replace electric furnace / CAC MF</v>
      </c>
      <c r="G2588" s="2909"/>
      <c r="H2588" s="2909"/>
      <c r="I2588" s="2910"/>
      <c r="J2588" s="1657" t="str">
        <f>$C$1444</f>
        <v>352950_2019_12_</v>
      </c>
      <c r="K2588" s="1663">
        <v>16</v>
      </c>
      <c r="L2588" s="1124"/>
      <c r="M2588" s="1108" t="s">
        <v>1380</v>
      </c>
      <c r="N2588" s="177"/>
      <c r="O2588" s="332"/>
      <c r="P2588" s="1116"/>
      <c r="Q2588" s="1116"/>
      <c r="R2588" s="1116"/>
      <c r="S2588" s="1103"/>
      <c r="T2588" s="1639"/>
      <c r="U2588" s="177"/>
      <c r="V2588" s="2866"/>
      <c r="W2588" s="909">
        <v>16</v>
      </c>
      <c r="X2588" s="909">
        <v>16</v>
      </c>
      <c r="Y2588" s="926">
        <v>16</v>
      </c>
      <c r="Z2588" s="909"/>
      <c r="AA2588" s="909"/>
      <c r="AB2588" s="909"/>
      <c r="AC2588" s="909"/>
      <c r="AD2588" s="909"/>
      <c r="AE2588" s="909"/>
      <c r="AF2588" s="909"/>
      <c r="AG2588" s="909"/>
      <c r="BB2588" s="784"/>
      <c r="BC2588" s="785"/>
      <c r="BD2588" s="900"/>
      <c r="BE2588" s="797"/>
    </row>
    <row r="2589" spans="1:57" s="65" customFormat="1" ht="15" hidden="1" customHeight="1" outlineLevel="1" x14ac:dyDescent="0.25">
      <c r="A2589" s="718"/>
      <c r="B2589" s="177"/>
      <c r="C2589" s="455"/>
      <c r="D2589" s="2806"/>
      <c r="E2589" s="2856"/>
      <c r="F2589" s="2908" t="str">
        <f>$E$1446</f>
        <v>ASHP - SEER 16 - replace electric furnace / CAC MF_CompE</v>
      </c>
      <c r="G2589" s="2909"/>
      <c r="H2589" s="2909"/>
      <c r="I2589" s="2910"/>
      <c r="J2589" s="1657" t="str">
        <f>$C$1446</f>
        <v>352951_2019_12_</v>
      </c>
      <c r="K2589" s="1663">
        <v>16</v>
      </c>
      <c r="L2589" s="1124"/>
      <c r="M2589" s="1108"/>
      <c r="N2589" s="177"/>
      <c r="O2589" s="332"/>
      <c r="P2589" s="1116"/>
      <c r="Q2589" s="1116"/>
      <c r="R2589" s="1116"/>
      <c r="S2589" s="1103"/>
      <c r="T2589" s="1639"/>
      <c r="U2589" s="177"/>
      <c r="V2589" s="2866"/>
      <c r="W2589" s="909"/>
      <c r="X2589" s="909"/>
      <c r="Y2589" s="933">
        <v>16</v>
      </c>
      <c r="Z2589" s="909"/>
      <c r="AA2589" s="909"/>
      <c r="AB2589" s="909"/>
      <c r="AC2589" s="909"/>
      <c r="AD2589" s="909"/>
      <c r="AE2589" s="909"/>
      <c r="AF2589" s="909"/>
      <c r="AG2589" s="909"/>
      <c r="BB2589" s="784"/>
      <c r="BC2589" s="785"/>
      <c r="BD2589" s="900"/>
      <c r="BE2589" s="797"/>
    </row>
    <row r="2590" spans="1:57" s="65" customFormat="1" ht="15" hidden="1" customHeight="1" outlineLevel="1" x14ac:dyDescent="0.25">
      <c r="A2590" s="718"/>
      <c r="B2590" s="177"/>
      <c r="C2590" s="455"/>
      <c r="D2590" s="2806"/>
      <c r="E2590" s="2856"/>
      <c r="F2590" s="2908" t="str">
        <f>$E$1448</f>
        <v>ASHP - SEER 16 - replace electric furnace / CAC - early replacement MF ER1</v>
      </c>
      <c r="G2590" s="2909"/>
      <c r="H2590" s="2909"/>
      <c r="I2590" s="2910"/>
      <c r="J2590" s="1657" t="str">
        <f>$C$1448</f>
        <v>353000_2019_12_</v>
      </c>
      <c r="K2590" s="1663">
        <v>16</v>
      </c>
      <c r="L2590" s="1124"/>
      <c r="M2590" s="1108" t="s">
        <v>1380</v>
      </c>
      <c r="N2590" s="177"/>
      <c r="O2590" s="332"/>
      <c r="P2590" s="1116"/>
      <c r="Q2590" s="1116"/>
      <c r="R2590" s="1116"/>
      <c r="S2590" s="1103"/>
      <c r="T2590" s="1639"/>
      <c r="U2590" s="177"/>
      <c r="V2590" s="2866"/>
      <c r="W2590" s="909">
        <v>16</v>
      </c>
      <c r="X2590" s="909">
        <v>16</v>
      </c>
      <c r="Y2590" s="926">
        <v>16</v>
      </c>
      <c r="Z2590" s="909"/>
      <c r="AA2590" s="909"/>
      <c r="AB2590" s="909"/>
      <c r="AC2590" s="909"/>
      <c r="AD2590" s="909"/>
      <c r="AE2590" s="909"/>
      <c r="AF2590" s="909"/>
      <c r="AG2590" s="909"/>
      <c r="BB2590" s="784"/>
      <c r="BC2590" s="785"/>
      <c r="BD2590" s="900"/>
      <c r="BE2590" s="797"/>
    </row>
    <row r="2591" spans="1:57" s="65" customFormat="1" ht="15" hidden="1" customHeight="1" outlineLevel="1" x14ac:dyDescent="0.25">
      <c r="A2591" s="718"/>
      <c r="B2591" s="177"/>
      <c r="C2591" s="455"/>
      <c r="D2591" s="2806"/>
      <c r="E2591" s="2856"/>
      <c r="F2591" s="2908" t="str">
        <f>$E$1450</f>
        <v>ASHP - SEER 16 - replace electric furnace / CAC - early replacement MF ER2</v>
      </c>
      <c r="G2591" s="2909"/>
      <c r="H2591" s="2909"/>
      <c r="I2591" s="2910"/>
      <c r="J2591" s="1657" t="str">
        <f>$C$1450</f>
        <v>353000_2019_12_</v>
      </c>
      <c r="K2591" s="1663">
        <v>16</v>
      </c>
      <c r="L2591" s="1124"/>
      <c r="M2591" s="1108" t="s">
        <v>1380</v>
      </c>
      <c r="N2591" s="177"/>
      <c r="O2591" s="332"/>
      <c r="P2591" s="1116"/>
      <c r="Q2591" s="1116"/>
      <c r="R2591" s="1116"/>
      <c r="S2591" s="1103"/>
      <c r="T2591" s="1639"/>
      <c r="U2591" s="177"/>
      <c r="V2591" s="2866"/>
      <c r="W2591" s="909">
        <v>16</v>
      </c>
      <c r="X2591" s="909">
        <v>16</v>
      </c>
      <c r="Y2591" s="926">
        <v>16</v>
      </c>
      <c r="Z2591" s="909"/>
      <c r="AA2591" s="909"/>
      <c r="AB2591" s="909"/>
      <c r="AC2591" s="909"/>
      <c r="AD2591" s="909"/>
      <c r="AE2591" s="909"/>
      <c r="AF2591" s="909"/>
      <c r="AG2591" s="909"/>
      <c r="BB2591" s="784"/>
      <c r="BC2591" s="785"/>
      <c r="BD2591" s="900"/>
      <c r="BE2591" s="797"/>
    </row>
    <row r="2592" spans="1:57" s="65" customFormat="1" ht="15" hidden="1" customHeight="1" outlineLevel="1" x14ac:dyDescent="0.25">
      <c r="A2592" s="718"/>
      <c r="B2592" s="177"/>
      <c r="C2592" s="455"/>
      <c r="D2592" s="2806"/>
      <c r="E2592" s="2856"/>
      <c r="F2592" s="2908" t="str">
        <f>$E$1452</f>
        <v>ASHP - SEER 16 - replace electric furnace / CAC - early replacement MF ER1_CompE</v>
      </c>
      <c r="G2592" s="2909"/>
      <c r="H2592" s="2909"/>
      <c r="I2592" s="2910"/>
      <c r="J2592" s="1657" t="str">
        <f>$C$1452</f>
        <v>353001_2019_12_</v>
      </c>
      <c r="K2592" s="1663">
        <v>16</v>
      </c>
      <c r="L2592" s="1124"/>
      <c r="M2592" s="1108"/>
      <c r="N2592" s="177"/>
      <c r="O2592" s="332"/>
      <c r="P2592" s="1116"/>
      <c r="Q2592" s="1116"/>
      <c r="R2592" s="1116"/>
      <c r="S2592" s="1103"/>
      <c r="T2592" s="1639"/>
      <c r="U2592" s="177"/>
      <c r="V2592" s="2866"/>
      <c r="W2592" s="909"/>
      <c r="X2592" s="909"/>
      <c r="Y2592" s="933">
        <v>16</v>
      </c>
      <c r="Z2592" s="909"/>
      <c r="AA2592" s="909"/>
      <c r="AB2592" s="909"/>
      <c r="AC2592" s="909"/>
      <c r="AD2592" s="909"/>
      <c r="AE2592" s="909"/>
      <c r="AF2592" s="909"/>
      <c r="AG2592" s="909"/>
      <c r="BB2592" s="784"/>
      <c r="BC2592" s="785"/>
      <c r="BD2592" s="900"/>
      <c r="BE2592" s="797"/>
    </row>
    <row r="2593" spans="1:57" s="65" customFormat="1" ht="15" hidden="1" customHeight="1" outlineLevel="1" x14ac:dyDescent="0.25">
      <c r="A2593" s="718"/>
      <c r="B2593" s="177"/>
      <c r="C2593" s="455"/>
      <c r="D2593" s="2806"/>
      <c r="E2593" s="2856"/>
      <c r="F2593" s="2908" t="str">
        <f>$E$1454</f>
        <v>ASHP - SEER 16 - replace electric furnace / CAC - early replacement MF ER2_CompE</v>
      </c>
      <c r="G2593" s="2909"/>
      <c r="H2593" s="2909"/>
      <c r="I2593" s="2910"/>
      <c r="J2593" s="1657" t="str">
        <f>$C$1454</f>
        <v>353001_2019_12_</v>
      </c>
      <c r="K2593" s="1663">
        <v>16</v>
      </c>
      <c r="L2593" s="1124"/>
      <c r="M2593" s="1108"/>
      <c r="N2593" s="177"/>
      <c r="O2593" s="332"/>
      <c r="P2593" s="1116"/>
      <c r="Q2593" s="1116"/>
      <c r="R2593" s="1116"/>
      <c r="S2593" s="1103"/>
      <c r="T2593" s="1639"/>
      <c r="U2593" s="177"/>
      <c r="V2593" s="2866"/>
      <c r="W2593" s="909"/>
      <c r="X2593" s="909"/>
      <c r="Y2593" s="933">
        <v>16</v>
      </c>
      <c r="Z2593" s="909"/>
      <c r="AA2593" s="909"/>
      <c r="AB2593" s="909"/>
      <c r="AC2593" s="909"/>
      <c r="AD2593" s="909"/>
      <c r="AE2593" s="909"/>
      <c r="AF2593" s="909"/>
      <c r="AG2593" s="909"/>
      <c r="BB2593" s="784"/>
      <c r="BC2593" s="785"/>
      <c r="BD2593" s="900"/>
      <c r="BE2593" s="797"/>
    </row>
    <row r="2594" spans="1:57" s="65" customFormat="1" ht="15" hidden="1" customHeight="1" outlineLevel="1" x14ac:dyDescent="0.25">
      <c r="A2594" s="718"/>
      <c r="B2594" s="177"/>
      <c r="C2594" s="455"/>
      <c r="D2594" s="2806"/>
      <c r="E2594" s="2856"/>
      <c r="F2594" s="2911" t="str">
        <f>$E$1456</f>
        <v xml:space="preserve">ASHP SEER 15 - replace on Fail MF </v>
      </c>
      <c r="G2594" s="2912"/>
      <c r="H2594" s="2912"/>
      <c r="I2594" s="2913"/>
      <c r="J2594" s="1658" t="str">
        <f>$C$1456</f>
        <v>353050_2019_12_</v>
      </c>
      <c r="K2594" s="1663">
        <v>15.1</v>
      </c>
      <c r="L2594" s="1124"/>
      <c r="M2594" s="1108" t="s">
        <v>1380</v>
      </c>
      <c r="N2594" s="177"/>
      <c r="O2594" s="332"/>
      <c r="P2594" s="1116"/>
      <c r="Q2594" s="1116"/>
      <c r="R2594" s="1116"/>
      <c r="S2594" s="1103"/>
      <c r="T2594" s="1639"/>
      <c r="U2594" s="177"/>
      <c r="V2594" s="2866"/>
      <c r="W2594" s="909">
        <v>15.1</v>
      </c>
      <c r="X2594" s="909">
        <v>15.1</v>
      </c>
      <c r="Y2594" s="926">
        <v>15.1</v>
      </c>
      <c r="Z2594" s="909"/>
      <c r="AA2594" s="909"/>
      <c r="AB2594" s="909"/>
      <c r="AC2594" s="909"/>
      <c r="AD2594" s="909"/>
      <c r="AE2594" s="909"/>
      <c r="AF2594" s="909"/>
      <c r="AG2594" s="909"/>
      <c r="BB2594" s="784"/>
      <c r="BC2594" s="785"/>
      <c r="BD2594" s="900"/>
      <c r="BE2594" s="797"/>
    </row>
    <row r="2595" spans="1:57" s="65" customFormat="1" ht="15" hidden="1" customHeight="1" outlineLevel="1" x14ac:dyDescent="0.25">
      <c r="A2595" s="718"/>
      <c r="B2595" s="177"/>
      <c r="C2595" s="455"/>
      <c r="D2595" s="2806"/>
      <c r="E2595" s="2856"/>
      <c r="F2595" s="2911" t="str">
        <f>$E$1458</f>
        <v>ASHP SEER 15 - replace on Fail MF _CompE</v>
      </c>
      <c r="G2595" s="2912"/>
      <c r="H2595" s="2912"/>
      <c r="I2595" s="2913"/>
      <c r="J2595" s="1658" t="str">
        <f>$C$1458</f>
        <v>353051_2019_12_</v>
      </c>
      <c r="K2595" s="1663">
        <v>15.1</v>
      </c>
      <c r="L2595" s="1124"/>
      <c r="M2595" s="1108"/>
      <c r="N2595" s="177"/>
      <c r="O2595" s="332"/>
      <c r="P2595" s="1116"/>
      <c r="Q2595" s="1116"/>
      <c r="R2595" s="1116"/>
      <c r="S2595" s="1103"/>
      <c r="T2595" s="1639"/>
      <c r="U2595" s="177"/>
      <c r="V2595" s="2866"/>
      <c r="W2595" s="909"/>
      <c r="X2595" s="909"/>
      <c r="Y2595" s="933">
        <v>15.1</v>
      </c>
      <c r="Z2595" s="909"/>
      <c r="AA2595" s="909"/>
      <c r="AB2595" s="909"/>
      <c r="AC2595" s="909"/>
      <c r="AD2595" s="909"/>
      <c r="AE2595" s="909"/>
      <c r="AF2595" s="909"/>
      <c r="AG2595" s="909"/>
      <c r="BB2595" s="784"/>
      <c r="BC2595" s="785"/>
      <c r="BD2595" s="900"/>
      <c r="BE2595" s="797"/>
    </row>
    <row r="2596" spans="1:57" s="65" customFormat="1" ht="15" hidden="1" customHeight="1" outlineLevel="1" x14ac:dyDescent="0.25">
      <c r="A2596" s="718"/>
      <c r="B2596" s="177"/>
      <c r="C2596" s="455"/>
      <c r="D2596" s="2806"/>
      <c r="E2596" s="2856"/>
      <c r="F2596" s="2908" t="str">
        <f>$E$1460</f>
        <v>ASHP - SEER 17 - replace electric furnace / CAC SF</v>
      </c>
      <c r="G2596" s="2909"/>
      <c r="H2596" s="2909"/>
      <c r="I2596" s="2910"/>
      <c r="J2596" s="1657" t="str">
        <f>$C$1460</f>
        <v>353100_2019_12_</v>
      </c>
      <c r="K2596" s="1663">
        <v>17</v>
      </c>
      <c r="L2596" s="1124"/>
      <c r="M2596" s="1108" t="s">
        <v>1605</v>
      </c>
      <c r="N2596" s="177"/>
      <c r="O2596" s="332"/>
      <c r="P2596" s="1116"/>
      <c r="Q2596" s="1116"/>
      <c r="R2596" s="1116"/>
      <c r="S2596" s="1103"/>
      <c r="T2596" s="1639"/>
      <c r="U2596" s="177"/>
      <c r="V2596" s="2866"/>
      <c r="W2596" s="909">
        <v>17</v>
      </c>
      <c r="X2596" s="909">
        <v>17</v>
      </c>
      <c r="Y2596" s="933">
        <v>17</v>
      </c>
      <c r="Z2596" s="909"/>
      <c r="AA2596" s="909"/>
      <c r="AB2596" s="909"/>
      <c r="AC2596" s="909"/>
      <c r="AD2596" s="909"/>
      <c r="AE2596" s="909"/>
      <c r="AF2596" s="909"/>
      <c r="AG2596" s="909"/>
      <c r="BB2596" s="784"/>
      <c r="BC2596" s="785"/>
      <c r="BD2596" s="900"/>
      <c r="BE2596" s="797"/>
    </row>
    <row r="2597" spans="1:57" s="65" customFormat="1" ht="15" hidden="1" customHeight="1" outlineLevel="1" x14ac:dyDescent="0.25">
      <c r="A2597" s="718"/>
      <c r="B2597" s="177"/>
      <c r="C2597" s="455"/>
      <c r="D2597" s="2806"/>
      <c r="E2597" s="2856"/>
      <c r="F2597" s="2908" t="str">
        <f>$E$1462</f>
        <v>ASHP - SEER 17 - replace electric furnace / CAC MF</v>
      </c>
      <c r="G2597" s="2909"/>
      <c r="H2597" s="2909"/>
      <c r="I2597" s="2910"/>
      <c r="J2597" s="1657" t="str">
        <f>$C$1462</f>
        <v>353150_2019_12_</v>
      </c>
      <c r="K2597" s="1663">
        <v>17</v>
      </c>
      <c r="L2597" s="1124"/>
      <c r="M2597" s="1108" t="s">
        <v>1605</v>
      </c>
      <c r="N2597" s="177"/>
      <c r="O2597" s="332"/>
      <c r="P2597" s="1116"/>
      <c r="Q2597" s="1116"/>
      <c r="R2597" s="1116"/>
      <c r="S2597" s="1103"/>
      <c r="T2597" s="1639"/>
      <c r="U2597" s="177"/>
      <c r="V2597" s="2866"/>
      <c r="W2597" s="909">
        <v>17</v>
      </c>
      <c r="X2597" s="909">
        <v>17</v>
      </c>
      <c r="Y2597" s="933">
        <v>17</v>
      </c>
      <c r="Z2597" s="909"/>
      <c r="AA2597" s="909"/>
      <c r="AB2597" s="909"/>
      <c r="AC2597" s="909"/>
      <c r="AD2597" s="909"/>
      <c r="AE2597" s="909"/>
      <c r="AF2597" s="909"/>
      <c r="AG2597" s="909"/>
      <c r="BB2597" s="784"/>
      <c r="BC2597" s="785"/>
      <c r="BD2597" s="900"/>
      <c r="BE2597" s="797"/>
    </row>
    <row r="2598" spans="1:57" s="65" customFormat="1" ht="15" hidden="1" customHeight="1" outlineLevel="1" x14ac:dyDescent="0.25">
      <c r="A2598" s="718"/>
      <c r="B2598" s="177"/>
      <c r="C2598" s="455"/>
      <c r="D2598" s="2806"/>
      <c r="E2598" s="2856"/>
      <c r="F2598" s="2908" t="str">
        <f>$E$1464</f>
        <v>ASHP - SEER 17 - replace electric furnace / CAC MF_CompE</v>
      </c>
      <c r="G2598" s="2909"/>
      <c r="H2598" s="2909"/>
      <c r="I2598" s="2910"/>
      <c r="J2598" s="1657" t="str">
        <f>$C$1464</f>
        <v>353151_2019_12_</v>
      </c>
      <c r="K2598" s="1663">
        <v>17</v>
      </c>
      <c r="L2598" s="1124"/>
      <c r="M2598" s="1108"/>
      <c r="N2598" s="177"/>
      <c r="O2598" s="332"/>
      <c r="P2598" s="1116"/>
      <c r="Q2598" s="1116"/>
      <c r="R2598" s="1116"/>
      <c r="S2598" s="1103"/>
      <c r="T2598" s="1639"/>
      <c r="U2598" s="177"/>
      <c r="V2598" s="2866"/>
      <c r="W2598" s="909"/>
      <c r="X2598" s="909"/>
      <c r="Y2598" s="933">
        <v>17</v>
      </c>
      <c r="Z2598" s="909"/>
      <c r="AA2598" s="909"/>
      <c r="AB2598" s="909"/>
      <c r="AC2598" s="909"/>
      <c r="AD2598" s="909"/>
      <c r="AE2598" s="909"/>
      <c r="AF2598" s="909"/>
      <c r="AG2598" s="909"/>
      <c r="BB2598" s="784"/>
      <c r="BC2598" s="785"/>
      <c r="BD2598" s="900"/>
      <c r="BE2598" s="797"/>
    </row>
    <row r="2599" spans="1:57" s="65" customFormat="1" ht="15" hidden="1" customHeight="1" outlineLevel="1" x14ac:dyDescent="0.25">
      <c r="A2599" s="718"/>
      <c r="B2599" s="177"/>
      <c r="C2599" s="455"/>
      <c r="D2599" s="2806"/>
      <c r="E2599" s="2856"/>
      <c r="F2599" s="2908" t="str">
        <f>$E$1466</f>
        <v>ASHP - SEER 18 - replace electric furnace / CAC SF</v>
      </c>
      <c r="G2599" s="2909"/>
      <c r="H2599" s="2909"/>
      <c r="I2599" s="2910"/>
      <c r="J2599" s="1657" t="str">
        <f>$C$1466</f>
        <v>353200_2019_12_</v>
      </c>
      <c r="K2599" s="1663">
        <v>18</v>
      </c>
      <c r="L2599" s="1124"/>
      <c r="M2599" s="1108" t="s">
        <v>1605</v>
      </c>
      <c r="N2599" s="177"/>
      <c r="O2599" s="332"/>
      <c r="P2599" s="1116"/>
      <c r="Q2599" s="1116"/>
      <c r="R2599" s="1116"/>
      <c r="S2599" s="1103"/>
      <c r="T2599" s="1639"/>
      <c r="U2599" s="177"/>
      <c r="V2599" s="2866"/>
      <c r="W2599" s="909">
        <v>18</v>
      </c>
      <c r="X2599" s="909">
        <v>18</v>
      </c>
      <c r="Y2599" s="933">
        <v>18</v>
      </c>
      <c r="Z2599" s="909"/>
      <c r="AA2599" s="909"/>
      <c r="AB2599" s="909"/>
      <c r="AC2599" s="909"/>
      <c r="AD2599" s="909"/>
      <c r="AE2599" s="909"/>
      <c r="AF2599" s="909"/>
      <c r="AG2599" s="909"/>
      <c r="BB2599" s="784"/>
      <c r="BC2599" s="785"/>
      <c r="BD2599" s="900"/>
      <c r="BE2599" s="797"/>
    </row>
    <row r="2600" spans="1:57" s="65" customFormat="1" ht="15" hidden="1" customHeight="1" outlineLevel="1" x14ac:dyDescent="0.25">
      <c r="A2600" s="718"/>
      <c r="B2600" s="177"/>
      <c r="C2600" s="455"/>
      <c r="D2600" s="2806"/>
      <c r="E2600" s="2856"/>
      <c r="F2600" s="2908" t="str">
        <f>$E$1468</f>
        <v>ASHP - SEER 18 - replace electric furnace / CAC MF</v>
      </c>
      <c r="G2600" s="2909"/>
      <c r="H2600" s="2909"/>
      <c r="I2600" s="2910"/>
      <c r="J2600" s="1657" t="str">
        <f>$C$1468</f>
        <v>353250_2019_12_</v>
      </c>
      <c r="K2600" s="1663">
        <v>18</v>
      </c>
      <c r="L2600" s="1124"/>
      <c r="M2600" s="1108" t="s">
        <v>1605</v>
      </c>
      <c r="N2600" s="177"/>
      <c r="O2600" s="332"/>
      <c r="P2600" s="1116"/>
      <c r="Q2600" s="1116"/>
      <c r="R2600" s="1116"/>
      <c r="S2600" s="1103"/>
      <c r="T2600" s="1639"/>
      <c r="U2600" s="177"/>
      <c r="V2600" s="2866"/>
      <c r="W2600" s="909">
        <v>18</v>
      </c>
      <c r="X2600" s="909">
        <v>18</v>
      </c>
      <c r="Y2600" s="933">
        <v>18</v>
      </c>
      <c r="Z2600" s="909"/>
      <c r="AA2600" s="909"/>
      <c r="AB2600" s="909"/>
      <c r="AC2600" s="909"/>
      <c r="AD2600" s="909"/>
      <c r="AE2600" s="909"/>
      <c r="AF2600" s="909"/>
      <c r="AG2600" s="909"/>
      <c r="BB2600" s="784"/>
      <c r="BC2600" s="785"/>
      <c r="BD2600" s="900"/>
      <c r="BE2600" s="797"/>
    </row>
    <row r="2601" spans="1:57" s="65" customFormat="1" ht="15" hidden="1" customHeight="1" outlineLevel="1" x14ac:dyDescent="0.25">
      <c r="A2601" s="718"/>
      <c r="B2601" s="177"/>
      <c r="C2601" s="455"/>
      <c r="D2601" s="2806"/>
      <c r="E2601" s="2856"/>
      <c r="F2601" s="2908" t="str">
        <f>$E$1470</f>
        <v>ASHP - SEER 18 - replace electric furnace / CAC MF_CompE</v>
      </c>
      <c r="G2601" s="2909"/>
      <c r="H2601" s="2909"/>
      <c r="I2601" s="2910"/>
      <c r="J2601" s="1657" t="str">
        <f>$C$1470</f>
        <v>353251_2019_12_</v>
      </c>
      <c r="K2601" s="1663">
        <v>18</v>
      </c>
      <c r="L2601" s="1124"/>
      <c r="M2601" s="1108"/>
      <c r="N2601" s="177"/>
      <c r="O2601" s="332"/>
      <c r="P2601" s="1116"/>
      <c r="Q2601" s="1116"/>
      <c r="R2601" s="1116"/>
      <c r="S2601" s="1103"/>
      <c r="T2601" s="1639"/>
      <c r="U2601" s="177"/>
      <c r="V2601" s="2866"/>
      <c r="W2601" s="909"/>
      <c r="X2601" s="909"/>
      <c r="Y2601" s="933">
        <v>18</v>
      </c>
      <c r="Z2601" s="909"/>
      <c r="AA2601" s="909"/>
      <c r="AB2601" s="909"/>
      <c r="AC2601" s="909"/>
      <c r="AD2601" s="909"/>
      <c r="AE2601" s="909"/>
      <c r="AF2601" s="909"/>
      <c r="AG2601" s="909"/>
      <c r="BB2601" s="784"/>
      <c r="BC2601" s="785"/>
      <c r="BD2601" s="900"/>
      <c r="BE2601" s="797"/>
    </row>
    <row r="2602" spans="1:57" s="65" customFormat="1" ht="15" hidden="1" customHeight="1" outlineLevel="1" x14ac:dyDescent="0.25">
      <c r="A2602" s="718"/>
      <c r="B2602" s="177"/>
      <c r="C2602" s="455"/>
      <c r="D2602" s="2806"/>
      <c r="E2602" s="2856"/>
      <c r="F2602" s="2908" t="str">
        <f>$E$1472</f>
        <v>ASHP - SEER 19 - replace electric furnace / CAC SF</v>
      </c>
      <c r="G2602" s="2909"/>
      <c r="H2602" s="2909"/>
      <c r="I2602" s="2910"/>
      <c r="J2602" s="1657" t="str">
        <f>$C$1472</f>
        <v>353300_2019_12_</v>
      </c>
      <c r="K2602" s="1663">
        <v>19</v>
      </c>
      <c r="L2602" s="1124"/>
      <c r="M2602" s="1108" t="s">
        <v>1605</v>
      </c>
      <c r="N2602" s="177"/>
      <c r="O2602" s="332"/>
      <c r="P2602" s="1116"/>
      <c r="Q2602" s="1116"/>
      <c r="R2602" s="1116"/>
      <c r="S2602" s="1103"/>
      <c r="T2602" s="1639"/>
      <c r="U2602" s="177"/>
      <c r="V2602" s="2866"/>
      <c r="W2602" s="909">
        <v>19</v>
      </c>
      <c r="X2602" s="909">
        <v>19</v>
      </c>
      <c r="Y2602" s="933">
        <v>19</v>
      </c>
      <c r="Z2602" s="909"/>
      <c r="AA2602" s="909"/>
      <c r="AB2602" s="909"/>
      <c r="AC2602" s="909"/>
      <c r="AD2602" s="909"/>
      <c r="AE2602" s="909"/>
      <c r="AF2602" s="909"/>
      <c r="AG2602" s="909"/>
      <c r="BB2602" s="784"/>
      <c r="BC2602" s="785"/>
      <c r="BD2602" s="900"/>
      <c r="BE2602" s="797"/>
    </row>
    <row r="2603" spans="1:57" s="65" customFormat="1" ht="15" hidden="1" customHeight="1" outlineLevel="1" x14ac:dyDescent="0.25">
      <c r="A2603" s="718"/>
      <c r="B2603" s="177"/>
      <c r="C2603" s="455"/>
      <c r="D2603" s="2806"/>
      <c r="E2603" s="2856"/>
      <c r="F2603" s="2908" t="str">
        <f>$E$1474</f>
        <v>ASHP - SEER 19 - replace electric furnace / CAC MF</v>
      </c>
      <c r="G2603" s="2909"/>
      <c r="H2603" s="2909"/>
      <c r="I2603" s="2910"/>
      <c r="J2603" s="1657" t="str">
        <f>$C$1474</f>
        <v>353350_2019_12_</v>
      </c>
      <c r="K2603" s="1663">
        <v>19</v>
      </c>
      <c r="L2603" s="1124"/>
      <c r="M2603" s="1108" t="s">
        <v>1605</v>
      </c>
      <c r="N2603" s="177"/>
      <c r="O2603" s="332"/>
      <c r="P2603" s="1116"/>
      <c r="Q2603" s="1116"/>
      <c r="R2603" s="1116"/>
      <c r="S2603" s="1103"/>
      <c r="T2603" s="1639"/>
      <c r="U2603" s="177"/>
      <c r="V2603" s="2866"/>
      <c r="W2603" s="909">
        <v>19</v>
      </c>
      <c r="X2603" s="909">
        <v>19</v>
      </c>
      <c r="Y2603" s="933">
        <v>19</v>
      </c>
      <c r="Z2603" s="909"/>
      <c r="AA2603" s="909"/>
      <c r="AB2603" s="909"/>
      <c r="AC2603" s="909"/>
      <c r="AD2603" s="909"/>
      <c r="AE2603" s="909"/>
      <c r="AF2603" s="909"/>
      <c r="AG2603" s="909"/>
      <c r="BB2603" s="784"/>
      <c r="BC2603" s="785"/>
      <c r="BD2603" s="900"/>
      <c r="BE2603" s="797"/>
    </row>
    <row r="2604" spans="1:57" s="65" customFormat="1" ht="15" hidden="1" customHeight="1" outlineLevel="1" x14ac:dyDescent="0.25">
      <c r="A2604" s="718"/>
      <c r="B2604" s="177"/>
      <c r="C2604" s="455"/>
      <c r="D2604" s="2806"/>
      <c r="E2604" s="2856"/>
      <c r="F2604" s="2908" t="str">
        <f>$E$1476</f>
        <v>ASHP - SEER 19 - replace electric furnace / CAC MF_CompE</v>
      </c>
      <c r="G2604" s="2909"/>
      <c r="H2604" s="2909"/>
      <c r="I2604" s="2910"/>
      <c r="J2604" s="1657" t="str">
        <f>$C$1476</f>
        <v>353351_2019_12_</v>
      </c>
      <c r="K2604" s="1663">
        <v>19</v>
      </c>
      <c r="L2604" s="1124"/>
      <c r="M2604" s="1108"/>
      <c r="N2604" s="177"/>
      <c r="O2604" s="332"/>
      <c r="P2604" s="1116"/>
      <c r="Q2604" s="1116"/>
      <c r="R2604" s="1116"/>
      <c r="S2604" s="1103"/>
      <c r="T2604" s="1639"/>
      <c r="U2604" s="177"/>
      <c r="V2604" s="2866"/>
      <c r="W2604" s="909"/>
      <c r="X2604" s="909"/>
      <c r="Y2604" s="933">
        <v>19</v>
      </c>
      <c r="Z2604" s="909"/>
      <c r="AA2604" s="909"/>
      <c r="AB2604" s="909"/>
      <c r="AC2604" s="909"/>
      <c r="AD2604" s="909"/>
      <c r="AE2604" s="909"/>
      <c r="AF2604" s="909"/>
      <c r="AG2604" s="909"/>
      <c r="BB2604" s="784"/>
      <c r="BC2604" s="785"/>
      <c r="BD2604" s="900"/>
      <c r="BE2604" s="797"/>
    </row>
    <row r="2605" spans="1:57" s="65" customFormat="1" ht="15" hidden="1" customHeight="1" outlineLevel="1" x14ac:dyDescent="0.25">
      <c r="A2605" s="718"/>
      <c r="B2605" s="177"/>
      <c r="C2605" s="455"/>
      <c r="D2605" s="2806"/>
      <c r="E2605" s="2856"/>
      <c r="F2605" s="2908" t="str">
        <f>$E$1478</f>
        <v>ASHP - SEER 20 - replace electric furnace / CAC - early replacement SF ER1</v>
      </c>
      <c r="G2605" s="2909"/>
      <c r="H2605" s="2909"/>
      <c r="I2605" s="2910"/>
      <c r="J2605" s="1657" t="str">
        <f>$C$1478</f>
        <v>353400_2019_12_</v>
      </c>
      <c r="K2605" s="1663">
        <v>20</v>
      </c>
      <c r="L2605" s="1124"/>
      <c r="M2605" s="1108" t="s">
        <v>1605</v>
      </c>
      <c r="N2605" s="177"/>
      <c r="O2605" s="332"/>
      <c r="P2605" s="1116"/>
      <c r="Q2605" s="1116"/>
      <c r="R2605" s="1116"/>
      <c r="S2605" s="1103"/>
      <c r="T2605" s="1639"/>
      <c r="U2605" s="177"/>
      <c r="V2605" s="2866"/>
      <c r="W2605" s="909">
        <v>20</v>
      </c>
      <c r="X2605" s="909">
        <v>20</v>
      </c>
      <c r="Y2605" s="926">
        <v>20</v>
      </c>
      <c r="Z2605" s="909"/>
      <c r="AA2605" s="909"/>
      <c r="AB2605" s="909"/>
      <c r="AC2605" s="909"/>
      <c r="AD2605" s="909"/>
      <c r="AE2605" s="909"/>
      <c r="AF2605" s="909"/>
      <c r="AG2605" s="909"/>
      <c r="BB2605" s="784"/>
      <c r="BC2605" s="785"/>
      <c r="BD2605" s="900"/>
      <c r="BE2605" s="797"/>
    </row>
    <row r="2606" spans="1:57" s="65" customFormat="1" ht="15" hidden="1" customHeight="1" outlineLevel="1" x14ac:dyDescent="0.25">
      <c r="A2606" s="718"/>
      <c r="B2606" s="177"/>
      <c r="C2606" s="455"/>
      <c r="D2606" s="2806"/>
      <c r="E2606" s="2856"/>
      <c r="F2606" s="2908" t="str">
        <f>$E$1480</f>
        <v>ASHP - SEER 20 - replace electric furnace / CAC - early replacement SF ER2</v>
      </c>
      <c r="G2606" s="2909"/>
      <c r="H2606" s="2909"/>
      <c r="I2606" s="2910"/>
      <c r="J2606" s="1657" t="str">
        <f>$C$1480</f>
        <v>353400_2019_12_</v>
      </c>
      <c r="K2606" s="1663">
        <v>20</v>
      </c>
      <c r="L2606" s="1124"/>
      <c r="M2606" s="1108" t="s">
        <v>1605</v>
      </c>
      <c r="N2606" s="177"/>
      <c r="O2606" s="332"/>
      <c r="P2606" s="1116"/>
      <c r="Q2606" s="1116"/>
      <c r="R2606" s="1116"/>
      <c r="S2606" s="1103"/>
      <c r="T2606" s="1639"/>
      <c r="U2606" s="177"/>
      <c r="V2606" s="2866"/>
      <c r="W2606" s="909">
        <v>20</v>
      </c>
      <c r="X2606" s="909">
        <v>20</v>
      </c>
      <c r="Y2606" s="926">
        <v>20</v>
      </c>
      <c r="Z2606" s="909"/>
      <c r="AA2606" s="909"/>
      <c r="AB2606" s="909"/>
      <c r="AC2606" s="909"/>
      <c r="AD2606" s="909"/>
      <c r="AE2606" s="909"/>
      <c r="AF2606" s="909"/>
      <c r="AG2606" s="909"/>
      <c r="BB2606" s="784"/>
      <c r="BC2606" s="785"/>
      <c r="BD2606" s="900"/>
      <c r="BE2606" s="797"/>
    </row>
    <row r="2607" spans="1:57" s="65" customFormat="1" ht="15" hidden="1" customHeight="1" outlineLevel="1" x14ac:dyDescent="0.25">
      <c r="A2607" s="718"/>
      <c r="B2607" s="177"/>
      <c r="C2607" s="455"/>
      <c r="D2607" s="2806"/>
      <c r="E2607" s="2856"/>
      <c r="F2607" s="2908" t="str">
        <f>$E$1482</f>
        <v>ASHP - SEER 20 - replace electric furnace / CAC SF</v>
      </c>
      <c r="G2607" s="2909"/>
      <c r="H2607" s="2909"/>
      <c r="I2607" s="2910"/>
      <c r="J2607" s="1657" t="str">
        <f>$C$1482</f>
        <v>353450_2019_12_</v>
      </c>
      <c r="K2607" s="1663">
        <v>20</v>
      </c>
      <c r="L2607" s="1124"/>
      <c r="M2607" s="1108" t="s">
        <v>1605</v>
      </c>
      <c r="N2607" s="177"/>
      <c r="O2607" s="332"/>
      <c r="P2607" s="1116"/>
      <c r="Q2607" s="1116"/>
      <c r="R2607" s="1116"/>
      <c r="S2607" s="1103"/>
      <c r="T2607" s="1639"/>
      <c r="U2607" s="177"/>
      <c r="V2607" s="2866"/>
      <c r="W2607" s="909">
        <v>20</v>
      </c>
      <c r="X2607" s="909">
        <v>20</v>
      </c>
      <c r="Y2607" s="926">
        <v>20</v>
      </c>
      <c r="Z2607" s="909"/>
      <c r="AA2607" s="909"/>
      <c r="AB2607" s="909"/>
      <c r="AC2607" s="909"/>
      <c r="AD2607" s="909"/>
      <c r="AE2607" s="909"/>
      <c r="AF2607" s="909"/>
      <c r="AG2607" s="909"/>
      <c r="BB2607" s="784"/>
      <c r="BC2607" s="785"/>
      <c r="BD2607" s="900"/>
      <c r="BE2607" s="797"/>
    </row>
    <row r="2608" spans="1:57" s="65" customFormat="1" ht="15" hidden="1" customHeight="1" outlineLevel="1" x14ac:dyDescent="0.25">
      <c r="A2608" s="718"/>
      <c r="B2608" s="177"/>
      <c r="C2608" s="455"/>
      <c r="D2608" s="2806"/>
      <c r="E2608" s="2856"/>
      <c r="F2608" s="2908" t="str">
        <f>$E$1484</f>
        <v>ASHP - SEER 20 - replace electric furnace / CAC MF</v>
      </c>
      <c r="G2608" s="2909"/>
      <c r="H2608" s="2909"/>
      <c r="I2608" s="2910"/>
      <c r="J2608" s="1657" t="str">
        <f>$C$1484</f>
        <v>353500_2019_12_</v>
      </c>
      <c r="K2608" s="1663">
        <v>20</v>
      </c>
      <c r="L2608" s="1124"/>
      <c r="M2608" s="1108" t="s">
        <v>1605</v>
      </c>
      <c r="N2608" s="177"/>
      <c r="O2608" s="332"/>
      <c r="P2608" s="1116"/>
      <c r="Q2608" s="1116"/>
      <c r="R2608" s="1116"/>
      <c r="S2608" s="1103"/>
      <c r="T2608" s="1639"/>
      <c r="U2608" s="177"/>
      <c r="V2608" s="2866"/>
      <c r="W2608" s="909">
        <v>20</v>
      </c>
      <c r="X2608" s="909">
        <v>20</v>
      </c>
      <c r="Y2608" s="926">
        <v>20</v>
      </c>
      <c r="Z2608" s="909"/>
      <c r="AA2608" s="909"/>
      <c r="AB2608" s="909"/>
      <c r="AC2608" s="909"/>
      <c r="AD2608" s="909"/>
      <c r="AE2608" s="909"/>
      <c r="AF2608" s="909"/>
      <c r="AG2608" s="909"/>
      <c r="BB2608" s="784"/>
      <c r="BC2608" s="785"/>
      <c r="BD2608" s="900"/>
      <c r="BE2608" s="797"/>
    </row>
    <row r="2609" spans="1:57" s="65" customFormat="1" ht="15" hidden="1" customHeight="1" outlineLevel="1" x14ac:dyDescent="0.25">
      <c r="A2609" s="718"/>
      <c r="B2609" s="177"/>
      <c r="C2609" s="455"/>
      <c r="D2609" s="2806"/>
      <c r="E2609" s="2856"/>
      <c r="F2609" s="2908" t="str">
        <f>$E$1486</f>
        <v>ASHP - SEER 20 - replace electric furnace / CAC MF_CompE</v>
      </c>
      <c r="G2609" s="2909"/>
      <c r="H2609" s="2909"/>
      <c r="I2609" s="2910"/>
      <c r="J2609" s="1657" t="str">
        <f>$C$1486</f>
        <v>353501_2019_12_</v>
      </c>
      <c r="K2609" s="1663">
        <v>20</v>
      </c>
      <c r="L2609" s="1124"/>
      <c r="M2609" s="1108"/>
      <c r="N2609" s="177"/>
      <c r="O2609" s="332"/>
      <c r="P2609" s="1116"/>
      <c r="Q2609" s="1116"/>
      <c r="R2609" s="1116"/>
      <c r="S2609" s="1103"/>
      <c r="T2609" s="1639"/>
      <c r="U2609" s="177"/>
      <c r="V2609" s="2866"/>
      <c r="W2609" s="909"/>
      <c r="X2609" s="909"/>
      <c r="Y2609" s="933">
        <v>20</v>
      </c>
      <c r="Z2609" s="909"/>
      <c r="AA2609" s="909"/>
      <c r="AB2609" s="909"/>
      <c r="AC2609" s="909"/>
      <c r="AD2609" s="909"/>
      <c r="AE2609" s="909"/>
      <c r="AF2609" s="909"/>
      <c r="AG2609" s="909"/>
      <c r="BB2609" s="784"/>
      <c r="BC2609" s="785"/>
      <c r="BD2609" s="900"/>
      <c r="BE2609" s="797"/>
    </row>
    <row r="2610" spans="1:57" s="65" customFormat="1" ht="15" hidden="1" customHeight="1" outlineLevel="1" x14ac:dyDescent="0.25">
      <c r="A2610" s="718"/>
      <c r="B2610" s="177"/>
      <c r="C2610" s="455"/>
      <c r="D2610" s="2806"/>
      <c r="E2610" s="2856"/>
      <c r="F2610" s="2908" t="str">
        <f>$E$1488</f>
        <v>ASHP - SEER 21 - replace electric furnace / CAC - early replacement SF ER1</v>
      </c>
      <c r="G2610" s="2909"/>
      <c r="H2610" s="2909"/>
      <c r="I2610" s="2910"/>
      <c r="J2610" s="1657" t="str">
        <f>$C$1488</f>
        <v>353550_2019_12_</v>
      </c>
      <c r="K2610" s="1663">
        <v>21</v>
      </c>
      <c r="L2610" s="1124"/>
      <c r="M2610" s="1108" t="s">
        <v>1605</v>
      </c>
      <c r="N2610" s="177"/>
      <c r="O2610" s="332"/>
      <c r="P2610" s="1116"/>
      <c r="Q2610" s="1117"/>
      <c r="R2610" s="1116"/>
      <c r="S2610" s="1103"/>
      <c r="T2610" s="1639"/>
      <c r="U2610" s="177"/>
      <c r="V2610" s="2866"/>
      <c r="W2610" s="909">
        <v>21</v>
      </c>
      <c r="X2610" s="909">
        <v>21</v>
      </c>
      <c r="Y2610" s="926">
        <v>21</v>
      </c>
      <c r="Z2610" s="909"/>
      <c r="AA2610" s="909"/>
      <c r="AB2610" s="909"/>
      <c r="AC2610" s="909"/>
      <c r="AD2610" s="909"/>
      <c r="AE2610" s="909"/>
      <c r="AF2610" s="909"/>
      <c r="AG2610" s="909"/>
      <c r="BB2610" s="784"/>
      <c r="BC2610" s="785"/>
      <c r="BD2610" s="900"/>
      <c r="BE2610" s="797"/>
    </row>
    <row r="2611" spans="1:57" s="65" customFormat="1" ht="15" hidden="1" customHeight="1" outlineLevel="1" x14ac:dyDescent="0.25">
      <c r="A2611" s="718"/>
      <c r="B2611" s="177"/>
      <c r="C2611" s="455"/>
      <c r="D2611" s="2806"/>
      <c r="E2611" s="2856"/>
      <c r="F2611" s="2908" t="str">
        <f>$E$1490</f>
        <v>ASHP - SEER 21 - replace electric furnace / CAC - early replacement SF ER2</v>
      </c>
      <c r="G2611" s="2909"/>
      <c r="H2611" s="2909"/>
      <c r="I2611" s="2910"/>
      <c r="J2611" s="1657" t="str">
        <f>$C$1490</f>
        <v>353550_2019_12_</v>
      </c>
      <c r="K2611" s="1663">
        <v>21</v>
      </c>
      <c r="L2611" s="1124"/>
      <c r="M2611" s="1108" t="s">
        <v>1605</v>
      </c>
      <c r="N2611" s="177"/>
      <c r="O2611" s="332"/>
      <c r="P2611" s="1116"/>
      <c r="Q2611" s="1117"/>
      <c r="R2611" s="1116"/>
      <c r="S2611" s="1103"/>
      <c r="T2611" s="1639"/>
      <c r="U2611" s="177"/>
      <c r="V2611" s="2866"/>
      <c r="W2611" s="909">
        <v>21</v>
      </c>
      <c r="X2611" s="909">
        <v>21</v>
      </c>
      <c r="Y2611" s="926">
        <v>21</v>
      </c>
      <c r="Z2611" s="909"/>
      <c r="AA2611" s="909"/>
      <c r="AB2611" s="909"/>
      <c r="AC2611" s="909"/>
      <c r="AD2611" s="909"/>
      <c r="AE2611" s="909"/>
      <c r="AF2611" s="909"/>
      <c r="AG2611" s="909"/>
      <c r="BB2611" s="784"/>
      <c r="BC2611" s="785"/>
      <c r="BD2611" s="900"/>
      <c r="BE2611" s="797"/>
    </row>
    <row r="2612" spans="1:57" s="65" customFormat="1" ht="15" hidden="1" customHeight="1" outlineLevel="1" x14ac:dyDescent="0.25">
      <c r="A2612" s="718"/>
      <c r="B2612" s="177"/>
      <c r="C2612" s="455"/>
      <c r="D2612" s="2806"/>
      <c r="E2612" s="2856"/>
      <c r="F2612" s="2908" t="str">
        <f>$E$1492</f>
        <v>ASHP - SEER 21 - replace electric furnace / CAC - early replacement MF ER1</v>
      </c>
      <c r="G2612" s="2909"/>
      <c r="H2612" s="2909"/>
      <c r="I2612" s="2910"/>
      <c r="J2612" s="1657" t="str">
        <f>$C$1492</f>
        <v>353600_2019_12_</v>
      </c>
      <c r="K2612" s="1663">
        <v>21</v>
      </c>
      <c r="L2612" s="1124"/>
      <c r="M2612" s="1108" t="s">
        <v>1605</v>
      </c>
      <c r="N2612" s="177"/>
      <c r="O2612" s="332"/>
      <c r="P2612" s="1116"/>
      <c r="Q2612" s="1117"/>
      <c r="R2612" s="1116"/>
      <c r="S2612" s="1103"/>
      <c r="T2612" s="1639"/>
      <c r="U2612" s="177"/>
      <c r="V2612" s="2866"/>
      <c r="W2612" s="909">
        <v>21</v>
      </c>
      <c r="X2612" s="909">
        <v>21</v>
      </c>
      <c r="Y2612" s="926">
        <v>21</v>
      </c>
      <c r="Z2612" s="909"/>
      <c r="AA2612" s="909"/>
      <c r="AB2612" s="909"/>
      <c r="AC2612" s="909"/>
      <c r="AD2612" s="909"/>
      <c r="AE2612" s="909"/>
      <c r="AF2612" s="909"/>
      <c r="AG2612" s="909"/>
      <c r="BB2612" s="784"/>
      <c r="BC2612" s="785"/>
      <c r="BD2612" s="900"/>
      <c r="BE2612" s="797"/>
    </row>
    <row r="2613" spans="1:57" s="65" customFormat="1" ht="15" hidden="1" customHeight="1" outlineLevel="1" x14ac:dyDescent="0.25">
      <c r="A2613" s="718"/>
      <c r="B2613" s="177"/>
      <c r="C2613" s="455"/>
      <c r="D2613" s="2806"/>
      <c r="E2613" s="2856"/>
      <c r="F2613" s="2908" t="str">
        <f>$E$1494</f>
        <v>ASHP - SEER 21 - replace electric furnace / CAC - early replacement MF ER2</v>
      </c>
      <c r="G2613" s="2909"/>
      <c r="H2613" s="2909"/>
      <c r="I2613" s="2910"/>
      <c r="J2613" s="1657" t="str">
        <f>$C$1494</f>
        <v>353600_2019_12_</v>
      </c>
      <c r="K2613" s="1663">
        <v>21</v>
      </c>
      <c r="L2613" s="1124"/>
      <c r="M2613" s="1108" t="s">
        <v>1605</v>
      </c>
      <c r="N2613" s="177"/>
      <c r="O2613" s="332"/>
      <c r="P2613" s="1116"/>
      <c r="Q2613" s="1117"/>
      <c r="R2613" s="1116"/>
      <c r="S2613" s="1103"/>
      <c r="T2613" s="1639"/>
      <c r="U2613" s="177"/>
      <c r="V2613" s="2866"/>
      <c r="W2613" s="909">
        <v>21</v>
      </c>
      <c r="X2613" s="909">
        <v>21</v>
      </c>
      <c r="Y2613" s="926">
        <v>21</v>
      </c>
      <c r="Z2613" s="909"/>
      <c r="AA2613" s="909"/>
      <c r="AB2613" s="909"/>
      <c r="AC2613" s="909"/>
      <c r="AD2613" s="909"/>
      <c r="AE2613" s="909"/>
      <c r="AF2613" s="909"/>
      <c r="AG2613" s="909"/>
      <c r="BB2613" s="784"/>
      <c r="BC2613" s="785"/>
      <c r="BD2613" s="900"/>
      <c r="BE2613" s="797"/>
    </row>
    <row r="2614" spans="1:57" s="65" customFormat="1" ht="15" hidden="1" customHeight="1" outlineLevel="1" x14ac:dyDescent="0.25">
      <c r="A2614" s="718"/>
      <c r="B2614" s="177"/>
      <c r="C2614" s="455"/>
      <c r="D2614" s="2806"/>
      <c r="E2614" s="2856"/>
      <c r="F2614" s="2908" t="str">
        <f>$E$1496</f>
        <v>ASHP - SEER 21 - replace electric furnace / CAC - early replacement MF ER1_CompE</v>
      </c>
      <c r="G2614" s="2909"/>
      <c r="H2614" s="2909"/>
      <c r="I2614" s="2910"/>
      <c r="J2614" s="1657" t="str">
        <f>$C$1496</f>
        <v>353601_2019_12_</v>
      </c>
      <c r="K2614" s="1663">
        <v>21</v>
      </c>
      <c r="L2614" s="1124"/>
      <c r="M2614" s="1108"/>
      <c r="N2614" s="177"/>
      <c r="O2614" s="332"/>
      <c r="P2614" s="1116"/>
      <c r="Q2614" s="1117"/>
      <c r="R2614" s="1116"/>
      <c r="S2614" s="1103"/>
      <c r="T2614" s="1639"/>
      <c r="U2614" s="177"/>
      <c r="V2614" s="2866"/>
      <c r="W2614" s="909"/>
      <c r="X2614" s="909"/>
      <c r="Y2614" s="933">
        <v>21</v>
      </c>
      <c r="Z2614" s="909"/>
      <c r="AA2614" s="909"/>
      <c r="AB2614" s="909"/>
      <c r="AC2614" s="909"/>
      <c r="AD2614" s="909"/>
      <c r="AE2614" s="909"/>
      <c r="AF2614" s="909"/>
      <c r="AG2614" s="909"/>
      <c r="BB2614" s="784"/>
      <c r="BC2614" s="785"/>
      <c r="BD2614" s="900"/>
      <c r="BE2614" s="797"/>
    </row>
    <row r="2615" spans="1:57" s="65" customFormat="1" ht="15" hidden="1" customHeight="1" outlineLevel="1" x14ac:dyDescent="0.25">
      <c r="A2615" s="718"/>
      <c r="B2615" s="177"/>
      <c r="C2615" s="455"/>
      <c r="D2615" s="2806"/>
      <c r="E2615" s="2856"/>
      <c r="F2615" s="2908" t="str">
        <f>$E$1498</f>
        <v>ASHP - SEER 21 - replace electric furnace / CAC - early replacement MF ER2_CompE</v>
      </c>
      <c r="G2615" s="2909"/>
      <c r="H2615" s="2909"/>
      <c r="I2615" s="2910"/>
      <c r="J2615" s="1657" t="str">
        <f>$C$1498</f>
        <v>353601_2019_12_</v>
      </c>
      <c r="K2615" s="1663">
        <v>21</v>
      </c>
      <c r="L2615" s="1124"/>
      <c r="M2615" s="1108"/>
      <c r="N2615" s="177"/>
      <c r="O2615" s="332"/>
      <c r="P2615" s="1116"/>
      <c r="Q2615" s="1117"/>
      <c r="R2615" s="1116"/>
      <c r="S2615" s="1103"/>
      <c r="T2615" s="1639"/>
      <c r="U2615" s="177"/>
      <c r="V2615" s="2866"/>
      <c r="W2615" s="909"/>
      <c r="X2615" s="909"/>
      <c r="Y2615" s="933">
        <v>21</v>
      </c>
      <c r="Z2615" s="909"/>
      <c r="AA2615" s="909"/>
      <c r="AB2615" s="909"/>
      <c r="AC2615" s="909"/>
      <c r="AD2615" s="909"/>
      <c r="AE2615" s="909"/>
      <c r="AF2615" s="909"/>
      <c r="AG2615" s="909"/>
      <c r="BB2615" s="784"/>
      <c r="BC2615" s="785"/>
      <c r="BD2615" s="900"/>
      <c r="BE2615" s="797"/>
    </row>
    <row r="2616" spans="1:57" s="65" customFormat="1" ht="15" hidden="1" customHeight="1" outlineLevel="1" x14ac:dyDescent="0.25">
      <c r="A2616" s="718"/>
      <c r="B2616" s="177"/>
      <c r="C2616" s="455"/>
      <c r="D2616" s="2806"/>
      <c r="E2616" s="2856"/>
      <c r="F2616" s="2908" t="str">
        <f>$E$1500</f>
        <v>ASHP - SEER 21 - replace electric furnace / CAC SF</v>
      </c>
      <c r="G2616" s="2909"/>
      <c r="H2616" s="2909"/>
      <c r="I2616" s="2910"/>
      <c r="J2616" s="1657" t="str">
        <f>$C$1500</f>
        <v>353650_2019_12_</v>
      </c>
      <c r="K2616" s="1663">
        <v>21</v>
      </c>
      <c r="L2616" s="1124"/>
      <c r="M2616" s="1108" t="s">
        <v>1605</v>
      </c>
      <c r="N2616" s="177"/>
      <c r="O2616" s="332"/>
      <c r="P2616" s="1116"/>
      <c r="Q2616" s="1117"/>
      <c r="R2616" s="1116"/>
      <c r="S2616" s="1103"/>
      <c r="T2616" s="1639"/>
      <c r="U2616" s="177"/>
      <c r="V2616" s="2866"/>
      <c r="W2616" s="909">
        <v>21</v>
      </c>
      <c r="X2616" s="909">
        <v>21</v>
      </c>
      <c r="Y2616" s="926">
        <v>21</v>
      </c>
      <c r="Z2616" s="909"/>
      <c r="AA2616" s="909"/>
      <c r="AB2616" s="909"/>
      <c r="AC2616" s="909"/>
      <c r="AD2616" s="909"/>
      <c r="AE2616" s="909"/>
      <c r="AF2616" s="909"/>
      <c r="AG2616" s="909"/>
      <c r="BB2616" s="784"/>
      <c r="BC2616" s="785"/>
      <c r="BD2616" s="900"/>
      <c r="BE2616" s="797"/>
    </row>
    <row r="2617" spans="1:57" s="65" customFormat="1" ht="15" hidden="1" customHeight="1" outlineLevel="1" x14ac:dyDescent="0.25">
      <c r="A2617" s="718"/>
      <c r="B2617" s="177"/>
      <c r="C2617" s="455"/>
      <c r="D2617" s="2806"/>
      <c r="E2617" s="2856"/>
      <c r="F2617" s="2908" t="str">
        <f>$E$1502</f>
        <v>ASHP-  SEER 21+ replace at Fail Elec Resist Furnace MF</v>
      </c>
      <c r="G2617" s="2909"/>
      <c r="H2617" s="2909"/>
      <c r="I2617" s="2910"/>
      <c r="J2617" s="1657" t="str">
        <f>$C$1502</f>
        <v>353700_2019_12_</v>
      </c>
      <c r="K2617" s="1663">
        <v>21</v>
      </c>
      <c r="L2617" s="1124"/>
      <c r="M2617" s="1108" t="s">
        <v>1605</v>
      </c>
      <c r="N2617" s="177"/>
      <c r="O2617" s="332"/>
      <c r="P2617" s="1116"/>
      <c r="Q2617" s="1117"/>
      <c r="R2617" s="1116"/>
      <c r="S2617" s="1103"/>
      <c r="T2617" s="1639"/>
      <c r="U2617" s="177"/>
      <c r="V2617" s="2866"/>
      <c r="W2617" s="909">
        <v>21</v>
      </c>
      <c r="X2617" s="909">
        <v>21</v>
      </c>
      <c r="Y2617" s="926">
        <v>21</v>
      </c>
      <c r="Z2617" s="909"/>
      <c r="AA2617" s="909"/>
      <c r="AB2617" s="909"/>
      <c r="AC2617" s="909"/>
      <c r="AD2617" s="909"/>
      <c r="AE2617" s="909"/>
      <c r="AF2617" s="909"/>
      <c r="AG2617" s="909"/>
      <c r="BB2617" s="784"/>
      <c r="BC2617" s="785"/>
      <c r="BD2617" s="900"/>
      <c r="BE2617" s="797"/>
    </row>
    <row r="2618" spans="1:57" s="65" customFormat="1" ht="15" hidden="1" customHeight="1" outlineLevel="1" x14ac:dyDescent="0.25">
      <c r="A2618" s="718"/>
      <c r="B2618" s="177"/>
      <c r="C2618" s="455"/>
      <c r="D2618" s="2806"/>
      <c r="E2618" s="2856"/>
      <c r="F2618" s="2908" t="str">
        <f>$E$1504</f>
        <v>ASHP-  SEER 21+ replace at Fail Elec Resist Furnace MF_CompE</v>
      </c>
      <c r="G2618" s="2909"/>
      <c r="H2618" s="2909"/>
      <c r="I2618" s="2910"/>
      <c r="J2618" s="1657" t="str">
        <f>$C$1504</f>
        <v>353701_2019_12_</v>
      </c>
      <c r="K2618" s="1663">
        <v>21</v>
      </c>
      <c r="L2618" s="1124"/>
      <c r="M2618" s="1108"/>
      <c r="N2618" s="177"/>
      <c r="O2618" s="332"/>
      <c r="P2618" s="1116"/>
      <c r="Q2618" s="1117"/>
      <c r="R2618" s="1116"/>
      <c r="S2618" s="1103"/>
      <c r="T2618" s="1639"/>
      <c r="U2618" s="177"/>
      <c r="V2618" s="2866"/>
      <c r="W2618" s="909"/>
      <c r="X2618" s="909"/>
      <c r="Y2618" s="933">
        <v>21</v>
      </c>
      <c r="Z2618" s="909"/>
      <c r="AA2618" s="909"/>
      <c r="AB2618" s="909"/>
      <c r="AC2618" s="909"/>
      <c r="AD2618" s="909"/>
      <c r="AE2618" s="909"/>
      <c r="AF2618" s="909"/>
      <c r="AG2618" s="909"/>
      <c r="BB2618" s="784"/>
      <c r="BC2618" s="785"/>
      <c r="BD2618" s="900"/>
      <c r="BE2618" s="797"/>
    </row>
    <row r="2619" spans="1:57" s="65" customFormat="1" ht="15" hidden="1" customHeight="1" outlineLevel="1" x14ac:dyDescent="0.25">
      <c r="A2619" s="785"/>
      <c r="B2619" s="177"/>
      <c r="C2619" s="455"/>
      <c r="D2619" s="2806"/>
      <c r="E2619" s="2856"/>
      <c r="F2619" s="2908" t="str">
        <f>$E$1506</f>
        <v>ASHP SEER 17 replace ASHP - early replacement SF ER1</v>
      </c>
      <c r="G2619" s="2909"/>
      <c r="H2619" s="2909"/>
      <c r="I2619" s="2910"/>
      <c r="J2619" s="1657" t="str">
        <f>$C$1506</f>
        <v>353750_2019_12_</v>
      </c>
      <c r="K2619" s="1663">
        <v>17</v>
      </c>
      <c r="L2619" s="1124"/>
      <c r="M2619" s="1108" t="s">
        <v>1605</v>
      </c>
      <c r="N2619" s="177"/>
      <c r="O2619" s="332"/>
      <c r="P2619" s="332"/>
      <c r="Q2619" s="332"/>
      <c r="R2619" s="332"/>
      <c r="S2619" s="177"/>
      <c r="T2619" s="177"/>
      <c r="U2619" s="177"/>
      <c r="V2619" s="2866"/>
      <c r="W2619" s="909">
        <v>17</v>
      </c>
      <c r="X2619" s="909">
        <v>17</v>
      </c>
      <c r="Y2619" s="926">
        <v>17</v>
      </c>
      <c r="Z2619" s="909"/>
      <c r="AA2619" s="909"/>
      <c r="AB2619" s="909"/>
      <c r="AC2619" s="909"/>
      <c r="AD2619" s="909"/>
      <c r="AE2619" s="909"/>
      <c r="AF2619" s="909"/>
      <c r="AG2619" s="909"/>
      <c r="BB2619" s="784"/>
      <c r="BC2619" s="785"/>
      <c r="BD2619" s="900"/>
      <c r="BE2619" s="797"/>
    </row>
    <row r="2620" spans="1:57" s="65" customFormat="1" ht="15" hidden="1" customHeight="1" outlineLevel="1" x14ac:dyDescent="0.25">
      <c r="A2620" s="718"/>
      <c r="B2620" s="177"/>
      <c r="C2620" s="455"/>
      <c r="D2620" s="2806"/>
      <c r="E2620" s="2856"/>
      <c r="F2620" s="2908" t="str">
        <f>$E$1508</f>
        <v>ASHP SEER 17 replace ASHP - early replacement SF ER2</v>
      </c>
      <c r="G2620" s="2909"/>
      <c r="H2620" s="2909"/>
      <c r="I2620" s="2910"/>
      <c r="J2620" s="1657" t="str">
        <f>$C$1508</f>
        <v>353750_2019_12_</v>
      </c>
      <c r="K2620" s="1663">
        <v>17</v>
      </c>
      <c r="L2620" s="1124"/>
      <c r="M2620" s="1108" t="s">
        <v>1605</v>
      </c>
      <c r="N2620" s="177"/>
      <c r="O2620" s="332"/>
      <c r="P2620" s="1116"/>
      <c r="Q2620" s="1117"/>
      <c r="R2620" s="1116"/>
      <c r="S2620" s="1103"/>
      <c r="T2620" s="1639"/>
      <c r="U2620" s="177"/>
      <c r="V2620" s="2866"/>
      <c r="W2620" s="909">
        <v>17</v>
      </c>
      <c r="X2620" s="909">
        <v>17</v>
      </c>
      <c r="Y2620" s="926">
        <v>17</v>
      </c>
      <c r="Z2620" s="909"/>
      <c r="AA2620" s="909"/>
      <c r="AB2620" s="909"/>
      <c r="AC2620" s="909"/>
      <c r="AD2620" s="909"/>
      <c r="AE2620" s="909"/>
      <c r="AF2620" s="909"/>
      <c r="AG2620" s="909"/>
      <c r="BB2620" s="784"/>
      <c r="BC2620" s="785"/>
      <c r="BD2620" s="900"/>
      <c r="BE2620" s="797"/>
    </row>
    <row r="2621" spans="1:57" s="65" customFormat="1" ht="15" hidden="1" customHeight="1" outlineLevel="1" x14ac:dyDescent="0.25">
      <c r="A2621" s="785"/>
      <c r="B2621" s="177"/>
      <c r="C2621" s="455"/>
      <c r="D2621" s="2806"/>
      <c r="E2621" s="2856"/>
      <c r="F2621" s="2908" t="str">
        <f>$E$1510</f>
        <v>ASHP SEER 17 replace ASHP - replace on fail SF</v>
      </c>
      <c r="G2621" s="2909"/>
      <c r="H2621" s="2909"/>
      <c r="I2621" s="2910"/>
      <c r="J2621" s="1657" t="str">
        <f>$C$1510</f>
        <v>353800_2019_12_</v>
      </c>
      <c r="K2621" s="1663">
        <v>17</v>
      </c>
      <c r="L2621" s="1124"/>
      <c r="M2621" s="1108" t="s">
        <v>1605</v>
      </c>
      <c r="N2621" s="177"/>
      <c r="O2621" s="332"/>
      <c r="P2621" s="332"/>
      <c r="Q2621" s="332"/>
      <c r="R2621" s="332"/>
      <c r="S2621" s="177"/>
      <c r="T2621" s="177"/>
      <c r="U2621" s="177"/>
      <c r="V2621" s="2866"/>
      <c r="W2621" s="909">
        <v>17</v>
      </c>
      <c r="X2621" s="909">
        <v>17</v>
      </c>
      <c r="Y2621" s="926">
        <v>17</v>
      </c>
      <c r="Z2621" s="909"/>
      <c r="AA2621" s="909"/>
      <c r="AB2621" s="909"/>
      <c r="AC2621" s="909"/>
      <c r="AD2621" s="909"/>
      <c r="AE2621" s="909"/>
      <c r="AF2621" s="909"/>
      <c r="AG2621" s="909"/>
      <c r="BB2621" s="784"/>
      <c r="BC2621" s="785"/>
      <c r="BD2621" s="900"/>
      <c r="BE2621" s="797"/>
    </row>
    <row r="2622" spans="1:57" s="65" customFormat="1" ht="15" hidden="1" customHeight="1" outlineLevel="1" x14ac:dyDescent="0.25">
      <c r="A2622" s="718"/>
      <c r="B2622" s="177"/>
      <c r="C2622" s="455"/>
      <c r="D2622" s="2806"/>
      <c r="E2622" s="2856"/>
      <c r="F2622" s="2908" t="str">
        <f>$E$1512</f>
        <v>ASHP SEER 18 replace ASHP - early replacement SF ER1</v>
      </c>
      <c r="G2622" s="2909"/>
      <c r="H2622" s="2909"/>
      <c r="I2622" s="2910"/>
      <c r="J2622" s="1657" t="str">
        <f>$C$1512</f>
        <v>353850_2019_12_</v>
      </c>
      <c r="K2622" s="1663">
        <v>18</v>
      </c>
      <c r="L2622" s="1124"/>
      <c r="M2622" s="1108" t="s">
        <v>1605</v>
      </c>
      <c r="N2622" s="177"/>
      <c r="O2622" s="332"/>
      <c r="P2622" s="1116"/>
      <c r="Q2622" s="1117"/>
      <c r="R2622" s="1116"/>
      <c r="S2622" s="1103"/>
      <c r="T2622" s="1639"/>
      <c r="U2622" s="177"/>
      <c r="V2622" s="2866"/>
      <c r="W2622" s="909">
        <v>18</v>
      </c>
      <c r="X2622" s="909">
        <v>18</v>
      </c>
      <c r="Y2622" s="926">
        <v>18</v>
      </c>
      <c r="Z2622" s="909"/>
      <c r="AA2622" s="909"/>
      <c r="AB2622" s="909"/>
      <c r="AC2622" s="909"/>
      <c r="AD2622" s="909"/>
      <c r="AE2622" s="909"/>
      <c r="AF2622" s="909"/>
      <c r="AG2622" s="909"/>
      <c r="BB2622" s="784"/>
      <c r="BC2622" s="785"/>
      <c r="BD2622" s="900"/>
      <c r="BE2622" s="797"/>
    </row>
    <row r="2623" spans="1:57" s="65" customFormat="1" ht="15" hidden="1" customHeight="1" outlineLevel="1" x14ac:dyDescent="0.25">
      <c r="A2623" s="785"/>
      <c r="B2623" s="177"/>
      <c r="C2623" s="455"/>
      <c r="D2623" s="2806"/>
      <c r="E2623" s="2856"/>
      <c r="F2623" s="2908" t="str">
        <f>$E$1514</f>
        <v>ASHP SEER 18 replace ASHP - early replacement SF ER2</v>
      </c>
      <c r="G2623" s="2909"/>
      <c r="H2623" s="2909"/>
      <c r="I2623" s="2910"/>
      <c r="J2623" s="1657" t="str">
        <f>$C$1514</f>
        <v>353850_2019_12_</v>
      </c>
      <c r="K2623" s="1663">
        <v>18</v>
      </c>
      <c r="L2623" s="1124"/>
      <c r="M2623" s="1108" t="s">
        <v>1605</v>
      </c>
      <c r="N2623" s="177"/>
      <c r="O2623" s="332"/>
      <c r="P2623" s="332"/>
      <c r="Q2623" s="332"/>
      <c r="R2623" s="332"/>
      <c r="S2623" s="177"/>
      <c r="T2623" s="177"/>
      <c r="U2623" s="177"/>
      <c r="V2623" s="2866"/>
      <c r="W2623" s="909">
        <v>18</v>
      </c>
      <c r="X2623" s="909">
        <v>18</v>
      </c>
      <c r="Y2623" s="926">
        <v>18</v>
      </c>
      <c r="Z2623" s="909"/>
      <c r="AA2623" s="909"/>
      <c r="AB2623" s="909"/>
      <c r="AC2623" s="909"/>
      <c r="AD2623" s="909"/>
      <c r="AE2623" s="909"/>
      <c r="AF2623" s="909"/>
      <c r="AG2623" s="909"/>
      <c r="BB2623" s="784"/>
      <c r="BC2623" s="785"/>
      <c r="BD2623" s="900"/>
      <c r="BE2623" s="797"/>
    </row>
    <row r="2624" spans="1:57" s="65" customFormat="1" ht="15" hidden="1" customHeight="1" outlineLevel="1" x14ac:dyDescent="0.25">
      <c r="A2624" s="718"/>
      <c r="B2624" s="177"/>
      <c r="C2624" s="455"/>
      <c r="D2624" s="2806"/>
      <c r="E2624" s="2856"/>
      <c r="F2624" s="2908" t="str">
        <f>$E$1516</f>
        <v>ASHP - SEER 18 - replace on fail SF</v>
      </c>
      <c r="G2624" s="2909"/>
      <c r="H2624" s="2909"/>
      <c r="I2624" s="2910"/>
      <c r="J2624" s="1657" t="str">
        <f>$C$1516</f>
        <v>353950_2019_12_</v>
      </c>
      <c r="K2624" s="1663">
        <v>18</v>
      </c>
      <c r="L2624" s="1124"/>
      <c r="M2624" s="1108" t="s">
        <v>1605</v>
      </c>
      <c r="N2624" s="177"/>
      <c r="O2624" s="332"/>
      <c r="P2624" s="1116"/>
      <c r="Q2624" s="1117"/>
      <c r="R2624" s="1116"/>
      <c r="S2624" s="1103"/>
      <c r="T2624" s="1639"/>
      <c r="U2624" s="177"/>
      <c r="V2624" s="2866"/>
      <c r="W2624" s="909">
        <v>18</v>
      </c>
      <c r="X2624" s="909">
        <v>18</v>
      </c>
      <c r="Y2624" s="926">
        <v>18</v>
      </c>
      <c r="Z2624" s="909"/>
      <c r="AA2624" s="909"/>
      <c r="AB2624" s="909"/>
      <c r="AC2624" s="909"/>
      <c r="AD2624" s="909"/>
      <c r="AE2624" s="909"/>
      <c r="AF2624" s="909"/>
      <c r="AG2624" s="909"/>
      <c r="BB2624" s="784"/>
      <c r="BC2624" s="785"/>
      <c r="BD2624" s="900"/>
      <c r="BE2624" s="797"/>
    </row>
    <row r="2625" spans="1:57" s="65" customFormat="1" ht="15" hidden="1" customHeight="1" outlineLevel="1" x14ac:dyDescent="0.25">
      <c r="A2625" s="718"/>
      <c r="B2625" s="177"/>
      <c r="C2625" s="455"/>
      <c r="D2625" s="2806"/>
      <c r="E2625" s="2856"/>
      <c r="F2625" s="2908" t="str">
        <f>$E$1518</f>
        <v>ASHP SEER 19 replace ASHP - early replacement SF ER1</v>
      </c>
      <c r="G2625" s="2909"/>
      <c r="H2625" s="2909"/>
      <c r="I2625" s="2910"/>
      <c r="J2625" s="1657" t="str">
        <f>$C$1518</f>
        <v>354000_2019_12_</v>
      </c>
      <c r="K2625" s="1663">
        <v>19</v>
      </c>
      <c r="L2625" s="1124"/>
      <c r="M2625" s="1108" t="s">
        <v>1605</v>
      </c>
      <c r="N2625" s="177"/>
      <c r="O2625" s="332"/>
      <c r="P2625" s="1116"/>
      <c r="Q2625" s="1117"/>
      <c r="R2625" s="1116"/>
      <c r="S2625" s="1103"/>
      <c r="T2625" s="1639"/>
      <c r="U2625" s="177"/>
      <c r="V2625" s="2866"/>
      <c r="W2625" s="909">
        <v>19</v>
      </c>
      <c r="X2625" s="909">
        <v>19</v>
      </c>
      <c r="Y2625" s="926">
        <v>19</v>
      </c>
      <c r="Z2625" s="909"/>
      <c r="AA2625" s="909"/>
      <c r="AB2625" s="909"/>
      <c r="AC2625" s="909"/>
      <c r="AD2625" s="909"/>
      <c r="AE2625" s="909"/>
      <c r="AF2625" s="909"/>
      <c r="AG2625" s="909"/>
      <c r="BB2625" s="784"/>
      <c r="BC2625" s="785"/>
      <c r="BD2625" s="900"/>
      <c r="BE2625" s="797"/>
    </row>
    <row r="2626" spans="1:57" s="65" customFormat="1" ht="15" hidden="1" customHeight="1" outlineLevel="1" x14ac:dyDescent="0.25">
      <c r="A2626" s="785"/>
      <c r="B2626" s="177"/>
      <c r="C2626" s="455"/>
      <c r="D2626" s="2806"/>
      <c r="E2626" s="2856"/>
      <c r="F2626" s="2908" t="str">
        <f>$E$1520</f>
        <v>ASHP SEER 19 replace ASHP - early replacement SF ER2</v>
      </c>
      <c r="G2626" s="2909"/>
      <c r="H2626" s="2909"/>
      <c r="I2626" s="2910"/>
      <c r="J2626" s="1657" t="str">
        <f>$C$1520</f>
        <v>354000_2019_12_</v>
      </c>
      <c r="K2626" s="1663">
        <v>19</v>
      </c>
      <c r="L2626" s="1124"/>
      <c r="M2626" s="1108" t="s">
        <v>1605</v>
      </c>
      <c r="N2626" s="177"/>
      <c r="O2626" s="332"/>
      <c r="P2626" s="332"/>
      <c r="Q2626" s="332"/>
      <c r="R2626" s="332"/>
      <c r="S2626" s="177"/>
      <c r="T2626" s="177"/>
      <c r="U2626" s="177"/>
      <c r="V2626" s="2866"/>
      <c r="W2626" s="909">
        <v>19</v>
      </c>
      <c r="X2626" s="909">
        <v>19</v>
      </c>
      <c r="Y2626" s="926">
        <v>19</v>
      </c>
      <c r="Z2626" s="909"/>
      <c r="AA2626" s="909"/>
      <c r="AB2626" s="909"/>
      <c r="AC2626" s="909"/>
      <c r="AD2626" s="909"/>
      <c r="AE2626" s="909"/>
      <c r="AF2626" s="909"/>
      <c r="AG2626" s="909"/>
      <c r="BB2626" s="784"/>
      <c r="BC2626" s="785"/>
      <c r="BD2626" s="900"/>
      <c r="BE2626" s="797"/>
    </row>
    <row r="2627" spans="1:57" s="65" customFormat="1" ht="15" hidden="1" customHeight="1" outlineLevel="1" x14ac:dyDescent="0.25">
      <c r="A2627" s="785"/>
      <c r="B2627" s="177"/>
      <c r="C2627" s="455"/>
      <c r="D2627" s="2806"/>
      <c r="E2627" s="2856"/>
      <c r="F2627" s="2908" t="str">
        <f>$E$1522</f>
        <v>ASHP SEER 19 replace ASHP - replace on fail SF</v>
      </c>
      <c r="G2627" s="2909"/>
      <c r="H2627" s="2909"/>
      <c r="I2627" s="2910"/>
      <c r="J2627" s="1657" t="str">
        <f>$C$1522</f>
        <v>354050_2019_12_</v>
      </c>
      <c r="K2627" s="1663">
        <v>19</v>
      </c>
      <c r="L2627" s="1124"/>
      <c r="M2627" s="1108" t="s">
        <v>1605</v>
      </c>
      <c r="N2627" s="177"/>
      <c r="O2627" s="332"/>
      <c r="P2627" s="332"/>
      <c r="Q2627" s="332"/>
      <c r="R2627" s="332"/>
      <c r="S2627" s="177"/>
      <c r="T2627" s="177"/>
      <c r="U2627" s="177"/>
      <c r="V2627" s="2866"/>
      <c r="W2627" s="909">
        <v>19</v>
      </c>
      <c r="X2627" s="909">
        <v>19</v>
      </c>
      <c r="Y2627" s="926">
        <v>19</v>
      </c>
      <c r="Z2627" s="909"/>
      <c r="AA2627" s="909"/>
      <c r="AB2627" s="909"/>
      <c r="AC2627" s="909"/>
      <c r="AD2627" s="909"/>
      <c r="AE2627" s="909"/>
      <c r="AF2627" s="909"/>
      <c r="AG2627" s="909"/>
      <c r="BB2627" s="784"/>
      <c r="BC2627" s="785"/>
      <c r="BD2627" s="900"/>
      <c r="BE2627" s="797"/>
    </row>
    <row r="2628" spans="1:57" s="65" customFormat="1" ht="15" hidden="1" customHeight="1" outlineLevel="1" x14ac:dyDescent="0.25">
      <c r="A2628" s="785"/>
      <c r="B2628" s="177"/>
      <c r="C2628" s="455"/>
      <c r="D2628" s="2806"/>
      <c r="E2628" s="2856"/>
      <c r="F2628" s="2908" t="str">
        <f>$E$1524</f>
        <v>ASHP - SEER 17 - replace electric furnace / CAC - early replacement SF ER1</v>
      </c>
      <c r="G2628" s="2909"/>
      <c r="H2628" s="2909"/>
      <c r="I2628" s="2910"/>
      <c r="J2628" s="1657" t="str">
        <f>$C$1524</f>
        <v>354100_2019_12_</v>
      </c>
      <c r="K2628" s="1663">
        <v>17</v>
      </c>
      <c r="L2628" s="1124"/>
      <c r="M2628" s="1108" t="s">
        <v>1605</v>
      </c>
      <c r="N2628" s="177"/>
      <c r="O2628" s="332"/>
      <c r="P2628" s="332"/>
      <c r="Q2628" s="332"/>
      <c r="R2628" s="332"/>
      <c r="S2628" s="177"/>
      <c r="T2628" s="177"/>
      <c r="U2628" s="177"/>
      <c r="V2628" s="2866"/>
      <c r="W2628" s="909">
        <v>17</v>
      </c>
      <c r="X2628" s="909">
        <v>17</v>
      </c>
      <c r="Y2628" s="926">
        <v>17</v>
      </c>
      <c r="Z2628" s="909"/>
      <c r="AA2628" s="909"/>
      <c r="AB2628" s="909"/>
      <c r="AC2628" s="909"/>
      <c r="AD2628" s="909"/>
      <c r="AE2628" s="909"/>
      <c r="AF2628" s="909"/>
      <c r="AG2628" s="909"/>
      <c r="BB2628" s="784"/>
      <c r="BC2628" s="785"/>
      <c r="BD2628" s="900"/>
      <c r="BE2628" s="797"/>
    </row>
    <row r="2629" spans="1:57" s="65" customFormat="1" ht="15" hidden="1" customHeight="1" outlineLevel="1" x14ac:dyDescent="0.25">
      <c r="A2629" s="785"/>
      <c r="B2629" s="177"/>
      <c r="C2629" s="455"/>
      <c r="D2629" s="2806"/>
      <c r="E2629" s="2856"/>
      <c r="F2629" s="2908" t="str">
        <f>$E$1526</f>
        <v>ASHP - SEER 17 - replace electric furnace / CAC - early replacement SF ER2</v>
      </c>
      <c r="G2629" s="2909"/>
      <c r="H2629" s="2909"/>
      <c r="I2629" s="2910"/>
      <c r="J2629" s="1657" t="str">
        <f>$C$1526</f>
        <v>354100_2019_12_</v>
      </c>
      <c r="K2629" s="1663">
        <v>17</v>
      </c>
      <c r="L2629" s="1124"/>
      <c r="M2629" s="1108" t="s">
        <v>1605</v>
      </c>
      <c r="N2629" s="177"/>
      <c r="O2629" s="332"/>
      <c r="P2629" s="332"/>
      <c r="Q2629" s="332"/>
      <c r="R2629" s="332"/>
      <c r="S2629" s="177"/>
      <c r="T2629" s="177"/>
      <c r="U2629" s="177"/>
      <c r="V2629" s="2866"/>
      <c r="W2629" s="909">
        <v>17</v>
      </c>
      <c r="X2629" s="909">
        <v>17</v>
      </c>
      <c r="Y2629" s="926">
        <v>17</v>
      </c>
      <c r="Z2629" s="909"/>
      <c r="AA2629" s="909"/>
      <c r="AB2629" s="909"/>
      <c r="AC2629" s="909"/>
      <c r="AD2629" s="909"/>
      <c r="AE2629" s="909"/>
      <c r="AF2629" s="909"/>
      <c r="AG2629" s="909"/>
      <c r="BB2629" s="784"/>
      <c r="BC2629" s="785"/>
      <c r="BD2629" s="900"/>
      <c r="BE2629" s="797"/>
    </row>
    <row r="2630" spans="1:57" s="65" customFormat="1" ht="15" hidden="1" customHeight="1" outlineLevel="1" x14ac:dyDescent="0.25">
      <c r="A2630" s="785"/>
      <c r="B2630" s="177"/>
      <c r="C2630" s="455"/>
      <c r="D2630" s="2806"/>
      <c r="E2630" s="2856"/>
      <c r="F2630" s="2908" t="str">
        <f>$E$1528</f>
        <v>ASHP - SEER 17 - replace electric furnace / CAC - early replacement MF ER1</v>
      </c>
      <c r="G2630" s="2909"/>
      <c r="H2630" s="2909"/>
      <c r="I2630" s="2910"/>
      <c r="J2630" s="1657" t="str">
        <f>$C$1528</f>
        <v>354150_2019_12_</v>
      </c>
      <c r="K2630" s="1663">
        <v>17</v>
      </c>
      <c r="L2630" s="1124"/>
      <c r="M2630" s="1108" t="s">
        <v>1605</v>
      </c>
      <c r="N2630" s="177"/>
      <c r="O2630" s="332"/>
      <c r="P2630" s="332"/>
      <c r="Q2630" s="332"/>
      <c r="R2630" s="332"/>
      <c r="S2630" s="177"/>
      <c r="T2630" s="177"/>
      <c r="U2630" s="177"/>
      <c r="V2630" s="2866"/>
      <c r="W2630" s="909">
        <v>17</v>
      </c>
      <c r="X2630" s="909">
        <v>17</v>
      </c>
      <c r="Y2630" s="926">
        <v>17</v>
      </c>
      <c r="Z2630" s="909"/>
      <c r="AA2630" s="909"/>
      <c r="AB2630" s="909"/>
      <c r="AC2630" s="909"/>
      <c r="AD2630" s="909"/>
      <c r="AE2630" s="909"/>
      <c r="AF2630" s="909"/>
      <c r="AG2630" s="909"/>
      <c r="BB2630" s="784"/>
      <c r="BC2630" s="785"/>
      <c r="BD2630" s="900"/>
      <c r="BE2630" s="797"/>
    </row>
    <row r="2631" spans="1:57" s="65" customFormat="1" ht="15" hidden="1" customHeight="1" outlineLevel="1" x14ac:dyDescent="0.25">
      <c r="A2631" s="785"/>
      <c r="B2631" s="177"/>
      <c r="C2631" s="455"/>
      <c r="D2631" s="2806"/>
      <c r="E2631" s="2856"/>
      <c r="F2631" s="2908" t="str">
        <f>$E$1530</f>
        <v>ASHP - SEER 17 - replace electric furnace / CAC - early replacement MF ER2</v>
      </c>
      <c r="G2631" s="2909"/>
      <c r="H2631" s="2909"/>
      <c r="I2631" s="2910"/>
      <c r="J2631" s="1657" t="str">
        <f>$C$1530</f>
        <v>354150_2019_12_</v>
      </c>
      <c r="K2631" s="1663">
        <v>17</v>
      </c>
      <c r="L2631" s="1124"/>
      <c r="M2631" s="1108" t="s">
        <v>1605</v>
      </c>
      <c r="N2631" s="177"/>
      <c r="O2631" s="332"/>
      <c r="P2631" s="332"/>
      <c r="Q2631" s="332"/>
      <c r="R2631" s="332"/>
      <c r="S2631" s="177"/>
      <c r="T2631" s="177"/>
      <c r="U2631" s="177"/>
      <c r="V2631" s="2866"/>
      <c r="W2631" s="909">
        <v>17</v>
      </c>
      <c r="X2631" s="909">
        <v>17</v>
      </c>
      <c r="Y2631" s="926">
        <v>17</v>
      </c>
      <c r="Z2631" s="909"/>
      <c r="AA2631" s="909"/>
      <c r="AB2631" s="909"/>
      <c r="AC2631" s="909"/>
      <c r="AD2631" s="909"/>
      <c r="AE2631" s="909"/>
      <c r="AF2631" s="909"/>
      <c r="AG2631" s="909"/>
      <c r="BB2631" s="784"/>
      <c r="BC2631" s="785"/>
      <c r="BD2631" s="900"/>
      <c r="BE2631" s="797"/>
    </row>
    <row r="2632" spans="1:57" s="65" customFormat="1" ht="15" hidden="1" customHeight="1" outlineLevel="1" x14ac:dyDescent="0.25">
      <c r="A2632" s="785"/>
      <c r="B2632" s="177"/>
      <c r="C2632" s="455"/>
      <c r="D2632" s="2806"/>
      <c r="E2632" s="2856"/>
      <c r="F2632" s="2908" t="str">
        <f>$E$1532</f>
        <v>ASHP - SEER 17 - replace electric furnace / CAC - early replacement MF ER1_CompE</v>
      </c>
      <c r="G2632" s="2909"/>
      <c r="H2632" s="2909"/>
      <c r="I2632" s="2910"/>
      <c r="J2632" s="1657" t="str">
        <f>$C$1532</f>
        <v>354151_2019_12_</v>
      </c>
      <c r="K2632" s="1663">
        <v>17</v>
      </c>
      <c r="L2632" s="1124"/>
      <c r="M2632" s="1108"/>
      <c r="N2632" s="177"/>
      <c r="O2632" s="332"/>
      <c r="P2632" s="332"/>
      <c r="Q2632" s="332"/>
      <c r="R2632" s="332"/>
      <c r="S2632" s="177"/>
      <c r="T2632" s="177"/>
      <c r="U2632" s="177"/>
      <c r="V2632" s="2866"/>
      <c r="W2632" s="909"/>
      <c r="X2632" s="909"/>
      <c r="Y2632" s="933">
        <v>17</v>
      </c>
      <c r="Z2632" s="909"/>
      <c r="AA2632" s="909"/>
      <c r="AB2632" s="909"/>
      <c r="AC2632" s="909"/>
      <c r="AD2632" s="909"/>
      <c r="AE2632" s="909"/>
      <c r="AF2632" s="909"/>
      <c r="AG2632" s="909"/>
      <c r="BB2632" s="784"/>
      <c r="BC2632" s="785"/>
      <c r="BD2632" s="900"/>
      <c r="BE2632" s="797"/>
    </row>
    <row r="2633" spans="1:57" s="65" customFormat="1" ht="15" hidden="1" customHeight="1" outlineLevel="1" x14ac:dyDescent="0.25">
      <c r="A2633" s="785"/>
      <c r="B2633" s="177"/>
      <c r="C2633" s="455"/>
      <c r="D2633" s="2806"/>
      <c r="E2633" s="2856"/>
      <c r="F2633" s="2908" t="str">
        <f>$E$1534</f>
        <v>ASHP - SEER 17 - replace electric furnace / CAC - early replacement MF ER2_CompE</v>
      </c>
      <c r="G2633" s="2909"/>
      <c r="H2633" s="2909"/>
      <c r="I2633" s="2910"/>
      <c r="J2633" s="1657" t="str">
        <f>$C$1534</f>
        <v>354151_2019_12_</v>
      </c>
      <c r="K2633" s="1663">
        <v>17</v>
      </c>
      <c r="L2633" s="1124"/>
      <c r="M2633" s="1108"/>
      <c r="N2633" s="177"/>
      <c r="O2633" s="332"/>
      <c r="P2633" s="332"/>
      <c r="Q2633" s="332"/>
      <c r="R2633" s="332"/>
      <c r="S2633" s="177"/>
      <c r="T2633" s="177"/>
      <c r="U2633" s="177"/>
      <c r="V2633" s="2866"/>
      <c r="W2633" s="909"/>
      <c r="X2633" s="909"/>
      <c r="Y2633" s="933">
        <v>17</v>
      </c>
      <c r="Z2633" s="909"/>
      <c r="AA2633" s="909"/>
      <c r="AB2633" s="909"/>
      <c r="AC2633" s="909"/>
      <c r="AD2633" s="909"/>
      <c r="AE2633" s="909"/>
      <c r="AF2633" s="909"/>
      <c r="AG2633" s="909"/>
      <c r="BB2633" s="784"/>
      <c r="BC2633" s="785"/>
      <c r="BD2633" s="900"/>
      <c r="BE2633" s="797"/>
    </row>
    <row r="2634" spans="1:57" s="65" customFormat="1" ht="15" hidden="1" customHeight="1" outlineLevel="1" x14ac:dyDescent="0.25">
      <c r="A2634" s="785"/>
      <c r="B2634" s="177"/>
      <c r="C2634" s="455"/>
      <c r="D2634" s="2806"/>
      <c r="E2634" s="2856"/>
      <c r="F2634" s="2908" t="str">
        <f>$E$1536</f>
        <v>ASHP SEER 17 replace ASHP - early replacement MF ER1</v>
      </c>
      <c r="G2634" s="2909"/>
      <c r="H2634" s="2909"/>
      <c r="I2634" s="2910"/>
      <c r="J2634" s="1657" t="str">
        <f>$C$1536</f>
        <v>354200_2019_12_</v>
      </c>
      <c r="K2634" s="1663">
        <v>17</v>
      </c>
      <c r="L2634" s="1124"/>
      <c r="M2634" s="1108" t="s">
        <v>1605</v>
      </c>
      <c r="N2634" s="177"/>
      <c r="O2634" s="332"/>
      <c r="P2634" s="332"/>
      <c r="Q2634" s="332"/>
      <c r="R2634" s="332"/>
      <c r="S2634" s="177"/>
      <c r="T2634" s="177"/>
      <c r="U2634" s="177"/>
      <c r="V2634" s="2866"/>
      <c r="W2634" s="909">
        <v>17</v>
      </c>
      <c r="X2634" s="909">
        <v>17</v>
      </c>
      <c r="Y2634" s="926">
        <v>17</v>
      </c>
      <c r="Z2634" s="909"/>
      <c r="AA2634" s="909"/>
      <c r="AB2634" s="909"/>
      <c r="AC2634" s="909"/>
      <c r="AD2634" s="909"/>
      <c r="AE2634" s="909"/>
      <c r="AF2634" s="909"/>
      <c r="AG2634" s="909"/>
      <c r="BB2634" s="784"/>
      <c r="BC2634" s="785"/>
      <c r="BD2634" s="900"/>
      <c r="BE2634" s="797"/>
    </row>
    <row r="2635" spans="1:57" s="65" customFormat="1" ht="15" hidden="1" customHeight="1" outlineLevel="1" x14ac:dyDescent="0.25">
      <c r="A2635" s="785"/>
      <c r="B2635" s="177"/>
      <c r="C2635" s="455"/>
      <c r="D2635" s="2806"/>
      <c r="E2635" s="2856"/>
      <c r="F2635" s="2908" t="str">
        <f>$E$1538</f>
        <v>ASHP SEER 17 replace ASHP - early replacement MF ER2</v>
      </c>
      <c r="G2635" s="2909"/>
      <c r="H2635" s="2909"/>
      <c r="I2635" s="2910"/>
      <c r="J2635" s="1657" t="str">
        <f>$C$1538</f>
        <v>354200_2019_12_</v>
      </c>
      <c r="K2635" s="1663">
        <v>17</v>
      </c>
      <c r="L2635" s="1124"/>
      <c r="M2635" s="1108" t="s">
        <v>1605</v>
      </c>
      <c r="N2635" s="177"/>
      <c r="O2635" s="332"/>
      <c r="P2635" s="332"/>
      <c r="Q2635" s="332"/>
      <c r="R2635" s="332"/>
      <c r="S2635" s="177"/>
      <c r="T2635" s="177"/>
      <c r="U2635" s="177"/>
      <c r="V2635" s="2866"/>
      <c r="W2635" s="909">
        <v>17</v>
      </c>
      <c r="X2635" s="909">
        <v>17</v>
      </c>
      <c r="Y2635" s="926">
        <v>17</v>
      </c>
      <c r="Z2635" s="909"/>
      <c r="AA2635" s="909"/>
      <c r="AB2635" s="909"/>
      <c r="AC2635" s="909"/>
      <c r="AD2635" s="909"/>
      <c r="AE2635" s="909"/>
      <c r="AF2635" s="909"/>
      <c r="AG2635" s="909"/>
      <c r="BB2635" s="784"/>
      <c r="BC2635" s="785"/>
      <c r="BD2635" s="900"/>
      <c r="BE2635" s="797"/>
    </row>
    <row r="2636" spans="1:57" s="65" customFormat="1" ht="15" hidden="1" customHeight="1" outlineLevel="1" x14ac:dyDescent="0.25">
      <c r="A2636" s="785"/>
      <c r="B2636" s="177"/>
      <c r="C2636" s="455"/>
      <c r="D2636" s="2806"/>
      <c r="E2636" s="2856"/>
      <c r="F2636" s="2908" t="str">
        <f>$E$1540</f>
        <v>ASHP SEER 17 replace ASHP - early replacement MF ER1_CompE</v>
      </c>
      <c r="G2636" s="2909"/>
      <c r="H2636" s="2909"/>
      <c r="I2636" s="2910"/>
      <c r="J2636" s="1657" t="str">
        <f>$C$1540</f>
        <v>354201_2019_12_</v>
      </c>
      <c r="K2636" s="1663">
        <v>17</v>
      </c>
      <c r="L2636" s="1124"/>
      <c r="M2636" s="1108"/>
      <c r="N2636" s="177"/>
      <c r="O2636" s="332"/>
      <c r="P2636" s="332"/>
      <c r="Q2636" s="332"/>
      <c r="R2636" s="332"/>
      <c r="S2636" s="177"/>
      <c r="T2636" s="177"/>
      <c r="U2636" s="177"/>
      <c r="V2636" s="2866"/>
      <c r="W2636" s="909"/>
      <c r="X2636" s="909"/>
      <c r="Y2636" s="933">
        <v>17</v>
      </c>
      <c r="Z2636" s="909"/>
      <c r="AA2636" s="909"/>
      <c r="AB2636" s="909"/>
      <c r="AC2636" s="909"/>
      <c r="AD2636" s="909"/>
      <c r="AE2636" s="909"/>
      <c r="AF2636" s="909"/>
      <c r="AG2636" s="909"/>
      <c r="BB2636" s="784"/>
      <c r="BC2636" s="785"/>
      <c r="BD2636" s="900"/>
      <c r="BE2636" s="797"/>
    </row>
    <row r="2637" spans="1:57" s="65" customFormat="1" ht="15" hidden="1" customHeight="1" outlineLevel="1" x14ac:dyDescent="0.25">
      <c r="A2637" s="785"/>
      <c r="B2637" s="177"/>
      <c r="C2637" s="455"/>
      <c r="D2637" s="2806"/>
      <c r="E2637" s="2856"/>
      <c r="F2637" s="2908" t="str">
        <f>$E$1542</f>
        <v>ASHP SEER 17 replace ASHP - early replacement MF ER2_CompE</v>
      </c>
      <c r="G2637" s="2909"/>
      <c r="H2637" s="2909"/>
      <c r="I2637" s="2910"/>
      <c r="J2637" s="1657" t="str">
        <f>$C$1542</f>
        <v>354201_2019_12_</v>
      </c>
      <c r="K2637" s="1663">
        <v>17</v>
      </c>
      <c r="L2637" s="1124"/>
      <c r="M2637" s="1108"/>
      <c r="N2637" s="177"/>
      <c r="O2637" s="332"/>
      <c r="P2637" s="332"/>
      <c r="Q2637" s="332"/>
      <c r="R2637" s="332"/>
      <c r="S2637" s="177"/>
      <c r="T2637" s="177"/>
      <c r="U2637" s="177"/>
      <c r="V2637" s="2866"/>
      <c r="W2637" s="909"/>
      <c r="X2637" s="909"/>
      <c r="Y2637" s="933">
        <v>17</v>
      </c>
      <c r="Z2637" s="909"/>
      <c r="AA2637" s="909"/>
      <c r="AB2637" s="909"/>
      <c r="AC2637" s="909"/>
      <c r="AD2637" s="909"/>
      <c r="AE2637" s="909"/>
      <c r="AF2637" s="909"/>
      <c r="AG2637" s="909"/>
      <c r="BB2637" s="784"/>
      <c r="BC2637" s="785"/>
      <c r="BD2637" s="900"/>
      <c r="BE2637" s="797"/>
    </row>
    <row r="2638" spans="1:57" s="65" customFormat="1" ht="15" hidden="1" customHeight="1" outlineLevel="1" x14ac:dyDescent="0.25">
      <c r="A2638" s="785"/>
      <c r="B2638" s="177"/>
      <c r="C2638" s="455"/>
      <c r="D2638" s="2806"/>
      <c r="E2638" s="2856"/>
      <c r="F2638" s="2908" t="str">
        <f>$E$1544</f>
        <v>ASHP - SEER 18 - replace electric furnace / CAC - early replacement SF ER1</v>
      </c>
      <c r="G2638" s="2909"/>
      <c r="H2638" s="2909"/>
      <c r="I2638" s="2910"/>
      <c r="J2638" s="1657" t="str">
        <f>$C$1544</f>
        <v>354250_2019_12_</v>
      </c>
      <c r="K2638" s="1663">
        <v>18</v>
      </c>
      <c r="L2638" s="1124"/>
      <c r="M2638" s="1108" t="s">
        <v>1605</v>
      </c>
      <c r="N2638" s="177"/>
      <c r="O2638" s="332"/>
      <c r="P2638" s="332"/>
      <c r="Q2638" s="332"/>
      <c r="R2638" s="332"/>
      <c r="S2638" s="177"/>
      <c r="T2638" s="177"/>
      <c r="U2638" s="177"/>
      <c r="V2638" s="2866"/>
      <c r="W2638" s="909">
        <v>18</v>
      </c>
      <c r="X2638" s="909">
        <v>18</v>
      </c>
      <c r="Y2638" s="926">
        <v>18</v>
      </c>
      <c r="Z2638" s="909"/>
      <c r="AA2638" s="909"/>
      <c r="AB2638" s="909"/>
      <c r="AC2638" s="909"/>
      <c r="AD2638" s="909"/>
      <c r="AE2638" s="909"/>
      <c r="AF2638" s="909"/>
      <c r="AG2638" s="909"/>
      <c r="BB2638" s="784"/>
      <c r="BC2638" s="785"/>
      <c r="BD2638" s="900"/>
      <c r="BE2638" s="797"/>
    </row>
    <row r="2639" spans="1:57" s="65" customFormat="1" ht="15" hidden="1" customHeight="1" outlineLevel="1" x14ac:dyDescent="0.25">
      <c r="A2639" s="785"/>
      <c r="B2639" s="177"/>
      <c r="C2639" s="455"/>
      <c r="D2639" s="2806"/>
      <c r="E2639" s="2856"/>
      <c r="F2639" s="2908" t="str">
        <f>$E$1546</f>
        <v>ASHP - SEER 18 - replace electric furnace / CAC - early replacement SF ER2</v>
      </c>
      <c r="G2639" s="2909"/>
      <c r="H2639" s="2909"/>
      <c r="I2639" s="2910"/>
      <c r="J2639" s="1657" t="str">
        <f>$C$1546</f>
        <v>354250_2019_12_</v>
      </c>
      <c r="K2639" s="1663">
        <v>18</v>
      </c>
      <c r="L2639" s="1124"/>
      <c r="M2639" s="1108" t="s">
        <v>1605</v>
      </c>
      <c r="N2639" s="177"/>
      <c r="O2639" s="332"/>
      <c r="P2639" s="332"/>
      <c r="Q2639" s="332"/>
      <c r="R2639" s="332"/>
      <c r="S2639" s="177"/>
      <c r="T2639" s="177"/>
      <c r="U2639" s="177"/>
      <c r="V2639" s="2866"/>
      <c r="W2639" s="909">
        <v>18</v>
      </c>
      <c r="X2639" s="909">
        <v>18</v>
      </c>
      <c r="Y2639" s="926">
        <v>18</v>
      </c>
      <c r="Z2639" s="909"/>
      <c r="AA2639" s="909"/>
      <c r="AB2639" s="909"/>
      <c r="AC2639" s="909"/>
      <c r="AD2639" s="909"/>
      <c r="AE2639" s="909"/>
      <c r="AF2639" s="909"/>
      <c r="AG2639" s="909"/>
      <c r="BB2639" s="784"/>
      <c r="BC2639" s="785"/>
      <c r="BD2639" s="900"/>
      <c r="BE2639" s="797"/>
    </row>
    <row r="2640" spans="1:57" s="65" customFormat="1" ht="15" hidden="1" customHeight="1" outlineLevel="1" x14ac:dyDescent="0.25">
      <c r="A2640" s="785"/>
      <c r="B2640" s="177"/>
      <c r="C2640" s="455"/>
      <c r="D2640" s="2806"/>
      <c r="E2640" s="2856"/>
      <c r="F2640" s="2908" t="str">
        <f>$E$1548</f>
        <v>ASHP - SEER 18 - replace electric furnace / CAC - early replacement MF ER1</v>
      </c>
      <c r="G2640" s="2909"/>
      <c r="H2640" s="2909"/>
      <c r="I2640" s="2910"/>
      <c r="J2640" s="1657" t="str">
        <f>$C$1548</f>
        <v>354300_2019_12_</v>
      </c>
      <c r="K2640" s="1663">
        <v>18</v>
      </c>
      <c r="L2640" s="1124"/>
      <c r="M2640" s="1108" t="s">
        <v>1605</v>
      </c>
      <c r="N2640" s="177"/>
      <c r="O2640" s="332"/>
      <c r="P2640" s="332"/>
      <c r="Q2640" s="332"/>
      <c r="R2640" s="332"/>
      <c r="S2640" s="177"/>
      <c r="T2640" s="177"/>
      <c r="U2640" s="177"/>
      <c r="V2640" s="2866"/>
      <c r="W2640" s="909">
        <v>18</v>
      </c>
      <c r="X2640" s="909">
        <v>18</v>
      </c>
      <c r="Y2640" s="926">
        <v>18</v>
      </c>
      <c r="Z2640" s="909"/>
      <c r="AA2640" s="909"/>
      <c r="AB2640" s="909"/>
      <c r="AC2640" s="909"/>
      <c r="AD2640" s="909"/>
      <c r="AE2640" s="909"/>
      <c r="AF2640" s="909"/>
      <c r="AG2640" s="909"/>
      <c r="BB2640" s="784"/>
      <c r="BC2640" s="785"/>
      <c r="BD2640" s="900"/>
      <c r="BE2640" s="797"/>
    </row>
    <row r="2641" spans="1:57" s="65" customFormat="1" ht="15" hidden="1" customHeight="1" outlineLevel="1" x14ac:dyDescent="0.25">
      <c r="A2641" s="785"/>
      <c r="B2641" s="177"/>
      <c r="C2641" s="455"/>
      <c r="D2641" s="2806"/>
      <c r="E2641" s="2856"/>
      <c r="F2641" s="2908" t="str">
        <f>$E$1550</f>
        <v>ASHP - SEER 18 - replace electric furnace / CAC - early replacement MF ER2</v>
      </c>
      <c r="G2641" s="2909"/>
      <c r="H2641" s="2909"/>
      <c r="I2641" s="2910"/>
      <c r="J2641" s="1657" t="str">
        <f>$C$1550</f>
        <v>354300_2019_12_</v>
      </c>
      <c r="K2641" s="1663">
        <v>18</v>
      </c>
      <c r="L2641" s="1124"/>
      <c r="M2641" s="1108" t="s">
        <v>1605</v>
      </c>
      <c r="N2641" s="177"/>
      <c r="O2641" s="332"/>
      <c r="P2641" s="332"/>
      <c r="Q2641" s="332"/>
      <c r="R2641" s="332"/>
      <c r="S2641" s="177"/>
      <c r="T2641" s="177"/>
      <c r="U2641" s="177"/>
      <c r="V2641" s="2866"/>
      <c r="W2641" s="909">
        <v>18</v>
      </c>
      <c r="X2641" s="909">
        <v>18</v>
      </c>
      <c r="Y2641" s="926">
        <v>18</v>
      </c>
      <c r="Z2641" s="909"/>
      <c r="AA2641" s="909"/>
      <c r="AB2641" s="909"/>
      <c r="AC2641" s="909"/>
      <c r="AD2641" s="909"/>
      <c r="AE2641" s="909"/>
      <c r="AF2641" s="909"/>
      <c r="AG2641" s="909"/>
      <c r="BB2641" s="784"/>
      <c r="BC2641" s="785"/>
      <c r="BD2641" s="900"/>
      <c r="BE2641" s="797"/>
    </row>
    <row r="2642" spans="1:57" s="65" customFormat="1" ht="15" hidden="1" customHeight="1" outlineLevel="1" x14ac:dyDescent="0.25">
      <c r="A2642" s="785"/>
      <c r="B2642" s="177"/>
      <c r="C2642" s="455"/>
      <c r="D2642" s="2806"/>
      <c r="E2642" s="2856"/>
      <c r="F2642" s="2908" t="str">
        <f>$E$1552</f>
        <v>ASHP - SEER 18 - replace electric furnace / CAC - early replacement MF ER1_CompE</v>
      </c>
      <c r="G2642" s="2909"/>
      <c r="H2642" s="2909"/>
      <c r="I2642" s="2910"/>
      <c r="J2642" s="1657" t="str">
        <f>$C$1552</f>
        <v>354301_2019_12_</v>
      </c>
      <c r="K2642" s="1663">
        <v>18</v>
      </c>
      <c r="L2642" s="1124"/>
      <c r="M2642" s="1108"/>
      <c r="N2642" s="177"/>
      <c r="O2642" s="332"/>
      <c r="P2642" s="332"/>
      <c r="Q2642" s="332"/>
      <c r="R2642" s="332"/>
      <c r="S2642" s="177"/>
      <c r="T2642" s="177"/>
      <c r="U2642" s="177"/>
      <c r="V2642" s="2866"/>
      <c r="W2642" s="909"/>
      <c r="X2642" s="909"/>
      <c r="Y2642" s="933">
        <v>18</v>
      </c>
      <c r="Z2642" s="909"/>
      <c r="AA2642" s="909"/>
      <c r="AB2642" s="909"/>
      <c r="AC2642" s="909"/>
      <c r="AD2642" s="909"/>
      <c r="AE2642" s="909"/>
      <c r="AF2642" s="909"/>
      <c r="AG2642" s="909"/>
      <c r="BB2642" s="784"/>
      <c r="BC2642" s="785"/>
      <c r="BD2642" s="900"/>
      <c r="BE2642" s="797"/>
    </row>
    <row r="2643" spans="1:57" s="65" customFormat="1" ht="15" hidden="1" customHeight="1" outlineLevel="1" x14ac:dyDescent="0.25">
      <c r="A2643" s="785"/>
      <c r="B2643" s="177"/>
      <c r="C2643" s="455"/>
      <c r="D2643" s="2806"/>
      <c r="E2643" s="2856"/>
      <c r="F2643" s="2908" t="str">
        <f>$E$1554</f>
        <v>ASHP - SEER 18 - replace electric furnace / CAC - early replacement MF ER2_CompE</v>
      </c>
      <c r="G2643" s="2909"/>
      <c r="H2643" s="2909"/>
      <c r="I2643" s="2910"/>
      <c r="J2643" s="1657" t="str">
        <f>$C$1554</f>
        <v>354301_2019_12_</v>
      </c>
      <c r="K2643" s="1663">
        <v>18</v>
      </c>
      <c r="L2643" s="1124"/>
      <c r="M2643" s="1108"/>
      <c r="N2643" s="177"/>
      <c r="O2643" s="332"/>
      <c r="P2643" s="332"/>
      <c r="Q2643" s="332"/>
      <c r="R2643" s="332"/>
      <c r="S2643" s="177"/>
      <c r="T2643" s="177"/>
      <c r="U2643" s="177"/>
      <c r="V2643" s="2866"/>
      <c r="W2643" s="909"/>
      <c r="X2643" s="909"/>
      <c r="Y2643" s="933">
        <v>18</v>
      </c>
      <c r="Z2643" s="909"/>
      <c r="AA2643" s="909"/>
      <c r="AB2643" s="909"/>
      <c r="AC2643" s="909"/>
      <c r="AD2643" s="909"/>
      <c r="AE2643" s="909"/>
      <c r="AF2643" s="909"/>
      <c r="AG2643" s="909"/>
      <c r="BB2643" s="784"/>
      <c r="BC2643" s="785"/>
      <c r="BD2643" s="900"/>
      <c r="BE2643" s="797"/>
    </row>
    <row r="2644" spans="1:57" s="65" customFormat="1" ht="15" hidden="1" customHeight="1" outlineLevel="1" x14ac:dyDescent="0.25">
      <c r="A2644" s="785"/>
      <c r="B2644" s="177"/>
      <c r="C2644" s="455"/>
      <c r="D2644" s="2806"/>
      <c r="E2644" s="2856"/>
      <c r="F2644" s="2908" t="str">
        <f>$E$1556</f>
        <v>ASHP SEER 18 replace ASHP - early replacement MF ER1</v>
      </c>
      <c r="G2644" s="2909"/>
      <c r="H2644" s="2909"/>
      <c r="I2644" s="2910"/>
      <c r="J2644" s="1657" t="str">
        <f>$C$1556</f>
        <v>354350_2019_12_</v>
      </c>
      <c r="K2644" s="1663">
        <v>18</v>
      </c>
      <c r="L2644" s="1124"/>
      <c r="M2644" s="1108" t="s">
        <v>1605</v>
      </c>
      <c r="N2644" s="177"/>
      <c r="O2644" s="332"/>
      <c r="P2644" s="332"/>
      <c r="Q2644" s="332"/>
      <c r="R2644" s="332"/>
      <c r="S2644" s="177"/>
      <c r="T2644" s="177"/>
      <c r="U2644" s="177"/>
      <c r="V2644" s="2866"/>
      <c r="W2644" s="909">
        <v>18</v>
      </c>
      <c r="X2644" s="909">
        <v>18</v>
      </c>
      <c r="Y2644" s="926">
        <v>18</v>
      </c>
      <c r="Z2644" s="909"/>
      <c r="AA2644" s="909"/>
      <c r="AB2644" s="909"/>
      <c r="AC2644" s="909"/>
      <c r="AD2644" s="909"/>
      <c r="AE2644" s="909"/>
      <c r="AF2644" s="909"/>
      <c r="AG2644" s="909"/>
      <c r="BB2644" s="784"/>
      <c r="BC2644" s="785"/>
      <c r="BD2644" s="900"/>
      <c r="BE2644" s="797"/>
    </row>
    <row r="2645" spans="1:57" s="65" customFormat="1" ht="15" hidden="1" customHeight="1" outlineLevel="1" x14ac:dyDescent="0.25">
      <c r="A2645" s="785"/>
      <c r="B2645" s="177"/>
      <c r="C2645" s="455"/>
      <c r="D2645" s="2806"/>
      <c r="E2645" s="2856"/>
      <c r="F2645" s="2908" t="str">
        <f>$E$1558</f>
        <v>ASHP SEER 18 replace ASHP - early replacement MF ER2</v>
      </c>
      <c r="G2645" s="2909"/>
      <c r="H2645" s="2909"/>
      <c r="I2645" s="2910"/>
      <c r="J2645" s="1657" t="str">
        <f>$C$1558</f>
        <v>354350_2019_12_</v>
      </c>
      <c r="K2645" s="1663">
        <v>18</v>
      </c>
      <c r="L2645" s="1124"/>
      <c r="M2645" s="1108" t="s">
        <v>1605</v>
      </c>
      <c r="N2645" s="177"/>
      <c r="O2645" s="332"/>
      <c r="P2645" s="332"/>
      <c r="Q2645" s="332"/>
      <c r="R2645" s="332"/>
      <c r="S2645" s="177"/>
      <c r="T2645" s="177"/>
      <c r="U2645" s="177"/>
      <c r="V2645" s="2866"/>
      <c r="W2645" s="909">
        <v>18</v>
      </c>
      <c r="X2645" s="909">
        <v>18</v>
      </c>
      <c r="Y2645" s="926">
        <v>18</v>
      </c>
      <c r="Z2645" s="909"/>
      <c r="AA2645" s="909"/>
      <c r="AB2645" s="909"/>
      <c r="AC2645" s="909"/>
      <c r="AD2645" s="909"/>
      <c r="AE2645" s="909"/>
      <c r="AF2645" s="909"/>
      <c r="AG2645" s="909"/>
      <c r="BB2645" s="784"/>
      <c r="BC2645" s="785"/>
      <c r="BD2645" s="900"/>
      <c r="BE2645" s="797"/>
    </row>
    <row r="2646" spans="1:57" s="65" customFormat="1" ht="15" hidden="1" customHeight="1" outlineLevel="1" x14ac:dyDescent="0.25">
      <c r="A2646" s="785"/>
      <c r="B2646" s="177"/>
      <c r="C2646" s="455"/>
      <c r="D2646" s="2806"/>
      <c r="E2646" s="2856"/>
      <c r="F2646" s="2908" t="str">
        <f>$E$1560</f>
        <v>ASHP SEER 18 replace ASHP - early replacement MF ER1_CompE</v>
      </c>
      <c r="G2646" s="2909"/>
      <c r="H2646" s="2909"/>
      <c r="I2646" s="2910"/>
      <c r="J2646" s="1657" t="str">
        <f>$C$1560</f>
        <v>354351_2019_12_</v>
      </c>
      <c r="K2646" s="1663">
        <v>18</v>
      </c>
      <c r="L2646" s="1124"/>
      <c r="M2646" s="1108"/>
      <c r="N2646" s="177"/>
      <c r="O2646" s="332"/>
      <c r="P2646" s="332"/>
      <c r="Q2646" s="332"/>
      <c r="R2646" s="332"/>
      <c r="S2646" s="177"/>
      <c r="T2646" s="177"/>
      <c r="U2646" s="177"/>
      <c r="V2646" s="2866"/>
      <c r="W2646" s="909"/>
      <c r="X2646" s="909"/>
      <c r="Y2646" s="933">
        <v>18</v>
      </c>
      <c r="Z2646" s="909"/>
      <c r="AA2646" s="909"/>
      <c r="AB2646" s="909"/>
      <c r="AC2646" s="909"/>
      <c r="AD2646" s="909"/>
      <c r="AE2646" s="909"/>
      <c r="AF2646" s="909"/>
      <c r="AG2646" s="909"/>
      <c r="BB2646" s="784"/>
      <c r="BC2646" s="785"/>
      <c r="BD2646" s="900"/>
      <c r="BE2646" s="797"/>
    </row>
    <row r="2647" spans="1:57" s="65" customFormat="1" ht="15" hidden="1" customHeight="1" outlineLevel="1" x14ac:dyDescent="0.25">
      <c r="A2647" s="785"/>
      <c r="B2647" s="177"/>
      <c r="C2647" s="455"/>
      <c r="D2647" s="2806"/>
      <c r="E2647" s="2856"/>
      <c r="F2647" s="2908" t="str">
        <f>$E$1562</f>
        <v>ASHP SEER 18 replace ASHP - early replacement MF ER2_CompE</v>
      </c>
      <c r="G2647" s="2909"/>
      <c r="H2647" s="2909"/>
      <c r="I2647" s="2910"/>
      <c r="J2647" s="1657" t="str">
        <f>$C$1562</f>
        <v>354351_2019_12_</v>
      </c>
      <c r="K2647" s="1663">
        <v>18</v>
      </c>
      <c r="L2647" s="1124"/>
      <c r="M2647" s="1108"/>
      <c r="N2647" s="177"/>
      <c r="O2647" s="332"/>
      <c r="P2647" s="332"/>
      <c r="Q2647" s="332"/>
      <c r="R2647" s="332"/>
      <c r="S2647" s="177"/>
      <c r="T2647" s="177"/>
      <c r="U2647" s="177"/>
      <c r="V2647" s="2866"/>
      <c r="W2647" s="909"/>
      <c r="X2647" s="909"/>
      <c r="Y2647" s="933">
        <v>18</v>
      </c>
      <c r="Z2647" s="909"/>
      <c r="AA2647" s="909"/>
      <c r="AB2647" s="909"/>
      <c r="AC2647" s="909"/>
      <c r="AD2647" s="909"/>
      <c r="AE2647" s="909"/>
      <c r="AF2647" s="909"/>
      <c r="AG2647" s="909"/>
      <c r="BB2647" s="784"/>
      <c r="BC2647" s="785"/>
      <c r="BD2647" s="900"/>
      <c r="BE2647" s="797"/>
    </row>
    <row r="2648" spans="1:57" s="65" customFormat="1" ht="15" hidden="1" customHeight="1" outlineLevel="1" x14ac:dyDescent="0.25">
      <c r="A2648" s="785"/>
      <c r="B2648" s="177"/>
      <c r="C2648" s="455"/>
      <c r="D2648" s="2806"/>
      <c r="E2648" s="2856"/>
      <c r="F2648" s="2908" t="str">
        <f>$E$1564</f>
        <v>ASHP - SEER 19 - replace electric furnace / CAC - early replacement SF ER1</v>
      </c>
      <c r="G2648" s="2909"/>
      <c r="H2648" s="2909"/>
      <c r="I2648" s="2910"/>
      <c r="J2648" s="1657" t="str">
        <f>$C$1564</f>
        <v>354400_2019_12_</v>
      </c>
      <c r="K2648" s="1663">
        <v>19</v>
      </c>
      <c r="L2648" s="1124"/>
      <c r="M2648" s="1108" t="s">
        <v>1605</v>
      </c>
      <c r="N2648" s="177"/>
      <c r="O2648" s="332"/>
      <c r="P2648" s="332"/>
      <c r="Q2648" s="332"/>
      <c r="R2648" s="332"/>
      <c r="S2648" s="177"/>
      <c r="T2648" s="177"/>
      <c r="U2648" s="177"/>
      <c r="V2648" s="2866"/>
      <c r="W2648" s="909">
        <v>19</v>
      </c>
      <c r="X2648" s="909">
        <v>19</v>
      </c>
      <c r="Y2648" s="926">
        <v>19</v>
      </c>
      <c r="Z2648" s="909"/>
      <c r="AA2648" s="909"/>
      <c r="AB2648" s="909"/>
      <c r="AC2648" s="909"/>
      <c r="AD2648" s="909"/>
      <c r="AE2648" s="909"/>
      <c r="AF2648" s="909"/>
      <c r="AG2648" s="909"/>
      <c r="BB2648" s="784"/>
      <c r="BC2648" s="785"/>
      <c r="BD2648" s="900"/>
      <c r="BE2648" s="797"/>
    </row>
    <row r="2649" spans="1:57" s="65" customFormat="1" ht="15" hidden="1" customHeight="1" outlineLevel="1" x14ac:dyDescent="0.25">
      <c r="A2649" s="785"/>
      <c r="B2649" s="177"/>
      <c r="C2649" s="455"/>
      <c r="D2649" s="2806"/>
      <c r="E2649" s="2856"/>
      <c r="F2649" s="2908" t="str">
        <f>$E$1566</f>
        <v>ASHP - SEER 19 - replace electric furnace / CAC - early replacement SF ER2</v>
      </c>
      <c r="G2649" s="2909"/>
      <c r="H2649" s="2909"/>
      <c r="I2649" s="2910"/>
      <c r="J2649" s="1657" t="str">
        <f>$C$1566</f>
        <v>354400_2019_12_</v>
      </c>
      <c r="K2649" s="1663">
        <v>19</v>
      </c>
      <c r="L2649" s="1124"/>
      <c r="M2649" s="1108" t="s">
        <v>1605</v>
      </c>
      <c r="N2649" s="177"/>
      <c r="O2649" s="332"/>
      <c r="P2649" s="332"/>
      <c r="Q2649" s="332"/>
      <c r="R2649" s="332"/>
      <c r="S2649" s="177"/>
      <c r="T2649" s="177"/>
      <c r="U2649" s="177"/>
      <c r="V2649" s="2866"/>
      <c r="W2649" s="909">
        <v>19</v>
      </c>
      <c r="X2649" s="909">
        <v>19</v>
      </c>
      <c r="Y2649" s="926">
        <v>19</v>
      </c>
      <c r="Z2649" s="909"/>
      <c r="AA2649" s="909"/>
      <c r="AB2649" s="909"/>
      <c r="AC2649" s="909"/>
      <c r="AD2649" s="909"/>
      <c r="AE2649" s="909"/>
      <c r="AF2649" s="909"/>
      <c r="AG2649" s="909"/>
      <c r="BB2649" s="784"/>
      <c r="BC2649" s="785"/>
      <c r="BD2649" s="900"/>
      <c r="BE2649" s="797"/>
    </row>
    <row r="2650" spans="1:57" s="65" customFormat="1" ht="15" hidden="1" customHeight="1" outlineLevel="1" x14ac:dyDescent="0.25">
      <c r="A2650" s="785"/>
      <c r="B2650" s="177"/>
      <c r="C2650" s="455"/>
      <c r="D2650" s="2806"/>
      <c r="E2650" s="2856"/>
      <c r="F2650" s="2908" t="str">
        <f>$E$1568</f>
        <v>ASHP - SEER 19 - replace electric furnace / CAC - early replacement MF ER1</v>
      </c>
      <c r="G2650" s="2909"/>
      <c r="H2650" s="2909"/>
      <c r="I2650" s="2910"/>
      <c r="J2650" s="1657" t="str">
        <f>$C$1568</f>
        <v>354450_2019_12_</v>
      </c>
      <c r="K2650" s="1663">
        <v>19</v>
      </c>
      <c r="L2650" s="1124"/>
      <c r="M2650" s="1108" t="s">
        <v>1605</v>
      </c>
      <c r="N2650" s="177"/>
      <c r="O2650" s="332"/>
      <c r="P2650" s="332"/>
      <c r="Q2650" s="332"/>
      <c r="R2650" s="332"/>
      <c r="S2650" s="177"/>
      <c r="T2650" s="177"/>
      <c r="U2650" s="177"/>
      <c r="V2650" s="2866"/>
      <c r="W2650" s="909">
        <v>19</v>
      </c>
      <c r="X2650" s="909">
        <v>19</v>
      </c>
      <c r="Y2650" s="926">
        <v>19</v>
      </c>
      <c r="Z2650" s="909"/>
      <c r="AA2650" s="909"/>
      <c r="AB2650" s="909"/>
      <c r="AC2650" s="909"/>
      <c r="AD2650" s="909"/>
      <c r="AE2650" s="909"/>
      <c r="AF2650" s="909"/>
      <c r="AG2650" s="909"/>
      <c r="BB2650" s="784"/>
      <c r="BC2650" s="785"/>
      <c r="BD2650" s="900"/>
      <c r="BE2650" s="797"/>
    </row>
    <row r="2651" spans="1:57" s="65" customFormat="1" ht="15" hidden="1" customHeight="1" outlineLevel="1" x14ac:dyDescent="0.25">
      <c r="A2651" s="785"/>
      <c r="B2651" s="177"/>
      <c r="C2651" s="455"/>
      <c r="D2651" s="2806"/>
      <c r="E2651" s="2856"/>
      <c r="F2651" s="2908" t="str">
        <f>$E$1570</f>
        <v>ASHP - SEER 19 - replace electric furnace / CAC - early replacement MF ER2</v>
      </c>
      <c r="G2651" s="2909"/>
      <c r="H2651" s="2909"/>
      <c r="I2651" s="2910"/>
      <c r="J2651" s="1657" t="str">
        <f>$C$1570</f>
        <v>354450_2019_12_</v>
      </c>
      <c r="K2651" s="1663">
        <v>19</v>
      </c>
      <c r="L2651" s="1124"/>
      <c r="M2651" s="1108" t="s">
        <v>1605</v>
      </c>
      <c r="N2651" s="177"/>
      <c r="O2651" s="332"/>
      <c r="P2651" s="332"/>
      <c r="Q2651" s="332"/>
      <c r="R2651" s="332"/>
      <c r="S2651" s="177"/>
      <c r="T2651" s="177"/>
      <c r="U2651" s="177"/>
      <c r="V2651" s="2866"/>
      <c r="W2651" s="909">
        <v>19</v>
      </c>
      <c r="X2651" s="909">
        <v>19</v>
      </c>
      <c r="Y2651" s="926">
        <v>19</v>
      </c>
      <c r="Z2651" s="909"/>
      <c r="AA2651" s="909"/>
      <c r="AB2651" s="909"/>
      <c r="AC2651" s="909"/>
      <c r="AD2651" s="909"/>
      <c r="AE2651" s="909"/>
      <c r="AF2651" s="909"/>
      <c r="AG2651" s="909"/>
      <c r="BB2651" s="784"/>
      <c r="BC2651" s="785"/>
      <c r="BD2651" s="900"/>
      <c r="BE2651" s="797"/>
    </row>
    <row r="2652" spans="1:57" s="65" customFormat="1" ht="15" hidden="1" customHeight="1" outlineLevel="1" x14ac:dyDescent="0.25">
      <c r="A2652" s="785"/>
      <c r="B2652" s="177"/>
      <c r="C2652" s="455"/>
      <c r="D2652" s="2806"/>
      <c r="E2652" s="2856"/>
      <c r="F2652" s="2908" t="str">
        <f>$E$1572</f>
        <v>ASHP - SEER 19 - replace electric furnace / CAC - early replacement MF ER1_CompE</v>
      </c>
      <c r="G2652" s="2909"/>
      <c r="H2652" s="2909"/>
      <c r="I2652" s="2910"/>
      <c r="J2652" s="1657" t="str">
        <f>$C$1572</f>
        <v>354451_2019_12_</v>
      </c>
      <c r="K2652" s="1663">
        <v>19</v>
      </c>
      <c r="L2652" s="1124"/>
      <c r="M2652" s="1108"/>
      <c r="N2652" s="177"/>
      <c r="O2652" s="332"/>
      <c r="P2652" s="332"/>
      <c r="Q2652" s="332"/>
      <c r="R2652" s="332"/>
      <c r="S2652" s="177"/>
      <c r="T2652" s="177"/>
      <c r="U2652" s="177"/>
      <c r="V2652" s="2866"/>
      <c r="W2652" s="909"/>
      <c r="X2652" s="909"/>
      <c r="Y2652" s="933">
        <v>19</v>
      </c>
      <c r="Z2652" s="909"/>
      <c r="AA2652" s="909"/>
      <c r="AB2652" s="909"/>
      <c r="AC2652" s="909"/>
      <c r="AD2652" s="909"/>
      <c r="AE2652" s="909"/>
      <c r="AF2652" s="909"/>
      <c r="AG2652" s="909"/>
      <c r="BB2652" s="784"/>
      <c r="BC2652" s="785"/>
      <c r="BD2652" s="900"/>
      <c r="BE2652" s="797"/>
    </row>
    <row r="2653" spans="1:57" s="65" customFormat="1" ht="15" hidden="1" customHeight="1" outlineLevel="1" x14ac:dyDescent="0.25">
      <c r="A2653" s="785"/>
      <c r="B2653" s="177"/>
      <c r="C2653" s="455"/>
      <c r="D2653" s="2806"/>
      <c r="E2653" s="2856"/>
      <c r="F2653" s="2908" t="str">
        <f>$E$1574</f>
        <v>ASHP - SEER 19 - replace electric furnace / CAC - early replacement MF ER2_CompE</v>
      </c>
      <c r="G2653" s="2909"/>
      <c r="H2653" s="2909"/>
      <c r="I2653" s="2910"/>
      <c r="J2653" s="1657" t="str">
        <f>$C$1574</f>
        <v>354451_2019_12_</v>
      </c>
      <c r="K2653" s="1663">
        <v>19</v>
      </c>
      <c r="L2653" s="1124"/>
      <c r="M2653" s="1108"/>
      <c r="N2653" s="177"/>
      <c r="O2653" s="332"/>
      <c r="P2653" s="332"/>
      <c r="Q2653" s="332"/>
      <c r="R2653" s="332"/>
      <c r="S2653" s="177"/>
      <c r="T2653" s="177"/>
      <c r="U2653" s="177"/>
      <c r="V2653" s="2866"/>
      <c r="W2653" s="909"/>
      <c r="X2653" s="909"/>
      <c r="Y2653" s="933">
        <v>19</v>
      </c>
      <c r="Z2653" s="909"/>
      <c r="AA2653" s="909"/>
      <c r="AB2653" s="909"/>
      <c r="AC2653" s="909"/>
      <c r="AD2653" s="909"/>
      <c r="AE2653" s="909"/>
      <c r="AF2653" s="909"/>
      <c r="AG2653" s="909"/>
      <c r="BB2653" s="784"/>
      <c r="BC2653" s="785"/>
      <c r="BD2653" s="900"/>
      <c r="BE2653" s="797"/>
    </row>
    <row r="2654" spans="1:57" s="65" customFormat="1" ht="15" hidden="1" customHeight="1" outlineLevel="1" x14ac:dyDescent="0.25">
      <c r="A2654" s="785"/>
      <c r="B2654" s="177"/>
      <c r="C2654" s="455"/>
      <c r="D2654" s="2806"/>
      <c r="E2654" s="2856"/>
      <c r="F2654" s="2908" t="str">
        <f>$E$1576</f>
        <v>ASHP SEER 19 replace ASHP - early replacement MF ER1</v>
      </c>
      <c r="G2654" s="2909"/>
      <c r="H2654" s="2909"/>
      <c r="I2654" s="2910"/>
      <c r="J2654" s="1657" t="str">
        <f>$C$1576</f>
        <v>354500_2019_12_</v>
      </c>
      <c r="K2654" s="1663">
        <v>19</v>
      </c>
      <c r="L2654" s="1124"/>
      <c r="M2654" s="1108" t="s">
        <v>1605</v>
      </c>
      <c r="N2654" s="177"/>
      <c r="O2654" s="332"/>
      <c r="P2654" s="332"/>
      <c r="Q2654" s="332"/>
      <c r="R2654" s="332"/>
      <c r="S2654" s="177"/>
      <c r="T2654" s="177"/>
      <c r="U2654" s="177"/>
      <c r="V2654" s="2866"/>
      <c r="W2654" s="909">
        <v>19</v>
      </c>
      <c r="X2654" s="909">
        <v>19</v>
      </c>
      <c r="Y2654" s="926">
        <v>19</v>
      </c>
      <c r="Z2654" s="909"/>
      <c r="AA2654" s="909"/>
      <c r="AB2654" s="909"/>
      <c r="AC2654" s="909"/>
      <c r="AD2654" s="909"/>
      <c r="AE2654" s="909"/>
      <c r="AF2654" s="909"/>
      <c r="AG2654" s="909"/>
      <c r="BB2654" s="784"/>
      <c r="BC2654" s="785"/>
      <c r="BD2654" s="900"/>
      <c r="BE2654" s="797"/>
    </row>
    <row r="2655" spans="1:57" s="65" customFormat="1" ht="15" hidden="1" customHeight="1" outlineLevel="1" x14ac:dyDescent="0.25">
      <c r="A2655" s="785"/>
      <c r="B2655" s="177"/>
      <c r="C2655" s="455"/>
      <c r="D2655" s="2806"/>
      <c r="E2655" s="2856"/>
      <c r="F2655" s="2908" t="str">
        <f>$E$1578</f>
        <v>ASHP SEER 19 replace ASHP - early replacement MF ER2</v>
      </c>
      <c r="G2655" s="2909"/>
      <c r="H2655" s="2909"/>
      <c r="I2655" s="2910"/>
      <c r="J2655" s="1657" t="str">
        <f>$C$1578</f>
        <v>354500_2019_12_</v>
      </c>
      <c r="K2655" s="1663">
        <v>19</v>
      </c>
      <c r="L2655" s="1124"/>
      <c r="M2655" s="1108" t="s">
        <v>1605</v>
      </c>
      <c r="N2655" s="177"/>
      <c r="O2655" s="332"/>
      <c r="P2655" s="332"/>
      <c r="Q2655" s="332"/>
      <c r="R2655" s="332"/>
      <c r="S2655" s="177"/>
      <c r="T2655" s="177"/>
      <c r="U2655" s="177"/>
      <c r="V2655" s="2866"/>
      <c r="W2655" s="909">
        <v>19</v>
      </c>
      <c r="X2655" s="909">
        <v>19</v>
      </c>
      <c r="Y2655" s="926">
        <v>19</v>
      </c>
      <c r="Z2655" s="909"/>
      <c r="AA2655" s="909"/>
      <c r="AB2655" s="909"/>
      <c r="AC2655" s="909"/>
      <c r="AD2655" s="909"/>
      <c r="AE2655" s="909"/>
      <c r="AF2655" s="909"/>
      <c r="AG2655" s="909"/>
      <c r="BB2655" s="784"/>
      <c r="BC2655" s="785"/>
      <c r="BD2655" s="900"/>
      <c r="BE2655" s="797"/>
    </row>
    <row r="2656" spans="1:57" s="65" customFormat="1" ht="15" hidden="1" customHeight="1" outlineLevel="1" x14ac:dyDescent="0.25">
      <c r="A2656" s="785"/>
      <c r="B2656" s="177"/>
      <c r="C2656" s="455"/>
      <c r="D2656" s="2806"/>
      <c r="E2656" s="2856"/>
      <c r="F2656" s="2908" t="str">
        <f>$E$1580</f>
        <v>ASHP SEER 19 replace ASHP - early replacement MF ER1_CompE</v>
      </c>
      <c r="G2656" s="2909"/>
      <c r="H2656" s="2909"/>
      <c r="I2656" s="2910"/>
      <c r="J2656" s="1657" t="str">
        <f>$C$1580</f>
        <v>354501_2019_12_</v>
      </c>
      <c r="K2656" s="1663">
        <v>19</v>
      </c>
      <c r="L2656" s="1124"/>
      <c r="M2656" s="1108"/>
      <c r="N2656" s="177"/>
      <c r="O2656" s="332"/>
      <c r="P2656" s="332"/>
      <c r="Q2656" s="332"/>
      <c r="R2656" s="332"/>
      <c r="S2656" s="177"/>
      <c r="T2656" s="177"/>
      <c r="U2656" s="177"/>
      <c r="V2656" s="2866"/>
      <c r="W2656" s="909"/>
      <c r="X2656" s="909"/>
      <c r="Y2656" s="933">
        <v>19</v>
      </c>
      <c r="Z2656" s="909"/>
      <c r="AA2656" s="909"/>
      <c r="AB2656" s="909"/>
      <c r="AC2656" s="909"/>
      <c r="AD2656" s="909"/>
      <c r="AE2656" s="909"/>
      <c r="AF2656" s="909"/>
      <c r="AG2656" s="909"/>
      <c r="BB2656" s="784"/>
      <c r="BC2656" s="785"/>
      <c r="BD2656" s="900"/>
      <c r="BE2656" s="797"/>
    </row>
    <row r="2657" spans="1:57" s="65" customFormat="1" ht="15" hidden="1" customHeight="1" outlineLevel="1" x14ac:dyDescent="0.25">
      <c r="A2657" s="785"/>
      <c r="B2657" s="177"/>
      <c r="C2657" s="455"/>
      <c r="D2657" s="2806"/>
      <c r="E2657" s="2856"/>
      <c r="F2657" s="2908" t="str">
        <f>$E$1582</f>
        <v>ASHP SEER 19 replace ASHP - early replacement MF ER2_CompE</v>
      </c>
      <c r="G2657" s="2909"/>
      <c r="H2657" s="2909"/>
      <c r="I2657" s="2910"/>
      <c r="J2657" s="1657" t="str">
        <f>$C$1582</f>
        <v>354501_2019_12_</v>
      </c>
      <c r="K2657" s="1663">
        <v>19</v>
      </c>
      <c r="L2657" s="1124"/>
      <c r="M2657" s="1108"/>
      <c r="N2657" s="177"/>
      <c r="O2657" s="332"/>
      <c r="P2657" s="332"/>
      <c r="Q2657" s="332"/>
      <c r="R2657" s="332"/>
      <c r="S2657" s="177"/>
      <c r="T2657" s="177"/>
      <c r="U2657" s="177"/>
      <c r="V2657" s="2866"/>
      <c r="W2657" s="909"/>
      <c r="X2657" s="909"/>
      <c r="Y2657" s="933">
        <v>19</v>
      </c>
      <c r="Z2657" s="909"/>
      <c r="AA2657" s="909"/>
      <c r="AB2657" s="909"/>
      <c r="AC2657" s="909"/>
      <c r="AD2657" s="909"/>
      <c r="AE2657" s="909"/>
      <c r="AF2657" s="909"/>
      <c r="AG2657" s="909"/>
      <c r="BB2657" s="784"/>
      <c r="BC2657" s="785"/>
      <c r="BD2657" s="900"/>
      <c r="BE2657" s="797"/>
    </row>
    <row r="2658" spans="1:57" s="65" customFormat="1" ht="15" hidden="1" customHeight="1" outlineLevel="1" x14ac:dyDescent="0.25">
      <c r="A2658" s="785"/>
      <c r="B2658" s="177"/>
      <c r="C2658" s="455"/>
      <c r="D2658" s="2806"/>
      <c r="E2658" s="2856"/>
      <c r="F2658" s="2908" t="str">
        <f>$E$1584</f>
        <v>ASHP SEER 20 replace ASHP - early replacement SF ER1</v>
      </c>
      <c r="G2658" s="2909"/>
      <c r="H2658" s="2909"/>
      <c r="I2658" s="2910"/>
      <c r="J2658" s="1657" t="str">
        <f>$C$1584</f>
        <v>354550_2019_12_</v>
      </c>
      <c r="K2658" s="1663">
        <v>20</v>
      </c>
      <c r="L2658" s="1124"/>
      <c r="M2658" s="1108" t="s">
        <v>1605</v>
      </c>
      <c r="N2658" s="177"/>
      <c r="O2658" s="332"/>
      <c r="P2658" s="332"/>
      <c r="Q2658" s="332"/>
      <c r="R2658" s="332"/>
      <c r="S2658" s="177"/>
      <c r="T2658" s="177"/>
      <c r="U2658" s="177"/>
      <c r="V2658" s="2866"/>
      <c r="W2658" s="909">
        <v>20</v>
      </c>
      <c r="X2658" s="909">
        <v>20</v>
      </c>
      <c r="Y2658" s="926">
        <v>20</v>
      </c>
      <c r="Z2658" s="909"/>
      <c r="AA2658" s="909"/>
      <c r="AB2658" s="909"/>
      <c r="AC2658" s="909"/>
      <c r="AD2658" s="909"/>
      <c r="AE2658" s="909"/>
      <c r="AF2658" s="909"/>
      <c r="AG2658" s="909"/>
      <c r="BB2658" s="784"/>
      <c r="BC2658" s="785"/>
      <c r="BD2658" s="900"/>
      <c r="BE2658" s="797"/>
    </row>
    <row r="2659" spans="1:57" s="65" customFormat="1" ht="15" hidden="1" customHeight="1" outlineLevel="1" x14ac:dyDescent="0.25">
      <c r="A2659" s="785"/>
      <c r="B2659" s="177"/>
      <c r="C2659" s="455"/>
      <c r="D2659" s="2806"/>
      <c r="E2659" s="2856"/>
      <c r="F2659" s="2908" t="str">
        <f>$E$1586</f>
        <v>ASHP SEER 20 replace ASHP - early replacement SF ER2</v>
      </c>
      <c r="G2659" s="2909"/>
      <c r="H2659" s="2909"/>
      <c r="I2659" s="2910"/>
      <c r="J2659" s="1657" t="str">
        <f>$C$1586</f>
        <v>354550_2019_12_</v>
      </c>
      <c r="K2659" s="1663">
        <v>20</v>
      </c>
      <c r="L2659" s="1124"/>
      <c r="M2659" s="1108" t="s">
        <v>1605</v>
      </c>
      <c r="N2659" s="177"/>
      <c r="O2659" s="332"/>
      <c r="P2659" s="332"/>
      <c r="Q2659" s="332"/>
      <c r="R2659" s="332"/>
      <c r="S2659" s="177"/>
      <c r="T2659" s="177"/>
      <c r="U2659" s="177"/>
      <c r="V2659" s="2866"/>
      <c r="W2659" s="909">
        <v>20</v>
      </c>
      <c r="X2659" s="909">
        <v>20</v>
      </c>
      <c r="Y2659" s="926">
        <v>20</v>
      </c>
      <c r="Z2659" s="909"/>
      <c r="AA2659" s="909"/>
      <c r="AB2659" s="909"/>
      <c r="AC2659" s="909"/>
      <c r="AD2659" s="909"/>
      <c r="AE2659" s="909"/>
      <c r="AF2659" s="909"/>
      <c r="AG2659" s="909"/>
      <c r="BB2659" s="784"/>
      <c r="BC2659" s="785"/>
      <c r="BD2659" s="900"/>
      <c r="BE2659" s="797"/>
    </row>
    <row r="2660" spans="1:57" s="65" customFormat="1" ht="15" hidden="1" customHeight="1" outlineLevel="1" x14ac:dyDescent="0.25">
      <c r="A2660" s="785"/>
      <c r="B2660" s="177"/>
      <c r="C2660" s="455"/>
      <c r="D2660" s="2806"/>
      <c r="E2660" s="2856"/>
      <c r="F2660" s="2908" t="str">
        <f>$E$1588</f>
        <v>ASHP SEER 20 replace ASHP - replace on fail SF</v>
      </c>
      <c r="G2660" s="2909"/>
      <c r="H2660" s="2909"/>
      <c r="I2660" s="2910"/>
      <c r="J2660" s="1657" t="str">
        <f>$C$1588</f>
        <v>354600_2019_12_</v>
      </c>
      <c r="K2660" s="1663">
        <v>20</v>
      </c>
      <c r="L2660" s="1124"/>
      <c r="M2660" s="1108" t="s">
        <v>1605</v>
      </c>
      <c r="N2660" s="177"/>
      <c r="O2660" s="332"/>
      <c r="P2660" s="332"/>
      <c r="Q2660" s="332"/>
      <c r="R2660" s="332"/>
      <c r="S2660" s="177"/>
      <c r="T2660" s="177"/>
      <c r="U2660" s="177"/>
      <c r="V2660" s="2866"/>
      <c r="W2660" s="909">
        <v>20</v>
      </c>
      <c r="X2660" s="909">
        <v>20</v>
      </c>
      <c r="Y2660" s="926">
        <v>20</v>
      </c>
      <c r="Z2660" s="909"/>
      <c r="AA2660" s="909"/>
      <c r="AB2660" s="909"/>
      <c r="AC2660" s="909"/>
      <c r="AD2660" s="909"/>
      <c r="AE2660" s="909"/>
      <c r="AF2660" s="909"/>
      <c r="AG2660" s="909"/>
      <c r="BB2660" s="784"/>
      <c r="BC2660" s="785"/>
      <c r="BD2660" s="900"/>
      <c r="BE2660" s="797"/>
    </row>
    <row r="2661" spans="1:57" s="65" customFormat="1" ht="15" hidden="1" customHeight="1" outlineLevel="1" x14ac:dyDescent="0.25">
      <c r="A2661" s="785"/>
      <c r="B2661" s="177"/>
      <c r="C2661" s="455"/>
      <c r="D2661" s="2806"/>
      <c r="E2661" s="2856"/>
      <c r="F2661" s="2908" t="str">
        <f>$E$1590</f>
        <v>ASHP - SEER 20 - replace electric furnace / CAC - early replacement MF ER1</v>
      </c>
      <c r="G2661" s="2909"/>
      <c r="H2661" s="2909"/>
      <c r="I2661" s="2910"/>
      <c r="J2661" s="1657" t="str">
        <f>$C$1590</f>
        <v>354650_2019_12_</v>
      </c>
      <c r="K2661" s="1663">
        <v>20</v>
      </c>
      <c r="L2661" s="1124"/>
      <c r="M2661" s="1108" t="s">
        <v>1605</v>
      </c>
      <c r="N2661" s="177"/>
      <c r="O2661" s="332"/>
      <c r="P2661" s="332"/>
      <c r="Q2661" s="332"/>
      <c r="R2661" s="332"/>
      <c r="S2661" s="177"/>
      <c r="T2661" s="177"/>
      <c r="U2661" s="177"/>
      <c r="V2661" s="2866"/>
      <c r="W2661" s="909">
        <v>20</v>
      </c>
      <c r="X2661" s="909">
        <v>20</v>
      </c>
      <c r="Y2661" s="926">
        <v>20</v>
      </c>
      <c r="Z2661" s="909"/>
      <c r="AA2661" s="909"/>
      <c r="AB2661" s="909"/>
      <c r="AC2661" s="909"/>
      <c r="AD2661" s="909"/>
      <c r="AE2661" s="909"/>
      <c r="AF2661" s="909"/>
      <c r="AG2661" s="909"/>
      <c r="BB2661" s="784"/>
      <c r="BC2661" s="785"/>
      <c r="BD2661" s="900"/>
      <c r="BE2661" s="797"/>
    </row>
    <row r="2662" spans="1:57" s="65" customFormat="1" ht="15" hidden="1" customHeight="1" outlineLevel="1" x14ac:dyDescent="0.25">
      <c r="A2662" s="785"/>
      <c r="B2662" s="177"/>
      <c r="C2662" s="455"/>
      <c r="D2662" s="2806"/>
      <c r="E2662" s="2856"/>
      <c r="F2662" s="2908" t="str">
        <f>$E$1592</f>
        <v>ASHP - SEER 20 - replace electric furnace / CAC - early replacement MF ER2</v>
      </c>
      <c r="G2662" s="2909"/>
      <c r="H2662" s="2909"/>
      <c r="I2662" s="2910"/>
      <c r="J2662" s="1657" t="str">
        <f>$C$1592</f>
        <v>354650_2019_12_</v>
      </c>
      <c r="K2662" s="1663">
        <v>20</v>
      </c>
      <c r="L2662" s="1124"/>
      <c r="M2662" s="1108" t="s">
        <v>1605</v>
      </c>
      <c r="N2662" s="177"/>
      <c r="O2662" s="332"/>
      <c r="P2662" s="332"/>
      <c r="Q2662" s="332"/>
      <c r="R2662" s="332"/>
      <c r="S2662" s="177"/>
      <c r="T2662" s="177"/>
      <c r="U2662" s="177"/>
      <c r="V2662" s="2866"/>
      <c r="W2662" s="909">
        <v>20</v>
      </c>
      <c r="X2662" s="909">
        <v>20</v>
      </c>
      <c r="Y2662" s="926">
        <v>20</v>
      </c>
      <c r="Z2662" s="909"/>
      <c r="AA2662" s="909"/>
      <c r="AB2662" s="909"/>
      <c r="AC2662" s="909"/>
      <c r="AD2662" s="909"/>
      <c r="AE2662" s="909"/>
      <c r="AF2662" s="909"/>
      <c r="AG2662" s="909"/>
      <c r="BB2662" s="784"/>
      <c r="BC2662" s="785"/>
      <c r="BD2662" s="900"/>
      <c r="BE2662" s="797"/>
    </row>
    <row r="2663" spans="1:57" s="65" customFormat="1" ht="15" hidden="1" customHeight="1" outlineLevel="1" x14ac:dyDescent="0.25">
      <c r="A2663" s="785"/>
      <c r="B2663" s="177"/>
      <c r="C2663" s="455"/>
      <c r="D2663" s="2806"/>
      <c r="E2663" s="2856"/>
      <c r="F2663" s="2908" t="str">
        <f>$E$1594</f>
        <v>ASHP - SEER 20 - replace electric furnace / CAC - early replacement MF ER1_CompE</v>
      </c>
      <c r="G2663" s="2909"/>
      <c r="H2663" s="2909"/>
      <c r="I2663" s="2910"/>
      <c r="J2663" s="1657" t="str">
        <f>$C$1594</f>
        <v>354651_2019_12_</v>
      </c>
      <c r="K2663" s="1663">
        <v>20</v>
      </c>
      <c r="L2663" s="1124"/>
      <c r="M2663" s="1108"/>
      <c r="N2663" s="177"/>
      <c r="O2663" s="332"/>
      <c r="P2663" s="332"/>
      <c r="Q2663" s="332"/>
      <c r="R2663" s="332"/>
      <c r="S2663" s="177"/>
      <c r="T2663" s="177"/>
      <c r="U2663" s="177"/>
      <c r="V2663" s="2866"/>
      <c r="W2663" s="909"/>
      <c r="X2663" s="909"/>
      <c r="Y2663" s="933">
        <v>20</v>
      </c>
      <c r="Z2663" s="909"/>
      <c r="AA2663" s="909"/>
      <c r="AB2663" s="909"/>
      <c r="AC2663" s="909"/>
      <c r="AD2663" s="909"/>
      <c r="AE2663" s="909"/>
      <c r="AF2663" s="909"/>
      <c r="AG2663" s="909"/>
      <c r="BB2663" s="784"/>
      <c r="BC2663" s="785"/>
      <c r="BD2663" s="900"/>
      <c r="BE2663" s="797"/>
    </row>
    <row r="2664" spans="1:57" s="65" customFormat="1" ht="15" hidden="1" customHeight="1" outlineLevel="1" x14ac:dyDescent="0.25">
      <c r="A2664" s="785"/>
      <c r="B2664" s="177"/>
      <c r="C2664" s="455"/>
      <c r="D2664" s="2806"/>
      <c r="E2664" s="2856"/>
      <c r="F2664" s="2908" t="str">
        <f>$E$1596</f>
        <v>ASHP - SEER 20 - replace electric furnace / CAC - early replacement MF ER2_CompE</v>
      </c>
      <c r="G2664" s="2909"/>
      <c r="H2664" s="2909"/>
      <c r="I2664" s="2910"/>
      <c r="J2664" s="1657" t="str">
        <f>$C$1596</f>
        <v>354651_2019_12_</v>
      </c>
      <c r="K2664" s="1663">
        <v>20</v>
      </c>
      <c r="L2664" s="1124"/>
      <c r="M2664" s="1108"/>
      <c r="N2664" s="177"/>
      <c r="O2664" s="332"/>
      <c r="P2664" s="332"/>
      <c r="Q2664" s="332"/>
      <c r="R2664" s="332"/>
      <c r="S2664" s="177"/>
      <c r="T2664" s="177"/>
      <c r="U2664" s="177"/>
      <c r="V2664" s="2866"/>
      <c r="W2664" s="909"/>
      <c r="X2664" s="909"/>
      <c r="Y2664" s="933">
        <v>20</v>
      </c>
      <c r="Z2664" s="909"/>
      <c r="AA2664" s="909"/>
      <c r="AB2664" s="909"/>
      <c r="AC2664" s="909"/>
      <c r="AD2664" s="909"/>
      <c r="AE2664" s="909"/>
      <c r="AF2664" s="909"/>
      <c r="AG2664" s="909"/>
      <c r="BB2664" s="784"/>
      <c r="BC2664" s="785"/>
      <c r="BD2664" s="900"/>
      <c r="BE2664" s="797"/>
    </row>
    <row r="2665" spans="1:57" s="65" customFormat="1" ht="15" hidden="1" customHeight="1" outlineLevel="1" x14ac:dyDescent="0.25">
      <c r="A2665" s="785"/>
      <c r="B2665" s="177"/>
      <c r="C2665" s="455"/>
      <c r="D2665" s="2806"/>
      <c r="E2665" s="2856"/>
      <c r="F2665" s="2908" t="str">
        <f>$E$1598</f>
        <v>ASHP SEER 20 replace ASHP - early replacement MF ER1</v>
      </c>
      <c r="G2665" s="2909"/>
      <c r="H2665" s="2909"/>
      <c r="I2665" s="2910"/>
      <c r="J2665" s="1657" t="str">
        <f>$C$1598</f>
        <v>354700_2019_12_</v>
      </c>
      <c r="K2665" s="1663">
        <v>20</v>
      </c>
      <c r="L2665" s="1124"/>
      <c r="M2665" s="1108" t="s">
        <v>1605</v>
      </c>
      <c r="N2665" s="177"/>
      <c r="O2665" s="332"/>
      <c r="P2665" s="332"/>
      <c r="Q2665" s="332"/>
      <c r="R2665" s="332"/>
      <c r="S2665" s="177"/>
      <c r="T2665" s="177"/>
      <c r="U2665" s="177"/>
      <c r="V2665" s="2866"/>
      <c r="W2665" s="909">
        <v>20</v>
      </c>
      <c r="X2665" s="909">
        <v>20</v>
      </c>
      <c r="Y2665" s="926">
        <v>20</v>
      </c>
      <c r="Z2665" s="909"/>
      <c r="AA2665" s="909"/>
      <c r="AB2665" s="909"/>
      <c r="AC2665" s="909"/>
      <c r="AD2665" s="909"/>
      <c r="AE2665" s="909"/>
      <c r="AF2665" s="909"/>
      <c r="AG2665" s="909"/>
      <c r="BB2665" s="784"/>
      <c r="BC2665" s="785"/>
      <c r="BD2665" s="900"/>
      <c r="BE2665" s="797"/>
    </row>
    <row r="2666" spans="1:57" s="65" customFormat="1" ht="15" hidden="1" customHeight="1" outlineLevel="1" x14ac:dyDescent="0.25">
      <c r="A2666" s="785"/>
      <c r="B2666" s="177"/>
      <c r="C2666" s="455"/>
      <c r="D2666" s="2806"/>
      <c r="E2666" s="2856"/>
      <c r="F2666" s="2908" t="str">
        <f>$E$1600</f>
        <v>ASHP SEER 20 replace ASHP - early replacement MF ER2</v>
      </c>
      <c r="G2666" s="2909"/>
      <c r="H2666" s="2909"/>
      <c r="I2666" s="2910"/>
      <c r="J2666" s="1657" t="str">
        <f>$C$1600</f>
        <v>354700_2019_12_</v>
      </c>
      <c r="K2666" s="1663">
        <v>20</v>
      </c>
      <c r="L2666" s="1124"/>
      <c r="M2666" s="1108" t="s">
        <v>1605</v>
      </c>
      <c r="N2666" s="177"/>
      <c r="O2666" s="332"/>
      <c r="P2666" s="332"/>
      <c r="Q2666" s="332"/>
      <c r="R2666" s="332"/>
      <c r="S2666" s="177"/>
      <c r="T2666" s="177"/>
      <c r="U2666" s="177"/>
      <c r="V2666" s="2866"/>
      <c r="W2666" s="909">
        <v>20</v>
      </c>
      <c r="X2666" s="909">
        <v>20</v>
      </c>
      <c r="Y2666" s="926">
        <v>20</v>
      </c>
      <c r="Z2666" s="909"/>
      <c r="AA2666" s="909"/>
      <c r="AB2666" s="909"/>
      <c r="AC2666" s="909"/>
      <c r="AD2666" s="909"/>
      <c r="AE2666" s="909"/>
      <c r="AF2666" s="909"/>
      <c r="AG2666" s="909"/>
      <c r="BB2666" s="784"/>
      <c r="BC2666" s="785"/>
      <c r="BD2666" s="900"/>
      <c r="BE2666" s="797"/>
    </row>
    <row r="2667" spans="1:57" s="65" customFormat="1" ht="15" hidden="1" customHeight="1" outlineLevel="1" x14ac:dyDescent="0.25">
      <c r="A2667" s="785"/>
      <c r="B2667" s="177"/>
      <c r="C2667" s="455"/>
      <c r="D2667" s="2806"/>
      <c r="E2667" s="2856"/>
      <c r="F2667" s="2908" t="str">
        <f>$E$1602</f>
        <v>ASHP SEER 20 replace ASHP - early replacement MF ER1_CompE</v>
      </c>
      <c r="G2667" s="2909"/>
      <c r="H2667" s="2909"/>
      <c r="I2667" s="2910"/>
      <c r="J2667" s="1657" t="str">
        <f>$C$1602</f>
        <v>354701_2019_12_</v>
      </c>
      <c r="K2667" s="1663">
        <v>20</v>
      </c>
      <c r="L2667" s="1124"/>
      <c r="M2667" s="1108"/>
      <c r="N2667" s="177"/>
      <c r="O2667" s="332"/>
      <c r="P2667" s="332"/>
      <c r="Q2667" s="332"/>
      <c r="R2667" s="332"/>
      <c r="S2667" s="177"/>
      <c r="T2667" s="177"/>
      <c r="U2667" s="177"/>
      <c r="V2667" s="2866"/>
      <c r="W2667" s="909"/>
      <c r="X2667" s="909"/>
      <c r="Y2667" s="933">
        <v>20</v>
      </c>
      <c r="Z2667" s="909"/>
      <c r="AA2667" s="909"/>
      <c r="AB2667" s="909"/>
      <c r="AC2667" s="909"/>
      <c r="AD2667" s="909"/>
      <c r="AE2667" s="909"/>
      <c r="AF2667" s="909"/>
      <c r="AG2667" s="909"/>
      <c r="BB2667" s="784"/>
      <c r="BC2667" s="785"/>
      <c r="BD2667" s="900"/>
      <c r="BE2667" s="797"/>
    </row>
    <row r="2668" spans="1:57" s="65" customFormat="1" ht="15" hidden="1" customHeight="1" outlineLevel="1" x14ac:dyDescent="0.25">
      <c r="A2668" s="785"/>
      <c r="B2668" s="177"/>
      <c r="C2668" s="455"/>
      <c r="D2668" s="2806"/>
      <c r="E2668" s="2856"/>
      <c r="F2668" s="2908" t="str">
        <f>$E$1604</f>
        <v>ASHP SEER 20 replace ASHP - early replacement MF ER2_CompE</v>
      </c>
      <c r="G2668" s="2909"/>
      <c r="H2668" s="2909"/>
      <c r="I2668" s="2910"/>
      <c r="J2668" s="1657" t="str">
        <f>$C$1604</f>
        <v>354701_2019_12_</v>
      </c>
      <c r="K2668" s="1663">
        <v>20</v>
      </c>
      <c r="L2668" s="1124"/>
      <c r="M2668" s="1108"/>
      <c r="N2668" s="177"/>
      <c r="O2668" s="332"/>
      <c r="P2668" s="332"/>
      <c r="Q2668" s="332"/>
      <c r="R2668" s="332"/>
      <c r="S2668" s="177"/>
      <c r="T2668" s="177"/>
      <c r="U2668" s="177"/>
      <c r="V2668" s="2866"/>
      <c r="W2668" s="909"/>
      <c r="X2668" s="909"/>
      <c r="Y2668" s="933">
        <v>20</v>
      </c>
      <c r="Z2668" s="909"/>
      <c r="AA2668" s="909"/>
      <c r="AB2668" s="909"/>
      <c r="AC2668" s="909"/>
      <c r="AD2668" s="909"/>
      <c r="AE2668" s="909"/>
      <c r="AF2668" s="909"/>
      <c r="AG2668" s="909"/>
      <c r="BB2668" s="784"/>
      <c r="BC2668" s="785"/>
      <c r="BD2668" s="900"/>
      <c r="BE2668" s="797"/>
    </row>
    <row r="2669" spans="1:57" s="65" customFormat="1" ht="15" hidden="1" customHeight="1" outlineLevel="1" x14ac:dyDescent="0.25">
      <c r="A2669" s="785"/>
      <c r="B2669" s="177"/>
      <c r="C2669" s="455"/>
      <c r="D2669" s="2806"/>
      <c r="E2669" s="2856"/>
      <c r="F2669" s="2908" t="str">
        <f>$E$1606</f>
        <v>ASHP SEER 21 replace ASHP - early replacement SF ER1</v>
      </c>
      <c r="G2669" s="2909"/>
      <c r="H2669" s="2909"/>
      <c r="I2669" s="2910"/>
      <c r="J2669" s="1657" t="str">
        <f>$C$1606</f>
        <v>354750_2019_12_</v>
      </c>
      <c r="K2669" s="1663">
        <v>21</v>
      </c>
      <c r="L2669" s="1124"/>
      <c r="M2669" s="1108" t="s">
        <v>1605</v>
      </c>
      <c r="N2669" s="177"/>
      <c r="O2669" s="332"/>
      <c r="P2669" s="332"/>
      <c r="Q2669" s="332"/>
      <c r="R2669" s="332"/>
      <c r="S2669" s="177"/>
      <c r="T2669" s="177"/>
      <c r="U2669" s="177"/>
      <c r="V2669" s="2866"/>
      <c r="W2669" s="909">
        <v>21</v>
      </c>
      <c r="X2669" s="909">
        <v>21</v>
      </c>
      <c r="Y2669" s="926">
        <v>21</v>
      </c>
      <c r="Z2669" s="909"/>
      <c r="AA2669" s="909"/>
      <c r="AB2669" s="909"/>
      <c r="AC2669" s="909"/>
      <c r="AD2669" s="909"/>
      <c r="AE2669" s="909"/>
      <c r="AF2669" s="909"/>
      <c r="AG2669" s="909"/>
      <c r="BB2669" s="784"/>
      <c r="BC2669" s="785"/>
      <c r="BD2669" s="900"/>
      <c r="BE2669" s="797"/>
    </row>
    <row r="2670" spans="1:57" s="65" customFormat="1" ht="15" hidden="1" customHeight="1" outlineLevel="1" x14ac:dyDescent="0.25">
      <c r="A2670" s="785"/>
      <c r="B2670" s="177"/>
      <c r="C2670" s="455"/>
      <c r="D2670" s="2806"/>
      <c r="E2670" s="2856"/>
      <c r="F2670" s="2908" t="str">
        <f>$E$1608</f>
        <v>ASHP SEER 21 replace ASHP - early replacement SF ER2</v>
      </c>
      <c r="G2670" s="2909"/>
      <c r="H2670" s="2909"/>
      <c r="I2670" s="2910"/>
      <c r="J2670" s="1657" t="str">
        <f>$C$1608</f>
        <v>354750_2019_12_</v>
      </c>
      <c r="K2670" s="1663">
        <v>21</v>
      </c>
      <c r="L2670" s="1124"/>
      <c r="M2670" s="1108" t="s">
        <v>1605</v>
      </c>
      <c r="N2670" s="177"/>
      <c r="O2670" s="332"/>
      <c r="P2670" s="332"/>
      <c r="Q2670" s="332"/>
      <c r="R2670" s="332"/>
      <c r="S2670" s="177"/>
      <c r="T2670" s="177"/>
      <c r="U2670" s="177"/>
      <c r="V2670" s="2866"/>
      <c r="W2670" s="909">
        <v>21</v>
      </c>
      <c r="X2670" s="909">
        <v>21</v>
      </c>
      <c r="Y2670" s="926">
        <v>21</v>
      </c>
      <c r="Z2670" s="909"/>
      <c r="AA2670" s="909"/>
      <c r="AB2670" s="909"/>
      <c r="AC2670" s="909"/>
      <c r="AD2670" s="909"/>
      <c r="AE2670" s="909"/>
      <c r="AF2670" s="909"/>
      <c r="AG2670" s="909"/>
      <c r="BB2670" s="784"/>
      <c r="BC2670" s="785"/>
      <c r="BD2670" s="900"/>
      <c r="BE2670" s="797"/>
    </row>
    <row r="2671" spans="1:57" s="65" customFormat="1" ht="15" hidden="1" customHeight="1" outlineLevel="1" x14ac:dyDescent="0.25">
      <c r="A2671" s="785"/>
      <c r="B2671" s="177"/>
      <c r="C2671" s="455"/>
      <c r="D2671" s="2806"/>
      <c r="E2671" s="2856"/>
      <c r="F2671" s="2908" t="str">
        <f>$E$1610</f>
        <v>ASHP SEER 21 replace ASHP - replace on fail SF</v>
      </c>
      <c r="G2671" s="2909"/>
      <c r="H2671" s="2909"/>
      <c r="I2671" s="2910"/>
      <c r="J2671" s="1657" t="str">
        <f>$C$1610</f>
        <v>354800_2019_12_</v>
      </c>
      <c r="K2671" s="1663">
        <v>21</v>
      </c>
      <c r="L2671" s="1124"/>
      <c r="M2671" s="1108" t="s">
        <v>1605</v>
      </c>
      <c r="N2671" s="177"/>
      <c r="O2671" s="332"/>
      <c r="P2671" s="332"/>
      <c r="Q2671" s="332"/>
      <c r="R2671" s="332"/>
      <c r="S2671" s="177"/>
      <c r="T2671" s="177"/>
      <c r="U2671" s="177"/>
      <c r="V2671" s="2866"/>
      <c r="W2671" s="909">
        <v>21</v>
      </c>
      <c r="X2671" s="909">
        <v>21</v>
      </c>
      <c r="Y2671" s="926">
        <v>21</v>
      </c>
      <c r="Z2671" s="909"/>
      <c r="AA2671" s="909"/>
      <c r="AB2671" s="909"/>
      <c r="AC2671" s="909"/>
      <c r="AD2671" s="909"/>
      <c r="AE2671" s="909"/>
      <c r="AF2671" s="909"/>
      <c r="AG2671" s="909"/>
      <c r="BB2671" s="784"/>
      <c r="BC2671" s="785"/>
      <c r="BD2671" s="900"/>
      <c r="BE2671" s="797"/>
    </row>
    <row r="2672" spans="1:57" s="65" customFormat="1" ht="15" hidden="1" customHeight="1" outlineLevel="1" x14ac:dyDescent="0.25">
      <c r="A2672" s="785"/>
      <c r="B2672" s="177"/>
      <c r="C2672" s="455"/>
      <c r="D2672" s="2806"/>
      <c r="E2672" s="2856"/>
      <c r="F2672" s="2908" t="str">
        <f>$E$1612</f>
        <v>ASHP - SEER 21 - replace electric furnace / CAC MF</v>
      </c>
      <c r="G2672" s="2909"/>
      <c r="H2672" s="2909"/>
      <c r="I2672" s="2910"/>
      <c r="J2672" s="1657" t="str">
        <f>$C$1612</f>
        <v>354850_2019_12_</v>
      </c>
      <c r="K2672" s="1663">
        <v>21</v>
      </c>
      <c r="L2672" s="1124"/>
      <c r="M2672" s="1108" t="s">
        <v>1605</v>
      </c>
      <c r="N2672" s="177"/>
      <c r="O2672" s="332"/>
      <c r="P2672" s="332"/>
      <c r="Q2672" s="332"/>
      <c r="R2672" s="332"/>
      <c r="S2672" s="177"/>
      <c r="T2672" s="177"/>
      <c r="U2672" s="177"/>
      <c r="V2672" s="2866"/>
      <c r="W2672" s="909">
        <v>21</v>
      </c>
      <c r="X2672" s="909">
        <v>21</v>
      </c>
      <c r="Y2672" s="926">
        <v>21</v>
      </c>
      <c r="Z2672" s="909"/>
      <c r="AA2672" s="909"/>
      <c r="AB2672" s="909"/>
      <c r="AC2672" s="909"/>
      <c r="AD2672" s="909"/>
      <c r="AE2672" s="909"/>
      <c r="AF2672" s="909"/>
      <c r="AG2672" s="909"/>
      <c r="BB2672" s="784"/>
      <c r="BC2672" s="785"/>
      <c r="BD2672" s="900"/>
      <c r="BE2672" s="797"/>
    </row>
    <row r="2673" spans="1:57" s="65" customFormat="1" ht="15" hidden="1" customHeight="1" outlineLevel="1" x14ac:dyDescent="0.25">
      <c r="A2673" s="785"/>
      <c r="B2673" s="177"/>
      <c r="C2673" s="455"/>
      <c r="D2673" s="2806"/>
      <c r="E2673" s="2856"/>
      <c r="F2673" s="2908" t="str">
        <f>$E$1614</f>
        <v>ASHP - SEER 21 - replace electric furnace / CAC MF_CompE</v>
      </c>
      <c r="G2673" s="2909"/>
      <c r="H2673" s="2909"/>
      <c r="I2673" s="2910"/>
      <c r="J2673" s="1657" t="str">
        <f>$C$1614</f>
        <v>354851_2019_12_</v>
      </c>
      <c r="K2673" s="1663">
        <v>21</v>
      </c>
      <c r="L2673" s="1124"/>
      <c r="M2673" s="1108"/>
      <c r="N2673" s="177"/>
      <c r="O2673" s="332"/>
      <c r="P2673" s="332"/>
      <c r="Q2673" s="332"/>
      <c r="R2673" s="332"/>
      <c r="S2673" s="177"/>
      <c r="T2673" s="177"/>
      <c r="U2673" s="177"/>
      <c r="V2673" s="2866"/>
      <c r="W2673" s="909"/>
      <c r="X2673" s="909"/>
      <c r="Y2673" s="933">
        <v>21</v>
      </c>
      <c r="Z2673" s="909"/>
      <c r="AA2673" s="909"/>
      <c r="AB2673" s="909"/>
      <c r="AC2673" s="909"/>
      <c r="AD2673" s="909"/>
      <c r="AE2673" s="909"/>
      <c r="AF2673" s="909"/>
      <c r="AG2673" s="909"/>
      <c r="BB2673" s="784"/>
      <c r="BC2673" s="785"/>
      <c r="BD2673" s="900"/>
      <c r="BE2673" s="797"/>
    </row>
    <row r="2674" spans="1:57" s="65" customFormat="1" ht="15" hidden="1" customHeight="1" outlineLevel="1" x14ac:dyDescent="0.25">
      <c r="A2674" s="785"/>
      <c r="B2674" s="177"/>
      <c r="C2674" s="455"/>
      <c r="D2674" s="2806"/>
      <c r="E2674" s="2856"/>
      <c r="F2674" s="2908" t="str">
        <f>$E$1616</f>
        <v>ASHP SEER 21 replace ASHP - early replacement MF ER1</v>
      </c>
      <c r="G2674" s="2909"/>
      <c r="H2674" s="2909"/>
      <c r="I2674" s="2910"/>
      <c r="J2674" s="1657" t="str">
        <f>$C$1616</f>
        <v>354900_2019_12_</v>
      </c>
      <c r="K2674" s="1663">
        <v>21</v>
      </c>
      <c r="L2674" s="1124"/>
      <c r="M2674" s="1108" t="s">
        <v>1605</v>
      </c>
      <c r="N2674" s="177"/>
      <c r="O2674" s="332"/>
      <c r="P2674" s="332"/>
      <c r="Q2674" s="332"/>
      <c r="R2674" s="332"/>
      <c r="S2674" s="177"/>
      <c r="T2674" s="177"/>
      <c r="U2674" s="177"/>
      <c r="V2674" s="2866"/>
      <c r="W2674" s="909">
        <v>21</v>
      </c>
      <c r="X2674" s="909">
        <v>21</v>
      </c>
      <c r="Y2674" s="926">
        <v>21</v>
      </c>
      <c r="Z2674" s="909"/>
      <c r="AA2674" s="909"/>
      <c r="AB2674" s="909"/>
      <c r="AC2674" s="909"/>
      <c r="AD2674" s="909"/>
      <c r="AE2674" s="909"/>
      <c r="AF2674" s="909"/>
      <c r="AG2674" s="909"/>
      <c r="BB2674" s="784"/>
      <c r="BC2674" s="785"/>
      <c r="BD2674" s="900"/>
      <c r="BE2674" s="797"/>
    </row>
    <row r="2675" spans="1:57" s="65" customFormat="1" ht="15" hidden="1" customHeight="1" outlineLevel="1" x14ac:dyDescent="0.25">
      <c r="A2675" s="785"/>
      <c r="B2675" s="177"/>
      <c r="C2675" s="455"/>
      <c r="D2675" s="2806"/>
      <c r="E2675" s="2856"/>
      <c r="F2675" s="2908" t="str">
        <f>$E$1618</f>
        <v>ASHP SEER 21 replace ASHP - early replacement MF ER2</v>
      </c>
      <c r="G2675" s="2909"/>
      <c r="H2675" s="2909"/>
      <c r="I2675" s="2910"/>
      <c r="J2675" s="1657" t="str">
        <f>$C$1618</f>
        <v>354900_2019_12_</v>
      </c>
      <c r="K2675" s="1663">
        <v>21</v>
      </c>
      <c r="L2675" s="1124"/>
      <c r="M2675" s="1108" t="s">
        <v>1605</v>
      </c>
      <c r="N2675" s="177"/>
      <c r="O2675" s="332"/>
      <c r="P2675" s="332"/>
      <c r="Q2675" s="332"/>
      <c r="R2675" s="332"/>
      <c r="S2675" s="177"/>
      <c r="T2675" s="177"/>
      <c r="U2675" s="177"/>
      <c r="V2675" s="2866"/>
      <c r="W2675" s="909">
        <v>21</v>
      </c>
      <c r="X2675" s="909">
        <v>21</v>
      </c>
      <c r="Y2675" s="926">
        <v>21</v>
      </c>
      <c r="Z2675" s="909"/>
      <c r="AA2675" s="909"/>
      <c r="AB2675" s="909"/>
      <c r="AC2675" s="909"/>
      <c r="AD2675" s="909"/>
      <c r="AE2675" s="909"/>
      <c r="AF2675" s="909"/>
      <c r="AG2675" s="909"/>
      <c r="BB2675" s="784"/>
      <c r="BC2675" s="785"/>
      <c r="BD2675" s="900"/>
      <c r="BE2675" s="797"/>
    </row>
    <row r="2676" spans="1:57" s="65" customFormat="1" ht="15" hidden="1" customHeight="1" outlineLevel="1" x14ac:dyDescent="0.25">
      <c r="A2676" s="785"/>
      <c r="B2676" s="177"/>
      <c r="C2676" s="455"/>
      <c r="D2676" s="2806"/>
      <c r="E2676" s="2856"/>
      <c r="F2676" s="2908" t="str">
        <f>$E$1620</f>
        <v>ASHP SEER 21 replace ASHP - early replacement MF ER1_CompE</v>
      </c>
      <c r="G2676" s="2909"/>
      <c r="H2676" s="2909"/>
      <c r="I2676" s="2910"/>
      <c r="J2676" s="1657" t="str">
        <f>$C$1620</f>
        <v>354901_2019_12_</v>
      </c>
      <c r="K2676" s="1663">
        <v>21</v>
      </c>
      <c r="L2676" s="1124"/>
      <c r="M2676" s="1108"/>
      <c r="N2676" s="177"/>
      <c r="O2676" s="332"/>
      <c r="P2676" s="332"/>
      <c r="Q2676" s="332"/>
      <c r="R2676" s="332"/>
      <c r="S2676" s="177"/>
      <c r="T2676" s="177"/>
      <c r="U2676" s="177"/>
      <c r="V2676" s="2866"/>
      <c r="W2676" s="909"/>
      <c r="X2676" s="909"/>
      <c r="Y2676" s="933">
        <v>21</v>
      </c>
      <c r="Z2676" s="909"/>
      <c r="AA2676" s="909"/>
      <c r="AB2676" s="909"/>
      <c r="AC2676" s="909"/>
      <c r="AD2676" s="909"/>
      <c r="AE2676" s="909"/>
      <c r="AF2676" s="909"/>
      <c r="AG2676" s="909"/>
      <c r="BB2676" s="784"/>
      <c r="BC2676" s="785"/>
      <c r="BD2676" s="900"/>
      <c r="BE2676" s="797"/>
    </row>
    <row r="2677" spans="1:57" s="65" customFormat="1" ht="15" hidden="1" customHeight="1" outlineLevel="1" x14ac:dyDescent="0.25">
      <c r="A2677" s="785"/>
      <c r="B2677" s="177"/>
      <c r="C2677" s="455"/>
      <c r="D2677" s="2806"/>
      <c r="E2677" s="2856"/>
      <c r="F2677" s="2908" t="str">
        <f>$E$1622</f>
        <v>ASHP SEER 21 replace ASHP - early replacement MF ER2_CompE</v>
      </c>
      <c r="G2677" s="2909"/>
      <c r="H2677" s="2909"/>
      <c r="I2677" s="2910"/>
      <c r="J2677" s="1657" t="str">
        <f>$C$1622</f>
        <v>354901_2019_12_</v>
      </c>
      <c r="K2677" s="1663">
        <v>21</v>
      </c>
      <c r="L2677" s="1124"/>
      <c r="M2677" s="1108"/>
      <c r="N2677" s="177"/>
      <c r="O2677" s="332"/>
      <c r="P2677" s="332"/>
      <c r="Q2677" s="332"/>
      <c r="R2677" s="332"/>
      <c r="S2677" s="177"/>
      <c r="T2677" s="177"/>
      <c r="U2677" s="177"/>
      <c r="V2677" s="2866"/>
      <c r="W2677" s="909"/>
      <c r="X2677" s="909"/>
      <c r="Y2677" s="933">
        <v>21</v>
      </c>
      <c r="Z2677" s="909"/>
      <c r="AA2677" s="909"/>
      <c r="AB2677" s="909"/>
      <c r="AC2677" s="909"/>
      <c r="AD2677" s="909"/>
      <c r="AE2677" s="909"/>
      <c r="AF2677" s="909"/>
      <c r="AG2677" s="909"/>
      <c r="BB2677" s="784"/>
      <c r="BC2677" s="785"/>
      <c r="BD2677" s="900"/>
      <c r="BE2677" s="797"/>
    </row>
    <row r="2678" spans="1:57" s="65" customFormat="1" ht="15" hidden="1" customHeight="1" outlineLevel="1" x14ac:dyDescent="0.25">
      <c r="A2678" s="718"/>
      <c r="B2678" s="177"/>
      <c r="C2678" s="455"/>
      <c r="D2678" s="2806"/>
      <c r="E2678" s="2856"/>
      <c r="F2678" s="2908" t="str">
        <f>$E$1624</f>
        <v>ASHP - SEER 17 - replace on fail MF</v>
      </c>
      <c r="G2678" s="2909"/>
      <c r="H2678" s="2909"/>
      <c r="I2678" s="2910"/>
      <c r="J2678" s="1657" t="str">
        <f>$C$1624</f>
        <v>354950_2019_12_</v>
      </c>
      <c r="K2678" s="1663">
        <v>17</v>
      </c>
      <c r="L2678" s="1124"/>
      <c r="M2678" s="1108" t="s">
        <v>1605</v>
      </c>
      <c r="N2678" s="177"/>
      <c r="O2678" s="332"/>
      <c r="P2678" s="1116"/>
      <c r="Q2678" s="1117"/>
      <c r="R2678" s="1116"/>
      <c r="S2678" s="1103"/>
      <c r="T2678" s="1639"/>
      <c r="U2678" s="177"/>
      <c r="V2678" s="2866"/>
      <c r="W2678" s="909">
        <v>17</v>
      </c>
      <c r="X2678" s="909">
        <v>17</v>
      </c>
      <c r="Y2678" s="926">
        <v>17</v>
      </c>
      <c r="Z2678" s="909"/>
      <c r="AA2678" s="909"/>
      <c r="AB2678" s="909"/>
      <c r="AC2678" s="909"/>
      <c r="AD2678" s="909"/>
      <c r="AE2678" s="909"/>
      <c r="AF2678" s="909"/>
      <c r="AG2678" s="909"/>
      <c r="BB2678" s="784"/>
      <c r="BC2678" s="785"/>
      <c r="BD2678" s="900"/>
      <c r="BE2678" s="797"/>
    </row>
    <row r="2679" spans="1:57" s="65" customFormat="1" ht="15" hidden="1" customHeight="1" outlineLevel="1" x14ac:dyDescent="0.25">
      <c r="A2679" s="718"/>
      <c r="B2679" s="177"/>
      <c r="C2679" s="455"/>
      <c r="D2679" s="2806"/>
      <c r="E2679" s="2856"/>
      <c r="F2679" s="2908" t="str">
        <f>$E$1626</f>
        <v>ASHP - SEER 17 - replace on fail MF_CompE</v>
      </c>
      <c r="G2679" s="2909"/>
      <c r="H2679" s="2909"/>
      <c r="I2679" s="2910"/>
      <c r="J2679" s="1657" t="str">
        <f>$C$1626</f>
        <v>354951_2019_12_</v>
      </c>
      <c r="K2679" s="1663">
        <v>17</v>
      </c>
      <c r="L2679" s="1124"/>
      <c r="M2679" s="1108"/>
      <c r="N2679" s="177"/>
      <c r="O2679" s="332"/>
      <c r="P2679" s="1116"/>
      <c r="Q2679" s="1117"/>
      <c r="R2679" s="1116"/>
      <c r="S2679" s="1103"/>
      <c r="T2679" s="1639"/>
      <c r="U2679" s="177"/>
      <c r="V2679" s="2866"/>
      <c r="W2679" s="909"/>
      <c r="X2679" s="909"/>
      <c r="Y2679" s="933">
        <v>17</v>
      </c>
      <c r="Z2679" s="909"/>
      <c r="AA2679" s="909"/>
      <c r="AB2679" s="909"/>
      <c r="AC2679" s="909"/>
      <c r="AD2679" s="909"/>
      <c r="AE2679" s="909"/>
      <c r="AF2679" s="909"/>
      <c r="AG2679" s="909"/>
      <c r="BB2679" s="784"/>
      <c r="BC2679" s="785"/>
      <c r="BD2679" s="900"/>
      <c r="BE2679" s="797"/>
    </row>
    <row r="2680" spans="1:57" s="65" customFormat="1" ht="15" hidden="1" customHeight="1" outlineLevel="1" x14ac:dyDescent="0.25">
      <c r="A2680" s="718"/>
      <c r="B2680" s="177"/>
      <c r="C2680" s="455"/>
      <c r="D2680" s="2806"/>
      <c r="E2680" s="2856"/>
      <c r="F2680" s="2908" t="str">
        <f>$E$1628</f>
        <v>ASHP - SEER 18 - replace on fail MF</v>
      </c>
      <c r="G2680" s="2909"/>
      <c r="H2680" s="2909"/>
      <c r="I2680" s="2910"/>
      <c r="J2680" s="1657" t="str">
        <f>$C$1628</f>
        <v>355000_2019_12_</v>
      </c>
      <c r="K2680" s="1663">
        <v>18</v>
      </c>
      <c r="L2680" s="1124"/>
      <c r="M2680" s="1108" t="s">
        <v>1605</v>
      </c>
      <c r="N2680" s="177"/>
      <c r="O2680" s="332"/>
      <c r="P2680" s="1116"/>
      <c r="Q2680" s="1117"/>
      <c r="R2680" s="1116"/>
      <c r="S2680" s="1103"/>
      <c r="T2680" s="1639"/>
      <c r="U2680" s="177"/>
      <c r="V2680" s="2866"/>
      <c r="W2680" s="909">
        <v>18</v>
      </c>
      <c r="X2680" s="909">
        <v>18</v>
      </c>
      <c r="Y2680" s="926">
        <v>18</v>
      </c>
      <c r="Z2680" s="909"/>
      <c r="AA2680" s="909"/>
      <c r="AB2680" s="909"/>
      <c r="AC2680" s="909"/>
      <c r="AD2680" s="909"/>
      <c r="AE2680" s="909"/>
      <c r="AF2680" s="909"/>
      <c r="AG2680" s="909"/>
      <c r="BB2680" s="784"/>
      <c r="BC2680" s="785"/>
      <c r="BD2680" s="900"/>
      <c r="BE2680" s="797"/>
    </row>
    <row r="2681" spans="1:57" s="65" customFormat="1" ht="15" hidden="1" customHeight="1" outlineLevel="1" x14ac:dyDescent="0.25">
      <c r="A2681" s="718"/>
      <c r="B2681" s="177"/>
      <c r="C2681" s="455"/>
      <c r="D2681" s="2806"/>
      <c r="E2681" s="2856"/>
      <c r="F2681" s="2908" t="str">
        <f>$E$1630</f>
        <v>ASHP - SEER 18 - replace on fail MF_CompE</v>
      </c>
      <c r="G2681" s="2909"/>
      <c r="H2681" s="2909"/>
      <c r="I2681" s="2910"/>
      <c r="J2681" s="1657" t="str">
        <f>$C$1630</f>
        <v>355001_2019_12_</v>
      </c>
      <c r="K2681" s="1663">
        <v>18</v>
      </c>
      <c r="L2681" s="1124"/>
      <c r="M2681" s="1108"/>
      <c r="N2681" s="177"/>
      <c r="O2681" s="332"/>
      <c r="P2681" s="1116"/>
      <c r="Q2681" s="1117"/>
      <c r="R2681" s="1116"/>
      <c r="S2681" s="1103"/>
      <c r="T2681" s="1639"/>
      <c r="U2681" s="177"/>
      <c r="V2681" s="2866"/>
      <c r="W2681" s="909"/>
      <c r="X2681" s="909"/>
      <c r="Y2681" s="933">
        <v>18</v>
      </c>
      <c r="Z2681" s="909"/>
      <c r="AA2681" s="909"/>
      <c r="AB2681" s="909"/>
      <c r="AC2681" s="909"/>
      <c r="AD2681" s="909"/>
      <c r="AE2681" s="909"/>
      <c r="AF2681" s="909"/>
      <c r="AG2681" s="909"/>
      <c r="BB2681" s="784"/>
      <c r="BC2681" s="785"/>
      <c r="BD2681" s="900"/>
      <c r="BE2681" s="797"/>
    </row>
    <row r="2682" spans="1:57" s="65" customFormat="1" ht="15" hidden="1" customHeight="1" outlineLevel="1" x14ac:dyDescent="0.25">
      <c r="A2682" s="785"/>
      <c r="B2682" s="177"/>
      <c r="C2682" s="455"/>
      <c r="D2682" s="2806"/>
      <c r="E2682" s="2856"/>
      <c r="F2682" s="2908" t="str">
        <f>$E$1632</f>
        <v>ASHP - SEER 19 - replace on fail MF</v>
      </c>
      <c r="G2682" s="2909"/>
      <c r="H2682" s="2909"/>
      <c r="I2682" s="2910"/>
      <c r="J2682" s="1657" t="str">
        <f>$C$1632</f>
        <v>355050_2019_12_</v>
      </c>
      <c r="K2682" s="1663">
        <v>19</v>
      </c>
      <c r="L2682" s="1124"/>
      <c r="M2682" s="1108" t="s">
        <v>1605</v>
      </c>
      <c r="N2682" s="177"/>
      <c r="O2682" s="332"/>
      <c r="P2682" s="332"/>
      <c r="Q2682" s="332"/>
      <c r="R2682" s="332"/>
      <c r="S2682" s="177"/>
      <c r="T2682" s="177"/>
      <c r="U2682" s="177"/>
      <c r="V2682" s="2866"/>
      <c r="W2682" s="909">
        <v>19</v>
      </c>
      <c r="X2682" s="909">
        <v>19</v>
      </c>
      <c r="Y2682" s="926">
        <v>19</v>
      </c>
      <c r="Z2682" s="909"/>
      <c r="AA2682" s="909"/>
      <c r="AB2682" s="909"/>
      <c r="AC2682" s="909"/>
      <c r="AD2682" s="909"/>
      <c r="AE2682" s="909"/>
      <c r="AF2682" s="909"/>
      <c r="AG2682" s="909"/>
      <c r="BB2682" s="784"/>
      <c r="BC2682" s="785"/>
      <c r="BD2682" s="900"/>
      <c r="BE2682" s="797"/>
    </row>
    <row r="2683" spans="1:57" s="65" customFormat="1" ht="15" hidden="1" customHeight="1" outlineLevel="1" x14ac:dyDescent="0.25">
      <c r="A2683" s="785"/>
      <c r="B2683" s="177"/>
      <c r="C2683" s="455"/>
      <c r="D2683" s="2806"/>
      <c r="E2683" s="2856"/>
      <c r="F2683" s="2908" t="str">
        <f>$E$1634</f>
        <v>ASHP - SEER 19 - replace on fail MF_CompE</v>
      </c>
      <c r="G2683" s="2909"/>
      <c r="H2683" s="2909"/>
      <c r="I2683" s="2910"/>
      <c r="J2683" s="1657" t="str">
        <f>$C$1634</f>
        <v>355051_2019_12_</v>
      </c>
      <c r="K2683" s="1663">
        <v>19</v>
      </c>
      <c r="L2683" s="1124"/>
      <c r="M2683" s="1108"/>
      <c r="N2683" s="177"/>
      <c r="O2683" s="332"/>
      <c r="P2683" s="332"/>
      <c r="Q2683" s="332"/>
      <c r="R2683" s="332"/>
      <c r="S2683" s="177"/>
      <c r="T2683" s="177"/>
      <c r="U2683" s="177"/>
      <c r="V2683" s="2866"/>
      <c r="W2683" s="909"/>
      <c r="X2683" s="909"/>
      <c r="Y2683" s="933">
        <v>19</v>
      </c>
      <c r="Z2683" s="909"/>
      <c r="AA2683" s="909"/>
      <c r="AB2683" s="909"/>
      <c r="AC2683" s="909"/>
      <c r="AD2683" s="909"/>
      <c r="AE2683" s="909"/>
      <c r="AF2683" s="909"/>
      <c r="AG2683" s="909"/>
      <c r="BB2683" s="784"/>
      <c r="BC2683" s="785"/>
      <c r="BD2683" s="900"/>
      <c r="BE2683" s="797"/>
    </row>
    <row r="2684" spans="1:57" s="65" customFormat="1" ht="15" hidden="1" customHeight="1" outlineLevel="1" x14ac:dyDescent="0.25">
      <c r="A2684" s="785"/>
      <c r="B2684" s="177"/>
      <c r="C2684" s="455"/>
      <c r="D2684" s="2806"/>
      <c r="E2684" s="2856"/>
      <c r="F2684" s="2908" t="str">
        <f>$E$1636</f>
        <v>ASHP - SEER 20 - replace on fail MF</v>
      </c>
      <c r="G2684" s="2909"/>
      <c r="H2684" s="2909"/>
      <c r="I2684" s="2910"/>
      <c r="J2684" s="1657" t="str">
        <f>$C$1636</f>
        <v>355100_2019_12_</v>
      </c>
      <c r="K2684" s="1663">
        <v>20</v>
      </c>
      <c r="L2684" s="1124"/>
      <c r="M2684" s="1108" t="s">
        <v>1605</v>
      </c>
      <c r="N2684" s="177"/>
      <c r="O2684" s="332"/>
      <c r="P2684" s="332"/>
      <c r="Q2684" s="332"/>
      <c r="R2684" s="332"/>
      <c r="S2684" s="177"/>
      <c r="T2684" s="177"/>
      <c r="U2684" s="177"/>
      <c r="V2684" s="2866"/>
      <c r="W2684" s="909">
        <v>20</v>
      </c>
      <c r="X2684" s="909">
        <v>20</v>
      </c>
      <c r="Y2684" s="926">
        <v>20</v>
      </c>
      <c r="Z2684" s="909"/>
      <c r="AA2684" s="909"/>
      <c r="AB2684" s="909"/>
      <c r="AC2684" s="909"/>
      <c r="AD2684" s="909"/>
      <c r="AE2684" s="909"/>
      <c r="AF2684" s="909"/>
      <c r="AG2684" s="909"/>
      <c r="BB2684" s="784"/>
      <c r="BC2684" s="785"/>
      <c r="BD2684" s="900"/>
      <c r="BE2684" s="797"/>
    </row>
    <row r="2685" spans="1:57" s="65" customFormat="1" ht="15" hidden="1" customHeight="1" outlineLevel="1" x14ac:dyDescent="0.25">
      <c r="A2685" s="785"/>
      <c r="B2685" s="177"/>
      <c r="C2685" s="455"/>
      <c r="D2685" s="2806"/>
      <c r="E2685" s="2856"/>
      <c r="F2685" s="2908" t="str">
        <f>$E$1638</f>
        <v>ASHP - SEER 20 - replace on fail MF_CompE</v>
      </c>
      <c r="G2685" s="2909"/>
      <c r="H2685" s="2909"/>
      <c r="I2685" s="2910"/>
      <c r="J2685" s="1657" t="str">
        <f>$C$1638</f>
        <v>355101_2019_12_</v>
      </c>
      <c r="K2685" s="1663">
        <v>20</v>
      </c>
      <c r="L2685" s="1125"/>
      <c r="M2685" s="1118"/>
      <c r="N2685" s="177"/>
      <c r="O2685" s="332"/>
      <c r="P2685" s="332"/>
      <c r="Q2685" s="332"/>
      <c r="R2685" s="332"/>
      <c r="S2685" s="177"/>
      <c r="T2685" s="177"/>
      <c r="U2685" s="177"/>
      <c r="V2685" s="2866"/>
      <c r="W2685" s="921"/>
      <c r="X2685" s="921"/>
      <c r="Y2685" s="933">
        <v>20</v>
      </c>
      <c r="Z2685" s="921"/>
      <c r="AA2685" s="921"/>
      <c r="AB2685" s="921"/>
      <c r="AC2685" s="921"/>
      <c r="AD2685" s="921"/>
      <c r="AE2685" s="921"/>
      <c r="AF2685" s="921"/>
      <c r="AG2685" s="921"/>
      <c r="BB2685" s="784"/>
      <c r="BC2685" s="785"/>
      <c r="BD2685" s="900"/>
      <c r="BE2685" s="797"/>
    </row>
    <row r="2686" spans="1:57" s="65" customFormat="1" ht="15.75" hidden="1" customHeight="1" outlineLevel="1" x14ac:dyDescent="0.25">
      <c r="A2686" s="718"/>
      <c r="B2686" s="177"/>
      <c r="C2686" s="455"/>
      <c r="D2686" s="2806"/>
      <c r="E2686" s="2856"/>
      <c r="F2686" s="2908" t="str">
        <f>$E$1640</f>
        <v>ASHP - SEER 21 - replace on fail MF</v>
      </c>
      <c r="G2686" s="2909"/>
      <c r="H2686" s="2909"/>
      <c r="I2686" s="2910"/>
      <c r="J2686" s="1657" t="str">
        <f>$C$1640</f>
        <v>355150_2019_12_</v>
      </c>
      <c r="K2686" s="1663">
        <v>21</v>
      </c>
      <c r="L2686" s="1124"/>
      <c r="M2686" s="1108" t="s">
        <v>1605</v>
      </c>
      <c r="N2686" s="177"/>
      <c r="O2686" s="332"/>
      <c r="P2686" s="1116"/>
      <c r="Q2686" s="1117"/>
      <c r="R2686" s="1116"/>
      <c r="S2686" s="1103"/>
      <c r="T2686" s="1639"/>
      <c r="U2686" s="177"/>
      <c r="V2686" s="2866"/>
      <c r="W2686" s="909">
        <v>21</v>
      </c>
      <c r="X2686" s="909">
        <v>21</v>
      </c>
      <c r="Y2686" s="921">
        <v>21</v>
      </c>
      <c r="Z2686" s="909"/>
      <c r="AA2686" s="909"/>
      <c r="AB2686" s="909"/>
      <c r="AC2686" s="909"/>
      <c r="AD2686" s="909"/>
      <c r="AE2686" s="909"/>
      <c r="AF2686" s="909"/>
      <c r="AG2686" s="909"/>
      <c r="BB2686" s="784"/>
      <c r="BC2686" s="785"/>
      <c r="BD2686" s="900"/>
      <c r="BE2686" s="797"/>
    </row>
    <row r="2687" spans="1:57" s="65" customFormat="1" ht="15.75" hidden="1" customHeight="1" outlineLevel="1" thickBot="1" x14ac:dyDescent="0.3">
      <c r="A2687" s="718"/>
      <c r="B2687" s="785"/>
      <c r="C2687" s="455"/>
      <c r="D2687" s="2808"/>
      <c r="E2687" s="2858"/>
      <c r="F2687" s="2100" t="str">
        <f>$E$1642</f>
        <v>ASHP - SEER 21 - replace on fail MF_CompE</v>
      </c>
      <c r="G2687" s="1119"/>
      <c r="H2687" s="1119"/>
      <c r="I2687" s="1120"/>
      <c r="J2687" s="2100" t="str">
        <f>$C$1642</f>
        <v>355151_2019_12_</v>
      </c>
      <c r="K2687" s="1128">
        <v>21</v>
      </c>
      <c r="L2687" s="1134"/>
      <c r="M2687" s="1121"/>
      <c r="N2687" s="177"/>
      <c r="O2687" s="332"/>
      <c r="P2687" s="1116"/>
      <c r="Q2687" s="1117"/>
      <c r="R2687" s="1116"/>
      <c r="S2687" s="1103"/>
      <c r="T2687" s="1639"/>
      <c r="U2687" s="177"/>
      <c r="V2687" s="2848"/>
      <c r="W2687" s="924"/>
      <c r="X2687" s="924"/>
      <c r="Y2687" s="1021">
        <v>21</v>
      </c>
      <c r="Z2687" s="924"/>
      <c r="AA2687" s="924"/>
      <c r="AB2687" s="924"/>
      <c r="AC2687" s="924"/>
      <c r="AD2687" s="924"/>
      <c r="AE2687" s="924"/>
      <c r="AF2687" s="924"/>
      <c r="AG2687" s="924"/>
      <c r="BB2687" s="784"/>
      <c r="BC2687" s="785"/>
      <c r="BD2687" s="900"/>
      <c r="BE2687" s="797"/>
    </row>
    <row r="2688" spans="1:57" s="65" customFormat="1" ht="15" hidden="1" customHeight="1" outlineLevel="1" x14ac:dyDescent="0.25">
      <c r="A2688" s="718"/>
      <c r="B2688" s="785"/>
      <c r="C2688" s="455"/>
      <c r="D2688" s="2805" t="s">
        <v>775</v>
      </c>
      <c r="E2688" s="2855" t="s">
        <v>1362</v>
      </c>
      <c r="F2688" s="2905" t="str">
        <f>$E$1388</f>
        <v>ASHP - SEER 15 ER Elec Resist Furnace: HVAC ER1</v>
      </c>
      <c r="G2688" s="2905"/>
      <c r="H2688" s="2905"/>
      <c r="I2688" s="2905"/>
      <c r="J2688" s="1656" t="str">
        <f>$C$1388</f>
        <v>352300_2019_12_</v>
      </c>
      <c r="K2688" s="1056">
        <v>1</v>
      </c>
      <c r="L2688" s="1008"/>
      <c r="M2688" s="1135"/>
      <c r="N2688" s="177"/>
      <c r="O2688" s="332"/>
      <c r="P2688" s="1116"/>
      <c r="Q2688" s="1116"/>
      <c r="R2688" s="1116"/>
      <c r="S2688" s="1103"/>
      <c r="T2688" s="1639"/>
      <c r="U2688" s="177"/>
      <c r="V2688" s="2867" t="s">
        <v>775</v>
      </c>
      <c r="W2688" s="1056">
        <v>1</v>
      </c>
      <c r="X2688" s="1056">
        <v>1</v>
      </c>
      <c r="Y2688" s="1056">
        <v>1</v>
      </c>
      <c r="Z2688" s="1056"/>
      <c r="AA2688" s="1056"/>
      <c r="AB2688" s="1056"/>
      <c r="AC2688" s="1056"/>
      <c r="AD2688" s="1056"/>
      <c r="AE2688" s="1056"/>
      <c r="AF2688" s="1056"/>
      <c r="AG2688" s="1056"/>
      <c r="BB2688" s="784"/>
      <c r="BC2688" s="785"/>
      <c r="BD2688" s="900"/>
      <c r="BE2688" s="797"/>
    </row>
    <row r="2689" spans="1:57" s="65" customFormat="1" ht="15" hidden="1" customHeight="1" outlineLevel="1" x14ac:dyDescent="0.25">
      <c r="A2689" s="718"/>
      <c r="B2689" s="785"/>
      <c r="C2689" s="455"/>
      <c r="D2689" s="2806"/>
      <c r="E2689" s="2856"/>
      <c r="F2689" s="2908" t="str">
        <f>$E$1390</f>
        <v>ASHP - SEER 15 ER Elec Resist Furnace: HVAC ER2</v>
      </c>
      <c r="G2689" s="2909"/>
      <c r="H2689" s="2909"/>
      <c r="I2689" s="2910"/>
      <c r="J2689" s="1657" t="str">
        <f>$C$1390</f>
        <v>352300_2019_12_</v>
      </c>
      <c r="K2689" s="1060">
        <v>1</v>
      </c>
      <c r="L2689" s="1123"/>
      <c r="M2689" s="1133"/>
      <c r="N2689" s="177"/>
      <c r="O2689" s="332"/>
      <c r="P2689" s="1116"/>
      <c r="Q2689" s="1116"/>
      <c r="R2689" s="1116"/>
      <c r="S2689" s="1103"/>
      <c r="T2689" s="1639"/>
      <c r="U2689" s="177"/>
      <c r="V2689" s="2866"/>
      <c r="W2689" s="1060">
        <v>1</v>
      </c>
      <c r="X2689" s="1060">
        <v>1</v>
      </c>
      <c r="Y2689" s="1060">
        <v>1</v>
      </c>
      <c r="Z2689" s="1060"/>
      <c r="AA2689" s="1060"/>
      <c r="AB2689" s="1060"/>
      <c r="AC2689" s="1060"/>
      <c r="AD2689" s="1060"/>
      <c r="AE2689" s="1060"/>
      <c r="AF2689" s="1060"/>
      <c r="AG2689" s="1060"/>
      <c r="BB2689" s="784"/>
      <c r="BC2689" s="785"/>
      <c r="BD2689" s="900"/>
      <c r="BE2689" s="797"/>
    </row>
    <row r="2690" spans="1:57" s="65" customFormat="1" ht="15" hidden="1" customHeight="1" outlineLevel="1" x14ac:dyDescent="0.25">
      <c r="A2690" s="718"/>
      <c r="B2690" s="785"/>
      <c r="C2690" s="455"/>
      <c r="D2690" s="2806"/>
      <c r="E2690" s="2856"/>
      <c r="F2690" s="2908" t="str">
        <f>$E$1392</f>
        <v>ASHP - SEER 15 ER with ASHP: HVAC ER1</v>
      </c>
      <c r="G2690" s="2909"/>
      <c r="H2690" s="2909"/>
      <c r="I2690" s="2910"/>
      <c r="J2690" s="1657" t="str">
        <f>$C$1392</f>
        <v>352350_2019_12_</v>
      </c>
      <c r="K2690" s="1060">
        <v>1</v>
      </c>
      <c r="L2690" s="1123"/>
      <c r="M2690" s="1133"/>
      <c r="N2690" s="177"/>
      <c r="O2690" s="332"/>
      <c r="P2690" s="1116"/>
      <c r="Q2690" s="1116"/>
      <c r="R2690" s="1116"/>
      <c r="S2690" s="1103"/>
      <c r="T2690" s="1639"/>
      <c r="U2690" s="177"/>
      <c r="V2690" s="2866"/>
      <c r="W2690" s="1060">
        <v>1</v>
      </c>
      <c r="X2690" s="1060">
        <v>1</v>
      </c>
      <c r="Y2690" s="1060">
        <v>1</v>
      </c>
      <c r="Z2690" s="1060"/>
      <c r="AA2690" s="1060"/>
      <c r="AB2690" s="1060"/>
      <c r="AC2690" s="1060"/>
      <c r="AD2690" s="1060"/>
      <c r="AE2690" s="1060"/>
      <c r="AF2690" s="1060"/>
      <c r="AG2690" s="1060"/>
      <c r="BB2690" s="784"/>
      <c r="BC2690" s="785"/>
      <c r="BD2690" s="900"/>
      <c r="BE2690" s="797"/>
    </row>
    <row r="2691" spans="1:57" s="65" customFormat="1" ht="15" hidden="1" customHeight="1" outlineLevel="1" x14ac:dyDescent="0.25">
      <c r="A2691" s="718"/>
      <c r="B2691" s="785"/>
      <c r="C2691" s="455"/>
      <c r="D2691" s="2806"/>
      <c r="E2691" s="2856"/>
      <c r="F2691" s="2908" t="str">
        <f>$E$1394</f>
        <v>ASHP - SEER 15 ER with ASHP: HVAC ER2</v>
      </c>
      <c r="G2691" s="2909"/>
      <c r="H2691" s="2909"/>
      <c r="I2691" s="2910"/>
      <c r="J2691" s="1657" t="str">
        <f>$C$1394</f>
        <v>352350_2019_12_</v>
      </c>
      <c r="K2691" s="1060">
        <v>1</v>
      </c>
      <c r="L2691" s="1123"/>
      <c r="M2691" s="1133"/>
      <c r="N2691" s="177"/>
      <c r="O2691" s="332"/>
      <c r="P2691" s="1116"/>
      <c r="Q2691" s="1116"/>
      <c r="R2691" s="1116"/>
      <c r="S2691" s="1103"/>
      <c r="T2691" s="1639"/>
      <c r="U2691" s="177"/>
      <c r="V2691" s="2866"/>
      <c r="W2691" s="1060">
        <v>1</v>
      </c>
      <c r="X2691" s="1060">
        <v>1</v>
      </c>
      <c r="Y2691" s="1060">
        <v>1</v>
      </c>
      <c r="Z2691" s="1060"/>
      <c r="AA2691" s="1060"/>
      <c r="AB2691" s="1060"/>
      <c r="AC2691" s="1060"/>
      <c r="AD2691" s="1060"/>
      <c r="AE2691" s="1060"/>
      <c r="AF2691" s="1060"/>
      <c r="AG2691" s="1060"/>
      <c r="BB2691" s="784"/>
      <c r="BC2691" s="785"/>
      <c r="BD2691" s="900"/>
      <c r="BE2691" s="797"/>
    </row>
    <row r="2692" spans="1:57" s="65" customFormat="1" ht="15" hidden="1" customHeight="1" outlineLevel="1" x14ac:dyDescent="0.25">
      <c r="A2692" s="718"/>
      <c r="B2692" s="785"/>
      <c r="C2692" s="455"/>
      <c r="D2692" s="2806"/>
      <c r="E2692" s="2856"/>
      <c r="F2692" s="2908" t="str">
        <f>$E$1396</f>
        <v>ASHP-  SEER 15 Replace at Fail Elec Resist Furnace: HVAC</v>
      </c>
      <c r="G2692" s="2909"/>
      <c r="H2692" s="2909"/>
      <c r="I2692" s="2910"/>
      <c r="J2692" s="1657" t="str">
        <f>$C$1396</f>
        <v>352400_2019_12_</v>
      </c>
      <c r="K2692" s="1060">
        <v>1</v>
      </c>
      <c r="L2692" s="1123"/>
      <c r="M2692" s="1133"/>
      <c r="N2692" s="177"/>
      <c r="O2692" s="332"/>
      <c r="P2692" s="1116"/>
      <c r="Q2692" s="1116"/>
      <c r="R2692" s="1116"/>
      <c r="S2692" s="1103"/>
      <c r="T2692" s="1639"/>
      <c r="U2692" s="177"/>
      <c r="V2692" s="2866"/>
      <c r="W2692" s="1060">
        <v>1</v>
      </c>
      <c r="X2692" s="1060">
        <v>1</v>
      </c>
      <c r="Y2692" s="1060">
        <v>1</v>
      </c>
      <c r="Z2692" s="1060"/>
      <c r="AA2692" s="1060"/>
      <c r="AB2692" s="1060"/>
      <c r="AC2692" s="1060"/>
      <c r="AD2692" s="1060"/>
      <c r="AE2692" s="1060"/>
      <c r="AF2692" s="1060"/>
      <c r="AG2692" s="1060"/>
      <c r="BB2692" s="784"/>
      <c r="BC2692" s="785"/>
      <c r="BD2692" s="900"/>
      <c r="BE2692" s="797"/>
    </row>
    <row r="2693" spans="1:57" s="65" customFormat="1" ht="15" hidden="1" customHeight="1" outlineLevel="1" x14ac:dyDescent="0.25">
      <c r="A2693" s="718"/>
      <c r="B2693" s="785"/>
      <c r="C2693" s="455"/>
      <c r="D2693" s="2806"/>
      <c r="E2693" s="2856"/>
      <c r="F2693" s="2908" t="str">
        <f>$E$1398</f>
        <v>ASHP - SEER 15 Replace at Fail with ASHP: HVAC</v>
      </c>
      <c r="G2693" s="2909"/>
      <c r="H2693" s="2909"/>
      <c r="I2693" s="2910"/>
      <c r="J2693" s="1657" t="str">
        <f>$C$1398</f>
        <v>352450_2019_12_</v>
      </c>
      <c r="K2693" s="1060">
        <v>1</v>
      </c>
      <c r="L2693" s="1123"/>
      <c r="M2693" s="1133"/>
      <c r="N2693" s="177"/>
      <c r="O2693" s="332"/>
      <c r="P2693" s="1116"/>
      <c r="Q2693" s="1116"/>
      <c r="R2693" s="1116"/>
      <c r="S2693" s="1103"/>
      <c r="T2693" s="1639"/>
      <c r="U2693" s="177"/>
      <c r="V2693" s="2866"/>
      <c r="W2693" s="1060">
        <v>1</v>
      </c>
      <c r="X2693" s="1060">
        <v>1</v>
      </c>
      <c r="Y2693" s="1060">
        <v>1</v>
      </c>
      <c r="Z2693" s="1060"/>
      <c r="AA2693" s="1060"/>
      <c r="AB2693" s="1060"/>
      <c r="AC2693" s="1060"/>
      <c r="AD2693" s="1060"/>
      <c r="AE2693" s="1060"/>
      <c r="AF2693" s="1060"/>
      <c r="AG2693" s="1060"/>
      <c r="BB2693" s="784"/>
      <c r="BC2693" s="785"/>
      <c r="BD2693" s="900"/>
      <c r="BE2693" s="797"/>
    </row>
    <row r="2694" spans="1:57" s="65" customFormat="1" ht="15" hidden="1" customHeight="1" outlineLevel="1" x14ac:dyDescent="0.25">
      <c r="A2694" s="718"/>
      <c r="B2694" s="785"/>
      <c r="C2694" s="455"/>
      <c r="D2694" s="2806"/>
      <c r="E2694" s="2856"/>
      <c r="F2694" s="2908" t="str">
        <f>$E$1400</f>
        <v>ASHP - SEER 16 - replace electric furnace / CAC - early replacement SF ER1</v>
      </c>
      <c r="G2694" s="2909"/>
      <c r="H2694" s="2909"/>
      <c r="I2694" s="2910"/>
      <c r="J2694" s="1657" t="str">
        <f>$C$1400</f>
        <v>352500_2019_12_</v>
      </c>
      <c r="K2694" s="1060">
        <v>1</v>
      </c>
      <c r="L2694" s="1123"/>
      <c r="M2694" s="1133"/>
      <c r="N2694" s="177"/>
      <c r="O2694" s="332"/>
      <c r="P2694" s="1116"/>
      <c r="Q2694" s="1116"/>
      <c r="R2694" s="1116"/>
      <c r="S2694" s="1103"/>
      <c r="T2694" s="1639"/>
      <c r="U2694" s="177"/>
      <c r="V2694" s="2866"/>
      <c r="W2694" s="1060">
        <v>1</v>
      </c>
      <c r="X2694" s="1060">
        <v>1</v>
      </c>
      <c r="Y2694" s="1060">
        <v>1</v>
      </c>
      <c r="Z2694" s="1060"/>
      <c r="AA2694" s="1060"/>
      <c r="AB2694" s="1060"/>
      <c r="AC2694" s="1060"/>
      <c r="AD2694" s="1060"/>
      <c r="AE2694" s="1060"/>
      <c r="AF2694" s="1060"/>
      <c r="AG2694" s="1060"/>
      <c r="BB2694" s="784"/>
      <c r="BC2694" s="785"/>
      <c r="BD2694" s="900"/>
      <c r="BE2694" s="797"/>
    </row>
    <row r="2695" spans="1:57" s="65" customFormat="1" ht="15" hidden="1" customHeight="1" outlineLevel="1" x14ac:dyDescent="0.25">
      <c r="A2695" s="718"/>
      <c r="B2695" s="785"/>
      <c r="C2695" s="455"/>
      <c r="D2695" s="2806"/>
      <c r="E2695" s="2856"/>
      <c r="F2695" s="2908" t="str">
        <f>$E$1402</f>
        <v>ASHP - SEER 16 - replace electric furnace / CAC - early replacement SF ER2</v>
      </c>
      <c r="G2695" s="2909"/>
      <c r="H2695" s="2909"/>
      <c r="I2695" s="2910"/>
      <c r="J2695" s="1657" t="str">
        <f>$C$1402</f>
        <v>352500_2019_12_</v>
      </c>
      <c r="K2695" s="1060">
        <v>1</v>
      </c>
      <c r="L2695" s="1123"/>
      <c r="M2695" s="1133"/>
      <c r="N2695" s="177"/>
      <c r="O2695" s="332"/>
      <c r="P2695" s="1116"/>
      <c r="Q2695" s="1116"/>
      <c r="R2695" s="1116"/>
      <c r="S2695" s="1103"/>
      <c r="T2695" s="1639"/>
      <c r="U2695" s="177"/>
      <c r="V2695" s="2866"/>
      <c r="W2695" s="1060">
        <v>1</v>
      </c>
      <c r="X2695" s="1060">
        <v>1</v>
      </c>
      <c r="Y2695" s="1060">
        <v>1</v>
      </c>
      <c r="Z2695" s="1060"/>
      <c r="AA2695" s="1060"/>
      <c r="AB2695" s="1060"/>
      <c r="AC2695" s="1060"/>
      <c r="AD2695" s="1060"/>
      <c r="AE2695" s="1060"/>
      <c r="AF2695" s="1060"/>
      <c r="AG2695" s="1060"/>
      <c r="BB2695" s="784"/>
      <c r="BC2695" s="785"/>
      <c r="BD2695" s="900"/>
      <c r="BE2695" s="797"/>
    </row>
    <row r="2696" spans="1:57" s="65" customFormat="1" ht="15" hidden="1" customHeight="1" outlineLevel="1" x14ac:dyDescent="0.25">
      <c r="A2696" s="718"/>
      <c r="B2696" s="785"/>
      <c r="C2696" s="455"/>
      <c r="D2696" s="2806"/>
      <c r="E2696" s="2856"/>
      <c r="F2696" s="2908" t="str">
        <f>$E$1404</f>
        <v>ASHP SEER 16 replace ASHP - early replacement SF ER1</v>
      </c>
      <c r="G2696" s="2909"/>
      <c r="H2696" s="2909"/>
      <c r="I2696" s="2910"/>
      <c r="J2696" s="1657" t="str">
        <f>$C$1404</f>
        <v>352550_2019_12_</v>
      </c>
      <c r="K2696" s="1060">
        <v>1</v>
      </c>
      <c r="L2696" s="1123"/>
      <c r="M2696" s="1133"/>
      <c r="N2696" s="177"/>
      <c r="O2696" s="332"/>
      <c r="P2696" s="1116"/>
      <c r="Q2696" s="1116"/>
      <c r="R2696" s="1116"/>
      <c r="S2696" s="1103"/>
      <c r="T2696" s="1639"/>
      <c r="U2696" s="177"/>
      <c r="V2696" s="2866"/>
      <c r="W2696" s="1060">
        <v>1</v>
      </c>
      <c r="X2696" s="1060">
        <v>1</v>
      </c>
      <c r="Y2696" s="1060">
        <v>1</v>
      </c>
      <c r="Z2696" s="1060"/>
      <c r="AA2696" s="1060"/>
      <c r="AB2696" s="1060"/>
      <c r="AC2696" s="1060"/>
      <c r="AD2696" s="1060"/>
      <c r="AE2696" s="1060"/>
      <c r="AF2696" s="1060"/>
      <c r="AG2696" s="1060"/>
      <c r="BB2696" s="784"/>
      <c r="BC2696" s="785"/>
      <c r="BD2696" s="900"/>
      <c r="BE2696" s="797"/>
    </row>
    <row r="2697" spans="1:57" s="65" customFormat="1" ht="15" hidden="1" customHeight="1" outlineLevel="1" x14ac:dyDescent="0.25">
      <c r="A2697" s="718"/>
      <c r="B2697" s="785"/>
      <c r="C2697" s="455"/>
      <c r="D2697" s="2806"/>
      <c r="E2697" s="2856"/>
      <c r="F2697" s="2908" t="str">
        <f>$E$1406</f>
        <v>ASHP SEER 16 replace ASHP - early replacement SF ER2</v>
      </c>
      <c r="G2697" s="2909"/>
      <c r="H2697" s="2909"/>
      <c r="I2697" s="2910"/>
      <c r="J2697" s="1657" t="str">
        <f>$C$1406</f>
        <v>352550_2019_12_</v>
      </c>
      <c r="K2697" s="1060">
        <v>1</v>
      </c>
      <c r="L2697" s="1124"/>
      <c r="M2697" s="1133"/>
      <c r="N2697" s="177"/>
      <c r="O2697" s="332"/>
      <c r="P2697" s="1116"/>
      <c r="Q2697" s="1116"/>
      <c r="R2697" s="1116"/>
      <c r="S2697" s="1103"/>
      <c r="T2697" s="1639"/>
      <c r="U2697" s="177"/>
      <c r="V2697" s="2866"/>
      <c r="W2697" s="1060">
        <v>1</v>
      </c>
      <c r="X2697" s="1060">
        <v>1</v>
      </c>
      <c r="Y2697" s="1060">
        <v>1</v>
      </c>
      <c r="Z2697" s="1060"/>
      <c r="AA2697" s="1060"/>
      <c r="AB2697" s="1060"/>
      <c r="AC2697" s="1060"/>
      <c r="AD2697" s="1060"/>
      <c r="AE2697" s="1060"/>
      <c r="AF2697" s="1060"/>
      <c r="AG2697" s="1060"/>
      <c r="BB2697" s="784"/>
      <c r="BC2697" s="785"/>
      <c r="BD2697" s="900"/>
      <c r="BE2697" s="797"/>
    </row>
    <row r="2698" spans="1:57" s="65" customFormat="1" ht="15" hidden="1" customHeight="1" outlineLevel="1" x14ac:dyDescent="0.25">
      <c r="A2698" s="718"/>
      <c r="B2698" s="785"/>
      <c r="C2698" s="455"/>
      <c r="D2698" s="2806"/>
      <c r="E2698" s="2856"/>
      <c r="F2698" s="2908" t="str">
        <f>$E$1408</f>
        <v>ASHP - SEER 16 - replace electric furnace / CAC SF</v>
      </c>
      <c r="G2698" s="2909"/>
      <c r="H2698" s="2909"/>
      <c r="I2698" s="2910"/>
      <c r="J2698" s="1657" t="str">
        <f>$C$1408</f>
        <v>352600_2019_12_</v>
      </c>
      <c r="K2698" s="1060">
        <v>1</v>
      </c>
      <c r="L2698" s="1124"/>
      <c r="M2698" s="1133"/>
      <c r="N2698" s="177"/>
      <c r="O2698" s="332"/>
      <c r="P2698" s="1116"/>
      <c r="Q2698" s="1116"/>
      <c r="R2698" s="1116"/>
      <c r="S2698" s="1103"/>
      <c r="T2698" s="1639"/>
      <c r="U2698" s="177"/>
      <c r="V2698" s="2866"/>
      <c r="W2698" s="1060">
        <v>1</v>
      </c>
      <c r="X2698" s="1060">
        <v>1</v>
      </c>
      <c r="Y2698" s="1060">
        <v>1</v>
      </c>
      <c r="Z2698" s="1060"/>
      <c r="AA2698" s="1060"/>
      <c r="AB2698" s="1060"/>
      <c r="AC2698" s="1060"/>
      <c r="AD2698" s="1060"/>
      <c r="AE2698" s="1060"/>
      <c r="AF2698" s="1060"/>
      <c r="AG2698" s="1060"/>
      <c r="BB2698" s="784"/>
      <c r="BC2698" s="785"/>
      <c r="BD2698" s="900"/>
      <c r="BE2698" s="797"/>
    </row>
    <row r="2699" spans="1:57" s="65" customFormat="1" ht="15" hidden="1" customHeight="1" outlineLevel="1" x14ac:dyDescent="0.25">
      <c r="A2699" s="718"/>
      <c r="B2699" s="785"/>
      <c r="C2699" s="455"/>
      <c r="D2699" s="2806"/>
      <c r="E2699" s="2856"/>
      <c r="F2699" s="2908" t="str">
        <f>$E$1410</f>
        <v>ASHP SEER 16 replace ASHP - replace on fail SF</v>
      </c>
      <c r="G2699" s="2909"/>
      <c r="H2699" s="2909"/>
      <c r="I2699" s="2910"/>
      <c r="J2699" s="1657" t="str">
        <f>$C$1410</f>
        <v>352650_2019_12_</v>
      </c>
      <c r="K2699" s="1060">
        <v>1</v>
      </c>
      <c r="L2699" s="1124"/>
      <c r="M2699" s="1133"/>
      <c r="N2699" s="177"/>
      <c r="O2699" s="332"/>
      <c r="P2699" s="1116"/>
      <c r="Q2699" s="1116"/>
      <c r="R2699" s="1116"/>
      <c r="S2699" s="1103"/>
      <c r="T2699" s="1639"/>
      <c r="U2699" s="177"/>
      <c r="V2699" s="2866"/>
      <c r="W2699" s="1060">
        <v>1</v>
      </c>
      <c r="X2699" s="1060">
        <v>1</v>
      </c>
      <c r="Y2699" s="1060">
        <v>1</v>
      </c>
      <c r="Z2699" s="1060"/>
      <c r="AA2699" s="1060"/>
      <c r="AB2699" s="1060"/>
      <c r="AC2699" s="1060"/>
      <c r="AD2699" s="1060"/>
      <c r="AE2699" s="1060"/>
      <c r="AF2699" s="1060"/>
      <c r="AG2699" s="1060"/>
      <c r="BB2699" s="784"/>
      <c r="BC2699" s="785"/>
      <c r="BD2699" s="900"/>
      <c r="BE2699" s="797"/>
    </row>
    <row r="2700" spans="1:57" s="65" customFormat="1" ht="15" hidden="1" customHeight="1" outlineLevel="1" x14ac:dyDescent="0.25">
      <c r="A2700" s="718"/>
      <c r="B2700" s="785"/>
      <c r="C2700" s="455"/>
      <c r="D2700" s="2806"/>
      <c r="E2700" s="2856"/>
      <c r="F2700" s="2908" t="str">
        <f>$E$1412</f>
        <v>ASHP SEER 15 MF ER replace ASHP: HVAC ER1</v>
      </c>
      <c r="G2700" s="2909"/>
      <c r="H2700" s="2909"/>
      <c r="I2700" s="2910"/>
      <c r="J2700" s="1657" t="str">
        <f>$C$1412</f>
        <v>352700_2019_12_</v>
      </c>
      <c r="K2700" s="1060">
        <v>0.65</v>
      </c>
      <c r="L2700" s="1124"/>
      <c r="M2700" s="928" t="s">
        <v>1289</v>
      </c>
      <c r="N2700" s="177"/>
      <c r="O2700" s="332"/>
      <c r="P2700" s="1116"/>
      <c r="Q2700" s="1116"/>
      <c r="R2700" s="1116"/>
      <c r="S2700" s="1103"/>
      <c r="T2700" s="1639"/>
      <c r="U2700" s="177"/>
      <c r="V2700" s="2866"/>
      <c r="W2700" s="1060">
        <v>0.65</v>
      </c>
      <c r="X2700" s="1060">
        <v>0.65</v>
      </c>
      <c r="Y2700" s="1060">
        <v>0.65</v>
      </c>
      <c r="Z2700" s="1060"/>
      <c r="AA2700" s="1060"/>
      <c r="AB2700" s="1060"/>
      <c r="AC2700" s="1060"/>
      <c r="AD2700" s="1060"/>
      <c r="AE2700" s="1060"/>
      <c r="AF2700" s="1060"/>
      <c r="AG2700" s="1060"/>
      <c r="BB2700" s="784"/>
      <c r="BC2700" s="785"/>
      <c r="BD2700" s="900"/>
      <c r="BE2700" s="797"/>
    </row>
    <row r="2701" spans="1:57" s="65" customFormat="1" ht="15" hidden="1" customHeight="1" outlineLevel="1" x14ac:dyDescent="0.25">
      <c r="A2701" s="718"/>
      <c r="B2701" s="785"/>
      <c r="C2701" s="455"/>
      <c r="D2701" s="2806"/>
      <c r="E2701" s="2856"/>
      <c r="F2701" s="2908" t="str">
        <f>$E$1414</f>
        <v>ASHP SEER 15 MF ER replace ASHP: HVAC ER2</v>
      </c>
      <c r="G2701" s="2909"/>
      <c r="H2701" s="2909"/>
      <c r="I2701" s="2910"/>
      <c r="J2701" s="1657" t="str">
        <f>$C$1414</f>
        <v>352700_2019_12_</v>
      </c>
      <c r="K2701" s="1060">
        <v>0.65</v>
      </c>
      <c r="L2701" s="1124"/>
      <c r="M2701" s="928" t="s">
        <v>1289</v>
      </c>
      <c r="N2701" s="177"/>
      <c r="O2701" s="332"/>
      <c r="P2701" s="1116"/>
      <c r="Q2701" s="1116"/>
      <c r="R2701" s="1116"/>
      <c r="S2701" s="1103"/>
      <c r="T2701" s="1639"/>
      <c r="U2701" s="177"/>
      <c r="V2701" s="2866"/>
      <c r="W2701" s="1060">
        <v>0.65</v>
      </c>
      <c r="X2701" s="1060">
        <v>0.65</v>
      </c>
      <c r="Y2701" s="1060">
        <v>0.65</v>
      </c>
      <c r="Z2701" s="1060"/>
      <c r="AA2701" s="1060"/>
      <c r="AB2701" s="1060"/>
      <c r="AC2701" s="1060"/>
      <c r="AD2701" s="1060"/>
      <c r="AE2701" s="1060"/>
      <c r="AF2701" s="1060"/>
      <c r="AG2701" s="1060"/>
      <c r="BB2701" s="784"/>
      <c r="BC2701" s="785"/>
      <c r="BD2701" s="900"/>
      <c r="BE2701" s="797"/>
    </row>
    <row r="2702" spans="1:57" s="65" customFormat="1" ht="15" hidden="1" customHeight="1" outlineLevel="1" x14ac:dyDescent="0.25">
      <c r="A2702" s="718"/>
      <c r="B2702" s="785"/>
      <c r="C2702" s="455"/>
      <c r="D2702" s="2806"/>
      <c r="E2702" s="2856"/>
      <c r="F2702" s="2908" t="str">
        <f>$E$1416</f>
        <v>ASHP SEER 15 MF ER replace ASHP: HVAC ER1_CompE</v>
      </c>
      <c r="G2702" s="2909"/>
      <c r="H2702" s="2909"/>
      <c r="I2702" s="2910"/>
      <c r="J2702" s="1657" t="str">
        <f>$C$1416</f>
        <v>352701_2019_12_</v>
      </c>
      <c r="K2702" s="1060">
        <f>K2700</f>
        <v>0.65</v>
      </c>
      <c r="L2702" s="1124"/>
      <c r="M2702" s="928"/>
      <c r="N2702" s="177"/>
      <c r="O2702" s="332"/>
      <c r="P2702" s="1116"/>
      <c r="Q2702" s="1116"/>
      <c r="R2702" s="1116"/>
      <c r="S2702" s="1103"/>
      <c r="T2702" s="1639"/>
      <c r="U2702" s="177"/>
      <c r="V2702" s="2866"/>
      <c r="W2702" s="1060"/>
      <c r="X2702" s="1060"/>
      <c r="Y2702" s="1058">
        <v>0.65</v>
      </c>
      <c r="Z2702" s="1060"/>
      <c r="AA2702" s="1060"/>
      <c r="AB2702" s="1060"/>
      <c r="AC2702" s="1060"/>
      <c r="AD2702" s="1060"/>
      <c r="AE2702" s="1060"/>
      <c r="AF2702" s="1060"/>
      <c r="AG2702" s="1060"/>
      <c r="BB2702" s="784"/>
      <c r="BC2702" s="785"/>
      <c r="BD2702" s="900"/>
      <c r="BE2702" s="797"/>
    </row>
    <row r="2703" spans="1:57" s="65" customFormat="1" ht="15" hidden="1" customHeight="1" outlineLevel="1" x14ac:dyDescent="0.25">
      <c r="A2703" s="718"/>
      <c r="B2703" s="785"/>
      <c r="C2703" s="455"/>
      <c r="D2703" s="2806"/>
      <c r="E2703" s="2856"/>
      <c r="F2703" s="2908" t="str">
        <f>$E$1418</f>
        <v>ASHP SEER 15 MF ER replace ASHP: HVAC ER2_CompE</v>
      </c>
      <c r="G2703" s="2909"/>
      <c r="H2703" s="2909"/>
      <c r="I2703" s="2910"/>
      <c r="J2703" s="1657" t="str">
        <f>$C$1418</f>
        <v>352701_2019_12_</v>
      </c>
      <c r="K2703" s="1060">
        <f>K2701</f>
        <v>0.65</v>
      </c>
      <c r="L2703" s="1124"/>
      <c r="M2703" s="928"/>
      <c r="N2703" s="177"/>
      <c r="O2703" s="332"/>
      <c r="P2703" s="1116"/>
      <c r="Q2703" s="1116"/>
      <c r="R2703" s="1116"/>
      <c r="S2703" s="1103"/>
      <c r="T2703" s="1639"/>
      <c r="U2703" s="177"/>
      <c r="V2703" s="2866"/>
      <c r="W2703" s="1060"/>
      <c r="X2703" s="1060"/>
      <c r="Y2703" s="1058">
        <v>0.65</v>
      </c>
      <c r="Z2703" s="1060"/>
      <c r="AA2703" s="1060"/>
      <c r="AB2703" s="1060"/>
      <c r="AC2703" s="1060"/>
      <c r="AD2703" s="1060"/>
      <c r="AE2703" s="1060"/>
      <c r="AF2703" s="1060"/>
      <c r="AG2703" s="1060"/>
      <c r="BB2703" s="784"/>
      <c r="BC2703" s="785"/>
      <c r="BD2703" s="900"/>
      <c r="BE2703" s="797"/>
    </row>
    <row r="2704" spans="1:57" s="65" customFormat="1" ht="15" hidden="1" customHeight="1" outlineLevel="1" x14ac:dyDescent="0.25">
      <c r="A2704" s="718"/>
      <c r="B2704" s="785"/>
      <c r="C2704" s="455"/>
      <c r="D2704" s="2806"/>
      <c r="E2704" s="2856"/>
      <c r="F2704" s="2908" t="str">
        <f>$E$1420</f>
        <v>ASHP SEER 15 MF ER replace Elec Resist Furnace: HVAC ER1</v>
      </c>
      <c r="G2704" s="2909"/>
      <c r="H2704" s="2909"/>
      <c r="I2704" s="2910"/>
      <c r="J2704" s="1657" t="str">
        <f>$C$1420</f>
        <v>352750_2019_12_</v>
      </c>
      <c r="K2704" s="1060">
        <v>0.65</v>
      </c>
      <c r="L2704" s="1124"/>
      <c r="M2704" s="928" t="s">
        <v>1289</v>
      </c>
      <c r="N2704" s="177"/>
      <c r="O2704" s="332"/>
      <c r="P2704" s="1116"/>
      <c r="Q2704" s="1116"/>
      <c r="R2704" s="1116"/>
      <c r="S2704" s="1103"/>
      <c r="T2704" s="1639"/>
      <c r="U2704" s="177"/>
      <c r="V2704" s="2866"/>
      <c r="W2704" s="1060">
        <v>0.65</v>
      </c>
      <c r="X2704" s="1060">
        <v>0.65</v>
      </c>
      <c r="Y2704" s="1060">
        <v>0.65</v>
      </c>
      <c r="Z2704" s="1060"/>
      <c r="AA2704" s="1060"/>
      <c r="AB2704" s="1060"/>
      <c r="AC2704" s="1060"/>
      <c r="AD2704" s="1060"/>
      <c r="AE2704" s="1060"/>
      <c r="AF2704" s="1060"/>
      <c r="AG2704" s="1060"/>
      <c r="BB2704" s="784"/>
      <c r="BC2704" s="785"/>
      <c r="BD2704" s="900"/>
      <c r="BE2704" s="797"/>
    </row>
    <row r="2705" spans="1:57" s="65" customFormat="1" ht="15" hidden="1" customHeight="1" outlineLevel="1" x14ac:dyDescent="0.25">
      <c r="A2705" s="718"/>
      <c r="B2705" s="785"/>
      <c r="C2705" s="455"/>
      <c r="D2705" s="2806"/>
      <c r="E2705" s="2856"/>
      <c r="F2705" s="2908" t="str">
        <f>$E$1422</f>
        <v>ASHP SEER 15 MF ER replace Elec Resist Furnace: HVAC ER2</v>
      </c>
      <c r="G2705" s="2909"/>
      <c r="H2705" s="2909"/>
      <c r="I2705" s="2910"/>
      <c r="J2705" s="1657" t="str">
        <f>$C$1422</f>
        <v>352750_2019_12_</v>
      </c>
      <c r="K2705" s="1060">
        <v>0.65</v>
      </c>
      <c r="L2705" s="1124"/>
      <c r="M2705" s="928" t="s">
        <v>1289</v>
      </c>
      <c r="N2705" s="177"/>
      <c r="O2705" s="332"/>
      <c r="P2705" s="1116"/>
      <c r="Q2705" s="1116"/>
      <c r="R2705" s="1116"/>
      <c r="S2705" s="1103"/>
      <c r="T2705" s="1639"/>
      <c r="U2705" s="177"/>
      <c r="V2705" s="2866"/>
      <c r="W2705" s="1060">
        <v>0.65</v>
      </c>
      <c r="X2705" s="1060">
        <v>0.65</v>
      </c>
      <c r="Y2705" s="1060">
        <v>0.65</v>
      </c>
      <c r="Z2705" s="1060"/>
      <c r="AA2705" s="1060"/>
      <c r="AB2705" s="1060"/>
      <c r="AC2705" s="1060"/>
      <c r="AD2705" s="1060"/>
      <c r="AE2705" s="1060"/>
      <c r="AF2705" s="1060"/>
      <c r="AG2705" s="1060"/>
      <c r="BB2705" s="784"/>
      <c r="BC2705" s="785"/>
      <c r="BD2705" s="900"/>
      <c r="BE2705" s="797"/>
    </row>
    <row r="2706" spans="1:57" s="65" customFormat="1" ht="15" hidden="1" customHeight="1" outlineLevel="1" x14ac:dyDescent="0.25">
      <c r="A2706" s="718"/>
      <c r="B2706" s="785"/>
      <c r="C2706" s="455"/>
      <c r="D2706" s="2806"/>
      <c r="E2706" s="2856"/>
      <c r="F2706" s="2908" t="str">
        <f>$E$1424</f>
        <v>ASHP SEER 15 MF ER replace Elec Resist Furnace: HVAC ER1_CompE</v>
      </c>
      <c r="G2706" s="2909"/>
      <c r="H2706" s="2909"/>
      <c r="I2706" s="2910"/>
      <c r="J2706" s="1657" t="str">
        <f>$C$1424</f>
        <v>352751_2019_12_</v>
      </c>
      <c r="K2706" s="1060">
        <f>K2704</f>
        <v>0.65</v>
      </c>
      <c r="L2706" s="1124"/>
      <c r="M2706" s="928"/>
      <c r="N2706" s="177"/>
      <c r="O2706" s="332"/>
      <c r="P2706" s="1116"/>
      <c r="Q2706" s="1116"/>
      <c r="R2706" s="1116"/>
      <c r="S2706" s="1103"/>
      <c r="T2706" s="1639"/>
      <c r="U2706" s="177"/>
      <c r="V2706" s="2866"/>
      <c r="W2706" s="1060"/>
      <c r="X2706" s="1060"/>
      <c r="Y2706" s="1058">
        <v>0.65</v>
      </c>
      <c r="Z2706" s="1060"/>
      <c r="AA2706" s="1060"/>
      <c r="AB2706" s="1060"/>
      <c r="AC2706" s="1060"/>
      <c r="AD2706" s="1060"/>
      <c r="AE2706" s="1060"/>
      <c r="AF2706" s="1060"/>
      <c r="AG2706" s="1060"/>
      <c r="BB2706" s="784"/>
      <c r="BC2706" s="785"/>
      <c r="BD2706" s="900"/>
      <c r="BE2706" s="797"/>
    </row>
    <row r="2707" spans="1:57" s="65" customFormat="1" ht="15" hidden="1" customHeight="1" outlineLevel="1" x14ac:dyDescent="0.25">
      <c r="A2707" s="718"/>
      <c r="B2707" s="785"/>
      <c r="C2707" s="455"/>
      <c r="D2707" s="2806"/>
      <c r="E2707" s="2856"/>
      <c r="F2707" s="2908" t="str">
        <f>$E$1426</f>
        <v>ASHP SEER 15 MF ER replace Elec Resist Furnace: HVAC ER2_CompE</v>
      </c>
      <c r="G2707" s="2909"/>
      <c r="H2707" s="2909"/>
      <c r="I2707" s="2910"/>
      <c r="J2707" s="1657" t="str">
        <f>$C$1426</f>
        <v>352751_2019_12_</v>
      </c>
      <c r="K2707" s="1060">
        <f>K2705</f>
        <v>0.65</v>
      </c>
      <c r="L2707" s="1124"/>
      <c r="M2707" s="928"/>
      <c r="N2707" s="177"/>
      <c r="O2707" s="332"/>
      <c r="P2707" s="1116"/>
      <c r="Q2707" s="1116"/>
      <c r="R2707" s="1116"/>
      <c r="S2707" s="1103"/>
      <c r="T2707" s="1639"/>
      <c r="U2707" s="177"/>
      <c r="V2707" s="2866"/>
      <c r="W2707" s="1060"/>
      <c r="X2707" s="1060"/>
      <c r="Y2707" s="1058">
        <v>0.65</v>
      </c>
      <c r="Z2707" s="1060"/>
      <c r="AA2707" s="1060"/>
      <c r="AB2707" s="1060"/>
      <c r="AC2707" s="1060"/>
      <c r="AD2707" s="1060"/>
      <c r="AE2707" s="1060"/>
      <c r="AF2707" s="1060"/>
      <c r="AG2707" s="1060"/>
      <c r="BB2707" s="784"/>
      <c r="BC2707" s="785"/>
      <c r="BD2707" s="900"/>
      <c r="BE2707" s="797"/>
    </row>
    <row r="2708" spans="1:57" s="65" customFormat="1" ht="15" hidden="1" customHeight="1" outlineLevel="1" x14ac:dyDescent="0.25">
      <c r="A2708" s="718"/>
      <c r="B2708" s="785"/>
      <c r="C2708" s="455"/>
      <c r="D2708" s="2806"/>
      <c r="E2708" s="2856"/>
      <c r="F2708" s="2908" t="str">
        <f>$E$1428</f>
        <v>ASHP SEER 15 MF replace at Fail Elec Resist Furnace: HVAC</v>
      </c>
      <c r="G2708" s="2909"/>
      <c r="H2708" s="2909"/>
      <c r="I2708" s="2910"/>
      <c r="J2708" s="1657" t="str">
        <f>$C$1428</f>
        <v>352800_2019_12_</v>
      </c>
      <c r="K2708" s="1060">
        <v>0.65</v>
      </c>
      <c r="L2708" s="1124"/>
      <c r="M2708" s="928" t="s">
        <v>1289</v>
      </c>
      <c r="N2708" s="177"/>
      <c r="O2708" s="332"/>
      <c r="P2708" s="1116"/>
      <c r="Q2708" s="1116"/>
      <c r="R2708" s="1116"/>
      <c r="S2708" s="1103"/>
      <c r="T2708" s="1639"/>
      <c r="U2708" s="177"/>
      <c r="V2708" s="2866"/>
      <c r="W2708" s="1060">
        <v>0.65</v>
      </c>
      <c r="X2708" s="1060">
        <v>0.65</v>
      </c>
      <c r="Y2708" s="1060">
        <v>0.65</v>
      </c>
      <c r="Z2708" s="1060"/>
      <c r="AA2708" s="1060"/>
      <c r="AB2708" s="1060"/>
      <c r="AC2708" s="1060"/>
      <c r="AD2708" s="1060"/>
      <c r="AE2708" s="1060"/>
      <c r="AF2708" s="1060"/>
      <c r="AG2708" s="1060"/>
      <c r="BB2708" s="784"/>
      <c r="BC2708" s="785"/>
      <c r="BD2708" s="900"/>
      <c r="BE2708" s="797"/>
    </row>
    <row r="2709" spans="1:57" s="65" customFormat="1" ht="15" hidden="1" customHeight="1" outlineLevel="1" x14ac:dyDescent="0.25">
      <c r="A2709" s="718"/>
      <c r="B2709" s="785"/>
      <c r="C2709" s="455"/>
      <c r="D2709" s="2806"/>
      <c r="E2709" s="2856"/>
      <c r="F2709" s="2908" t="str">
        <f>$E$1430</f>
        <v>ASHP SEER 15 MF replace at Fail Elec Resist Furnace: HVAC_CompE</v>
      </c>
      <c r="G2709" s="2909"/>
      <c r="H2709" s="2909"/>
      <c r="I2709" s="2910"/>
      <c r="J2709" s="1657" t="str">
        <f>$C$1430</f>
        <v>352801_2019_12_</v>
      </c>
      <c r="K2709" s="1060">
        <v>1</v>
      </c>
      <c r="L2709" s="1124"/>
      <c r="M2709" s="928"/>
      <c r="N2709" s="177"/>
      <c r="O2709" s="332"/>
      <c r="P2709" s="1116"/>
      <c r="Q2709" s="1116"/>
      <c r="R2709" s="1116"/>
      <c r="S2709" s="1103"/>
      <c r="T2709" s="1639"/>
      <c r="U2709" s="177"/>
      <c r="V2709" s="2866"/>
      <c r="W2709" s="1060"/>
      <c r="X2709" s="1060"/>
      <c r="Y2709" s="1058">
        <v>1</v>
      </c>
      <c r="Z2709" s="1060"/>
      <c r="AA2709" s="1060"/>
      <c r="AB2709" s="1060"/>
      <c r="AC2709" s="1060"/>
      <c r="AD2709" s="1060"/>
      <c r="AE2709" s="1060"/>
      <c r="AF2709" s="1060"/>
      <c r="AG2709" s="1060"/>
      <c r="BB2709" s="784"/>
      <c r="BC2709" s="785"/>
      <c r="BD2709" s="900"/>
      <c r="BE2709" s="797"/>
    </row>
    <row r="2710" spans="1:57" s="65" customFormat="1" ht="15" hidden="1" customHeight="1" outlineLevel="1" x14ac:dyDescent="0.25">
      <c r="A2710" s="718"/>
      <c r="B2710" s="785"/>
      <c r="C2710" s="455"/>
      <c r="D2710" s="2806"/>
      <c r="E2710" s="2856"/>
      <c r="F2710" s="2908" t="str">
        <f>$E$1432</f>
        <v>ASHP SEER 16 MF ER replace ASHP: HVAC ER1</v>
      </c>
      <c r="G2710" s="2909"/>
      <c r="H2710" s="2909"/>
      <c r="I2710" s="2910"/>
      <c r="J2710" s="1657" t="str">
        <f>$C$1432</f>
        <v>352850_2019_12_</v>
      </c>
      <c r="K2710" s="1060">
        <v>0.65</v>
      </c>
      <c r="L2710" s="1124"/>
      <c r="M2710" s="928" t="s">
        <v>1289</v>
      </c>
      <c r="N2710" s="177"/>
      <c r="O2710" s="332"/>
      <c r="P2710" s="1116"/>
      <c r="Q2710" s="1116"/>
      <c r="R2710" s="1116"/>
      <c r="S2710" s="1103"/>
      <c r="T2710" s="1639"/>
      <c r="U2710" s="177"/>
      <c r="V2710" s="2866"/>
      <c r="W2710" s="1060">
        <v>0.65</v>
      </c>
      <c r="X2710" s="1060">
        <v>0.65</v>
      </c>
      <c r="Y2710" s="1060">
        <v>0.65</v>
      </c>
      <c r="Z2710" s="1060"/>
      <c r="AA2710" s="1060"/>
      <c r="AB2710" s="1060"/>
      <c r="AC2710" s="1060"/>
      <c r="AD2710" s="1060"/>
      <c r="AE2710" s="1060"/>
      <c r="AF2710" s="1060"/>
      <c r="AG2710" s="1060"/>
      <c r="BB2710" s="784"/>
      <c r="BC2710" s="785"/>
      <c r="BD2710" s="900"/>
      <c r="BE2710" s="797"/>
    </row>
    <row r="2711" spans="1:57" s="65" customFormat="1" ht="15" hidden="1" customHeight="1" outlineLevel="1" x14ac:dyDescent="0.25">
      <c r="A2711" s="718"/>
      <c r="B2711" s="785"/>
      <c r="C2711" s="455"/>
      <c r="D2711" s="2806"/>
      <c r="E2711" s="2856"/>
      <c r="F2711" s="2908" t="str">
        <f>$E$1434</f>
        <v>ASHP SEER 16 MF ER replace ASHP: HVAC ER2</v>
      </c>
      <c r="G2711" s="2909"/>
      <c r="H2711" s="2909"/>
      <c r="I2711" s="2910"/>
      <c r="J2711" s="1657" t="str">
        <f>$C$1434</f>
        <v>352850_2019_12_</v>
      </c>
      <c r="K2711" s="1060">
        <v>0.65</v>
      </c>
      <c r="L2711" s="1124"/>
      <c r="M2711" s="928" t="s">
        <v>1289</v>
      </c>
      <c r="N2711" s="177"/>
      <c r="O2711" s="332"/>
      <c r="P2711" s="1116"/>
      <c r="Q2711" s="1116"/>
      <c r="R2711" s="1116"/>
      <c r="S2711" s="1103"/>
      <c r="T2711" s="1639"/>
      <c r="U2711" s="177"/>
      <c r="V2711" s="2866"/>
      <c r="W2711" s="1060">
        <v>0.65</v>
      </c>
      <c r="X2711" s="1060">
        <v>0.65</v>
      </c>
      <c r="Y2711" s="1060">
        <v>0.65</v>
      </c>
      <c r="Z2711" s="1060"/>
      <c r="AA2711" s="1060"/>
      <c r="AB2711" s="1060"/>
      <c r="AC2711" s="1060"/>
      <c r="AD2711" s="1060"/>
      <c r="AE2711" s="1060"/>
      <c r="AF2711" s="1060"/>
      <c r="AG2711" s="1060"/>
      <c r="BB2711" s="784"/>
      <c r="BC2711" s="785"/>
      <c r="BD2711" s="900"/>
      <c r="BE2711" s="797"/>
    </row>
    <row r="2712" spans="1:57" s="65" customFormat="1" ht="15" hidden="1" customHeight="1" outlineLevel="1" x14ac:dyDescent="0.25">
      <c r="A2712" s="718"/>
      <c r="B2712" s="785"/>
      <c r="C2712" s="455"/>
      <c r="D2712" s="2806"/>
      <c r="E2712" s="2856"/>
      <c r="F2712" s="2908" t="str">
        <f>$E$1436</f>
        <v>ASHP SEER 16 MF ER replace ASHP: HVAC ER1_CompE</v>
      </c>
      <c r="G2712" s="2909"/>
      <c r="H2712" s="2909"/>
      <c r="I2712" s="2910"/>
      <c r="J2712" s="1657" t="str">
        <f>$C$1436</f>
        <v>352851_2019_12_</v>
      </c>
      <c r="K2712" s="1060">
        <f>K2710</f>
        <v>0.65</v>
      </c>
      <c r="L2712" s="1124"/>
      <c r="M2712" s="928"/>
      <c r="N2712" s="177"/>
      <c r="O2712" s="332"/>
      <c r="P2712" s="1116"/>
      <c r="Q2712" s="1116"/>
      <c r="R2712" s="1116"/>
      <c r="S2712" s="1103"/>
      <c r="T2712" s="1639"/>
      <c r="U2712" s="177"/>
      <c r="V2712" s="2866"/>
      <c r="W2712" s="1060"/>
      <c r="X2712" s="1060"/>
      <c r="Y2712" s="1058">
        <v>0.65</v>
      </c>
      <c r="Z2712" s="1060"/>
      <c r="AA2712" s="1060"/>
      <c r="AB2712" s="1060"/>
      <c r="AC2712" s="1060"/>
      <c r="AD2712" s="1060"/>
      <c r="AE2712" s="1060"/>
      <c r="AF2712" s="1060"/>
      <c r="AG2712" s="1060"/>
      <c r="BB2712" s="784"/>
      <c r="BC2712" s="785"/>
      <c r="BD2712" s="900"/>
      <c r="BE2712" s="797"/>
    </row>
    <row r="2713" spans="1:57" s="65" customFormat="1" ht="15" hidden="1" customHeight="1" outlineLevel="1" x14ac:dyDescent="0.25">
      <c r="A2713" s="718"/>
      <c r="B2713" s="785"/>
      <c r="C2713" s="455"/>
      <c r="D2713" s="2806"/>
      <c r="E2713" s="2856"/>
      <c r="F2713" s="2908" t="str">
        <f>$E$1438</f>
        <v>ASHP SEER 16 MF ER replace ASHP: HVAC ER2_CompE</v>
      </c>
      <c r="G2713" s="2909"/>
      <c r="H2713" s="2909"/>
      <c r="I2713" s="2910"/>
      <c r="J2713" s="1657" t="str">
        <f>$C$1438</f>
        <v>352851_2019_12_</v>
      </c>
      <c r="K2713" s="1060">
        <f>K2711</f>
        <v>0.65</v>
      </c>
      <c r="L2713" s="1124"/>
      <c r="M2713" s="928"/>
      <c r="N2713" s="177"/>
      <c r="O2713" s="332"/>
      <c r="P2713" s="1116"/>
      <c r="Q2713" s="1116"/>
      <c r="R2713" s="1116"/>
      <c r="S2713" s="1103"/>
      <c r="T2713" s="1639"/>
      <c r="U2713" s="177"/>
      <c r="V2713" s="2866"/>
      <c r="W2713" s="1060"/>
      <c r="X2713" s="1060"/>
      <c r="Y2713" s="1058">
        <v>0.65</v>
      </c>
      <c r="Z2713" s="1060"/>
      <c r="AA2713" s="1060"/>
      <c r="AB2713" s="1060"/>
      <c r="AC2713" s="1060"/>
      <c r="AD2713" s="1060"/>
      <c r="AE2713" s="1060"/>
      <c r="AF2713" s="1060"/>
      <c r="AG2713" s="1060"/>
      <c r="BB2713" s="784"/>
      <c r="BC2713" s="785"/>
      <c r="BD2713" s="900"/>
      <c r="BE2713" s="797"/>
    </row>
    <row r="2714" spans="1:57" s="65" customFormat="1" ht="15" hidden="1" customHeight="1" outlineLevel="1" x14ac:dyDescent="0.25">
      <c r="A2714" s="718"/>
      <c r="B2714" s="785"/>
      <c r="C2714" s="455"/>
      <c r="D2714" s="2806"/>
      <c r="E2714" s="2856"/>
      <c r="F2714" s="2908" t="str">
        <f>$E$1440</f>
        <v>ASHP - SEER 16 - replace on fail MF</v>
      </c>
      <c r="G2714" s="2909"/>
      <c r="H2714" s="2909"/>
      <c r="I2714" s="2910"/>
      <c r="J2714" s="1657" t="str">
        <f>$C$1440</f>
        <v>352900_2019_12_</v>
      </c>
      <c r="K2714" s="1060">
        <v>0.65</v>
      </c>
      <c r="L2714" s="1124"/>
      <c r="M2714" s="928" t="s">
        <v>1289</v>
      </c>
      <c r="N2714" s="177"/>
      <c r="O2714" s="332"/>
      <c r="P2714" s="1116"/>
      <c r="Q2714" s="1116"/>
      <c r="R2714" s="1116"/>
      <c r="S2714" s="1103"/>
      <c r="T2714" s="1639"/>
      <c r="U2714" s="177"/>
      <c r="V2714" s="2866"/>
      <c r="W2714" s="1060">
        <v>0.65</v>
      </c>
      <c r="X2714" s="1060">
        <v>0.65</v>
      </c>
      <c r="Y2714" s="1060">
        <v>0.65</v>
      </c>
      <c r="Z2714" s="1060"/>
      <c r="AA2714" s="1060"/>
      <c r="AB2714" s="1060"/>
      <c r="AC2714" s="1060"/>
      <c r="AD2714" s="1060"/>
      <c r="AE2714" s="1060"/>
      <c r="AF2714" s="1060"/>
      <c r="AG2714" s="1060"/>
      <c r="BB2714" s="784"/>
      <c r="BC2714" s="785"/>
      <c r="BD2714" s="900"/>
      <c r="BE2714" s="797"/>
    </row>
    <row r="2715" spans="1:57" s="65" customFormat="1" ht="15" hidden="1" customHeight="1" outlineLevel="1" x14ac:dyDescent="0.25">
      <c r="A2715" s="718"/>
      <c r="B2715" s="785"/>
      <c r="C2715" s="455"/>
      <c r="D2715" s="2806"/>
      <c r="E2715" s="2856"/>
      <c r="F2715" s="2908" t="str">
        <f>$E$1442</f>
        <v>ASHP - SEER 16 - replace on fail MF_CompE</v>
      </c>
      <c r="G2715" s="2909"/>
      <c r="H2715" s="2909"/>
      <c r="I2715" s="2910"/>
      <c r="J2715" s="1657" t="str">
        <f>$C$1442</f>
        <v>352901_2019_12_</v>
      </c>
      <c r="K2715" s="1060">
        <f>K2714</f>
        <v>0.65</v>
      </c>
      <c r="L2715" s="1124"/>
      <c r="M2715" s="928"/>
      <c r="N2715" s="177"/>
      <c r="O2715" s="332"/>
      <c r="P2715" s="1116"/>
      <c r="Q2715" s="1116"/>
      <c r="R2715" s="1116"/>
      <c r="S2715" s="1103"/>
      <c r="T2715" s="1639"/>
      <c r="U2715" s="177"/>
      <c r="V2715" s="2866"/>
      <c r="W2715" s="1060"/>
      <c r="X2715" s="1060"/>
      <c r="Y2715" s="1058">
        <v>0.65</v>
      </c>
      <c r="Z2715" s="1060"/>
      <c r="AA2715" s="1060"/>
      <c r="AB2715" s="1060"/>
      <c r="AC2715" s="1060"/>
      <c r="AD2715" s="1060"/>
      <c r="AE2715" s="1060"/>
      <c r="AF2715" s="1060"/>
      <c r="AG2715" s="1060"/>
      <c r="BB2715" s="784"/>
      <c r="BC2715" s="785"/>
      <c r="BD2715" s="900"/>
      <c r="BE2715" s="797"/>
    </row>
    <row r="2716" spans="1:57" s="65" customFormat="1" ht="15" hidden="1" customHeight="1" outlineLevel="1" x14ac:dyDescent="0.25">
      <c r="A2716" s="718"/>
      <c r="B2716" s="785"/>
      <c r="C2716" s="455"/>
      <c r="D2716" s="2806"/>
      <c r="E2716" s="2856"/>
      <c r="F2716" s="2908" t="str">
        <f>$E$1444</f>
        <v>ASHP - SEER 16 - replace electric furnace / CAC MF</v>
      </c>
      <c r="G2716" s="2909"/>
      <c r="H2716" s="2909"/>
      <c r="I2716" s="2910"/>
      <c r="J2716" s="1657" t="str">
        <f>$C$1444</f>
        <v>352950_2019_12_</v>
      </c>
      <c r="K2716" s="1060">
        <v>0.65</v>
      </c>
      <c r="L2716" s="1124"/>
      <c r="M2716" s="928" t="s">
        <v>1289</v>
      </c>
      <c r="N2716" s="177"/>
      <c r="O2716" s="332"/>
      <c r="P2716" s="1116"/>
      <c r="Q2716" s="1116"/>
      <c r="R2716" s="1116"/>
      <c r="S2716" s="1103"/>
      <c r="T2716" s="1639"/>
      <c r="U2716" s="177"/>
      <c r="V2716" s="2866"/>
      <c r="W2716" s="1060">
        <v>0.65</v>
      </c>
      <c r="X2716" s="1060">
        <v>0.65</v>
      </c>
      <c r="Y2716" s="1060">
        <v>0.65</v>
      </c>
      <c r="Z2716" s="1060"/>
      <c r="AA2716" s="1060"/>
      <c r="AB2716" s="1060"/>
      <c r="AC2716" s="1060"/>
      <c r="AD2716" s="1060"/>
      <c r="AE2716" s="1060"/>
      <c r="AF2716" s="1060"/>
      <c r="AG2716" s="1060"/>
      <c r="BB2716" s="784"/>
      <c r="BC2716" s="785"/>
      <c r="BD2716" s="900"/>
      <c r="BE2716" s="797"/>
    </row>
    <row r="2717" spans="1:57" s="65" customFormat="1" ht="15" hidden="1" customHeight="1" outlineLevel="1" x14ac:dyDescent="0.25">
      <c r="A2717" s="718"/>
      <c r="B2717" s="785"/>
      <c r="C2717" s="455"/>
      <c r="D2717" s="2806"/>
      <c r="E2717" s="2856"/>
      <c r="F2717" s="2908" t="str">
        <f>$E$1446</f>
        <v>ASHP - SEER 16 - replace electric furnace / CAC MF_CompE</v>
      </c>
      <c r="G2717" s="2909"/>
      <c r="H2717" s="2909"/>
      <c r="I2717" s="2910"/>
      <c r="J2717" s="1657" t="str">
        <f>$C$1446</f>
        <v>352951_2019_12_</v>
      </c>
      <c r="K2717" s="1060">
        <f>K2716</f>
        <v>0.65</v>
      </c>
      <c r="L2717" s="1124"/>
      <c r="M2717" s="928"/>
      <c r="N2717" s="177"/>
      <c r="O2717" s="332"/>
      <c r="P2717" s="1116"/>
      <c r="Q2717" s="1116"/>
      <c r="R2717" s="1116"/>
      <c r="S2717" s="1103"/>
      <c r="T2717" s="1639"/>
      <c r="U2717" s="177"/>
      <c r="V2717" s="2866"/>
      <c r="W2717" s="1060"/>
      <c r="X2717" s="1060"/>
      <c r="Y2717" s="1058">
        <v>0.65</v>
      </c>
      <c r="Z2717" s="1060"/>
      <c r="AA2717" s="1060"/>
      <c r="AB2717" s="1060"/>
      <c r="AC2717" s="1060"/>
      <c r="AD2717" s="1060"/>
      <c r="AE2717" s="1060"/>
      <c r="AF2717" s="1060"/>
      <c r="AG2717" s="1060"/>
      <c r="BB2717" s="784"/>
      <c r="BC2717" s="785"/>
      <c r="BD2717" s="900"/>
      <c r="BE2717" s="797"/>
    </row>
    <row r="2718" spans="1:57" s="65" customFormat="1" ht="15" hidden="1" customHeight="1" outlineLevel="1" x14ac:dyDescent="0.25">
      <c r="A2718" s="718"/>
      <c r="B2718" s="785"/>
      <c r="C2718" s="455"/>
      <c r="D2718" s="2806"/>
      <c r="E2718" s="2856"/>
      <c r="F2718" s="2908" t="str">
        <f>$E$1448</f>
        <v>ASHP - SEER 16 - replace electric furnace / CAC - early replacement MF ER1</v>
      </c>
      <c r="G2718" s="2909"/>
      <c r="H2718" s="2909"/>
      <c r="I2718" s="2910"/>
      <c r="J2718" s="1657" t="str">
        <f>$C$1448</f>
        <v>353000_2019_12_</v>
      </c>
      <c r="K2718" s="1060">
        <v>0.65</v>
      </c>
      <c r="L2718" s="1124"/>
      <c r="M2718" s="928" t="s">
        <v>1289</v>
      </c>
      <c r="N2718" s="177"/>
      <c r="O2718" s="332"/>
      <c r="P2718" s="1116"/>
      <c r="Q2718" s="1116"/>
      <c r="R2718" s="1116"/>
      <c r="S2718" s="1103"/>
      <c r="T2718" s="1639"/>
      <c r="U2718" s="177"/>
      <c r="V2718" s="2866"/>
      <c r="W2718" s="1060">
        <v>0.65</v>
      </c>
      <c r="X2718" s="1060">
        <v>0.65</v>
      </c>
      <c r="Y2718" s="1060">
        <v>0.65</v>
      </c>
      <c r="Z2718" s="1060"/>
      <c r="AA2718" s="1060"/>
      <c r="AB2718" s="1060"/>
      <c r="AC2718" s="1060"/>
      <c r="AD2718" s="1060"/>
      <c r="AE2718" s="1060"/>
      <c r="AF2718" s="1060"/>
      <c r="AG2718" s="1060"/>
      <c r="BB2718" s="784"/>
      <c r="BC2718" s="785"/>
      <c r="BD2718" s="900"/>
      <c r="BE2718" s="797"/>
    </row>
    <row r="2719" spans="1:57" s="65" customFormat="1" ht="15" hidden="1" customHeight="1" outlineLevel="1" x14ac:dyDescent="0.25">
      <c r="A2719" s="718"/>
      <c r="B2719" s="785"/>
      <c r="C2719" s="455"/>
      <c r="D2719" s="2806"/>
      <c r="E2719" s="2856"/>
      <c r="F2719" s="2908" t="str">
        <f>$E$1450</f>
        <v>ASHP - SEER 16 - replace electric furnace / CAC - early replacement MF ER2</v>
      </c>
      <c r="G2719" s="2909"/>
      <c r="H2719" s="2909"/>
      <c r="I2719" s="2910"/>
      <c r="J2719" s="1657" t="str">
        <f>$C$1450</f>
        <v>353000_2019_12_</v>
      </c>
      <c r="K2719" s="1060">
        <v>0.65</v>
      </c>
      <c r="L2719" s="1124"/>
      <c r="M2719" s="928" t="s">
        <v>1289</v>
      </c>
      <c r="N2719" s="177"/>
      <c r="O2719" s="332"/>
      <c r="P2719" s="1116"/>
      <c r="Q2719" s="1116"/>
      <c r="R2719" s="1116"/>
      <c r="S2719" s="1103"/>
      <c r="T2719" s="1639"/>
      <c r="U2719" s="177"/>
      <c r="V2719" s="2866"/>
      <c r="W2719" s="1060">
        <v>0.65</v>
      </c>
      <c r="X2719" s="1060">
        <v>0.65</v>
      </c>
      <c r="Y2719" s="1060">
        <v>0.65</v>
      </c>
      <c r="Z2719" s="1060"/>
      <c r="AA2719" s="1060"/>
      <c r="AB2719" s="1060"/>
      <c r="AC2719" s="1060"/>
      <c r="AD2719" s="1060"/>
      <c r="AE2719" s="1060"/>
      <c r="AF2719" s="1060"/>
      <c r="AG2719" s="1060"/>
      <c r="BB2719" s="784"/>
      <c r="BC2719" s="785"/>
      <c r="BD2719" s="900"/>
      <c r="BE2719" s="797"/>
    </row>
    <row r="2720" spans="1:57" s="65" customFormat="1" ht="15" hidden="1" customHeight="1" outlineLevel="1" x14ac:dyDescent="0.25">
      <c r="A2720" s="718"/>
      <c r="B2720" s="785"/>
      <c r="C2720" s="455"/>
      <c r="D2720" s="2806"/>
      <c r="E2720" s="2856"/>
      <c r="F2720" s="2908" t="str">
        <f>$E$1452</f>
        <v>ASHP - SEER 16 - replace electric furnace / CAC - early replacement MF ER1_CompE</v>
      </c>
      <c r="G2720" s="2909"/>
      <c r="H2720" s="2909"/>
      <c r="I2720" s="2910"/>
      <c r="J2720" s="1657" t="str">
        <f>$C$1452</f>
        <v>353001_2019_12_</v>
      </c>
      <c r="K2720" s="1060">
        <f>K2718</f>
        <v>0.65</v>
      </c>
      <c r="L2720" s="1124"/>
      <c r="M2720" s="928"/>
      <c r="N2720" s="177"/>
      <c r="O2720" s="332"/>
      <c r="P2720" s="1116"/>
      <c r="Q2720" s="1116"/>
      <c r="R2720" s="1116"/>
      <c r="S2720" s="1103"/>
      <c r="T2720" s="1639"/>
      <c r="U2720" s="177"/>
      <c r="V2720" s="2866"/>
      <c r="W2720" s="1060"/>
      <c r="X2720" s="1060"/>
      <c r="Y2720" s="1058">
        <v>0.65</v>
      </c>
      <c r="Z2720" s="1060"/>
      <c r="AA2720" s="1060"/>
      <c r="AB2720" s="1060"/>
      <c r="AC2720" s="1060"/>
      <c r="AD2720" s="1060"/>
      <c r="AE2720" s="1060"/>
      <c r="AF2720" s="1060"/>
      <c r="AG2720" s="1060"/>
      <c r="BB2720" s="784"/>
      <c r="BC2720" s="785"/>
      <c r="BD2720" s="900"/>
      <c r="BE2720" s="797"/>
    </row>
    <row r="2721" spans="1:57" s="65" customFormat="1" ht="15" hidden="1" customHeight="1" outlineLevel="1" x14ac:dyDescent="0.25">
      <c r="A2721" s="718"/>
      <c r="B2721" s="785"/>
      <c r="C2721" s="455"/>
      <c r="D2721" s="2806"/>
      <c r="E2721" s="2856"/>
      <c r="F2721" s="2908" t="str">
        <f>$E$1454</f>
        <v>ASHP - SEER 16 - replace electric furnace / CAC - early replacement MF ER2_CompE</v>
      </c>
      <c r="G2721" s="2909"/>
      <c r="H2721" s="2909"/>
      <c r="I2721" s="2910"/>
      <c r="J2721" s="1657" t="str">
        <f>$C$1454</f>
        <v>353001_2019_12_</v>
      </c>
      <c r="K2721" s="1060">
        <f>K2719</f>
        <v>0.65</v>
      </c>
      <c r="L2721" s="1124"/>
      <c r="M2721" s="928"/>
      <c r="N2721" s="177"/>
      <c r="O2721" s="332"/>
      <c r="P2721" s="1116"/>
      <c r="Q2721" s="1116"/>
      <c r="R2721" s="1116"/>
      <c r="S2721" s="1103"/>
      <c r="T2721" s="1639"/>
      <c r="U2721" s="177"/>
      <c r="V2721" s="2866"/>
      <c r="W2721" s="1060"/>
      <c r="X2721" s="1060"/>
      <c r="Y2721" s="1058">
        <v>0.65</v>
      </c>
      <c r="Z2721" s="1060"/>
      <c r="AA2721" s="1060"/>
      <c r="AB2721" s="1060"/>
      <c r="AC2721" s="1060"/>
      <c r="AD2721" s="1060"/>
      <c r="AE2721" s="1060"/>
      <c r="AF2721" s="1060"/>
      <c r="AG2721" s="1060"/>
      <c r="BB2721" s="784"/>
      <c r="BC2721" s="785"/>
      <c r="BD2721" s="900"/>
      <c r="BE2721" s="797"/>
    </row>
    <row r="2722" spans="1:57" s="65" customFormat="1" ht="15" hidden="1" customHeight="1" outlineLevel="1" x14ac:dyDescent="0.25">
      <c r="A2722" s="718"/>
      <c r="B2722" s="785"/>
      <c r="C2722" s="455"/>
      <c r="D2722" s="2806"/>
      <c r="E2722" s="2856"/>
      <c r="F2722" s="2911" t="str">
        <f>$E$1456</f>
        <v xml:space="preserve">ASHP SEER 15 - replace on Fail MF </v>
      </c>
      <c r="G2722" s="2912"/>
      <c r="H2722" s="2912"/>
      <c r="I2722" s="2913"/>
      <c r="J2722" s="1658" t="str">
        <f>$C$1456</f>
        <v>353050_2019_12_</v>
      </c>
      <c r="K2722" s="1060">
        <v>0.65</v>
      </c>
      <c r="L2722" s="1124"/>
      <c r="M2722" s="928" t="s">
        <v>1289</v>
      </c>
      <c r="N2722" s="177"/>
      <c r="O2722" s="332"/>
      <c r="P2722" s="1116"/>
      <c r="Q2722" s="1116"/>
      <c r="R2722" s="1116"/>
      <c r="S2722" s="1103"/>
      <c r="T2722" s="1639"/>
      <c r="U2722" s="177"/>
      <c r="V2722" s="2866"/>
      <c r="W2722" s="1060">
        <v>0.65</v>
      </c>
      <c r="X2722" s="1060">
        <v>0.65</v>
      </c>
      <c r="Y2722" s="1060">
        <v>0.65</v>
      </c>
      <c r="Z2722" s="1060"/>
      <c r="AA2722" s="1060"/>
      <c r="AB2722" s="1060"/>
      <c r="AC2722" s="1060"/>
      <c r="AD2722" s="1060"/>
      <c r="AE2722" s="1060"/>
      <c r="AF2722" s="1060"/>
      <c r="AG2722" s="1060"/>
      <c r="BB2722" s="784"/>
      <c r="BC2722" s="785"/>
      <c r="BD2722" s="900"/>
      <c r="BE2722" s="797"/>
    </row>
    <row r="2723" spans="1:57" s="65" customFormat="1" ht="15" hidden="1" customHeight="1" outlineLevel="1" x14ac:dyDescent="0.25">
      <c r="A2723" s="718"/>
      <c r="B2723" s="785"/>
      <c r="C2723" s="455"/>
      <c r="D2723" s="2806"/>
      <c r="E2723" s="2856"/>
      <c r="F2723" s="2911" t="str">
        <f>$E$1458</f>
        <v>ASHP SEER 15 - replace on Fail MF _CompE</v>
      </c>
      <c r="G2723" s="2912"/>
      <c r="H2723" s="2912"/>
      <c r="I2723" s="2913"/>
      <c r="J2723" s="1658" t="str">
        <f>$C$1458</f>
        <v>353051_2019_12_</v>
      </c>
      <c r="K2723" s="1060">
        <f>K2722</f>
        <v>0.65</v>
      </c>
      <c r="L2723" s="1124"/>
      <c r="M2723" s="928"/>
      <c r="N2723" s="177"/>
      <c r="O2723" s="332"/>
      <c r="P2723" s="1116"/>
      <c r="Q2723" s="1116"/>
      <c r="R2723" s="1116"/>
      <c r="S2723" s="1103"/>
      <c r="T2723" s="1639"/>
      <c r="U2723" s="177"/>
      <c r="V2723" s="2866"/>
      <c r="W2723" s="1060"/>
      <c r="X2723" s="1060"/>
      <c r="Y2723" s="1058">
        <v>0.65</v>
      </c>
      <c r="Z2723" s="1060"/>
      <c r="AA2723" s="1060"/>
      <c r="AB2723" s="1060"/>
      <c r="AC2723" s="1060"/>
      <c r="AD2723" s="1060"/>
      <c r="AE2723" s="1060"/>
      <c r="AF2723" s="1060"/>
      <c r="AG2723" s="1060"/>
      <c r="BB2723" s="784"/>
      <c r="BC2723" s="785"/>
      <c r="BD2723" s="900"/>
      <c r="BE2723" s="797"/>
    </row>
    <row r="2724" spans="1:57" s="65" customFormat="1" ht="15" hidden="1" customHeight="1" outlineLevel="1" x14ac:dyDescent="0.25">
      <c r="A2724" s="718"/>
      <c r="B2724" s="785"/>
      <c r="C2724" s="455"/>
      <c r="D2724" s="2806"/>
      <c r="E2724" s="2856"/>
      <c r="F2724" s="2908" t="str">
        <f>$E$1460</f>
        <v>ASHP - SEER 17 - replace electric furnace / CAC SF</v>
      </c>
      <c r="G2724" s="2909"/>
      <c r="H2724" s="2909"/>
      <c r="I2724" s="2910"/>
      <c r="J2724" s="1657" t="str">
        <f>$C$1460</f>
        <v>353100_2019_12_</v>
      </c>
      <c r="K2724" s="1060">
        <v>1</v>
      </c>
      <c r="L2724" s="1124"/>
      <c r="M2724" s="928"/>
      <c r="N2724" s="177"/>
      <c r="O2724" s="332"/>
      <c r="P2724" s="1116"/>
      <c r="Q2724" s="1116"/>
      <c r="R2724" s="1116"/>
      <c r="S2724" s="1103"/>
      <c r="T2724" s="1639"/>
      <c r="U2724" s="177"/>
      <c r="V2724" s="2866"/>
      <c r="W2724" s="1060">
        <v>1</v>
      </c>
      <c r="X2724" s="1060">
        <v>1</v>
      </c>
      <c r="Y2724" s="1060">
        <v>1</v>
      </c>
      <c r="Z2724" s="1060"/>
      <c r="AA2724" s="1060"/>
      <c r="AB2724" s="1060"/>
      <c r="AC2724" s="1060"/>
      <c r="AD2724" s="1060"/>
      <c r="AE2724" s="1060"/>
      <c r="AF2724" s="1060"/>
      <c r="AG2724" s="1060"/>
      <c r="BB2724" s="784"/>
      <c r="BC2724" s="785"/>
      <c r="BD2724" s="900"/>
      <c r="BE2724" s="797"/>
    </row>
    <row r="2725" spans="1:57" s="65" customFormat="1" ht="15" hidden="1" customHeight="1" outlineLevel="1" x14ac:dyDescent="0.25">
      <c r="A2725" s="718"/>
      <c r="B2725" s="785"/>
      <c r="C2725" s="455"/>
      <c r="D2725" s="2806"/>
      <c r="E2725" s="2856"/>
      <c r="F2725" s="2908" t="str">
        <f>$E$1462</f>
        <v>ASHP - SEER 17 - replace electric furnace / CAC MF</v>
      </c>
      <c r="G2725" s="2909"/>
      <c r="H2725" s="2909"/>
      <c r="I2725" s="2910"/>
      <c r="J2725" s="1657" t="str">
        <f>$C$1462</f>
        <v>353150_2019_12_</v>
      </c>
      <c r="K2725" s="1060">
        <v>0.65</v>
      </c>
      <c r="L2725" s="1124"/>
      <c r="M2725" s="928" t="s">
        <v>1289</v>
      </c>
      <c r="N2725" s="177"/>
      <c r="O2725" s="332"/>
      <c r="P2725" s="1116"/>
      <c r="Q2725" s="1116"/>
      <c r="R2725" s="1116"/>
      <c r="S2725" s="1103"/>
      <c r="T2725" s="1639"/>
      <c r="U2725" s="177"/>
      <c r="V2725" s="2866"/>
      <c r="W2725" s="1060">
        <v>0.65</v>
      </c>
      <c r="X2725" s="1060">
        <v>0.65</v>
      </c>
      <c r="Y2725" s="1060">
        <v>0.65</v>
      </c>
      <c r="Z2725" s="1060"/>
      <c r="AA2725" s="1060"/>
      <c r="AB2725" s="1060"/>
      <c r="AC2725" s="1060"/>
      <c r="AD2725" s="1060"/>
      <c r="AE2725" s="1060"/>
      <c r="AF2725" s="1060"/>
      <c r="AG2725" s="1060"/>
      <c r="BB2725" s="784"/>
      <c r="BC2725" s="785"/>
      <c r="BD2725" s="900"/>
      <c r="BE2725" s="797"/>
    </row>
    <row r="2726" spans="1:57" s="65" customFormat="1" ht="15" hidden="1" customHeight="1" outlineLevel="1" x14ac:dyDescent="0.25">
      <c r="A2726" s="718"/>
      <c r="B2726" s="785"/>
      <c r="C2726" s="455"/>
      <c r="D2726" s="2806"/>
      <c r="E2726" s="2856"/>
      <c r="F2726" s="2908" t="str">
        <f>$E$1464</f>
        <v>ASHP - SEER 17 - replace electric furnace / CAC MF_CompE</v>
      </c>
      <c r="G2726" s="2909"/>
      <c r="H2726" s="2909"/>
      <c r="I2726" s="2910"/>
      <c r="J2726" s="1657" t="str">
        <f>$C$1464</f>
        <v>353151_2019_12_</v>
      </c>
      <c r="K2726" s="1060">
        <f>K2725</f>
        <v>0.65</v>
      </c>
      <c r="L2726" s="1124"/>
      <c r="M2726" s="928"/>
      <c r="N2726" s="177"/>
      <c r="O2726" s="332"/>
      <c r="P2726" s="1116"/>
      <c r="Q2726" s="1116"/>
      <c r="R2726" s="1116"/>
      <c r="S2726" s="1103"/>
      <c r="T2726" s="1639"/>
      <c r="U2726" s="177"/>
      <c r="V2726" s="2866"/>
      <c r="W2726" s="1060"/>
      <c r="X2726" s="1060"/>
      <c r="Y2726" s="1058">
        <v>0.65</v>
      </c>
      <c r="Z2726" s="1060"/>
      <c r="AA2726" s="1060"/>
      <c r="AB2726" s="1060"/>
      <c r="AC2726" s="1060"/>
      <c r="AD2726" s="1060"/>
      <c r="AE2726" s="1060"/>
      <c r="AF2726" s="1060"/>
      <c r="AG2726" s="1060"/>
      <c r="BB2726" s="784"/>
      <c r="BC2726" s="785"/>
      <c r="BD2726" s="900"/>
      <c r="BE2726" s="797"/>
    </row>
    <row r="2727" spans="1:57" s="65" customFormat="1" ht="15" hidden="1" customHeight="1" outlineLevel="1" x14ac:dyDescent="0.25">
      <c r="A2727" s="718"/>
      <c r="B2727" s="785"/>
      <c r="C2727" s="455"/>
      <c r="D2727" s="2806"/>
      <c r="E2727" s="2856"/>
      <c r="F2727" s="2908" t="str">
        <f>$E$1466</f>
        <v>ASHP - SEER 18 - replace electric furnace / CAC SF</v>
      </c>
      <c r="G2727" s="2909"/>
      <c r="H2727" s="2909"/>
      <c r="I2727" s="2910"/>
      <c r="J2727" s="1657" t="str">
        <f>$C$1466</f>
        <v>353200_2019_12_</v>
      </c>
      <c r="K2727" s="1060">
        <v>1</v>
      </c>
      <c r="L2727" s="1124"/>
      <c r="M2727" s="928"/>
      <c r="N2727" s="177"/>
      <c r="O2727" s="332"/>
      <c r="P2727" s="1116"/>
      <c r="Q2727" s="1116"/>
      <c r="R2727" s="1116"/>
      <c r="S2727" s="1103"/>
      <c r="T2727" s="1639"/>
      <c r="U2727" s="177"/>
      <c r="V2727" s="2866"/>
      <c r="W2727" s="1060">
        <v>1</v>
      </c>
      <c r="X2727" s="1060">
        <v>1</v>
      </c>
      <c r="Y2727" s="1060">
        <v>1</v>
      </c>
      <c r="Z2727" s="1060"/>
      <c r="AA2727" s="1060"/>
      <c r="AB2727" s="1060"/>
      <c r="AC2727" s="1060"/>
      <c r="AD2727" s="1060"/>
      <c r="AE2727" s="1060"/>
      <c r="AF2727" s="1060"/>
      <c r="AG2727" s="1060"/>
      <c r="BB2727" s="784"/>
      <c r="BC2727" s="785"/>
      <c r="BD2727" s="900"/>
      <c r="BE2727" s="797"/>
    </row>
    <row r="2728" spans="1:57" s="65" customFormat="1" ht="15" hidden="1" customHeight="1" outlineLevel="1" x14ac:dyDescent="0.25">
      <c r="A2728" s="718"/>
      <c r="B2728" s="785"/>
      <c r="C2728" s="455"/>
      <c r="D2728" s="2806"/>
      <c r="E2728" s="2856"/>
      <c r="F2728" s="2908" t="str">
        <f>$E$1468</f>
        <v>ASHP - SEER 18 - replace electric furnace / CAC MF</v>
      </c>
      <c r="G2728" s="2909"/>
      <c r="H2728" s="2909"/>
      <c r="I2728" s="2910"/>
      <c r="J2728" s="1657" t="str">
        <f>$C$1468</f>
        <v>353250_2019_12_</v>
      </c>
      <c r="K2728" s="1060">
        <v>0.65</v>
      </c>
      <c r="L2728" s="1124"/>
      <c r="M2728" s="928" t="s">
        <v>1289</v>
      </c>
      <c r="N2728" s="177"/>
      <c r="O2728" s="332"/>
      <c r="P2728" s="1116"/>
      <c r="Q2728" s="1116"/>
      <c r="R2728" s="1116"/>
      <c r="S2728" s="1103"/>
      <c r="T2728" s="1639"/>
      <c r="U2728" s="177"/>
      <c r="V2728" s="2866"/>
      <c r="W2728" s="1060">
        <v>0.65</v>
      </c>
      <c r="X2728" s="1060">
        <v>0.65</v>
      </c>
      <c r="Y2728" s="1060">
        <v>0.65</v>
      </c>
      <c r="Z2728" s="1060"/>
      <c r="AA2728" s="1060"/>
      <c r="AB2728" s="1060"/>
      <c r="AC2728" s="1060"/>
      <c r="AD2728" s="1060"/>
      <c r="AE2728" s="1060"/>
      <c r="AF2728" s="1060"/>
      <c r="AG2728" s="1060"/>
      <c r="BB2728" s="784"/>
      <c r="BC2728" s="785"/>
      <c r="BD2728" s="900"/>
      <c r="BE2728" s="797"/>
    </row>
    <row r="2729" spans="1:57" s="65" customFormat="1" ht="15" hidden="1" customHeight="1" outlineLevel="1" x14ac:dyDescent="0.25">
      <c r="A2729" s="718"/>
      <c r="B2729" s="785"/>
      <c r="C2729" s="455"/>
      <c r="D2729" s="2806"/>
      <c r="E2729" s="2856"/>
      <c r="F2729" s="2908" t="str">
        <f>$E$1470</f>
        <v>ASHP - SEER 18 - replace electric furnace / CAC MF_CompE</v>
      </c>
      <c r="G2729" s="2909"/>
      <c r="H2729" s="2909"/>
      <c r="I2729" s="2910"/>
      <c r="J2729" s="1657" t="str">
        <f>$C$1470</f>
        <v>353251_2019_12_</v>
      </c>
      <c r="K2729" s="1060">
        <f>K2728</f>
        <v>0.65</v>
      </c>
      <c r="L2729" s="1124"/>
      <c r="M2729" s="928"/>
      <c r="N2729" s="177"/>
      <c r="O2729" s="332"/>
      <c r="P2729" s="1116"/>
      <c r="Q2729" s="1116"/>
      <c r="R2729" s="1116"/>
      <c r="S2729" s="1103"/>
      <c r="T2729" s="1639"/>
      <c r="U2729" s="177"/>
      <c r="V2729" s="2866"/>
      <c r="W2729" s="1060"/>
      <c r="X2729" s="1060"/>
      <c r="Y2729" s="1058">
        <v>0.65</v>
      </c>
      <c r="Z2729" s="1060"/>
      <c r="AA2729" s="1060"/>
      <c r="AB2729" s="1060"/>
      <c r="AC2729" s="1060"/>
      <c r="AD2729" s="1060"/>
      <c r="AE2729" s="1060"/>
      <c r="AF2729" s="1060"/>
      <c r="AG2729" s="1060"/>
      <c r="BB2729" s="784"/>
      <c r="BC2729" s="785"/>
      <c r="BD2729" s="900"/>
      <c r="BE2729" s="797"/>
    </row>
    <row r="2730" spans="1:57" s="65" customFormat="1" ht="15" hidden="1" customHeight="1" outlineLevel="1" x14ac:dyDescent="0.25">
      <c r="A2730" s="718"/>
      <c r="B2730" s="785"/>
      <c r="C2730" s="455"/>
      <c r="D2730" s="2806"/>
      <c r="E2730" s="2856"/>
      <c r="F2730" s="2908" t="str">
        <f>$E$1472</f>
        <v>ASHP - SEER 19 - replace electric furnace / CAC SF</v>
      </c>
      <c r="G2730" s="2909"/>
      <c r="H2730" s="2909"/>
      <c r="I2730" s="2910"/>
      <c r="J2730" s="1657" t="str">
        <f>$C$1472</f>
        <v>353300_2019_12_</v>
      </c>
      <c r="K2730" s="1060">
        <v>1</v>
      </c>
      <c r="L2730" s="1124"/>
      <c r="M2730" s="928"/>
      <c r="N2730" s="177"/>
      <c r="O2730" s="332"/>
      <c r="P2730" s="1116"/>
      <c r="Q2730" s="1116"/>
      <c r="R2730" s="1116"/>
      <c r="S2730" s="1103"/>
      <c r="T2730" s="1639"/>
      <c r="U2730" s="177"/>
      <c r="V2730" s="2866"/>
      <c r="W2730" s="1060">
        <v>1</v>
      </c>
      <c r="X2730" s="1060">
        <v>1</v>
      </c>
      <c r="Y2730" s="1060">
        <v>1</v>
      </c>
      <c r="Z2730" s="1060"/>
      <c r="AA2730" s="1060"/>
      <c r="AB2730" s="1060"/>
      <c r="AC2730" s="1060"/>
      <c r="AD2730" s="1060"/>
      <c r="AE2730" s="1060"/>
      <c r="AF2730" s="1060"/>
      <c r="AG2730" s="1060"/>
      <c r="BB2730" s="784"/>
      <c r="BC2730" s="785"/>
      <c r="BD2730" s="900"/>
      <c r="BE2730" s="797"/>
    </row>
    <row r="2731" spans="1:57" s="65" customFormat="1" ht="15" hidden="1" customHeight="1" outlineLevel="1" x14ac:dyDescent="0.25">
      <c r="A2731" s="718"/>
      <c r="B2731" s="785"/>
      <c r="C2731" s="455"/>
      <c r="D2731" s="2806"/>
      <c r="E2731" s="2856"/>
      <c r="F2731" s="2908" t="str">
        <f>$E$1474</f>
        <v>ASHP - SEER 19 - replace electric furnace / CAC MF</v>
      </c>
      <c r="G2731" s="2909"/>
      <c r="H2731" s="2909"/>
      <c r="I2731" s="2910"/>
      <c r="J2731" s="1657" t="str">
        <f>$C$1474</f>
        <v>353350_2019_12_</v>
      </c>
      <c r="K2731" s="1060">
        <v>0.65</v>
      </c>
      <c r="L2731" s="1124"/>
      <c r="M2731" s="928" t="s">
        <v>1289</v>
      </c>
      <c r="N2731" s="177"/>
      <c r="O2731" s="332"/>
      <c r="P2731" s="1116"/>
      <c r="Q2731" s="1116"/>
      <c r="R2731" s="1116"/>
      <c r="S2731" s="1103"/>
      <c r="T2731" s="1639"/>
      <c r="U2731" s="177"/>
      <c r="V2731" s="2866"/>
      <c r="W2731" s="1060">
        <v>0.65</v>
      </c>
      <c r="X2731" s="1060">
        <v>0.65</v>
      </c>
      <c r="Y2731" s="1060">
        <v>0.65</v>
      </c>
      <c r="Z2731" s="1060"/>
      <c r="AA2731" s="1060"/>
      <c r="AB2731" s="1060"/>
      <c r="AC2731" s="1060"/>
      <c r="AD2731" s="1060"/>
      <c r="AE2731" s="1060"/>
      <c r="AF2731" s="1060"/>
      <c r="AG2731" s="1060"/>
      <c r="BB2731" s="784"/>
      <c r="BC2731" s="785"/>
      <c r="BD2731" s="900"/>
      <c r="BE2731" s="797"/>
    </row>
    <row r="2732" spans="1:57" s="65" customFormat="1" ht="15" hidden="1" customHeight="1" outlineLevel="1" x14ac:dyDescent="0.25">
      <c r="A2732" s="718"/>
      <c r="B2732" s="785"/>
      <c r="C2732" s="455"/>
      <c r="D2732" s="2806"/>
      <c r="E2732" s="2856"/>
      <c r="F2732" s="2908" t="str">
        <f>$E$1476</f>
        <v>ASHP - SEER 19 - replace electric furnace / CAC MF_CompE</v>
      </c>
      <c r="G2732" s="2909"/>
      <c r="H2732" s="2909"/>
      <c r="I2732" s="2910"/>
      <c r="J2732" s="1657" t="str">
        <f>$C$1476</f>
        <v>353351_2019_12_</v>
      </c>
      <c r="K2732" s="1060">
        <f>K2731</f>
        <v>0.65</v>
      </c>
      <c r="L2732" s="1124"/>
      <c r="M2732" s="928"/>
      <c r="N2732" s="177"/>
      <c r="O2732" s="332"/>
      <c r="P2732" s="1116"/>
      <c r="Q2732" s="1116"/>
      <c r="R2732" s="1116"/>
      <c r="S2732" s="1103"/>
      <c r="T2732" s="1639"/>
      <c r="U2732" s="177"/>
      <c r="V2732" s="2866"/>
      <c r="W2732" s="1060"/>
      <c r="X2732" s="1060"/>
      <c r="Y2732" s="1058">
        <v>0.65</v>
      </c>
      <c r="Z2732" s="1060"/>
      <c r="AA2732" s="1060"/>
      <c r="AB2732" s="1060"/>
      <c r="AC2732" s="1060"/>
      <c r="AD2732" s="1060"/>
      <c r="AE2732" s="1060"/>
      <c r="AF2732" s="1060"/>
      <c r="AG2732" s="1060"/>
      <c r="BB2732" s="784"/>
      <c r="BC2732" s="785"/>
      <c r="BD2732" s="900"/>
      <c r="BE2732" s="797"/>
    </row>
    <row r="2733" spans="1:57" s="65" customFormat="1" ht="15" hidden="1" customHeight="1" outlineLevel="1" x14ac:dyDescent="0.25">
      <c r="A2733" s="718"/>
      <c r="B2733" s="785"/>
      <c r="C2733" s="455"/>
      <c r="D2733" s="2806"/>
      <c r="E2733" s="2856"/>
      <c r="F2733" s="2908" t="str">
        <f>$E$1478</f>
        <v>ASHP - SEER 20 - replace electric furnace / CAC - early replacement SF ER1</v>
      </c>
      <c r="G2733" s="2909"/>
      <c r="H2733" s="2909"/>
      <c r="I2733" s="2910"/>
      <c r="J2733" s="1657" t="str">
        <f>$C$1478</f>
        <v>353400_2019_12_</v>
      </c>
      <c r="K2733" s="1060">
        <v>1</v>
      </c>
      <c r="L2733" s="1124"/>
      <c r="M2733" s="928"/>
      <c r="N2733" s="177"/>
      <c r="O2733" s="332"/>
      <c r="P2733" s="1116"/>
      <c r="Q2733" s="1116"/>
      <c r="R2733" s="1116"/>
      <c r="S2733" s="1103"/>
      <c r="T2733" s="1639"/>
      <c r="U2733" s="177"/>
      <c r="V2733" s="2866"/>
      <c r="W2733" s="1060">
        <v>1</v>
      </c>
      <c r="X2733" s="1060">
        <v>1</v>
      </c>
      <c r="Y2733" s="1060">
        <v>1</v>
      </c>
      <c r="Z2733" s="1060"/>
      <c r="AA2733" s="1060"/>
      <c r="AB2733" s="1060"/>
      <c r="AC2733" s="1060"/>
      <c r="AD2733" s="1060"/>
      <c r="AE2733" s="1060"/>
      <c r="AF2733" s="1060"/>
      <c r="AG2733" s="1060"/>
      <c r="BB2733" s="784"/>
      <c r="BC2733" s="785"/>
      <c r="BD2733" s="900"/>
      <c r="BE2733" s="797"/>
    </row>
    <row r="2734" spans="1:57" s="65" customFormat="1" ht="15" hidden="1" customHeight="1" outlineLevel="1" x14ac:dyDescent="0.25">
      <c r="A2734" s="718"/>
      <c r="B2734" s="785"/>
      <c r="C2734" s="455"/>
      <c r="D2734" s="2806"/>
      <c r="E2734" s="2856"/>
      <c r="F2734" s="2908" t="str">
        <f>$E$1480</f>
        <v>ASHP - SEER 20 - replace electric furnace / CAC - early replacement SF ER2</v>
      </c>
      <c r="G2734" s="2909"/>
      <c r="H2734" s="2909"/>
      <c r="I2734" s="2910"/>
      <c r="J2734" s="1657" t="str">
        <f>$C$1480</f>
        <v>353400_2019_12_</v>
      </c>
      <c r="K2734" s="1060">
        <v>1</v>
      </c>
      <c r="L2734" s="1124"/>
      <c r="M2734" s="928"/>
      <c r="N2734" s="177"/>
      <c r="O2734" s="332"/>
      <c r="P2734" s="1116"/>
      <c r="Q2734" s="1116"/>
      <c r="R2734" s="1116"/>
      <c r="S2734" s="1103"/>
      <c r="T2734" s="1639"/>
      <c r="U2734" s="177"/>
      <c r="V2734" s="2866"/>
      <c r="W2734" s="1060">
        <v>1</v>
      </c>
      <c r="X2734" s="1060">
        <v>1</v>
      </c>
      <c r="Y2734" s="1060">
        <v>1</v>
      </c>
      <c r="Z2734" s="1060"/>
      <c r="AA2734" s="1060"/>
      <c r="AB2734" s="1060"/>
      <c r="AC2734" s="1060"/>
      <c r="AD2734" s="1060"/>
      <c r="AE2734" s="1060"/>
      <c r="AF2734" s="1060"/>
      <c r="AG2734" s="1060"/>
      <c r="BB2734" s="784"/>
      <c r="BC2734" s="785"/>
      <c r="BD2734" s="900"/>
      <c r="BE2734" s="797"/>
    </row>
    <row r="2735" spans="1:57" s="65" customFormat="1" ht="15" hidden="1" customHeight="1" outlineLevel="1" x14ac:dyDescent="0.25">
      <c r="A2735" s="718"/>
      <c r="B2735" s="785"/>
      <c r="C2735" s="455"/>
      <c r="D2735" s="2806"/>
      <c r="E2735" s="2856"/>
      <c r="F2735" s="2908" t="str">
        <f>$E$1482</f>
        <v>ASHP - SEER 20 - replace electric furnace / CAC SF</v>
      </c>
      <c r="G2735" s="2909"/>
      <c r="H2735" s="2909"/>
      <c r="I2735" s="2910"/>
      <c r="J2735" s="1657" t="str">
        <f>$C$1482</f>
        <v>353450_2019_12_</v>
      </c>
      <c r="K2735" s="1060">
        <v>1</v>
      </c>
      <c r="L2735" s="1124"/>
      <c r="M2735" s="928"/>
      <c r="N2735" s="177"/>
      <c r="O2735" s="332"/>
      <c r="P2735" s="1116"/>
      <c r="Q2735" s="1116"/>
      <c r="R2735" s="1116"/>
      <c r="S2735" s="1103"/>
      <c r="T2735" s="1639"/>
      <c r="U2735" s="177"/>
      <c r="V2735" s="2866"/>
      <c r="W2735" s="1060">
        <v>1</v>
      </c>
      <c r="X2735" s="1060">
        <v>1</v>
      </c>
      <c r="Y2735" s="1060">
        <v>1</v>
      </c>
      <c r="Z2735" s="1060"/>
      <c r="AA2735" s="1060"/>
      <c r="AB2735" s="1060"/>
      <c r="AC2735" s="1060"/>
      <c r="AD2735" s="1060"/>
      <c r="AE2735" s="1060"/>
      <c r="AF2735" s="1060"/>
      <c r="AG2735" s="1060"/>
      <c r="BB2735" s="784"/>
      <c r="BC2735" s="785"/>
      <c r="BD2735" s="900"/>
      <c r="BE2735" s="797"/>
    </row>
    <row r="2736" spans="1:57" s="65" customFormat="1" ht="15" hidden="1" customHeight="1" outlineLevel="1" x14ac:dyDescent="0.25">
      <c r="A2736" s="718"/>
      <c r="B2736" s="785"/>
      <c r="C2736" s="455"/>
      <c r="D2736" s="2806"/>
      <c r="E2736" s="2856"/>
      <c r="F2736" s="2908" t="str">
        <f>$E$1484</f>
        <v>ASHP - SEER 20 - replace electric furnace / CAC MF</v>
      </c>
      <c r="G2736" s="2909"/>
      <c r="H2736" s="2909"/>
      <c r="I2736" s="2910"/>
      <c r="J2736" s="1657" t="str">
        <f>$C$1484</f>
        <v>353500_2019_12_</v>
      </c>
      <c r="K2736" s="1060">
        <v>0.65</v>
      </c>
      <c r="L2736" s="1124"/>
      <c r="M2736" s="928" t="s">
        <v>1289</v>
      </c>
      <c r="N2736" s="177"/>
      <c r="O2736" s="332"/>
      <c r="P2736" s="1116"/>
      <c r="Q2736" s="1117"/>
      <c r="R2736" s="1116"/>
      <c r="S2736" s="1103"/>
      <c r="T2736" s="1639"/>
      <c r="U2736" s="177"/>
      <c r="V2736" s="2866"/>
      <c r="W2736" s="1060">
        <v>0.65</v>
      </c>
      <c r="X2736" s="1060">
        <v>0.65</v>
      </c>
      <c r="Y2736" s="1060">
        <v>0.65</v>
      </c>
      <c r="Z2736" s="1060"/>
      <c r="AA2736" s="1060"/>
      <c r="AB2736" s="1060"/>
      <c r="AC2736" s="1060"/>
      <c r="AD2736" s="1060"/>
      <c r="AE2736" s="1060"/>
      <c r="AF2736" s="1060"/>
      <c r="AG2736" s="1060"/>
      <c r="BB2736" s="784"/>
      <c r="BC2736" s="785"/>
      <c r="BD2736" s="900"/>
      <c r="BE2736" s="797"/>
    </row>
    <row r="2737" spans="1:57" s="65" customFormat="1" ht="15" hidden="1" customHeight="1" outlineLevel="1" x14ac:dyDescent="0.25">
      <c r="A2737" s="718"/>
      <c r="B2737" s="785"/>
      <c r="C2737" s="455"/>
      <c r="D2737" s="2806"/>
      <c r="E2737" s="2856"/>
      <c r="F2737" s="2908" t="str">
        <f>$E$1486</f>
        <v>ASHP - SEER 20 - replace electric furnace / CAC MF_CompE</v>
      </c>
      <c r="G2737" s="2909"/>
      <c r="H2737" s="2909"/>
      <c r="I2737" s="2910"/>
      <c r="J2737" s="1657" t="str">
        <f>$C$1486</f>
        <v>353501_2019_12_</v>
      </c>
      <c r="K2737" s="1060">
        <f>K2736</f>
        <v>0.65</v>
      </c>
      <c r="L2737" s="1124"/>
      <c r="M2737" s="928"/>
      <c r="N2737" s="177"/>
      <c r="O2737" s="332"/>
      <c r="P2737" s="1116"/>
      <c r="Q2737" s="1117"/>
      <c r="R2737" s="1116"/>
      <c r="S2737" s="1103"/>
      <c r="T2737" s="1639"/>
      <c r="U2737" s="177"/>
      <c r="V2737" s="2866"/>
      <c r="W2737" s="1060"/>
      <c r="X2737" s="1060"/>
      <c r="Y2737" s="1058">
        <v>0.65</v>
      </c>
      <c r="Z2737" s="1060"/>
      <c r="AA2737" s="1060"/>
      <c r="AB2737" s="1060"/>
      <c r="AC2737" s="1060"/>
      <c r="AD2737" s="1060"/>
      <c r="AE2737" s="1060"/>
      <c r="AF2737" s="1060"/>
      <c r="AG2737" s="1060"/>
      <c r="BB2737" s="784"/>
      <c r="BC2737" s="785"/>
      <c r="BD2737" s="900"/>
      <c r="BE2737" s="797"/>
    </row>
    <row r="2738" spans="1:57" s="65" customFormat="1" ht="15" hidden="1" customHeight="1" outlineLevel="1" x14ac:dyDescent="0.25">
      <c r="A2738" s="718"/>
      <c r="B2738" s="785"/>
      <c r="C2738" s="455"/>
      <c r="D2738" s="2806"/>
      <c r="E2738" s="2856"/>
      <c r="F2738" s="2908" t="str">
        <f>$E$1488</f>
        <v>ASHP - SEER 21 - replace electric furnace / CAC - early replacement SF ER1</v>
      </c>
      <c r="G2738" s="2909"/>
      <c r="H2738" s="2909"/>
      <c r="I2738" s="2910"/>
      <c r="J2738" s="1657" t="str">
        <f>$C$1488</f>
        <v>353550_2019_12_</v>
      </c>
      <c r="K2738" s="1060">
        <v>1</v>
      </c>
      <c r="L2738" s="1124"/>
      <c r="M2738" s="928"/>
      <c r="N2738" s="177"/>
      <c r="O2738" s="332"/>
      <c r="P2738" s="1116"/>
      <c r="Q2738" s="1117"/>
      <c r="R2738" s="1116"/>
      <c r="S2738" s="1103"/>
      <c r="T2738" s="1639"/>
      <c r="U2738" s="177"/>
      <c r="V2738" s="2866"/>
      <c r="W2738" s="1060">
        <v>1</v>
      </c>
      <c r="X2738" s="1060">
        <v>1</v>
      </c>
      <c r="Y2738" s="1060">
        <v>1</v>
      </c>
      <c r="Z2738" s="1060"/>
      <c r="AA2738" s="1060"/>
      <c r="AB2738" s="1060"/>
      <c r="AC2738" s="1060"/>
      <c r="AD2738" s="1060"/>
      <c r="AE2738" s="1060"/>
      <c r="AF2738" s="1060"/>
      <c r="AG2738" s="1060"/>
      <c r="BB2738" s="784"/>
      <c r="BC2738" s="785"/>
      <c r="BD2738" s="900"/>
      <c r="BE2738" s="797"/>
    </row>
    <row r="2739" spans="1:57" s="65" customFormat="1" ht="15" hidden="1" customHeight="1" outlineLevel="1" x14ac:dyDescent="0.25">
      <c r="A2739" s="718"/>
      <c r="B2739" s="785"/>
      <c r="C2739" s="455"/>
      <c r="D2739" s="2806"/>
      <c r="E2739" s="2856"/>
      <c r="F2739" s="2908" t="str">
        <f>$E$1490</f>
        <v>ASHP - SEER 21 - replace electric furnace / CAC - early replacement SF ER2</v>
      </c>
      <c r="G2739" s="2909"/>
      <c r="H2739" s="2909"/>
      <c r="I2739" s="2910"/>
      <c r="J2739" s="1657" t="str">
        <f>$C$1490</f>
        <v>353550_2019_12_</v>
      </c>
      <c r="K2739" s="1060">
        <v>1</v>
      </c>
      <c r="L2739" s="1124"/>
      <c r="M2739" s="928"/>
      <c r="N2739" s="177"/>
      <c r="O2739" s="332"/>
      <c r="P2739" s="1116"/>
      <c r="Q2739" s="1117"/>
      <c r="R2739" s="1116"/>
      <c r="S2739" s="1103"/>
      <c r="T2739" s="1639"/>
      <c r="U2739" s="177"/>
      <c r="V2739" s="2866"/>
      <c r="W2739" s="1060">
        <v>1</v>
      </c>
      <c r="X2739" s="1060">
        <v>1</v>
      </c>
      <c r="Y2739" s="1060">
        <v>1</v>
      </c>
      <c r="Z2739" s="1060"/>
      <c r="AA2739" s="1060"/>
      <c r="AB2739" s="1060"/>
      <c r="AC2739" s="1060"/>
      <c r="AD2739" s="1060"/>
      <c r="AE2739" s="1060"/>
      <c r="AF2739" s="1060"/>
      <c r="AG2739" s="1060"/>
      <c r="BB2739" s="784"/>
      <c r="BC2739" s="785"/>
      <c r="BD2739" s="900"/>
      <c r="BE2739" s="797"/>
    </row>
    <row r="2740" spans="1:57" s="65" customFormat="1" ht="15" hidden="1" customHeight="1" outlineLevel="1" x14ac:dyDescent="0.25">
      <c r="A2740" s="718"/>
      <c r="B2740" s="785"/>
      <c r="C2740" s="455"/>
      <c r="D2740" s="2806"/>
      <c r="E2740" s="2856"/>
      <c r="F2740" s="2908" t="str">
        <f>$E$1492</f>
        <v>ASHP - SEER 21 - replace electric furnace / CAC - early replacement MF ER1</v>
      </c>
      <c r="G2740" s="2909"/>
      <c r="H2740" s="2909"/>
      <c r="I2740" s="2910"/>
      <c r="J2740" s="1657" t="str">
        <f>$C$1492</f>
        <v>353600_2019_12_</v>
      </c>
      <c r="K2740" s="1060">
        <v>0.65</v>
      </c>
      <c r="L2740" s="1124"/>
      <c r="M2740" s="928" t="s">
        <v>1289</v>
      </c>
      <c r="N2740" s="177"/>
      <c r="O2740" s="332"/>
      <c r="P2740" s="1116"/>
      <c r="Q2740" s="1117"/>
      <c r="R2740" s="1116"/>
      <c r="S2740" s="1103"/>
      <c r="T2740" s="1639"/>
      <c r="U2740" s="177"/>
      <c r="V2740" s="2866"/>
      <c r="W2740" s="1060">
        <v>0.65</v>
      </c>
      <c r="X2740" s="1060">
        <v>0.65</v>
      </c>
      <c r="Y2740" s="1060">
        <v>0.65</v>
      </c>
      <c r="Z2740" s="1060"/>
      <c r="AA2740" s="1060"/>
      <c r="AB2740" s="1060"/>
      <c r="AC2740" s="1060"/>
      <c r="AD2740" s="1060"/>
      <c r="AE2740" s="1060"/>
      <c r="AF2740" s="1060"/>
      <c r="AG2740" s="1060"/>
      <c r="BB2740" s="784"/>
      <c r="BC2740" s="785"/>
      <c r="BD2740" s="900"/>
      <c r="BE2740" s="797"/>
    </row>
    <row r="2741" spans="1:57" s="65" customFormat="1" ht="15" hidden="1" customHeight="1" outlineLevel="1" x14ac:dyDescent="0.25">
      <c r="A2741" s="718"/>
      <c r="B2741" s="785"/>
      <c r="C2741" s="455"/>
      <c r="D2741" s="2806"/>
      <c r="E2741" s="2856"/>
      <c r="F2741" s="2908" t="str">
        <f>$E$1494</f>
        <v>ASHP - SEER 21 - replace electric furnace / CAC - early replacement MF ER2</v>
      </c>
      <c r="G2741" s="2909"/>
      <c r="H2741" s="2909"/>
      <c r="I2741" s="2910"/>
      <c r="J2741" s="1657" t="str">
        <f>$C$1494</f>
        <v>353600_2019_12_</v>
      </c>
      <c r="K2741" s="1060">
        <v>0.65</v>
      </c>
      <c r="L2741" s="1124"/>
      <c r="M2741" s="928" t="s">
        <v>1289</v>
      </c>
      <c r="N2741" s="177"/>
      <c r="O2741" s="332"/>
      <c r="P2741" s="1116"/>
      <c r="Q2741" s="1117"/>
      <c r="R2741" s="1116"/>
      <c r="S2741" s="1103"/>
      <c r="T2741" s="1639"/>
      <c r="U2741" s="177"/>
      <c r="V2741" s="2866"/>
      <c r="W2741" s="1060">
        <v>0.65</v>
      </c>
      <c r="X2741" s="1060">
        <v>0.65</v>
      </c>
      <c r="Y2741" s="1060">
        <v>0.65</v>
      </c>
      <c r="Z2741" s="1060"/>
      <c r="AA2741" s="1060"/>
      <c r="AB2741" s="1060"/>
      <c r="AC2741" s="1060"/>
      <c r="AD2741" s="1060"/>
      <c r="AE2741" s="1060"/>
      <c r="AF2741" s="1060"/>
      <c r="AG2741" s="1060"/>
      <c r="BB2741" s="784"/>
      <c r="BC2741" s="785"/>
      <c r="BD2741" s="900"/>
      <c r="BE2741" s="797"/>
    </row>
    <row r="2742" spans="1:57" s="65" customFormat="1" ht="15" hidden="1" customHeight="1" outlineLevel="1" x14ac:dyDescent="0.25">
      <c r="A2742" s="718"/>
      <c r="B2742" s="785"/>
      <c r="C2742" s="455"/>
      <c r="D2742" s="2806"/>
      <c r="E2742" s="2856"/>
      <c r="F2742" s="2908" t="str">
        <f>$E$1496</f>
        <v>ASHP - SEER 21 - replace electric furnace / CAC - early replacement MF ER1_CompE</v>
      </c>
      <c r="G2742" s="2909"/>
      <c r="H2742" s="2909"/>
      <c r="I2742" s="2910"/>
      <c r="J2742" s="1657" t="str">
        <f>$C$1496</f>
        <v>353601_2019_12_</v>
      </c>
      <c r="K2742" s="1060">
        <f>K2740</f>
        <v>0.65</v>
      </c>
      <c r="L2742" s="1124"/>
      <c r="M2742" s="928"/>
      <c r="N2742" s="177"/>
      <c r="O2742" s="332"/>
      <c r="P2742" s="1116"/>
      <c r="Q2742" s="1117"/>
      <c r="R2742" s="1116"/>
      <c r="S2742" s="1103"/>
      <c r="T2742" s="1639"/>
      <c r="U2742" s="177"/>
      <c r="V2742" s="2866"/>
      <c r="W2742" s="1060"/>
      <c r="X2742" s="1060"/>
      <c r="Y2742" s="1058">
        <v>0.65</v>
      </c>
      <c r="Z2742" s="1060"/>
      <c r="AA2742" s="1060"/>
      <c r="AB2742" s="1060"/>
      <c r="AC2742" s="1060"/>
      <c r="AD2742" s="1060"/>
      <c r="AE2742" s="1060"/>
      <c r="AF2742" s="1060"/>
      <c r="AG2742" s="1060"/>
      <c r="BB2742" s="784"/>
      <c r="BC2742" s="785"/>
      <c r="BD2742" s="900"/>
      <c r="BE2742" s="797"/>
    </row>
    <row r="2743" spans="1:57" s="65" customFormat="1" ht="15" hidden="1" customHeight="1" outlineLevel="1" x14ac:dyDescent="0.25">
      <c r="A2743" s="718"/>
      <c r="B2743" s="785"/>
      <c r="C2743" s="455"/>
      <c r="D2743" s="2806"/>
      <c r="E2743" s="2856"/>
      <c r="F2743" s="2908" t="str">
        <f>$E$1498</f>
        <v>ASHP - SEER 21 - replace electric furnace / CAC - early replacement MF ER2_CompE</v>
      </c>
      <c r="G2743" s="2909"/>
      <c r="H2743" s="2909"/>
      <c r="I2743" s="2910"/>
      <c r="J2743" s="1657" t="str">
        <f>$C$1498</f>
        <v>353601_2019_12_</v>
      </c>
      <c r="K2743" s="1060">
        <f>K2741</f>
        <v>0.65</v>
      </c>
      <c r="L2743" s="1124"/>
      <c r="M2743" s="928"/>
      <c r="N2743" s="177"/>
      <c r="O2743" s="332"/>
      <c r="P2743" s="1116"/>
      <c r="Q2743" s="1117"/>
      <c r="R2743" s="1116"/>
      <c r="S2743" s="1103"/>
      <c r="T2743" s="1639"/>
      <c r="U2743" s="177"/>
      <c r="V2743" s="2866"/>
      <c r="W2743" s="1060"/>
      <c r="X2743" s="1060"/>
      <c r="Y2743" s="1058">
        <v>0.65</v>
      </c>
      <c r="Z2743" s="1060"/>
      <c r="AA2743" s="1060"/>
      <c r="AB2743" s="1060"/>
      <c r="AC2743" s="1060"/>
      <c r="AD2743" s="1060"/>
      <c r="AE2743" s="1060"/>
      <c r="AF2743" s="1060"/>
      <c r="AG2743" s="1060"/>
      <c r="BB2743" s="784"/>
      <c r="BC2743" s="785"/>
      <c r="BD2743" s="900"/>
      <c r="BE2743" s="797"/>
    </row>
    <row r="2744" spans="1:57" s="65" customFormat="1" ht="15" hidden="1" customHeight="1" outlineLevel="1" x14ac:dyDescent="0.25">
      <c r="A2744" s="718"/>
      <c r="B2744" s="785"/>
      <c r="C2744" s="455"/>
      <c r="D2744" s="2806"/>
      <c r="E2744" s="2856"/>
      <c r="F2744" s="2908" t="str">
        <f>$E$1500</f>
        <v>ASHP - SEER 21 - replace electric furnace / CAC SF</v>
      </c>
      <c r="G2744" s="2909"/>
      <c r="H2744" s="2909"/>
      <c r="I2744" s="2910"/>
      <c r="J2744" s="1657" t="str">
        <f>$C$1500</f>
        <v>353650_2019_12_</v>
      </c>
      <c r="K2744" s="1060">
        <v>1</v>
      </c>
      <c r="L2744" s="1124"/>
      <c r="M2744" s="928"/>
      <c r="N2744" s="177"/>
      <c r="O2744" s="332"/>
      <c r="P2744" s="1116"/>
      <c r="Q2744" s="1117"/>
      <c r="R2744" s="1116"/>
      <c r="S2744" s="1103"/>
      <c r="T2744" s="1639"/>
      <c r="U2744" s="177"/>
      <c r="V2744" s="2866"/>
      <c r="W2744" s="1060">
        <v>1</v>
      </c>
      <c r="X2744" s="1060">
        <v>1</v>
      </c>
      <c r="Y2744" s="1060">
        <v>1</v>
      </c>
      <c r="Z2744" s="1060"/>
      <c r="AA2744" s="1060"/>
      <c r="AB2744" s="1060"/>
      <c r="AC2744" s="1060"/>
      <c r="AD2744" s="1060"/>
      <c r="AE2744" s="1060"/>
      <c r="AF2744" s="1060"/>
      <c r="AG2744" s="1060"/>
      <c r="BB2744" s="784"/>
      <c r="BC2744" s="785"/>
      <c r="BD2744" s="900"/>
      <c r="BE2744" s="797"/>
    </row>
    <row r="2745" spans="1:57" s="65" customFormat="1" ht="15" hidden="1" customHeight="1" outlineLevel="1" x14ac:dyDescent="0.25">
      <c r="A2745" s="785"/>
      <c r="B2745" s="785"/>
      <c r="C2745" s="455"/>
      <c r="D2745" s="2806"/>
      <c r="E2745" s="2856"/>
      <c r="F2745" s="2908" t="str">
        <f>$E$1502</f>
        <v>ASHP-  SEER 21+ replace at Fail Elec Resist Furnace MF</v>
      </c>
      <c r="G2745" s="2909"/>
      <c r="H2745" s="2909"/>
      <c r="I2745" s="2910"/>
      <c r="J2745" s="1657" t="str">
        <f>$C$1502</f>
        <v>353700_2019_12_</v>
      </c>
      <c r="K2745" s="1060">
        <v>0.65</v>
      </c>
      <c r="L2745" s="1124"/>
      <c r="M2745" s="928" t="s">
        <v>1289</v>
      </c>
      <c r="N2745" s="177"/>
      <c r="O2745" s="332"/>
      <c r="P2745" s="332"/>
      <c r="Q2745" s="332"/>
      <c r="R2745" s="332"/>
      <c r="S2745" s="177"/>
      <c r="T2745" s="177"/>
      <c r="U2745" s="177"/>
      <c r="V2745" s="2866"/>
      <c r="W2745" s="1060">
        <v>0.65</v>
      </c>
      <c r="X2745" s="1060">
        <v>0.65</v>
      </c>
      <c r="Y2745" s="1060">
        <v>0.65</v>
      </c>
      <c r="Z2745" s="1060"/>
      <c r="AA2745" s="1060"/>
      <c r="AB2745" s="1060"/>
      <c r="AC2745" s="1060"/>
      <c r="AD2745" s="1060"/>
      <c r="AE2745" s="1060"/>
      <c r="AF2745" s="1060"/>
      <c r="AG2745" s="1060"/>
      <c r="BB2745" s="784"/>
      <c r="BC2745" s="785"/>
      <c r="BD2745" s="900"/>
      <c r="BE2745" s="797"/>
    </row>
    <row r="2746" spans="1:57" s="65" customFormat="1" ht="15" hidden="1" customHeight="1" outlineLevel="1" x14ac:dyDescent="0.25">
      <c r="A2746" s="785"/>
      <c r="B2746" s="785"/>
      <c r="C2746" s="455"/>
      <c r="D2746" s="2806"/>
      <c r="E2746" s="2856"/>
      <c r="F2746" s="2908" t="str">
        <f>$E$1504</f>
        <v>ASHP-  SEER 21+ replace at Fail Elec Resist Furnace MF_CompE</v>
      </c>
      <c r="G2746" s="2909"/>
      <c r="H2746" s="2909"/>
      <c r="I2746" s="2910"/>
      <c r="J2746" s="1657" t="str">
        <f>$C$1504</f>
        <v>353701_2019_12_</v>
      </c>
      <c r="K2746" s="1060">
        <v>0.65</v>
      </c>
      <c r="L2746" s="1124"/>
      <c r="M2746" s="928"/>
      <c r="N2746" s="177"/>
      <c r="O2746" s="332"/>
      <c r="P2746" s="332"/>
      <c r="Q2746" s="332"/>
      <c r="R2746" s="332"/>
      <c r="S2746" s="177"/>
      <c r="T2746" s="177"/>
      <c r="U2746" s="177"/>
      <c r="V2746" s="2866"/>
      <c r="W2746" s="1060"/>
      <c r="X2746" s="1060"/>
      <c r="Y2746" s="1058">
        <v>0.65</v>
      </c>
      <c r="Z2746" s="1060"/>
      <c r="AA2746" s="1060"/>
      <c r="AB2746" s="1060"/>
      <c r="AC2746" s="1060"/>
      <c r="AD2746" s="1060"/>
      <c r="AE2746" s="1060"/>
      <c r="AF2746" s="1060"/>
      <c r="AG2746" s="1060"/>
      <c r="BB2746" s="784"/>
      <c r="BC2746" s="785"/>
      <c r="BD2746" s="900"/>
      <c r="BE2746" s="797"/>
    </row>
    <row r="2747" spans="1:57" s="65" customFormat="1" ht="15" hidden="1" customHeight="1" outlineLevel="1" x14ac:dyDescent="0.25">
      <c r="A2747" s="718"/>
      <c r="B2747" s="785"/>
      <c r="C2747" s="455"/>
      <c r="D2747" s="2806"/>
      <c r="E2747" s="2856"/>
      <c r="F2747" s="2908" t="str">
        <f>$E$1506</f>
        <v>ASHP SEER 17 replace ASHP - early replacement SF ER1</v>
      </c>
      <c r="G2747" s="2909"/>
      <c r="H2747" s="2909"/>
      <c r="I2747" s="2910"/>
      <c r="J2747" s="1657" t="str">
        <f>$C$1506</f>
        <v>353750_2019_12_</v>
      </c>
      <c r="K2747" s="1060">
        <v>1</v>
      </c>
      <c r="L2747" s="1124"/>
      <c r="M2747" s="1133"/>
      <c r="N2747" s="177"/>
      <c r="O2747" s="332"/>
      <c r="P2747" s="1116"/>
      <c r="Q2747" s="1117"/>
      <c r="R2747" s="1116"/>
      <c r="S2747" s="1103"/>
      <c r="T2747" s="1639"/>
      <c r="U2747" s="177"/>
      <c r="V2747" s="2866"/>
      <c r="W2747" s="1060">
        <v>1</v>
      </c>
      <c r="X2747" s="1060">
        <v>1</v>
      </c>
      <c r="Y2747" s="1060">
        <v>1</v>
      </c>
      <c r="Z2747" s="1060"/>
      <c r="AA2747" s="1060"/>
      <c r="AB2747" s="1060"/>
      <c r="AC2747" s="1060"/>
      <c r="AD2747" s="1060"/>
      <c r="AE2747" s="1060"/>
      <c r="AF2747" s="1060"/>
      <c r="AG2747" s="1060"/>
      <c r="BB2747" s="784"/>
      <c r="BC2747" s="785"/>
      <c r="BD2747" s="900"/>
      <c r="BE2747" s="797"/>
    </row>
    <row r="2748" spans="1:57" s="65" customFormat="1" ht="15" hidden="1" customHeight="1" outlineLevel="1" x14ac:dyDescent="0.25">
      <c r="A2748" s="785"/>
      <c r="B2748" s="785"/>
      <c r="C2748" s="455"/>
      <c r="D2748" s="2806"/>
      <c r="E2748" s="2856"/>
      <c r="F2748" s="2908" t="str">
        <f>$E$1508</f>
        <v>ASHP SEER 17 replace ASHP - early replacement SF ER2</v>
      </c>
      <c r="G2748" s="2909"/>
      <c r="H2748" s="2909"/>
      <c r="I2748" s="2910"/>
      <c r="J2748" s="1657" t="str">
        <f>$C$1508</f>
        <v>353750_2019_12_</v>
      </c>
      <c r="K2748" s="1060">
        <v>1</v>
      </c>
      <c r="L2748" s="1124"/>
      <c r="M2748" s="1133"/>
      <c r="N2748" s="177"/>
      <c r="O2748" s="332"/>
      <c r="P2748" s="332"/>
      <c r="Q2748" s="332"/>
      <c r="R2748" s="332"/>
      <c r="S2748" s="177"/>
      <c r="T2748" s="177"/>
      <c r="U2748" s="177"/>
      <c r="V2748" s="2866"/>
      <c r="W2748" s="1060">
        <v>1</v>
      </c>
      <c r="X2748" s="1060">
        <v>1</v>
      </c>
      <c r="Y2748" s="1060">
        <v>1</v>
      </c>
      <c r="Z2748" s="1060"/>
      <c r="AA2748" s="1060"/>
      <c r="AB2748" s="1060"/>
      <c r="AC2748" s="1060"/>
      <c r="AD2748" s="1060"/>
      <c r="AE2748" s="1060"/>
      <c r="AF2748" s="1060"/>
      <c r="AG2748" s="1060"/>
      <c r="BB2748" s="784"/>
      <c r="BC2748" s="785"/>
      <c r="BD2748" s="900"/>
      <c r="BE2748" s="797"/>
    </row>
    <row r="2749" spans="1:57" s="65" customFormat="1" ht="15" hidden="1" customHeight="1" outlineLevel="1" x14ac:dyDescent="0.25">
      <c r="A2749" s="718"/>
      <c r="B2749" s="785"/>
      <c r="C2749" s="455"/>
      <c r="D2749" s="2806"/>
      <c r="E2749" s="2856"/>
      <c r="F2749" s="2908" t="str">
        <f>$E$1510</f>
        <v>ASHP SEER 17 replace ASHP - replace on fail SF</v>
      </c>
      <c r="G2749" s="2909"/>
      <c r="H2749" s="2909"/>
      <c r="I2749" s="2910"/>
      <c r="J2749" s="1657" t="str">
        <f>$C$1510</f>
        <v>353800_2019_12_</v>
      </c>
      <c r="K2749" s="1060">
        <v>1</v>
      </c>
      <c r="L2749" s="1124"/>
      <c r="M2749" s="1133"/>
      <c r="N2749" s="177"/>
      <c r="O2749" s="332"/>
      <c r="P2749" s="1116"/>
      <c r="Q2749" s="1117"/>
      <c r="R2749" s="1116"/>
      <c r="S2749" s="1103"/>
      <c r="T2749" s="1639"/>
      <c r="U2749" s="177"/>
      <c r="V2749" s="2866"/>
      <c r="W2749" s="1060">
        <v>1</v>
      </c>
      <c r="X2749" s="1060">
        <v>1</v>
      </c>
      <c r="Y2749" s="1060">
        <v>1</v>
      </c>
      <c r="Z2749" s="1060"/>
      <c r="AA2749" s="1060"/>
      <c r="AB2749" s="1060"/>
      <c r="AC2749" s="1060"/>
      <c r="AD2749" s="1060"/>
      <c r="AE2749" s="1060"/>
      <c r="AF2749" s="1060"/>
      <c r="AG2749" s="1060"/>
      <c r="BB2749" s="784"/>
      <c r="BC2749" s="785"/>
      <c r="BD2749" s="900"/>
      <c r="BE2749" s="797"/>
    </row>
    <row r="2750" spans="1:57" s="65" customFormat="1" ht="15" hidden="1" customHeight="1" outlineLevel="1" x14ac:dyDescent="0.25">
      <c r="A2750" s="785"/>
      <c r="B2750" s="785"/>
      <c r="C2750" s="455"/>
      <c r="D2750" s="2806"/>
      <c r="E2750" s="2856"/>
      <c r="F2750" s="2908" t="str">
        <f>$E$1512</f>
        <v>ASHP SEER 18 replace ASHP - early replacement SF ER1</v>
      </c>
      <c r="G2750" s="2909"/>
      <c r="H2750" s="2909"/>
      <c r="I2750" s="2910"/>
      <c r="J2750" s="1657" t="str">
        <f>$C$1512</f>
        <v>353850_2019_12_</v>
      </c>
      <c r="K2750" s="1060">
        <v>1</v>
      </c>
      <c r="L2750" s="1124"/>
      <c r="M2750" s="1133"/>
      <c r="N2750" s="177"/>
      <c r="O2750" s="332"/>
      <c r="P2750" s="332"/>
      <c r="Q2750" s="332"/>
      <c r="R2750" s="332"/>
      <c r="S2750" s="177"/>
      <c r="T2750" s="177"/>
      <c r="U2750" s="177"/>
      <c r="V2750" s="2866"/>
      <c r="W2750" s="1060">
        <v>1</v>
      </c>
      <c r="X2750" s="1060">
        <v>1</v>
      </c>
      <c r="Y2750" s="1060">
        <v>1</v>
      </c>
      <c r="Z2750" s="1060"/>
      <c r="AA2750" s="1060"/>
      <c r="AB2750" s="1060"/>
      <c r="AC2750" s="1060"/>
      <c r="AD2750" s="1060"/>
      <c r="AE2750" s="1060"/>
      <c r="AF2750" s="1060"/>
      <c r="AG2750" s="1060"/>
      <c r="BB2750" s="784"/>
      <c r="BC2750" s="785"/>
      <c r="BD2750" s="900"/>
      <c r="BE2750" s="797"/>
    </row>
    <row r="2751" spans="1:57" s="65" customFormat="1" ht="15" hidden="1" customHeight="1" outlineLevel="1" x14ac:dyDescent="0.25">
      <c r="A2751" s="785"/>
      <c r="B2751" s="785"/>
      <c r="C2751" s="455"/>
      <c r="D2751" s="2806"/>
      <c r="E2751" s="2856"/>
      <c r="F2751" s="2908" t="str">
        <f>$E$1514</f>
        <v>ASHP SEER 18 replace ASHP - early replacement SF ER2</v>
      </c>
      <c r="G2751" s="2909"/>
      <c r="H2751" s="2909"/>
      <c r="I2751" s="2910"/>
      <c r="J2751" s="1657" t="str">
        <f>$C$1514</f>
        <v>353850_2019_12_</v>
      </c>
      <c r="K2751" s="1060">
        <v>1</v>
      </c>
      <c r="L2751" s="1124"/>
      <c r="M2751" s="1133"/>
      <c r="N2751" s="177"/>
      <c r="O2751" s="332"/>
      <c r="P2751" s="332"/>
      <c r="Q2751" s="332"/>
      <c r="R2751" s="332"/>
      <c r="S2751" s="177"/>
      <c r="T2751" s="177"/>
      <c r="U2751" s="177"/>
      <c r="V2751" s="2866"/>
      <c r="W2751" s="1060">
        <v>1</v>
      </c>
      <c r="X2751" s="1060">
        <v>1</v>
      </c>
      <c r="Y2751" s="1060">
        <v>1</v>
      </c>
      <c r="Z2751" s="1060"/>
      <c r="AA2751" s="1060"/>
      <c r="AB2751" s="1060"/>
      <c r="AC2751" s="1060"/>
      <c r="AD2751" s="1060"/>
      <c r="AE2751" s="1060"/>
      <c r="AF2751" s="1060"/>
      <c r="AG2751" s="1060"/>
      <c r="BB2751" s="784"/>
      <c r="BC2751" s="785"/>
      <c r="BD2751" s="900"/>
      <c r="BE2751" s="797"/>
    </row>
    <row r="2752" spans="1:57" s="65" customFormat="1" ht="15" hidden="1" customHeight="1" outlineLevel="1" x14ac:dyDescent="0.25">
      <c r="A2752" s="718"/>
      <c r="B2752" s="785"/>
      <c r="C2752" s="455"/>
      <c r="D2752" s="2806"/>
      <c r="E2752" s="2856"/>
      <c r="F2752" s="2908" t="str">
        <f>$E$1516</f>
        <v>ASHP - SEER 18 - replace on fail SF</v>
      </c>
      <c r="G2752" s="2909"/>
      <c r="H2752" s="2909"/>
      <c r="I2752" s="2910"/>
      <c r="J2752" s="1657" t="str">
        <f>$C$1516</f>
        <v>353950_2019_12_</v>
      </c>
      <c r="K2752" s="1060">
        <v>1</v>
      </c>
      <c r="L2752" s="1124"/>
      <c r="M2752" s="1133"/>
      <c r="N2752" s="177"/>
      <c r="O2752" s="332"/>
      <c r="P2752" s="1116"/>
      <c r="Q2752" s="1117"/>
      <c r="R2752" s="1116"/>
      <c r="S2752" s="1103"/>
      <c r="T2752" s="1639"/>
      <c r="U2752" s="177"/>
      <c r="V2752" s="2866"/>
      <c r="W2752" s="1060">
        <v>1</v>
      </c>
      <c r="X2752" s="1060">
        <v>1</v>
      </c>
      <c r="Y2752" s="1060">
        <v>1</v>
      </c>
      <c r="Z2752" s="1060"/>
      <c r="AA2752" s="1060"/>
      <c r="AB2752" s="1060"/>
      <c r="AC2752" s="1060"/>
      <c r="AD2752" s="1060"/>
      <c r="AE2752" s="1060"/>
      <c r="AF2752" s="1060"/>
      <c r="AG2752" s="1060"/>
      <c r="BB2752" s="784"/>
      <c r="BC2752" s="785"/>
      <c r="BD2752" s="900"/>
      <c r="BE2752" s="797"/>
    </row>
    <row r="2753" spans="1:57" s="65" customFormat="1" ht="15" hidden="1" customHeight="1" outlineLevel="1" x14ac:dyDescent="0.25">
      <c r="A2753" s="785"/>
      <c r="B2753" s="785"/>
      <c r="C2753" s="455"/>
      <c r="D2753" s="2806"/>
      <c r="E2753" s="2856"/>
      <c r="F2753" s="2908" t="str">
        <f>$E$1518</f>
        <v>ASHP SEER 19 replace ASHP - early replacement SF ER1</v>
      </c>
      <c r="G2753" s="2909"/>
      <c r="H2753" s="2909"/>
      <c r="I2753" s="2910"/>
      <c r="J2753" s="1657" t="str">
        <f>$C$1518</f>
        <v>354000_2019_12_</v>
      </c>
      <c r="K2753" s="1060">
        <v>1</v>
      </c>
      <c r="L2753" s="1124"/>
      <c r="M2753" s="1133"/>
      <c r="N2753" s="177"/>
      <c r="O2753" s="332"/>
      <c r="P2753" s="332"/>
      <c r="Q2753" s="332"/>
      <c r="R2753" s="332"/>
      <c r="S2753" s="177"/>
      <c r="T2753" s="177"/>
      <c r="U2753" s="177"/>
      <c r="V2753" s="2866"/>
      <c r="W2753" s="1060">
        <v>1</v>
      </c>
      <c r="X2753" s="1060">
        <v>1</v>
      </c>
      <c r="Y2753" s="1060">
        <v>1</v>
      </c>
      <c r="Z2753" s="1060"/>
      <c r="AA2753" s="1060"/>
      <c r="AB2753" s="1060"/>
      <c r="AC2753" s="1060"/>
      <c r="AD2753" s="1060"/>
      <c r="AE2753" s="1060"/>
      <c r="AF2753" s="1060"/>
      <c r="AG2753" s="1060"/>
      <c r="BB2753" s="784"/>
      <c r="BC2753" s="785"/>
      <c r="BD2753" s="900"/>
      <c r="BE2753" s="797"/>
    </row>
    <row r="2754" spans="1:57" s="65" customFormat="1" ht="15" hidden="1" customHeight="1" outlineLevel="1" x14ac:dyDescent="0.25">
      <c r="A2754" s="785"/>
      <c r="B2754" s="785"/>
      <c r="C2754" s="455"/>
      <c r="D2754" s="2806"/>
      <c r="E2754" s="2856"/>
      <c r="F2754" s="2908" t="str">
        <f>$E$1520</f>
        <v>ASHP SEER 19 replace ASHP - early replacement SF ER2</v>
      </c>
      <c r="G2754" s="2909"/>
      <c r="H2754" s="2909"/>
      <c r="I2754" s="2910"/>
      <c r="J2754" s="1657" t="str">
        <f>$C$1520</f>
        <v>354000_2019_12_</v>
      </c>
      <c r="K2754" s="1060">
        <v>1</v>
      </c>
      <c r="L2754" s="1124"/>
      <c r="M2754" s="1133"/>
      <c r="N2754" s="177"/>
      <c r="O2754" s="332"/>
      <c r="P2754" s="332"/>
      <c r="Q2754" s="332"/>
      <c r="R2754" s="332"/>
      <c r="S2754" s="177"/>
      <c r="T2754" s="177"/>
      <c r="U2754" s="177"/>
      <c r="V2754" s="2866"/>
      <c r="W2754" s="1060">
        <v>1</v>
      </c>
      <c r="X2754" s="1060">
        <v>1</v>
      </c>
      <c r="Y2754" s="1060">
        <v>1</v>
      </c>
      <c r="Z2754" s="1060"/>
      <c r="AA2754" s="1060"/>
      <c r="AB2754" s="1060"/>
      <c r="AC2754" s="1060"/>
      <c r="AD2754" s="1060"/>
      <c r="AE2754" s="1060"/>
      <c r="AF2754" s="1060"/>
      <c r="AG2754" s="1060"/>
      <c r="BB2754" s="784"/>
      <c r="BC2754" s="785"/>
      <c r="BD2754" s="900"/>
      <c r="BE2754" s="797"/>
    </row>
    <row r="2755" spans="1:57" s="65" customFormat="1" ht="15" hidden="1" customHeight="1" outlineLevel="1" x14ac:dyDescent="0.25">
      <c r="A2755" s="718"/>
      <c r="B2755" s="785"/>
      <c r="C2755" s="455"/>
      <c r="D2755" s="2806"/>
      <c r="E2755" s="2856"/>
      <c r="F2755" s="2908" t="str">
        <f>$E$1522</f>
        <v>ASHP SEER 19 replace ASHP - replace on fail SF</v>
      </c>
      <c r="G2755" s="2909"/>
      <c r="H2755" s="2909"/>
      <c r="I2755" s="2910"/>
      <c r="J2755" s="1657" t="str">
        <f>$C$1522</f>
        <v>354050_2019_12_</v>
      </c>
      <c r="K2755" s="1060">
        <v>1</v>
      </c>
      <c r="L2755" s="1124"/>
      <c r="M2755" s="1133"/>
      <c r="N2755" s="177"/>
      <c r="O2755" s="332"/>
      <c r="P2755" s="1116"/>
      <c r="Q2755" s="1117"/>
      <c r="R2755" s="1116"/>
      <c r="S2755" s="1103"/>
      <c r="T2755" s="1639"/>
      <c r="U2755" s="177"/>
      <c r="V2755" s="2866"/>
      <c r="W2755" s="1060">
        <v>1</v>
      </c>
      <c r="X2755" s="1060">
        <v>1</v>
      </c>
      <c r="Y2755" s="1060">
        <v>1</v>
      </c>
      <c r="Z2755" s="1060"/>
      <c r="AA2755" s="1060"/>
      <c r="AB2755" s="1060"/>
      <c r="AC2755" s="1060"/>
      <c r="AD2755" s="1060"/>
      <c r="AE2755" s="1060"/>
      <c r="AF2755" s="1060"/>
      <c r="AG2755" s="1060"/>
      <c r="BB2755" s="784"/>
      <c r="BC2755" s="785"/>
      <c r="BD2755" s="900"/>
      <c r="BE2755" s="797"/>
    </row>
    <row r="2756" spans="1:57" s="65" customFormat="1" ht="15" hidden="1" customHeight="1" outlineLevel="1" x14ac:dyDescent="0.25">
      <c r="A2756" s="718"/>
      <c r="B2756" s="785"/>
      <c r="C2756" s="455"/>
      <c r="D2756" s="2806"/>
      <c r="E2756" s="2856"/>
      <c r="F2756" s="2908" t="str">
        <f>$E$1524</f>
        <v>ASHP - SEER 17 - replace electric furnace / CAC - early replacement SF ER1</v>
      </c>
      <c r="G2756" s="2909"/>
      <c r="H2756" s="2909"/>
      <c r="I2756" s="2910"/>
      <c r="J2756" s="1657" t="str">
        <f>$C$1524</f>
        <v>354100_2019_12_</v>
      </c>
      <c r="K2756" s="1060">
        <v>1</v>
      </c>
      <c r="L2756" s="1124"/>
      <c r="M2756" s="1133"/>
      <c r="N2756" s="177"/>
      <c r="O2756" s="332"/>
      <c r="P2756" s="1116"/>
      <c r="Q2756" s="1117"/>
      <c r="R2756" s="1116"/>
      <c r="S2756" s="1103"/>
      <c r="T2756" s="1639"/>
      <c r="U2756" s="177"/>
      <c r="V2756" s="2866"/>
      <c r="W2756" s="1060">
        <v>1</v>
      </c>
      <c r="X2756" s="1060">
        <v>1</v>
      </c>
      <c r="Y2756" s="1060">
        <v>1</v>
      </c>
      <c r="Z2756" s="1060"/>
      <c r="AA2756" s="1060"/>
      <c r="AB2756" s="1060"/>
      <c r="AC2756" s="1060"/>
      <c r="AD2756" s="1060"/>
      <c r="AE2756" s="1060"/>
      <c r="AF2756" s="1060"/>
      <c r="AG2756" s="1060"/>
      <c r="BB2756" s="784"/>
      <c r="BC2756" s="785"/>
      <c r="BD2756" s="900"/>
      <c r="BE2756" s="797"/>
    </row>
    <row r="2757" spans="1:57" s="65" customFormat="1" ht="15" hidden="1" customHeight="1" outlineLevel="1" x14ac:dyDescent="0.25">
      <c r="A2757" s="718"/>
      <c r="B2757" s="785"/>
      <c r="C2757" s="455"/>
      <c r="D2757" s="2806"/>
      <c r="E2757" s="2856"/>
      <c r="F2757" s="2908" t="str">
        <f>$E$1526</f>
        <v>ASHP - SEER 17 - replace electric furnace / CAC - early replacement SF ER2</v>
      </c>
      <c r="G2757" s="2909"/>
      <c r="H2757" s="2909"/>
      <c r="I2757" s="2910"/>
      <c r="J2757" s="1657" t="str">
        <f>$C$1526</f>
        <v>354100_2019_12_</v>
      </c>
      <c r="K2757" s="1060">
        <v>1</v>
      </c>
      <c r="L2757" s="1124"/>
      <c r="M2757" s="1133"/>
      <c r="N2757" s="177"/>
      <c r="O2757" s="332"/>
      <c r="P2757" s="1116"/>
      <c r="Q2757" s="1117"/>
      <c r="R2757" s="1116"/>
      <c r="S2757" s="1103"/>
      <c r="T2757" s="1639"/>
      <c r="U2757" s="177"/>
      <c r="V2757" s="2866"/>
      <c r="W2757" s="1060">
        <v>1</v>
      </c>
      <c r="X2757" s="1060">
        <v>1</v>
      </c>
      <c r="Y2757" s="1060">
        <v>1</v>
      </c>
      <c r="Z2757" s="1060"/>
      <c r="AA2757" s="1060"/>
      <c r="AB2757" s="1060"/>
      <c r="AC2757" s="1060"/>
      <c r="AD2757" s="1060"/>
      <c r="AE2757" s="1060"/>
      <c r="AF2757" s="1060"/>
      <c r="AG2757" s="1060"/>
      <c r="BB2757" s="784"/>
      <c r="BC2757" s="785"/>
      <c r="BD2757" s="900"/>
      <c r="BE2757" s="797"/>
    </row>
    <row r="2758" spans="1:57" s="65" customFormat="1" ht="15" hidden="1" customHeight="1" outlineLevel="1" x14ac:dyDescent="0.25">
      <c r="A2758" s="718"/>
      <c r="B2758" s="785"/>
      <c r="C2758" s="455"/>
      <c r="D2758" s="2806"/>
      <c r="E2758" s="2856"/>
      <c r="F2758" s="2908" t="str">
        <f>$E$1528</f>
        <v>ASHP - SEER 17 - replace electric furnace / CAC - early replacement MF ER1</v>
      </c>
      <c r="G2758" s="2909"/>
      <c r="H2758" s="2909"/>
      <c r="I2758" s="2910"/>
      <c r="J2758" s="1657" t="str">
        <f>$C$1528</f>
        <v>354150_2019_12_</v>
      </c>
      <c r="K2758" s="1060">
        <v>0.65</v>
      </c>
      <c r="L2758" s="1124"/>
      <c r="M2758" s="1133"/>
      <c r="N2758" s="177"/>
      <c r="O2758" s="332"/>
      <c r="P2758" s="1116"/>
      <c r="Q2758" s="1117"/>
      <c r="R2758" s="1116"/>
      <c r="S2758" s="1103"/>
      <c r="T2758" s="1639"/>
      <c r="U2758" s="177"/>
      <c r="V2758" s="2866"/>
      <c r="W2758" s="1060">
        <v>0.65</v>
      </c>
      <c r="X2758" s="1060">
        <v>0.65</v>
      </c>
      <c r="Y2758" s="1060">
        <v>0.65</v>
      </c>
      <c r="Z2758" s="1060"/>
      <c r="AA2758" s="1060"/>
      <c r="AB2758" s="1060"/>
      <c r="AC2758" s="1060"/>
      <c r="AD2758" s="1060"/>
      <c r="AE2758" s="1060"/>
      <c r="AF2758" s="1060"/>
      <c r="AG2758" s="1060"/>
      <c r="BB2758" s="784"/>
      <c r="BC2758" s="785"/>
      <c r="BD2758" s="900"/>
      <c r="BE2758" s="797"/>
    </row>
    <row r="2759" spans="1:57" s="65" customFormat="1" ht="15" hidden="1" customHeight="1" outlineLevel="1" x14ac:dyDescent="0.25">
      <c r="A2759" s="718"/>
      <c r="B2759" s="785"/>
      <c r="C2759" s="455"/>
      <c r="D2759" s="2806"/>
      <c r="E2759" s="2856"/>
      <c r="F2759" s="2908" t="str">
        <f>$E$1530</f>
        <v>ASHP - SEER 17 - replace electric furnace / CAC - early replacement MF ER2</v>
      </c>
      <c r="G2759" s="2909"/>
      <c r="H2759" s="2909"/>
      <c r="I2759" s="2910"/>
      <c r="J2759" s="1657" t="str">
        <f>$C$1530</f>
        <v>354150_2019_12_</v>
      </c>
      <c r="K2759" s="1060">
        <v>0.65</v>
      </c>
      <c r="L2759" s="1124"/>
      <c r="M2759" s="1133"/>
      <c r="N2759" s="177"/>
      <c r="O2759" s="332"/>
      <c r="P2759" s="1116"/>
      <c r="Q2759" s="1117"/>
      <c r="R2759" s="1116"/>
      <c r="S2759" s="1103"/>
      <c r="T2759" s="1639"/>
      <c r="U2759" s="177"/>
      <c r="V2759" s="2866"/>
      <c r="W2759" s="1060">
        <v>0.65</v>
      </c>
      <c r="X2759" s="1060">
        <v>0.65</v>
      </c>
      <c r="Y2759" s="1060">
        <v>0.65</v>
      </c>
      <c r="Z2759" s="1060"/>
      <c r="AA2759" s="1060"/>
      <c r="AB2759" s="1060"/>
      <c r="AC2759" s="1060"/>
      <c r="AD2759" s="1060"/>
      <c r="AE2759" s="1060"/>
      <c r="AF2759" s="1060"/>
      <c r="AG2759" s="1060"/>
      <c r="BB2759" s="784"/>
      <c r="BC2759" s="785"/>
      <c r="BD2759" s="900"/>
      <c r="BE2759" s="797"/>
    </row>
    <row r="2760" spans="1:57" s="65" customFormat="1" ht="15" hidden="1" customHeight="1" outlineLevel="1" x14ac:dyDescent="0.25">
      <c r="A2760" s="718"/>
      <c r="B2760" s="785"/>
      <c r="C2760" s="455"/>
      <c r="D2760" s="2806"/>
      <c r="E2760" s="2856"/>
      <c r="F2760" s="2908" t="str">
        <f>$E$1532</f>
        <v>ASHP - SEER 17 - replace electric furnace / CAC - early replacement MF ER1_CompE</v>
      </c>
      <c r="G2760" s="2909"/>
      <c r="H2760" s="2909"/>
      <c r="I2760" s="2910"/>
      <c r="J2760" s="1657" t="str">
        <f>$C$1532</f>
        <v>354151_2019_12_</v>
      </c>
      <c r="K2760" s="1060">
        <f>K2758</f>
        <v>0.65</v>
      </c>
      <c r="L2760" s="1124"/>
      <c r="M2760" s="1133"/>
      <c r="N2760" s="177"/>
      <c r="O2760" s="332"/>
      <c r="P2760" s="1116"/>
      <c r="Q2760" s="1117"/>
      <c r="R2760" s="1116"/>
      <c r="S2760" s="1103"/>
      <c r="T2760" s="1639"/>
      <c r="U2760" s="177"/>
      <c r="V2760" s="2866"/>
      <c r="W2760" s="1060"/>
      <c r="X2760" s="1060"/>
      <c r="Y2760" s="1058">
        <v>0.65</v>
      </c>
      <c r="Z2760" s="1060"/>
      <c r="AA2760" s="1060"/>
      <c r="AB2760" s="1060"/>
      <c r="AC2760" s="1060"/>
      <c r="AD2760" s="1060"/>
      <c r="AE2760" s="1060"/>
      <c r="AF2760" s="1060"/>
      <c r="AG2760" s="1060"/>
      <c r="BB2760" s="784"/>
      <c r="BC2760" s="785"/>
      <c r="BD2760" s="900"/>
      <c r="BE2760" s="797"/>
    </row>
    <row r="2761" spans="1:57" s="65" customFormat="1" ht="15" hidden="1" customHeight="1" outlineLevel="1" x14ac:dyDescent="0.25">
      <c r="A2761" s="718"/>
      <c r="B2761" s="785"/>
      <c r="C2761" s="455"/>
      <c r="D2761" s="2806"/>
      <c r="E2761" s="2856"/>
      <c r="F2761" s="2908" t="str">
        <f>$E$1534</f>
        <v>ASHP - SEER 17 - replace electric furnace / CAC - early replacement MF ER2_CompE</v>
      </c>
      <c r="G2761" s="2909"/>
      <c r="H2761" s="2909"/>
      <c r="I2761" s="2910"/>
      <c r="J2761" s="1657" t="str">
        <f>$C$1534</f>
        <v>354151_2019_12_</v>
      </c>
      <c r="K2761" s="1060">
        <f>K2759</f>
        <v>0.65</v>
      </c>
      <c r="L2761" s="1124"/>
      <c r="M2761" s="1133"/>
      <c r="N2761" s="177"/>
      <c r="O2761" s="332"/>
      <c r="P2761" s="1116"/>
      <c r="Q2761" s="1117"/>
      <c r="R2761" s="1116"/>
      <c r="S2761" s="1103"/>
      <c r="T2761" s="1639"/>
      <c r="U2761" s="177"/>
      <c r="V2761" s="2866"/>
      <c r="W2761" s="1060"/>
      <c r="X2761" s="1060"/>
      <c r="Y2761" s="1058">
        <v>0.65</v>
      </c>
      <c r="Z2761" s="1060"/>
      <c r="AA2761" s="1060"/>
      <c r="AB2761" s="1060"/>
      <c r="AC2761" s="1060"/>
      <c r="AD2761" s="1060"/>
      <c r="AE2761" s="1060"/>
      <c r="AF2761" s="1060"/>
      <c r="AG2761" s="1060"/>
      <c r="BB2761" s="784"/>
      <c r="BC2761" s="785"/>
      <c r="BD2761" s="900"/>
      <c r="BE2761" s="797"/>
    </row>
    <row r="2762" spans="1:57" s="65" customFormat="1" ht="15" hidden="1" customHeight="1" outlineLevel="1" x14ac:dyDescent="0.25">
      <c r="A2762" s="718"/>
      <c r="B2762" s="785"/>
      <c r="C2762" s="455"/>
      <c r="D2762" s="2806"/>
      <c r="E2762" s="2856"/>
      <c r="F2762" s="2908" t="str">
        <f>$E$1536</f>
        <v>ASHP SEER 17 replace ASHP - early replacement MF ER1</v>
      </c>
      <c r="G2762" s="2909"/>
      <c r="H2762" s="2909"/>
      <c r="I2762" s="2910"/>
      <c r="J2762" s="1657" t="str">
        <f>$C$1536</f>
        <v>354200_2019_12_</v>
      </c>
      <c r="K2762" s="1060">
        <v>0.65</v>
      </c>
      <c r="L2762" s="1124"/>
      <c r="M2762" s="1133"/>
      <c r="N2762" s="177"/>
      <c r="O2762" s="332"/>
      <c r="P2762" s="1116"/>
      <c r="Q2762" s="1117"/>
      <c r="R2762" s="1116"/>
      <c r="S2762" s="1103"/>
      <c r="T2762" s="1639"/>
      <c r="U2762" s="177"/>
      <c r="V2762" s="2866"/>
      <c r="W2762" s="1060">
        <v>0.65</v>
      </c>
      <c r="X2762" s="1060">
        <v>0.65</v>
      </c>
      <c r="Y2762" s="1060">
        <v>0.65</v>
      </c>
      <c r="Z2762" s="1060"/>
      <c r="AA2762" s="1060"/>
      <c r="AB2762" s="1060"/>
      <c r="AC2762" s="1060"/>
      <c r="AD2762" s="1060"/>
      <c r="AE2762" s="1060"/>
      <c r="AF2762" s="1060"/>
      <c r="AG2762" s="1060"/>
      <c r="BB2762" s="784"/>
      <c r="BC2762" s="785"/>
      <c r="BD2762" s="900"/>
      <c r="BE2762" s="797"/>
    </row>
    <row r="2763" spans="1:57" s="65" customFormat="1" ht="15" hidden="1" customHeight="1" outlineLevel="1" x14ac:dyDescent="0.25">
      <c r="A2763" s="718"/>
      <c r="B2763" s="785"/>
      <c r="C2763" s="455"/>
      <c r="D2763" s="2806"/>
      <c r="E2763" s="2856"/>
      <c r="F2763" s="2908" t="str">
        <f>$E$1538</f>
        <v>ASHP SEER 17 replace ASHP - early replacement MF ER2</v>
      </c>
      <c r="G2763" s="2909"/>
      <c r="H2763" s="2909"/>
      <c r="I2763" s="2910"/>
      <c r="J2763" s="1657" t="str">
        <f>$C$1538</f>
        <v>354200_2019_12_</v>
      </c>
      <c r="K2763" s="1059">
        <v>0.65</v>
      </c>
      <c r="L2763" s="1124"/>
      <c r="M2763" s="1133"/>
      <c r="N2763" s="177"/>
      <c r="O2763" s="332"/>
      <c r="P2763" s="1116"/>
      <c r="Q2763" s="1117"/>
      <c r="R2763" s="1116"/>
      <c r="S2763" s="1103"/>
      <c r="T2763" s="1639"/>
      <c r="U2763" s="177"/>
      <c r="V2763" s="2866"/>
      <c r="W2763" s="1059">
        <v>0.65</v>
      </c>
      <c r="X2763" s="1059">
        <v>0.65</v>
      </c>
      <c r="Y2763" s="1059">
        <v>0.65</v>
      </c>
      <c r="Z2763" s="1060"/>
      <c r="AA2763" s="1060"/>
      <c r="AB2763" s="1059"/>
      <c r="AC2763" s="1059"/>
      <c r="AD2763" s="1059"/>
      <c r="AE2763" s="1059"/>
      <c r="AF2763" s="1059"/>
      <c r="AG2763" s="1059"/>
      <c r="BB2763" s="784"/>
      <c r="BC2763" s="785"/>
      <c r="BD2763" s="900"/>
      <c r="BE2763" s="797"/>
    </row>
    <row r="2764" spans="1:57" s="65" customFormat="1" ht="15" hidden="1" customHeight="1" outlineLevel="1" x14ac:dyDescent="0.25">
      <c r="A2764" s="718"/>
      <c r="B2764" s="785"/>
      <c r="C2764" s="455"/>
      <c r="D2764" s="2806"/>
      <c r="E2764" s="2856"/>
      <c r="F2764" s="2908" t="str">
        <f>$E$1540</f>
        <v>ASHP SEER 17 replace ASHP - early replacement MF ER1_CompE</v>
      </c>
      <c r="G2764" s="2909"/>
      <c r="H2764" s="2909"/>
      <c r="I2764" s="2910"/>
      <c r="J2764" s="1657" t="str">
        <f>$C$1540</f>
        <v>354201_2019_12_</v>
      </c>
      <c r="K2764" s="1060">
        <f>K2762</f>
        <v>0.65</v>
      </c>
      <c r="L2764" s="1124"/>
      <c r="M2764" s="1133"/>
      <c r="N2764" s="177"/>
      <c r="O2764" s="332"/>
      <c r="P2764" s="1116"/>
      <c r="Q2764" s="1117"/>
      <c r="R2764" s="1116"/>
      <c r="S2764" s="1103"/>
      <c r="T2764" s="1639"/>
      <c r="U2764" s="177"/>
      <c r="V2764" s="2866"/>
      <c r="W2764" s="1059"/>
      <c r="X2764" s="1059"/>
      <c r="Y2764" s="1058">
        <v>0.65</v>
      </c>
      <c r="Z2764" s="1060"/>
      <c r="AA2764" s="1060"/>
      <c r="AB2764" s="1059"/>
      <c r="AC2764" s="1059"/>
      <c r="AD2764" s="1059"/>
      <c r="AE2764" s="1059"/>
      <c r="AF2764" s="1059"/>
      <c r="AG2764" s="1059"/>
      <c r="BB2764" s="784"/>
      <c r="BC2764" s="785"/>
      <c r="BD2764" s="900"/>
      <c r="BE2764" s="797"/>
    </row>
    <row r="2765" spans="1:57" s="65" customFormat="1" ht="15" hidden="1" customHeight="1" outlineLevel="1" x14ac:dyDescent="0.25">
      <c r="A2765" s="718"/>
      <c r="B2765" s="785"/>
      <c r="C2765" s="455"/>
      <c r="D2765" s="2806"/>
      <c r="E2765" s="2856"/>
      <c r="F2765" s="2908" t="str">
        <f>$E$1542</f>
        <v>ASHP SEER 17 replace ASHP - early replacement MF ER2_CompE</v>
      </c>
      <c r="G2765" s="2909"/>
      <c r="H2765" s="2909"/>
      <c r="I2765" s="2910"/>
      <c r="J2765" s="1657" t="str">
        <f>$C$1542</f>
        <v>354201_2019_12_</v>
      </c>
      <c r="K2765" s="1060">
        <f>K2763</f>
        <v>0.65</v>
      </c>
      <c r="L2765" s="1124"/>
      <c r="M2765" s="1133"/>
      <c r="N2765" s="177"/>
      <c r="O2765" s="332"/>
      <c r="P2765" s="1116"/>
      <c r="Q2765" s="1117"/>
      <c r="R2765" s="1116"/>
      <c r="S2765" s="1103"/>
      <c r="T2765" s="1639"/>
      <c r="U2765" s="177"/>
      <c r="V2765" s="2866"/>
      <c r="W2765" s="1059"/>
      <c r="X2765" s="1059"/>
      <c r="Y2765" s="1058">
        <v>0.65</v>
      </c>
      <c r="Z2765" s="1060"/>
      <c r="AA2765" s="1060"/>
      <c r="AB2765" s="1059"/>
      <c r="AC2765" s="1059"/>
      <c r="AD2765" s="1059"/>
      <c r="AE2765" s="1059"/>
      <c r="AF2765" s="1059"/>
      <c r="AG2765" s="1059"/>
      <c r="BB2765" s="784"/>
      <c r="BC2765" s="785"/>
      <c r="BD2765" s="900"/>
      <c r="BE2765" s="797"/>
    </row>
    <row r="2766" spans="1:57" s="65" customFormat="1" ht="15" hidden="1" customHeight="1" outlineLevel="1" x14ac:dyDescent="0.25">
      <c r="A2766" s="718"/>
      <c r="B2766" s="785"/>
      <c r="C2766" s="455"/>
      <c r="D2766" s="2806"/>
      <c r="E2766" s="2856"/>
      <c r="F2766" s="2908" t="str">
        <f>$E$1544</f>
        <v>ASHP - SEER 18 - replace electric furnace / CAC - early replacement SF ER1</v>
      </c>
      <c r="G2766" s="2909"/>
      <c r="H2766" s="2909"/>
      <c r="I2766" s="2910"/>
      <c r="J2766" s="1657" t="str">
        <f>$C$1544</f>
        <v>354250_2019_12_</v>
      </c>
      <c r="K2766" s="1060">
        <v>1</v>
      </c>
      <c r="L2766" s="1136"/>
      <c r="M2766" s="1133"/>
      <c r="N2766" s="177"/>
      <c r="O2766" s="332"/>
      <c r="P2766" s="1116"/>
      <c r="Q2766" s="1117"/>
      <c r="R2766" s="1116"/>
      <c r="S2766" s="1103"/>
      <c r="T2766" s="1639"/>
      <c r="U2766" s="177"/>
      <c r="V2766" s="2866"/>
      <c r="W2766" s="1060">
        <v>1</v>
      </c>
      <c r="X2766" s="1060">
        <v>1</v>
      </c>
      <c r="Y2766" s="1060">
        <v>1</v>
      </c>
      <c r="Z2766" s="1060"/>
      <c r="AA2766" s="1060"/>
      <c r="AB2766" s="1060"/>
      <c r="AC2766" s="1060"/>
      <c r="AD2766" s="1060"/>
      <c r="AE2766" s="1060"/>
      <c r="AF2766" s="1060"/>
      <c r="AG2766" s="1060"/>
      <c r="BB2766" s="784"/>
      <c r="BC2766" s="785"/>
      <c r="BD2766" s="900"/>
      <c r="BE2766" s="797"/>
    </row>
    <row r="2767" spans="1:57" s="65" customFormat="1" ht="15" hidden="1" customHeight="1" outlineLevel="1" x14ac:dyDescent="0.25">
      <c r="A2767" s="718"/>
      <c r="B2767" s="785"/>
      <c r="C2767" s="455"/>
      <c r="D2767" s="2806"/>
      <c r="E2767" s="2856"/>
      <c r="F2767" s="2908" t="str">
        <f>$E$1546</f>
        <v>ASHP - SEER 18 - replace electric furnace / CAC - early replacement SF ER2</v>
      </c>
      <c r="G2767" s="2909"/>
      <c r="H2767" s="2909"/>
      <c r="I2767" s="2910"/>
      <c r="J2767" s="1657" t="str">
        <f>$C$1546</f>
        <v>354250_2019_12_</v>
      </c>
      <c r="K2767" s="1060">
        <v>1</v>
      </c>
      <c r="L2767" s="1136"/>
      <c r="M2767" s="1133"/>
      <c r="N2767" s="177"/>
      <c r="O2767" s="332"/>
      <c r="P2767" s="1116"/>
      <c r="Q2767" s="1117"/>
      <c r="R2767" s="1116"/>
      <c r="S2767" s="1103"/>
      <c r="T2767" s="1639"/>
      <c r="U2767" s="177"/>
      <c r="V2767" s="2866"/>
      <c r="W2767" s="1060">
        <v>1</v>
      </c>
      <c r="X2767" s="1060">
        <v>1</v>
      </c>
      <c r="Y2767" s="1060">
        <v>1</v>
      </c>
      <c r="Z2767" s="1060"/>
      <c r="AA2767" s="1060"/>
      <c r="AB2767" s="1060"/>
      <c r="AC2767" s="1060"/>
      <c r="AD2767" s="1060"/>
      <c r="AE2767" s="1060"/>
      <c r="AF2767" s="1060"/>
      <c r="AG2767" s="1060"/>
      <c r="BB2767" s="784"/>
      <c r="BC2767" s="785"/>
      <c r="BD2767" s="900"/>
      <c r="BE2767" s="797"/>
    </row>
    <row r="2768" spans="1:57" s="65" customFormat="1" ht="15" hidden="1" customHeight="1" outlineLevel="1" x14ac:dyDescent="0.25">
      <c r="A2768" s="718"/>
      <c r="B2768" s="785"/>
      <c r="C2768" s="455"/>
      <c r="D2768" s="2806"/>
      <c r="E2768" s="2856"/>
      <c r="F2768" s="2908" t="str">
        <f>$E$1548</f>
        <v>ASHP - SEER 18 - replace electric furnace / CAC - early replacement MF ER1</v>
      </c>
      <c r="G2768" s="2909"/>
      <c r="H2768" s="2909"/>
      <c r="I2768" s="2910"/>
      <c r="J2768" s="1657" t="str">
        <f>$C$1548</f>
        <v>354300_2019_12_</v>
      </c>
      <c r="K2768" s="1060">
        <v>0.65</v>
      </c>
      <c r="L2768" s="1136"/>
      <c r="M2768" s="1133"/>
      <c r="N2768" s="177"/>
      <c r="O2768" s="332"/>
      <c r="P2768" s="1116"/>
      <c r="Q2768" s="1117"/>
      <c r="R2768" s="1116"/>
      <c r="S2768" s="1103"/>
      <c r="T2768" s="1639"/>
      <c r="U2768" s="177"/>
      <c r="V2768" s="2866"/>
      <c r="W2768" s="1060">
        <v>0.65</v>
      </c>
      <c r="X2768" s="1060">
        <v>0.65</v>
      </c>
      <c r="Y2768" s="1060">
        <v>0.65</v>
      </c>
      <c r="Z2768" s="1060"/>
      <c r="AA2768" s="1060"/>
      <c r="AB2768" s="1060"/>
      <c r="AC2768" s="1060"/>
      <c r="AD2768" s="1060"/>
      <c r="AE2768" s="1060"/>
      <c r="AF2768" s="1060"/>
      <c r="AG2768" s="1060"/>
      <c r="BB2768" s="784"/>
      <c r="BC2768" s="785"/>
      <c r="BD2768" s="900"/>
      <c r="BE2768" s="797"/>
    </row>
    <row r="2769" spans="1:57" s="65" customFormat="1" ht="15" hidden="1" customHeight="1" outlineLevel="1" x14ac:dyDescent="0.25">
      <c r="A2769" s="718"/>
      <c r="B2769" s="785"/>
      <c r="C2769" s="455"/>
      <c r="D2769" s="2806"/>
      <c r="E2769" s="2856"/>
      <c r="F2769" s="2908" t="str">
        <f>$E$1550</f>
        <v>ASHP - SEER 18 - replace electric furnace / CAC - early replacement MF ER2</v>
      </c>
      <c r="G2769" s="2909"/>
      <c r="H2769" s="2909"/>
      <c r="I2769" s="2910"/>
      <c r="J2769" s="1657" t="str">
        <f>$C$1550</f>
        <v>354300_2019_12_</v>
      </c>
      <c r="K2769" s="1060">
        <v>0.65</v>
      </c>
      <c r="L2769" s="1136"/>
      <c r="M2769" s="1133"/>
      <c r="N2769" s="177"/>
      <c r="O2769" s="332"/>
      <c r="P2769" s="1116"/>
      <c r="Q2769" s="1117"/>
      <c r="R2769" s="1116"/>
      <c r="S2769" s="1103"/>
      <c r="T2769" s="1639"/>
      <c r="U2769" s="177"/>
      <c r="V2769" s="2866"/>
      <c r="W2769" s="1060">
        <v>0.65</v>
      </c>
      <c r="X2769" s="1060">
        <v>0.65</v>
      </c>
      <c r="Y2769" s="1060">
        <v>0.65</v>
      </c>
      <c r="Z2769" s="1060"/>
      <c r="AA2769" s="1060"/>
      <c r="AB2769" s="1060"/>
      <c r="AC2769" s="1060"/>
      <c r="AD2769" s="1060"/>
      <c r="AE2769" s="1060"/>
      <c r="AF2769" s="1060"/>
      <c r="AG2769" s="1060"/>
      <c r="BB2769" s="784"/>
      <c r="BC2769" s="785"/>
      <c r="BD2769" s="900"/>
      <c r="BE2769" s="797"/>
    </row>
    <row r="2770" spans="1:57" s="65" customFormat="1" ht="15" hidden="1" customHeight="1" outlineLevel="1" x14ac:dyDescent="0.25">
      <c r="A2770" s="718"/>
      <c r="B2770" s="785"/>
      <c r="C2770" s="455"/>
      <c r="D2770" s="2806"/>
      <c r="E2770" s="2856"/>
      <c r="F2770" s="2908" t="str">
        <f>$E$1552</f>
        <v>ASHP - SEER 18 - replace electric furnace / CAC - early replacement MF ER1_CompE</v>
      </c>
      <c r="G2770" s="2909"/>
      <c r="H2770" s="2909"/>
      <c r="I2770" s="2910"/>
      <c r="J2770" s="1657" t="str">
        <f>$C$1552</f>
        <v>354301_2019_12_</v>
      </c>
      <c r="K2770" s="1060">
        <f>K2768</f>
        <v>0.65</v>
      </c>
      <c r="L2770" s="1136"/>
      <c r="M2770" s="1133"/>
      <c r="N2770" s="177"/>
      <c r="O2770" s="332"/>
      <c r="P2770" s="1116"/>
      <c r="Q2770" s="1117"/>
      <c r="R2770" s="1116"/>
      <c r="S2770" s="1103"/>
      <c r="T2770" s="1639"/>
      <c r="U2770" s="177"/>
      <c r="V2770" s="2866"/>
      <c r="W2770" s="1060"/>
      <c r="X2770" s="1060"/>
      <c r="Y2770" s="1058">
        <v>0.65</v>
      </c>
      <c r="Z2770" s="1060"/>
      <c r="AA2770" s="1060"/>
      <c r="AB2770" s="1060"/>
      <c r="AC2770" s="1060"/>
      <c r="AD2770" s="1060"/>
      <c r="AE2770" s="1060"/>
      <c r="AF2770" s="1060"/>
      <c r="AG2770" s="1060"/>
      <c r="BB2770" s="784"/>
      <c r="BC2770" s="785"/>
      <c r="BD2770" s="900"/>
      <c r="BE2770" s="797"/>
    </row>
    <row r="2771" spans="1:57" s="65" customFormat="1" ht="15" hidden="1" customHeight="1" outlineLevel="1" x14ac:dyDescent="0.25">
      <c r="A2771" s="718"/>
      <c r="B2771" s="785"/>
      <c r="C2771" s="455"/>
      <c r="D2771" s="2806"/>
      <c r="E2771" s="2856"/>
      <c r="F2771" s="2908" t="str">
        <f>$E$1554</f>
        <v>ASHP - SEER 18 - replace electric furnace / CAC - early replacement MF ER2_CompE</v>
      </c>
      <c r="G2771" s="2909"/>
      <c r="H2771" s="2909"/>
      <c r="I2771" s="2910"/>
      <c r="J2771" s="1657" t="str">
        <f>$C$1554</f>
        <v>354301_2019_12_</v>
      </c>
      <c r="K2771" s="1060">
        <f>K2769</f>
        <v>0.65</v>
      </c>
      <c r="L2771" s="1136"/>
      <c r="M2771" s="1133"/>
      <c r="N2771" s="177"/>
      <c r="O2771" s="332"/>
      <c r="P2771" s="1116"/>
      <c r="Q2771" s="1117"/>
      <c r="R2771" s="1116"/>
      <c r="S2771" s="1103"/>
      <c r="T2771" s="1639"/>
      <c r="U2771" s="177"/>
      <c r="V2771" s="2866"/>
      <c r="W2771" s="1060"/>
      <c r="X2771" s="1060"/>
      <c r="Y2771" s="1058">
        <v>0.65</v>
      </c>
      <c r="Z2771" s="1060"/>
      <c r="AA2771" s="1060"/>
      <c r="AB2771" s="1060"/>
      <c r="AC2771" s="1060"/>
      <c r="AD2771" s="1060"/>
      <c r="AE2771" s="1060"/>
      <c r="AF2771" s="1060"/>
      <c r="AG2771" s="1060"/>
      <c r="BB2771" s="784"/>
      <c r="BC2771" s="785"/>
      <c r="BD2771" s="900"/>
      <c r="BE2771" s="797"/>
    </row>
    <row r="2772" spans="1:57" s="65" customFormat="1" ht="15" hidden="1" customHeight="1" outlineLevel="1" x14ac:dyDescent="0.25">
      <c r="A2772" s="718"/>
      <c r="B2772" s="785"/>
      <c r="C2772" s="455"/>
      <c r="D2772" s="2806"/>
      <c r="E2772" s="2856"/>
      <c r="F2772" s="2908" t="str">
        <f>$E$1556</f>
        <v>ASHP SEER 18 replace ASHP - early replacement MF ER1</v>
      </c>
      <c r="G2772" s="2909"/>
      <c r="H2772" s="2909"/>
      <c r="I2772" s="2910"/>
      <c r="J2772" s="1657" t="str">
        <f>$C$1556</f>
        <v>354350_2019_12_</v>
      </c>
      <c r="K2772" s="1060">
        <v>0.65</v>
      </c>
      <c r="L2772" s="1136"/>
      <c r="M2772" s="1133"/>
      <c r="N2772" s="177"/>
      <c r="O2772" s="332"/>
      <c r="P2772" s="1116"/>
      <c r="Q2772" s="1117"/>
      <c r="R2772" s="1116"/>
      <c r="S2772" s="1103"/>
      <c r="T2772" s="1639"/>
      <c r="U2772" s="177"/>
      <c r="V2772" s="2866"/>
      <c r="W2772" s="1060">
        <v>0.65</v>
      </c>
      <c r="X2772" s="1060">
        <v>0.65</v>
      </c>
      <c r="Y2772" s="1060">
        <v>0.65</v>
      </c>
      <c r="Z2772" s="1060"/>
      <c r="AA2772" s="1060"/>
      <c r="AB2772" s="1060"/>
      <c r="AC2772" s="1060"/>
      <c r="AD2772" s="1060"/>
      <c r="AE2772" s="1060"/>
      <c r="AF2772" s="1060"/>
      <c r="AG2772" s="1060"/>
      <c r="BB2772" s="784"/>
      <c r="BC2772" s="785"/>
      <c r="BD2772" s="900"/>
      <c r="BE2772" s="797"/>
    </row>
    <row r="2773" spans="1:57" s="65" customFormat="1" ht="15" hidden="1" customHeight="1" outlineLevel="1" x14ac:dyDescent="0.25">
      <c r="A2773" s="718"/>
      <c r="B2773" s="785"/>
      <c r="C2773" s="455"/>
      <c r="D2773" s="2806"/>
      <c r="E2773" s="2856"/>
      <c r="F2773" s="2908" t="str">
        <f>$E$1558</f>
        <v>ASHP SEER 18 replace ASHP - early replacement MF ER2</v>
      </c>
      <c r="G2773" s="2909"/>
      <c r="H2773" s="2909"/>
      <c r="I2773" s="2910"/>
      <c r="J2773" s="1657" t="str">
        <f>$C$1558</f>
        <v>354350_2019_12_</v>
      </c>
      <c r="K2773" s="1060">
        <v>0.65</v>
      </c>
      <c r="L2773" s="1136"/>
      <c r="M2773" s="1133"/>
      <c r="N2773" s="177"/>
      <c r="O2773" s="332"/>
      <c r="P2773" s="1116"/>
      <c r="Q2773" s="1117"/>
      <c r="R2773" s="1116"/>
      <c r="S2773" s="1103"/>
      <c r="T2773" s="1639"/>
      <c r="U2773" s="177"/>
      <c r="V2773" s="2866"/>
      <c r="W2773" s="1060">
        <v>0.65</v>
      </c>
      <c r="X2773" s="1060">
        <v>0.65</v>
      </c>
      <c r="Y2773" s="1060">
        <v>0.65</v>
      </c>
      <c r="Z2773" s="1060"/>
      <c r="AA2773" s="1060"/>
      <c r="AB2773" s="1060"/>
      <c r="AC2773" s="1060"/>
      <c r="AD2773" s="1060"/>
      <c r="AE2773" s="1060"/>
      <c r="AF2773" s="1060"/>
      <c r="AG2773" s="1060"/>
      <c r="BB2773" s="784"/>
      <c r="BC2773" s="785"/>
      <c r="BD2773" s="900"/>
      <c r="BE2773" s="797"/>
    </row>
    <row r="2774" spans="1:57" s="65" customFormat="1" ht="15" hidden="1" customHeight="1" outlineLevel="1" x14ac:dyDescent="0.25">
      <c r="A2774" s="718"/>
      <c r="B2774" s="785"/>
      <c r="C2774" s="455"/>
      <c r="D2774" s="2806"/>
      <c r="E2774" s="2856"/>
      <c r="F2774" s="2908" t="str">
        <f>$E$1560</f>
        <v>ASHP SEER 18 replace ASHP - early replacement MF ER1_CompE</v>
      </c>
      <c r="G2774" s="2909"/>
      <c r="H2774" s="2909"/>
      <c r="I2774" s="2910"/>
      <c r="J2774" s="1657" t="str">
        <f>$C$1560</f>
        <v>354351_2019_12_</v>
      </c>
      <c r="K2774" s="1060">
        <f>K2772</f>
        <v>0.65</v>
      </c>
      <c r="L2774" s="1136"/>
      <c r="M2774" s="1133"/>
      <c r="N2774" s="177"/>
      <c r="O2774" s="332"/>
      <c r="P2774" s="1116"/>
      <c r="Q2774" s="1117"/>
      <c r="R2774" s="1116"/>
      <c r="S2774" s="1103"/>
      <c r="T2774" s="1639"/>
      <c r="U2774" s="177"/>
      <c r="V2774" s="2866"/>
      <c r="W2774" s="1060"/>
      <c r="X2774" s="1060"/>
      <c r="Y2774" s="1058">
        <v>0.65</v>
      </c>
      <c r="Z2774" s="1060"/>
      <c r="AA2774" s="1060"/>
      <c r="AB2774" s="1060"/>
      <c r="AC2774" s="1060"/>
      <c r="AD2774" s="1060"/>
      <c r="AE2774" s="1060"/>
      <c r="AF2774" s="1060"/>
      <c r="AG2774" s="1060"/>
      <c r="BB2774" s="784"/>
      <c r="BC2774" s="785"/>
      <c r="BD2774" s="900"/>
      <c r="BE2774" s="797"/>
    </row>
    <row r="2775" spans="1:57" s="65" customFormat="1" ht="15" hidden="1" customHeight="1" outlineLevel="1" x14ac:dyDescent="0.25">
      <c r="A2775" s="718"/>
      <c r="B2775" s="785"/>
      <c r="C2775" s="455"/>
      <c r="D2775" s="2806"/>
      <c r="E2775" s="2856"/>
      <c r="F2775" s="2908" t="str">
        <f>$E$1562</f>
        <v>ASHP SEER 18 replace ASHP - early replacement MF ER2_CompE</v>
      </c>
      <c r="G2775" s="2909"/>
      <c r="H2775" s="2909"/>
      <c r="I2775" s="2910"/>
      <c r="J2775" s="1657" t="str">
        <f>$C$1562</f>
        <v>354351_2019_12_</v>
      </c>
      <c r="K2775" s="1060">
        <f>K2773</f>
        <v>0.65</v>
      </c>
      <c r="L2775" s="1136"/>
      <c r="M2775" s="1133"/>
      <c r="N2775" s="177"/>
      <c r="O2775" s="332"/>
      <c r="P2775" s="1116"/>
      <c r="Q2775" s="1117"/>
      <c r="R2775" s="1116"/>
      <c r="S2775" s="1103"/>
      <c r="T2775" s="1639"/>
      <c r="U2775" s="177"/>
      <c r="V2775" s="2866"/>
      <c r="W2775" s="1060"/>
      <c r="X2775" s="1060"/>
      <c r="Y2775" s="1058">
        <v>0.65</v>
      </c>
      <c r="Z2775" s="1060"/>
      <c r="AA2775" s="1060"/>
      <c r="AB2775" s="1060"/>
      <c r="AC2775" s="1060"/>
      <c r="AD2775" s="1060"/>
      <c r="AE2775" s="1060"/>
      <c r="AF2775" s="1060"/>
      <c r="AG2775" s="1060"/>
      <c r="BB2775" s="784"/>
      <c r="BC2775" s="785"/>
      <c r="BD2775" s="900"/>
      <c r="BE2775" s="797"/>
    </row>
    <row r="2776" spans="1:57" s="65" customFormat="1" ht="15" hidden="1" customHeight="1" outlineLevel="1" x14ac:dyDescent="0.25">
      <c r="A2776" s="718"/>
      <c r="B2776" s="785"/>
      <c r="C2776" s="455"/>
      <c r="D2776" s="2806"/>
      <c r="E2776" s="2856"/>
      <c r="F2776" s="2908" t="str">
        <f>$E$1564</f>
        <v>ASHP - SEER 19 - replace electric furnace / CAC - early replacement SF ER1</v>
      </c>
      <c r="G2776" s="2909"/>
      <c r="H2776" s="2909"/>
      <c r="I2776" s="2910"/>
      <c r="J2776" s="1657" t="str">
        <f>$C$1564</f>
        <v>354400_2019_12_</v>
      </c>
      <c r="K2776" s="1060">
        <v>1</v>
      </c>
      <c r="L2776" s="1136"/>
      <c r="M2776" s="1133"/>
      <c r="N2776" s="177"/>
      <c r="O2776" s="332"/>
      <c r="P2776" s="1116"/>
      <c r="Q2776" s="1117"/>
      <c r="R2776" s="1116"/>
      <c r="S2776" s="1103"/>
      <c r="T2776" s="1639"/>
      <c r="U2776" s="177"/>
      <c r="V2776" s="2866"/>
      <c r="W2776" s="1060">
        <v>1</v>
      </c>
      <c r="X2776" s="1060">
        <v>1</v>
      </c>
      <c r="Y2776" s="1060">
        <v>1</v>
      </c>
      <c r="Z2776" s="1060"/>
      <c r="AA2776" s="1060"/>
      <c r="AB2776" s="1060"/>
      <c r="AC2776" s="1060"/>
      <c r="AD2776" s="1060"/>
      <c r="AE2776" s="1060"/>
      <c r="AF2776" s="1060"/>
      <c r="AG2776" s="1060"/>
      <c r="BB2776" s="784"/>
      <c r="BC2776" s="785"/>
      <c r="BD2776" s="900"/>
      <c r="BE2776" s="797"/>
    </row>
    <row r="2777" spans="1:57" s="65" customFormat="1" ht="15" hidden="1" customHeight="1" outlineLevel="1" x14ac:dyDescent="0.25">
      <c r="A2777" s="718"/>
      <c r="B2777" s="785"/>
      <c r="C2777" s="455"/>
      <c r="D2777" s="2806"/>
      <c r="E2777" s="2856"/>
      <c r="F2777" s="2908" t="str">
        <f>$E$1566</f>
        <v>ASHP - SEER 19 - replace electric furnace / CAC - early replacement SF ER2</v>
      </c>
      <c r="G2777" s="2909"/>
      <c r="H2777" s="2909"/>
      <c r="I2777" s="2910"/>
      <c r="J2777" s="1657" t="str">
        <f>$C$1566</f>
        <v>354400_2019_12_</v>
      </c>
      <c r="K2777" s="1060">
        <v>1</v>
      </c>
      <c r="L2777" s="1136"/>
      <c r="M2777" s="1133"/>
      <c r="N2777" s="177"/>
      <c r="O2777" s="332"/>
      <c r="P2777" s="1116"/>
      <c r="Q2777" s="1117"/>
      <c r="R2777" s="1116"/>
      <c r="S2777" s="1103"/>
      <c r="T2777" s="1639"/>
      <c r="U2777" s="177"/>
      <c r="V2777" s="2866"/>
      <c r="W2777" s="1060">
        <v>1</v>
      </c>
      <c r="X2777" s="1060">
        <v>1</v>
      </c>
      <c r="Y2777" s="1060">
        <v>1</v>
      </c>
      <c r="Z2777" s="1060"/>
      <c r="AA2777" s="1060"/>
      <c r="AB2777" s="1060"/>
      <c r="AC2777" s="1060"/>
      <c r="AD2777" s="1060"/>
      <c r="AE2777" s="1060"/>
      <c r="AF2777" s="1060"/>
      <c r="AG2777" s="1060"/>
      <c r="BB2777" s="784"/>
      <c r="BC2777" s="785"/>
      <c r="BD2777" s="900"/>
      <c r="BE2777" s="797"/>
    </row>
    <row r="2778" spans="1:57" s="65" customFormat="1" ht="15" hidden="1" customHeight="1" outlineLevel="1" x14ac:dyDescent="0.25">
      <c r="A2778" s="718"/>
      <c r="B2778" s="785"/>
      <c r="C2778" s="455"/>
      <c r="D2778" s="2806"/>
      <c r="E2778" s="2856"/>
      <c r="F2778" s="2908" t="str">
        <f>$E$1568</f>
        <v>ASHP - SEER 19 - replace electric furnace / CAC - early replacement MF ER1</v>
      </c>
      <c r="G2778" s="2909"/>
      <c r="H2778" s="2909"/>
      <c r="I2778" s="2910"/>
      <c r="J2778" s="1657" t="str">
        <f>$C$1568</f>
        <v>354450_2019_12_</v>
      </c>
      <c r="K2778" s="1060">
        <v>0.65</v>
      </c>
      <c r="L2778" s="1136"/>
      <c r="M2778" s="1133"/>
      <c r="N2778" s="177"/>
      <c r="O2778" s="332"/>
      <c r="P2778" s="1116"/>
      <c r="Q2778" s="1117"/>
      <c r="R2778" s="1116"/>
      <c r="S2778" s="1103"/>
      <c r="T2778" s="1639"/>
      <c r="U2778" s="177"/>
      <c r="V2778" s="2866"/>
      <c r="W2778" s="1060">
        <v>0.65</v>
      </c>
      <c r="X2778" s="1060">
        <v>0.65</v>
      </c>
      <c r="Y2778" s="1060">
        <v>0.65</v>
      </c>
      <c r="Z2778" s="1060"/>
      <c r="AA2778" s="1060"/>
      <c r="AB2778" s="1060"/>
      <c r="AC2778" s="1060"/>
      <c r="AD2778" s="1060"/>
      <c r="AE2778" s="1060"/>
      <c r="AF2778" s="1060"/>
      <c r="AG2778" s="1060"/>
      <c r="BB2778" s="784"/>
      <c r="BC2778" s="785"/>
      <c r="BD2778" s="900"/>
      <c r="BE2778" s="797"/>
    </row>
    <row r="2779" spans="1:57" s="65" customFormat="1" ht="15" hidden="1" customHeight="1" outlineLevel="1" x14ac:dyDescent="0.25">
      <c r="A2779" s="718"/>
      <c r="B2779" s="785"/>
      <c r="C2779" s="455"/>
      <c r="D2779" s="2806"/>
      <c r="E2779" s="2856"/>
      <c r="F2779" s="2908" t="str">
        <f>$E$1570</f>
        <v>ASHP - SEER 19 - replace electric furnace / CAC - early replacement MF ER2</v>
      </c>
      <c r="G2779" s="2909"/>
      <c r="H2779" s="2909"/>
      <c r="I2779" s="2910"/>
      <c r="J2779" s="1657" t="str">
        <f>$C$1570</f>
        <v>354450_2019_12_</v>
      </c>
      <c r="K2779" s="1060">
        <v>0.65</v>
      </c>
      <c r="L2779" s="1136"/>
      <c r="M2779" s="1133"/>
      <c r="N2779" s="177"/>
      <c r="O2779" s="332"/>
      <c r="P2779" s="1116"/>
      <c r="Q2779" s="1117"/>
      <c r="R2779" s="1116"/>
      <c r="S2779" s="1103"/>
      <c r="T2779" s="1639"/>
      <c r="U2779" s="177"/>
      <c r="V2779" s="2866"/>
      <c r="W2779" s="1060">
        <v>0.65</v>
      </c>
      <c r="X2779" s="1060">
        <v>0.65</v>
      </c>
      <c r="Y2779" s="1060">
        <v>0.65</v>
      </c>
      <c r="Z2779" s="1060"/>
      <c r="AA2779" s="1060"/>
      <c r="AB2779" s="1060"/>
      <c r="AC2779" s="1060"/>
      <c r="AD2779" s="1060"/>
      <c r="AE2779" s="1060"/>
      <c r="AF2779" s="1060"/>
      <c r="AG2779" s="1060"/>
      <c r="BB2779" s="784"/>
      <c r="BC2779" s="785"/>
      <c r="BD2779" s="900"/>
      <c r="BE2779" s="797"/>
    </row>
    <row r="2780" spans="1:57" s="65" customFormat="1" ht="15" hidden="1" customHeight="1" outlineLevel="1" x14ac:dyDescent="0.25">
      <c r="A2780" s="718"/>
      <c r="B2780" s="785"/>
      <c r="C2780" s="455"/>
      <c r="D2780" s="2806"/>
      <c r="E2780" s="2856"/>
      <c r="F2780" s="2908" t="str">
        <f>$E$1572</f>
        <v>ASHP - SEER 19 - replace electric furnace / CAC - early replacement MF ER1_CompE</v>
      </c>
      <c r="G2780" s="2909"/>
      <c r="H2780" s="2909"/>
      <c r="I2780" s="2910"/>
      <c r="J2780" s="1657" t="str">
        <f>$C$1572</f>
        <v>354451_2019_12_</v>
      </c>
      <c r="K2780" s="1060">
        <f>K2778</f>
        <v>0.65</v>
      </c>
      <c r="L2780" s="1136"/>
      <c r="M2780" s="1133"/>
      <c r="N2780" s="177"/>
      <c r="O2780" s="332"/>
      <c r="P2780" s="1116"/>
      <c r="Q2780" s="1117"/>
      <c r="R2780" s="1116"/>
      <c r="S2780" s="1103"/>
      <c r="T2780" s="1639"/>
      <c r="U2780" s="177"/>
      <c r="V2780" s="2866"/>
      <c r="W2780" s="1060"/>
      <c r="X2780" s="1060"/>
      <c r="Y2780" s="1058">
        <v>0.65</v>
      </c>
      <c r="Z2780" s="1060"/>
      <c r="AA2780" s="1060"/>
      <c r="AB2780" s="1060"/>
      <c r="AC2780" s="1060"/>
      <c r="AD2780" s="1060"/>
      <c r="AE2780" s="1060"/>
      <c r="AF2780" s="1060"/>
      <c r="AG2780" s="1060"/>
      <c r="BB2780" s="784"/>
      <c r="BC2780" s="785"/>
      <c r="BD2780" s="900"/>
      <c r="BE2780" s="797"/>
    </row>
    <row r="2781" spans="1:57" s="65" customFormat="1" ht="15" hidden="1" customHeight="1" outlineLevel="1" x14ac:dyDescent="0.25">
      <c r="A2781" s="718"/>
      <c r="B2781" s="785"/>
      <c r="C2781" s="455"/>
      <c r="D2781" s="2806"/>
      <c r="E2781" s="2856"/>
      <c r="F2781" s="2908" t="str">
        <f>$E$1574</f>
        <v>ASHP - SEER 19 - replace electric furnace / CAC - early replacement MF ER2_CompE</v>
      </c>
      <c r="G2781" s="2909"/>
      <c r="H2781" s="2909"/>
      <c r="I2781" s="2910"/>
      <c r="J2781" s="1657" t="str">
        <f>$C$1574</f>
        <v>354451_2019_12_</v>
      </c>
      <c r="K2781" s="1060">
        <f>K2779</f>
        <v>0.65</v>
      </c>
      <c r="L2781" s="1136"/>
      <c r="M2781" s="1133"/>
      <c r="N2781" s="177"/>
      <c r="O2781" s="332"/>
      <c r="P2781" s="1116"/>
      <c r="Q2781" s="1117"/>
      <c r="R2781" s="1116"/>
      <c r="S2781" s="1103"/>
      <c r="T2781" s="1639"/>
      <c r="U2781" s="177"/>
      <c r="V2781" s="2866"/>
      <c r="W2781" s="1060"/>
      <c r="X2781" s="1060"/>
      <c r="Y2781" s="1058">
        <v>0.65</v>
      </c>
      <c r="Z2781" s="1060"/>
      <c r="AA2781" s="1060"/>
      <c r="AB2781" s="1060"/>
      <c r="AC2781" s="1060"/>
      <c r="AD2781" s="1060"/>
      <c r="AE2781" s="1060"/>
      <c r="AF2781" s="1060"/>
      <c r="AG2781" s="1060"/>
      <c r="BB2781" s="784"/>
      <c r="BC2781" s="785"/>
      <c r="BD2781" s="900"/>
      <c r="BE2781" s="797"/>
    </row>
    <row r="2782" spans="1:57" s="65" customFormat="1" ht="15" hidden="1" customHeight="1" outlineLevel="1" x14ac:dyDescent="0.25">
      <c r="A2782" s="718"/>
      <c r="B2782" s="785"/>
      <c r="C2782" s="455"/>
      <c r="D2782" s="2806"/>
      <c r="E2782" s="2856"/>
      <c r="F2782" s="2908" t="str">
        <f>$E$1576</f>
        <v>ASHP SEER 19 replace ASHP - early replacement MF ER1</v>
      </c>
      <c r="G2782" s="2909"/>
      <c r="H2782" s="2909"/>
      <c r="I2782" s="2910"/>
      <c r="J2782" s="1657" t="str">
        <f>$C$1576</f>
        <v>354500_2019_12_</v>
      </c>
      <c r="K2782" s="1060">
        <v>0.65</v>
      </c>
      <c r="L2782" s="1136"/>
      <c r="M2782" s="1133"/>
      <c r="N2782" s="177"/>
      <c r="O2782" s="332"/>
      <c r="P2782" s="1116"/>
      <c r="Q2782" s="1117"/>
      <c r="R2782" s="1116"/>
      <c r="S2782" s="1103"/>
      <c r="T2782" s="1639"/>
      <c r="U2782" s="177"/>
      <c r="V2782" s="2866"/>
      <c r="W2782" s="1060">
        <v>0.65</v>
      </c>
      <c r="X2782" s="1060">
        <v>0.65</v>
      </c>
      <c r="Y2782" s="1060">
        <v>0.65</v>
      </c>
      <c r="Z2782" s="1060"/>
      <c r="AA2782" s="1060"/>
      <c r="AB2782" s="1060"/>
      <c r="AC2782" s="1060"/>
      <c r="AD2782" s="1060"/>
      <c r="AE2782" s="1060"/>
      <c r="AF2782" s="1060"/>
      <c r="AG2782" s="1060"/>
      <c r="BB2782" s="784"/>
      <c r="BC2782" s="785"/>
      <c r="BD2782" s="900"/>
      <c r="BE2782" s="797"/>
    </row>
    <row r="2783" spans="1:57" s="65" customFormat="1" ht="15" hidden="1" customHeight="1" outlineLevel="1" x14ac:dyDescent="0.25">
      <c r="A2783" s="718"/>
      <c r="B2783" s="785"/>
      <c r="C2783" s="455"/>
      <c r="D2783" s="2806"/>
      <c r="E2783" s="2856"/>
      <c r="F2783" s="2908" t="str">
        <f>$E$1578</f>
        <v>ASHP SEER 19 replace ASHP - early replacement MF ER2</v>
      </c>
      <c r="G2783" s="2909"/>
      <c r="H2783" s="2909"/>
      <c r="I2783" s="2910"/>
      <c r="J2783" s="1657" t="str">
        <f>$C$1578</f>
        <v>354500_2019_12_</v>
      </c>
      <c r="K2783" s="1060">
        <v>0.65</v>
      </c>
      <c r="L2783" s="1136"/>
      <c r="M2783" s="1133"/>
      <c r="N2783" s="177"/>
      <c r="O2783" s="332"/>
      <c r="P2783" s="1116"/>
      <c r="Q2783" s="1117"/>
      <c r="R2783" s="1116"/>
      <c r="S2783" s="1103"/>
      <c r="T2783" s="1639"/>
      <c r="U2783" s="177"/>
      <c r="V2783" s="2866"/>
      <c r="W2783" s="1060">
        <v>0.65</v>
      </c>
      <c r="X2783" s="1060">
        <v>0.65</v>
      </c>
      <c r="Y2783" s="1060">
        <v>0.65</v>
      </c>
      <c r="Z2783" s="1060"/>
      <c r="AA2783" s="1060"/>
      <c r="AB2783" s="1060"/>
      <c r="AC2783" s="1060"/>
      <c r="AD2783" s="1060"/>
      <c r="AE2783" s="1060"/>
      <c r="AF2783" s="1060"/>
      <c r="AG2783" s="1060"/>
      <c r="BB2783" s="784"/>
      <c r="BC2783" s="785"/>
      <c r="BD2783" s="900"/>
      <c r="BE2783" s="797"/>
    </row>
    <row r="2784" spans="1:57" s="65" customFormat="1" ht="15" hidden="1" customHeight="1" outlineLevel="1" x14ac:dyDescent="0.25">
      <c r="A2784" s="718"/>
      <c r="B2784" s="785"/>
      <c r="C2784" s="455"/>
      <c r="D2784" s="2806"/>
      <c r="E2784" s="2856"/>
      <c r="F2784" s="2908" t="str">
        <f>$E$1580</f>
        <v>ASHP SEER 19 replace ASHP - early replacement MF ER1_CompE</v>
      </c>
      <c r="G2784" s="2909"/>
      <c r="H2784" s="2909"/>
      <c r="I2784" s="2910"/>
      <c r="J2784" s="1657" t="str">
        <f>$C$1580</f>
        <v>354501_2019_12_</v>
      </c>
      <c r="K2784" s="1060">
        <f>K2782</f>
        <v>0.65</v>
      </c>
      <c r="L2784" s="1136"/>
      <c r="M2784" s="1133"/>
      <c r="N2784" s="177"/>
      <c r="O2784" s="332"/>
      <c r="P2784" s="1116"/>
      <c r="Q2784" s="1117"/>
      <c r="R2784" s="1116"/>
      <c r="S2784" s="1103"/>
      <c r="T2784" s="1639"/>
      <c r="U2784" s="177"/>
      <c r="V2784" s="2866"/>
      <c r="W2784" s="1060"/>
      <c r="X2784" s="1060"/>
      <c r="Y2784" s="1058">
        <v>0.65</v>
      </c>
      <c r="Z2784" s="1060"/>
      <c r="AA2784" s="1060"/>
      <c r="AB2784" s="1060"/>
      <c r="AC2784" s="1060"/>
      <c r="AD2784" s="1060"/>
      <c r="AE2784" s="1060"/>
      <c r="AF2784" s="1060"/>
      <c r="AG2784" s="1060"/>
      <c r="BB2784" s="784"/>
      <c r="BC2784" s="785"/>
      <c r="BD2784" s="900"/>
      <c r="BE2784" s="797"/>
    </row>
    <row r="2785" spans="1:57" s="65" customFormat="1" ht="15" hidden="1" customHeight="1" outlineLevel="1" x14ac:dyDescent="0.25">
      <c r="A2785" s="718"/>
      <c r="B2785" s="785"/>
      <c r="C2785" s="455"/>
      <c r="D2785" s="2806"/>
      <c r="E2785" s="2856"/>
      <c r="F2785" s="2908" t="str">
        <f>$E$1582</f>
        <v>ASHP SEER 19 replace ASHP - early replacement MF ER2_CompE</v>
      </c>
      <c r="G2785" s="2909"/>
      <c r="H2785" s="2909"/>
      <c r="I2785" s="2910"/>
      <c r="J2785" s="1657" t="str">
        <f>$C$1582</f>
        <v>354501_2019_12_</v>
      </c>
      <c r="K2785" s="1060">
        <f>K2783</f>
        <v>0.65</v>
      </c>
      <c r="L2785" s="1136"/>
      <c r="M2785" s="1133"/>
      <c r="N2785" s="177"/>
      <c r="O2785" s="332"/>
      <c r="P2785" s="1116"/>
      <c r="Q2785" s="1117"/>
      <c r="R2785" s="1116"/>
      <c r="S2785" s="1103"/>
      <c r="T2785" s="1639"/>
      <c r="U2785" s="177"/>
      <c r="V2785" s="2866"/>
      <c r="W2785" s="1060"/>
      <c r="X2785" s="1060"/>
      <c r="Y2785" s="1058">
        <v>0.65</v>
      </c>
      <c r="Z2785" s="1060"/>
      <c r="AA2785" s="1060"/>
      <c r="AB2785" s="1060"/>
      <c r="AC2785" s="1060"/>
      <c r="AD2785" s="1060"/>
      <c r="AE2785" s="1060"/>
      <c r="AF2785" s="1060"/>
      <c r="AG2785" s="1060"/>
      <c r="BB2785" s="784"/>
      <c r="BC2785" s="785"/>
      <c r="BD2785" s="900"/>
      <c r="BE2785" s="797"/>
    </row>
    <row r="2786" spans="1:57" s="65" customFormat="1" ht="15" hidden="1" customHeight="1" outlineLevel="1" x14ac:dyDescent="0.25">
      <c r="A2786" s="718"/>
      <c r="B2786" s="785"/>
      <c r="C2786" s="455"/>
      <c r="D2786" s="2806"/>
      <c r="E2786" s="2856"/>
      <c r="F2786" s="2908" t="str">
        <f>$E$1584</f>
        <v>ASHP SEER 20 replace ASHP - early replacement SF ER1</v>
      </c>
      <c r="G2786" s="2909"/>
      <c r="H2786" s="2909"/>
      <c r="I2786" s="2910"/>
      <c r="J2786" s="1657" t="str">
        <f>$C$1584</f>
        <v>354550_2019_12_</v>
      </c>
      <c r="K2786" s="1060">
        <v>1</v>
      </c>
      <c r="L2786" s="1136"/>
      <c r="M2786" s="1133"/>
      <c r="N2786" s="177"/>
      <c r="O2786" s="332"/>
      <c r="P2786" s="1116"/>
      <c r="Q2786" s="1117"/>
      <c r="R2786" s="1116"/>
      <c r="S2786" s="1103"/>
      <c r="T2786" s="1639"/>
      <c r="U2786" s="177"/>
      <c r="V2786" s="2866"/>
      <c r="W2786" s="1060">
        <v>1</v>
      </c>
      <c r="X2786" s="1060">
        <v>1</v>
      </c>
      <c r="Y2786" s="1060">
        <v>1</v>
      </c>
      <c r="Z2786" s="1060"/>
      <c r="AA2786" s="1060"/>
      <c r="AB2786" s="1060"/>
      <c r="AC2786" s="1060"/>
      <c r="AD2786" s="1060"/>
      <c r="AE2786" s="1060"/>
      <c r="AF2786" s="1060"/>
      <c r="AG2786" s="1060"/>
      <c r="BB2786" s="784"/>
      <c r="BC2786" s="785"/>
      <c r="BD2786" s="900"/>
      <c r="BE2786" s="797"/>
    </row>
    <row r="2787" spans="1:57" s="65" customFormat="1" ht="15" hidden="1" customHeight="1" outlineLevel="1" x14ac:dyDescent="0.25">
      <c r="A2787" s="718"/>
      <c r="B2787" s="785"/>
      <c r="C2787" s="455"/>
      <c r="D2787" s="2806"/>
      <c r="E2787" s="2856"/>
      <c r="F2787" s="2908" t="str">
        <f>$E$1586</f>
        <v>ASHP SEER 20 replace ASHP - early replacement SF ER2</v>
      </c>
      <c r="G2787" s="2909"/>
      <c r="H2787" s="2909"/>
      <c r="I2787" s="2910"/>
      <c r="J2787" s="1657" t="str">
        <f>$C$1586</f>
        <v>354550_2019_12_</v>
      </c>
      <c r="K2787" s="1060">
        <v>1</v>
      </c>
      <c r="L2787" s="1136"/>
      <c r="M2787" s="1133"/>
      <c r="N2787" s="177"/>
      <c r="O2787" s="332"/>
      <c r="P2787" s="1116"/>
      <c r="Q2787" s="1117"/>
      <c r="R2787" s="1116"/>
      <c r="S2787" s="1103"/>
      <c r="T2787" s="1639"/>
      <c r="U2787" s="177"/>
      <c r="V2787" s="2866"/>
      <c r="W2787" s="1060">
        <v>1</v>
      </c>
      <c r="X2787" s="1060">
        <v>1</v>
      </c>
      <c r="Y2787" s="1060">
        <v>1</v>
      </c>
      <c r="Z2787" s="1060"/>
      <c r="AA2787" s="1060"/>
      <c r="AB2787" s="1060"/>
      <c r="AC2787" s="1060"/>
      <c r="AD2787" s="1060"/>
      <c r="AE2787" s="1060"/>
      <c r="AF2787" s="1060"/>
      <c r="AG2787" s="1060"/>
      <c r="BB2787" s="784"/>
      <c r="BC2787" s="785"/>
      <c r="BD2787" s="900"/>
      <c r="BE2787" s="797"/>
    </row>
    <row r="2788" spans="1:57" s="65" customFormat="1" ht="15" hidden="1" customHeight="1" outlineLevel="1" x14ac:dyDescent="0.25">
      <c r="A2788" s="718"/>
      <c r="B2788" s="785"/>
      <c r="C2788" s="455"/>
      <c r="D2788" s="2806"/>
      <c r="E2788" s="2856"/>
      <c r="F2788" s="2908" t="str">
        <f>$E$1588</f>
        <v>ASHP SEER 20 replace ASHP - replace on fail SF</v>
      </c>
      <c r="G2788" s="2909"/>
      <c r="H2788" s="2909"/>
      <c r="I2788" s="2910"/>
      <c r="J2788" s="1657" t="str">
        <f>$C$1588</f>
        <v>354600_2019_12_</v>
      </c>
      <c r="K2788" s="1060">
        <v>1</v>
      </c>
      <c r="L2788" s="1136"/>
      <c r="M2788" s="1133"/>
      <c r="N2788" s="177"/>
      <c r="O2788" s="332"/>
      <c r="P2788" s="1116"/>
      <c r="Q2788" s="1117"/>
      <c r="R2788" s="1116"/>
      <c r="S2788" s="1103"/>
      <c r="T2788" s="1639"/>
      <c r="U2788" s="177"/>
      <c r="V2788" s="2866"/>
      <c r="W2788" s="1060">
        <v>1</v>
      </c>
      <c r="X2788" s="1060">
        <v>1</v>
      </c>
      <c r="Y2788" s="1060">
        <v>1</v>
      </c>
      <c r="Z2788" s="1060"/>
      <c r="AA2788" s="1060"/>
      <c r="AB2788" s="1060"/>
      <c r="AC2788" s="1060"/>
      <c r="AD2788" s="1060"/>
      <c r="AE2788" s="1060"/>
      <c r="AF2788" s="1060"/>
      <c r="AG2788" s="1060"/>
      <c r="BB2788" s="784"/>
      <c r="BC2788" s="785"/>
      <c r="BD2788" s="900"/>
      <c r="BE2788" s="797"/>
    </row>
    <row r="2789" spans="1:57" s="65" customFormat="1" ht="15" hidden="1" customHeight="1" outlineLevel="1" x14ac:dyDescent="0.25">
      <c r="A2789" s="718"/>
      <c r="B2789" s="785"/>
      <c r="C2789" s="455"/>
      <c r="D2789" s="2806"/>
      <c r="E2789" s="2856"/>
      <c r="F2789" s="2908" t="str">
        <f>$E$1590</f>
        <v>ASHP - SEER 20 - replace electric furnace / CAC - early replacement MF ER1</v>
      </c>
      <c r="G2789" s="2909"/>
      <c r="H2789" s="2909"/>
      <c r="I2789" s="2910"/>
      <c r="J2789" s="1657" t="str">
        <f>$C$1590</f>
        <v>354650_2019_12_</v>
      </c>
      <c r="K2789" s="1060">
        <v>0.65</v>
      </c>
      <c r="L2789" s="1136"/>
      <c r="M2789" s="1133"/>
      <c r="N2789" s="177"/>
      <c r="O2789" s="332"/>
      <c r="P2789" s="1116"/>
      <c r="Q2789" s="1117"/>
      <c r="R2789" s="1116"/>
      <c r="S2789" s="1103"/>
      <c r="T2789" s="1639"/>
      <c r="U2789" s="177"/>
      <c r="V2789" s="2866"/>
      <c r="W2789" s="1060">
        <v>0.65</v>
      </c>
      <c r="X2789" s="1060">
        <v>0.65</v>
      </c>
      <c r="Y2789" s="1060">
        <v>0.65</v>
      </c>
      <c r="Z2789" s="1060"/>
      <c r="AA2789" s="1060"/>
      <c r="AB2789" s="1060"/>
      <c r="AC2789" s="1060"/>
      <c r="AD2789" s="1060"/>
      <c r="AE2789" s="1060"/>
      <c r="AF2789" s="1060"/>
      <c r="AG2789" s="1060"/>
      <c r="BB2789" s="784"/>
      <c r="BC2789" s="785"/>
      <c r="BD2789" s="900"/>
      <c r="BE2789" s="797"/>
    </row>
    <row r="2790" spans="1:57" s="65" customFormat="1" ht="15" hidden="1" customHeight="1" outlineLevel="1" x14ac:dyDescent="0.25">
      <c r="A2790" s="718"/>
      <c r="B2790" s="785"/>
      <c r="C2790" s="455"/>
      <c r="D2790" s="2806"/>
      <c r="E2790" s="2856"/>
      <c r="F2790" s="2908" t="str">
        <f>$E$1592</f>
        <v>ASHP - SEER 20 - replace electric furnace / CAC - early replacement MF ER2</v>
      </c>
      <c r="G2790" s="2909"/>
      <c r="H2790" s="2909"/>
      <c r="I2790" s="2910"/>
      <c r="J2790" s="1657" t="str">
        <f>$C$1592</f>
        <v>354650_2019_12_</v>
      </c>
      <c r="K2790" s="1060">
        <v>0.65</v>
      </c>
      <c r="L2790" s="1136"/>
      <c r="M2790" s="1133"/>
      <c r="N2790" s="177"/>
      <c r="O2790" s="332"/>
      <c r="P2790" s="1116"/>
      <c r="Q2790" s="1117"/>
      <c r="R2790" s="1116"/>
      <c r="S2790" s="1103"/>
      <c r="T2790" s="1639"/>
      <c r="U2790" s="177"/>
      <c r="V2790" s="2866"/>
      <c r="W2790" s="1060">
        <v>0.65</v>
      </c>
      <c r="X2790" s="1060">
        <v>0.65</v>
      </c>
      <c r="Y2790" s="1060">
        <v>0.65</v>
      </c>
      <c r="Z2790" s="1060"/>
      <c r="AA2790" s="1060"/>
      <c r="AB2790" s="1060"/>
      <c r="AC2790" s="1060"/>
      <c r="AD2790" s="1060"/>
      <c r="AE2790" s="1060"/>
      <c r="AF2790" s="1060"/>
      <c r="AG2790" s="1060"/>
      <c r="BB2790" s="784"/>
      <c r="BC2790" s="785"/>
      <c r="BD2790" s="900"/>
      <c r="BE2790" s="797"/>
    </row>
    <row r="2791" spans="1:57" s="65" customFormat="1" ht="15" hidden="1" customHeight="1" outlineLevel="1" x14ac:dyDescent="0.25">
      <c r="A2791" s="718"/>
      <c r="B2791" s="785"/>
      <c r="C2791" s="455"/>
      <c r="D2791" s="2806"/>
      <c r="E2791" s="2856"/>
      <c r="F2791" s="2908" t="str">
        <f>$E$1594</f>
        <v>ASHP - SEER 20 - replace electric furnace / CAC - early replacement MF ER1_CompE</v>
      </c>
      <c r="G2791" s="2909"/>
      <c r="H2791" s="2909"/>
      <c r="I2791" s="2910"/>
      <c r="J2791" s="1657" t="str">
        <f>$C$1594</f>
        <v>354651_2019_12_</v>
      </c>
      <c r="K2791" s="1060">
        <f>K2789</f>
        <v>0.65</v>
      </c>
      <c r="L2791" s="1136"/>
      <c r="M2791" s="1133"/>
      <c r="N2791" s="177"/>
      <c r="O2791" s="332"/>
      <c r="P2791" s="1116"/>
      <c r="Q2791" s="1117"/>
      <c r="R2791" s="1116"/>
      <c r="S2791" s="1103"/>
      <c r="T2791" s="1639"/>
      <c r="U2791" s="177"/>
      <c r="V2791" s="2866"/>
      <c r="W2791" s="1060"/>
      <c r="X2791" s="1060"/>
      <c r="Y2791" s="1058">
        <v>0.65</v>
      </c>
      <c r="Z2791" s="1060"/>
      <c r="AA2791" s="1060"/>
      <c r="AB2791" s="1060"/>
      <c r="AC2791" s="1060"/>
      <c r="AD2791" s="1060"/>
      <c r="AE2791" s="1060"/>
      <c r="AF2791" s="1060"/>
      <c r="AG2791" s="1060"/>
      <c r="BB2791" s="784"/>
      <c r="BC2791" s="785"/>
      <c r="BD2791" s="900"/>
      <c r="BE2791" s="797"/>
    </row>
    <row r="2792" spans="1:57" s="65" customFormat="1" ht="15" hidden="1" customHeight="1" outlineLevel="1" x14ac:dyDescent="0.25">
      <c r="A2792" s="718"/>
      <c r="B2792" s="785"/>
      <c r="C2792" s="455"/>
      <c r="D2792" s="2806"/>
      <c r="E2792" s="2856"/>
      <c r="F2792" s="2908" t="str">
        <f>$E$1596</f>
        <v>ASHP - SEER 20 - replace electric furnace / CAC - early replacement MF ER2_CompE</v>
      </c>
      <c r="G2792" s="2909"/>
      <c r="H2792" s="2909"/>
      <c r="I2792" s="2910"/>
      <c r="J2792" s="1657" t="str">
        <f>$C$1596</f>
        <v>354651_2019_12_</v>
      </c>
      <c r="K2792" s="1060">
        <f>K2790</f>
        <v>0.65</v>
      </c>
      <c r="L2792" s="1136"/>
      <c r="M2792" s="1133"/>
      <c r="N2792" s="177"/>
      <c r="O2792" s="332"/>
      <c r="P2792" s="1116"/>
      <c r="Q2792" s="1117"/>
      <c r="R2792" s="1116"/>
      <c r="S2792" s="1103"/>
      <c r="T2792" s="1639"/>
      <c r="U2792" s="177"/>
      <c r="V2792" s="2866"/>
      <c r="W2792" s="1060"/>
      <c r="X2792" s="1060"/>
      <c r="Y2792" s="1058">
        <v>0.65</v>
      </c>
      <c r="Z2792" s="1060"/>
      <c r="AA2792" s="1060"/>
      <c r="AB2792" s="1060"/>
      <c r="AC2792" s="1060"/>
      <c r="AD2792" s="1060"/>
      <c r="AE2792" s="1060"/>
      <c r="AF2792" s="1060"/>
      <c r="AG2792" s="1060"/>
      <c r="BB2792" s="784"/>
      <c r="BC2792" s="785"/>
      <c r="BD2792" s="900"/>
      <c r="BE2792" s="797"/>
    </row>
    <row r="2793" spans="1:57" s="65" customFormat="1" ht="15" hidden="1" customHeight="1" outlineLevel="1" x14ac:dyDescent="0.25">
      <c r="A2793" s="718"/>
      <c r="B2793" s="785"/>
      <c r="C2793" s="455"/>
      <c r="D2793" s="2806"/>
      <c r="E2793" s="2856"/>
      <c r="F2793" s="2908" t="str">
        <f>$E$1598</f>
        <v>ASHP SEER 20 replace ASHP - early replacement MF ER1</v>
      </c>
      <c r="G2793" s="2909"/>
      <c r="H2793" s="2909"/>
      <c r="I2793" s="2910"/>
      <c r="J2793" s="1657" t="str">
        <f>$C$1598</f>
        <v>354700_2019_12_</v>
      </c>
      <c r="K2793" s="1060">
        <v>0.65</v>
      </c>
      <c r="L2793" s="1136"/>
      <c r="M2793" s="1133"/>
      <c r="N2793" s="177"/>
      <c r="O2793" s="332"/>
      <c r="P2793" s="1116"/>
      <c r="Q2793" s="1117"/>
      <c r="R2793" s="1116"/>
      <c r="S2793" s="1103"/>
      <c r="T2793" s="1639"/>
      <c r="U2793" s="177"/>
      <c r="V2793" s="2866"/>
      <c r="W2793" s="1060">
        <v>0.65</v>
      </c>
      <c r="X2793" s="1060">
        <v>0.65</v>
      </c>
      <c r="Y2793" s="1060">
        <v>0.65</v>
      </c>
      <c r="Z2793" s="1060"/>
      <c r="AA2793" s="1060"/>
      <c r="AB2793" s="1060"/>
      <c r="AC2793" s="1060"/>
      <c r="AD2793" s="1060"/>
      <c r="AE2793" s="1060"/>
      <c r="AF2793" s="1060"/>
      <c r="AG2793" s="1060"/>
      <c r="BB2793" s="784"/>
      <c r="BC2793" s="785"/>
      <c r="BD2793" s="900"/>
      <c r="BE2793" s="797"/>
    </row>
    <row r="2794" spans="1:57" s="65" customFormat="1" ht="15" hidden="1" customHeight="1" outlineLevel="1" x14ac:dyDescent="0.25">
      <c r="A2794" s="718"/>
      <c r="B2794" s="785"/>
      <c r="C2794" s="455"/>
      <c r="D2794" s="2806"/>
      <c r="E2794" s="2856"/>
      <c r="F2794" s="2908" t="str">
        <f>$E$1600</f>
        <v>ASHP SEER 20 replace ASHP - early replacement MF ER2</v>
      </c>
      <c r="G2794" s="2909"/>
      <c r="H2794" s="2909"/>
      <c r="I2794" s="2910"/>
      <c r="J2794" s="1657" t="str">
        <f>$C$1600</f>
        <v>354700_2019_12_</v>
      </c>
      <c r="K2794" s="1060">
        <v>0.65</v>
      </c>
      <c r="L2794" s="1136"/>
      <c r="M2794" s="1133"/>
      <c r="N2794" s="177"/>
      <c r="O2794" s="332"/>
      <c r="P2794" s="1116"/>
      <c r="Q2794" s="1117"/>
      <c r="R2794" s="1116"/>
      <c r="S2794" s="1103"/>
      <c r="T2794" s="1639"/>
      <c r="U2794" s="177"/>
      <c r="V2794" s="2866"/>
      <c r="W2794" s="1060">
        <v>0.65</v>
      </c>
      <c r="X2794" s="1060">
        <v>0.65</v>
      </c>
      <c r="Y2794" s="1060">
        <v>0.65</v>
      </c>
      <c r="Z2794" s="1060"/>
      <c r="AA2794" s="1060"/>
      <c r="AB2794" s="1060"/>
      <c r="AC2794" s="1060"/>
      <c r="AD2794" s="1060"/>
      <c r="AE2794" s="1060"/>
      <c r="AF2794" s="1060"/>
      <c r="AG2794" s="1060"/>
      <c r="BB2794" s="784"/>
      <c r="BC2794" s="785"/>
      <c r="BD2794" s="900"/>
      <c r="BE2794" s="797"/>
    </row>
    <row r="2795" spans="1:57" s="65" customFormat="1" ht="15" hidden="1" customHeight="1" outlineLevel="1" x14ac:dyDescent="0.25">
      <c r="A2795" s="718"/>
      <c r="B2795" s="785"/>
      <c r="C2795" s="455"/>
      <c r="D2795" s="2806"/>
      <c r="E2795" s="2856"/>
      <c r="F2795" s="2908" t="str">
        <f>$E$1602</f>
        <v>ASHP SEER 20 replace ASHP - early replacement MF ER1_CompE</v>
      </c>
      <c r="G2795" s="2909"/>
      <c r="H2795" s="2909"/>
      <c r="I2795" s="2910"/>
      <c r="J2795" s="1657" t="str">
        <f>$C$1602</f>
        <v>354701_2019_12_</v>
      </c>
      <c r="K2795" s="1060">
        <f>K2793</f>
        <v>0.65</v>
      </c>
      <c r="L2795" s="1136"/>
      <c r="M2795" s="1133"/>
      <c r="N2795" s="177"/>
      <c r="O2795" s="332"/>
      <c r="P2795" s="1116"/>
      <c r="Q2795" s="1117"/>
      <c r="R2795" s="1116"/>
      <c r="S2795" s="1103"/>
      <c r="T2795" s="1639"/>
      <c r="U2795" s="177"/>
      <c r="V2795" s="2866"/>
      <c r="W2795" s="1060"/>
      <c r="X2795" s="1060"/>
      <c r="Y2795" s="1058">
        <v>0.65</v>
      </c>
      <c r="Z2795" s="1060"/>
      <c r="AA2795" s="1060"/>
      <c r="AB2795" s="1060"/>
      <c r="AC2795" s="1060"/>
      <c r="AD2795" s="1060"/>
      <c r="AE2795" s="1060"/>
      <c r="AF2795" s="1060"/>
      <c r="AG2795" s="1060"/>
      <c r="BB2795" s="784"/>
      <c r="BC2795" s="785"/>
      <c r="BD2795" s="900"/>
      <c r="BE2795" s="797"/>
    </row>
    <row r="2796" spans="1:57" s="65" customFormat="1" ht="15" hidden="1" customHeight="1" outlineLevel="1" x14ac:dyDescent="0.25">
      <c r="A2796" s="718"/>
      <c r="B2796" s="785"/>
      <c r="C2796" s="455"/>
      <c r="D2796" s="2806"/>
      <c r="E2796" s="2856"/>
      <c r="F2796" s="2908" t="str">
        <f>$E$1604</f>
        <v>ASHP SEER 20 replace ASHP - early replacement MF ER2_CompE</v>
      </c>
      <c r="G2796" s="2909"/>
      <c r="H2796" s="2909"/>
      <c r="I2796" s="2910"/>
      <c r="J2796" s="1657" t="str">
        <f>$C$1604</f>
        <v>354701_2019_12_</v>
      </c>
      <c r="K2796" s="1060">
        <f>K2794</f>
        <v>0.65</v>
      </c>
      <c r="L2796" s="1136"/>
      <c r="M2796" s="1133"/>
      <c r="N2796" s="177"/>
      <c r="O2796" s="332"/>
      <c r="P2796" s="1116"/>
      <c r="Q2796" s="1117"/>
      <c r="R2796" s="1116"/>
      <c r="S2796" s="1103"/>
      <c r="T2796" s="1639"/>
      <c r="U2796" s="177"/>
      <c r="V2796" s="2866"/>
      <c r="W2796" s="1060"/>
      <c r="X2796" s="1060"/>
      <c r="Y2796" s="1058">
        <v>0.65</v>
      </c>
      <c r="Z2796" s="1060"/>
      <c r="AA2796" s="1060"/>
      <c r="AB2796" s="1060"/>
      <c r="AC2796" s="1060"/>
      <c r="AD2796" s="1060"/>
      <c r="AE2796" s="1060"/>
      <c r="AF2796" s="1060"/>
      <c r="AG2796" s="1060"/>
      <c r="BB2796" s="784"/>
      <c r="BC2796" s="785"/>
      <c r="BD2796" s="900"/>
      <c r="BE2796" s="797"/>
    </row>
    <row r="2797" spans="1:57" s="65" customFormat="1" ht="15" hidden="1" customHeight="1" outlineLevel="1" x14ac:dyDescent="0.25">
      <c r="A2797" s="718"/>
      <c r="B2797" s="785"/>
      <c r="C2797" s="455"/>
      <c r="D2797" s="2806"/>
      <c r="E2797" s="2856"/>
      <c r="F2797" s="2908" t="str">
        <f>$E$1606</f>
        <v>ASHP SEER 21 replace ASHP - early replacement SF ER1</v>
      </c>
      <c r="G2797" s="2909"/>
      <c r="H2797" s="2909"/>
      <c r="I2797" s="2910"/>
      <c r="J2797" s="1657" t="str">
        <f>$C$1606</f>
        <v>354750_2019_12_</v>
      </c>
      <c r="K2797" s="1060">
        <v>1</v>
      </c>
      <c r="L2797" s="1136"/>
      <c r="M2797" s="1133"/>
      <c r="N2797" s="177"/>
      <c r="O2797" s="332"/>
      <c r="P2797" s="1116"/>
      <c r="Q2797" s="1117"/>
      <c r="R2797" s="1116"/>
      <c r="S2797" s="1103"/>
      <c r="T2797" s="1639"/>
      <c r="U2797" s="177"/>
      <c r="V2797" s="2866"/>
      <c r="W2797" s="1060">
        <v>1</v>
      </c>
      <c r="X2797" s="1060">
        <v>1</v>
      </c>
      <c r="Y2797" s="1060">
        <v>1</v>
      </c>
      <c r="Z2797" s="1060"/>
      <c r="AA2797" s="1060"/>
      <c r="AB2797" s="1060"/>
      <c r="AC2797" s="1060"/>
      <c r="AD2797" s="1060"/>
      <c r="AE2797" s="1060"/>
      <c r="AF2797" s="1060"/>
      <c r="AG2797" s="1060"/>
      <c r="BB2797" s="784"/>
      <c r="BC2797" s="785"/>
      <c r="BD2797" s="900"/>
      <c r="BE2797" s="797"/>
    </row>
    <row r="2798" spans="1:57" s="65" customFormat="1" ht="15" hidden="1" customHeight="1" outlineLevel="1" x14ac:dyDescent="0.25">
      <c r="A2798" s="718"/>
      <c r="B2798" s="785"/>
      <c r="C2798" s="455"/>
      <c r="D2798" s="2806"/>
      <c r="E2798" s="2856"/>
      <c r="F2798" s="2908" t="str">
        <f>$E$1608</f>
        <v>ASHP SEER 21 replace ASHP - early replacement SF ER2</v>
      </c>
      <c r="G2798" s="2909"/>
      <c r="H2798" s="2909"/>
      <c r="I2798" s="2910"/>
      <c r="J2798" s="1657" t="str">
        <f>$C$1608</f>
        <v>354750_2019_12_</v>
      </c>
      <c r="K2798" s="1060">
        <v>1</v>
      </c>
      <c r="L2798" s="1136"/>
      <c r="M2798" s="1133"/>
      <c r="N2798" s="177"/>
      <c r="O2798" s="332"/>
      <c r="P2798" s="1116"/>
      <c r="Q2798" s="1117"/>
      <c r="R2798" s="1116"/>
      <c r="S2798" s="1103"/>
      <c r="T2798" s="1639"/>
      <c r="U2798" s="177"/>
      <c r="V2798" s="2866"/>
      <c r="W2798" s="1060">
        <v>1</v>
      </c>
      <c r="X2798" s="1060">
        <v>1</v>
      </c>
      <c r="Y2798" s="1060">
        <v>1</v>
      </c>
      <c r="Z2798" s="1060"/>
      <c r="AA2798" s="1060"/>
      <c r="AB2798" s="1060"/>
      <c r="AC2798" s="1060"/>
      <c r="AD2798" s="1060"/>
      <c r="AE2798" s="1060"/>
      <c r="AF2798" s="1060"/>
      <c r="AG2798" s="1060"/>
      <c r="BB2798" s="784"/>
      <c r="BC2798" s="785"/>
      <c r="BD2798" s="900"/>
      <c r="BE2798" s="797"/>
    </row>
    <row r="2799" spans="1:57" s="65" customFormat="1" ht="15" hidden="1" customHeight="1" outlineLevel="1" x14ac:dyDescent="0.25">
      <c r="A2799" s="718"/>
      <c r="B2799" s="785"/>
      <c r="C2799" s="455"/>
      <c r="D2799" s="2806"/>
      <c r="E2799" s="2856"/>
      <c r="F2799" s="2908" t="str">
        <f>$E$1610</f>
        <v>ASHP SEER 21 replace ASHP - replace on fail SF</v>
      </c>
      <c r="G2799" s="2909"/>
      <c r="H2799" s="2909"/>
      <c r="I2799" s="2910"/>
      <c r="J2799" s="1657" t="str">
        <f>$C$1610</f>
        <v>354800_2019_12_</v>
      </c>
      <c r="K2799" s="1060">
        <v>1</v>
      </c>
      <c r="L2799" s="1136"/>
      <c r="M2799" s="1133"/>
      <c r="N2799" s="177"/>
      <c r="O2799" s="332"/>
      <c r="P2799" s="1116"/>
      <c r="Q2799" s="1117"/>
      <c r="R2799" s="1116"/>
      <c r="S2799" s="1103"/>
      <c r="T2799" s="1639"/>
      <c r="U2799" s="177"/>
      <c r="V2799" s="2866"/>
      <c r="W2799" s="1060">
        <v>1</v>
      </c>
      <c r="X2799" s="1060">
        <v>1</v>
      </c>
      <c r="Y2799" s="1060">
        <v>1</v>
      </c>
      <c r="Z2799" s="1060"/>
      <c r="AA2799" s="1060"/>
      <c r="AB2799" s="1060"/>
      <c r="AC2799" s="1060"/>
      <c r="AD2799" s="1060"/>
      <c r="AE2799" s="1060"/>
      <c r="AF2799" s="1060"/>
      <c r="AG2799" s="1060"/>
      <c r="BB2799" s="784"/>
      <c r="BC2799" s="785"/>
      <c r="BD2799" s="900"/>
      <c r="BE2799" s="797"/>
    </row>
    <row r="2800" spans="1:57" s="65" customFormat="1" ht="15" hidden="1" customHeight="1" outlineLevel="1" x14ac:dyDescent="0.25">
      <c r="A2800" s="718"/>
      <c r="B2800" s="785"/>
      <c r="C2800" s="455"/>
      <c r="D2800" s="2806"/>
      <c r="E2800" s="2856"/>
      <c r="F2800" s="2908" t="str">
        <f>$E$1612</f>
        <v>ASHP - SEER 21 - replace electric furnace / CAC MF</v>
      </c>
      <c r="G2800" s="2909"/>
      <c r="H2800" s="2909"/>
      <c r="I2800" s="2910"/>
      <c r="J2800" s="1657" t="str">
        <f>$C$1612</f>
        <v>354850_2019_12_</v>
      </c>
      <c r="K2800" s="1060">
        <v>0.65</v>
      </c>
      <c r="L2800" s="1136"/>
      <c r="M2800" s="1133"/>
      <c r="N2800" s="177"/>
      <c r="O2800" s="332"/>
      <c r="P2800" s="1116"/>
      <c r="Q2800" s="1117"/>
      <c r="R2800" s="1116"/>
      <c r="S2800" s="1103"/>
      <c r="T2800" s="1639"/>
      <c r="U2800" s="177"/>
      <c r="V2800" s="2866"/>
      <c r="W2800" s="1060">
        <v>0.65</v>
      </c>
      <c r="X2800" s="1060">
        <v>0.65</v>
      </c>
      <c r="Y2800" s="1060">
        <v>0.65</v>
      </c>
      <c r="Z2800" s="1060"/>
      <c r="AA2800" s="1060"/>
      <c r="AB2800" s="1060"/>
      <c r="AC2800" s="1060"/>
      <c r="AD2800" s="1060"/>
      <c r="AE2800" s="1060"/>
      <c r="AF2800" s="1060"/>
      <c r="AG2800" s="1060"/>
      <c r="BB2800" s="784"/>
      <c r="BC2800" s="785"/>
      <c r="BD2800" s="900"/>
      <c r="BE2800" s="797"/>
    </row>
    <row r="2801" spans="1:57" s="65" customFormat="1" ht="15" hidden="1" customHeight="1" outlineLevel="1" x14ac:dyDescent="0.25">
      <c r="A2801" s="718"/>
      <c r="B2801" s="785"/>
      <c r="C2801" s="455"/>
      <c r="D2801" s="2806"/>
      <c r="E2801" s="2856"/>
      <c r="F2801" s="2908" t="str">
        <f>$E$1614</f>
        <v>ASHP - SEER 21 - replace electric furnace / CAC MF_CompE</v>
      </c>
      <c r="G2801" s="2909"/>
      <c r="H2801" s="2909"/>
      <c r="I2801" s="2910"/>
      <c r="J2801" s="1657" t="str">
        <f>$C$1614</f>
        <v>354851_2019_12_</v>
      </c>
      <c r="K2801" s="1060">
        <f>K2800</f>
        <v>0.65</v>
      </c>
      <c r="L2801" s="1136"/>
      <c r="M2801" s="1133"/>
      <c r="N2801" s="177"/>
      <c r="O2801" s="332"/>
      <c r="P2801" s="1116"/>
      <c r="Q2801" s="1117"/>
      <c r="R2801" s="1116"/>
      <c r="S2801" s="1103"/>
      <c r="T2801" s="1639"/>
      <c r="U2801" s="177"/>
      <c r="V2801" s="2866"/>
      <c r="W2801" s="1060"/>
      <c r="X2801" s="1060"/>
      <c r="Y2801" s="1058">
        <v>0.65</v>
      </c>
      <c r="Z2801" s="1060"/>
      <c r="AA2801" s="1060"/>
      <c r="AB2801" s="1060"/>
      <c r="AC2801" s="1060"/>
      <c r="AD2801" s="1060"/>
      <c r="AE2801" s="1060"/>
      <c r="AF2801" s="1060"/>
      <c r="AG2801" s="1060"/>
      <c r="BB2801" s="784"/>
      <c r="BC2801" s="785"/>
      <c r="BD2801" s="900"/>
      <c r="BE2801" s="797"/>
    </row>
    <row r="2802" spans="1:57" s="65" customFormat="1" ht="15" hidden="1" customHeight="1" outlineLevel="1" x14ac:dyDescent="0.25">
      <c r="A2802" s="718"/>
      <c r="B2802" s="785"/>
      <c r="C2802" s="455"/>
      <c r="D2802" s="2806"/>
      <c r="E2802" s="2856"/>
      <c r="F2802" s="2908" t="str">
        <f>$E$1616</f>
        <v>ASHP SEER 21 replace ASHP - early replacement MF ER1</v>
      </c>
      <c r="G2802" s="2909"/>
      <c r="H2802" s="2909"/>
      <c r="I2802" s="2910"/>
      <c r="J2802" s="1657" t="str">
        <f>$C$1616</f>
        <v>354900_2019_12_</v>
      </c>
      <c r="K2802" s="1060">
        <v>0.65</v>
      </c>
      <c r="L2802" s="1136"/>
      <c r="M2802" s="1133"/>
      <c r="N2802" s="177"/>
      <c r="O2802" s="332"/>
      <c r="P2802" s="1116"/>
      <c r="Q2802" s="1117"/>
      <c r="R2802" s="1116"/>
      <c r="S2802" s="1103"/>
      <c r="T2802" s="1639"/>
      <c r="U2802" s="177"/>
      <c r="V2802" s="2866"/>
      <c r="W2802" s="1060">
        <v>0.65</v>
      </c>
      <c r="X2802" s="1060">
        <v>0.65</v>
      </c>
      <c r="Y2802" s="1060">
        <v>0.65</v>
      </c>
      <c r="Z2802" s="1060"/>
      <c r="AA2802" s="1060"/>
      <c r="AB2802" s="1060"/>
      <c r="AC2802" s="1060"/>
      <c r="AD2802" s="1060"/>
      <c r="AE2802" s="1060"/>
      <c r="AF2802" s="1060"/>
      <c r="AG2802" s="1060"/>
      <c r="BB2802" s="784"/>
      <c r="BC2802" s="785"/>
      <c r="BD2802" s="900"/>
      <c r="BE2802" s="797"/>
    </row>
    <row r="2803" spans="1:57" s="65" customFormat="1" ht="15" hidden="1" customHeight="1" outlineLevel="1" x14ac:dyDescent="0.25">
      <c r="A2803" s="718"/>
      <c r="B2803" s="785"/>
      <c r="C2803" s="455"/>
      <c r="D2803" s="2806"/>
      <c r="E2803" s="2856"/>
      <c r="F2803" s="2908" t="str">
        <f>$E$1618</f>
        <v>ASHP SEER 21 replace ASHP - early replacement MF ER2</v>
      </c>
      <c r="G2803" s="2909"/>
      <c r="H2803" s="2909"/>
      <c r="I2803" s="2910"/>
      <c r="J2803" s="1657" t="str">
        <f>$C$1618</f>
        <v>354900_2019_12_</v>
      </c>
      <c r="K2803" s="1060">
        <v>0.65</v>
      </c>
      <c r="L2803" s="1136"/>
      <c r="M2803" s="1133"/>
      <c r="N2803" s="177"/>
      <c r="O2803" s="332"/>
      <c r="P2803" s="1116"/>
      <c r="Q2803" s="1117"/>
      <c r="R2803" s="1116"/>
      <c r="S2803" s="1103"/>
      <c r="T2803" s="1639"/>
      <c r="U2803" s="177"/>
      <c r="V2803" s="2866"/>
      <c r="W2803" s="1060">
        <v>0.65</v>
      </c>
      <c r="X2803" s="1060">
        <v>0.65</v>
      </c>
      <c r="Y2803" s="1060">
        <v>0.65</v>
      </c>
      <c r="Z2803" s="1060"/>
      <c r="AA2803" s="1060"/>
      <c r="AB2803" s="1060"/>
      <c r="AC2803" s="1060"/>
      <c r="AD2803" s="1060"/>
      <c r="AE2803" s="1060"/>
      <c r="AF2803" s="1060"/>
      <c r="AG2803" s="1060"/>
      <c r="BB2803" s="784"/>
      <c r="BC2803" s="785"/>
      <c r="BD2803" s="900"/>
      <c r="BE2803" s="797"/>
    </row>
    <row r="2804" spans="1:57" s="65" customFormat="1" ht="15" hidden="1" customHeight="1" outlineLevel="1" x14ac:dyDescent="0.25">
      <c r="A2804" s="718"/>
      <c r="B2804" s="785"/>
      <c r="C2804" s="455"/>
      <c r="D2804" s="2806"/>
      <c r="E2804" s="2856"/>
      <c r="F2804" s="2908" t="str">
        <f>$E$1620</f>
        <v>ASHP SEER 21 replace ASHP - early replacement MF ER1_CompE</v>
      </c>
      <c r="G2804" s="2909"/>
      <c r="H2804" s="2909"/>
      <c r="I2804" s="2910"/>
      <c r="J2804" s="1657" t="str">
        <f>$C$1620</f>
        <v>354901_2019_12_</v>
      </c>
      <c r="K2804" s="1060">
        <f>K2802</f>
        <v>0.65</v>
      </c>
      <c r="L2804" s="1124"/>
      <c r="M2804" s="1133"/>
      <c r="N2804" s="177"/>
      <c r="O2804" s="332"/>
      <c r="P2804" s="1116"/>
      <c r="Q2804" s="1117"/>
      <c r="R2804" s="1116"/>
      <c r="S2804" s="1103"/>
      <c r="T2804" s="1639"/>
      <c r="U2804" s="177"/>
      <c r="V2804" s="2866"/>
      <c r="W2804" s="1060"/>
      <c r="X2804" s="1060"/>
      <c r="Y2804" s="1058">
        <v>0.65</v>
      </c>
      <c r="Z2804" s="1060"/>
      <c r="AA2804" s="1060"/>
      <c r="AB2804" s="1060"/>
      <c r="AC2804" s="1060"/>
      <c r="AD2804" s="1060"/>
      <c r="AE2804" s="1060"/>
      <c r="AF2804" s="1060"/>
      <c r="AG2804" s="1060"/>
      <c r="BB2804" s="784"/>
      <c r="BC2804" s="785"/>
      <c r="BD2804" s="900"/>
      <c r="BE2804" s="797"/>
    </row>
    <row r="2805" spans="1:57" s="65" customFormat="1" ht="15" hidden="1" customHeight="1" outlineLevel="1" x14ac:dyDescent="0.25">
      <c r="A2805" s="718"/>
      <c r="B2805" s="785"/>
      <c r="C2805" s="455"/>
      <c r="D2805" s="2806"/>
      <c r="E2805" s="2856"/>
      <c r="F2805" s="2908" t="str">
        <f>$E$1622</f>
        <v>ASHP SEER 21 replace ASHP - early replacement MF ER2_CompE</v>
      </c>
      <c r="G2805" s="2909"/>
      <c r="H2805" s="2909"/>
      <c r="I2805" s="2910"/>
      <c r="J2805" s="1657" t="str">
        <f>$C$1622</f>
        <v>354901_2019_12_</v>
      </c>
      <c r="K2805" s="1060">
        <f>K2803</f>
        <v>0.65</v>
      </c>
      <c r="L2805" s="1124"/>
      <c r="M2805" s="1133"/>
      <c r="N2805" s="177"/>
      <c r="O2805" s="332"/>
      <c r="P2805" s="1116"/>
      <c r="Q2805" s="1117"/>
      <c r="R2805" s="1116"/>
      <c r="S2805" s="1103"/>
      <c r="T2805" s="1639"/>
      <c r="U2805" s="177"/>
      <c r="V2805" s="2866"/>
      <c r="W2805" s="1060"/>
      <c r="X2805" s="1060"/>
      <c r="Y2805" s="1058">
        <v>0.65</v>
      </c>
      <c r="Z2805" s="1060"/>
      <c r="AA2805" s="1060"/>
      <c r="AB2805" s="1060"/>
      <c r="AC2805" s="1060"/>
      <c r="AD2805" s="1060"/>
      <c r="AE2805" s="1060"/>
      <c r="AF2805" s="1060"/>
      <c r="AG2805" s="1060"/>
      <c r="BB2805" s="784"/>
      <c r="BC2805" s="785"/>
      <c r="BD2805" s="900"/>
      <c r="BE2805" s="797"/>
    </row>
    <row r="2806" spans="1:57" s="65" customFormat="1" ht="15" hidden="1" customHeight="1" outlineLevel="1" x14ac:dyDescent="0.25">
      <c r="A2806" s="718"/>
      <c r="B2806" s="785"/>
      <c r="C2806" s="455"/>
      <c r="D2806" s="2806"/>
      <c r="E2806" s="2856"/>
      <c r="F2806" s="2908" t="str">
        <f>$E$1624</f>
        <v>ASHP - SEER 17 - replace on fail MF</v>
      </c>
      <c r="G2806" s="2909"/>
      <c r="H2806" s="2909"/>
      <c r="I2806" s="2910"/>
      <c r="J2806" s="1657" t="str">
        <f>$C$1624</f>
        <v>354950_2019_12_</v>
      </c>
      <c r="K2806" s="1060">
        <v>0.65</v>
      </c>
      <c r="L2806" s="1124"/>
      <c r="M2806" s="928" t="s">
        <v>1289</v>
      </c>
      <c r="N2806" s="177"/>
      <c r="O2806" s="332"/>
      <c r="P2806" s="1116"/>
      <c r="Q2806" s="1117"/>
      <c r="R2806" s="1116"/>
      <c r="S2806" s="1103"/>
      <c r="T2806" s="1639"/>
      <c r="U2806" s="177"/>
      <c r="V2806" s="2866"/>
      <c r="W2806" s="1060">
        <v>0.65</v>
      </c>
      <c r="X2806" s="1060">
        <v>0.65</v>
      </c>
      <c r="Y2806" s="1060">
        <v>0.65</v>
      </c>
      <c r="Z2806" s="1060"/>
      <c r="AA2806" s="1060"/>
      <c r="AB2806" s="1060"/>
      <c r="AC2806" s="1060"/>
      <c r="AD2806" s="1060"/>
      <c r="AE2806" s="1060"/>
      <c r="AF2806" s="1060"/>
      <c r="AG2806" s="1060"/>
      <c r="BB2806" s="784"/>
      <c r="BC2806" s="785"/>
      <c r="BD2806" s="900"/>
      <c r="BE2806" s="797"/>
    </row>
    <row r="2807" spans="1:57" s="65" customFormat="1" ht="15" hidden="1" customHeight="1" outlineLevel="1" x14ac:dyDescent="0.25">
      <c r="A2807" s="718"/>
      <c r="B2807" s="785"/>
      <c r="C2807" s="455"/>
      <c r="D2807" s="2806"/>
      <c r="E2807" s="2856"/>
      <c r="F2807" s="2908" t="str">
        <f>$E$1626</f>
        <v>ASHP - SEER 17 - replace on fail MF_CompE</v>
      </c>
      <c r="G2807" s="2909"/>
      <c r="H2807" s="2909"/>
      <c r="I2807" s="2910"/>
      <c r="J2807" s="1657" t="str">
        <f>$C$1626</f>
        <v>354951_2019_12_</v>
      </c>
      <c r="K2807" s="1060">
        <f>K2806</f>
        <v>0.65</v>
      </c>
      <c r="L2807" s="1124"/>
      <c r="M2807" s="928"/>
      <c r="N2807" s="177"/>
      <c r="O2807" s="332"/>
      <c r="P2807" s="1116"/>
      <c r="Q2807" s="1117"/>
      <c r="R2807" s="1116"/>
      <c r="S2807" s="1103"/>
      <c r="T2807" s="1639"/>
      <c r="U2807" s="177"/>
      <c r="V2807" s="2866"/>
      <c r="W2807" s="1060"/>
      <c r="X2807" s="1060"/>
      <c r="Y2807" s="1058">
        <v>0.65</v>
      </c>
      <c r="Z2807" s="1060"/>
      <c r="AA2807" s="1060"/>
      <c r="AB2807" s="1060"/>
      <c r="AC2807" s="1060"/>
      <c r="AD2807" s="1060"/>
      <c r="AE2807" s="1060"/>
      <c r="AF2807" s="1060"/>
      <c r="AG2807" s="1060"/>
      <c r="BB2807" s="784"/>
      <c r="BC2807" s="785"/>
      <c r="BD2807" s="900"/>
      <c r="BE2807" s="797"/>
    </row>
    <row r="2808" spans="1:57" s="65" customFormat="1" ht="15" hidden="1" customHeight="1" outlineLevel="1" x14ac:dyDescent="0.25">
      <c r="A2808" s="718"/>
      <c r="B2808" s="785"/>
      <c r="C2808" s="455"/>
      <c r="D2808" s="2806"/>
      <c r="E2808" s="2856"/>
      <c r="F2808" s="2908" t="str">
        <f>$E$1628</f>
        <v>ASHP - SEER 18 - replace on fail MF</v>
      </c>
      <c r="G2808" s="2909"/>
      <c r="H2808" s="2909"/>
      <c r="I2808" s="2910"/>
      <c r="J2808" s="1657" t="str">
        <f>$C$1628</f>
        <v>355000_2019_12_</v>
      </c>
      <c r="K2808" s="1060">
        <v>0.65</v>
      </c>
      <c r="L2808" s="1124"/>
      <c r="M2808" s="928" t="s">
        <v>1289</v>
      </c>
      <c r="N2808" s="177"/>
      <c r="O2808" s="332"/>
      <c r="P2808" s="1116"/>
      <c r="Q2808" s="1117"/>
      <c r="R2808" s="1116"/>
      <c r="S2808" s="1103"/>
      <c r="T2808" s="1639"/>
      <c r="U2808" s="177"/>
      <c r="V2808" s="2866"/>
      <c r="W2808" s="1060">
        <v>0.65</v>
      </c>
      <c r="X2808" s="1060">
        <v>0.65</v>
      </c>
      <c r="Y2808" s="1060">
        <v>0.65</v>
      </c>
      <c r="Z2808" s="1060"/>
      <c r="AA2808" s="1060"/>
      <c r="AB2808" s="1060"/>
      <c r="AC2808" s="1060"/>
      <c r="AD2808" s="1060"/>
      <c r="AE2808" s="1060"/>
      <c r="AF2808" s="1060"/>
      <c r="AG2808" s="1060"/>
      <c r="BB2808" s="784"/>
      <c r="BC2808" s="785"/>
      <c r="BD2808" s="900"/>
      <c r="BE2808" s="797"/>
    </row>
    <row r="2809" spans="1:57" s="65" customFormat="1" ht="15" hidden="1" customHeight="1" outlineLevel="1" x14ac:dyDescent="0.25">
      <c r="A2809" s="718"/>
      <c r="B2809" s="785"/>
      <c r="C2809" s="455"/>
      <c r="D2809" s="2806"/>
      <c r="E2809" s="2856"/>
      <c r="F2809" s="2908" t="str">
        <f>$E$1630</f>
        <v>ASHP - SEER 18 - replace on fail MF_CompE</v>
      </c>
      <c r="G2809" s="2909"/>
      <c r="H2809" s="2909"/>
      <c r="I2809" s="2910"/>
      <c r="J2809" s="1657" t="str">
        <f>$C$1630</f>
        <v>355001_2019_12_</v>
      </c>
      <c r="K2809" s="1060">
        <v>1</v>
      </c>
      <c r="L2809" s="1124"/>
      <c r="M2809" s="928"/>
      <c r="N2809" s="177"/>
      <c r="O2809" s="332"/>
      <c r="P2809" s="1116"/>
      <c r="Q2809" s="1117"/>
      <c r="R2809" s="1116"/>
      <c r="S2809" s="1103"/>
      <c r="T2809" s="1639"/>
      <c r="U2809" s="177"/>
      <c r="V2809" s="2866"/>
      <c r="W2809" s="1060"/>
      <c r="X2809" s="1060"/>
      <c r="Y2809" s="1058">
        <v>1</v>
      </c>
      <c r="Z2809" s="1060"/>
      <c r="AA2809" s="1060"/>
      <c r="AB2809" s="1060"/>
      <c r="AC2809" s="1060"/>
      <c r="AD2809" s="1060"/>
      <c r="AE2809" s="1060"/>
      <c r="AF2809" s="1060"/>
      <c r="AG2809" s="1060"/>
      <c r="BB2809" s="784"/>
      <c r="BC2809" s="785"/>
      <c r="BD2809" s="900"/>
      <c r="BE2809" s="797"/>
    </row>
    <row r="2810" spans="1:57" s="65" customFormat="1" ht="15" hidden="1" customHeight="1" outlineLevel="1" x14ac:dyDescent="0.25">
      <c r="A2810" s="718"/>
      <c r="B2810" s="785"/>
      <c r="C2810" s="455"/>
      <c r="D2810" s="2806"/>
      <c r="E2810" s="2856"/>
      <c r="F2810" s="2908" t="str">
        <f>$E$1632</f>
        <v>ASHP - SEER 19 - replace on fail MF</v>
      </c>
      <c r="G2810" s="2909"/>
      <c r="H2810" s="2909"/>
      <c r="I2810" s="2910"/>
      <c r="J2810" s="1657" t="str">
        <f>$C$1632</f>
        <v>355050_2019_12_</v>
      </c>
      <c r="K2810" s="1060">
        <v>0.65</v>
      </c>
      <c r="L2810" s="1124"/>
      <c r="M2810" s="928" t="s">
        <v>1289</v>
      </c>
      <c r="N2810" s="177"/>
      <c r="O2810" s="332"/>
      <c r="P2810" s="1116"/>
      <c r="Q2810" s="1117"/>
      <c r="R2810" s="1116"/>
      <c r="S2810" s="1103"/>
      <c r="T2810" s="1639"/>
      <c r="U2810" s="177"/>
      <c r="V2810" s="2866"/>
      <c r="W2810" s="1060">
        <v>0.65</v>
      </c>
      <c r="X2810" s="1060">
        <v>0.65</v>
      </c>
      <c r="Y2810" s="1060">
        <v>0.65</v>
      </c>
      <c r="Z2810" s="1060"/>
      <c r="AA2810" s="1060"/>
      <c r="AB2810" s="1060"/>
      <c r="AC2810" s="1060"/>
      <c r="AD2810" s="1060"/>
      <c r="AE2810" s="1060"/>
      <c r="AF2810" s="1060"/>
      <c r="AG2810" s="1060"/>
      <c r="BB2810" s="784"/>
      <c r="BC2810" s="785"/>
      <c r="BD2810" s="900"/>
      <c r="BE2810" s="797"/>
    </row>
    <row r="2811" spans="1:57" s="65" customFormat="1" ht="15" hidden="1" customHeight="1" outlineLevel="1" x14ac:dyDescent="0.25">
      <c r="A2811" s="718"/>
      <c r="B2811" s="785"/>
      <c r="C2811" s="455"/>
      <c r="D2811" s="2806"/>
      <c r="E2811" s="2856"/>
      <c r="F2811" s="2908" t="str">
        <f>$E$1634</f>
        <v>ASHP - SEER 19 - replace on fail MF_CompE</v>
      </c>
      <c r="G2811" s="2909"/>
      <c r="H2811" s="2909"/>
      <c r="I2811" s="2910"/>
      <c r="J2811" s="1657" t="str">
        <f>$C$1634</f>
        <v>355051_2019_12_</v>
      </c>
      <c r="K2811" s="1060">
        <f>K2810</f>
        <v>0.65</v>
      </c>
      <c r="L2811" s="1124"/>
      <c r="M2811" s="928"/>
      <c r="N2811" s="177"/>
      <c r="O2811" s="332"/>
      <c r="P2811" s="1116"/>
      <c r="Q2811" s="1117"/>
      <c r="R2811" s="1116"/>
      <c r="S2811" s="1103"/>
      <c r="T2811" s="1639"/>
      <c r="U2811" s="177"/>
      <c r="V2811" s="2866"/>
      <c r="W2811" s="1060"/>
      <c r="X2811" s="1060"/>
      <c r="Y2811" s="1058">
        <v>0.65</v>
      </c>
      <c r="Z2811" s="1060"/>
      <c r="AA2811" s="1060"/>
      <c r="AB2811" s="1060"/>
      <c r="AC2811" s="1060"/>
      <c r="AD2811" s="1060"/>
      <c r="AE2811" s="1060"/>
      <c r="AF2811" s="1060"/>
      <c r="AG2811" s="1060"/>
      <c r="BB2811" s="784"/>
      <c r="BC2811" s="785"/>
      <c r="BD2811" s="900"/>
      <c r="BE2811" s="797"/>
    </row>
    <row r="2812" spans="1:57" s="65" customFormat="1" ht="15" hidden="1" customHeight="1" outlineLevel="1" x14ac:dyDescent="0.25">
      <c r="A2812" s="718"/>
      <c r="B2812" s="785"/>
      <c r="C2812" s="455"/>
      <c r="D2812" s="2806"/>
      <c r="E2812" s="2856"/>
      <c r="F2812" s="2908" t="str">
        <f>$E$1636</f>
        <v>ASHP - SEER 20 - replace on fail MF</v>
      </c>
      <c r="G2812" s="2909"/>
      <c r="H2812" s="2909"/>
      <c r="I2812" s="2910"/>
      <c r="J2812" s="1657" t="str">
        <f>$C$1636</f>
        <v>355100_2019_12_</v>
      </c>
      <c r="K2812" s="1060">
        <v>0.65</v>
      </c>
      <c r="L2812" s="1136"/>
      <c r="M2812" s="928" t="s">
        <v>1289</v>
      </c>
      <c r="N2812" s="177"/>
      <c r="O2812" s="332"/>
      <c r="P2812" s="1116"/>
      <c r="Q2812" s="1117"/>
      <c r="R2812" s="1116"/>
      <c r="S2812" s="1103"/>
      <c r="T2812" s="1639"/>
      <c r="U2812" s="177"/>
      <c r="V2812" s="2866"/>
      <c r="W2812" s="1060">
        <v>0.65</v>
      </c>
      <c r="X2812" s="1060">
        <v>0.65</v>
      </c>
      <c r="Y2812" s="1060">
        <v>0.65</v>
      </c>
      <c r="Z2812" s="1060"/>
      <c r="AA2812" s="1060"/>
      <c r="AB2812" s="1060"/>
      <c r="AC2812" s="1060"/>
      <c r="AD2812" s="1060"/>
      <c r="AE2812" s="1060"/>
      <c r="AF2812" s="1060"/>
      <c r="AG2812" s="1060"/>
      <c r="BB2812" s="784"/>
      <c r="BC2812" s="785"/>
      <c r="BD2812" s="900"/>
      <c r="BE2812" s="797"/>
    </row>
    <row r="2813" spans="1:57" s="65" customFormat="1" ht="15" hidden="1" customHeight="1" outlineLevel="1" x14ac:dyDescent="0.25">
      <c r="A2813" s="718"/>
      <c r="B2813" s="785"/>
      <c r="C2813" s="455"/>
      <c r="D2813" s="2806"/>
      <c r="E2813" s="2856"/>
      <c r="F2813" s="2908" t="str">
        <f>$E$1638</f>
        <v>ASHP - SEER 20 - replace on fail MF_CompE</v>
      </c>
      <c r="G2813" s="2909"/>
      <c r="H2813" s="2909"/>
      <c r="I2813" s="2910"/>
      <c r="J2813" s="1657" t="str">
        <f>$C$1638</f>
        <v>355101_2019_12_</v>
      </c>
      <c r="K2813" s="1060">
        <f>K2812</f>
        <v>0.65</v>
      </c>
      <c r="L2813" s="1137"/>
      <c r="M2813" s="928"/>
      <c r="N2813" s="177"/>
      <c r="O2813" s="332"/>
      <c r="P2813" s="1116"/>
      <c r="Q2813" s="1117"/>
      <c r="R2813" s="1116"/>
      <c r="S2813" s="1103"/>
      <c r="T2813" s="1639"/>
      <c r="U2813" s="177"/>
      <c r="V2813" s="2866"/>
      <c r="W2813" s="1138"/>
      <c r="X2813" s="1138"/>
      <c r="Y2813" s="1058">
        <v>0.65</v>
      </c>
      <c r="Z2813" s="1138"/>
      <c r="AA2813" s="1060"/>
      <c r="AB2813" s="1138"/>
      <c r="AC2813" s="1138"/>
      <c r="AD2813" s="1138"/>
      <c r="AE2813" s="1138"/>
      <c r="AF2813" s="1138"/>
      <c r="AG2813" s="1138"/>
      <c r="BB2813" s="784"/>
      <c r="BC2813" s="785"/>
      <c r="BD2813" s="900"/>
      <c r="BE2813" s="797"/>
    </row>
    <row r="2814" spans="1:57" s="65" customFormat="1" ht="15.75" hidden="1" customHeight="1" outlineLevel="1" x14ac:dyDescent="0.25">
      <c r="A2814" s="718"/>
      <c r="B2814" s="785"/>
      <c r="C2814" s="455"/>
      <c r="D2814" s="2806"/>
      <c r="E2814" s="2856"/>
      <c r="F2814" s="2908" t="str">
        <f>$E$1640</f>
        <v>ASHP - SEER 21 - replace on fail MF</v>
      </c>
      <c r="G2814" s="2909"/>
      <c r="H2814" s="2909"/>
      <c r="I2814" s="2910"/>
      <c r="J2814" s="1657" t="str">
        <f>$C$1640</f>
        <v>355150_2019_12_</v>
      </c>
      <c r="K2814" s="1060">
        <v>0.65</v>
      </c>
      <c r="L2814" s="1136"/>
      <c r="M2814" s="928" t="s">
        <v>1289</v>
      </c>
      <c r="N2814" s="177"/>
      <c r="O2814" s="332"/>
      <c r="P2814" s="1116"/>
      <c r="Q2814" s="1117"/>
      <c r="R2814" s="1116"/>
      <c r="S2814" s="1103"/>
      <c r="T2814" s="1639"/>
      <c r="U2814" s="177"/>
      <c r="V2814" s="2866"/>
      <c r="W2814" s="1060">
        <v>0.65</v>
      </c>
      <c r="X2814" s="1060">
        <v>0.65</v>
      </c>
      <c r="Y2814" s="1060">
        <v>0.65</v>
      </c>
      <c r="Z2814" s="1060"/>
      <c r="AA2814" s="1060"/>
      <c r="AB2814" s="1060"/>
      <c r="AC2814" s="1060"/>
      <c r="AD2814" s="1060"/>
      <c r="AE2814" s="1060"/>
      <c r="AF2814" s="1060"/>
      <c r="AG2814" s="1060"/>
      <c r="BB2814" s="784"/>
      <c r="BC2814" s="785"/>
      <c r="BD2814" s="900"/>
      <c r="BE2814" s="797"/>
    </row>
    <row r="2815" spans="1:57" s="65" customFormat="1" ht="15.75" hidden="1" customHeight="1" outlineLevel="1" thickBot="1" x14ac:dyDescent="0.3">
      <c r="A2815" s="718"/>
      <c r="B2815" s="785"/>
      <c r="C2815" s="455"/>
      <c r="D2815" s="2808"/>
      <c r="E2815" s="2858"/>
      <c r="F2815" s="2100" t="str">
        <f>$E$1642</f>
        <v>ASHP - SEER 21 - replace on fail MF_CompE</v>
      </c>
      <c r="G2815" s="1119"/>
      <c r="H2815" s="1119"/>
      <c r="I2815" s="1120"/>
      <c r="J2815" s="2100" t="str">
        <f>$C$1642</f>
        <v>355151_2019_12_</v>
      </c>
      <c r="K2815" s="1060">
        <f>K2814</f>
        <v>0.65</v>
      </c>
      <c r="L2815" s="1134"/>
      <c r="M2815" s="1139"/>
      <c r="N2815" s="177"/>
      <c r="O2815" s="332"/>
      <c r="P2815" s="1116"/>
      <c r="Q2815" s="1117"/>
      <c r="R2815" s="1116"/>
      <c r="S2815" s="1103"/>
      <c r="T2815" s="1639"/>
      <c r="U2815" s="177"/>
      <c r="V2815" s="2848"/>
      <c r="W2815" s="1140"/>
      <c r="X2815" s="1140"/>
      <c r="Y2815" s="1058">
        <v>0.65</v>
      </c>
      <c r="Z2815" s="1140"/>
      <c r="AA2815" s="1059"/>
      <c r="AB2815" s="1140"/>
      <c r="AC2815" s="1140"/>
      <c r="AD2815" s="1140"/>
      <c r="AE2815" s="1140"/>
      <c r="AF2815" s="1140"/>
      <c r="AG2815" s="1140"/>
      <c r="BB2815" s="784"/>
      <c r="BC2815" s="785"/>
      <c r="BD2815" s="900"/>
      <c r="BE2815" s="797"/>
    </row>
    <row r="2816" spans="1:57" s="65" customFormat="1" hidden="1" outlineLevel="1" x14ac:dyDescent="0.25">
      <c r="A2816" s="718"/>
      <c r="B2816" s="785"/>
      <c r="C2816" s="455"/>
      <c r="D2816" s="2805" t="str">
        <f>D1358</f>
        <v>EUL</v>
      </c>
      <c r="E2816" s="2855" t="e">
        <f>E1358</f>
        <v>#REF!</v>
      </c>
      <c r="F2816" s="2905" t="str">
        <f t="shared" ref="F2816:F2843" si="235">E1388</f>
        <v>ASHP - SEER 15 ER Elec Resist Furnace: HVAC ER1</v>
      </c>
      <c r="G2816" s="2905"/>
      <c r="H2816" s="2905"/>
      <c r="I2816" s="2905"/>
      <c r="J2816" s="1656" t="str">
        <f t="shared" ref="J2816:J2843" si="236">C1388</f>
        <v>352300_2019_12_</v>
      </c>
      <c r="K2816" s="1141">
        <v>6</v>
      </c>
      <c r="L2816" s="1008"/>
      <c r="M2816" s="1135"/>
      <c r="N2816" s="177"/>
      <c r="O2816" s="332"/>
      <c r="P2816" s="1116"/>
      <c r="Q2816" s="1116"/>
      <c r="R2816" s="1116"/>
      <c r="S2816" s="1103"/>
      <c r="T2816" s="1639"/>
      <c r="U2816" s="177"/>
      <c r="V2816" s="2867" t="s">
        <v>775</v>
      </c>
      <c r="W2816" s="1141">
        <v>6</v>
      </c>
      <c r="X2816" s="1141">
        <v>6</v>
      </c>
      <c r="Y2816" s="1141">
        <v>6</v>
      </c>
      <c r="Z2816" s="1141"/>
      <c r="AA2816" s="1141"/>
      <c r="AB2816" s="1141"/>
      <c r="AC2816" s="1141"/>
      <c r="AD2816" s="1141"/>
      <c r="AE2816" s="1141"/>
      <c r="AF2816" s="1141"/>
      <c r="AG2816" s="1141"/>
      <c r="BB2816" s="784"/>
      <c r="BC2816" s="785"/>
      <c r="BD2816" s="900"/>
      <c r="BE2816" s="797"/>
    </row>
    <row r="2817" spans="1:57" s="65" customFormat="1" ht="15" hidden="1" customHeight="1" outlineLevel="1" x14ac:dyDescent="0.25">
      <c r="A2817" s="718"/>
      <c r="B2817" s="785"/>
      <c r="C2817" s="455"/>
      <c r="D2817" s="2806"/>
      <c r="E2817" s="2856"/>
      <c r="F2817" s="2917" t="str">
        <f t="shared" si="235"/>
        <v>ASHP - SEER 15 ER Elec Resist Furnace: HVAC ER1</v>
      </c>
      <c r="G2817" s="2917"/>
      <c r="H2817" s="2917"/>
      <c r="I2817" s="2917"/>
      <c r="J2817" s="1654" t="str">
        <f t="shared" si="236"/>
        <v>352300_2019_12_</v>
      </c>
      <c r="K2817" s="1142">
        <v>6</v>
      </c>
      <c r="L2817" s="1123"/>
      <c r="M2817" s="1133"/>
      <c r="N2817" s="177"/>
      <c r="O2817" s="332"/>
      <c r="P2817" s="1116"/>
      <c r="Q2817" s="1116"/>
      <c r="R2817" s="1116"/>
      <c r="S2817" s="1103"/>
      <c r="T2817" s="1639"/>
      <c r="U2817" s="177"/>
      <c r="V2817" s="2866"/>
      <c r="W2817" s="1142">
        <v>6</v>
      </c>
      <c r="X2817" s="1142">
        <v>6</v>
      </c>
      <c r="Y2817" s="1142">
        <v>6</v>
      </c>
      <c r="Z2817" s="1142"/>
      <c r="AA2817" s="1142"/>
      <c r="AB2817" s="1142"/>
      <c r="AC2817" s="1142"/>
      <c r="AD2817" s="1142"/>
      <c r="AE2817" s="1142"/>
      <c r="AF2817" s="1142"/>
      <c r="AG2817" s="1142"/>
      <c r="BB2817" s="784"/>
      <c r="BC2817" s="785"/>
      <c r="BD2817" s="900"/>
      <c r="BE2817" s="797"/>
    </row>
    <row r="2818" spans="1:57" s="65" customFormat="1" ht="15" hidden="1" customHeight="1" outlineLevel="1" x14ac:dyDescent="0.25">
      <c r="A2818" s="718"/>
      <c r="B2818" s="785"/>
      <c r="C2818" s="455"/>
      <c r="D2818" s="2806"/>
      <c r="E2818" s="2856"/>
      <c r="F2818" s="2917" t="str">
        <f t="shared" si="235"/>
        <v>ASHP - SEER 15 ER Elec Resist Furnace: HVAC ER2</v>
      </c>
      <c r="G2818" s="2917"/>
      <c r="H2818" s="2917"/>
      <c r="I2818" s="2917"/>
      <c r="J2818" s="1654" t="str">
        <f t="shared" si="236"/>
        <v>352300_2019_12_</v>
      </c>
      <c r="K2818" s="1142">
        <v>12</v>
      </c>
      <c r="L2818" s="1123"/>
      <c r="M2818" s="1133"/>
      <c r="N2818" s="177"/>
      <c r="O2818" s="332"/>
      <c r="P2818" s="1116"/>
      <c r="Q2818" s="1116"/>
      <c r="R2818" s="1116"/>
      <c r="S2818" s="1103"/>
      <c r="T2818" s="1639"/>
      <c r="U2818" s="177"/>
      <c r="V2818" s="2866"/>
      <c r="W2818" s="1142">
        <v>12</v>
      </c>
      <c r="X2818" s="1142">
        <v>12</v>
      </c>
      <c r="Y2818" s="1142">
        <v>12</v>
      </c>
      <c r="Z2818" s="1142"/>
      <c r="AA2818" s="1142"/>
      <c r="AB2818" s="1142"/>
      <c r="AC2818" s="1142"/>
      <c r="AD2818" s="1142"/>
      <c r="AE2818" s="1142"/>
      <c r="AF2818" s="1142"/>
      <c r="AG2818" s="1142"/>
      <c r="BB2818" s="784"/>
      <c r="BC2818" s="785"/>
      <c r="BD2818" s="900"/>
      <c r="BE2818" s="797"/>
    </row>
    <row r="2819" spans="1:57" s="65" customFormat="1" ht="15" hidden="1" customHeight="1" outlineLevel="1" x14ac:dyDescent="0.25">
      <c r="A2819" s="718"/>
      <c r="B2819" s="785"/>
      <c r="C2819" s="455"/>
      <c r="D2819" s="2806"/>
      <c r="E2819" s="2856"/>
      <c r="F2819" s="2917" t="str">
        <f t="shared" si="235"/>
        <v>ASHP - SEER 15 ER Elec Resist Furnace: HVAC ER2</v>
      </c>
      <c r="G2819" s="2917"/>
      <c r="H2819" s="2917"/>
      <c r="I2819" s="2917"/>
      <c r="J2819" s="1654" t="str">
        <f t="shared" si="236"/>
        <v>352300_2019_12_</v>
      </c>
      <c r="K2819" s="1142">
        <v>12</v>
      </c>
      <c r="L2819" s="1123"/>
      <c r="M2819" s="1133"/>
      <c r="N2819" s="177"/>
      <c r="O2819" s="332"/>
      <c r="P2819" s="1116"/>
      <c r="Q2819" s="1116"/>
      <c r="R2819" s="1116"/>
      <c r="S2819" s="1103"/>
      <c r="T2819" s="1639"/>
      <c r="U2819" s="177"/>
      <c r="V2819" s="2866"/>
      <c r="W2819" s="1142">
        <v>12</v>
      </c>
      <c r="X2819" s="1142">
        <v>12</v>
      </c>
      <c r="Y2819" s="1142">
        <v>12</v>
      </c>
      <c r="Z2819" s="1142"/>
      <c r="AA2819" s="1142"/>
      <c r="AB2819" s="1142"/>
      <c r="AC2819" s="1142"/>
      <c r="AD2819" s="1142"/>
      <c r="AE2819" s="1142"/>
      <c r="AF2819" s="1142"/>
      <c r="AG2819" s="1142"/>
      <c r="BB2819" s="784"/>
      <c r="BC2819" s="785"/>
      <c r="BD2819" s="900"/>
      <c r="BE2819" s="797"/>
    </row>
    <row r="2820" spans="1:57" s="65" customFormat="1" ht="15" hidden="1" customHeight="1" outlineLevel="1" x14ac:dyDescent="0.25">
      <c r="A2820" s="718"/>
      <c r="B2820" s="785"/>
      <c r="C2820" s="455"/>
      <c r="D2820" s="2806"/>
      <c r="E2820" s="2856"/>
      <c r="F2820" s="2917" t="str">
        <f t="shared" si="235"/>
        <v>ASHP - SEER 15 ER with ASHP: HVAC ER1</v>
      </c>
      <c r="G2820" s="2917"/>
      <c r="H2820" s="2917"/>
      <c r="I2820" s="2917"/>
      <c r="J2820" s="1654" t="str">
        <f t="shared" si="236"/>
        <v>352350_2019_12_</v>
      </c>
      <c r="K2820" s="1142">
        <v>6</v>
      </c>
      <c r="L2820" s="1123"/>
      <c r="M2820" s="1133"/>
      <c r="N2820" s="177"/>
      <c r="O2820" s="332"/>
      <c r="P2820" s="1116"/>
      <c r="Q2820" s="1116"/>
      <c r="R2820" s="1116"/>
      <c r="S2820" s="1103"/>
      <c r="T2820" s="1639"/>
      <c r="U2820" s="177"/>
      <c r="V2820" s="2866"/>
      <c r="W2820" s="1142">
        <v>6</v>
      </c>
      <c r="X2820" s="1142">
        <v>6</v>
      </c>
      <c r="Y2820" s="1142">
        <v>6</v>
      </c>
      <c r="Z2820" s="1142"/>
      <c r="AA2820" s="1142"/>
      <c r="AB2820" s="1142"/>
      <c r="AC2820" s="1142"/>
      <c r="AD2820" s="1142"/>
      <c r="AE2820" s="1142"/>
      <c r="AF2820" s="1142"/>
      <c r="AG2820" s="1142"/>
      <c r="BB2820" s="784"/>
      <c r="BC2820" s="785"/>
      <c r="BD2820" s="900"/>
      <c r="BE2820" s="797"/>
    </row>
    <row r="2821" spans="1:57" s="65" customFormat="1" ht="15" hidden="1" customHeight="1" outlineLevel="1" x14ac:dyDescent="0.25">
      <c r="A2821" s="718"/>
      <c r="B2821" s="785"/>
      <c r="C2821" s="455"/>
      <c r="D2821" s="2806"/>
      <c r="E2821" s="2856"/>
      <c r="F2821" s="2917" t="str">
        <f t="shared" si="235"/>
        <v>ASHP - SEER 15 ER with ASHP: HVAC ER1</v>
      </c>
      <c r="G2821" s="2917"/>
      <c r="H2821" s="2917"/>
      <c r="I2821" s="2917"/>
      <c r="J2821" s="1654" t="str">
        <f t="shared" si="236"/>
        <v>352350_2019_12_</v>
      </c>
      <c r="K2821" s="1142">
        <v>6</v>
      </c>
      <c r="L2821" s="1123"/>
      <c r="M2821" s="1133"/>
      <c r="N2821" s="177"/>
      <c r="O2821" s="332"/>
      <c r="P2821" s="1116"/>
      <c r="Q2821" s="1116"/>
      <c r="R2821" s="1116"/>
      <c r="S2821" s="1103"/>
      <c r="T2821" s="1639"/>
      <c r="U2821" s="177"/>
      <c r="V2821" s="2866"/>
      <c r="W2821" s="1142">
        <v>6</v>
      </c>
      <c r="X2821" s="1142">
        <v>6</v>
      </c>
      <c r="Y2821" s="1142">
        <v>6</v>
      </c>
      <c r="Z2821" s="1142"/>
      <c r="AA2821" s="1142"/>
      <c r="AB2821" s="1142"/>
      <c r="AC2821" s="1142"/>
      <c r="AD2821" s="1142"/>
      <c r="AE2821" s="1142"/>
      <c r="AF2821" s="1142"/>
      <c r="AG2821" s="1142"/>
      <c r="BB2821" s="784"/>
      <c r="BC2821" s="785"/>
      <c r="BD2821" s="900"/>
      <c r="BE2821" s="797"/>
    </row>
    <row r="2822" spans="1:57" s="65" customFormat="1" ht="15" hidden="1" customHeight="1" outlineLevel="1" x14ac:dyDescent="0.25">
      <c r="A2822" s="718"/>
      <c r="B2822" s="785"/>
      <c r="C2822" s="455"/>
      <c r="D2822" s="2806"/>
      <c r="E2822" s="2856"/>
      <c r="F2822" s="2917" t="str">
        <f t="shared" si="235"/>
        <v>ASHP - SEER 15 ER with ASHP: HVAC ER2</v>
      </c>
      <c r="G2822" s="2917"/>
      <c r="H2822" s="2917"/>
      <c r="I2822" s="2917"/>
      <c r="J2822" s="1654" t="str">
        <f t="shared" si="236"/>
        <v>352350_2019_12_</v>
      </c>
      <c r="K2822" s="1142">
        <v>12</v>
      </c>
      <c r="L2822" s="1123"/>
      <c r="M2822" s="1133"/>
      <c r="N2822" s="177"/>
      <c r="O2822" s="332"/>
      <c r="P2822" s="1116"/>
      <c r="Q2822" s="1116"/>
      <c r="R2822" s="1116"/>
      <c r="S2822" s="1103"/>
      <c r="T2822" s="1639"/>
      <c r="U2822" s="177"/>
      <c r="V2822" s="2866"/>
      <c r="W2822" s="1142">
        <v>12</v>
      </c>
      <c r="X2822" s="1142">
        <v>12</v>
      </c>
      <c r="Y2822" s="1142">
        <v>12</v>
      </c>
      <c r="Z2822" s="1142"/>
      <c r="AA2822" s="1142"/>
      <c r="AB2822" s="1142"/>
      <c r="AC2822" s="1142"/>
      <c r="AD2822" s="1142"/>
      <c r="AE2822" s="1142"/>
      <c r="AF2822" s="1142"/>
      <c r="AG2822" s="1142"/>
      <c r="BB2822" s="784"/>
      <c r="BC2822" s="785"/>
      <c r="BD2822" s="900"/>
      <c r="BE2822" s="797"/>
    </row>
    <row r="2823" spans="1:57" s="65" customFormat="1" ht="15" hidden="1" customHeight="1" outlineLevel="1" x14ac:dyDescent="0.25">
      <c r="A2823" s="718"/>
      <c r="B2823" s="785"/>
      <c r="C2823" s="455"/>
      <c r="D2823" s="2806"/>
      <c r="E2823" s="2856"/>
      <c r="F2823" s="2917" t="str">
        <f t="shared" si="235"/>
        <v>ASHP - SEER 15 ER with ASHP: HVAC ER2</v>
      </c>
      <c r="G2823" s="2917"/>
      <c r="H2823" s="2917"/>
      <c r="I2823" s="2917"/>
      <c r="J2823" s="1654" t="str">
        <f t="shared" si="236"/>
        <v>352350_2019_12_</v>
      </c>
      <c r="K2823" s="1142">
        <v>12</v>
      </c>
      <c r="L2823" s="1123"/>
      <c r="M2823" s="1133"/>
      <c r="N2823" s="177"/>
      <c r="O2823" s="332"/>
      <c r="P2823" s="1116"/>
      <c r="Q2823" s="1116"/>
      <c r="R2823" s="1116"/>
      <c r="S2823" s="1103"/>
      <c r="T2823" s="1639"/>
      <c r="U2823" s="177"/>
      <c r="V2823" s="2866"/>
      <c r="W2823" s="1142">
        <v>12</v>
      </c>
      <c r="X2823" s="1142">
        <v>12</v>
      </c>
      <c r="Y2823" s="1142">
        <v>12</v>
      </c>
      <c r="Z2823" s="1142"/>
      <c r="AA2823" s="1142"/>
      <c r="AB2823" s="1142"/>
      <c r="AC2823" s="1142"/>
      <c r="AD2823" s="1142"/>
      <c r="AE2823" s="1142"/>
      <c r="AF2823" s="1142"/>
      <c r="AG2823" s="1142"/>
      <c r="BB2823" s="784"/>
      <c r="BC2823" s="785"/>
      <c r="BD2823" s="900"/>
      <c r="BE2823" s="797"/>
    </row>
    <row r="2824" spans="1:57" s="65" customFormat="1" ht="15" hidden="1" customHeight="1" outlineLevel="1" x14ac:dyDescent="0.25">
      <c r="A2824" s="718"/>
      <c r="B2824" s="785"/>
      <c r="C2824" s="455"/>
      <c r="D2824" s="2806"/>
      <c r="E2824" s="2856"/>
      <c r="F2824" s="2917" t="str">
        <f t="shared" si="235"/>
        <v>ASHP-  SEER 15 Replace at Fail Elec Resist Furnace: HVAC</v>
      </c>
      <c r="G2824" s="2917"/>
      <c r="H2824" s="2917"/>
      <c r="I2824" s="2917"/>
      <c r="J2824" s="1654" t="str">
        <f t="shared" si="236"/>
        <v>352400_2019_12_</v>
      </c>
      <c r="K2824" s="1142">
        <v>18</v>
      </c>
      <c r="L2824" s="1123"/>
      <c r="M2824" s="1133"/>
      <c r="N2824" s="177"/>
      <c r="O2824" s="332"/>
      <c r="P2824" s="1116"/>
      <c r="Q2824" s="1116"/>
      <c r="R2824" s="1116"/>
      <c r="S2824" s="1103"/>
      <c r="T2824" s="1639"/>
      <c r="U2824" s="177"/>
      <c r="V2824" s="2866"/>
      <c r="W2824" s="1142">
        <v>18</v>
      </c>
      <c r="X2824" s="1142">
        <v>18</v>
      </c>
      <c r="Y2824" s="1142">
        <v>18</v>
      </c>
      <c r="Z2824" s="1142"/>
      <c r="AA2824" s="1142"/>
      <c r="AB2824" s="1142"/>
      <c r="AC2824" s="1142"/>
      <c r="AD2824" s="1142"/>
      <c r="AE2824" s="1142"/>
      <c r="AF2824" s="1142"/>
      <c r="AG2824" s="1142"/>
      <c r="BB2824" s="784"/>
      <c r="BC2824" s="785"/>
      <c r="BD2824" s="900"/>
      <c r="BE2824" s="797"/>
    </row>
    <row r="2825" spans="1:57" s="65" customFormat="1" ht="15" hidden="1" customHeight="1" outlineLevel="1" x14ac:dyDescent="0.25">
      <c r="A2825" s="718"/>
      <c r="B2825" s="785"/>
      <c r="C2825" s="455"/>
      <c r="D2825" s="2806"/>
      <c r="E2825" s="2856"/>
      <c r="F2825" s="2917" t="str">
        <f t="shared" si="235"/>
        <v>ASHP-  SEER 15 Replace at Fail Elec Resist Furnace: HVAC</v>
      </c>
      <c r="G2825" s="2917"/>
      <c r="H2825" s="2917"/>
      <c r="I2825" s="2917"/>
      <c r="J2825" s="1654" t="str">
        <f t="shared" si="236"/>
        <v>352400_2019_12_</v>
      </c>
      <c r="K2825" s="1142">
        <v>18</v>
      </c>
      <c r="L2825" s="1124"/>
      <c r="M2825" s="1133"/>
      <c r="N2825" s="177"/>
      <c r="O2825" s="332"/>
      <c r="P2825" s="1116"/>
      <c r="Q2825" s="1116"/>
      <c r="R2825" s="1116"/>
      <c r="S2825" s="1103"/>
      <c r="T2825" s="1639"/>
      <c r="U2825" s="177"/>
      <c r="V2825" s="2866"/>
      <c r="W2825" s="1142">
        <v>18</v>
      </c>
      <c r="X2825" s="1142">
        <v>18</v>
      </c>
      <c r="Y2825" s="1142">
        <v>18</v>
      </c>
      <c r="Z2825" s="1142"/>
      <c r="AA2825" s="1142"/>
      <c r="AB2825" s="1142"/>
      <c r="AC2825" s="1142"/>
      <c r="AD2825" s="1142"/>
      <c r="AE2825" s="1142"/>
      <c r="AF2825" s="1142"/>
      <c r="AG2825" s="1142"/>
      <c r="BB2825" s="784"/>
      <c r="BC2825" s="785"/>
      <c r="BD2825" s="900"/>
      <c r="BE2825" s="797"/>
    </row>
    <row r="2826" spans="1:57" s="65" customFormat="1" ht="15" hidden="1" customHeight="1" outlineLevel="1" x14ac:dyDescent="0.25">
      <c r="A2826" s="718"/>
      <c r="B2826" s="785"/>
      <c r="C2826" s="455"/>
      <c r="D2826" s="2806"/>
      <c r="E2826" s="2856"/>
      <c r="F2826" s="2917" t="str">
        <f t="shared" si="235"/>
        <v>ASHP - SEER 15 Replace at Fail with ASHP: HVAC</v>
      </c>
      <c r="G2826" s="2917"/>
      <c r="H2826" s="2917"/>
      <c r="I2826" s="2917"/>
      <c r="J2826" s="1654" t="str">
        <f t="shared" si="236"/>
        <v>352450_2019_12_</v>
      </c>
      <c r="K2826" s="1142">
        <v>18</v>
      </c>
      <c r="L2826" s="1124"/>
      <c r="M2826" s="1133"/>
      <c r="N2826" s="177"/>
      <c r="O2826" s="332"/>
      <c r="P2826" s="1116"/>
      <c r="Q2826" s="1116"/>
      <c r="R2826" s="1116"/>
      <c r="S2826" s="1103"/>
      <c r="T2826" s="1639"/>
      <c r="U2826" s="177"/>
      <c r="V2826" s="2866"/>
      <c r="W2826" s="1142">
        <v>18</v>
      </c>
      <c r="X2826" s="1142">
        <v>18</v>
      </c>
      <c r="Y2826" s="1142">
        <v>18</v>
      </c>
      <c r="Z2826" s="1142"/>
      <c r="AA2826" s="1142"/>
      <c r="AB2826" s="1142"/>
      <c r="AC2826" s="1142"/>
      <c r="AD2826" s="1142"/>
      <c r="AE2826" s="1142"/>
      <c r="AF2826" s="1142"/>
      <c r="AG2826" s="1142"/>
      <c r="BB2826" s="784"/>
      <c r="BC2826" s="785"/>
      <c r="BD2826" s="900"/>
      <c r="BE2826" s="797"/>
    </row>
    <row r="2827" spans="1:57" s="65" customFormat="1" ht="15" hidden="1" customHeight="1" outlineLevel="1" x14ac:dyDescent="0.25">
      <c r="A2827" s="718"/>
      <c r="B2827" s="785"/>
      <c r="C2827" s="455"/>
      <c r="D2827" s="2806"/>
      <c r="E2827" s="2856"/>
      <c r="F2827" s="2917" t="str">
        <f t="shared" si="235"/>
        <v>ASHP - SEER 15 Replace at Fail with ASHP: HVAC</v>
      </c>
      <c r="G2827" s="2917"/>
      <c r="H2827" s="2917"/>
      <c r="I2827" s="2917"/>
      <c r="J2827" s="1654" t="str">
        <f t="shared" si="236"/>
        <v>352450_2019_12_</v>
      </c>
      <c r="K2827" s="1142">
        <v>18</v>
      </c>
      <c r="L2827" s="1124"/>
      <c r="M2827" s="1133"/>
      <c r="N2827" s="177"/>
      <c r="O2827" s="332"/>
      <c r="P2827" s="1116"/>
      <c r="Q2827" s="1116"/>
      <c r="R2827" s="1116"/>
      <c r="S2827" s="1103"/>
      <c r="T2827" s="1639"/>
      <c r="U2827" s="177"/>
      <c r="V2827" s="2866"/>
      <c r="W2827" s="1142">
        <v>18</v>
      </c>
      <c r="X2827" s="1142">
        <v>18</v>
      </c>
      <c r="Y2827" s="1142">
        <v>18</v>
      </c>
      <c r="Z2827" s="1142"/>
      <c r="AA2827" s="1142"/>
      <c r="AB2827" s="1142"/>
      <c r="AC2827" s="1142"/>
      <c r="AD2827" s="1142"/>
      <c r="AE2827" s="1142"/>
      <c r="AF2827" s="1142"/>
      <c r="AG2827" s="1142"/>
      <c r="BB2827" s="784"/>
      <c r="BC2827" s="785"/>
      <c r="BD2827" s="900"/>
      <c r="BE2827" s="797"/>
    </row>
    <row r="2828" spans="1:57" s="65" customFormat="1" ht="15" hidden="1" customHeight="1" outlineLevel="1" x14ac:dyDescent="0.25">
      <c r="A2828" s="718"/>
      <c r="B2828" s="785"/>
      <c r="C2828" s="455"/>
      <c r="D2828" s="2806"/>
      <c r="E2828" s="2856"/>
      <c r="F2828" s="2917" t="str">
        <f t="shared" si="235"/>
        <v>ASHP - SEER 16 - replace electric furnace / CAC - early replacement SF ER1</v>
      </c>
      <c r="G2828" s="2917"/>
      <c r="H2828" s="2917"/>
      <c r="I2828" s="2917"/>
      <c r="J2828" s="1654" t="str">
        <f t="shared" si="236"/>
        <v>352500_2019_12_</v>
      </c>
      <c r="K2828" s="1142">
        <v>6</v>
      </c>
      <c r="L2828" s="1124"/>
      <c r="M2828" s="928"/>
      <c r="N2828" s="177"/>
      <c r="O2828" s="332"/>
      <c r="P2828" s="1116"/>
      <c r="Q2828" s="1116"/>
      <c r="R2828" s="1116"/>
      <c r="S2828" s="1103"/>
      <c r="T2828" s="1639"/>
      <c r="U2828" s="177"/>
      <c r="V2828" s="2866"/>
      <c r="W2828" s="1142">
        <v>6</v>
      </c>
      <c r="X2828" s="1142">
        <v>6</v>
      </c>
      <c r="Y2828" s="1142">
        <v>6</v>
      </c>
      <c r="Z2828" s="1142"/>
      <c r="AA2828" s="1142"/>
      <c r="AB2828" s="1142"/>
      <c r="AC2828" s="1142"/>
      <c r="AD2828" s="1142"/>
      <c r="AE2828" s="1142"/>
      <c r="AF2828" s="1142"/>
      <c r="AG2828" s="1142"/>
      <c r="BB2828" s="784"/>
      <c r="BC2828" s="785"/>
      <c r="BD2828" s="900"/>
      <c r="BE2828" s="797"/>
    </row>
    <row r="2829" spans="1:57" s="65" customFormat="1" ht="15" hidden="1" customHeight="1" outlineLevel="1" x14ac:dyDescent="0.25">
      <c r="A2829" s="718"/>
      <c r="B2829" s="785"/>
      <c r="C2829" s="455"/>
      <c r="D2829" s="2806"/>
      <c r="E2829" s="2856"/>
      <c r="F2829" s="2917" t="str">
        <f t="shared" si="235"/>
        <v>ASHP - SEER 16 - replace electric furnace / CAC - early replacement SF ER1</v>
      </c>
      <c r="G2829" s="2917"/>
      <c r="H2829" s="2917"/>
      <c r="I2829" s="2917"/>
      <c r="J2829" s="1654" t="str">
        <f t="shared" si="236"/>
        <v>352500_2019_12_</v>
      </c>
      <c r="K2829" s="1142">
        <v>6</v>
      </c>
      <c r="L2829" s="1124"/>
      <c r="M2829" s="928"/>
      <c r="N2829" s="177"/>
      <c r="O2829" s="332"/>
      <c r="P2829" s="1116"/>
      <c r="Q2829" s="1116"/>
      <c r="R2829" s="1116"/>
      <c r="S2829" s="1103"/>
      <c r="T2829" s="1639"/>
      <c r="U2829" s="177"/>
      <c r="V2829" s="2866"/>
      <c r="W2829" s="1142">
        <v>6</v>
      </c>
      <c r="X2829" s="1142">
        <v>6</v>
      </c>
      <c r="Y2829" s="1142">
        <v>6</v>
      </c>
      <c r="Z2829" s="1142"/>
      <c r="AA2829" s="1142"/>
      <c r="AB2829" s="1142"/>
      <c r="AC2829" s="1142"/>
      <c r="AD2829" s="1142"/>
      <c r="AE2829" s="1142"/>
      <c r="AF2829" s="1142"/>
      <c r="AG2829" s="1142"/>
      <c r="BB2829" s="784"/>
      <c r="BC2829" s="785"/>
      <c r="BD2829" s="900"/>
      <c r="BE2829" s="797"/>
    </row>
    <row r="2830" spans="1:57" s="65" customFormat="1" ht="15" hidden="1" customHeight="1" outlineLevel="1" x14ac:dyDescent="0.25">
      <c r="A2830" s="718"/>
      <c r="B2830" s="785"/>
      <c r="C2830" s="455"/>
      <c r="D2830" s="2806"/>
      <c r="E2830" s="2856"/>
      <c r="F2830" s="2917" t="str">
        <f t="shared" si="235"/>
        <v>ASHP - SEER 16 - replace electric furnace / CAC - early replacement SF ER2</v>
      </c>
      <c r="G2830" s="2917"/>
      <c r="H2830" s="2917"/>
      <c r="I2830" s="2917"/>
      <c r="J2830" s="1654" t="str">
        <f t="shared" si="236"/>
        <v>352500_2019_12_</v>
      </c>
      <c r="K2830" s="1142">
        <v>12</v>
      </c>
      <c r="L2830" s="1124"/>
      <c r="M2830" s="928"/>
      <c r="N2830" s="177"/>
      <c r="O2830" s="332"/>
      <c r="P2830" s="1116"/>
      <c r="Q2830" s="1116"/>
      <c r="R2830" s="1116"/>
      <c r="S2830" s="1103"/>
      <c r="T2830" s="1639"/>
      <c r="U2830" s="177"/>
      <c r="V2830" s="2866"/>
      <c r="W2830" s="1142">
        <v>12</v>
      </c>
      <c r="X2830" s="1142">
        <v>12</v>
      </c>
      <c r="Y2830" s="1142">
        <v>12</v>
      </c>
      <c r="Z2830" s="1142"/>
      <c r="AA2830" s="1142"/>
      <c r="AB2830" s="1142"/>
      <c r="AC2830" s="1142"/>
      <c r="AD2830" s="1142"/>
      <c r="AE2830" s="1142"/>
      <c r="AF2830" s="1142"/>
      <c r="AG2830" s="1142"/>
      <c r="BB2830" s="784"/>
      <c r="BC2830" s="785"/>
      <c r="BD2830" s="900"/>
      <c r="BE2830" s="797"/>
    </row>
    <row r="2831" spans="1:57" s="65" customFormat="1" ht="15" hidden="1" customHeight="1" outlineLevel="1" x14ac:dyDescent="0.25">
      <c r="A2831" s="718"/>
      <c r="B2831" s="785"/>
      <c r="C2831" s="455"/>
      <c r="D2831" s="2806"/>
      <c r="E2831" s="2856"/>
      <c r="F2831" s="2917" t="str">
        <f t="shared" si="235"/>
        <v>ASHP - SEER 16 - replace electric furnace / CAC - early replacement SF ER2</v>
      </c>
      <c r="G2831" s="2917"/>
      <c r="H2831" s="2917"/>
      <c r="I2831" s="2917"/>
      <c r="J2831" s="1654" t="str">
        <f t="shared" si="236"/>
        <v>352500_2019_12_</v>
      </c>
      <c r="K2831" s="1142">
        <v>12</v>
      </c>
      <c r="L2831" s="1124"/>
      <c r="M2831" s="928"/>
      <c r="N2831" s="177"/>
      <c r="O2831" s="332"/>
      <c r="P2831" s="1116"/>
      <c r="Q2831" s="1116"/>
      <c r="R2831" s="1116"/>
      <c r="S2831" s="1103"/>
      <c r="T2831" s="1639"/>
      <c r="U2831" s="177"/>
      <c r="V2831" s="2866"/>
      <c r="W2831" s="1142">
        <v>12</v>
      </c>
      <c r="X2831" s="1142">
        <v>12</v>
      </c>
      <c r="Y2831" s="1142">
        <v>12</v>
      </c>
      <c r="Z2831" s="1142"/>
      <c r="AA2831" s="1142"/>
      <c r="AB2831" s="1142"/>
      <c r="AC2831" s="1142"/>
      <c r="AD2831" s="1142"/>
      <c r="AE2831" s="1142"/>
      <c r="AF2831" s="1142"/>
      <c r="AG2831" s="1142"/>
      <c r="BB2831" s="784"/>
      <c r="BC2831" s="785"/>
      <c r="BD2831" s="900"/>
      <c r="BE2831" s="797"/>
    </row>
    <row r="2832" spans="1:57" s="65" customFormat="1" ht="15" hidden="1" customHeight="1" outlineLevel="1" x14ac:dyDescent="0.25">
      <c r="A2832" s="718"/>
      <c r="B2832" s="785"/>
      <c r="C2832" s="455"/>
      <c r="D2832" s="2806"/>
      <c r="E2832" s="2856"/>
      <c r="F2832" s="2917" t="str">
        <f t="shared" si="235"/>
        <v>ASHP SEER 16 replace ASHP - early replacement SF ER1</v>
      </c>
      <c r="G2832" s="2917"/>
      <c r="H2832" s="2917"/>
      <c r="I2832" s="2917"/>
      <c r="J2832" s="1654" t="str">
        <f t="shared" si="236"/>
        <v>352550_2019_12_</v>
      </c>
      <c r="K2832" s="1142">
        <v>6</v>
      </c>
      <c r="L2832" s="1124"/>
      <c r="M2832" s="928"/>
      <c r="N2832" s="177"/>
      <c r="O2832" s="332"/>
      <c r="P2832" s="1116"/>
      <c r="Q2832" s="1116"/>
      <c r="R2832" s="1116"/>
      <c r="S2832" s="1103"/>
      <c r="T2832" s="1639"/>
      <c r="U2832" s="177"/>
      <c r="V2832" s="2866"/>
      <c r="W2832" s="1142">
        <v>6</v>
      </c>
      <c r="X2832" s="1142">
        <v>6</v>
      </c>
      <c r="Y2832" s="1142">
        <v>6</v>
      </c>
      <c r="Z2832" s="1142"/>
      <c r="AA2832" s="1142"/>
      <c r="AB2832" s="1142"/>
      <c r="AC2832" s="1142"/>
      <c r="AD2832" s="1142"/>
      <c r="AE2832" s="1142"/>
      <c r="AF2832" s="1142"/>
      <c r="AG2832" s="1142"/>
      <c r="BB2832" s="784"/>
      <c r="BC2832" s="785"/>
      <c r="BD2832" s="900"/>
      <c r="BE2832" s="797"/>
    </row>
    <row r="2833" spans="1:57" s="65" customFormat="1" ht="15" hidden="1" customHeight="1" outlineLevel="1" x14ac:dyDescent="0.25">
      <c r="A2833" s="718"/>
      <c r="B2833" s="785"/>
      <c r="C2833" s="455"/>
      <c r="D2833" s="2806"/>
      <c r="E2833" s="2856"/>
      <c r="F2833" s="2917" t="str">
        <f t="shared" si="235"/>
        <v>ASHP SEER 16 replace ASHP - early replacement SF ER1</v>
      </c>
      <c r="G2833" s="2917"/>
      <c r="H2833" s="2917"/>
      <c r="I2833" s="2917"/>
      <c r="J2833" s="1654" t="str">
        <f t="shared" si="236"/>
        <v>352550_2019_12_</v>
      </c>
      <c r="K2833" s="1142">
        <v>6</v>
      </c>
      <c r="L2833" s="1124"/>
      <c r="M2833" s="928"/>
      <c r="N2833" s="177"/>
      <c r="O2833" s="332"/>
      <c r="P2833" s="1116"/>
      <c r="Q2833" s="1116"/>
      <c r="R2833" s="1116"/>
      <c r="S2833" s="1103"/>
      <c r="T2833" s="1639"/>
      <c r="U2833" s="177"/>
      <c r="V2833" s="2866"/>
      <c r="W2833" s="1142">
        <v>6</v>
      </c>
      <c r="X2833" s="1142">
        <v>6</v>
      </c>
      <c r="Y2833" s="1142">
        <v>6</v>
      </c>
      <c r="Z2833" s="1142"/>
      <c r="AA2833" s="1142"/>
      <c r="AB2833" s="1142"/>
      <c r="AC2833" s="1142"/>
      <c r="AD2833" s="1142"/>
      <c r="AE2833" s="1142"/>
      <c r="AF2833" s="1142"/>
      <c r="AG2833" s="1142"/>
      <c r="BB2833" s="784"/>
      <c r="BC2833" s="785"/>
      <c r="BD2833" s="900"/>
      <c r="BE2833" s="797"/>
    </row>
    <row r="2834" spans="1:57" s="65" customFormat="1" ht="15" hidden="1" customHeight="1" outlineLevel="1" x14ac:dyDescent="0.25">
      <c r="A2834" s="718"/>
      <c r="B2834" s="785"/>
      <c r="C2834" s="455"/>
      <c r="D2834" s="2806"/>
      <c r="E2834" s="2856"/>
      <c r="F2834" s="2917" t="str">
        <f t="shared" si="235"/>
        <v>ASHP SEER 16 replace ASHP - early replacement SF ER2</v>
      </c>
      <c r="G2834" s="2917"/>
      <c r="H2834" s="2917"/>
      <c r="I2834" s="2917"/>
      <c r="J2834" s="1654" t="str">
        <f t="shared" si="236"/>
        <v>352550_2019_12_</v>
      </c>
      <c r="K2834" s="1142">
        <v>12</v>
      </c>
      <c r="L2834" s="1124"/>
      <c r="M2834" s="928"/>
      <c r="N2834" s="177"/>
      <c r="O2834" s="332"/>
      <c r="P2834" s="1116"/>
      <c r="Q2834" s="1116"/>
      <c r="R2834" s="1116"/>
      <c r="S2834" s="1103"/>
      <c r="T2834" s="1639"/>
      <c r="U2834" s="177"/>
      <c r="V2834" s="2866"/>
      <c r="W2834" s="1142">
        <v>12</v>
      </c>
      <c r="X2834" s="1142">
        <v>12</v>
      </c>
      <c r="Y2834" s="1142">
        <v>12</v>
      </c>
      <c r="Z2834" s="1142"/>
      <c r="AA2834" s="1142"/>
      <c r="AB2834" s="1142"/>
      <c r="AC2834" s="1142"/>
      <c r="AD2834" s="1142"/>
      <c r="AE2834" s="1142"/>
      <c r="AF2834" s="1142"/>
      <c r="AG2834" s="1142"/>
      <c r="BB2834" s="784"/>
      <c r="BC2834" s="785"/>
      <c r="BD2834" s="900"/>
      <c r="BE2834" s="797"/>
    </row>
    <row r="2835" spans="1:57" s="65" customFormat="1" ht="15" hidden="1" customHeight="1" outlineLevel="1" x14ac:dyDescent="0.25">
      <c r="A2835" s="718"/>
      <c r="B2835" s="785"/>
      <c r="C2835" s="455"/>
      <c r="D2835" s="2806"/>
      <c r="E2835" s="2856"/>
      <c r="F2835" s="2917" t="str">
        <f t="shared" si="235"/>
        <v>ASHP SEER 16 replace ASHP - early replacement SF ER2</v>
      </c>
      <c r="G2835" s="2917"/>
      <c r="H2835" s="2917"/>
      <c r="I2835" s="2917"/>
      <c r="J2835" s="1654" t="str">
        <f t="shared" si="236"/>
        <v>352550_2019_12_</v>
      </c>
      <c r="K2835" s="1142">
        <v>12</v>
      </c>
      <c r="L2835" s="1124"/>
      <c r="M2835" s="928"/>
      <c r="N2835" s="177"/>
      <c r="O2835" s="332"/>
      <c r="P2835" s="1116"/>
      <c r="Q2835" s="1116"/>
      <c r="R2835" s="1116"/>
      <c r="S2835" s="1103"/>
      <c r="T2835" s="1639"/>
      <c r="U2835" s="177"/>
      <c r="V2835" s="2866"/>
      <c r="W2835" s="1142">
        <v>12</v>
      </c>
      <c r="X2835" s="1142">
        <v>12</v>
      </c>
      <c r="Y2835" s="1142">
        <v>12</v>
      </c>
      <c r="Z2835" s="1142"/>
      <c r="AA2835" s="1142"/>
      <c r="AB2835" s="1142"/>
      <c r="AC2835" s="1142"/>
      <c r="AD2835" s="1142"/>
      <c r="AE2835" s="1142"/>
      <c r="AF2835" s="1142"/>
      <c r="AG2835" s="1142"/>
      <c r="BB2835" s="784"/>
      <c r="BC2835" s="785"/>
      <c r="BD2835" s="900"/>
      <c r="BE2835" s="797"/>
    </row>
    <row r="2836" spans="1:57" s="65" customFormat="1" ht="15" hidden="1" customHeight="1" outlineLevel="1" x14ac:dyDescent="0.25">
      <c r="A2836" s="718"/>
      <c r="B2836" s="785"/>
      <c r="C2836" s="455"/>
      <c r="D2836" s="2806"/>
      <c r="E2836" s="2856"/>
      <c r="F2836" s="2917" t="str">
        <f t="shared" si="235"/>
        <v>ASHP - SEER 16 - replace electric furnace / CAC SF</v>
      </c>
      <c r="G2836" s="2917"/>
      <c r="H2836" s="2917"/>
      <c r="I2836" s="2917"/>
      <c r="J2836" s="1654" t="str">
        <f t="shared" si="236"/>
        <v>352600_2019_12_</v>
      </c>
      <c r="K2836" s="1142">
        <v>18</v>
      </c>
      <c r="L2836" s="1124"/>
      <c r="M2836" s="928"/>
      <c r="N2836" s="177"/>
      <c r="O2836" s="332"/>
      <c r="P2836" s="1116"/>
      <c r="Q2836" s="1116"/>
      <c r="R2836" s="1116"/>
      <c r="S2836" s="1103"/>
      <c r="T2836" s="1639"/>
      <c r="U2836" s="177"/>
      <c r="V2836" s="2866"/>
      <c r="W2836" s="1142">
        <v>18</v>
      </c>
      <c r="X2836" s="1142">
        <v>18</v>
      </c>
      <c r="Y2836" s="1142">
        <v>18</v>
      </c>
      <c r="Z2836" s="1142"/>
      <c r="AA2836" s="1142"/>
      <c r="AB2836" s="1142"/>
      <c r="AC2836" s="1142"/>
      <c r="AD2836" s="1142"/>
      <c r="AE2836" s="1142"/>
      <c r="AF2836" s="1142"/>
      <c r="AG2836" s="1142"/>
      <c r="BB2836" s="784"/>
      <c r="BC2836" s="785"/>
      <c r="BD2836" s="900"/>
      <c r="BE2836" s="797"/>
    </row>
    <row r="2837" spans="1:57" s="65" customFormat="1" ht="15" hidden="1" customHeight="1" outlineLevel="1" x14ac:dyDescent="0.25">
      <c r="A2837" s="718"/>
      <c r="B2837" s="785"/>
      <c r="C2837" s="455"/>
      <c r="D2837" s="2806"/>
      <c r="E2837" s="2856"/>
      <c r="F2837" s="2917" t="str">
        <f t="shared" si="235"/>
        <v>ASHP - SEER 16 - replace electric furnace / CAC SF</v>
      </c>
      <c r="G2837" s="2917"/>
      <c r="H2837" s="2917"/>
      <c r="I2837" s="2917"/>
      <c r="J2837" s="1654" t="str">
        <f t="shared" si="236"/>
        <v>352600_2019_12_</v>
      </c>
      <c r="K2837" s="1142">
        <v>18</v>
      </c>
      <c r="L2837" s="1124"/>
      <c r="M2837" s="928"/>
      <c r="N2837" s="177"/>
      <c r="O2837" s="332"/>
      <c r="P2837" s="1116"/>
      <c r="Q2837" s="1116"/>
      <c r="R2837" s="1116"/>
      <c r="S2837" s="1103"/>
      <c r="T2837" s="1639"/>
      <c r="U2837" s="177"/>
      <c r="V2837" s="2866"/>
      <c r="W2837" s="1142">
        <v>18</v>
      </c>
      <c r="X2837" s="1142">
        <v>18</v>
      </c>
      <c r="Y2837" s="1142">
        <v>18</v>
      </c>
      <c r="Z2837" s="1142"/>
      <c r="AA2837" s="1142"/>
      <c r="AB2837" s="1142"/>
      <c r="AC2837" s="1142"/>
      <c r="AD2837" s="1142"/>
      <c r="AE2837" s="1142"/>
      <c r="AF2837" s="1142"/>
      <c r="AG2837" s="1142"/>
      <c r="BB2837" s="784"/>
      <c r="BC2837" s="785"/>
      <c r="BD2837" s="900"/>
      <c r="BE2837" s="797"/>
    </row>
    <row r="2838" spans="1:57" s="65" customFormat="1" ht="15" hidden="1" customHeight="1" outlineLevel="1" x14ac:dyDescent="0.25">
      <c r="A2838" s="718"/>
      <c r="B2838" s="785"/>
      <c r="C2838" s="455"/>
      <c r="D2838" s="2806"/>
      <c r="E2838" s="2856"/>
      <c r="F2838" s="2917" t="str">
        <f t="shared" si="235"/>
        <v>ASHP SEER 16 replace ASHP - replace on fail SF</v>
      </c>
      <c r="G2838" s="2917"/>
      <c r="H2838" s="2917"/>
      <c r="I2838" s="2917"/>
      <c r="J2838" s="1654" t="str">
        <f t="shared" si="236"/>
        <v>352650_2019_12_</v>
      </c>
      <c r="K2838" s="1142">
        <v>18</v>
      </c>
      <c r="L2838" s="1124"/>
      <c r="M2838" s="928"/>
      <c r="N2838" s="177"/>
      <c r="O2838" s="332"/>
      <c r="P2838" s="1116"/>
      <c r="Q2838" s="1116"/>
      <c r="R2838" s="1116"/>
      <c r="S2838" s="1103"/>
      <c r="T2838" s="1639"/>
      <c r="U2838" s="177"/>
      <c r="V2838" s="2866"/>
      <c r="W2838" s="1142">
        <v>18</v>
      </c>
      <c r="X2838" s="1142">
        <v>18</v>
      </c>
      <c r="Y2838" s="1142">
        <v>18</v>
      </c>
      <c r="Z2838" s="1142"/>
      <c r="AA2838" s="1142"/>
      <c r="AB2838" s="1142"/>
      <c r="AC2838" s="1142"/>
      <c r="AD2838" s="1142"/>
      <c r="AE2838" s="1142"/>
      <c r="AF2838" s="1142"/>
      <c r="AG2838" s="1142"/>
      <c r="BB2838" s="784"/>
      <c r="BC2838" s="785"/>
      <c r="BD2838" s="900"/>
      <c r="BE2838" s="797"/>
    </row>
    <row r="2839" spans="1:57" s="65" customFormat="1" ht="15" hidden="1" customHeight="1" outlineLevel="1" x14ac:dyDescent="0.25">
      <c r="A2839" s="718"/>
      <c r="B2839" s="785"/>
      <c r="C2839" s="455"/>
      <c r="D2839" s="2806"/>
      <c r="E2839" s="2856"/>
      <c r="F2839" s="2917" t="str">
        <f t="shared" si="235"/>
        <v>ASHP SEER 16 replace ASHP - replace on fail SF</v>
      </c>
      <c r="G2839" s="2917"/>
      <c r="H2839" s="2917"/>
      <c r="I2839" s="2917"/>
      <c r="J2839" s="1654" t="str">
        <f t="shared" si="236"/>
        <v>352650_2019_12_</v>
      </c>
      <c r="K2839" s="1142">
        <v>18</v>
      </c>
      <c r="L2839" s="1124"/>
      <c r="M2839" s="928"/>
      <c r="N2839" s="177"/>
      <c r="O2839" s="332"/>
      <c r="P2839" s="1116"/>
      <c r="Q2839" s="1116"/>
      <c r="R2839" s="1116"/>
      <c r="S2839" s="1103"/>
      <c r="T2839" s="1639"/>
      <c r="U2839" s="177"/>
      <c r="V2839" s="2866"/>
      <c r="W2839" s="1142">
        <v>18</v>
      </c>
      <c r="X2839" s="1142">
        <v>18</v>
      </c>
      <c r="Y2839" s="1142">
        <v>18</v>
      </c>
      <c r="Z2839" s="1142"/>
      <c r="AA2839" s="1142"/>
      <c r="AB2839" s="1142"/>
      <c r="AC2839" s="1142"/>
      <c r="AD2839" s="1142"/>
      <c r="AE2839" s="1142"/>
      <c r="AF2839" s="1142"/>
      <c r="AG2839" s="1142"/>
      <c r="BB2839" s="784"/>
      <c r="BC2839" s="785"/>
      <c r="BD2839" s="900"/>
      <c r="BE2839" s="797"/>
    </row>
    <row r="2840" spans="1:57" s="65" customFormat="1" ht="15" hidden="1" customHeight="1" outlineLevel="1" x14ac:dyDescent="0.25">
      <c r="A2840" s="718"/>
      <c r="B2840" s="785"/>
      <c r="C2840" s="455"/>
      <c r="D2840" s="2806"/>
      <c r="E2840" s="2856"/>
      <c r="F2840" s="2917" t="str">
        <f t="shared" si="235"/>
        <v>ASHP SEER 15 MF ER replace ASHP: HVAC ER1</v>
      </c>
      <c r="G2840" s="2917"/>
      <c r="H2840" s="2917"/>
      <c r="I2840" s="2917"/>
      <c r="J2840" s="1654" t="str">
        <f t="shared" si="236"/>
        <v>352700_2019_12_</v>
      </c>
      <c r="K2840" s="1142">
        <v>6</v>
      </c>
      <c r="L2840" s="1124"/>
      <c r="M2840" s="928"/>
      <c r="N2840" s="177"/>
      <c r="O2840" s="332"/>
      <c r="P2840" s="1116"/>
      <c r="Q2840" s="1116"/>
      <c r="R2840" s="1116"/>
      <c r="S2840" s="1103"/>
      <c r="T2840" s="1639"/>
      <c r="U2840" s="177"/>
      <c r="V2840" s="2866"/>
      <c r="W2840" s="1142">
        <v>6</v>
      </c>
      <c r="X2840" s="1142">
        <v>6</v>
      </c>
      <c r="Y2840" s="1142">
        <v>6</v>
      </c>
      <c r="Z2840" s="1142"/>
      <c r="AA2840" s="1142"/>
      <c r="AB2840" s="1142"/>
      <c r="AC2840" s="1142"/>
      <c r="AD2840" s="1142"/>
      <c r="AE2840" s="1142"/>
      <c r="AF2840" s="1142"/>
      <c r="AG2840" s="1142"/>
      <c r="BB2840" s="784"/>
      <c r="BC2840" s="785"/>
      <c r="BD2840" s="900"/>
      <c r="BE2840" s="797"/>
    </row>
    <row r="2841" spans="1:57" s="65" customFormat="1" ht="15" hidden="1" customHeight="1" outlineLevel="1" x14ac:dyDescent="0.25">
      <c r="A2841" s="718"/>
      <c r="B2841" s="785"/>
      <c r="C2841" s="455"/>
      <c r="D2841" s="2806"/>
      <c r="E2841" s="2856"/>
      <c r="F2841" s="2917" t="str">
        <f t="shared" si="235"/>
        <v>ASHP SEER 15 MF ER replace ASHP: HVAC ER1</v>
      </c>
      <c r="G2841" s="2917"/>
      <c r="H2841" s="2917"/>
      <c r="I2841" s="2917"/>
      <c r="J2841" s="1654" t="str">
        <f t="shared" si="236"/>
        <v>352700_2019_12_</v>
      </c>
      <c r="K2841" s="1142">
        <v>6</v>
      </c>
      <c r="L2841" s="1124"/>
      <c r="M2841" s="928"/>
      <c r="N2841" s="177"/>
      <c r="O2841" s="332"/>
      <c r="P2841" s="1116"/>
      <c r="Q2841" s="1116"/>
      <c r="R2841" s="1116"/>
      <c r="S2841" s="1103"/>
      <c r="T2841" s="1639"/>
      <c r="U2841" s="177"/>
      <c r="V2841" s="2866"/>
      <c r="W2841" s="1142">
        <v>6</v>
      </c>
      <c r="X2841" s="1142">
        <v>6</v>
      </c>
      <c r="Y2841" s="1142">
        <v>6</v>
      </c>
      <c r="Z2841" s="1142"/>
      <c r="AA2841" s="1142"/>
      <c r="AB2841" s="1142"/>
      <c r="AC2841" s="1142"/>
      <c r="AD2841" s="1142"/>
      <c r="AE2841" s="1142"/>
      <c r="AF2841" s="1142"/>
      <c r="AG2841" s="1142"/>
      <c r="BB2841" s="784"/>
      <c r="BC2841" s="785"/>
      <c r="BD2841" s="900"/>
      <c r="BE2841" s="797"/>
    </row>
    <row r="2842" spans="1:57" s="65" customFormat="1" ht="15" hidden="1" customHeight="1" outlineLevel="1" x14ac:dyDescent="0.25">
      <c r="A2842" s="718"/>
      <c r="B2842" s="785"/>
      <c r="C2842" s="455"/>
      <c r="D2842" s="2806"/>
      <c r="E2842" s="2856"/>
      <c r="F2842" s="2917" t="str">
        <f t="shared" si="235"/>
        <v>ASHP SEER 15 MF ER replace ASHP: HVAC ER2</v>
      </c>
      <c r="G2842" s="2917"/>
      <c r="H2842" s="2917"/>
      <c r="I2842" s="2917"/>
      <c r="J2842" s="1654" t="str">
        <f t="shared" si="236"/>
        <v>352700_2019_12_</v>
      </c>
      <c r="K2842" s="1142">
        <v>12</v>
      </c>
      <c r="L2842" s="1124"/>
      <c r="M2842" s="928"/>
      <c r="N2842" s="177"/>
      <c r="O2842" s="332"/>
      <c r="P2842" s="1116"/>
      <c r="Q2842" s="1116"/>
      <c r="R2842" s="1116"/>
      <c r="S2842" s="1103"/>
      <c r="T2842" s="1639"/>
      <c r="U2842" s="177"/>
      <c r="V2842" s="2866"/>
      <c r="W2842" s="1142">
        <v>12</v>
      </c>
      <c r="X2842" s="1142">
        <v>12</v>
      </c>
      <c r="Y2842" s="1142">
        <v>12</v>
      </c>
      <c r="Z2842" s="1142"/>
      <c r="AA2842" s="1142"/>
      <c r="AB2842" s="1142"/>
      <c r="AC2842" s="1142"/>
      <c r="AD2842" s="1142"/>
      <c r="AE2842" s="1142"/>
      <c r="AF2842" s="1142"/>
      <c r="AG2842" s="1142"/>
      <c r="BB2842" s="784"/>
      <c r="BC2842" s="785"/>
      <c r="BD2842" s="900"/>
      <c r="BE2842" s="797"/>
    </row>
    <row r="2843" spans="1:57" s="65" customFormat="1" ht="15" hidden="1" customHeight="1" outlineLevel="1" x14ac:dyDescent="0.25">
      <c r="A2843" s="718"/>
      <c r="B2843" s="785"/>
      <c r="C2843" s="455"/>
      <c r="D2843" s="2806"/>
      <c r="E2843" s="2856"/>
      <c r="F2843" s="2917" t="str">
        <f t="shared" si="235"/>
        <v>ASHP SEER 15 MF ER replace ASHP: HVAC ER2</v>
      </c>
      <c r="G2843" s="2917"/>
      <c r="H2843" s="2917"/>
      <c r="I2843" s="2917"/>
      <c r="J2843" s="1654" t="str">
        <f t="shared" si="236"/>
        <v>352700_2019_12_</v>
      </c>
      <c r="K2843" s="1142">
        <v>12</v>
      </c>
      <c r="L2843" s="1124"/>
      <c r="M2843" s="928"/>
      <c r="N2843" s="177"/>
      <c r="O2843" s="332"/>
      <c r="P2843" s="1116"/>
      <c r="Q2843" s="1116"/>
      <c r="R2843" s="1116"/>
      <c r="S2843" s="1103"/>
      <c r="T2843" s="1639"/>
      <c r="U2843" s="177"/>
      <c r="V2843" s="2866"/>
      <c r="W2843" s="1142">
        <v>12</v>
      </c>
      <c r="X2843" s="1142">
        <v>12</v>
      </c>
      <c r="Y2843" s="1142">
        <v>12</v>
      </c>
      <c r="Z2843" s="1142"/>
      <c r="AA2843" s="1142"/>
      <c r="AB2843" s="1142"/>
      <c r="AC2843" s="1142"/>
      <c r="AD2843" s="1142"/>
      <c r="AE2843" s="1142"/>
      <c r="AF2843" s="1142"/>
      <c r="AG2843" s="1142"/>
      <c r="BB2843" s="784"/>
      <c r="BC2843" s="785"/>
      <c r="BD2843" s="900"/>
      <c r="BE2843" s="797"/>
    </row>
    <row r="2844" spans="1:57" s="65" customFormat="1" ht="15" hidden="1" customHeight="1" outlineLevel="1" x14ac:dyDescent="0.25">
      <c r="A2844" s="718"/>
      <c r="B2844" s="785"/>
      <c r="C2844" s="455"/>
      <c r="D2844" s="2806"/>
      <c r="E2844" s="2856"/>
      <c r="F2844" s="2917" t="str">
        <f>E1420</f>
        <v>ASHP SEER 15 MF ER replace Elec Resist Furnace: HVAC ER1</v>
      </c>
      <c r="G2844" s="2917"/>
      <c r="H2844" s="2917"/>
      <c r="I2844" s="2917"/>
      <c r="J2844" s="1654" t="str">
        <f>C1420</f>
        <v>352750_2019_12_</v>
      </c>
      <c r="K2844" s="1142">
        <v>6</v>
      </c>
      <c r="L2844" s="1124"/>
      <c r="M2844" s="928"/>
      <c r="N2844" s="177"/>
      <c r="O2844" s="332"/>
      <c r="P2844" s="1116"/>
      <c r="Q2844" s="1116"/>
      <c r="R2844" s="1116"/>
      <c r="S2844" s="1103"/>
      <c r="T2844" s="1639"/>
      <c r="U2844" s="177"/>
      <c r="V2844" s="2866"/>
      <c r="W2844" s="1142">
        <v>6</v>
      </c>
      <c r="X2844" s="1142">
        <v>6</v>
      </c>
      <c r="Y2844" s="1142">
        <v>6</v>
      </c>
      <c r="Z2844" s="1142"/>
      <c r="AA2844" s="1142"/>
      <c r="AB2844" s="1142"/>
      <c r="AC2844" s="1142"/>
      <c r="AD2844" s="1142"/>
      <c r="AE2844" s="1142"/>
      <c r="AF2844" s="1142"/>
      <c r="AG2844" s="1142"/>
      <c r="BB2844" s="784"/>
      <c r="BC2844" s="785"/>
      <c r="BD2844" s="900"/>
      <c r="BE2844" s="797"/>
    </row>
    <row r="2845" spans="1:57" s="65" customFormat="1" ht="15" hidden="1" customHeight="1" outlineLevel="1" x14ac:dyDescent="0.25">
      <c r="A2845" s="718"/>
      <c r="B2845" s="785"/>
      <c r="C2845" s="455"/>
      <c r="D2845" s="2806"/>
      <c r="E2845" s="2856"/>
      <c r="F2845" s="2917" t="str">
        <f>E1421</f>
        <v>ASHP SEER 15 MF ER replace Elec Resist Furnace: HVAC ER1</v>
      </c>
      <c r="G2845" s="2917"/>
      <c r="H2845" s="2917"/>
      <c r="I2845" s="2917"/>
      <c r="J2845" s="1654" t="str">
        <f>C1421</f>
        <v>352750_2019_12_</v>
      </c>
      <c r="K2845" s="1142">
        <v>6</v>
      </c>
      <c r="L2845" s="1124"/>
      <c r="M2845" s="928"/>
      <c r="N2845" s="177"/>
      <c r="O2845" s="332"/>
      <c r="P2845" s="1116"/>
      <c r="Q2845" s="1116"/>
      <c r="R2845" s="1116"/>
      <c r="S2845" s="1103"/>
      <c r="T2845" s="1639"/>
      <c r="U2845" s="177"/>
      <c r="V2845" s="2866"/>
      <c r="W2845" s="1142">
        <v>6</v>
      </c>
      <c r="X2845" s="1142">
        <v>6</v>
      </c>
      <c r="Y2845" s="1142">
        <v>6</v>
      </c>
      <c r="Z2845" s="1142"/>
      <c r="AA2845" s="1142"/>
      <c r="AB2845" s="1142"/>
      <c r="AC2845" s="1142"/>
      <c r="AD2845" s="1142"/>
      <c r="AE2845" s="1142"/>
      <c r="AF2845" s="1142"/>
      <c r="AG2845" s="1142"/>
      <c r="BB2845" s="784"/>
      <c r="BC2845" s="785"/>
      <c r="BD2845" s="900"/>
      <c r="BE2845" s="797"/>
    </row>
    <row r="2846" spans="1:57" s="65" customFormat="1" ht="15" hidden="1" customHeight="1" outlineLevel="1" x14ac:dyDescent="0.25">
      <c r="A2846" s="718"/>
      <c r="B2846" s="785"/>
      <c r="C2846" s="455"/>
      <c r="D2846" s="2806"/>
      <c r="E2846" s="2856"/>
      <c r="F2846" s="2917" t="str">
        <f>E1422</f>
        <v>ASHP SEER 15 MF ER replace Elec Resist Furnace: HVAC ER2</v>
      </c>
      <c r="G2846" s="2917"/>
      <c r="H2846" s="2917"/>
      <c r="I2846" s="2917"/>
      <c r="J2846" s="1654" t="str">
        <f>C1422</f>
        <v>352750_2019_12_</v>
      </c>
      <c r="K2846" s="1142">
        <v>12</v>
      </c>
      <c r="L2846" s="1124"/>
      <c r="M2846" s="928"/>
      <c r="N2846" s="177"/>
      <c r="O2846" s="332"/>
      <c r="P2846" s="1116"/>
      <c r="Q2846" s="1116"/>
      <c r="R2846" s="1116"/>
      <c r="S2846" s="1103"/>
      <c r="T2846" s="1639"/>
      <c r="U2846" s="177"/>
      <c r="V2846" s="2866"/>
      <c r="W2846" s="1142">
        <v>12</v>
      </c>
      <c r="X2846" s="1142">
        <v>12</v>
      </c>
      <c r="Y2846" s="1142">
        <v>12</v>
      </c>
      <c r="Z2846" s="1142"/>
      <c r="AA2846" s="1142"/>
      <c r="AB2846" s="1142"/>
      <c r="AC2846" s="1142"/>
      <c r="AD2846" s="1142"/>
      <c r="AE2846" s="1142"/>
      <c r="AF2846" s="1142"/>
      <c r="AG2846" s="1142"/>
      <c r="BB2846" s="784"/>
      <c r="BC2846" s="785"/>
      <c r="BD2846" s="900"/>
      <c r="BE2846" s="797"/>
    </row>
    <row r="2847" spans="1:57" s="65" customFormat="1" ht="15" hidden="1" customHeight="1" outlineLevel="1" x14ac:dyDescent="0.25">
      <c r="A2847" s="718"/>
      <c r="B2847" s="785"/>
      <c r="C2847" s="455"/>
      <c r="D2847" s="2806"/>
      <c r="E2847" s="2856"/>
      <c r="F2847" s="2917" t="str">
        <f>E1423</f>
        <v>ASHP SEER 15 MF ER replace Elec Resist Furnace: HVAC ER2</v>
      </c>
      <c r="G2847" s="2917"/>
      <c r="H2847" s="2917"/>
      <c r="I2847" s="2917"/>
      <c r="J2847" s="1654" t="str">
        <f>C1423</f>
        <v>352750_2019_12_</v>
      </c>
      <c r="K2847" s="1142">
        <v>12</v>
      </c>
      <c r="L2847" s="1124"/>
      <c r="M2847" s="928"/>
      <c r="N2847" s="177"/>
      <c r="O2847" s="332"/>
      <c r="P2847" s="1116"/>
      <c r="Q2847" s="1116"/>
      <c r="R2847" s="1116"/>
      <c r="S2847" s="1103"/>
      <c r="T2847" s="1639"/>
      <c r="U2847" s="177"/>
      <c r="V2847" s="2866"/>
      <c r="W2847" s="1142">
        <v>12</v>
      </c>
      <c r="X2847" s="1142">
        <v>12</v>
      </c>
      <c r="Y2847" s="1142">
        <v>12</v>
      </c>
      <c r="Z2847" s="1142"/>
      <c r="AA2847" s="1142"/>
      <c r="AB2847" s="1142"/>
      <c r="AC2847" s="1142"/>
      <c r="AD2847" s="1142"/>
      <c r="AE2847" s="1142"/>
      <c r="AF2847" s="1142"/>
      <c r="AG2847" s="1142"/>
      <c r="BB2847" s="784"/>
      <c r="BC2847" s="785"/>
      <c r="BD2847" s="900"/>
      <c r="BE2847" s="797"/>
    </row>
    <row r="2848" spans="1:57" s="65" customFormat="1" ht="15" hidden="1" customHeight="1" outlineLevel="1" x14ac:dyDescent="0.25">
      <c r="A2848" s="718"/>
      <c r="B2848" s="785"/>
      <c r="C2848" s="455"/>
      <c r="D2848" s="2806"/>
      <c r="E2848" s="2856"/>
      <c r="F2848" s="2917" t="str">
        <f>E1428</f>
        <v>ASHP SEER 15 MF replace at Fail Elec Resist Furnace: HVAC</v>
      </c>
      <c r="G2848" s="2917"/>
      <c r="H2848" s="2917"/>
      <c r="I2848" s="2917"/>
      <c r="J2848" s="1654" t="str">
        <f>C1428</f>
        <v>352800_2019_12_</v>
      </c>
      <c r="K2848" s="1142">
        <v>18</v>
      </c>
      <c r="L2848" s="1124"/>
      <c r="M2848" s="928"/>
      <c r="N2848" s="177"/>
      <c r="O2848" s="332"/>
      <c r="P2848" s="1116"/>
      <c r="Q2848" s="1116"/>
      <c r="R2848" s="1116"/>
      <c r="S2848" s="1103"/>
      <c r="T2848" s="1639"/>
      <c r="U2848" s="177"/>
      <c r="V2848" s="2866"/>
      <c r="W2848" s="1142">
        <v>18</v>
      </c>
      <c r="X2848" s="1142">
        <v>18</v>
      </c>
      <c r="Y2848" s="1142">
        <v>18</v>
      </c>
      <c r="Z2848" s="1142"/>
      <c r="AA2848" s="1142"/>
      <c r="AB2848" s="1142"/>
      <c r="AC2848" s="1142"/>
      <c r="AD2848" s="1142"/>
      <c r="AE2848" s="1142"/>
      <c r="AF2848" s="1142"/>
      <c r="AG2848" s="1142"/>
      <c r="BB2848" s="784"/>
      <c r="BC2848" s="785"/>
      <c r="BD2848" s="900"/>
      <c r="BE2848" s="797"/>
    </row>
    <row r="2849" spans="1:57" s="65" customFormat="1" ht="15" hidden="1" customHeight="1" outlineLevel="1" x14ac:dyDescent="0.25">
      <c r="A2849" s="718"/>
      <c r="B2849" s="785"/>
      <c r="C2849" s="455"/>
      <c r="D2849" s="2806"/>
      <c r="E2849" s="2856"/>
      <c r="F2849" s="2917" t="str">
        <f>E1429</f>
        <v>ASHP SEER 15 MF replace at Fail Elec Resist Furnace: HVAC</v>
      </c>
      <c r="G2849" s="2917"/>
      <c r="H2849" s="2917"/>
      <c r="I2849" s="2917"/>
      <c r="J2849" s="1654" t="str">
        <f>C1429</f>
        <v>352800_2019_12_</v>
      </c>
      <c r="K2849" s="1142">
        <v>18</v>
      </c>
      <c r="L2849" s="1124"/>
      <c r="M2849" s="928"/>
      <c r="N2849" s="177"/>
      <c r="O2849" s="332"/>
      <c r="P2849" s="1116"/>
      <c r="Q2849" s="1117"/>
      <c r="R2849" s="1116"/>
      <c r="S2849" s="1103"/>
      <c r="T2849" s="1639"/>
      <c r="U2849" s="177"/>
      <c r="V2849" s="2866"/>
      <c r="W2849" s="1142">
        <v>18</v>
      </c>
      <c r="X2849" s="1142">
        <v>18</v>
      </c>
      <c r="Y2849" s="1142">
        <v>18</v>
      </c>
      <c r="Z2849" s="1142"/>
      <c r="AA2849" s="1142"/>
      <c r="AB2849" s="1142"/>
      <c r="AC2849" s="1142"/>
      <c r="AD2849" s="1142"/>
      <c r="AE2849" s="1142"/>
      <c r="AF2849" s="1142"/>
      <c r="AG2849" s="1142"/>
      <c r="BB2849" s="784"/>
      <c r="BC2849" s="785"/>
      <c r="BD2849" s="900"/>
      <c r="BE2849" s="797"/>
    </row>
    <row r="2850" spans="1:57" s="65" customFormat="1" ht="15" hidden="1" customHeight="1" outlineLevel="1" x14ac:dyDescent="0.25">
      <c r="A2850" s="718"/>
      <c r="B2850" s="785"/>
      <c r="C2850" s="455"/>
      <c r="D2850" s="2806"/>
      <c r="E2850" s="2856"/>
      <c r="F2850" s="2917" t="str">
        <f>E1432</f>
        <v>ASHP SEER 16 MF ER replace ASHP: HVAC ER1</v>
      </c>
      <c r="G2850" s="2917"/>
      <c r="H2850" s="2917"/>
      <c r="I2850" s="2917"/>
      <c r="J2850" s="1654" t="str">
        <f>C1432</f>
        <v>352850_2019_12_</v>
      </c>
      <c r="K2850" s="1142">
        <v>6</v>
      </c>
      <c r="L2850" s="1124"/>
      <c r="M2850" s="928"/>
      <c r="N2850" s="177"/>
      <c r="O2850" s="332"/>
      <c r="P2850" s="1116"/>
      <c r="Q2850" s="1117"/>
      <c r="R2850" s="1116"/>
      <c r="S2850" s="1103"/>
      <c r="T2850" s="1639"/>
      <c r="U2850" s="177"/>
      <c r="V2850" s="2866"/>
      <c r="W2850" s="1142">
        <v>6</v>
      </c>
      <c r="X2850" s="1142">
        <v>6</v>
      </c>
      <c r="Y2850" s="1142">
        <v>6</v>
      </c>
      <c r="Z2850" s="1142"/>
      <c r="AA2850" s="1142"/>
      <c r="AB2850" s="1142"/>
      <c r="AC2850" s="1142"/>
      <c r="AD2850" s="1142"/>
      <c r="AE2850" s="1142"/>
      <c r="AF2850" s="1142"/>
      <c r="AG2850" s="1142"/>
      <c r="BB2850" s="784"/>
      <c r="BC2850" s="785"/>
      <c r="BD2850" s="900"/>
      <c r="BE2850" s="797"/>
    </row>
    <row r="2851" spans="1:57" s="65" customFormat="1" ht="15" hidden="1" customHeight="1" outlineLevel="1" x14ac:dyDescent="0.25">
      <c r="A2851" s="718"/>
      <c r="B2851" s="785"/>
      <c r="C2851" s="455"/>
      <c r="D2851" s="2806"/>
      <c r="E2851" s="2856"/>
      <c r="F2851" s="2917" t="str">
        <f>E1433</f>
        <v>ASHP SEER 16 MF ER replace ASHP: HVAC ER1</v>
      </c>
      <c r="G2851" s="2917"/>
      <c r="H2851" s="2917"/>
      <c r="I2851" s="2917"/>
      <c r="J2851" s="1654" t="str">
        <f>C1433</f>
        <v>352850_2019_12_</v>
      </c>
      <c r="K2851" s="1142">
        <v>6</v>
      </c>
      <c r="L2851" s="1124"/>
      <c r="M2851" s="928"/>
      <c r="N2851" s="177"/>
      <c r="O2851" s="332"/>
      <c r="P2851" s="1116"/>
      <c r="Q2851" s="1117"/>
      <c r="R2851" s="1116"/>
      <c r="S2851" s="1103"/>
      <c r="T2851" s="1639"/>
      <c r="U2851" s="177"/>
      <c r="V2851" s="2866"/>
      <c r="W2851" s="1142">
        <v>6</v>
      </c>
      <c r="X2851" s="1142">
        <v>6</v>
      </c>
      <c r="Y2851" s="1142">
        <v>6</v>
      </c>
      <c r="Z2851" s="1142"/>
      <c r="AA2851" s="1142"/>
      <c r="AB2851" s="1142"/>
      <c r="AC2851" s="1142"/>
      <c r="AD2851" s="1142"/>
      <c r="AE2851" s="1142"/>
      <c r="AF2851" s="1142"/>
      <c r="AG2851" s="1142"/>
      <c r="BB2851" s="784"/>
      <c r="BC2851" s="785"/>
      <c r="BD2851" s="900"/>
      <c r="BE2851" s="797"/>
    </row>
    <row r="2852" spans="1:57" s="65" customFormat="1" ht="15" hidden="1" customHeight="1" outlineLevel="1" x14ac:dyDescent="0.25">
      <c r="A2852" s="718"/>
      <c r="B2852" s="785"/>
      <c r="C2852" s="455"/>
      <c r="D2852" s="2806"/>
      <c r="E2852" s="2856"/>
      <c r="F2852" s="2917" t="str">
        <f>E1434</f>
        <v>ASHP SEER 16 MF ER replace ASHP: HVAC ER2</v>
      </c>
      <c r="G2852" s="2917"/>
      <c r="H2852" s="2917"/>
      <c r="I2852" s="2917"/>
      <c r="J2852" s="1654" t="str">
        <f>C1434</f>
        <v>352850_2019_12_</v>
      </c>
      <c r="K2852" s="1142">
        <v>12</v>
      </c>
      <c r="L2852" s="1124"/>
      <c r="M2852" s="928"/>
      <c r="N2852" s="177"/>
      <c r="O2852" s="332"/>
      <c r="P2852" s="1116"/>
      <c r="Q2852" s="1117"/>
      <c r="R2852" s="1116"/>
      <c r="S2852" s="1103"/>
      <c r="T2852" s="1639"/>
      <c r="U2852" s="177"/>
      <c r="V2852" s="2866"/>
      <c r="W2852" s="1142">
        <v>12</v>
      </c>
      <c r="X2852" s="1142">
        <v>12</v>
      </c>
      <c r="Y2852" s="1142">
        <v>12</v>
      </c>
      <c r="Z2852" s="1142"/>
      <c r="AA2852" s="1142"/>
      <c r="AB2852" s="1142"/>
      <c r="AC2852" s="1142"/>
      <c r="AD2852" s="1142"/>
      <c r="AE2852" s="1142"/>
      <c r="AF2852" s="1142"/>
      <c r="AG2852" s="1142"/>
      <c r="BB2852" s="784"/>
      <c r="BC2852" s="785"/>
      <c r="BD2852" s="900"/>
      <c r="BE2852" s="797"/>
    </row>
    <row r="2853" spans="1:57" s="65" customFormat="1" ht="15" hidden="1" customHeight="1" outlineLevel="1" x14ac:dyDescent="0.25">
      <c r="A2853" s="718"/>
      <c r="B2853" s="785"/>
      <c r="C2853" s="455"/>
      <c r="D2853" s="2806"/>
      <c r="E2853" s="2856"/>
      <c r="F2853" s="2917" t="str">
        <f>E1435</f>
        <v>ASHP SEER 16 MF ER replace ASHP: HVAC ER2</v>
      </c>
      <c r="G2853" s="2917"/>
      <c r="H2853" s="2917"/>
      <c r="I2853" s="2917"/>
      <c r="J2853" s="1654" t="str">
        <f>C1435</f>
        <v>352850_2019_12_</v>
      </c>
      <c r="K2853" s="1142">
        <v>12</v>
      </c>
      <c r="L2853" s="1124"/>
      <c r="M2853" s="928"/>
      <c r="N2853" s="177"/>
      <c r="O2853" s="332"/>
      <c r="P2853" s="1116"/>
      <c r="Q2853" s="1117"/>
      <c r="R2853" s="1116"/>
      <c r="S2853" s="1103"/>
      <c r="T2853" s="1639"/>
      <c r="U2853" s="177"/>
      <c r="V2853" s="2866"/>
      <c r="W2853" s="1142">
        <v>12</v>
      </c>
      <c r="X2853" s="1142">
        <v>12</v>
      </c>
      <c r="Y2853" s="1142">
        <v>12</v>
      </c>
      <c r="Z2853" s="1142"/>
      <c r="AA2853" s="1142"/>
      <c r="AB2853" s="1142"/>
      <c r="AC2853" s="1142"/>
      <c r="AD2853" s="1142"/>
      <c r="AE2853" s="1142"/>
      <c r="AF2853" s="1142"/>
      <c r="AG2853" s="1142"/>
      <c r="BB2853" s="784"/>
      <c r="BC2853" s="785"/>
      <c r="BD2853" s="900"/>
      <c r="BE2853" s="797"/>
    </row>
    <row r="2854" spans="1:57" s="65" customFormat="1" ht="15" hidden="1" customHeight="1" outlineLevel="1" x14ac:dyDescent="0.25">
      <c r="A2854" s="718"/>
      <c r="B2854" s="785"/>
      <c r="C2854" s="455"/>
      <c r="D2854" s="2806"/>
      <c r="E2854" s="2856"/>
      <c r="F2854" s="2917" t="str">
        <f>E1440</f>
        <v>ASHP - SEER 16 - replace on fail MF</v>
      </c>
      <c r="G2854" s="2917"/>
      <c r="H2854" s="2917"/>
      <c r="I2854" s="2917"/>
      <c r="J2854" s="1654" t="str">
        <f>C1440</f>
        <v>352900_2019_12_</v>
      </c>
      <c r="K2854" s="1142">
        <v>18</v>
      </c>
      <c r="L2854" s="1124"/>
      <c r="M2854" s="928"/>
      <c r="N2854" s="177"/>
      <c r="O2854" s="332"/>
      <c r="P2854" s="1116"/>
      <c r="Q2854" s="1117"/>
      <c r="R2854" s="1116"/>
      <c r="S2854" s="1103"/>
      <c r="T2854" s="1639"/>
      <c r="U2854" s="177"/>
      <c r="V2854" s="2866"/>
      <c r="W2854" s="1142">
        <v>18</v>
      </c>
      <c r="X2854" s="1142">
        <v>18</v>
      </c>
      <c r="Y2854" s="1142">
        <v>18</v>
      </c>
      <c r="Z2854" s="1142"/>
      <c r="AA2854" s="1142"/>
      <c r="AB2854" s="1142"/>
      <c r="AC2854" s="1142"/>
      <c r="AD2854" s="1142"/>
      <c r="AE2854" s="1142"/>
      <c r="AF2854" s="1142"/>
      <c r="AG2854" s="1142"/>
      <c r="BB2854" s="784"/>
      <c r="BC2854" s="785"/>
      <c r="BD2854" s="900"/>
      <c r="BE2854" s="797"/>
    </row>
    <row r="2855" spans="1:57" s="65" customFormat="1" ht="15" hidden="1" customHeight="1" outlineLevel="1" x14ac:dyDescent="0.25">
      <c r="A2855" s="785"/>
      <c r="B2855" s="785"/>
      <c r="C2855" s="455"/>
      <c r="D2855" s="2806"/>
      <c r="E2855" s="2856"/>
      <c r="F2855" s="2917" t="str">
        <f>E1441</f>
        <v>ASHP - SEER 16 - replace on fail MF</v>
      </c>
      <c r="G2855" s="2917"/>
      <c r="H2855" s="2917"/>
      <c r="I2855" s="2917"/>
      <c r="J2855" s="1654" t="str">
        <f>C1441</f>
        <v>352900_2019_12_</v>
      </c>
      <c r="K2855" s="1142">
        <v>18</v>
      </c>
      <c r="L2855" s="1124"/>
      <c r="M2855" s="928"/>
      <c r="N2855" s="177"/>
      <c r="O2855" s="332"/>
      <c r="P2855" s="332"/>
      <c r="Q2855" s="332"/>
      <c r="R2855" s="332"/>
      <c r="S2855" s="177"/>
      <c r="T2855" s="177"/>
      <c r="U2855" s="177"/>
      <c r="V2855" s="2866"/>
      <c r="W2855" s="1142">
        <v>18</v>
      </c>
      <c r="X2855" s="1142">
        <v>18</v>
      </c>
      <c r="Y2855" s="1142">
        <v>18</v>
      </c>
      <c r="Z2855" s="1142"/>
      <c r="AA2855" s="1142"/>
      <c r="AB2855" s="1142"/>
      <c r="AC2855" s="1142"/>
      <c r="AD2855" s="1142"/>
      <c r="AE2855" s="1142"/>
      <c r="AF2855" s="1142"/>
      <c r="AG2855" s="1142"/>
      <c r="BB2855" s="784"/>
      <c r="BC2855" s="785"/>
      <c r="BD2855" s="900"/>
      <c r="BE2855" s="797"/>
    </row>
    <row r="2856" spans="1:57" s="65" customFormat="1" ht="15" hidden="1" customHeight="1" outlineLevel="1" x14ac:dyDescent="0.25">
      <c r="A2856" s="718"/>
      <c r="B2856" s="785"/>
      <c r="C2856" s="455"/>
      <c r="D2856" s="2806"/>
      <c r="E2856" s="2856"/>
      <c r="F2856" s="2917" t="str">
        <f>E1444</f>
        <v>ASHP - SEER 16 - replace electric furnace / CAC MF</v>
      </c>
      <c r="G2856" s="2917"/>
      <c r="H2856" s="2917"/>
      <c r="I2856" s="2917"/>
      <c r="J2856" s="1654" t="str">
        <f>C1444</f>
        <v>352950_2019_12_</v>
      </c>
      <c r="K2856" s="1142">
        <v>18</v>
      </c>
      <c r="L2856" s="1124"/>
      <c r="M2856" s="1133"/>
      <c r="N2856" s="177"/>
      <c r="O2856" s="332"/>
      <c r="P2856" s="1116"/>
      <c r="Q2856" s="1117"/>
      <c r="R2856" s="1116"/>
      <c r="S2856" s="1103"/>
      <c r="T2856" s="1639"/>
      <c r="U2856" s="177"/>
      <c r="V2856" s="2866"/>
      <c r="W2856" s="1142">
        <v>18</v>
      </c>
      <c r="X2856" s="1142">
        <v>18</v>
      </c>
      <c r="Y2856" s="1142">
        <v>18</v>
      </c>
      <c r="Z2856" s="1142"/>
      <c r="AA2856" s="1142"/>
      <c r="AB2856" s="1142"/>
      <c r="AC2856" s="1142"/>
      <c r="AD2856" s="1142"/>
      <c r="AE2856" s="1142"/>
      <c r="AF2856" s="1142"/>
      <c r="AG2856" s="1142"/>
      <c r="BB2856" s="784"/>
      <c r="BC2856" s="785"/>
      <c r="BD2856" s="900"/>
      <c r="BE2856" s="797"/>
    </row>
    <row r="2857" spans="1:57" s="65" customFormat="1" ht="15" hidden="1" customHeight="1" outlineLevel="1" x14ac:dyDescent="0.25">
      <c r="A2857" s="785"/>
      <c r="B2857" s="785"/>
      <c r="C2857" s="455"/>
      <c r="D2857" s="2806"/>
      <c r="E2857" s="2856"/>
      <c r="F2857" s="2917" t="str">
        <f>E1445</f>
        <v>ASHP - SEER 16 - replace electric furnace / CAC MF</v>
      </c>
      <c r="G2857" s="2917"/>
      <c r="H2857" s="2917"/>
      <c r="I2857" s="2917"/>
      <c r="J2857" s="1654" t="str">
        <f>C1445</f>
        <v>352950_2019_12_</v>
      </c>
      <c r="K2857" s="1142">
        <v>18</v>
      </c>
      <c r="L2857" s="1124"/>
      <c r="M2857" s="1133"/>
      <c r="N2857" s="177"/>
      <c r="O2857" s="332"/>
      <c r="P2857" s="332"/>
      <c r="Q2857" s="332"/>
      <c r="R2857" s="332"/>
      <c r="S2857" s="177"/>
      <c r="T2857" s="177"/>
      <c r="U2857" s="177"/>
      <c r="V2857" s="2866"/>
      <c r="W2857" s="1142">
        <v>18</v>
      </c>
      <c r="X2857" s="1142">
        <v>18</v>
      </c>
      <c r="Y2857" s="1142">
        <v>18</v>
      </c>
      <c r="Z2857" s="1142"/>
      <c r="AA2857" s="1142"/>
      <c r="AB2857" s="1142"/>
      <c r="AC2857" s="1142"/>
      <c r="AD2857" s="1142"/>
      <c r="AE2857" s="1142"/>
      <c r="AF2857" s="1142"/>
      <c r="AG2857" s="1142"/>
      <c r="BB2857" s="784"/>
      <c r="BC2857" s="785"/>
      <c r="BD2857" s="900"/>
      <c r="BE2857" s="797"/>
    </row>
    <row r="2858" spans="1:57" s="65" customFormat="1" ht="15" hidden="1" customHeight="1" outlineLevel="1" x14ac:dyDescent="0.25">
      <c r="A2858" s="718"/>
      <c r="B2858" s="785"/>
      <c r="C2858" s="455"/>
      <c r="D2858" s="2806"/>
      <c r="E2858" s="2856"/>
      <c r="F2858" s="2917" t="str">
        <f>E1448</f>
        <v>ASHP - SEER 16 - replace electric furnace / CAC - early replacement MF ER1</v>
      </c>
      <c r="G2858" s="2917"/>
      <c r="H2858" s="2917"/>
      <c r="I2858" s="2917"/>
      <c r="J2858" s="1654" t="str">
        <f>C1448</f>
        <v>353000_2019_12_</v>
      </c>
      <c r="K2858" s="1142">
        <v>6</v>
      </c>
      <c r="L2858" s="1124"/>
      <c r="M2858" s="1133"/>
      <c r="N2858" s="177"/>
      <c r="O2858" s="332"/>
      <c r="P2858" s="1116"/>
      <c r="Q2858" s="1117"/>
      <c r="R2858" s="1116"/>
      <c r="S2858" s="1103"/>
      <c r="T2858" s="1639"/>
      <c r="U2858" s="177"/>
      <c r="V2858" s="2866"/>
      <c r="W2858" s="1142">
        <v>6</v>
      </c>
      <c r="X2858" s="1142">
        <v>6</v>
      </c>
      <c r="Y2858" s="1142">
        <v>6</v>
      </c>
      <c r="Z2858" s="1142"/>
      <c r="AA2858" s="1142"/>
      <c r="AB2858" s="1142"/>
      <c r="AC2858" s="1142"/>
      <c r="AD2858" s="1142"/>
      <c r="AE2858" s="1142"/>
      <c r="AF2858" s="1142"/>
      <c r="AG2858" s="1142"/>
      <c r="BB2858" s="784"/>
      <c r="BC2858" s="785"/>
      <c r="BD2858" s="900"/>
      <c r="BE2858" s="797"/>
    </row>
    <row r="2859" spans="1:57" s="65" customFormat="1" ht="15" hidden="1" customHeight="1" outlineLevel="1" x14ac:dyDescent="0.25">
      <c r="A2859" s="785"/>
      <c r="B2859" s="785"/>
      <c r="C2859" s="455"/>
      <c r="D2859" s="2806"/>
      <c r="E2859" s="2856"/>
      <c r="F2859" s="2917" t="str">
        <f>E1449</f>
        <v>ASHP - SEER 16 - replace electric furnace / CAC - early replacement MF ER1</v>
      </c>
      <c r="G2859" s="2917"/>
      <c r="H2859" s="2917"/>
      <c r="I2859" s="2917"/>
      <c r="J2859" s="1654" t="str">
        <f>C1449</f>
        <v>353000_2019_12_</v>
      </c>
      <c r="K2859" s="1142">
        <v>6</v>
      </c>
      <c r="L2859" s="1124"/>
      <c r="M2859" s="1133"/>
      <c r="N2859" s="177"/>
      <c r="O2859" s="332"/>
      <c r="P2859" s="332"/>
      <c r="Q2859" s="332"/>
      <c r="R2859" s="332"/>
      <c r="S2859" s="177"/>
      <c r="T2859" s="177"/>
      <c r="U2859" s="177"/>
      <c r="V2859" s="2866"/>
      <c r="W2859" s="1142">
        <v>6</v>
      </c>
      <c r="X2859" s="1142">
        <v>6</v>
      </c>
      <c r="Y2859" s="1142">
        <v>6</v>
      </c>
      <c r="Z2859" s="1142"/>
      <c r="AA2859" s="1142"/>
      <c r="AB2859" s="1142"/>
      <c r="AC2859" s="1142"/>
      <c r="AD2859" s="1142"/>
      <c r="AE2859" s="1142"/>
      <c r="AF2859" s="1142"/>
      <c r="AG2859" s="1142"/>
      <c r="BB2859" s="784"/>
      <c r="BC2859" s="785"/>
      <c r="BD2859" s="900"/>
      <c r="BE2859" s="797"/>
    </row>
    <row r="2860" spans="1:57" s="65" customFormat="1" ht="15" hidden="1" customHeight="1" outlineLevel="1" x14ac:dyDescent="0.25">
      <c r="A2860" s="785"/>
      <c r="B2860" s="785"/>
      <c r="C2860" s="455"/>
      <c r="D2860" s="2806"/>
      <c r="E2860" s="2856"/>
      <c r="F2860" s="2917" t="str">
        <f>E1450</f>
        <v>ASHP - SEER 16 - replace electric furnace / CAC - early replacement MF ER2</v>
      </c>
      <c r="G2860" s="2917"/>
      <c r="H2860" s="2917"/>
      <c r="I2860" s="2917"/>
      <c r="J2860" s="1654" t="str">
        <f>C1450</f>
        <v>353000_2019_12_</v>
      </c>
      <c r="K2860" s="1142">
        <v>12</v>
      </c>
      <c r="L2860" s="1124"/>
      <c r="M2860" s="1133"/>
      <c r="N2860" s="177"/>
      <c r="O2860" s="332"/>
      <c r="P2860" s="332"/>
      <c r="Q2860" s="332"/>
      <c r="R2860" s="332"/>
      <c r="S2860" s="177"/>
      <c r="T2860" s="177"/>
      <c r="U2860" s="177"/>
      <c r="V2860" s="2866"/>
      <c r="W2860" s="1142">
        <v>12</v>
      </c>
      <c r="X2860" s="1142">
        <v>12</v>
      </c>
      <c r="Y2860" s="1142">
        <v>12</v>
      </c>
      <c r="Z2860" s="1142"/>
      <c r="AA2860" s="1142"/>
      <c r="AB2860" s="1142"/>
      <c r="AC2860" s="1142"/>
      <c r="AD2860" s="1142"/>
      <c r="AE2860" s="1142"/>
      <c r="AF2860" s="1142"/>
      <c r="AG2860" s="1142"/>
      <c r="BB2860" s="784"/>
      <c r="BC2860" s="785"/>
      <c r="BD2860" s="900"/>
      <c r="BE2860" s="797"/>
    </row>
    <row r="2861" spans="1:57" s="65" customFormat="1" ht="15" hidden="1" customHeight="1" outlineLevel="1" x14ac:dyDescent="0.25">
      <c r="A2861" s="718"/>
      <c r="B2861" s="785"/>
      <c r="C2861" s="455"/>
      <c r="D2861" s="2806"/>
      <c r="E2861" s="2856"/>
      <c r="F2861" s="2917" t="str">
        <f>E1451</f>
        <v>ASHP - SEER 16 - replace electric furnace / CAC - early replacement MF ER2</v>
      </c>
      <c r="G2861" s="2917"/>
      <c r="H2861" s="2917"/>
      <c r="I2861" s="2917"/>
      <c r="J2861" s="1654" t="str">
        <f>C1451</f>
        <v>353000_2019_12_</v>
      </c>
      <c r="K2861" s="1142">
        <v>12</v>
      </c>
      <c r="L2861" s="1124"/>
      <c r="M2861" s="1133"/>
      <c r="N2861" s="177"/>
      <c r="O2861" s="332"/>
      <c r="P2861" s="1116"/>
      <c r="Q2861" s="1117"/>
      <c r="R2861" s="1116"/>
      <c r="S2861" s="1103"/>
      <c r="T2861" s="1639"/>
      <c r="U2861" s="177"/>
      <c r="V2861" s="2866"/>
      <c r="W2861" s="1142">
        <v>12</v>
      </c>
      <c r="X2861" s="1142">
        <v>12</v>
      </c>
      <c r="Y2861" s="1142">
        <v>12</v>
      </c>
      <c r="Z2861" s="1142"/>
      <c r="AA2861" s="1142"/>
      <c r="AB2861" s="1142"/>
      <c r="AC2861" s="1142"/>
      <c r="AD2861" s="1142"/>
      <c r="AE2861" s="1142"/>
      <c r="AF2861" s="1142"/>
      <c r="AG2861" s="1142"/>
      <c r="BB2861" s="784"/>
      <c r="BC2861" s="785"/>
      <c r="BD2861" s="900"/>
      <c r="BE2861" s="797"/>
    </row>
    <row r="2862" spans="1:57" s="65" customFormat="1" ht="15" hidden="1" customHeight="1" outlineLevel="1" x14ac:dyDescent="0.25">
      <c r="A2862" s="718"/>
      <c r="B2862" s="785"/>
      <c r="C2862" s="455"/>
      <c r="D2862" s="2806"/>
      <c r="E2862" s="2856"/>
      <c r="F2862" s="2917" t="str">
        <f>E1456</f>
        <v xml:space="preserve">ASHP SEER 15 - replace on Fail MF </v>
      </c>
      <c r="G2862" s="2917"/>
      <c r="H2862" s="2917"/>
      <c r="I2862" s="2917"/>
      <c r="J2862" s="1654" t="str">
        <f>C1456</f>
        <v>353050_2019_12_</v>
      </c>
      <c r="K2862" s="1142">
        <v>18</v>
      </c>
      <c r="L2862" s="1124"/>
      <c r="M2862" s="1133"/>
      <c r="N2862" s="177"/>
      <c r="O2862" s="332"/>
      <c r="P2862" s="1116"/>
      <c r="Q2862" s="1117"/>
      <c r="R2862" s="1116"/>
      <c r="S2862" s="1103"/>
      <c r="T2862" s="1639"/>
      <c r="U2862" s="177"/>
      <c r="V2862" s="2866"/>
      <c r="W2862" s="1142">
        <v>18</v>
      </c>
      <c r="X2862" s="1142">
        <v>18</v>
      </c>
      <c r="Y2862" s="1142">
        <v>18</v>
      </c>
      <c r="Z2862" s="1142"/>
      <c r="AA2862" s="1142"/>
      <c r="AB2862" s="1142"/>
      <c r="AC2862" s="1142"/>
      <c r="AD2862" s="1142"/>
      <c r="AE2862" s="1142"/>
      <c r="AF2862" s="1142"/>
      <c r="AG2862" s="1142"/>
      <c r="BB2862" s="784"/>
      <c r="BC2862" s="785"/>
      <c r="BD2862" s="900"/>
      <c r="BE2862" s="797"/>
    </row>
    <row r="2863" spans="1:57" s="65" customFormat="1" ht="15" hidden="1" customHeight="1" outlineLevel="1" x14ac:dyDescent="0.25">
      <c r="A2863" s="785"/>
      <c r="B2863" s="785"/>
      <c r="C2863" s="455"/>
      <c r="D2863" s="2806"/>
      <c r="E2863" s="2856"/>
      <c r="F2863" s="2917" t="str">
        <f>E1457</f>
        <v xml:space="preserve">ASHP SEER 15 - replace on Fail MF </v>
      </c>
      <c r="G2863" s="2917"/>
      <c r="H2863" s="2917"/>
      <c r="I2863" s="2917"/>
      <c r="J2863" s="1654" t="str">
        <f>C1457</f>
        <v>353050_2019_12_</v>
      </c>
      <c r="K2863" s="1142">
        <v>18</v>
      </c>
      <c r="L2863" s="1124"/>
      <c r="M2863" s="1133"/>
      <c r="N2863" s="177"/>
      <c r="O2863" s="332"/>
      <c r="P2863" s="332"/>
      <c r="Q2863" s="332"/>
      <c r="R2863" s="332"/>
      <c r="S2863" s="177"/>
      <c r="T2863" s="177"/>
      <c r="U2863" s="177"/>
      <c r="V2863" s="2866"/>
      <c r="W2863" s="1142">
        <v>18</v>
      </c>
      <c r="X2863" s="1142">
        <v>18</v>
      </c>
      <c r="Y2863" s="1142">
        <v>18</v>
      </c>
      <c r="Z2863" s="1142"/>
      <c r="AA2863" s="1142"/>
      <c r="AB2863" s="1142"/>
      <c r="AC2863" s="1142"/>
      <c r="AD2863" s="1142"/>
      <c r="AE2863" s="1142"/>
      <c r="AF2863" s="1142"/>
      <c r="AG2863" s="1142"/>
      <c r="BB2863" s="784"/>
      <c r="BC2863" s="785"/>
      <c r="BD2863" s="900"/>
      <c r="BE2863" s="797"/>
    </row>
    <row r="2864" spans="1:57" s="65" customFormat="1" ht="15" hidden="1" customHeight="1" outlineLevel="1" x14ac:dyDescent="0.25">
      <c r="A2864" s="785"/>
      <c r="B2864" s="785"/>
      <c r="C2864" s="455"/>
      <c r="D2864" s="2806"/>
      <c r="E2864" s="2856"/>
      <c r="F2864" s="2917" t="str">
        <f>E1460</f>
        <v>ASHP - SEER 17 - replace electric furnace / CAC SF</v>
      </c>
      <c r="G2864" s="2917"/>
      <c r="H2864" s="2917"/>
      <c r="I2864" s="2917"/>
      <c r="J2864" s="1654" t="str">
        <f>C1460</f>
        <v>353100_2019_12_</v>
      </c>
      <c r="K2864" s="1142">
        <v>18</v>
      </c>
      <c r="L2864" s="1124"/>
      <c r="M2864" s="1133"/>
      <c r="N2864" s="177"/>
      <c r="O2864" s="332"/>
      <c r="P2864" s="332"/>
      <c r="Q2864" s="332"/>
      <c r="R2864" s="332"/>
      <c r="S2864" s="177"/>
      <c r="T2864" s="177"/>
      <c r="U2864" s="177"/>
      <c r="V2864" s="2866"/>
      <c r="W2864" s="1142">
        <v>18</v>
      </c>
      <c r="X2864" s="1142">
        <v>18</v>
      </c>
      <c r="Y2864" s="1142">
        <v>18</v>
      </c>
      <c r="Z2864" s="1142"/>
      <c r="AA2864" s="1142"/>
      <c r="AB2864" s="1142"/>
      <c r="AC2864" s="1142"/>
      <c r="AD2864" s="1142"/>
      <c r="AE2864" s="1142"/>
      <c r="AF2864" s="1142"/>
      <c r="AG2864" s="1142"/>
      <c r="BB2864" s="784"/>
      <c r="BC2864" s="785"/>
      <c r="BD2864" s="900"/>
      <c r="BE2864" s="797"/>
    </row>
    <row r="2865" spans="1:57" s="65" customFormat="1" ht="15" hidden="1" customHeight="1" outlineLevel="1" x14ac:dyDescent="0.25">
      <c r="A2865" s="718"/>
      <c r="B2865" s="785"/>
      <c r="C2865" s="455"/>
      <c r="D2865" s="2806"/>
      <c r="E2865" s="2856"/>
      <c r="F2865" s="2917" t="str">
        <f>E1461</f>
        <v>ASHP - SEER 17 - replace electric furnace / CAC SF</v>
      </c>
      <c r="G2865" s="2917"/>
      <c r="H2865" s="2917"/>
      <c r="I2865" s="2917"/>
      <c r="J2865" s="1654" t="str">
        <f>C1461</f>
        <v>353100_2019_12_</v>
      </c>
      <c r="K2865" s="1142">
        <v>18</v>
      </c>
      <c r="L2865" s="1124"/>
      <c r="M2865" s="1133"/>
      <c r="N2865" s="177"/>
      <c r="O2865" s="332"/>
      <c r="P2865" s="1116"/>
      <c r="Q2865" s="1117"/>
      <c r="R2865" s="1116"/>
      <c r="S2865" s="1103"/>
      <c r="T2865" s="1639"/>
      <c r="U2865" s="177"/>
      <c r="V2865" s="2866"/>
      <c r="W2865" s="1142">
        <v>18</v>
      </c>
      <c r="X2865" s="1142">
        <v>18</v>
      </c>
      <c r="Y2865" s="1142">
        <v>18</v>
      </c>
      <c r="Z2865" s="1142"/>
      <c r="AA2865" s="1142"/>
      <c r="AB2865" s="1142"/>
      <c r="AC2865" s="1142"/>
      <c r="AD2865" s="1142"/>
      <c r="AE2865" s="1142"/>
      <c r="AF2865" s="1142"/>
      <c r="AG2865" s="1142"/>
      <c r="BB2865" s="784"/>
      <c r="BC2865" s="785"/>
      <c r="BD2865" s="900"/>
      <c r="BE2865" s="797"/>
    </row>
    <row r="2866" spans="1:57" s="65" customFormat="1" ht="15" hidden="1" customHeight="1" outlineLevel="1" x14ac:dyDescent="0.25">
      <c r="A2866" s="718"/>
      <c r="B2866" s="785"/>
      <c r="C2866" s="455"/>
      <c r="D2866" s="2806"/>
      <c r="E2866" s="2856"/>
      <c r="F2866" s="2917" t="str">
        <f>E1462</f>
        <v>ASHP - SEER 17 - replace electric furnace / CAC MF</v>
      </c>
      <c r="G2866" s="2917"/>
      <c r="H2866" s="2917"/>
      <c r="I2866" s="2917"/>
      <c r="J2866" s="1654" t="str">
        <f>C1462</f>
        <v>353150_2019_12_</v>
      </c>
      <c r="K2866" s="1142">
        <v>18</v>
      </c>
      <c r="L2866" s="1124"/>
      <c r="M2866" s="1133"/>
      <c r="N2866" s="177"/>
      <c r="O2866" s="332"/>
      <c r="P2866" s="1116"/>
      <c r="Q2866" s="1117"/>
      <c r="R2866" s="1116"/>
      <c r="S2866" s="1103"/>
      <c r="T2866" s="1639"/>
      <c r="U2866" s="177"/>
      <c r="V2866" s="2866"/>
      <c r="W2866" s="1142">
        <v>18</v>
      </c>
      <c r="X2866" s="1142">
        <v>18</v>
      </c>
      <c r="Y2866" s="1142">
        <v>18</v>
      </c>
      <c r="Z2866" s="1142"/>
      <c r="AA2866" s="1142"/>
      <c r="AB2866" s="1142"/>
      <c r="AC2866" s="1142"/>
      <c r="AD2866" s="1142"/>
      <c r="AE2866" s="1142"/>
      <c r="AF2866" s="1142"/>
      <c r="AG2866" s="1142"/>
      <c r="BB2866" s="784"/>
      <c r="BC2866" s="785"/>
      <c r="BD2866" s="900"/>
      <c r="BE2866" s="797"/>
    </row>
    <row r="2867" spans="1:57" s="65" customFormat="1" ht="15" hidden="1" customHeight="1" outlineLevel="1" x14ac:dyDescent="0.25">
      <c r="A2867" s="718"/>
      <c r="B2867" s="785"/>
      <c r="C2867" s="455"/>
      <c r="D2867" s="2806"/>
      <c r="E2867" s="2856"/>
      <c r="F2867" s="2917" t="str">
        <f>E1463</f>
        <v>ASHP - SEER 17 - replace electric furnace / CAC MF</v>
      </c>
      <c r="G2867" s="2917"/>
      <c r="H2867" s="2917"/>
      <c r="I2867" s="2917"/>
      <c r="J2867" s="1654" t="str">
        <f>C1463</f>
        <v>353150_2019_12_</v>
      </c>
      <c r="K2867" s="1142">
        <v>18</v>
      </c>
      <c r="L2867" s="1124"/>
      <c r="M2867" s="1133"/>
      <c r="N2867" s="177"/>
      <c r="O2867" s="332"/>
      <c r="P2867" s="1116"/>
      <c r="Q2867" s="1117"/>
      <c r="R2867" s="1116"/>
      <c r="S2867" s="1103"/>
      <c r="T2867" s="1639"/>
      <c r="U2867" s="177"/>
      <c r="V2867" s="2866"/>
      <c r="W2867" s="1142">
        <v>18</v>
      </c>
      <c r="X2867" s="1142">
        <v>18</v>
      </c>
      <c r="Y2867" s="1142">
        <v>18</v>
      </c>
      <c r="Z2867" s="1142"/>
      <c r="AA2867" s="1142"/>
      <c r="AB2867" s="1142"/>
      <c r="AC2867" s="1142"/>
      <c r="AD2867" s="1142"/>
      <c r="AE2867" s="1142"/>
      <c r="AF2867" s="1142"/>
      <c r="AG2867" s="1142"/>
      <c r="BB2867" s="784"/>
      <c r="BC2867" s="785"/>
      <c r="BD2867" s="900"/>
      <c r="BE2867" s="797"/>
    </row>
    <row r="2868" spans="1:57" s="65" customFormat="1" ht="15" hidden="1" customHeight="1" outlineLevel="1" x14ac:dyDescent="0.25">
      <c r="A2868" s="718"/>
      <c r="B2868" s="785"/>
      <c r="C2868" s="455"/>
      <c r="D2868" s="2806"/>
      <c r="E2868" s="2856"/>
      <c r="F2868" s="2917" t="str">
        <f>E1466</f>
        <v>ASHP - SEER 18 - replace electric furnace / CAC SF</v>
      </c>
      <c r="G2868" s="2917"/>
      <c r="H2868" s="2917"/>
      <c r="I2868" s="2917"/>
      <c r="J2868" s="1654" t="str">
        <f>C1466</f>
        <v>353200_2019_12_</v>
      </c>
      <c r="K2868" s="1142">
        <v>18</v>
      </c>
      <c r="L2868" s="1124"/>
      <c r="M2868" s="1133"/>
      <c r="N2868" s="177"/>
      <c r="O2868" s="332"/>
      <c r="P2868" s="1116"/>
      <c r="Q2868" s="1117"/>
      <c r="R2868" s="1116"/>
      <c r="S2868" s="1103"/>
      <c r="T2868" s="1639"/>
      <c r="U2868" s="177"/>
      <c r="V2868" s="2866"/>
      <c r="W2868" s="1142">
        <v>18</v>
      </c>
      <c r="X2868" s="1142">
        <v>18</v>
      </c>
      <c r="Y2868" s="1142">
        <v>18</v>
      </c>
      <c r="Z2868" s="1142"/>
      <c r="AA2868" s="1142"/>
      <c r="AB2868" s="1142"/>
      <c r="AC2868" s="1142"/>
      <c r="AD2868" s="1142"/>
      <c r="AE2868" s="1142"/>
      <c r="AF2868" s="1142"/>
      <c r="AG2868" s="1142"/>
      <c r="BB2868" s="784"/>
      <c r="BC2868" s="785"/>
      <c r="BD2868" s="900"/>
      <c r="BE2868" s="797"/>
    </row>
    <row r="2869" spans="1:57" s="65" customFormat="1" ht="15" hidden="1" customHeight="1" outlineLevel="1" x14ac:dyDescent="0.25">
      <c r="A2869" s="718"/>
      <c r="B2869" s="785"/>
      <c r="C2869" s="455"/>
      <c r="D2869" s="2806"/>
      <c r="E2869" s="2856"/>
      <c r="F2869" s="2917" t="str">
        <f>E1467</f>
        <v>ASHP - SEER 18 - replace electric furnace / CAC SF</v>
      </c>
      <c r="G2869" s="2917"/>
      <c r="H2869" s="2917"/>
      <c r="I2869" s="2917"/>
      <c r="J2869" s="1654" t="str">
        <f>C1467</f>
        <v>353200_2019_12_</v>
      </c>
      <c r="K2869" s="1142">
        <v>18</v>
      </c>
      <c r="L2869" s="1124"/>
      <c r="M2869" s="1133"/>
      <c r="N2869" s="177"/>
      <c r="O2869" s="332"/>
      <c r="P2869" s="1116"/>
      <c r="Q2869" s="1117"/>
      <c r="R2869" s="1116"/>
      <c r="S2869" s="1103"/>
      <c r="T2869" s="1639"/>
      <c r="U2869" s="177"/>
      <c r="V2869" s="2866"/>
      <c r="W2869" s="1142">
        <v>18</v>
      </c>
      <c r="X2869" s="1142">
        <v>18</v>
      </c>
      <c r="Y2869" s="1142">
        <v>18</v>
      </c>
      <c r="Z2869" s="1142"/>
      <c r="AA2869" s="1142"/>
      <c r="AB2869" s="1142"/>
      <c r="AC2869" s="1142"/>
      <c r="AD2869" s="1142"/>
      <c r="AE2869" s="1142"/>
      <c r="AF2869" s="1142"/>
      <c r="AG2869" s="1142"/>
      <c r="BB2869" s="784"/>
      <c r="BC2869" s="785"/>
      <c r="BD2869" s="900"/>
      <c r="BE2869" s="797"/>
    </row>
    <row r="2870" spans="1:57" s="65" customFormat="1" ht="15" hidden="1" customHeight="1" outlineLevel="1" x14ac:dyDescent="0.25">
      <c r="A2870" s="718"/>
      <c r="B2870" s="785"/>
      <c r="C2870" s="455"/>
      <c r="D2870" s="2806"/>
      <c r="E2870" s="2856"/>
      <c r="F2870" s="2917" t="str">
        <f>E1468</f>
        <v>ASHP - SEER 18 - replace electric furnace / CAC MF</v>
      </c>
      <c r="G2870" s="2917"/>
      <c r="H2870" s="2917"/>
      <c r="I2870" s="2917"/>
      <c r="J2870" s="1654" t="str">
        <f>C1468</f>
        <v>353250_2019_12_</v>
      </c>
      <c r="K2870" s="1142">
        <v>18</v>
      </c>
      <c r="L2870" s="1124"/>
      <c r="M2870" s="1133"/>
      <c r="N2870" s="177"/>
      <c r="O2870" s="332"/>
      <c r="P2870" s="1116"/>
      <c r="Q2870" s="1117"/>
      <c r="R2870" s="1116"/>
      <c r="S2870" s="1103"/>
      <c r="T2870" s="1639"/>
      <c r="U2870" s="177"/>
      <c r="V2870" s="2866"/>
      <c r="W2870" s="1142">
        <v>18</v>
      </c>
      <c r="X2870" s="1142">
        <v>18</v>
      </c>
      <c r="Y2870" s="1142">
        <v>18</v>
      </c>
      <c r="Z2870" s="1142"/>
      <c r="AA2870" s="1142"/>
      <c r="AB2870" s="1142"/>
      <c r="AC2870" s="1142"/>
      <c r="AD2870" s="1142"/>
      <c r="AE2870" s="1142"/>
      <c r="AF2870" s="1142"/>
      <c r="AG2870" s="1142"/>
      <c r="BB2870" s="784"/>
      <c r="BC2870" s="785"/>
      <c r="BD2870" s="900"/>
      <c r="BE2870" s="797"/>
    </row>
    <row r="2871" spans="1:57" s="65" customFormat="1" ht="15" hidden="1" customHeight="1" outlineLevel="1" x14ac:dyDescent="0.25">
      <c r="A2871" s="718"/>
      <c r="B2871" s="785"/>
      <c r="C2871" s="455"/>
      <c r="D2871" s="2806"/>
      <c r="E2871" s="2856"/>
      <c r="F2871" s="2917" t="str">
        <f>E1469</f>
        <v>ASHP - SEER 18 - replace electric furnace / CAC MF</v>
      </c>
      <c r="G2871" s="2917"/>
      <c r="H2871" s="2917"/>
      <c r="I2871" s="2917"/>
      <c r="J2871" s="1654" t="str">
        <f>C1469</f>
        <v>353250_2019_12_</v>
      </c>
      <c r="K2871" s="1143">
        <v>18</v>
      </c>
      <c r="L2871" s="1124"/>
      <c r="M2871" s="1133"/>
      <c r="N2871" s="177"/>
      <c r="O2871" s="332"/>
      <c r="P2871" s="1116"/>
      <c r="Q2871" s="1117"/>
      <c r="R2871" s="1116"/>
      <c r="S2871" s="1103"/>
      <c r="T2871" s="1639"/>
      <c r="U2871" s="177"/>
      <c r="V2871" s="2866"/>
      <c r="W2871" s="1143">
        <v>18</v>
      </c>
      <c r="X2871" s="1143">
        <v>18</v>
      </c>
      <c r="Y2871" s="1143">
        <v>18</v>
      </c>
      <c r="Z2871" s="1143"/>
      <c r="AA2871" s="1143"/>
      <c r="AB2871" s="1143"/>
      <c r="AC2871" s="1143"/>
      <c r="AD2871" s="1143"/>
      <c r="AE2871" s="1143"/>
      <c r="AF2871" s="1143"/>
      <c r="AG2871" s="1143"/>
      <c r="BB2871" s="784"/>
      <c r="BC2871" s="785"/>
      <c r="BD2871" s="900"/>
      <c r="BE2871" s="797"/>
    </row>
    <row r="2872" spans="1:57" s="65" customFormat="1" hidden="1" outlineLevel="1" x14ac:dyDescent="0.25">
      <c r="A2872" s="718"/>
      <c r="B2872" s="785"/>
      <c r="C2872" s="455"/>
      <c r="D2872" s="2806"/>
      <c r="E2872" s="2856"/>
      <c r="F2872" s="2917" t="str">
        <f>E1472</f>
        <v>ASHP - SEER 19 - replace electric furnace / CAC SF</v>
      </c>
      <c r="G2872" s="2917"/>
      <c r="H2872" s="2917"/>
      <c r="I2872" s="2917"/>
      <c r="J2872" s="1654" t="str">
        <f>C1472</f>
        <v>353300_2019_12_</v>
      </c>
      <c r="K2872" s="1142">
        <v>18</v>
      </c>
      <c r="L2872" s="1136"/>
      <c r="M2872" s="1133"/>
      <c r="N2872" s="177"/>
      <c r="O2872" s="332"/>
      <c r="P2872" s="1116"/>
      <c r="Q2872" s="1117"/>
      <c r="R2872" s="1116"/>
      <c r="S2872" s="1103"/>
      <c r="T2872" s="1639"/>
      <c r="U2872" s="177"/>
      <c r="V2872" s="2866"/>
      <c r="W2872" s="1142">
        <v>18</v>
      </c>
      <c r="X2872" s="1142">
        <v>18</v>
      </c>
      <c r="Y2872" s="1142">
        <v>18</v>
      </c>
      <c r="Z2872" s="1142"/>
      <c r="AA2872" s="1142"/>
      <c r="AB2872" s="1142"/>
      <c r="AC2872" s="1142"/>
      <c r="AD2872" s="1142"/>
      <c r="AE2872" s="1142"/>
      <c r="AF2872" s="1142"/>
      <c r="AG2872" s="1142"/>
      <c r="BB2872" s="784"/>
      <c r="BC2872" s="785"/>
      <c r="BD2872" s="900"/>
      <c r="BE2872" s="797"/>
    </row>
    <row r="2873" spans="1:57" s="65" customFormat="1" hidden="1" outlineLevel="1" x14ac:dyDescent="0.25">
      <c r="A2873" s="718"/>
      <c r="B2873" s="785"/>
      <c r="C2873" s="455"/>
      <c r="D2873" s="2806"/>
      <c r="E2873" s="2856"/>
      <c r="F2873" s="2917" t="str">
        <f>E1473</f>
        <v>ASHP - SEER 19 - replace electric furnace / CAC SF</v>
      </c>
      <c r="G2873" s="2917"/>
      <c r="H2873" s="2917"/>
      <c r="I2873" s="2917"/>
      <c r="J2873" s="1654" t="str">
        <f>C1473</f>
        <v>353300_2019_12_</v>
      </c>
      <c r="K2873" s="1142">
        <v>18</v>
      </c>
      <c r="L2873" s="1136"/>
      <c r="M2873" s="1133"/>
      <c r="N2873" s="177"/>
      <c r="O2873" s="332"/>
      <c r="P2873" s="1116"/>
      <c r="Q2873" s="1117"/>
      <c r="R2873" s="1116"/>
      <c r="S2873" s="1103"/>
      <c r="T2873" s="1639"/>
      <c r="U2873" s="177"/>
      <c r="V2873" s="2866"/>
      <c r="W2873" s="1142">
        <v>18</v>
      </c>
      <c r="X2873" s="1142">
        <v>18</v>
      </c>
      <c r="Y2873" s="1142">
        <v>18</v>
      </c>
      <c r="Z2873" s="1142"/>
      <c r="AA2873" s="1142"/>
      <c r="AB2873" s="1142"/>
      <c r="AC2873" s="1142"/>
      <c r="AD2873" s="1142"/>
      <c r="AE2873" s="1142"/>
      <c r="AF2873" s="1142"/>
      <c r="AG2873" s="1142"/>
      <c r="BB2873" s="784"/>
      <c r="BC2873" s="785"/>
      <c r="BD2873" s="900"/>
      <c r="BE2873" s="797"/>
    </row>
    <row r="2874" spans="1:57" s="65" customFormat="1" hidden="1" outlineLevel="1" x14ac:dyDescent="0.25">
      <c r="A2874" s="718"/>
      <c r="B2874" s="785"/>
      <c r="C2874" s="455"/>
      <c r="D2874" s="2806"/>
      <c r="E2874" s="2856"/>
      <c r="F2874" s="2917" t="str">
        <f>E1474</f>
        <v>ASHP - SEER 19 - replace electric furnace / CAC MF</v>
      </c>
      <c r="G2874" s="2917"/>
      <c r="H2874" s="2917"/>
      <c r="I2874" s="2917"/>
      <c r="J2874" s="1654" t="str">
        <f>C1474</f>
        <v>353350_2019_12_</v>
      </c>
      <c r="K2874" s="1142">
        <v>18</v>
      </c>
      <c r="L2874" s="1136"/>
      <c r="M2874" s="1133"/>
      <c r="N2874" s="177"/>
      <c r="O2874" s="332"/>
      <c r="P2874" s="1116"/>
      <c r="Q2874" s="1117"/>
      <c r="R2874" s="1116"/>
      <c r="S2874" s="1103"/>
      <c r="T2874" s="1639"/>
      <c r="U2874" s="177"/>
      <c r="V2874" s="2866"/>
      <c r="W2874" s="1142">
        <v>18</v>
      </c>
      <c r="X2874" s="1142">
        <v>18</v>
      </c>
      <c r="Y2874" s="1142">
        <v>18</v>
      </c>
      <c r="Z2874" s="1142"/>
      <c r="AA2874" s="1142"/>
      <c r="AB2874" s="1142"/>
      <c r="AC2874" s="1142"/>
      <c r="AD2874" s="1142"/>
      <c r="AE2874" s="1142"/>
      <c r="AF2874" s="1142"/>
      <c r="AG2874" s="1142"/>
      <c r="BB2874" s="784"/>
      <c r="BC2874" s="785"/>
      <c r="BD2874" s="900"/>
      <c r="BE2874" s="797"/>
    </row>
    <row r="2875" spans="1:57" s="65" customFormat="1" hidden="1" outlineLevel="1" x14ac:dyDescent="0.25">
      <c r="A2875" s="718"/>
      <c r="B2875" s="785"/>
      <c r="C2875" s="455"/>
      <c r="D2875" s="2806"/>
      <c r="E2875" s="2856"/>
      <c r="F2875" s="2917" t="str">
        <f>E1475</f>
        <v>ASHP - SEER 19 - replace electric furnace / CAC MF</v>
      </c>
      <c r="G2875" s="2917"/>
      <c r="H2875" s="2917"/>
      <c r="I2875" s="2917"/>
      <c r="J2875" s="1654" t="str">
        <f>C1475</f>
        <v>353350_2019_12_</v>
      </c>
      <c r="K2875" s="1142">
        <v>18</v>
      </c>
      <c r="L2875" s="1136"/>
      <c r="M2875" s="1133"/>
      <c r="N2875" s="177"/>
      <c r="O2875" s="332"/>
      <c r="P2875" s="1116"/>
      <c r="Q2875" s="1117"/>
      <c r="R2875" s="1116"/>
      <c r="S2875" s="1103"/>
      <c r="T2875" s="1639"/>
      <c r="U2875" s="177"/>
      <c r="V2875" s="2866"/>
      <c r="W2875" s="1142">
        <v>18</v>
      </c>
      <c r="X2875" s="1142">
        <v>18</v>
      </c>
      <c r="Y2875" s="1142">
        <v>18</v>
      </c>
      <c r="Z2875" s="1142"/>
      <c r="AA2875" s="1142"/>
      <c r="AB2875" s="1142"/>
      <c r="AC2875" s="1142"/>
      <c r="AD2875" s="1142"/>
      <c r="AE2875" s="1142"/>
      <c r="AF2875" s="1142"/>
      <c r="AG2875" s="1142"/>
      <c r="BB2875" s="784"/>
      <c r="BC2875" s="785"/>
      <c r="BD2875" s="900"/>
      <c r="BE2875" s="797"/>
    </row>
    <row r="2876" spans="1:57" s="65" customFormat="1" hidden="1" outlineLevel="1" x14ac:dyDescent="0.25">
      <c r="A2876" s="718"/>
      <c r="B2876" s="785"/>
      <c r="C2876" s="455"/>
      <c r="D2876" s="2806"/>
      <c r="E2876" s="2856"/>
      <c r="F2876" s="2917" t="str">
        <f t="shared" ref="F2876:F2883" si="237">E1478</f>
        <v>ASHP - SEER 20 - replace electric furnace / CAC - early replacement SF ER1</v>
      </c>
      <c r="G2876" s="2917"/>
      <c r="H2876" s="2917"/>
      <c r="I2876" s="2917"/>
      <c r="J2876" s="1654" t="str">
        <f t="shared" ref="J2876:J2883" si="238">C1478</f>
        <v>353400_2019_12_</v>
      </c>
      <c r="K2876" s="1142">
        <v>6</v>
      </c>
      <c r="L2876" s="1136"/>
      <c r="M2876" s="1133"/>
      <c r="N2876" s="177"/>
      <c r="O2876" s="332"/>
      <c r="P2876" s="1116"/>
      <c r="Q2876" s="1117"/>
      <c r="R2876" s="1116"/>
      <c r="S2876" s="1103"/>
      <c r="T2876" s="1639"/>
      <c r="U2876" s="177"/>
      <c r="V2876" s="2866"/>
      <c r="W2876" s="1142">
        <v>6</v>
      </c>
      <c r="X2876" s="1142">
        <v>6</v>
      </c>
      <c r="Y2876" s="1142">
        <v>6</v>
      </c>
      <c r="Z2876" s="1142"/>
      <c r="AA2876" s="1142"/>
      <c r="AB2876" s="1142"/>
      <c r="AC2876" s="1142"/>
      <c r="AD2876" s="1142"/>
      <c r="AE2876" s="1142"/>
      <c r="AF2876" s="1142"/>
      <c r="AG2876" s="1142"/>
      <c r="BB2876" s="784"/>
      <c r="BC2876" s="785"/>
      <c r="BD2876" s="900"/>
      <c r="BE2876" s="797"/>
    </row>
    <row r="2877" spans="1:57" s="65" customFormat="1" hidden="1" outlineLevel="1" x14ac:dyDescent="0.25">
      <c r="A2877" s="718"/>
      <c r="B2877" s="785"/>
      <c r="C2877" s="455"/>
      <c r="D2877" s="2806"/>
      <c r="E2877" s="2856"/>
      <c r="F2877" s="2917" t="str">
        <f t="shared" si="237"/>
        <v>ASHP - SEER 20 - replace electric furnace / CAC - early replacement SF ER1</v>
      </c>
      <c r="G2877" s="2917"/>
      <c r="H2877" s="2917"/>
      <c r="I2877" s="2917"/>
      <c r="J2877" s="1654" t="str">
        <f t="shared" si="238"/>
        <v>353400_2019_12_</v>
      </c>
      <c r="K2877" s="1142">
        <v>6</v>
      </c>
      <c r="L2877" s="1136"/>
      <c r="M2877" s="1133"/>
      <c r="N2877" s="177"/>
      <c r="O2877" s="332"/>
      <c r="P2877" s="1116"/>
      <c r="Q2877" s="1117"/>
      <c r="R2877" s="1116"/>
      <c r="S2877" s="1103"/>
      <c r="T2877" s="1639"/>
      <c r="U2877" s="177"/>
      <c r="V2877" s="2866"/>
      <c r="W2877" s="1142">
        <v>6</v>
      </c>
      <c r="X2877" s="1142">
        <v>6</v>
      </c>
      <c r="Y2877" s="1142">
        <v>6</v>
      </c>
      <c r="Z2877" s="1142"/>
      <c r="AA2877" s="1142"/>
      <c r="AB2877" s="1142"/>
      <c r="AC2877" s="1142"/>
      <c r="AD2877" s="1142"/>
      <c r="AE2877" s="1142"/>
      <c r="AF2877" s="1142"/>
      <c r="AG2877" s="1142"/>
      <c r="BB2877" s="784"/>
      <c r="BC2877" s="785"/>
      <c r="BD2877" s="900"/>
      <c r="BE2877" s="797"/>
    </row>
    <row r="2878" spans="1:57" s="65" customFormat="1" hidden="1" outlineLevel="1" x14ac:dyDescent="0.25">
      <c r="A2878" s="718"/>
      <c r="B2878" s="785"/>
      <c r="C2878" s="455"/>
      <c r="D2878" s="2806"/>
      <c r="E2878" s="2856"/>
      <c r="F2878" s="2917" t="str">
        <f t="shared" si="237"/>
        <v>ASHP - SEER 20 - replace electric furnace / CAC - early replacement SF ER2</v>
      </c>
      <c r="G2878" s="2917"/>
      <c r="H2878" s="2917"/>
      <c r="I2878" s="2917"/>
      <c r="J2878" s="1654" t="str">
        <f t="shared" si="238"/>
        <v>353400_2019_12_</v>
      </c>
      <c r="K2878" s="1142">
        <v>12</v>
      </c>
      <c r="L2878" s="1136"/>
      <c r="M2878" s="1133"/>
      <c r="N2878" s="177"/>
      <c r="O2878" s="332"/>
      <c r="P2878" s="1116"/>
      <c r="Q2878" s="1117"/>
      <c r="R2878" s="1116"/>
      <c r="S2878" s="1103"/>
      <c r="T2878" s="1639"/>
      <c r="U2878" s="177"/>
      <c r="V2878" s="2866"/>
      <c r="W2878" s="1142">
        <v>12</v>
      </c>
      <c r="X2878" s="1142">
        <v>12</v>
      </c>
      <c r="Y2878" s="1142">
        <v>12</v>
      </c>
      <c r="Z2878" s="1142"/>
      <c r="AA2878" s="1142"/>
      <c r="AB2878" s="1142"/>
      <c r="AC2878" s="1142"/>
      <c r="AD2878" s="1142"/>
      <c r="AE2878" s="1142"/>
      <c r="AF2878" s="1142"/>
      <c r="AG2878" s="1142"/>
      <c r="BB2878" s="784"/>
      <c r="BC2878" s="785"/>
      <c r="BD2878" s="900"/>
      <c r="BE2878" s="797"/>
    </row>
    <row r="2879" spans="1:57" s="65" customFormat="1" hidden="1" outlineLevel="1" x14ac:dyDescent="0.25">
      <c r="A2879" s="718"/>
      <c r="B2879" s="785"/>
      <c r="C2879" s="455"/>
      <c r="D2879" s="2806"/>
      <c r="E2879" s="2856"/>
      <c r="F2879" s="2917" t="str">
        <f t="shared" si="237"/>
        <v>ASHP - SEER 20 - replace electric furnace / CAC - early replacement SF ER2</v>
      </c>
      <c r="G2879" s="2917"/>
      <c r="H2879" s="2917"/>
      <c r="I2879" s="2917"/>
      <c r="J2879" s="1654" t="str">
        <f t="shared" si="238"/>
        <v>353400_2019_12_</v>
      </c>
      <c r="K2879" s="1142">
        <v>12</v>
      </c>
      <c r="L2879" s="1136"/>
      <c r="M2879" s="1133"/>
      <c r="N2879" s="177"/>
      <c r="O2879" s="332"/>
      <c r="P2879" s="1116"/>
      <c r="Q2879" s="1117"/>
      <c r="R2879" s="1116"/>
      <c r="S2879" s="1103"/>
      <c r="T2879" s="1639"/>
      <c r="U2879" s="177"/>
      <c r="V2879" s="2866"/>
      <c r="W2879" s="1142">
        <v>12</v>
      </c>
      <c r="X2879" s="1142">
        <v>12</v>
      </c>
      <c r="Y2879" s="1142">
        <v>12</v>
      </c>
      <c r="Z2879" s="1142"/>
      <c r="AA2879" s="1142"/>
      <c r="AB2879" s="1142"/>
      <c r="AC2879" s="1142"/>
      <c r="AD2879" s="1142"/>
      <c r="AE2879" s="1142"/>
      <c r="AF2879" s="1142"/>
      <c r="AG2879" s="1142"/>
      <c r="BB2879" s="784"/>
      <c r="BC2879" s="785"/>
      <c r="BD2879" s="900"/>
      <c r="BE2879" s="797"/>
    </row>
    <row r="2880" spans="1:57" s="65" customFormat="1" hidden="1" outlineLevel="1" x14ac:dyDescent="0.25">
      <c r="A2880" s="718"/>
      <c r="B2880" s="785"/>
      <c r="C2880" s="455"/>
      <c r="D2880" s="2806"/>
      <c r="E2880" s="2856"/>
      <c r="F2880" s="2917" t="str">
        <f t="shared" si="237"/>
        <v>ASHP - SEER 20 - replace electric furnace / CAC SF</v>
      </c>
      <c r="G2880" s="2917"/>
      <c r="H2880" s="2917"/>
      <c r="I2880" s="2917"/>
      <c r="J2880" s="1654" t="str">
        <f t="shared" si="238"/>
        <v>353450_2019_12_</v>
      </c>
      <c r="K2880" s="1142">
        <v>18</v>
      </c>
      <c r="L2880" s="1136"/>
      <c r="M2880" s="1133"/>
      <c r="N2880" s="177"/>
      <c r="O2880" s="332"/>
      <c r="P2880" s="1116"/>
      <c r="Q2880" s="1117"/>
      <c r="R2880" s="1116"/>
      <c r="S2880" s="1103"/>
      <c r="T2880" s="1639"/>
      <c r="U2880" s="177"/>
      <c r="V2880" s="2866"/>
      <c r="W2880" s="1142">
        <v>18</v>
      </c>
      <c r="X2880" s="1142">
        <v>18</v>
      </c>
      <c r="Y2880" s="1142">
        <v>18</v>
      </c>
      <c r="Z2880" s="1142"/>
      <c r="AA2880" s="1142"/>
      <c r="AB2880" s="1142"/>
      <c r="AC2880" s="1142"/>
      <c r="AD2880" s="1142"/>
      <c r="AE2880" s="1142"/>
      <c r="AF2880" s="1142"/>
      <c r="AG2880" s="1142"/>
      <c r="BB2880" s="784"/>
      <c r="BC2880" s="785"/>
      <c r="BD2880" s="900"/>
      <c r="BE2880" s="797"/>
    </row>
    <row r="2881" spans="1:57" s="65" customFormat="1" hidden="1" outlineLevel="1" x14ac:dyDescent="0.25">
      <c r="A2881" s="718"/>
      <c r="B2881" s="785"/>
      <c r="C2881" s="455"/>
      <c r="D2881" s="2806"/>
      <c r="E2881" s="2856"/>
      <c r="F2881" s="2917" t="str">
        <f t="shared" si="237"/>
        <v>ASHP - SEER 20 - replace electric furnace / CAC SF</v>
      </c>
      <c r="G2881" s="2917"/>
      <c r="H2881" s="2917"/>
      <c r="I2881" s="2917"/>
      <c r="J2881" s="1654" t="str">
        <f t="shared" si="238"/>
        <v>353450_2019_12_</v>
      </c>
      <c r="K2881" s="1142">
        <v>18</v>
      </c>
      <c r="L2881" s="1136"/>
      <c r="M2881" s="1133"/>
      <c r="N2881" s="177"/>
      <c r="O2881" s="332"/>
      <c r="P2881" s="1116"/>
      <c r="Q2881" s="1117"/>
      <c r="R2881" s="1116"/>
      <c r="S2881" s="1103"/>
      <c r="T2881" s="1639"/>
      <c r="U2881" s="177"/>
      <c r="V2881" s="2866"/>
      <c r="W2881" s="1142">
        <v>18</v>
      </c>
      <c r="X2881" s="1142">
        <v>18</v>
      </c>
      <c r="Y2881" s="1142">
        <v>18</v>
      </c>
      <c r="Z2881" s="1142"/>
      <c r="AA2881" s="1142"/>
      <c r="AB2881" s="1142"/>
      <c r="AC2881" s="1142"/>
      <c r="AD2881" s="1142"/>
      <c r="AE2881" s="1142"/>
      <c r="AF2881" s="1142"/>
      <c r="AG2881" s="1142"/>
      <c r="BB2881" s="784"/>
      <c r="BC2881" s="785"/>
      <c r="BD2881" s="900"/>
      <c r="BE2881" s="797"/>
    </row>
    <row r="2882" spans="1:57" s="65" customFormat="1" hidden="1" outlineLevel="1" x14ac:dyDescent="0.25">
      <c r="A2882" s="718"/>
      <c r="B2882" s="785"/>
      <c r="C2882" s="455"/>
      <c r="D2882" s="2806"/>
      <c r="E2882" s="2856"/>
      <c r="F2882" s="2917" t="str">
        <f t="shared" si="237"/>
        <v>ASHP - SEER 20 - replace electric furnace / CAC MF</v>
      </c>
      <c r="G2882" s="2917"/>
      <c r="H2882" s="2917"/>
      <c r="I2882" s="2917"/>
      <c r="J2882" s="1654" t="str">
        <f t="shared" si="238"/>
        <v>353500_2019_12_</v>
      </c>
      <c r="K2882" s="1142">
        <v>18</v>
      </c>
      <c r="L2882" s="1136"/>
      <c r="M2882" s="1133"/>
      <c r="N2882" s="177"/>
      <c r="O2882" s="332"/>
      <c r="P2882" s="1116"/>
      <c r="Q2882" s="1117"/>
      <c r="R2882" s="1116"/>
      <c r="S2882" s="1103"/>
      <c r="T2882" s="1639"/>
      <c r="U2882" s="177"/>
      <c r="V2882" s="2866"/>
      <c r="W2882" s="1142">
        <v>18</v>
      </c>
      <c r="X2882" s="1142">
        <v>18</v>
      </c>
      <c r="Y2882" s="1142">
        <v>18</v>
      </c>
      <c r="Z2882" s="1142"/>
      <c r="AA2882" s="1142"/>
      <c r="AB2882" s="1142"/>
      <c r="AC2882" s="1142"/>
      <c r="AD2882" s="1142"/>
      <c r="AE2882" s="1142"/>
      <c r="AF2882" s="1142"/>
      <c r="AG2882" s="1142"/>
      <c r="BB2882" s="784"/>
      <c r="BC2882" s="785"/>
      <c r="BD2882" s="900"/>
      <c r="BE2882" s="797"/>
    </row>
    <row r="2883" spans="1:57" s="65" customFormat="1" hidden="1" outlineLevel="1" x14ac:dyDescent="0.25">
      <c r="A2883" s="718"/>
      <c r="B2883" s="785"/>
      <c r="C2883" s="455"/>
      <c r="D2883" s="2806"/>
      <c r="E2883" s="2856"/>
      <c r="F2883" s="2917" t="str">
        <f t="shared" si="237"/>
        <v>ASHP - SEER 20 - replace electric furnace / CAC MF</v>
      </c>
      <c r="G2883" s="2917"/>
      <c r="H2883" s="2917"/>
      <c r="I2883" s="2917"/>
      <c r="J2883" s="1654" t="str">
        <f t="shared" si="238"/>
        <v>353500_2019_12_</v>
      </c>
      <c r="K2883" s="1142">
        <v>18</v>
      </c>
      <c r="L2883" s="1136"/>
      <c r="M2883" s="1133"/>
      <c r="N2883" s="177"/>
      <c r="O2883" s="332"/>
      <c r="P2883" s="1116"/>
      <c r="Q2883" s="1117"/>
      <c r="R2883" s="1116"/>
      <c r="S2883" s="1103"/>
      <c r="T2883" s="1639"/>
      <c r="U2883" s="177"/>
      <c r="V2883" s="2866"/>
      <c r="W2883" s="1142">
        <v>18</v>
      </c>
      <c r="X2883" s="1142">
        <v>18</v>
      </c>
      <c r="Y2883" s="1142">
        <v>18</v>
      </c>
      <c r="Z2883" s="1142"/>
      <c r="AA2883" s="1142"/>
      <c r="AB2883" s="1142"/>
      <c r="AC2883" s="1142"/>
      <c r="AD2883" s="1142"/>
      <c r="AE2883" s="1142"/>
      <c r="AF2883" s="1142"/>
      <c r="AG2883" s="1142"/>
      <c r="BB2883" s="784"/>
      <c r="BC2883" s="785"/>
      <c r="BD2883" s="900"/>
      <c r="BE2883" s="797"/>
    </row>
    <row r="2884" spans="1:57" s="65" customFormat="1" hidden="1" outlineLevel="1" x14ac:dyDescent="0.25">
      <c r="A2884" s="718"/>
      <c r="B2884" s="785"/>
      <c r="C2884" s="455"/>
      <c r="D2884" s="2806"/>
      <c r="E2884" s="2856"/>
      <c r="F2884" s="2917" t="str">
        <f t="shared" ref="F2884:F2891" si="239">E1488</f>
        <v>ASHP - SEER 21 - replace electric furnace / CAC - early replacement SF ER1</v>
      </c>
      <c r="G2884" s="2917"/>
      <c r="H2884" s="2917"/>
      <c r="I2884" s="2917"/>
      <c r="J2884" s="1654" t="str">
        <f t="shared" ref="J2884:J2891" si="240">C1488</f>
        <v>353550_2019_12_</v>
      </c>
      <c r="K2884" s="1142">
        <v>6</v>
      </c>
      <c r="L2884" s="1136"/>
      <c r="M2884" s="1133"/>
      <c r="N2884" s="177"/>
      <c r="O2884" s="332"/>
      <c r="P2884" s="1116"/>
      <c r="Q2884" s="1117"/>
      <c r="R2884" s="1116"/>
      <c r="S2884" s="1103"/>
      <c r="T2884" s="1639"/>
      <c r="U2884" s="177"/>
      <c r="V2884" s="2866"/>
      <c r="W2884" s="1142">
        <v>6</v>
      </c>
      <c r="X2884" s="1142">
        <v>6</v>
      </c>
      <c r="Y2884" s="1142">
        <v>6</v>
      </c>
      <c r="Z2884" s="1142"/>
      <c r="AA2884" s="1142"/>
      <c r="AB2884" s="1142"/>
      <c r="AC2884" s="1142"/>
      <c r="AD2884" s="1142"/>
      <c r="AE2884" s="1142"/>
      <c r="AF2884" s="1142"/>
      <c r="AG2884" s="1142"/>
      <c r="BB2884" s="784"/>
      <c r="BC2884" s="785"/>
      <c r="BD2884" s="900"/>
      <c r="BE2884" s="797"/>
    </row>
    <row r="2885" spans="1:57" s="65" customFormat="1" hidden="1" outlineLevel="1" x14ac:dyDescent="0.25">
      <c r="A2885" s="718"/>
      <c r="B2885" s="785"/>
      <c r="C2885" s="455"/>
      <c r="D2885" s="2806"/>
      <c r="E2885" s="2856"/>
      <c r="F2885" s="2917" t="str">
        <f t="shared" si="239"/>
        <v>ASHP - SEER 21 - replace electric furnace / CAC - early replacement SF ER1</v>
      </c>
      <c r="G2885" s="2917"/>
      <c r="H2885" s="2917"/>
      <c r="I2885" s="2917"/>
      <c r="J2885" s="1654" t="str">
        <f t="shared" si="240"/>
        <v>353550_2019_12_</v>
      </c>
      <c r="K2885" s="1142">
        <v>6</v>
      </c>
      <c r="L2885" s="1136"/>
      <c r="M2885" s="1133"/>
      <c r="N2885" s="177"/>
      <c r="O2885" s="332"/>
      <c r="P2885" s="1116"/>
      <c r="Q2885" s="1117"/>
      <c r="R2885" s="1116"/>
      <c r="S2885" s="1103"/>
      <c r="T2885" s="1639"/>
      <c r="U2885" s="177"/>
      <c r="V2885" s="2866"/>
      <c r="W2885" s="1142">
        <v>6</v>
      </c>
      <c r="X2885" s="1142">
        <v>6</v>
      </c>
      <c r="Y2885" s="1142">
        <v>6</v>
      </c>
      <c r="Z2885" s="1142"/>
      <c r="AA2885" s="1142"/>
      <c r="AB2885" s="1142"/>
      <c r="AC2885" s="1142"/>
      <c r="AD2885" s="1142"/>
      <c r="AE2885" s="1142"/>
      <c r="AF2885" s="1142"/>
      <c r="AG2885" s="1142"/>
      <c r="BB2885" s="784"/>
      <c r="BC2885" s="785"/>
      <c r="BD2885" s="900"/>
      <c r="BE2885" s="797"/>
    </row>
    <row r="2886" spans="1:57" s="65" customFormat="1" hidden="1" outlineLevel="1" x14ac:dyDescent="0.25">
      <c r="A2886" s="718"/>
      <c r="B2886" s="785"/>
      <c r="C2886" s="455"/>
      <c r="D2886" s="2806"/>
      <c r="E2886" s="2856"/>
      <c r="F2886" s="2917" t="str">
        <f t="shared" si="239"/>
        <v>ASHP - SEER 21 - replace electric furnace / CAC - early replacement SF ER2</v>
      </c>
      <c r="G2886" s="2917"/>
      <c r="H2886" s="2917"/>
      <c r="I2886" s="2917"/>
      <c r="J2886" s="1654" t="str">
        <f t="shared" si="240"/>
        <v>353550_2019_12_</v>
      </c>
      <c r="K2886" s="1142">
        <v>12</v>
      </c>
      <c r="L2886" s="1136"/>
      <c r="M2886" s="1133"/>
      <c r="N2886" s="177"/>
      <c r="O2886" s="332"/>
      <c r="P2886" s="1116"/>
      <c r="Q2886" s="1117"/>
      <c r="R2886" s="1116"/>
      <c r="S2886" s="1103"/>
      <c r="T2886" s="1639"/>
      <c r="U2886" s="177"/>
      <c r="V2886" s="2866"/>
      <c r="W2886" s="1142">
        <v>12</v>
      </c>
      <c r="X2886" s="1142">
        <v>12</v>
      </c>
      <c r="Y2886" s="1142">
        <v>12</v>
      </c>
      <c r="Z2886" s="1142"/>
      <c r="AA2886" s="1142"/>
      <c r="AB2886" s="1142"/>
      <c r="AC2886" s="1142"/>
      <c r="AD2886" s="1142"/>
      <c r="AE2886" s="1142"/>
      <c r="AF2886" s="1142"/>
      <c r="AG2886" s="1142"/>
      <c r="BB2886" s="784"/>
      <c r="BC2886" s="785"/>
      <c r="BD2886" s="900"/>
      <c r="BE2886" s="797"/>
    </row>
    <row r="2887" spans="1:57" s="65" customFormat="1" hidden="1" outlineLevel="1" x14ac:dyDescent="0.25">
      <c r="A2887" s="718"/>
      <c r="B2887" s="785"/>
      <c r="C2887" s="455"/>
      <c r="D2887" s="2806"/>
      <c r="E2887" s="2856"/>
      <c r="F2887" s="2917" t="str">
        <f t="shared" si="239"/>
        <v>ASHP - SEER 21 - replace electric furnace / CAC - early replacement SF ER2</v>
      </c>
      <c r="G2887" s="2917"/>
      <c r="H2887" s="2917"/>
      <c r="I2887" s="2917"/>
      <c r="J2887" s="1654" t="str">
        <f t="shared" si="240"/>
        <v>353550_2019_12_</v>
      </c>
      <c r="K2887" s="1142">
        <v>12</v>
      </c>
      <c r="L2887" s="1136"/>
      <c r="M2887" s="1133"/>
      <c r="N2887" s="177"/>
      <c r="O2887" s="332"/>
      <c r="P2887" s="1116"/>
      <c r="Q2887" s="1117"/>
      <c r="R2887" s="1116"/>
      <c r="S2887" s="1103"/>
      <c r="T2887" s="1639"/>
      <c r="U2887" s="177"/>
      <c r="V2887" s="2866"/>
      <c r="W2887" s="1142">
        <v>12</v>
      </c>
      <c r="X2887" s="1142">
        <v>12</v>
      </c>
      <c r="Y2887" s="1142">
        <v>12</v>
      </c>
      <c r="Z2887" s="1142"/>
      <c r="AA2887" s="1142"/>
      <c r="AB2887" s="1142"/>
      <c r="AC2887" s="1142"/>
      <c r="AD2887" s="1142"/>
      <c r="AE2887" s="1142"/>
      <c r="AF2887" s="1142"/>
      <c r="AG2887" s="1142"/>
      <c r="BB2887" s="784"/>
      <c r="BC2887" s="785"/>
      <c r="BD2887" s="900"/>
      <c r="BE2887" s="797"/>
    </row>
    <row r="2888" spans="1:57" s="65" customFormat="1" hidden="1" outlineLevel="1" x14ac:dyDescent="0.25">
      <c r="A2888" s="718"/>
      <c r="B2888" s="785"/>
      <c r="C2888" s="455"/>
      <c r="D2888" s="2806"/>
      <c r="E2888" s="2856"/>
      <c r="F2888" s="2917" t="str">
        <f t="shared" si="239"/>
        <v>ASHP - SEER 21 - replace electric furnace / CAC - early replacement MF ER1</v>
      </c>
      <c r="G2888" s="2917"/>
      <c r="H2888" s="2917"/>
      <c r="I2888" s="2917"/>
      <c r="J2888" s="1654" t="str">
        <f t="shared" si="240"/>
        <v>353600_2019_12_</v>
      </c>
      <c r="K2888" s="1142">
        <v>6</v>
      </c>
      <c r="L2888" s="1136"/>
      <c r="M2888" s="1133"/>
      <c r="N2888" s="177"/>
      <c r="O2888" s="332"/>
      <c r="P2888" s="1116"/>
      <c r="Q2888" s="1117"/>
      <c r="R2888" s="1116"/>
      <c r="S2888" s="1103"/>
      <c r="T2888" s="1639"/>
      <c r="U2888" s="177"/>
      <c r="V2888" s="2866"/>
      <c r="W2888" s="1142">
        <v>6</v>
      </c>
      <c r="X2888" s="1142">
        <v>6</v>
      </c>
      <c r="Y2888" s="1142">
        <v>6</v>
      </c>
      <c r="Z2888" s="1142"/>
      <c r="AA2888" s="1142"/>
      <c r="AB2888" s="1142"/>
      <c r="AC2888" s="1142"/>
      <c r="AD2888" s="1142"/>
      <c r="AE2888" s="1142"/>
      <c r="AF2888" s="1142"/>
      <c r="AG2888" s="1142"/>
      <c r="BB2888" s="784"/>
      <c r="BC2888" s="785"/>
      <c r="BD2888" s="900"/>
      <c r="BE2888" s="797"/>
    </row>
    <row r="2889" spans="1:57" s="65" customFormat="1" hidden="1" outlineLevel="1" x14ac:dyDescent="0.25">
      <c r="A2889" s="718"/>
      <c r="B2889" s="785"/>
      <c r="C2889" s="455"/>
      <c r="D2889" s="2806"/>
      <c r="E2889" s="2856"/>
      <c r="F2889" s="2917" t="str">
        <f t="shared" si="239"/>
        <v>ASHP - SEER 21 - replace electric furnace / CAC - early replacement MF ER1</v>
      </c>
      <c r="G2889" s="2917"/>
      <c r="H2889" s="2917"/>
      <c r="I2889" s="2917"/>
      <c r="J2889" s="1654" t="str">
        <f t="shared" si="240"/>
        <v>353600_2019_12_</v>
      </c>
      <c r="K2889" s="1142">
        <v>6</v>
      </c>
      <c r="L2889" s="1136"/>
      <c r="M2889" s="1133"/>
      <c r="N2889" s="177"/>
      <c r="O2889" s="332"/>
      <c r="P2889" s="1116"/>
      <c r="Q2889" s="1117"/>
      <c r="R2889" s="1116"/>
      <c r="S2889" s="1103"/>
      <c r="T2889" s="1639"/>
      <c r="U2889" s="177"/>
      <c r="V2889" s="2866"/>
      <c r="W2889" s="1142">
        <v>6</v>
      </c>
      <c r="X2889" s="1142">
        <v>6</v>
      </c>
      <c r="Y2889" s="1142">
        <v>6</v>
      </c>
      <c r="Z2889" s="1142"/>
      <c r="AA2889" s="1142"/>
      <c r="AB2889" s="1142"/>
      <c r="AC2889" s="1142"/>
      <c r="AD2889" s="1142"/>
      <c r="AE2889" s="1142"/>
      <c r="AF2889" s="1142"/>
      <c r="AG2889" s="1142"/>
      <c r="BB2889" s="784"/>
      <c r="BC2889" s="785"/>
      <c r="BD2889" s="900"/>
      <c r="BE2889" s="797"/>
    </row>
    <row r="2890" spans="1:57" s="65" customFormat="1" hidden="1" outlineLevel="1" x14ac:dyDescent="0.25">
      <c r="A2890" s="718"/>
      <c r="B2890" s="785"/>
      <c r="C2890" s="455"/>
      <c r="D2890" s="2806"/>
      <c r="E2890" s="2856"/>
      <c r="F2890" s="2917" t="str">
        <f t="shared" si="239"/>
        <v>ASHP - SEER 21 - replace electric furnace / CAC - early replacement MF ER2</v>
      </c>
      <c r="G2890" s="2917"/>
      <c r="H2890" s="2917"/>
      <c r="I2890" s="2917"/>
      <c r="J2890" s="1654" t="str">
        <f t="shared" si="240"/>
        <v>353600_2019_12_</v>
      </c>
      <c r="K2890" s="1142">
        <v>12</v>
      </c>
      <c r="L2890" s="1136"/>
      <c r="M2890" s="1133"/>
      <c r="N2890" s="177"/>
      <c r="O2890" s="332"/>
      <c r="P2890" s="1116"/>
      <c r="Q2890" s="1117"/>
      <c r="R2890" s="1116"/>
      <c r="S2890" s="1103"/>
      <c r="T2890" s="1639"/>
      <c r="U2890" s="177"/>
      <c r="V2890" s="2866"/>
      <c r="W2890" s="1142">
        <v>12</v>
      </c>
      <c r="X2890" s="1142">
        <v>12</v>
      </c>
      <c r="Y2890" s="1142">
        <v>12</v>
      </c>
      <c r="Z2890" s="1142"/>
      <c r="AA2890" s="1142"/>
      <c r="AB2890" s="1142"/>
      <c r="AC2890" s="1142"/>
      <c r="AD2890" s="1142"/>
      <c r="AE2890" s="1142"/>
      <c r="AF2890" s="1142"/>
      <c r="AG2890" s="1142"/>
      <c r="BB2890" s="784"/>
      <c r="BC2890" s="785"/>
      <c r="BD2890" s="900"/>
      <c r="BE2890" s="797"/>
    </row>
    <row r="2891" spans="1:57" s="65" customFormat="1" hidden="1" outlineLevel="1" x14ac:dyDescent="0.25">
      <c r="A2891" s="718"/>
      <c r="B2891" s="785"/>
      <c r="C2891" s="455"/>
      <c r="D2891" s="2806"/>
      <c r="E2891" s="2856"/>
      <c r="F2891" s="2917" t="str">
        <f t="shared" si="239"/>
        <v>ASHP - SEER 21 - replace electric furnace / CAC - early replacement MF ER2</v>
      </c>
      <c r="G2891" s="2917"/>
      <c r="H2891" s="2917"/>
      <c r="I2891" s="2917"/>
      <c r="J2891" s="1654" t="str">
        <f t="shared" si="240"/>
        <v>353600_2019_12_</v>
      </c>
      <c r="K2891" s="1142">
        <v>12</v>
      </c>
      <c r="L2891" s="1136"/>
      <c r="M2891" s="1133"/>
      <c r="N2891" s="177"/>
      <c r="O2891" s="332"/>
      <c r="P2891" s="1116"/>
      <c r="Q2891" s="1117"/>
      <c r="R2891" s="1116"/>
      <c r="S2891" s="1103"/>
      <c r="T2891" s="1639"/>
      <c r="U2891" s="177"/>
      <c r="V2891" s="2866"/>
      <c r="W2891" s="1142">
        <v>12</v>
      </c>
      <c r="X2891" s="1142">
        <v>12</v>
      </c>
      <c r="Y2891" s="1142">
        <v>12</v>
      </c>
      <c r="Z2891" s="1142"/>
      <c r="AA2891" s="1142"/>
      <c r="AB2891" s="1142"/>
      <c r="AC2891" s="1142"/>
      <c r="AD2891" s="1142"/>
      <c r="AE2891" s="1142"/>
      <c r="AF2891" s="1142"/>
      <c r="AG2891" s="1142"/>
      <c r="BB2891" s="784"/>
      <c r="BC2891" s="785"/>
      <c r="BD2891" s="900"/>
      <c r="BE2891" s="797"/>
    </row>
    <row r="2892" spans="1:57" s="65" customFormat="1" hidden="1" outlineLevel="1" x14ac:dyDescent="0.25">
      <c r="A2892" s="718"/>
      <c r="B2892" s="785"/>
      <c r="C2892" s="455"/>
      <c r="D2892" s="2806"/>
      <c r="E2892" s="2856"/>
      <c r="F2892" s="2917" t="str">
        <f>E1500</f>
        <v>ASHP - SEER 21 - replace electric furnace / CAC SF</v>
      </c>
      <c r="G2892" s="2917"/>
      <c r="H2892" s="2917"/>
      <c r="I2892" s="2917"/>
      <c r="J2892" s="1654" t="str">
        <f>C1500</f>
        <v>353650_2019_12_</v>
      </c>
      <c r="K2892" s="1142">
        <v>18</v>
      </c>
      <c r="L2892" s="1136"/>
      <c r="M2892" s="1133"/>
      <c r="N2892" s="177"/>
      <c r="O2892" s="332"/>
      <c r="P2892" s="1116"/>
      <c r="Q2892" s="1117"/>
      <c r="R2892" s="1116"/>
      <c r="S2892" s="1103"/>
      <c r="T2892" s="1639"/>
      <c r="U2892" s="177"/>
      <c r="V2892" s="2866"/>
      <c r="W2892" s="1142">
        <v>18</v>
      </c>
      <c r="X2892" s="1142">
        <v>18</v>
      </c>
      <c r="Y2892" s="1142">
        <v>18</v>
      </c>
      <c r="Z2892" s="1142"/>
      <c r="AA2892" s="1142"/>
      <c r="AB2892" s="1142"/>
      <c r="AC2892" s="1142"/>
      <c r="AD2892" s="1142"/>
      <c r="AE2892" s="1142"/>
      <c r="AF2892" s="1142"/>
      <c r="AG2892" s="1142"/>
      <c r="BB2892" s="784"/>
      <c r="BC2892" s="785"/>
      <c r="BD2892" s="900"/>
      <c r="BE2892" s="797"/>
    </row>
    <row r="2893" spans="1:57" s="65" customFormat="1" hidden="1" outlineLevel="1" x14ac:dyDescent="0.25">
      <c r="A2893" s="718"/>
      <c r="B2893" s="785"/>
      <c r="C2893" s="455"/>
      <c r="D2893" s="2806"/>
      <c r="E2893" s="2856"/>
      <c r="F2893" s="2917" t="str">
        <f>E1501</f>
        <v>ASHP - SEER 21 - replace electric furnace / CAC SF</v>
      </c>
      <c r="G2893" s="2917"/>
      <c r="H2893" s="2917"/>
      <c r="I2893" s="2917"/>
      <c r="J2893" s="1654" t="str">
        <f>C1501</f>
        <v>353650_2019_12_</v>
      </c>
      <c r="K2893" s="1142">
        <v>18</v>
      </c>
      <c r="L2893" s="1136"/>
      <c r="M2893" s="1133"/>
      <c r="N2893" s="177"/>
      <c r="O2893" s="332"/>
      <c r="P2893" s="1116"/>
      <c r="Q2893" s="1117"/>
      <c r="R2893" s="1116"/>
      <c r="S2893" s="1103"/>
      <c r="T2893" s="1639"/>
      <c r="U2893" s="177"/>
      <c r="V2893" s="2866"/>
      <c r="W2893" s="1142">
        <v>18</v>
      </c>
      <c r="X2893" s="1142">
        <v>18</v>
      </c>
      <c r="Y2893" s="1142">
        <v>18</v>
      </c>
      <c r="Z2893" s="1142"/>
      <c r="AA2893" s="1142"/>
      <c r="AB2893" s="1142"/>
      <c r="AC2893" s="1142"/>
      <c r="AD2893" s="1142"/>
      <c r="AE2893" s="1142"/>
      <c r="AF2893" s="1142"/>
      <c r="AG2893" s="1142"/>
      <c r="BB2893" s="784"/>
      <c r="BC2893" s="785"/>
      <c r="BD2893" s="900"/>
      <c r="BE2893" s="797"/>
    </row>
    <row r="2894" spans="1:57" s="65" customFormat="1" hidden="1" outlineLevel="1" x14ac:dyDescent="0.25">
      <c r="A2894" s="718"/>
      <c r="B2894" s="785"/>
      <c r="C2894" s="455"/>
      <c r="D2894" s="2806"/>
      <c r="E2894" s="2856"/>
      <c r="F2894" s="2917" t="str">
        <f>E1502</f>
        <v>ASHP-  SEER 21+ replace at Fail Elec Resist Furnace MF</v>
      </c>
      <c r="G2894" s="2917"/>
      <c r="H2894" s="2917"/>
      <c r="I2894" s="2917"/>
      <c r="J2894" s="1654" t="str">
        <f>C1502</f>
        <v>353700_2019_12_</v>
      </c>
      <c r="K2894" s="1142">
        <v>18</v>
      </c>
      <c r="L2894" s="1136"/>
      <c r="M2894" s="1133"/>
      <c r="N2894" s="177"/>
      <c r="O2894" s="332"/>
      <c r="P2894" s="1116"/>
      <c r="Q2894" s="1117"/>
      <c r="R2894" s="1116"/>
      <c r="S2894" s="1103"/>
      <c r="T2894" s="1639"/>
      <c r="U2894" s="177"/>
      <c r="V2894" s="2866"/>
      <c r="W2894" s="1142">
        <v>18</v>
      </c>
      <c r="X2894" s="1142">
        <v>18</v>
      </c>
      <c r="Y2894" s="1142">
        <v>18</v>
      </c>
      <c r="Z2894" s="1142"/>
      <c r="AA2894" s="1142"/>
      <c r="AB2894" s="1142"/>
      <c r="AC2894" s="1142"/>
      <c r="AD2894" s="1142"/>
      <c r="AE2894" s="1142"/>
      <c r="AF2894" s="1142"/>
      <c r="AG2894" s="1142"/>
      <c r="BB2894" s="784"/>
      <c r="BC2894" s="785"/>
      <c r="BD2894" s="900"/>
      <c r="BE2894" s="797"/>
    </row>
    <row r="2895" spans="1:57" s="65" customFormat="1" hidden="1" outlineLevel="1" x14ac:dyDescent="0.25">
      <c r="A2895" s="718"/>
      <c r="B2895" s="785"/>
      <c r="C2895" s="455"/>
      <c r="D2895" s="2806"/>
      <c r="E2895" s="2856"/>
      <c r="F2895" s="2917" t="str">
        <f>E1503</f>
        <v>ASHP-  SEER 21+ replace at Fail Elec Resist Furnace MF</v>
      </c>
      <c r="G2895" s="2917"/>
      <c r="H2895" s="2917"/>
      <c r="I2895" s="2917"/>
      <c r="J2895" s="1654" t="str">
        <f>C1503</f>
        <v>353700_2019_12_</v>
      </c>
      <c r="K2895" s="1142">
        <v>18</v>
      </c>
      <c r="L2895" s="1136"/>
      <c r="M2895" s="1133"/>
      <c r="N2895" s="177"/>
      <c r="O2895" s="332"/>
      <c r="P2895" s="1116"/>
      <c r="Q2895" s="1117"/>
      <c r="R2895" s="1116"/>
      <c r="S2895" s="1103"/>
      <c r="T2895" s="1639"/>
      <c r="U2895" s="177"/>
      <c r="V2895" s="2866"/>
      <c r="W2895" s="1142">
        <v>18</v>
      </c>
      <c r="X2895" s="1142">
        <v>18</v>
      </c>
      <c r="Y2895" s="1142">
        <v>18</v>
      </c>
      <c r="Z2895" s="1142"/>
      <c r="AA2895" s="1142"/>
      <c r="AB2895" s="1142"/>
      <c r="AC2895" s="1142"/>
      <c r="AD2895" s="1142"/>
      <c r="AE2895" s="1142"/>
      <c r="AF2895" s="1142"/>
      <c r="AG2895" s="1142"/>
      <c r="BB2895" s="784"/>
      <c r="BC2895" s="785"/>
      <c r="BD2895" s="900"/>
      <c r="BE2895" s="797"/>
    </row>
    <row r="2896" spans="1:57" s="65" customFormat="1" hidden="1" outlineLevel="1" x14ac:dyDescent="0.25">
      <c r="A2896" s="718"/>
      <c r="B2896" s="785"/>
      <c r="C2896" s="455"/>
      <c r="D2896" s="2806"/>
      <c r="E2896" s="2856"/>
      <c r="F2896" s="2917" t="str">
        <f t="shared" ref="F2896:F2921" si="241">E1506</f>
        <v>ASHP SEER 17 replace ASHP - early replacement SF ER1</v>
      </c>
      <c r="G2896" s="2917"/>
      <c r="H2896" s="2917"/>
      <c r="I2896" s="2917"/>
      <c r="J2896" s="1654" t="str">
        <f t="shared" ref="J2896:J2921" si="242">C1506</f>
        <v>353750_2019_12_</v>
      </c>
      <c r="K2896" s="1142">
        <v>6</v>
      </c>
      <c r="L2896" s="1136"/>
      <c r="M2896" s="1133"/>
      <c r="N2896" s="177"/>
      <c r="O2896" s="332"/>
      <c r="P2896" s="1116"/>
      <c r="Q2896" s="1117"/>
      <c r="R2896" s="1116"/>
      <c r="S2896" s="1103"/>
      <c r="T2896" s="1639"/>
      <c r="U2896" s="177"/>
      <c r="V2896" s="2866"/>
      <c r="W2896" s="1142">
        <v>6</v>
      </c>
      <c r="X2896" s="1142">
        <v>6</v>
      </c>
      <c r="Y2896" s="1142">
        <v>6</v>
      </c>
      <c r="Z2896" s="1142"/>
      <c r="AA2896" s="1142"/>
      <c r="AB2896" s="1142"/>
      <c r="AC2896" s="1142"/>
      <c r="AD2896" s="1142"/>
      <c r="AE2896" s="1142"/>
      <c r="AF2896" s="1142"/>
      <c r="AG2896" s="1142"/>
      <c r="BB2896" s="784"/>
      <c r="BC2896" s="785"/>
      <c r="BD2896" s="900"/>
      <c r="BE2896" s="797"/>
    </row>
    <row r="2897" spans="1:57" s="65" customFormat="1" ht="15" hidden="1" customHeight="1" outlineLevel="1" x14ac:dyDescent="0.25">
      <c r="A2897" s="718"/>
      <c r="B2897" s="785"/>
      <c r="C2897" s="455"/>
      <c r="D2897" s="2806"/>
      <c r="E2897" s="2856"/>
      <c r="F2897" s="2917" t="str">
        <f t="shared" si="241"/>
        <v>ASHP SEER 17 replace ASHP - early replacement SF ER1</v>
      </c>
      <c r="G2897" s="2917"/>
      <c r="H2897" s="2917"/>
      <c r="I2897" s="2917"/>
      <c r="J2897" s="1654" t="str">
        <f t="shared" si="242"/>
        <v>353750_2019_12_</v>
      </c>
      <c r="K2897" s="1142">
        <v>6</v>
      </c>
      <c r="L2897" s="1124"/>
      <c r="M2897" s="928"/>
      <c r="N2897" s="177"/>
      <c r="O2897" s="332"/>
      <c r="P2897" s="1116"/>
      <c r="Q2897" s="1117"/>
      <c r="R2897" s="1116"/>
      <c r="S2897" s="1103"/>
      <c r="T2897" s="1639"/>
      <c r="U2897" s="177"/>
      <c r="V2897" s="2866"/>
      <c r="W2897" s="1142">
        <v>6</v>
      </c>
      <c r="X2897" s="1142">
        <v>6</v>
      </c>
      <c r="Y2897" s="1142">
        <v>6</v>
      </c>
      <c r="Z2897" s="1142"/>
      <c r="AA2897" s="1142"/>
      <c r="AB2897" s="1142"/>
      <c r="AC2897" s="1142"/>
      <c r="AD2897" s="1142"/>
      <c r="AE2897" s="1142"/>
      <c r="AF2897" s="1142"/>
      <c r="AG2897" s="1142"/>
      <c r="BB2897" s="784"/>
      <c r="BC2897" s="785"/>
      <c r="BD2897" s="900"/>
      <c r="BE2897" s="797"/>
    </row>
    <row r="2898" spans="1:57" s="65" customFormat="1" ht="15" hidden="1" customHeight="1" outlineLevel="1" x14ac:dyDescent="0.25">
      <c r="A2898" s="718"/>
      <c r="B2898" s="785"/>
      <c r="C2898" s="455"/>
      <c r="D2898" s="2806"/>
      <c r="E2898" s="2856"/>
      <c r="F2898" s="2917" t="str">
        <f t="shared" si="241"/>
        <v>ASHP SEER 17 replace ASHP - early replacement SF ER2</v>
      </c>
      <c r="G2898" s="2917"/>
      <c r="H2898" s="2917"/>
      <c r="I2898" s="2917"/>
      <c r="J2898" s="1654" t="str">
        <f t="shared" si="242"/>
        <v>353750_2019_12_</v>
      </c>
      <c r="K2898" s="1142">
        <v>12</v>
      </c>
      <c r="L2898" s="1124"/>
      <c r="M2898" s="928"/>
      <c r="N2898" s="177"/>
      <c r="O2898" s="332"/>
      <c r="P2898" s="1116"/>
      <c r="Q2898" s="1117"/>
      <c r="R2898" s="1116"/>
      <c r="S2898" s="1103"/>
      <c r="T2898" s="1639"/>
      <c r="U2898" s="177"/>
      <c r="V2898" s="2866"/>
      <c r="W2898" s="1142">
        <v>12</v>
      </c>
      <c r="X2898" s="1142">
        <v>12</v>
      </c>
      <c r="Y2898" s="1142">
        <v>12</v>
      </c>
      <c r="Z2898" s="1142"/>
      <c r="AA2898" s="1142"/>
      <c r="AB2898" s="1142"/>
      <c r="AC2898" s="1142"/>
      <c r="AD2898" s="1142"/>
      <c r="AE2898" s="1142"/>
      <c r="AF2898" s="1142"/>
      <c r="AG2898" s="1142"/>
      <c r="BB2898" s="784"/>
      <c r="BC2898" s="785"/>
      <c r="BD2898" s="900"/>
      <c r="BE2898" s="797"/>
    </row>
    <row r="2899" spans="1:57" s="65" customFormat="1" ht="15" hidden="1" customHeight="1" outlineLevel="1" x14ac:dyDescent="0.25">
      <c r="A2899" s="718"/>
      <c r="B2899" s="785"/>
      <c r="C2899" s="455"/>
      <c r="D2899" s="2806"/>
      <c r="E2899" s="2856"/>
      <c r="F2899" s="2917" t="str">
        <f t="shared" si="241"/>
        <v>ASHP SEER 17 replace ASHP - early replacement SF ER2</v>
      </c>
      <c r="G2899" s="2917"/>
      <c r="H2899" s="2917"/>
      <c r="I2899" s="2917"/>
      <c r="J2899" s="1654" t="str">
        <f t="shared" si="242"/>
        <v>353750_2019_12_</v>
      </c>
      <c r="K2899" s="1142">
        <v>12</v>
      </c>
      <c r="L2899" s="1124"/>
      <c r="M2899" s="928"/>
      <c r="N2899" s="177"/>
      <c r="O2899" s="332"/>
      <c r="P2899" s="1116"/>
      <c r="Q2899" s="1117"/>
      <c r="R2899" s="1116"/>
      <c r="S2899" s="1103"/>
      <c r="T2899" s="1639"/>
      <c r="U2899" s="177"/>
      <c r="V2899" s="2866"/>
      <c r="W2899" s="1142">
        <v>12</v>
      </c>
      <c r="X2899" s="1142">
        <v>12</v>
      </c>
      <c r="Y2899" s="1142">
        <v>12</v>
      </c>
      <c r="Z2899" s="1142"/>
      <c r="AA2899" s="1142"/>
      <c r="AB2899" s="1142"/>
      <c r="AC2899" s="1142"/>
      <c r="AD2899" s="1142"/>
      <c r="AE2899" s="1142"/>
      <c r="AF2899" s="1142"/>
      <c r="AG2899" s="1142"/>
      <c r="BB2899" s="784"/>
      <c r="BC2899" s="785"/>
      <c r="BD2899" s="900"/>
      <c r="BE2899" s="797"/>
    </row>
    <row r="2900" spans="1:57" s="65" customFormat="1" ht="15" hidden="1" customHeight="1" outlineLevel="1" x14ac:dyDescent="0.25">
      <c r="A2900" s="718"/>
      <c r="B2900" s="785"/>
      <c r="C2900" s="455"/>
      <c r="D2900" s="2806"/>
      <c r="E2900" s="2856"/>
      <c r="F2900" s="2917" t="str">
        <f t="shared" si="241"/>
        <v>ASHP SEER 17 replace ASHP - replace on fail SF</v>
      </c>
      <c r="G2900" s="2917"/>
      <c r="H2900" s="2917"/>
      <c r="I2900" s="2917"/>
      <c r="J2900" s="1654" t="str">
        <f t="shared" si="242"/>
        <v>353800_2019_12_</v>
      </c>
      <c r="K2900" s="1142">
        <v>18</v>
      </c>
      <c r="L2900" s="1136"/>
      <c r="M2900" s="928"/>
      <c r="N2900" s="177"/>
      <c r="O2900" s="332"/>
      <c r="P2900" s="1116"/>
      <c r="Q2900" s="1117"/>
      <c r="R2900" s="1116"/>
      <c r="S2900" s="1103"/>
      <c r="T2900" s="1639"/>
      <c r="U2900" s="177"/>
      <c r="V2900" s="2866"/>
      <c r="W2900" s="1142">
        <v>18</v>
      </c>
      <c r="X2900" s="1142">
        <v>18</v>
      </c>
      <c r="Y2900" s="1142">
        <v>18</v>
      </c>
      <c r="Z2900" s="1142"/>
      <c r="AA2900" s="1142"/>
      <c r="AB2900" s="1142"/>
      <c r="AC2900" s="1142"/>
      <c r="AD2900" s="1142"/>
      <c r="AE2900" s="1142"/>
      <c r="AF2900" s="1142"/>
      <c r="AG2900" s="1142"/>
      <c r="BB2900" s="784"/>
      <c r="BC2900" s="785"/>
      <c r="BD2900" s="900"/>
      <c r="BE2900" s="797"/>
    </row>
    <row r="2901" spans="1:57" s="65" customFormat="1" ht="15" hidden="1" customHeight="1" outlineLevel="1" x14ac:dyDescent="0.25">
      <c r="A2901" s="718"/>
      <c r="B2901" s="785"/>
      <c r="C2901" s="455"/>
      <c r="D2901" s="2806"/>
      <c r="E2901" s="2856"/>
      <c r="F2901" s="2917" t="str">
        <f t="shared" si="241"/>
        <v>ASHP SEER 17 replace ASHP - replace on fail SF</v>
      </c>
      <c r="G2901" s="2917"/>
      <c r="H2901" s="2917"/>
      <c r="I2901" s="2917"/>
      <c r="J2901" s="1654" t="str">
        <f t="shared" si="242"/>
        <v>353800_2019_12_</v>
      </c>
      <c r="K2901" s="1142">
        <v>18</v>
      </c>
      <c r="L2901" s="1123"/>
      <c r="M2901" s="1133"/>
      <c r="N2901" s="177"/>
      <c r="O2901" s="332"/>
      <c r="P2901" s="1116"/>
      <c r="Q2901" s="1116"/>
      <c r="R2901" s="1116"/>
      <c r="S2901" s="1103"/>
      <c r="T2901" s="1639"/>
      <c r="U2901" s="177"/>
      <c r="V2901" s="2866"/>
      <c r="W2901" s="1142">
        <v>18</v>
      </c>
      <c r="X2901" s="1142">
        <v>18</v>
      </c>
      <c r="Y2901" s="1142">
        <v>18</v>
      </c>
      <c r="Z2901" s="1142"/>
      <c r="AA2901" s="1142"/>
      <c r="AB2901" s="1142"/>
      <c r="AC2901" s="1142"/>
      <c r="AD2901" s="1142"/>
      <c r="AE2901" s="1142"/>
      <c r="AF2901" s="1142"/>
      <c r="AG2901" s="1142"/>
      <c r="BB2901" s="784"/>
      <c r="BC2901" s="785"/>
      <c r="BD2901" s="900"/>
      <c r="BE2901" s="797"/>
    </row>
    <row r="2902" spans="1:57" s="65" customFormat="1" ht="15" hidden="1" customHeight="1" outlineLevel="1" x14ac:dyDescent="0.25">
      <c r="A2902" s="718"/>
      <c r="B2902" s="785"/>
      <c r="C2902" s="455"/>
      <c r="D2902" s="2806"/>
      <c r="E2902" s="2856"/>
      <c r="F2902" s="2917" t="str">
        <f t="shared" si="241"/>
        <v>ASHP SEER 18 replace ASHP - early replacement SF ER1</v>
      </c>
      <c r="G2902" s="2917"/>
      <c r="H2902" s="2917"/>
      <c r="I2902" s="2917"/>
      <c r="J2902" s="1654" t="str">
        <f t="shared" si="242"/>
        <v>353850_2019_12_</v>
      </c>
      <c r="K2902" s="1142">
        <v>6</v>
      </c>
      <c r="L2902" s="1123"/>
      <c r="M2902" s="1133"/>
      <c r="N2902" s="177"/>
      <c r="O2902" s="332"/>
      <c r="P2902" s="1116"/>
      <c r="Q2902" s="1116"/>
      <c r="R2902" s="1116"/>
      <c r="S2902" s="1103"/>
      <c r="T2902" s="1639"/>
      <c r="U2902" s="177"/>
      <c r="V2902" s="2866"/>
      <c r="W2902" s="1142">
        <v>6</v>
      </c>
      <c r="X2902" s="1142">
        <v>6</v>
      </c>
      <c r="Y2902" s="1142">
        <v>6</v>
      </c>
      <c r="Z2902" s="1142"/>
      <c r="AA2902" s="1142"/>
      <c r="AB2902" s="1142"/>
      <c r="AC2902" s="1142"/>
      <c r="AD2902" s="1142"/>
      <c r="AE2902" s="1142"/>
      <c r="AF2902" s="1142"/>
      <c r="AG2902" s="1142"/>
      <c r="BB2902" s="784"/>
      <c r="BC2902" s="785"/>
      <c r="BD2902" s="900"/>
      <c r="BE2902" s="797"/>
    </row>
    <row r="2903" spans="1:57" s="65" customFormat="1" ht="15" hidden="1" customHeight="1" outlineLevel="1" x14ac:dyDescent="0.25">
      <c r="A2903" s="718"/>
      <c r="B2903" s="785"/>
      <c r="C2903" s="455"/>
      <c r="D2903" s="2806"/>
      <c r="E2903" s="2856"/>
      <c r="F2903" s="2917" t="str">
        <f t="shared" si="241"/>
        <v>ASHP SEER 18 replace ASHP - early replacement SF ER1</v>
      </c>
      <c r="G2903" s="2917"/>
      <c r="H2903" s="2917"/>
      <c r="I2903" s="2917"/>
      <c r="J2903" s="1654" t="str">
        <f t="shared" si="242"/>
        <v>353850_2019_12_</v>
      </c>
      <c r="K2903" s="1142">
        <v>6</v>
      </c>
      <c r="L2903" s="1123"/>
      <c r="M2903" s="1133"/>
      <c r="N2903" s="177"/>
      <c r="O2903" s="332"/>
      <c r="P2903" s="1116"/>
      <c r="Q2903" s="1116"/>
      <c r="R2903" s="1116"/>
      <c r="S2903" s="1103"/>
      <c r="T2903" s="1639"/>
      <c r="U2903" s="177"/>
      <c r="V2903" s="2866"/>
      <c r="W2903" s="1142">
        <v>6</v>
      </c>
      <c r="X2903" s="1142">
        <v>6</v>
      </c>
      <c r="Y2903" s="1142">
        <v>6</v>
      </c>
      <c r="Z2903" s="1142"/>
      <c r="AA2903" s="1142"/>
      <c r="AB2903" s="1142"/>
      <c r="AC2903" s="1142"/>
      <c r="AD2903" s="1142"/>
      <c r="AE2903" s="1142"/>
      <c r="AF2903" s="1142"/>
      <c r="AG2903" s="1142"/>
      <c r="BB2903" s="784"/>
      <c r="BC2903" s="785"/>
      <c r="BD2903" s="900"/>
      <c r="BE2903" s="797"/>
    </row>
    <row r="2904" spans="1:57" s="65" customFormat="1" ht="15" hidden="1" customHeight="1" outlineLevel="1" x14ac:dyDescent="0.25">
      <c r="A2904" s="718"/>
      <c r="B2904" s="785"/>
      <c r="C2904" s="455"/>
      <c r="D2904" s="2806"/>
      <c r="E2904" s="2856"/>
      <c r="F2904" s="2917" t="str">
        <f t="shared" si="241"/>
        <v>ASHP SEER 18 replace ASHP - early replacement SF ER2</v>
      </c>
      <c r="G2904" s="2917"/>
      <c r="H2904" s="2917"/>
      <c r="I2904" s="2917"/>
      <c r="J2904" s="1654" t="str">
        <f t="shared" si="242"/>
        <v>353850_2019_12_</v>
      </c>
      <c r="K2904" s="1142">
        <v>12</v>
      </c>
      <c r="L2904" s="1123"/>
      <c r="M2904" s="1133"/>
      <c r="N2904" s="177"/>
      <c r="O2904" s="332"/>
      <c r="P2904" s="1116"/>
      <c r="Q2904" s="1116"/>
      <c r="R2904" s="1116"/>
      <c r="S2904" s="1103"/>
      <c r="T2904" s="1639"/>
      <c r="U2904" s="177"/>
      <c r="V2904" s="2866"/>
      <c r="W2904" s="1142">
        <v>12</v>
      </c>
      <c r="X2904" s="1142">
        <v>12</v>
      </c>
      <c r="Y2904" s="1142">
        <v>12</v>
      </c>
      <c r="Z2904" s="1142"/>
      <c r="AA2904" s="1142"/>
      <c r="AB2904" s="1142"/>
      <c r="AC2904" s="1142"/>
      <c r="AD2904" s="1142"/>
      <c r="AE2904" s="1142"/>
      <c r="AF2904" s="1142"/>
      <c r="AG2904" s="1142"/>
      <c r="BB2904" s="784"/>
      <c r="BC2904" s="785"/>
      <c r="BD2904" s="900"/>
      <c r="BE2904" s="797"/>
    </row>
    <row r="2905" spans="1:57" s="65" customFormat="1" ht="15" hidden="1" customHeight="1" outlineLevel="1" x14ac:dyDescent="0.25">
      <c r="A2905" s="718"/>
      <c r="B2905" s="785"/>
      <c r="C2905" s="455"/>
      <c r="D2905" s="2806"/>
      <c r="E2905" s="2856"/>
      <c r="F2905" s="2917" t="str">
        <f t="shared" si="241"/>
        <v>ASHP SEER 18 replace ASHP - early replacement SF ER2</v>
      </c>
      <c r="G2905" s="2917"/>
      <c r="H2905" s="2917"/>
      <c r="I2905" s="2917"/>
      <c r="J2905" s="1654" t="str">
        <f t="shared" si="242"/>
        <v>353850_2019_12_</v>
      </c>
      <c r="K2905" s="1142">
        <v>12</v>
      </c>
      <c r="L2905" s="1123"/>
      <c r="M2905" s="1133"/>
      <c r="N2905" s="177"/>
      <c r="O2905" s="332"/>
      <c r="P2905" s="1116"/>
      <c r="Q2905" s="1116"/>
      <c r="R2905" s="1116"/>
      <c r="S2905" s="1103"/>
      <c r="T2905" s="1639"/>
      <c r="U2905" s="177"/>
      <c r="V2905" s="2866"/>
      <c r="W2905" s="1142">
        <v>12</v>
      </c>
      <c r="X2905" s="1142">
        <v>12</v>
      </c>
      <c r="Y2905" s="1142">
        <v>12</v>
      </c>
      <c r="Z2905" s="1142"/>
      <c r="AA2905" s="1142"/>
      <c r="AB2905" s="1142"/>
      <c r="AC2905" s="1142"/>
      <c r="AD2905" s="1142"/>
      <c r="AE2905" s="1142"/>
      <c r="AF2905" s="1142"/>
      <c r="AG2905" s="1142"/>
      <c r="BB2905" s="784"/>
      <c r="BC2905" s="785"/>
      <c r="BD2905" s="900"/>
      <c r="BE2905" s="797"/>
    </row>
    <row r="2906" spans="1:57" s="65" customFormat="1" ht="15" hidden="1" customHeight="1" outlineLevel="1" x14ac:dyDescent="0.25">
      <c r="A2906" s="718"/>
      <c r="B2906" s="785"/>
      <c r="C2906" s="455"/>
      <c r="D2906" s="2806"/>
      <c r="E2906" s="2856"/>
      <c r="F2906" s="2917" t="str">
        <f t="shared" si="241"/>
        <v>ASHP - SEER 18 - replace on fail SF</v>
      </c>
      <c r="G2906" s="2917"/>
      <c r="H2906" s="2917"/>
      <c r="I2906" s="2917"/>
      <c r="J2906" s="1654" t="str">
        <f t="shared" si="242"/>
        <v>353950_2019_12_</v>
      </c>
      <c r="K2906" s="1142">
        <v>18</v>
      </c>
      <c r="L2906" s="1123"/>
      <c r="M2906" s="1133"/>
      <c r="N2906" s="177"/>
      <c r="O2906" s="332"/>
      <c r="P2906" s="1116"/>
      <c r="Q2906" s="1116"/>
      <c r="R2906" s="1116"/>
      <c r="S2906" s="1103"/>
      <c r="T2906" s="1639"/>
      <c r="U2906" s="177"/>
      <c r="V2906" s="2866"/>
      <c r="W2906" s="1142">
        <v>18</v>
      </c>
      <c r="X2906" s="1142">
        <v>18</v>
      </c>
      <c r="Y2906" s="1142">
        <v>18</v>
      </c>
      <c r="Z2906" s="1142"/>
      <c r="AA2906" s="1142"/>
      <c r="AB2906" s="1142"/>
      <c r="AC2906" s="1142"/>
      <c r="AD2906" s="1142"/>
      <c r="AE2906" s="1142"/>
      <c r="AF2906" s="1142"/>
      <c r="AG2906" s="1142"/>
      <c r="BB2906" s="784"/>
      <c r="BC2906" s="785"/>
      <c r="BD2906" s="900"/>
      <c r="BE2906" s="797"/>
    </row>
    <row r="2907" spans="1:57" s="65" customFormat="1" ht="15" hidden="1" customHeight="1" outlineLevel="1" x14ac:dyDescent="0.25">
      <c r="A2907" s="718"/>
      <c r="B2907" s="785"/>
      <c r="C2907" s="455"/>
      <c r="D2907" s="2806"/>
      <c r="E2907" s="2856"/>
      <c r="F2907" s="2917" t="str">
        <f t="shared" si="241"/>
        <v>ASHP - SEER 18 - replace on fail SF</v>
      </c>
      <c r="G2907" s="2917"/>
      <c r="H2907" s="2917"/>
      <c r="I2907" s="2917"/>
      <c r="J2907" s="1654" t="str">
        <f t="shared" si="242"/>
        <v>353950_2019_12_</v>
      </c>
      <c r="K2907" s="1142">
        <v>18</v>
      </c>
      <c r="L2907" s="1124"/>
      <c r="M2907" s="1133"/>
      <c r="N2907" s="177"/>
      <c r="O2907" s="332"/>
      <c r="P2907" s="1116"/>
      <c r="Q2907" s="1116"/>
      <c r="R2907" s="1116"/>
      <c r="S2907" s="1103"/>
      <c r="T2907" s="1639"/>
      <c r="U2907" s="177"/>
      <c r="V2907" s="2866"/>
      <c r="W2907" s="1142">
        <v>18</v>
      </c>
      <c r="X2907" s="1142">
        <v>18</v>
      </c>
      <c r="Y2907" s="1142">
        <v>18</v>
      </c>
      <c r="Z2907" s="1142"/>
      <c r="AA2907" s="1142"/>
      <c r="AB2907" s="1142"/>
      <c r="AC2907" s="1142"/>
      <c r="AD2907" s="1142"/>
      <c r="AE2907" s="1142"/>
      <c r="AF2907" s="1142"/>
      <c r="AG2907" s="1142"/>
      <c r="BB2907" s="784"/>
      <c r="BC2907" s="785"/>
      <c r="BD2907" s="900"/>
      <c r="BE2907" s="797"/>
    </row>
    <row r="2908" spans="1:57" s="65" customFormat="1" ht="15" hidden="1" customHeight="1" outlineLevel="1" x14ac:dyDescent="0.25">
      <c r="A2908" s="718"/>
      <c r="B2908" s="785"/>
      <c r="C2908" s="455"/>
      <c r="D2908" s="2806"/>
      <c r="E2908" s="2856"/>
      <c r="F2908" s="2917" t="str">
        <f t="shared" si="241"/>
        <v>ASHP SEER 19 replace ASHP - early replacement SF ER1</v>
      </c>
      <c r="G2908" s="2917"/>
      <c r="H2908" s="2917"/>
      <c r="I2908" s="2917"/>
      <c r="J2908" s="1654" t="str">
        <f t="shared" si="242"/>
        <v>354000_2019_12_</v>
      </c>
      <c r="K2908" s="1142">
        <v>6</v>
      </c>
      <c r="L2908" s="1124"/>
      <c r="M2908" s="1133"/>
      <c r="N2908" s="177"/>
      <c r="O2908" s="332"/>
      <c r="P2908" s="1116"/>
      <c r="Q2908" s="1116"/>
      <c r="R2908" s="1116"/>
      <c r="S2908" s="1103"/>
      <c r="T2908" s="1639"/>
      <c r="U2908" s="177"/>
      <c r="V2908" s="2866"/>
      <c r="W2908" s="1142">
        <v>6</v>
      </c>
      <c r="X2908" s="1142">
        <v>6</v>
      </c>
      <c r="Y2908" s="1142">
        <v>6</v>
      </c>
      <c r="Z2908" s="1142"/>
      <c r="AA2908" s="1142"/>
      <c r="AB2908" s="1142"/>
      <c r="AC2908" s="1142"/>
      <c r="AD2908" s="1142"/>
      <c r="AE2908" s="1142"/>
      <c r="AF2908" s="1142"/>
      <c r="AG2908" s="1142"/>
      <c r="BB2908" s="784"/>
      <c r="BC2908" s="785"/>
      <c r="BD2908" s="900"/>
      <c r="BE2908" s="797"/>
    </row>
    <row r="2909" spans="1:57" s="65" customFormat="1" ht="15" hidden="1" customHeight="1" outlineLevel="1" x14ac:dyDescent="0.25">
      <c r="A2909" s="718"/>
      <c r="B2909" s="785"/>
      <c r="C2909" s="455"/>
      <c r="D2909" s="2806"/>
      <c r="E2909" s="2856"/>
      <c r="F2909" s="2917" t="str">
        <f t="shared" si="241"/>
        <v>ASHP SEER 19 replace ASHP - early replacement SF ER1</v>
      </c>
      <c r="G2909" s="2917"/>
      <c r="H2909" s="2917"/>
      <c r="I2909" s="2917"/>
      <c r="J2909" s="1654" t="str">
        <f t="shared" si="242"/>
        <v>354000_2019_12_</v>
      </c>
      <c r="K2909" s="1142">
        <v>6</v>
      </c>
      <c r="L2909" s="1124"/>
      <c r="M2909" s="1133"/>
      <c r="N2909" s="177"/>
      <c r="O2909" s="332"/>
      <c r="P2909" s="1116"/>
      <c r="Q2909" s="1116"/>
      <c r="R2909" s="1116"/>
      <c r="S2909" s="1103"/>
      <c r="T2909" s="1639"/>
      <c r="U2909" s="177"/>
      <c r="V2909" s="2866"/>
      <c r="W2909" s="1142">
        <v>6</v>
      </c>
      <c r="X2909" s="1142">
        <v>6</v>
      </c>
      <c r="Y2909" s="1142">
        <v>6</v>
      </c>
      <c r="Z2909" s="1142"/>
      <c r="AA2909" s="1142"/>
      <c r="AB2909" s="1142"/>
      <c r="AC2909" s="1142"/>
      <c r="AD2909" s="1142"/>
      <c r="AE2909" s="1142"/>
      <c r="AF2909" s="1142"/>
      <c r="AG2909" s="1142"/>
      <c r="BB2909" s="784"/>
      <c r="BC2909" s="785"/>
      <c r="BD2909" s="900"/>
      <c r="BE2909" s="797"/>
    </row>
    <row r="2910" spans="1:57" s="65" customFormat="1" ht="15" hidden="1" customHeight="1" outlineLevel="1" x14ac:dyDescent="0.25">
      <c r="A2910" s="718"/>
      <c r="B2910" s="785"/>
      <c r="C2910" s="455"/>
      <c r="D2910" s="2806"/>
      <c r="E2910" s="2856"/>
      <c r="F2910" s="2917" t="str">
        <f t="shared" si="241"/>
        <v>ASHP SEER 19 replace ASHP - early replacement SF ER2</v>
      </c>
      <c r="G2910" s="2917"/>
      <c r="H2910" s="2917"/>
      <c r="I2910" s="2917"/>
      <c r="J2910" s="1654" t="str">
        <f t="shared" si="242"/>
        <v>354000_2019_12_</v>
      </c>
      <c r="K2910" s="1142">
        <v>12</v>
      </c>
      <c r="L2910" s="1124"/>
      <c r="M2910" s="928"/>
      <c r="N2910" s="177"/>
      <c r="O2910" s="332"/>
      <c r="P2910" s="1116"/>
      <c r="Q2910" s="1116"/>
      <c r="R2910" s="1116"/>
      <c r="S2910" s="1103"/>
      <c r="T2910" s="1639"/>
      <c r="U2910" s="177"/>
      <c r="V2910" s="2866"/>
      <c r="W2910" s="1142">
        <v>12</v>
      </c>
      <c r="X2910" s="1142">
        <v>12</v>
      </c>
      <c r="Y2910" s="1142">
        <v>12</v>
      </c>
      <c r="Z2910" s="1142"/>
      <c r="AA2910" s="1142"/>
      <c r="AB2910" s="1142"/>
      <c r="AC2910" s="1142"/>
      <c r="AD2910" s="1142"/>
      <c r="AE2910" s="1142"/>
      <c r="AF2910" s="1142"/>
      <c r="AG2910" s="1142"/>
      <c r="BB2910" s="784"/>
      <c r="BC2910" s="785"/>
      <c r="BD2910" s="900"/>
      <c r="BE2910" s="797"/>
    </row>
    <row r="2911" spans="1:57" s="65" customFormat="1" ht="15" hidden="1" customHeight="1" outlineLevel="1" x14ac:dyDescent="0.25">
      <c r="A2911" s="718"/>
      <c r="B2911" s="785"/>
      <c r="C2911" s="455"/>
      <c r="D2911" s="2806"/>
      <c r="E2911" s="2856"/>
      <c r="F2911" s="2917" t="str">
        <f t="shared" si="241"/>
        <v>ASHP SEER 19 replace ASHP - early replacement SF ER2</v>
      </c>
      <c r="G2911" s="2917"/>
      <c r="H2911" s="2917"/>
      <c r="I2911" s="2917"/>
      <c r="J2911" s="1654" t="str">
        <f t="shared" si="242"/>
        <v>354000_2019_12_</v>
      </c>
      <c r="K2911" s="1142">
        <v>12</v>
      </c>
      <c r="L2911" s="1124"/>
      <c r="M2911" s="928"/>
      <c r="N2911" s="177"/>
      <c r="O2911" s="332"/>
      <c r="P2911" s="1116"/>
      <c r="Q2911" s="1116"/>
      <c r="R2911" s="1116"/>
      <c r="S2911" s="1103"/>
      <c r="T2911" s="1639"/>
      <c r="U2911" s="177"/>
      <c r="V2911" s="2866"/>
      <c r="W2911" s="1142">
        <v>12</v>
      </c>
      <c r="X2911" s="1142">
        <v>12</v>
      </c>
      <c r="Y2911" s="1142">
        <v>12</v>
      </c>
      <c r="Z2911" s="1142"/>
      <c r="AA2911" s="1142"/>
      <c r="AB2911" s="1142"/>
      <c r="AC2911" s="1142"/>
      <c r="AD2911" s="1142"/>
      <c r="AE2911" s="1142"/>
      <c r="AF2911" s="1142"/>
      <c r="AG2911" s="1142"/>
      <c r="BB2911" s="784"/>
      <c r="BC2911" s="785"/>
      <c r="BD2911" s="900"/>
      <c r="BE2911" s="797"/>
    </row>
    <row r="2912" spans="1:57" s="65" customFormat="1" ht="15" hidden="1" customHeight="1" outlineLevel="1" x14ac:dyDescent="0.25">
      <c r="A2912" s="718"/>
      <c r="B2912" s="785"/>
      <c r="C2912" s="455"/>
      <c r="D2912" s="2806"/>
      <c r="E2912" s="2856"/>
      <c r="F2912" s="2917" t="str">
        <f t="shared" si="241"/>
        <v>ASHP SEER 19 replace ASHP - replace on fail SF</v>
      </c>
      <c r="G2912" s="2917"/>
      <c r="H2912" s="2917"/>
      <c r="I2912" s="2917"/>
      <c r="J2912" s="1654" t="str">
        <f t="shared" si="242"/>
        <v>354050_2019_12_</v>
      </c>
      <c r="K2912" s="1142">
        <v>18</v>
      </c>
      <c r="L2912" s="1124"/>
      <c r="M2912" s="928"/>
      <c r="N2912" s="177"/>
      <c r="O2912" s="332"/>
      <c r="P2912" s="1116"/>
      <c r="Q2912" s="1116"/>
      <c r="R2912" s="1116"/>
      <c r="S2912" s="1103"/>
      <c r="T2912" s="1639"/>
      <c r="U2912" s="177"/>
      <c r="V2912" s="2866"/>
      <c r="W2912" s="1142">
        <v>18</v>
      </c>
      <c r="X2912" s="1142">
        <v>18</v>
      </c>
      <c r="Y2912" s="1142">
        <v>18</v>
      </c>
      <c r="Z2912" s="1142"/>
      <c r="AA2912" s="1142"/>
      <c r="AB2912" s="1142"/>
      <c r="AC2912" s="1142"/>
      <c r="AD2912" s="1142"/>
      <c r="AE2912" s="1142"/>
      <c r="AF2912" s="1142"/>
      <c r="AG2912" s="1142"/>
      <c r="BB2912" s="784"/>
      <c r="BC2912" s="785"/>
      <c r="BD2912" s="900"/>
      <c r="BE2912" s="797"/>
    </row>
    <row r="2913" spans="1:57" s="65" customFormat="1" ht="15" hidden="1" customHeight="1" outlineLevel="1" x14ac:dyDescent="0.25">
      <c r="A2913" s="718"/>
      <c r="B2913" s="785"/>
      <c r="C2913" s="455"/>
      <c r="D2913" s="2806"/>
      <c r="E2913" s="2856"/>
      <c r="F2913" s="2917" t="str">
        <f t="shared" si="241"/>
        <v>ASHP SEER 19 replace ASHP - replace on fail SF</v>
      </c>
      <c r="G2913" s="2917"/>
      <c r="H2913" s="2917"/>
      <c r="I2913" s="2917"/>
      <c r="J2913" s="1654" t="str">
        <f t="shared" si="242"/>
        <v>354050_2019_12_</v>
      </c>
      <c r="K2913" s="1142">
        <v>18</v>
      </c>
      <c r="L2913" s="1124"/>
      <c r="M2913" s="928"/>
      <c r="N2913" s="177"/>
      <c r="O2913" s="332"/>
      <c r="P2913" s="1116"/>
      <c r="Q2913" s="1116"/>
      <c r="R2913" s="1116"/>
      <c r="S2913" s="1103"/>
      <c r="T2913" s="1639"/>
      <c r="U2913" s="177"/>
      <c r="V2913" s="2866"/>
      <c r="W2913" s="1142">
        <v>18</v>
      </c>
      <c r="X2913" s="1142">
        <v>18</v>
      </c>
      <c r="Y2913" s="1142">
        <v>18</v>
      </c>
      <c r="Z2913" s="1142"/>
      <c r="AA2913" s="1142"/>
      <c r="AB2913" s="1142"/>
      <c r="AC2913" s="1142"/>
      <c r="AD2913" s="1142"/>
      <c r="AE2913" s="1142"/>
      <c r="AF2913" s="1142"/>
      <c r="AG2913" s="1142"/>
      <c r="BB2913" s="784"/>
      <c r="BC2913" s="785"/>
      <c r="BD2913" s="900"/>
      <c r="BE2913" s="797"/>
    </row>
    <row r="2914" spans="1:57" s="65" customFormat="1" ht="15" hidden="1" customHeight="1" outlineLevel="1" x14ac:dyDescent="0.25">
      <c r="A2914" s="718"/>
      <c r="B2914" s="785"/>
      <c r="C2914" s="455"/>
      <c r="D2914" s="2806"/>
      <c r="E2914" s="2856"/>
      <c r="F2914" s="2917" t="str">
        <f t="shared" si="241"/>
        <v>ASHP - SEER 17 - replace electric furnace / CAC - early replacement SF ER1</v>
      </c>
      <c r="G2914" s="2917"/>
      <c r="H2914" s="2917"/>
      <c r="I2914" s="2917"/>
      <c r="J2914" s="1654" t="str">
        <f t="shared" si="242"/>
        <v>354100_2019_12_</v>
      </c>
      <c r="K2914" s="1142">
        <v>6</v>
      </c>
      <c r="L2914" s="1124"/>
      <c r="M2914" s="928"/>
      <c r="N2914" s="177"/>
      <c r="O2914" s="332"/>
      <c r="P2914" s="1116"/>
      <c r="Q2914" s="1116"/>
      <c r="R2914" s="1116"/>
      <c r="S2914" s="1103"/>
      <c r="T2914" s="1639"/>
      <c r="U2914" s="177"/>
      <c r="V2914" s="2866"/>
      <c r="W2914" s="1142">
        <v>6</v>
      </c>
      <c r="X2914" s="1142">
        <v>6</v>
      </c>
      <c r="Y2914" s="1142">
        <v>6</v>
      </c>
      <c r="Z2914" s="1142"/>
      <c r="AA2914" s="1142"/>
      <c r="AB2914" s="1142"/>
      <c r="AC2914" s="1142"/>
      <c r="AD2914" s="1142"/>
      <c r="AE2914" s="1142"/>
      <c r="AF2914" s="1142"/>
      <c r="AG2914" s="1142"/>
      <c r="BB2914" s="784"/>
      <c r="BC2914" s="785"/>
      <c r="BD2914" s="900"/>
      <c r="BE2914" s="797"/>
    </row>
    <row r="2915" spans="1:57" s="65" customFormat="1" ht="15" hidden="1" customHeight="1" outlineLevel="1" x14ac:dyDescent="0.25">
      <c r="A2915" s="718"/>
      <c r="B2915" s="785"/>
      <c r="C2915" s="455"/>
      <c r="D2915" s="2806"/>
      <c r="E2915" s="2856"/>
      <c r="F2915" s="2917" t="str">
        <f t="shared" si="241"/>
        <v>ASHP - SEER 17 - replace electric furnace / CAC - early replacement SF ER1</v>
      </c>
      <c r="G2915" s="2917"/>
      <c r="H2915" s="2917"/>
      <c r="I2915" s="2917"/>
      <c r="J2915" s="1654" t="str">
        <f t="shared" si="242"/>
        <v>354100_2019_12_</v>
      </c>
      <c r="K2915" s="1142">
        <v>6</v>
      </c>
      <c r="L2915" s="1124"/>
      <c r="M2915" s="928"/>
      <c r="N2915" s="177"/>
      <c r="O2915" s="332"/>
      <c r="P2915" s="1116"/>
      <c r="Q2915" s="1116"/>
      <c r="R2915" s="1116"/>
      <c r="S2915" s="1103"/>
      <c r="T2915" s="1639"/>
      <c r="U2915" s="177"/>
      <c r="V2915" s="2866"/>
      <c r="W2915" s="1142">
        <v>6</v>
      </c>
      <c r="X2915" s="1142">
        <v>6</v>
      </c>
      <c r="Y2915" s="1142">
        <v>6</v>
      </c>
      <c r="Z2915" s="1142"/>
      <c r="AA2915" s="1142"/>
      <c r="AB2915" s="1142"/>
      <c r="AC2915" s="1142"/>
      <c r="AD2915" s="1142"/>
      <c r="AE2915" s="1142"/>
      <c r="AF2915" s="1142"/>
      <c r="AG2915" s="1142"/>
      <c r="BB2915" s="784"/>
      <c r="BC2915" s="785"/>
      <c r="BD2915" s="900"/>
      <c r="BE2915" s="797"/>
    </row>
    <row r="2916" spans="1:57" s="65" customFormat="1" ht="15" hidden="1" customHeight="1" outlineLevel="1" x14ac:dyDescent="0.25">
      <c r="A2916" s="718"/>
      <c r="B2916" s="785"/>
      <c r="C2916" s="455"/>
      <c r="D2916" s="2806"/>
      <c r="E2916" s="2856"/>
      <c r="F2916" s="2917" t="str">
        <f t="shared" si="241"/>
        <v>ASHP - SEER 17 - replace electric furnace / CAC - early replacement SF ER2</v>
      </c>
      <c r="G2916" s="2917"/>
      <c r="H2916" s="2917"/>
      <c r="I2916" s="2917"/>
      <c r="J2916" s="1654" t="str">
        <f t="shared" si="242"/>
        <v>354100_2019_12_</v>
      </c>
      <c r="K2916" s="1142">
        <v>12</v>
      </c>
      <c r="L2916" s="1124"/>
      <c r="M2916" s="928"/>
      <c r="N2916" s="177"/>
      <c r="O2916" s="332"/>
      <c r="P2916" s="1116"/>
      <c r="Q2916" s="1116"/>
      <c r="R2916" s="1116"/>
      <c r="S2916" s="1103"/>
      <c r="T2916" s="1639"/>
      <c r="U2916" s="177"/>
      <c r="V2916" s="2866"/>
      <c r="W2916" s="1142">
        <v>12</v>
      </c>
      <c r="X2916" s="1142">
        <v>12</v>
      </c>
      <c r="Y2916" s="1142">
        <v>12</v>
      </c>
      <c r="Z2916" s="1142"/>
      <c r="AA2916" s="1142"/>
      <c r="AB2916" s="1142"/>
      <c r="AC2916" s="1142"/>
      <c r="AD2916" s="1142"/>
      <c r="AE2916" s="1142"/>
      <c r="AF2916" s="1142"/>
      <c r="AG2916" s="1142"/>
      <c r="BB2916" s="784"/>
      <c r="BC2916" s="785"/>
      <c r="BD2916" s="900"/>
      <c r="BE2916" s="797"/>
    </row>
    <row r="2917" spans="1:57" s="65" customFormat="1" ht="15" hidden="1" customHeight="1" outlineLevel="1" x14ac:dyDescent="0.25">
      <c r="A2917" s="718"/>
      <c r="B2917" s="785"/>
      <c r="C2917" s="455"/>
      <c r="D2917" s="2806"/>
      <c r="E2917" s="2856"/>
      <c r="F2917" s="2917" t="str">
        <f t="shared" si="241"/>
        <v>ASHP - SEER 17 - replace electric furnace / CAC - early replacement SF ER2</v>
      </c>
      <c r="G2917" s="2917"/>
      <c r="H2917" s="2917"/>
      <c r="I2917" s="2917"/>
      <c r="J2917" s="1654" t="str">
        <f t="shared" si="242"/>
        <v>354100_2019_12_</v>
      </c>
      <c r="K2917" s="1142">
        <v>12</v>
      </c>
      <c r="L2917" s="1124"/>
      <c r="M2917" s="928"/>
      <c r="N2917" s="177"/>
      <c r="O2917" s="332"/>
      <c r="P2917" s="1116"/>
      <c r="Q2917" s="1116"/>
      <c r="R2917" s="1116"/>
      <c r="S2917" s="1103"/>
      <c r="T2917" s="1639"/>
      <c r="U2917" s="177"/>
      <c r="V2917" s="2866"/>
      <c r="W2917" s="1142">
        <v>12</v>
      </c>
      <c r="X2917" s="1142">
        <v>12</v>
      </c>
      <c r="Y2917" s="1142">
        <v>12</v>
      </c>
      <c r="Z2917" s="1142"/>
      <c r="AA2917" s="1142"/>
      <c r="AB2917" s="1142"/>
      <c r="AC2917" s="1142"/>
      <c r="AD2917" s="1142"/>
      <c r="AE2917" s="1142"/>
      <c r="AF2917" s="1142"/>
      <c r="AG2917" s="1142"/>
      <c r="BB2917" s="784"/>
      <c r="BC2917" s="785"/>
      <c r="BD2917" s="900"/>
      <c r="BE2917" s="797"/>
    </row>
    <row r="2918" spans="1:57" s="65" customFormat="1" ht="15" hidden="1" customHeight="1" outlineLevel="1" x14ac:dyDescent="0.25">
      <c r="A2918" s="718"/>
      <c r="B2918" s="785"/>
      <c r="C2918" s="455"/>
      <c r="D2918" s="2806"/>
      <c r="E2918" s="2856"/>
      <c r="F2918" s="2917" t="str">
        <f t="shared" si="241"/>
        <v>ASHP - SEER 17 - replace electric furnace / CAC - early replacement MF ER1</v>
      </c>
      <c r="G2918" s="2917"/>
      <c r="H2918" s="2917"/>
      <c r="I2918" s="2917"/>
      <c r="J2918" s="1654" t="str">
        <f t="shared" si="242"/>
        <v>354150_2019_12_</v>
      </c>
      <c r="K2918" s="1142">
        <v>6</v>
      </c>
      <c r="L2918" s="1124"/>
      <c r="M2918" s="928"/>
      <c r="N2918" s="177"/>
      <c r="O2918" s="332"/>
      <c r="P2918" s="1116"/>
      <c r="Q2918" s="1116"/>
      <c r="R2918" s="1116"/>
      <c r="S2918" s="1103"/>
      <c r="T2918" s="1639"/>
      <c r="U2918" s="177"/>
      <c r="V2918" s="2866"/>
      <c r="W2918" s="1142">
        <v>6</v>
      </c>
      <c r="X2918" s="1142">
        <v>6</v>
      </c>
      <c r="Y2918" s="1142">
        <v>6</v>
      </c>
      <c r="Z2918" s="1142"/>
      <c r="AA2918" s="1142"/>
      <c r="AB2918" s="1142"/>
      <c r="AC2918" s="1142"/>
      <c r="AD2918" s="1142"/>
      <c r="AE2918" s="1142"/>
      <c r="AF2918" s="1142"/>
      <c r="AG2918" s="1142"/>
      <c r="BB2918" s="784"/>
      <c r="BC2918" s="785"/>
      <c r="BD2918" s="900"/>
      <c r="BE2918" s="797"/>
    </row>
    <row r="2919" spans="1:57" s="65" customFormat="1" ht="15" hidden="1" customHeight="1" outlineLevel="1" x14ac:dyDescent="0.25">
      <c r="A2919" s="718"/>
      <c r="B2919" s="785"/>
      <c r="C2919" s="455"/>
      <c r="D2919" s="2806"/>
      <c r="E2919" s="2856"/>
      <c r="F2919" s="2917" t="str">
        <f t="shared" si="241"/>
        <v>ASHP - SEER 17 - replace electric furnace / CAC - early replacement MF ER1</v>
      </c>
      <c r="G2919" s="2917"/>
      <c r="H2919" s="2917"/>
      <c r="I2919" s="2917"/>
      <c r="J2919" s="1654" t="str">
        <f t="shared" si="242"/>
        <v>354150_2019_12_</v>
      </c>
      <c r="K2919" s="1142">
        <v>6</v>
      </c>
      <c r="L2919" s="1124"/>
      <c r="M2919" s="928"/>
      <c r="N2919" s="177"/>
      <c r="O2919" s="332"/>
      <c r="P2919" s="1116"/>
      <c r="Q2919" s="1116"/>
      <c r="R2919" s="1116"/>
      <c r="S2919" s="1103"/>
      <c r="T2919" s="1639"/>
      <c r="U2919" s="177"/>
      <c r="V2919" s="2866"/>
      <c r="W2919" s="1142">
        <v>6</v>
      </c>
      <c r="X2919" s="1142">
        <v>6</v>
      </c>
      <c r="Y2919" s="1142">
        <v>6</v>
      </c>
      <c r="Z2919" s="1142"/>
      <c r="AA2919" s="1142"/>
      <c r="AB2919" s="1142"/>
      <c r="AC2919" s="1142"/>
      <c r="AD2919" s="1142"/>
      <c r="AE2919" s="1142"/>
      <c r="AF2919" s="1142"/>
      <c r="AG2919" s="1142"/>
      <c r="BB2919" s="784"/>
      <c r="BC2919" s="785"/>
      <c r="BD2919" s="900"/>
      <c r="BE2919" s="797"/>
    </row>
    <row r="2920" spans="1:57" s="65" customFormat="1" ht="15" hidden="1" customHeight="1" outlineLevel="1" x14ac:dyDescent="0.25">
      <c r="A2920" s="718"/>
      <c r="B2920" s="785"/>
      <c r="C2920" s="455"/>
      <c r="D2920" s="2806"/>
      <c r="E2920" s="2856"/>
      <c r="F2920" s="2917" t="str">
        <f t="shared" si="241"/>
        <v>ASHP - SEER 17 - replace electric furnace / CAC - early replacement MF ER2</v>
      </c>
      <c r="G2920" s="2917"/>
      <c r="H2920" s="2917"/>
      <c r="I2920" s="2917"/>
      <c r="J2920" s="1654" t="str">
        <f t="shared" si="242"/>
        <v>354150_2019_12_</v>
      </c>
      <c r="K2920" s="1142">
        <v>12</v>
      </c>
      <c r="L2920" s="1124"/>
      <c r="M2920" s="928"/>
      <c r="N2920" s="177"/>
      <c r="O2920" s="332"/>
      <c r="P2920" s="1116"/>
      <c r="Q2920" s="1116"/>
      <c r="R2920" s="1116"/>
      <c r="S2920" s="1103"/>
      <c r="T2920" s="1639"/>
      <c r="U2920" s="177"/>
      <c r="V2920" s="2866"/>
      <c r="W2920" s="1142">
        <v>12</v>
      </c>
      <c r="X2920" s="1142">
        <v>12</v>
      </c>
      <c r="Y2920" s="1142">
        <v>12</v>
      </c>
      <c r="Z2920" s="1142"/>
      <c r="AA2920" s="1142"/>
      <c r="AB2920" s="1142"/>
      <c r="AC2920" s="1142"/>
      <c r="AD2920" s="1142"/>
      <c r="AE2920" s="1142"/>
      <c r="AF2920" s="1142"/>
      <c r="AG2920" s="1142"/>
      <c r="BB2920" s="784"/>
      <c r="BC2920" s="785"/>
      <c r="BD2920" s="900"/>
      <c r="BE2920" s="797"/>
    </row>
    <row r="2921" spans="1:57" s="65" customFormat="1" ht="15" hidden="1" customHeight="1" outlineLevel="1" x14ac:dyDescent="0.25">
      <c r="A2921" s="718"/>
      <c r="B2921" s="785"/>
      <c r="C2921" s="455"/>
      <c r="D2921" s="2806"/>
      <c r="E2921" s="2856"/>
      <c r="F2921" s="2917" t="str">
        <f t="shared" si="241"/>
        <v>ASHP - SEER 17 - replace electric furnace / CAC - early replacement MF ER2</v>
      </c>
      <c r="G2921" s="2917"/>
      <c r="H2921" s="2917"/>
      <c r="I2921" s="2917"/>
      <c r="J2921" s="1654" t="str">
        <f t="shared" si="242"/>
        <v>354150_2019_12_</v>
      </c>
      <c r="K2921" s="1142">
        <v>12</v>
      </c>
      <c r="L2921" s="1124"/>
      <c r="M2921" s="928"/>
      <c r="N2921" s="177"/>
      <c r="O2921" s="332"/>
      <c r="P2921" s="1116"/>
      <c r="Q2921" s="1116"/>
      <c r="R2921" s="1116"/>
      <c r="S2921" s="1103"/>
      <c r="T2921" s="1639"/>
      <c r="U2921" s="177"/>
      <c r="V2921" s="2866"/>
      <c r="W2921" s="1142">
        <v>12</v>
      </c>
      <c r="X2921" s="1142">
        <v>12</v>
      </c>
      <c r="Y2921" s="1142">
        <v>12</v>
      </c>
      <c r="Z2921" s="1142"/>
      <c r="AA2921" s="1142"/>
      <c r="AB2921" s="1142"/>
      <c r="AC2921" s="1142"/>
      <c r="AD2921" s="1142"/>
      <c r="AE2921" s="1142"/>
      <c r="AF2921" s="1142"/>
      <c r="AG2921" s="1142"/>
      <c r="BB2921" s="784"/>
      <c r="BC2921" s="785"/>
      <c r="BD2921" s="900"/>
      <c r="BE2921" s="797"/>
    </row>
    <row r="2922" spans="1:57" s="65" customFormat="1" ht="15" hidden="1" customHeight="1" outlineLevel="1" x14ac:dyDescent="0.25">
      <c r="A2922" s="718"/>
      <c r="B2922" s="785"/>
      <c r="C2922" s="455"/>
      <c r="D2922" s="2806"/>
      <c r="E2922" s="2856"/>
      <c r="F2922" s="2917" t="str">
        <f>E1536</f>
        <v>ASHP SEER 17 replace ASHP - early replacement MF ER1</v>
      </c>
      <c r="G2922" s="2917"/>
      <c r="H2922" s="2917"/>
      <c r="I2922" s="2917"/>
      <c r="J2922" s="1654" t="str">
        <f>C1536</f>
        <v>354200_2019_12_</v>
      </c>
      <c r="K2922" s="1142">
        <v>6</v>
      </c>
      <c r="L2922" s="1124"/>
      <c r="M2922" s="928"/>
      <c r="N2922" s="177"/>
      <c r="O2922" s="332"/>
      <c r="P2922" s="1116"/>
      <c r="Q2922" s="1116"/>
      <c r="R2922" s="1116"/>
      <c r="S2922" s="1103"/>
      <c r="T2922" s="1639"/>
      <c r="U2922" s="177"/>
      <c r="V2922" s="2866"/>
      <c r="W2922" s="1142">
        <v>6</v>
      </c>
      <c r="X2922" s="1142">
        <v>6</v>
      </c>
      <c r="Y2922" s="1142">
        <v>6</v>
      </c>
      <c r="Z2922" s="1142"/>
      <c r="AA2922" s="1142"/>
      <c r="AB2922" s="1142"/>
      <c r="AC2922" s="1142"/>
      <c r="AD2922" s="1142"/>
      <c r="AE2922" s="1142"/>
      <c r="AF2922" s="1142"/>
      <c r="AG2922" s="1142"/>
      <c r="BB2922" s="784"/>
      <c r="BC2922" s="785"/>
      <c r="BD2922" s="900"/>
      <c r="BE2922" s="797"/>
    </row>
    <row r="2923" spans="1:57" s="65" customFormat="1" ht="15" hidden="1" customHeight="1" outlineLevel="1" x14ac:dyDescent="0.25">
      <c r="A2923" s="718"/>
      <c r="B2923" s="785"/>
      <c r="C2923" s="455"/>
      <c r="D2923" s="2806"/>
      <c r="E2923" s="2856"/>
      <c r="F2923" s="2917" t="str">
        <f>E1537</f>
        <v>ASHP SEER 17 replace ASHP - early replacement MF ER1</v>
      </c>
      <c r="G2923" s="2917"/>
      <c r="H2923" s="2917"/>
      <c r="I2923" s="2917"/>
      <c r="J2923" s="1654" t="str">
        <f>C1537</f>
        <v>354200_2019_12_</v>
      </c>
      <c r="K2923" s="1142">
        <v>6</v>
      </c>
      <c r="L2923" s="1124"/>
      <c r="M2923" s="928"/>
      <c r="N2923" s="177"/>
      <c r="O2923" s="332"/>
      <c r="P2923" s="1116"/>
      <c r="Q2923" s="1116"/>
      <c r="R2923" s="1116"/>
      <c r="S2923" s="1103"/>
      <c r="T2923" s="1639"/>
      <c r="U2923" s="177"/>
      <c r="V2923" s="2866"/>
      <c r="W2923" s="1142">
        <v>6</v>
      </c>
      <c r="X2923" s="1142">
        <v>6</v>
      </c>
      <c r="Y2923" s="1142">
        <v>6</v>
      </c>
      <c r="Z2923" s="1142"/>
      <c r="AA2923" s="1142"/>
      <c r="AB2923" s="1142"/>
      <c r="AC2923" s="1142"/>
      <c r="AD2923" s="1142"/>
      <c r="AE2923" s="1142"/>
      <c r="AF2923" s="1142"/>
      <c r="AG2923" s="1142"/>
      <c r="BB2923" s="784"/>
      <c r="BC2923" s="785"/>
      <c r="BD2923" s="900"/>
      <c r="BE2923" s="797"/>
    </row>
    <row r="2924" spans="1:57" s="65" customFormat="1" ht="15" hidden="1" customHeight="1" outlineLevel="1" x14ac:dyDescent="0.25">
      <c r="A2924" s="718"/>
      <c r="B2924" s="785"/>
      <c r="C2924" s="455"/>
      <c r="D2924" s="2806"/>
      <c r="E2924" s="2856"/>
      <c r="F2924" s="2917" t="str">
        <f>E1538</f>
        <v>ASHP SEER 17 replace ASHP - early replacement MF ER2</v>
      </c>
      <c r="G2924" s="2917"/>
      <c r="H2924" s="2917"/>
      <c r="I2924" s="2917"/>
      <c r="J2924" s="1654" t="str">
        <f>C1538</f>
        <v>354200_2019_12_</v>
      </c>
      <c r="K2924" s="1142">
        <v>12</v>
      </c>
      <c r="L2924" s="1124"/>
      <c r="M2924" s="928"/>
      <c r="N2924" s="177"/>
      <c r="O2924" s="332"/>
      <c r="P2924" s="1116"/>
      <c r="Q2924" s="1116"/>
      <c r="R2924" s="1116"/>
      <c r="S2924" s="1103"/>
      <c r="T2924" s="1639"/>
      <c r="U2924" s="177"/>
      <c r="V2924" s="2866"/>
      <c r="W2924" s="1142">
        <v>12</v>
      </c>
      <c r="X2924" s="1142">
        <v>12</v>
      </c>
      <c r="Y2924" s="1142">
        <v>12</v>
      </c>
      <c r="Z2924" s="1142"/>
      <c r="AA2924" s="1142"/>
      <c r="AB2924" s="1142"/>
      <c r="AC2924" s="1142"/>
      <c r="AD2924" s="1142"/>
      <c r="AE2924" s="1142"/>
      <c r="AF2924" s="1142"/>
      <c r="AG2924" s="1142"/>
      <c r="BB2924" s="784"/>
      <c r="BC2924" s="785"/>
      <c r="BD2924" s="900"/>
      <c r="BE2924" s="797"/>
    </row>
    <row r="2925" spans="1:57" s="65" customFormat="1" ht="15" hidden="1" customHeight="1" outlineLevel="1" x14ac:dyDescent="0.25">
      <c r="A2925" s="718"/>
      <c r="B2925" s="785"/>
      <c r="C2925" s="455"/>
      <c r="D2925" s="2806"/>
      <c r="E2925" s="2856"/>
      <c r="F2925" s="2917" t="str">
        <f>E1539</f>
        <v>ASHP SEER 17 replace ASHP - early replacement MF ER2</v>
      </c>
      <c r="G2925" s="2917"/>
      <c r="H2925" s="2917"/>
      <c r="I2925" s="2917"/>
      <c r="J2925" s="1654" t="str">
        <f>C1539</f>
        <v>354200_2019_12_</v>
      </c>
      <c r="K2925" s="1142">
        <v>12</v>
      </c>
      <c r="L2925" s="1124"/>
      <c r="M2925" s="928"/>
      <c r="N2925" s="177"/>
      <c r="O2925" s="332"/>
      <c r="P2925" s="1116"/>
      <c r="Q2925" s="1116"/>
      <c r="R2925" s="1116"/>
      <c r="S2925" s="1103"/>
      <c r="T2925" s="1639"/>
      <c r="U2925" s="177"/>
      <c r="V2925" s="2866"/>
      <c r="W2925" s="1142">
        <v>12</v>
      </c>
      <c r="X2925" s="1142">
        <v>12</v>
      </c>
      <c r="Y2925" s="1142">
        <v>12</v>
      </c>
      <c r="Z2925" s="1142"/>
      <c r="AA2925" s="1142"/>
      <c r="AB2925" s="1142"/>
      <c r="AC2925" s="1142"/>
      <c r="AD2925" s="1142"/>
      <c r="AE2925" s="1142"/>
      <c r="AF2925" s="1142"/>
      <c r="AG2925" s="1142"/>
      <c r="BB2925" s="784"/>
      <c r="BC2925" s="785"/>
      <c r="BD2925" s="900"/>
      <c r="BE2925" s="797"/>
    </row>
    <row r="2926" spans="1:57" s="65" customFormat="1" ht="15" hidden="1" customHeight="1" outlineLevel="1" x14ac:dyDescent="0.25">
      <c r="A2926" s="718"/>
      <c r="B2926" s="785"/>
      <c r="C2926" s="455"/>
      <c r="D2926" s="2806"/>
      <c r="E2926" s="2856"/>
      <c r="F2926" s="2917" t="str">
        <f t="shared" ref="F2926:F2933" si="243">E1544</f>
        <v>ASHP - SEER 18 - replace electric furnace / CAC - early replacement SF ER1</v>
      </c>
      <c r="G2926" s="2917"/>
      <c r="H2926" s="2917"/>
      <c r="I2926" s="2917"/>
      <c r="J2926" s="1654" t="str">
        <f t="shared" ref="J2926:J2933" si="244">C1544</f>
        <v>354250_2019_12_</v>
      </c>
      <c r="K2926" s="1142">
        <v>6</v>
      </c>
      <c r="L2926" s="1124"/>
      <c r="M2926" s="928"/>
      <c r="N2926" s="177"/>
      <c r="O2926" s="332"/>
      <c r="P2926" s="1116"/>
      <c r="Q2926" s="1116"/>
      <c r="R2926" s="1116"/>
      <c r="S2926" s="1103"/>
      <c r="T2926" s="1639"/>
      <c r="U2926" s="177"/>
      <c r="V2926" s="2866"/>
      <c r="W2926" s="1142">
        <v>6</v>
      </c>
      <c r="X2926" s="1142">
        <v>6</v>
      </c>
      <c r="Y2926" s="1142">
        <v>6</v>
      </c>
      <c r="Z2926" s="1142"/>
      <c r="AA2926" s="1142"/>
      <c r="AB2926" s="1142"/>
      <c r="AC2926" s="1142"/>
      <c r="AD2926" s="1142"/>
      <c r="AE2926" s="1142"/>
      <c r="AF2926" s="1142"/>
      <c r="AG2926" s="1142"/>
      <c r="BB2926" s="784"/>
      <c r="BC2926" s="785"/>
      <c r="BD2926" s="900"/>
      <c r="BE2926" s="797"/>
    </row>
    <row r="2927" spans="1:57" s="65" customFormat="1" ht="15" hidden="1" customHeight="1" outlineLevel="1" x14ac:dyDescent="0.25">
      <c r="A2927" s="718"/>
      <c r="B2927" s="785"/>
      <c r="C2927" s="455"/>
      <c r="D2927" s="2806"/>
      <c r="E2927" s="2856"/>
      <c r="F2927" s="2917" t="str">
        <f t="shared" si="243"/>
        <v>ASHP - SEER 18 - replace electric furnace / CAC - early replacement SF ER1</v>
      </c>
      <c r="G2927" s="2917"/>
      <c r="H2927" s="2917"/>
      <c r="I2927" s="2917"/>
      <c r="J2927" s="1654" t="str">
        <f t="shared" si="244"/>
        <v>354250_2019_12_</v>
      </c>
      <c r="K2927" s="1142">
        <v>6</v>
      </c>
      <c r="L2927" s="1124"/>
      <c r="M2927" s="928"/>
      <c r="N2927" s="177"/>
      <c r="O2927" s="332"/>
      <c r="P2927" s="1116"/>
      <c r="Q2927" s="1116"/>
      <c r="R2927" s="1116"/>
      <c r="S2927" s="1103"/>
      <c r="T2927" s="1639"/>
      <c r="U2927" s="177"/>
      <c r="V2927" s="2866"/>
      <c r="W2927" s="1142">
        <v>6</v>
      </c>
      <c r="X2927" s="1142">
        <v>6</v>
      </c>
      <c r="Y2927" s="1142">
        <v>6</v>
      </c>
      <c r="Z2927" s="1142"/>
      <c r="AA2927" s="1142"/>
      <c r="AB2927" s="1142"/>
      <c r="AC2927" s="1142"/>
      <c r="AD2927" s="1142"/>
      <c r="AE2927" s="1142"/>
      <c r="AF2927" s="1142"/>
      <c r="AG2927" s="1142"/>
      <c r="BB2927" s="784"/>
      <c r="BC2927" s="785"/>
      <c r="BD2927" s="900"/>
      <c r="BE2927" s="797"/>
    </row>
    <row r="2928" spans="1:57" s="65" customFormat="1" ht="15" hidden="1" customHeight="1" outlineLevel="1" x14ac:dyDescent="0.25">
      <c r="A2928" s="718"/>
      <c r="B2928" s="785"/>
      <c r="C2928" s="455"/>
      <c r="D2928" s="2806"/>
      <c r="E2928" s="2856"/>
      <c r="F2928" s="2917" t="str">
        <f t="shared" si="243"/>
        <v>ASHP - SEER 18 - replace electric furnace / CAC - early replacement SF ER2</v>
      </c>
      <c r="G2928" s="2917"/>
      <c r="H2928" s="2917"/>
      <c r="I2928" s="2917"/>
      <c r="J2928" s="1654" t="str">
        <f t="shared" si="244"/>
        <v>354250_2019_12_</v>
      </c>
      <c r="K2928" s="1142">
        <v>12</v>
      </c>
      <c r="L2928" s="1124"/>
      <c r="M2928" s="928"/>
      <c r="N2928" s="177"/>
      <c r="O2928" s="332"/>
      <c r="P2928" s="1116"/>
      <c r="Q2928" s="1116"/>
      <c r="R2928" s="1116"/>
      <c r="S2928" s="1103"/>
      <c r="T2928" s="1639"/>
      <c r="U2928" s="177"/>
      <c r="V2928" s="2866"/>
      <c r="W2928" s="1142">
        <v>12</v>
      </c>
      <c r="X2928" s="1142">
        <v>12</v>
      </c>
      <c r="Y2928" s="1142">
        <v>12</v>
      </c>
      <c r="Z2928" s="1142"/>
      <c r="AA2928" s="1142"/>
      <c r="AB2928" s="1142"/>
      <c r="AC2928" s="1142"/>
      <c r="AD2928" s="1142"/>
      <c r="AE2928" s="1142"/>
      <c r="AF2928" s="1142"/>
      <c r="AG2928" s="1142"/>
      <c r="BB2928" s="784"/>
      <c r="BC2928" s="785"/>
      <c r="BD2928" s="900"/>
      <c r="BE2928" s="797"/>
    </row>
    <row r="2929" spans="1:57" s="65" customFormat="1" ht="15" hidden="1" customHeight="1" outlineLevel="1" x14ac:dyDescent="0.25">
      <c r="A2929" s="718"/>
      <c r="B2929" s="785"/>
      <c r="C2929" s="455"/>
      <c r="D2929" s="2806"/>
      <c r="E2929" s="2856"/>
      <c r="F2929" s="2917" t="str">
        <f t="shared" si="243"/>
        <v>ASHP - SEER 18 - replace electric furnace / CAC - early replacement SF ER2</v>
      </c>
      <c r="G2929" s="2917"/>
      <c r="H2929" s="2917"/>
      <c r="I2929" s="2917"/>
      <c r="J2929" s="1654" t="str">
        <f t="shared" si="244"/>
        <v>354250_2019_12_</v>
      </c>
      <c r="K2929" s="1142">
        <v>12</v>
      </c>
      <c r="L2929" s="1124"/>
      <c r="M2929" s="928"/>
      <c r="N2929" s="177"/>
      <c r="O2929" s="332"/>
      <c r="P2929" s="1116"/>
      <c r="Q2929" s="1116"/>
      <c r="R2929" s="1116"/>
      <c r="S2929" s="1103"/>
      <c r="T2929" s="1639"/>
      <c r="U2929" s="177"/>
      <c r="V2929" s="2866"/>
      <c r="W2929" s="1142">
        <v>12</v>
      </c>
      <c r="X2929" s="1142">
        <v>12</v>
      </c>
      <c r="Y2929" s="1142">
        <v>12</v>
      </c>
      <c r="Z2929" s="1142"/>
      <c r="AA2929" s="1142"/>
      <c r="AB2929" s="1142"/>
      <c r="AC2929" s="1142"/>
      <c r="AD2929" s="1142"/>
      <c r="AE2929" s="1142"/>
      <c r="AF2929" s="1142"/>
      <c r="AG2929" s="1142"/>
      <c r="BB2929" s="784"/>
      <c r="BC2929" s="785"/>
      <c r="BD2929" s="900"/>
      <c r="BE2929" s="797"/>
    </row>
    <row r="2930" spans="1:57" s="65" customFormat="1" ht="15" hidden="1" customHeight="1" outlineLevel="1" x14ac:dyDescent="0.25">
      <c r="A2930" s="718"/>
      <c r="B2930" s="785"/>
      <c r="C2930" s="455"/>
      <c r="D2930" s="2806"/>
      <c r="E2930" s="2856"/>
      <c r="F2930" s="2917" t="str">
        <f t="shared" si="243"/>
        <v>ASHP - SEER 18 - replace electric furnace / CAC - early replacement MF ER1</v>
      </c>
      <c r="G2930" s="2917"/>
      <c r="H2930" s="2917"/>
      <c r="I2930" s="2917"/>
      <c r="J2930" s="1654" t="str">
        <f t="shared" si="244"/>
        <v>354300_2019_12_</v>
      </c>
      <c r="K2930" s="1142">
        <v>6</v>
      </c>
      <c r="L2930" s="1124"/>
      <c r="M2930" s="928"/>
      <c r="N2930" s="177"/>
      <c r="O2930" s="332"/>
      <c r="P2930" s="1116"/>
      <c r="Q2930" s="1116"/>
      <c r="R2930" s="1116"/>
      <c r="S2930" s="1103"/>
      <c r="T2930" s="1639"/>
      <c r="U2930" s="177"/>
      <c r="V2930" s="2866"/>
      <c r="W2930" s="1142">
        <v>6</v>
      </c>
      <c r="X2930" s="1142">
        <v>6</v>
      </c>
      <c r="Y2930" s="1142">
        <v>6</v>
      </c>
      <c r="Z2930" s="1142"/>
      <c r="AA2930" s="1142"/>
      <c r="AB2930" s="1142"/>
      <c r="AC2930" s="1142"/>
      <c r="AD2930" s="1142"/>
      <c r="AE2930" s="1142"/>
      <c r="AF2930" s="1142"/>
      <c r="AG2930" s="1142"/>
      <c r="BB2930" s="784"/>
      <c r="BC2930" s="785"/>
      <c r="BD2930" s="900"/>
      <c r="BE2930" s="797"/>
    </row>
    <row r="2931" spans="1:57" s="65" customFormat="1" ht="15" hidden="1" customHeight="1" outlineLevel="1" x14ac:dyDescent="0.25">
      <c r="A2931" s="718"/>
      <c r="B2931" s="785"/>
      <c r="C2931" s="455"/>
      <c r="D2931" s="2806"/>
      <c r="E2931" s="2856"/>
      <c r="F2931" s="2917" t="str">
        <f t="shared" si="243"/>
        <v>ASHP - SEER 18 - replace electric furnace / CAC - early replacement MF ER1</v>
      </c>
      <c r="G2931" s="2917"/>
      <c r="H2931" s="2917"/>
      <c r="I2931" s="2917"/>
      <c r="J2931" s="1654" t="str">
        <f t="shared" si="244"/>
        <v>354300_2019_12_</v>
      </c>
      <c r="K2931" s="1142">
        <v>6</v>
      </c>
      <c r="L2931" s="1124"/>
      <c r="M2931" s="928"/>
      <c r="N2931" s="177"/>
      <c r="O2931" s="332"/>
      <c r="P2931" s="1116"/>
      <c r="Q2931" s="1116"/>
      <c r="R2931" s="1116"/>
      <c r="S2931" s="1103"/>
      <c r="T2931" s="1639"/>
      <c r="U2931" s="177"/>
      <c r="V2931" s="2866"/>
      <c r="W2931" s="1142">
        <v>6</v>
      </c>
      <c r="X2931" s="1142">
        <v>6</v>
      </c>
      <c r="Y2931" s="1142">
        <v>6</v>
      </c>
      <c r="Z2931" s="1142"/>
      <c r="AA2931" s="1142"/>
      <c r="AB2931" s="1142"/>
      <c r="AC2931" s="1142"/>
      <c r="AD2931" s="1142"/>
      <c r="AE2931" s="1142"/>
      <c r="AF2931" s="1142"/>
      <c r="AG2931" s="1142"/>
      <c r="BB2931" s="784"/>
      <c r="BC2931" s="785"/>
      <c r="BD2931" s="900"/>
      <c r="BE2931" s="797"/>
    </row>
    <row r="2932" spans="1:57" s="65" customFormat="1" ht="15" hidden="1" customHeight="1" outlineLevel="1" x14ac:dyDescent="0.25">
      <c r="A2932" s="718"/>
      <c r="B2932" s="785"/>
      <c r="C2932" s="455"/>
      <c r="D2932" s="2806"/>
      <c r="E2932" s="2856"/>
      <c r="F2932" s="2917" t="str">
        <f t="shared" si="243"/>
        <v>ASHP - SEER 18 - replace electric furnace / CAC - early replacement MF ER2</v>
      </c>
      <c r="G2932" s="2917"/>
      <c r="H2932" s="2917"/>
      <c r="I2932" s="2917"/>
      <c r="J2932" s="1654" t="str">
        <f t="shared" si="244"/>
        <v>354300_2019_12_</v>
      </c>
      <c r="K2932" s="1142">
        <v>12</v>
      </c>
      <c r="L2932" s="1124"/>
      <c r="M2932" s="928"/>
      <c r="N2932" s="177"/>
      <c r="O2932" s="332"/>
      <c r="P2932" s="1116"/>
      <c r="Q2932" s="1116"/>
      <c r="R2932" s="1116"/>
      <c r="S2932" s="1103"/>
      <c r="T2932" s="1639"/>
      <c r="U2932" s="177"/>
      <c r="V2932" s="2866"/>
      <c r="W2932" s="1142">
        <v>12</v>
      </c>
      <c r="X2932" s="1142">
        <v>12</v>
      </c>
      <c r="Y2932" s="1142">
        <v>12</v>
      </c>
      <c r="Z2932" s="1142"/>
      <c r="AA2932" s="1142"/>
      <c r="AB2932" s="1142"/>
      <c r="AC2932" s="1142"/>
      <c r="AD2932" s="1142"/>
      <c r="AE2932" s="1142"/>
      <c r="AF2932" s="1142"/>
      <c r="AG2932" s="1142"/>
      <c r="BB2932" s="784"/>
      <c r="BC2932" s="785"/>
      <c r="BD2932" s="900"/>
      <c r="BE2932" s="797"/>
    </row>
    <row r="2933" spans="1:57" s="65" customFormat="1" ht="15" hidden="1" customHeight="1" outlineLevel="1" x14ac:dyDescent="0.25">
      <c r="A2933" s="718"/>
      <c r="B2933" s="785"/>
      <c r="C2933" s="455"/>
      <c r="D2933" s="2806"/>
      <c r="E2933" s="2856"/>
      <c r="F2933" s="2917" t="str">
        <f t="shared" si="243"/>
        <v>ASHP - SEER 18 - replace electric furnace / CAC - early replacement MF ER2</v>
      </c>
      <c r="G2933" s="2917"/>
      <c r="H2933" s="2917"/>
      <c r="I2933" s="2917"/>
      <c r="J2933" s="1654" t="str">
        <f t="shared" si="244"/>
        <v>354300_2019_12_</v>
      </c>
      <c r="K2933" s="1142">
        <v>12</v>
      </c>
      <c r="L2933" s="1124"/>
      <c r="M2933" s="928"/>
      <c r="N2933" s="177"/>
      <c r="O2933" s="332"/>
      <c r="P2933" s="1116"/>
      <c r="Q2933" s="1117"/>
      <c r="R2933" s="1116"/>
      <c r="S2933" s="1103"/>
      <c r="T2933" s="1639"/>
      <c r="U2933" s="177"/>
      <c r="V2933" s="2866"/>
      <c r="W2933" s="1142">
        <v>12</v>
      </c>
      <c r="X2933" s="1142">
        <v>12</v>
      </c>
      <c r="Y2933" s="1142">
        <v>12</v>
      </c>
      <c r="Z2933" s="1142"/>
      <c r="AA2933" s="1142"/>
      <c r="AB2933" s="1142"/>
      <c r="AC2933" s="1142"/>
      <c r="AD2933" s="1142"/>
      <c r="AE2933" s="1142"/>
      <c r="AF2933" s="1142"/>
      <c r="AG2933" s="1142"/>
      <c r="BB2933" s="784"/>
      <c r="BC2933" s="785"/>
      <c r="BD2933" s="900"/>
      <c r="BE2933" s="797"/>
    </row>
    <row r="2934" spans="1:57" s="65" customFormat="1" ht="15" hidden="1" customHeight="1" outlineLevel="1" x14ac:dyDescent="0.25">
      <c r="A2934" s="718"/>
      <c r="B2934" s="785"/>
      <c r="C2934" s="455"/>
      <c r="D2934" s="2806"/>
      <c r="E2934" s="2856"/>
      <c r="F2934" s="2917" t="str">
        <f>E1556</f>
        <v>ASHP SEER 18 replace ASHP - early replacement MF ER1</v>
      </c>
      <c r="G2934" s="2917"/>
      <c r="H2934" s="2917"/>
      <c r="I2934" s="2917"/>
      <c r="J2934" s="1654" t="str">
        <f>C1556</f>
        <v>354350_2019_12_</v>
      </c>
      <c r="K2934" s="1142">
        <v>6</v>
      </c>
      <c r="L2934" s="1124"/>
      <c r="M2934" s="928"/>
      <c r="N2934" s="177"/>
      <c r="O2934" s="332"/>
      <c r="P2934" s="1116"/>
      <c r="Q2934" s="1117"/>
      <c r="R2934" s="1116"/>
      <c r="S2934" s="1103"/>
      <c r="T2934" s="1639"/>
      <c r="U2934" s="177"/>
      <c r="V2934" s="2866"/>
      <c r="W2934" s="1142">
        <v>6</v>
      </c>
      <c r="X2934" s="1142">
        <v>6</v>
      </c>
      <c r="Y2934" s="1142">
        <v>6</v>
      </c>
      <c r="Z2934" s="1142"/>
      <c r="AA2934" s="1142"/>
      <c r="AB2934" s="1142"/>
      <c r="AC2934" s="1142"/>
      <c r="AD2934" s="1142"/>
      <c r="AE2934" s="1142"/>
      <c r="AF2934" s="1142"/>
      <c r="AG2934" s="1142"/>
      <c r="BB2934" s="784"/>
      <c r="BC2934" s="785"/>
      <c r="BD2934" s="900"/>
      <c r="BE2934" s="797"/>
    </row>
    <row r="2935" spans="1:57" s="65" customFormat="1" ht="15" hidden="1" customHeight="1" outlineLevel="1" x14ac:dyDescent="0.25">
      <c r="A2935" s="718"/>
      <c r="B2935" s="785"/>
      <c r="C2935" s="455"/>
      <c r="D2935" s="2806"/>
      <c r="E2935" s="2856"/>
      <c r="F2935" s="2917" t="str">
        <f>E1557</f>
        <v>ASHP SEER 18 replace ASHP - early replacement MF ER1</v>
      </c>
      <c r="G2935" s="2917"/>
      <c r="H2935" s="2917"/>
      <c r="I2935" s="2917"/>
      <c r="J2935" s="1654" t="str">
        <f>C1557</f>
        <v>354350_2019_12_</v>
      </c>
      <c r="K2935" s="1142">
        <v>6</v>
      </c>
      <c r="L2935" s="1124"/>
      <c r="M2935" s="928"/>
      <c r="N2935" s="177"/>
      <c r="O2935" s="332"/>
      <c r="P2935" s="1116"/>
      <c r="Q2935" s="1117"/>
      <c r="R2935" s="1116"/>
      <c r="S2935" s="1103"/>
      <c r="T2935" s="1639"/>
      <c r="U2935" s="177"/>
      <c r="V2935" s="2866"/>
      <c r="W2935" s="1142">
        <v>6</v>
      </c>
      <c r="X2935" s="1142">
        <v>6</v>
      </c>
      <c r="Y2935" s="1142">
        <v>6</v>
      </c>
      <c r="Z2935" s="1142"/>
      <c r="AA2935" s="1142"/>
      <c r="AB2935" s="1142"/>
      <c r="AC2935" s="1142"/>
      <c r="AD2935" s="1142"/>
      <c r="AE2935" s="1142"/>
      <c r="AF2935" s="1142"/>
      <c r="AG2935" s="1142"/>
      <c r="BB2935" s="784"/>
      <c r="BC2935" s="785"/>
      <c r="BD2935" s="900"/>
      <c r="BE2935" s="797"/>
    </row>
    <row r="2936" spans="1:57" s="65" customFormat="1" ht="15" hidden="1" customHeight="1" outlineLevel="1" x14ac:dyDescent="0.25">
      <c r="A2936" s="718"/>
      <c r="B2936" s="785"/>
      <c r="C2936" s="455"/>
      <c r="D2936" s="2806"/>
      <c r="E2936" s="2856"/>
      <c r="F2936" s="2917" t="str">
        <f>E1558</f>
        <v>ASHP SEER 18 replace ASHP - early replacement MF ER2</v>
      </c>
      <c r="G2936" s="2917"/>
      <c r="H2936" s="2917"/>
      <c r="I2936" s="2917"/>
      <c r="J2936" s="1654" t="str">
        <f>C1558</f>
        <v>354350_2019_12_</v>
      </c>
      <c r="K2936" s="1142">
        <v>12</v>
      </c>
      <c r="L2936" s="1124"/>
      <c r="M2936" s="928"/>
      <c r="N2936" s="177"/>
      <c r="O2936" s="332"/>
      <c r="P2936" s="1116"/>
      <c r="Q2936" s="1117"/>
      <c r="R2936" s="1116"/>
      <c r="S2936" s="1103"/>
      <c r="T2936" s="1639"/>
      <c r="U2936" s="177"/>
      <c r="V2936" s="2866"/>
      <c r="W2936" s="1142">
        <v>12</v>
      </c>
      <c r="X2936" s="1142">
        <v>12</v>
      </c>
      <c r="Y2936" s="1142">
        <v>12</v>
      </c>
      <c r="Z2936" s="1142"/>
      <c r="AA2936" s="1142"/>
      <c r="AB2936" s="1142"/>
      <c r="AC2936" s="1142"/>
      <c r="AD2936" s="1142"/>
      <c r="AE2936" s="1142"/>
      <c r="AF2936" s="1142"/>
      <c r="AG2936" s="1142"/>
      <c r="BB2936" s="784"/>
      <c r="BC2936" s="785"/>
      <c r="BD2936" s="900"/>
      <c r="BE2936" s="797"/>
    </row>
    <row r="2937" spans="1:57" s="65" customFormat="1" ht="15" hidden="1" customHeight="1" outlineLevel="1" x14ac:dyDescent="0.25">
      <c r="A2937" s="718"/>
      <c r="B2937" s="785"/>
      <c r="C2937" s="455"/>
      <c r="D2937" s="2806"/>
      <c r="E2937" s="2856"/>
      <c r="F2937" s="2917" t="str">
        <f>E1559</f>
        <v>ASHP SEER 18 replace ASHP - early replacement MF ER2</v>
      </c>
      <c r="G2937" s="2917"/>
      <c r="H2937" s="2917"/>
      <c r="I2937" s="2917"/>
      <c r="J2937" s="1654" t="str">
        <f>C1559</f>
        <v>354350_2019_12_</v>
      </c>
      <c r="K2937" s="1142">
        <v>12</v>
      </c>
      <c r="L2937" s="1124"/>
      <c r="M2937" s="928"/>
      <c r="N2937" s="177"/>
      <c r="O2937" s="332"/>
      <c r="P2937" s="1116"/>
      <c r="Q2937" s="1117"/>
      <c r="R2937" s="1116"/>
      <c r="S2937" s="1103"/>
      <c r="T2937" s="1639"/>
      <c r="U2937" s="177"/>
      <c r="V2937" s="2866"/>
      <c r="W2937" s="1142">
        <v>12</v>
      </c>
      <c r="X2937" s="1142">
        <v>12</v>
      </c>
      <c r="Y2937" s="1142">
        <v>12</v>
      </c>
      <c r="Z2937" s="1142"/>
      <c r="AA2937" s="1142"/>
      <c r="AB2937" s="1142"/>
      <c r="AC2937" s="1142"/>
      <c r="AD2937" s="1142"/>
      <c r="AE2937" s="1142"/>
      <c r="AF2937" s="1142"/>
      <c r="AG2937" s="1142"/>
      <c r="BB2937" s="784"/>
      <c r="BC2937" s="785"/>
      <c r="BD2937" s="900"/>
      <c r="BE2937" s="797"/>
    </row>
    <row r="2938" spans="1:57" s="65" customFormat="1" ht="15" hidden="1" customHeight="1" outlineLevel="1" x14ac:dyDescent="0.25">
      <c r="A2938" s="718"/>
      <c r="B2938" s="785"/>
      <c r="C2938" s="455"/>
      <c r="D2938" s="2806"/>
      <c r="E2938" s="2856"/>
      <c r="F2938" s="2917" t="str">
        <f t="shared" ref="F2938:F2945" si="245">E1564</f>
        <v>ASHP - SEER 19 - replace electric furnace / CAC - early replacement SF ER1</v>
      </c>
      <c r="G2938" s="2917"/>
      <c r="H2938" s="2917"/>
      <c r="I2938" s="2917"/>
      <c r="J2938" s="1654" t="str">
        <f t="shared" ref="J2938:J2945" si="246">C1564</f>
        <v>354400_2019_12_</v>
      </c>
      <c r="K2938" s="1142">
        <v>6</v>
      </c>
      <c r="L2938" s="1124"/>
      <c r="M2938" s="928"/>
      <c r="N2938" s="177"/>
      <c r="O2938" s="332"/>
      <c r="P2938" s="1116"/>
      <c r="Q2938" s="1117"/>
      <c r="R2938" s="1116"/>
      <c r="S2938" s="1103"/>
      <c r="T2938" s="1639"/>
      <c r="U2938" s="177"/>
      <c r="V2938" s="2866"/>
      <c r="W2938" s="1142">
        <v>6</v>
      </c>
      <c r="X2938" s="1142">
        <v>6</v>
      </c>
      <c r="Y2938" s="1142">
        <v>6</v>
      </c>
      <c r="Z2938" s="1142"/>
      <c r="AA2938" s="1142"/>
      <c r="AB2938" s="1142"/>
      <c r="AC2938" s="1142"/>
      <c r="AD2938" s="1142"/>
      <c r="AE2938" s="1142"/>
      <c r="AF2938" s="1142"/>
      <c r="AG2938" s="1142"/>
      <c r="BB2938" s="784"/>
      <c r="BC2938" s="785"/>
      <c r="BD2938" s="900"/>
      <c r="BE2938" s="797"/>
    </row>
    <row r="2939" spans="1:57" s="65" customFormat="1" ht="15" hidden="1" customHeight="1" outlineLevel="1" x14ac:dyDescent="0.25">
      <c r="A2939" s="785"/>
      <c r="B2939" s="785"/>
      <c r="C2939" s="455"/>
      <c r="D2939" s="2806"/>
      <c r="E2939" s="2856"/>
      <c r="F2939" s="2917" t="str">
        <f t="shared" si="245"/>
        <v>ASHP - SEER 19 - replace electric furnace / CAC - early replacement SF ER1</v>
      </c>
      <c r="G2939" s="2917"/>
      <c r="H2939" s="2917"/>
      <c r="I2939" s="2917"/>
      <c r="J2939" s="1654" t="str">
        <f t="shared" si="246"/>
        <v>354400_2019_12_</v>
      </c>
      <c r="K2939" s="1142">
        <v>6</v>
      </c>
      <c r="L2939" s="1124"/>
      <c r="M2939" s="928"/>
      <c r="N2939" s="177"/>
      <c r="O2939" s="332"/>
      <c r="P2939" s="332"/>
      <c r="Q2939" s="332"/>
      <c r="R2939" s="332"/>
      <c r="S2939" s="177"/>
      <c r="T2939" s="177"/>
      <c r="U2939" s="177"/>
      <c r="V2939" s="2866"/>
      <c r="W2939" s="1142">
        <v>6</v>
      </c>
      <c r="X2939" s="1142">
        <v>6</v>
      </c>
      <c r="Y2939" s="1142">
        <v>6</v>
      </c>
      <c r="Z2939" s="1142"/>
      <c r="AA2939" s="1142"/>
      <c r="AB2939" s="1142"/>
      <c r="AC2939" s="1142"/>
      <c r="AD2939" s="1142"/>
      <c r="AE2939" s="1142"/>
      <c r="AF2939" s="1142"/>
      <c r="AG2939" s="1142"/>
      <c r="BB2939" s="784"/>
      <c r="BC2939" s="785"/>
      <c r="BD2939" s="900"/>
      <c r="BE2939" s="797"/>
    </row>
    <row r="2940" spans="1:57" s="65" customFormat="1" ht="15" hidden="1" customHeight="1" outlineLevel="1" x14ac:dyDescent="0.25">
      <c r="A2940" s="718"/>
      <c r="B2940" s="785"/>
      <c r="C2940" s="455"/>
      <c r="D2940" s="2806"/>
      <c r="E2940" s="2856"/>
      <c r="F2940" s="2917" t="str">
        <f t="shared" si="245"/>
        <v>ASHP - SEER 19 - replace electric furnace / CAC - early replacement SF ER2</v>
      </c>
      <c r="G2940" s="2917"/>
      <c r="H2940" s="2917"/>
      <c r="I2940" s="2917"/>
      <c r="J2940" s="1654" t="str">
        <f t="shared" si="246"/>
        <v>354400_2019_12_</v>
      </c>
      <c r="K2940" s="1142">
        <v>12</v>
      </c>
      <c r="L2940" s="1124"/>
      <c r="M2940" s="1133"/>
      <c r="N2940" s="177"/>
      <c r="O2940" s="332"/>
      <c r="P2940" s="1116"/>
      <c r="Q2940" s="1117"/>
      <c r="R2940" s="1116"/>
      <c r="S2940" s="1103"/>
      <c r="T2940" s="1639"/>
      <c r="U2940" s="177"/>
      <c r="V2940" s="2866"/>
      <c r="W2940" s="1142">
        <v>12</v>
      </c>
      <c r="X2940" s="1142">
        <v>12</v>
      </c>
      <c r="Y2940" s="1142">
        <v>12</v>
      </c>
      <c r="Z2940" s="1142"/>
      <c r="AA2940" s="1142"/>
      <c r="AB2940" s="1142"/>
      <c r="AC2940" s="1142"/>
      <c r="AD2940" s="1142"/>
      <c r="AE2940" s="1142"/>
      <c r="AF2940" s="1142"/>
      <c r="AG2940" s="1142"/>
      <c r="BB2940" s="784"/>
      <c r="BC2940" s="785"/>
      <c r="BD2940" s="900"/>
      <c r="BE2940" s="797"/>
    </row>
    <row r="2941" spans="1:57" s="65" customFormat="1" ht="15" hidden="1" customHeight="1" outlineLevel="1" x14ac:dyDescent="0.25">
      <c r="A2941" s="785"/>
      <c r="B2941" s="785"/>
      <c r="C2941" s="455"/>
      <c r="D2941" s="2806"/>
      <c r="E2941" s="2856"/>
      <c r="F2941" s="2917" t="str">
        <f t="shared" si="245"/>
        <v>ASHP - SEER 19 - replace electric furnace / CAC - early replacement SF ER2</v>
      </c>
      <c r="G2941" s="2917"/>
      <c r="H2941" s="2917"/>
      <c r="I2941" s="2917"/>
      <c r="J2941" s="1654" t="str">
        <f t="shared" si="246"/>
        <v>354400_2019_12_</v>
      </c>
      <c r="K2941" s="1142">
        <v>12</v>
      </c>
      <c r="L2941" s="1124"/>
      <c r="M2941" s="1133"/>
      <c r="N2941" s="177"/>
      <c r="O2941" s="332"/>
      <c r="P2941" s="332"/>
      <c r="Q2941" s="332"/>
      <c r="R2941" s="332"/>
      <c r="S2941" s="177"/>
      <c r="T2941" s="177"/>
      <c r="U2941" s="177"/>
      <c r="V2941" s="2866"/>
      <c r="W2941" s="1142">
        <v>12</v>
      </c>
      <c r="X2941" s="1142">
        <v>12</v>
      </c>
      <c r="Y2941" s="1142">
        <v>12</v>
      </c>
      <c r="Z2941" s="1142"/>
      <c r="AA2941" s="1142"/>
      <c r="AB2941" s="1142"/>
      <c r="AC2941" s="1142"/>
      <c r="AD2941" s="1142"/>
      <c r="AE2941" s="1142"/>
      <c r="AF2941" s="1142"/>
      <c r="AG2941" s="1142"/>
      <c r="BB2941" s="784"/>
      <c r="BC2941" s="785"/>
      <c r="BD2941" s="900"/>
      <c r="BE2941" s="797"/>
    </row>
    <row r="2942" spans="1:57" s="65" customFormat="1" ht="15" hidden="1" customHeight="1" outlineLevel="1" x14ac:dyDescent="0.25">
      <c r="A2942" s="718"/>
      <c r="B2942" s="785"/>
      <c r="C2942" s="455"/>
      <c r="D2942" s="2806"/>
      <c r="E2942" s="2856"/>
      <c r="F2942" s="2917" t="str">
        <f t="shared" si="245"/>
        <v>ASHP - SEER 19 - replace electric furnace / CAC - early replacement MF ER1</v>
      </c>
      <c r="G2942" s="2917"/>
      <c r="H2942" s="2917"/>
      <c r="I2942" s="2917"/>
      <c r="J2942" s="1654" t="str">
        <f t="shared" si="246"/>
        <v>354450_2019_12_</v>
      </c>
      <c r="K2942" s="1142">
        <v>6</v>
      </c>
      <c r="L2942" s="1124"/>
      <c r="M2942" s="1133"/>
      <c r="N2942" s="177"/>
      <c r="O2942" s="332"/>
      <c r="P2942" s="1116"/>
      <c r="Q2942" s="1117"/>
      <c r="R2942" s="1116"/>
      <c r="S2942" s="1103"/>
      <c r="T2942" s="1639"/>
      <c r="U2942" s="177"/>
      <c r="V2942" s="2866"/>
      <c r="W2942" s="1142">
        <v>6</v>
      </c>
      <c r="X2942" s="1142">
        <v>6</v>
      </c>
      <c r="Y2942" s="1142">
        <v>6</v>
      </c>
      <c r="Z2942" s="1142"/>
      <c r="AA2942" s="1142"/>
      <c r="AB2942" s="1142"/>
      <c r="AC2942" s="1142"/>
      <c r="AD2942" s="1142"/>
      <c r="AE2942" s="1142"/>
      <c r="AF2942" s="1142"/>
      <c r="AG2942" s="1142"/>
      <c r="BB2942" s="784"/>
      <c r="BC2942" s="785"/>
      <c r="BD2942" s="900"/>
      <c r="BE2942" s="797"/>
    </row>
    <row r="2943" spans="1:57" s="65" customFormat="1" ht="15" hidden="1" customHeight="1" outlineLevel="1" x14ac:dyDescent="0.25">
      <c r="A2943" s="785"/>
      <c r="B2943" s="785"/>
      <c r="C2943" s="455"/>
      <c r="D2943" s="2806"/>
      <c r="E2943" s="2856"/>
      <c r="F2943" s="2917" t="str">
        <f t="shared" si="245"/>
        <v>ASHP - SEER 19 - replace electric furnace / CAC - early replacement MF ER1</v>
      </c>
      <c r="G2943" s="2917"/>
      <c r="H2943" s="2917"/>
      <c r="I2943" s="2917"/>
      <c r="J2943" s="1654" t="str">
        <f t="shared" si="246"/>
        <v>354450_2019_12_</v>
      </c>
      <c r="K2943" s="1142">
        <v>6</v>
      </c>
      <c r="L2943" s="1124"/>
      <c r="M2943" s="1133"/>
      <c r="N2943" s="177"/>
      <c r="O2943" s="332"/>
      <c r="P2943" s="332"/>
      <c r="Q2943" s="332"/>
      <c r="R2943" s="332"/>
      <c r="S2943" s="177"/>
      <c r="T2943" s="177"/>
      <c r="U2943" s="177"/>
      <c r="V2943" s="2866"/>
      <c r="W2943" s="1142">
        <v>6</v>
      </c>
      <c r="X2943" s="1142">
        <v>6</v>
      </c>
      <c r="Y2943" s="1142">
        <v>6</v>
      </c>
      <c r="Z2943" s="1142"/>
      <c r="AA2943" s="1142"/>
      <c r="AB2943" s="1142"/>
      <c r="AC2943" s="1142"/>
      <c r="AD2943" s="1142"/>
      <c r="AE2943" s="1142"/>
      <c r="AF2943" s="1142"/>
      <c r="AG2943" s="1142"/>
      <c r="BB2943" s="784"/>
      <c r="BC2943" s="785"/>
      <c r="BD2943" s="900"/>
      <c r="BE2943" s="797"/>
    </row>
    <row r="2944" spans="1:57" s="65" customFormat="1" ht="15" hidden="1" customHeight="1" outlineLevel="1" x14ac:dyDescent="0.25">
      <c r="A2944" s="785"/>
      <c r="B2944" s="785"/>
      <c r="C2944" s="455"/>
      <c r="D2944" s="2806"/>
      <c r="E2944" s="2856"/>
      <c r="F2944" s="2917" t="str">
        <f t="shared" si="245"/>
        <v>ASHP - SEER 19 - replace electric furnace / CAC - early replacement MF ER2</v>
      </c>
      <c r="G2944" s="2917"/>
      <c r="H2944" s="2917"/>
      <c r="I2944" s="2917"/>
      <c r="J2944" s="1654" t="str">
        <f t="shared" si="246"/>
        <v>354450_2019_12_</v>
      </c>
      <c r="K2944" s="1142">
        <v>12</v>
      </c>
      <c r="L2944" s="1124"/>
      <c r="M2944" s="1133"/>
      <c r="N2944" s="177"/>
      <c r="O2944" s="332"/>
      <c r="P2944" s="332"/>
      <c r="Q2944" s="332"/>
      <c r="R2944" s="332"/>
      <c r="S2944" s="177"/>
      <c r="T2944" s="177"/>
      <c r="U2944" s="177"/>
      <c r="V2944" s="2866"/>
      <c r="W2944" s="1142">
        <v>12</v>
      </c>
      <c r="X2944" s="1142">
        <v>12</v>
      </c>
      <c r="Y2944" s="1142">
        <v>12</v>
      </c>
      <c r="Z2944" s="1142"/>
      <c r="AA2944" s="1142"/>
      <c r="AB2944" s="1142"/>
      <c r="AC2944" s="1142"/>
      <c r="AD2944" s="1142"/>
      <c r="AE2944" s="1142"/>
      <c r="AF2944" s="1142"/>
      <c r="AG2944" s="1142"/>
      <c r="BB2944" s="784"/>
      <c r="BC2944" s="785"/>
      <c r="BD2944" s="900"/>
      <c r="BE2944" s="797"/>
    </row>
    <row r="2945" spans="1:57" s="65" customFormat="1" ht="15" hidden="1" customHeight="1" outlineLevel="1" x14ac:dyDescent="0.25">
      <c r="A2945" s="718"/>
      <c r="B2945" s="785"/>
      <c r="C2945" s="455"/>
      <c r="D2945" s="2806"/>
      <c r="E2945" s="2856"/>
      <c r="F2945" s="2917" t="str">
        <f t="shared" si="245"/>
        <v>ASHP - SEER 19 - replace electric furnace / CAC - early replacement MF ER2</v>
      </c>
      <c r="G2945" s="2917"/>
      <c r="H2945" s="2917"/>
      <c r="I2945" s="2917"/>
      <c r="J2945" s="1654" t="str">
        <f t="shared" si="246"/>
        <v>354450_2019_12_</v>
      </c>
      <c r="K2945" s="1142">
        <v>12</v>
      </c>
      <c r="L2945" s="1124"/>
      <c r="M2945" s="1133"/>
      <c r="N2945" s="177"/>
      <c r="O2945" s="332"/>
      <c r="P2945" s="1116"/>
      <c r="Q2945" s="1117"/>
      <c r="R2945" s="1116"/>
      <c r="S2945" s="1103"/>
      <c r="T2945" s="1639"/>
      <c r="U2945" s="177"/>
      <c r="V2945" s="2866"/>
      <c r="W2945" s="1142">
        <v>12</v>
      </c>
      <c r="X2945" s="1142">
        <v>12</v>
      </c>
      <c r="Y2945" s="1142">
        <v>12</v>
      </c>
      <c r="Z2945" s="1142"/>
      <c r="AA2945" s="1142"/>
      <c r="AB2945" s="1142"/>
      <c r="AC2945" s="1142"/>
      <c r="AD2945" s="1142"/>
      <c r="AE2945" s="1142"/>
      <c r="AF2945" s="1142"/>
      <c r="AG2945" s="1142"/>
      <c r="BB2945" s="784"/>
      <c r="BC2945" s="785"/>
      <c r="BD2945" s="900"/>
      <c r="BE2945" s="797"/>
    </row>
    <row r="2946" spans="1:57" s="65" customFormat="1" ht="15" hidden="1" customHeight="1" outlineLevel="1" x14ac:dyDescent="0.25">
      <c r="A2946" s="718"/>
      <c r="B2946" s="785"/>
      <c r="C2946" s="455"/>
      <c r="D2946" s="2806"/>
      <c r="E2946" s="2856"/>
      <c r="F2946" s="2917" t="str">
        <f>E1576</f>
        <v>ASHP SEER 19 replace ASHP - early replacement MF ER1</v>
      </c>
      <c r="G2946" s="2917"/>
      <c r="H2946" s="2917"/>
      <c r="I2946" s="2917"/>
      <c r="J2946" s="1654" t="str">
        <f>C1576</f>
        <v>354500_2019_12_</v>
      </c>
      <c r="K2946" s="1142">
        <v>6</v>
      </c>
      <c r="L2946" s="1124"/>
      <c r="M2946" s="1133"/>
      <c r="N2946" s="177"/>
      <c r="O2946" s="332"/>
      <c r="P2946" s="1116"/>
      <c r="Q2946" s="1117"/>
      <c r="R2946" s="1116"/>
      <c r="S2946" s="1103"/>
      <c r="T2946" s="1639"/>
      <c r="U2946" s="177"/>
      <c r="V2946" s="2866"/>
      <c r="W2946" s="1142">
        <v>6</v>
      </c>
      <c r="X2946" s="1142">
        <v>6</v>
      </c>
      <c r="Y2946" s="1142">
        <v>6</v>
      </c>
      <c r="Z2946" s="1142"/>
      <c r="AA2946" s="1142"/>
      <c r="AB2946" s="1142"/>
      <c r="AC2946" s="1142"/>
      <c r="AD2946" s="1142"/>
      <c r="AE2946" s="1142"/>
      <c r="AF2946" s="1142"/>
      <c r="AG2946" s="1142"/>
      <c r="BB2946" s="784"/>
      <c r="BC2946" s="785"/>
      <c r="BD2946" s="900"/>
      <c r="BE2946" s="797"/>
    </row>
    <row r="2947" spans="1:57" s="65" customFormat="1" ht="15" hidden="1" customHeight="1" outlineLevel="1" x14ac:dyDescent="0.25">
      <c r="A2947" s="785"/>
      <c r="B2947" s="785"/>
      <c r="C2947" s="455"/>
      <c r="D2947" s="2806"/>
      <c r="E2947" s="2856"/>
      <c r="F2947" s="2917" t="str">
        <f>E1577</f>
        <v>ASHP SEER 19 replace ASHP - early replacement MF ER1</v>
      </c>
      <c r="G2947" s="2917"/>
      <c r="H2947" s="2917"/>
      <c r="I2947" s="2917"/>
      <c r="J2947" s="1654" t="str">
        <f>C1577</f>
        <v>354500_2019_12_</v>
      </c>
      <c r="K2947" s="1142">
        <v>6</v>
      </c>
      <c r="L2947" s="1124"/>
      <c r="M2947" s="1133"/>
      <c r="N2947" s="177"/>
      <c r="O2947" s="332"/>
      <c r="P2947" s="332"/>
      <c r="Q2947" s="332"/>
      <c r="R2947" s="332"/>
      <c r="S2947" s="177"/>
      <c r="T2947" s="177"/>
      <c r="U2947" s="177"/>
      <c r="V2947" s="2866"/>
      <c r="W2947" s="1142">
        <v>6</v>
      </c>
      <c r="X2947" s="1142">
        <v>6</v>
      </c>
      <c r="Y2947" s="1142">
        <v>6</v>
      </c>
      <c r="Z2947" s="1142"/>
      <c r="AA2947" s="1142"/>
      <c r="AB2947" s="1142"/>
      <c r="AC2947" s="1142"/>
      <c r="AD2947" s="1142"/>
      <c r="AE2947" s="1142"/>
      <c r="AF2947" s="1142"/>
      <c r="AG2947" s="1142"/>
      <c r="BB2947" s="784"/>
      <c r="BC2947" s="785"/>
      <c r="BD2947" s="900"/>
      <c r="BE2947" s="797"/>
    </row>
    <row r="2948" spans="1:57" s="65" customFormat="1" ht="15" hidden="1" customHeight="1" outlineLevel="1" x14ac:dyDescent="0.25">
      <c r="A2948" s="785"/>
      <c r="B2948" s="785"/>
      <c r="C2948" s="455"/>
      <c r="D2948" s="2806"/>
      <c r="E2948" s="2856"/>
      <c r="F2948" s="2917" t="str">
        <f>E1578</f>
        <v>ASHP SEER 19 replace ASHP - early replacement MF ER2</v>
      </c>
      <c r="G2948" s="2917"/>
      <c r="H2948" s="2917"/>
      <c r="I2948" s="2917"/>
      <c r="J2948" s="1654" t="str">
        <f>C1578</f>
        <v>354500_2019_12_</v>
      </c>
      <c r="K2948" s="1142">
        <v>12</v>
      </c>
      <c r="L2948" s="1124"/>
      <c r="M2948" s="1133"/>
      <c r="N2948" s="177"/>
      <c r="O2948" s="332"/>
      <c r="P2948" s="332"/>
      <c r="Q2948" s="332"/>
      <c r="R2948" s="332"/>
      <c r="S2948" s="177"/>
      <c r="T2948" s="177"/>
      <c r="U2948" s="177"/>
      <c r="V2948" s="2866"/>
      <c r="W2948" s="1142">
        <v>12</v>
      </c>
      <c r="X2948" s="1142">
        <v>12</v>
      </c>
      <c r="Y2948" s="1142">
        <v>12</v>
      </c>
      <c r="Z2948" s="1142"/>
      <c r="AA2948" s="1142"/>
      <c r="AB2948" s="1142"/>
      <c r="AC2948" s="1142"/>
      <c r="AD2948" s="1142"/>
      <c r="AE2948" s="1142"/>
      <c r="AF2948" s="1142"/>
      <c r="AG2948" s="1142"/>
      <c r="BB2948" s="784"/>
      <c r="BC2948" s="785"/>
      <c r="BD2948" s="900"/>
      <c r="BE2948" s="797"/>
    </row>
    <row r="2949" spans="1:57" s="65" customFormat="1" ht="15" hidden="1" customHeight="1" outlineLevel="1" x14ac:dyDescent="0.25">
      <c r="A2949" s="718"/>
      <c r="B2949" s="785"/>
      <c r="C2949" s="455"/>
      <c r="D2949" s="2806"/>
      <c r="E2949" s="2856"/>
      <c r="F2949" s="2917" t="str">
        <f>E1579</f>
        <v>ASHP SEER 19 replace ASHP - early replacement MF ER2</v>
      </c>
      <c r="G2949" s="2917"/>
      <c r="H2949" s="2917"/>
      <c r="I2949" s="2917"/>
      <c r="J2949" s="1654" t="str">
        <f>C1579</f>
        <v>354500_2019_12_</v>
      </c>
      <c r="K2949" s="1142">
        <v>12</v>
      </c>
      <c r="L2949" s="1124"/>
      <c r="M2949" s="1133"/>
      <c r="N2949" s="177"/>
      <c r="O2949" s="332"/>
      <c r="P2949" s="1116"/>
      <c r="Q2949" s="1117"/>
      <c r="R2949" s="1116"/>
      <c r="S2949" s="1103"/>
      <c r="T2949" s="1639"/>
      <c r="U2949" s="177"/>
      <c r="V2949" s="2866"/>
      <c r="W2949" s="1142">
        <v>12</v>
      </c>
      <c r="X2949" s="1142">
        <v>12</v>
      </c>
      <c r="Y2949" s="1142">
        <v>12</v>
      </c>
      <c r="Z2949" s="1142"/>
      <c r="AA2949" s="1142"/>
      <c r="AB2949" s="1142"/>
      <c r="AC2949" s="1142"/>
      <c r="AD2949" s="1142"/>
      <c r="AE2949" s="1142"/>
      <c r="AF2949" s="1142"/>
      <c r="AG2949" s="1142"/>
      <c r="BB2949" s="784"/>
      <c r="BC2949" s="785"/>
      <c r="BD2949" s="900"/>
      <c r="BE2949" s="797"/>
    </row>
    <row r="2950" spans="1:57" s="65" customFormat="1" ht="15" hidden="1" customHeight="1" outlineLevel="1" x14ac:dyDescent="0.25">
      <c r="A2950" s="718"/>
      <c r="B2950" s="785"/>
      <c r="C2950" s="455"/>
      <c r="D2950" s="2806"/>
      <c r="E2950" s="2856"/>
      <c r="F2950" s="2917" t="str">
        <f t="shared" ref="F2950:F2959" si="247">E1584</f>
        <v>ASHP SEER 20 replace ASHP - early replacement SF ER1</v>
      </c>
      <c r="G2950" s="2917"/>
      <c r="H2950" s="2917"/>
      <c r="I2950" s="2917"/>
      <c r="J2950" s="1654" t="str">
        <f t="shared" ref="J2950:J2959" si="248">C1584</f>
        <v>354550_2019_12_</v>
      </c>
      <c r="K2950" s="1142">
        <v>6</v>
      </c>
      <c r="L2950" s="1124"/>
      <c r="M2950" s="1133"/>
      <c r="N2950" s="177"/>
      <c r="O2950" s="332"/>
      <c r="P2950" s="1116"/>
      <c r="Q2950" s="1117"/>
      <c r="R2950" s="1116"/>
      <c r="S2950" s="1103"/>
      <c r="T2950" s="1639"/>
      <c r="U2950" s="177"/>
      <c r="V2950" s="2866"/>
      <c r="W2950" s="1142">
        <v>6</v>
      </c>
      <c r="X2950" s="1142">
        <v>6</v>
      </c>
      <c r="Y2950" s="1142">
        <v>6</v>
      </c>
      <c r="Z2950" s="1142"/>
      <c r="AA2950" s="1142"/>
      <c r="AB2950" s="1142"/>
      <c r="AC2950" s="1142"/>
      <c r="AD2950" s="1142"/>
      <c r="AE2950" s="1142"/>
      <c r="AF2950" s="1142"/>
      <c r="AG2950" s="1142"/>
      <c r="BB2950" s="784"/>
      <c r="BC2950" s="785"/>
      <c r="BD2950" s="900"/>
      <c r="BE2950" s="797"/>
    </row>
    <row r="2951" spans="1:57" s="65" customFormat="1" ht="15" hidden="1" customHeight="1" outlineLevel="1" x14ac:dyDescent="0.25">
      <c r="A2951" s="718"/>
      <c r="B2951" s="785"/>
      <c r="C2951" s="455"/>
      <c r="D2951" s="2806"/>
      <c r="E2951" s="2856"/>
      <c r="F2951" s="2917" t="str">
        <f t="shared" si="247"/>
        <v>ASHP SEER 20 replace ASHP - early replacement SF ER1</v>
      </c>
      <c r="G2951" s="2917"/>
      <c r="H2951" s="2917"/>
      <c r="I2951" s="2917"/>
      <c r="J2951" s="1654" t="str">
        <f t="shared" si="248"/>
        <v>354550_2019_12_</v>
      </c>
      <c r="K2951" s="1142">
        <v>6</v>
      </c>
      <c r="L2951" s="1124"/>
      <c r="M2951" s="1133"/>
      <c r="N2951" s="177"/>
      <c r="O2951" s="332"/>
      <c r="P2951" s="1116"/>
      <c r="Q2951" s="1117"/>
      <c r="R2951" s="1116"/>
      <c r="S2951" s="1103"/>
      <c r="T2951" s="1639"/>
      <c r="U2951" s="177"/>
      <c r="V2951" s="2866"/>
      <c r="W2951" s="1142">
        <v>6</v>
      </c>
      <c r="X2951" s="1142">
        <v>6</v>
      </c>
      <c r="Y2951" s="1142">
        <v>6</v>
      </c>
      <c r="Z2951" s="1142"/>
      <c r="AA2951" s="1142"/>
      <c r="AB2951" s="1142"/>
      <c r="AC2951" s="1142"/>
      <c r="AD2951" s="1142"/>
      <c r="AE2951" s="1142"/>
      <c r="AF2951" s="1142"/>
      <c r="AG2951" s="1142"/>
      <c r="BB2951" s="784"/>
      <c r="BC2951" s="785"/>
      <c r="BD2951" s="900"/>
      <c r="BE2951" s="797"/>
    </row>
    <row r="2952" spans="1:57" s="65" customFormat="1" ht="15" hidden="1" customHeight="1" outlineLevel="1" x14ac:dyDescent="0.25">
      <c r="A2952" s="718"/>
      <c r="B2952" s="785"/>
      <c r="C2952" s="455"/>
      <c r="D2952" s="2806"/>
      <c r="E2952" s="2856"/>
      <c r="F2952" s="2917" t="str">
        <f t="shared" si="247"/>
        <v>ASHP SEER 20 replace ASHP - early replacement SF ER2</v>
      </c>
      <c r="G2952" s="2917"/>
      <c r="H2952" s="2917"/>
      <c r="I2952" s="2917"/>
      <c r="J2952" s="1654" t="str">
        <f t="shared" si="248"/>
        <v>354550_2019_12_</v>
      </c>
      <c r="K2952" s="1142">
        <v>12</v>
      </c>
      <c r="L2952" s="1124"/>
      <c r="M2952" s="1133"/>
      <c r="N2952" s="177"/>
      <c r="O2952" s="332"/>
      <c r="P2952" s="1116"/>
      <c r="Q2952" s="1117"/>
      <c r="R2952" s="1116"/>
      <c r="S2952" s="1103"/>
      <c r="T2952" s="1639"/>
      <c r="U2952" s="177"/>
      <c r="V2952" s="2866"/>
      <c r="W2952" s="1142">
        <v>12</v>
      </c>
      <c r="X2952" s="1142">
        <v>12</v>
      </c>
      <c r="Y2952" s="1142">
        <v>12</v>
      </c>
      <c r="Z2952" s="1142"/>
      <c r="AA2952" s="1142"/>
      <c r="AB2952" s="1142"/>
      <c r="AC2952" s="1142"/>
      <c r="AD2952" s="1142"/>
      <c r="AE2952" s="1142"/>
      <c r="AF2952" s="1142"/>
      <c r="AG2952" s="1142"/>
      <c r="BB2952" s="784"/>
      <c r="BC2952" s="785"/>
      <c r="BD2952" s="900"/>
      <c r="BE2952" s="797"/>
    </row>
    <row r="2953" spans="1:57" s="65" customFormat="1" ht="15" hidden="1" customHeight="1" outlineLevel="1" x14ac:dyDescent="0.25">
      <c r="A2953" s="718"/>
      <c r="B2953" s="785"/>
      <c r="C2953" s="455"/>
      <c r="D2953" s="2806"/>
      <c r="E2953" s="2856"/>
      <c r="F2953" s="2917" t="str">
        <f t="shared" si="247"/>
        <v>ASHP SEER 20 replace ASHP - early replacement SF ER2</v>
      </c>
      <c r="G2953" s="2917"/>
      <c r="H2953" s="2917"/>
      <c r="I2953" s="2917"/>
      <c r="J2953" s="1654" t="str">
        <f t="shared" si="248"/>
        <v>354550_2019_12_</v>
      </c>
      <c r="K2953" s="1142">
        <v>12</v>
      </c>
      <c r="L2953" s="1124"/>
      <c r="M2953" s="1133"/>
      <c r="N2953" s="177"/>
      <c r="O2953" s="332"/>
      <c r="P2953" s="1116"/>
      <c r="Q2953" s="1117"/>
      <c r="R2953" s="1116"/>
      <c r="S2953" s="1103"/>
      <c r="T2953" s="1639"/>
      <c r="U2953" s="177"/>
      <c r="V2953" s="2866"/>
      <c r="W2953" s="1142">
        <v>12</v>
      </c>
      <c r="X2953" s="1142">
        <v>12</v>
      </c>
      <c r="Y2953" s="1142">
        <v>12</v>
      </c>
      <c r="Z2953" s="1142"/>
      <c r="AA2953" s="1142"/>
      <c r="AB2953" s="1142"/>
      <c r="AC2953" s="1142"/>
      <c r="AD2953" s="1142"/>
      <c r="AE2953" s="1142"/>
      <c r="AF2953" s="1142"/>
      <c r="AG2953" s="1142"/>
      <c r="BB2953" s="784"/>
      <c r="BC2953" s="785"/>
      <c r="BD2953" s="900"/>
      <c r="BE2953" s="797"/>
    </row>
    <row r="2954" spans="1:57" s="65" customFormat="1" ht="15" hidden="1" customHeight="1" outlineLevel="1" x14ac:dyDescent="0.25">
      <c r="A2954" s="718"/>
      <c r="B2954" s="785"/>
      <c r="C2954" s="455"/>
      <c r="D2954" s="2806"/>
      <c r="E2954" s="2856"/>
      <c r="F2954" s="2917" t="str">
        <f t="shared" si="247"/>
        <v>ASHP SEER 20 replace ASHP - replace on fail SF</v>
      </c>
      <c r="G2954" s="2917"/>
      <c r="H2954" s="2917"/>
      <c r="I2954" s="2917"/>
      <c r="J2954" s="1654" t="str">
        <f t="shared" si="248"/>
        <v>354600_2019_12_</v>
      </c>
      <c r="K2954" s="1142">
        <v>18</v>
      </c>
      <c r="L2954" s="1124"/>
      <c r="M2954" s="1133"/>
      <c r="N2954" s="177"/>
      <c r="O2954" s="332"/>
      <c r="P2954" s="1116"/>
      <c r="Q2954" s="1117"/>
      <c r="R2954" s="1116"/>
      <c r="S2954" s="1103"/>
      <c r="T2954" s="1639"/>
      <c r="U2954" s="177"/>
      <c r="V2954" s="2866"/>
      <c r="W2954" s="1142">
        <v>18</v>
      </c>
      <c r="X2954" s="1142">
        <v>18</v>
      </c>
      <c r="Y2954" s="1142">
        <v>18</v>
      </c>
      <c r="Z2954" s="1142"/>
      <c r="AA2954" s="1142"/>
      <c r="AB2954" s="1142"/>
      <c r="AC2954" s="1142"/>
      <c r="AD2954" s="1142"/>
      <c r="AE2954" s="1142"/>
      <c r="AF2954" s="1142"/>
      <c r="AG2954" s="1142"/>
      <c r="BB2954" s="784"/>
      <c r="BC2954" s="785"/>
      <c r="BD2954" s="900"/>
      <c r="BE2954" s="797"/>
    </row>
    <row r="2955" spans="1:57" s="65" customFormat="1" ht="15" hidden="1" customHeight="1" outlineLevel="1" x14ac:dyDescent="0.25">
      <c r="A2955" s="718"/>
      <c r="B2955" s="785"/>
      <c r="C2955" s="455"/>
      <c r="D2955" s="2806"/>
      <c r="E2955" s="2856"/>
      <c r="F2955" s="2917" t="str">
        <f t="shared" si="247"/>
        <v>ASHP SEER 20 replace ASHP - replace on fail SF</v>
      </c>
      <c r="G2955" s="2917"/>
      <c r="H2955" s="2917"/>
      <c r="I2955" s="2917"/>
      <c r="J2955" s="1654" t="str">
        <f t="shared" si="248"/>
        <v>354600_2019_12_</v>
      </c>
      <c r="K2955" s="1143">
        <v>18</v>
      </c>
      <c r="L2955" s="1124"/>
      <c r="M2955" s="1133"/>
      <c r="N2955" s="177"/>
      <c r="O2955" s="332"/>
      <c r="P2955" s="1116"/>
      <c r="Q2955" s="1117"/>
      <c r="R2955" s="1116"/>
      <c r="S2955" s="1103"/>
      <c r="T2955" s="1639"/>
      <c r="U2955" s="177"/>
      <c r="V2955" s="2866"/>
      <c r="W2955" s="1143">
        <v>18</v>
      </c>
      <c r="X2955" s="1143">
        <v>18</v>
      </c>
      <c r="Y2955" s="1143">
        <v>18</v>
      </c>
      <c r="Z2955" s="1143"/>
      <c r="AA2955" s="1143"/>
      <c r="AB2955" s="1143"/>
      <c r="AC2955" s="1143"/>
      <c r="AD2955" s="1143"/>
      <c r="AE2955" s="1143"/>
      <c r="AF2955" s="1143"/>
      <c r="AG2955" s="1143"/>
      <c r="BB2955" s="784"/>
      <c r="BC2955" s="785"/>
      <c r="BD2955" s="900"/>
      <c r="BE2955" s="797"/>
    </row>
    <row r="2956" spans="1:57" s="65" customFormat="1" hidden="1" outlineLevel="1" x14ac:dyDescent="0.25">
      <c r="A2956" s="718"/>
      <c r="B2956" s="785"/>
      <c r="C2956" s="455"/>
      <c r="D2956" s="2806"/>
      <c r="E2956" s="2856"/>
      <c r="F2956" s="2917" t="str">
        <f t="shared" si="247"/>
        <v>ASHP - SEER 20 - replace electric furnace / CAC - early replacement MF ER1</v>
      </c>
      <c r="G2956" s="2917"/>
      <c r="H2956" s="2917"/>
      <c r="I2956" s="2917"/>
      <c r="J2956" s="1654" t="str">
        <f t="shared" si="248"/>
        <v>354650_2019_12_</v>
      </c>
      <c r="K2956" s="1142">
        <v>6</v>
      </c>
      <c r="L2956" s="1136"/>
      <c r="M2956" s="1133"/>
      <c r="N2956" s="177"/>
      <c r="O2956" s="332"/>
      <c r="P2956" s="1116"/>
      <c r="Q2956" s="1117"/>
      <c r="R2956" s="1116"/>
      <c r="S2956" s="1103"/>
      <c r="T2956" s="1639"/>
      <c r="U2956" s="177"/>
      <c r="V2956" s="2866"/>
      <c r="W2956" s="1142">
        <v>6</v>
      </c>
      <c r="X2956" s="1142">
        <v>6</v>
      </c>
      <c r="Y2956" s="1142">
        <v>6</v>
      </c>
      <c r="Z2956" s="1142"/>
      <c r="AA2956" s="1142"/>
      <c r="AB2956" s="1142"/>
      <c r="AC2956" s="1142"/>
      <c r="AD2956" s="1142"/>
      <c r="AE2956" s="1142"/>
      <c r="AF2956" s="1142"/>
      <c r="AG2956" s="1142"/>
      <c r="BB2956" s="784"/>
      <c r="BC2956" s="785"/>
      <c r="BD2956" s="900"/>
      <c r="BE2956" s="797"/>
    </row>
    <row r="2957" spans="1:57" s="65" customFormat="1" hidden="1" outlineLevel="1" x14ac:dyDescent="0.25">
      <c r="A2957" s="718"/>
      <c r="B2957" s="785"/>
      <c r="C2957" s="455"/>
      <c r="D2957" s="2806"/>
      <c r="E2957" s="2856"/>
      <c r="F2957" s="2917" t="str">
        <f t="shared" si="247"/>
        <v>ASHP - SEER 20 - replace electric furnace / CAC - early replacement MF ER1</v>
      </c>
      <c r="G2957" s="2917"/>
      <c r="H2957" s="2917"/>
      <c r="I2957" s="2917"/>
      <c r="J2957" s="1654" t="str">
        <f t="shared" si="248"/>
        <v>354650_2019_12_</v>
      </c>
      <c r="K2957" s="1142">
        <v>6</v>
      </c>
      <c r="L2957" s="1136"/>
      <c r="M2957" s="1133"/>
      <c r="N2957" s="177"/>
      <c r="O2957" s="332"/>
      <c r="P2957" s="1116"/>
      <c r="Q2957" s="1117"/>
      <c r="R2957" s="1116"/>
      <c r="S2957" s="1103"/>
      <c r="T2957" s="1639"/>
      <c r="U2957" s="177"/>
      <c r="V2957" s="2866"/>
      <c r="W2957" s="1142">
        <v>6</v>
      </c>
      <c r="X2957" s="1142">
        <v>6</v>
      </c>
      <c r="Y2957" s="1142">
        <v>6</v>
      </c>
      <c r="Z2957" s="1142"/>
      <c r="AA2957" s="1142"/>
      <c r="AB2957" s="1142"/>
      <c r="AC2957" s="1142"/>
      <c r="AD2957" s="1142"/>
      <c r="AE2957" s="1142"/>
      <c r="AF2957" s="1142"/>
      <c r="AG2957" s="1142"/>
      <c r="BB2957" s="784"/>
      <c r="BC2957" s="785"/>
      <c r="BD2957" s="900"/>
      <c r="BE2957" s="797"/>
    </row>
    <row r="2958" spans="1:57" s="65" customFormat="1" hidden="1" outlineLevel="1" x14ac:dyDescent="0.25">
      <c r="A2958" s="718"/>
      <c r="B2958" s="785"/>
      <c r="C2958" s="455"/>
      <c r="D2958" s="2806"/>
      <c r="E2958" s="2856"/>
      <c r="F2958" s="2917" t="str">
        <f t="shared" si="247"/>
        <v>ASHP - SEER 20 - replace electric furnace / CAC - early replacement MF ER2</v>
      </c>
      <c r="G2958" s="2917"/>
      <c r="H2958" s="2917"/>
      <c r="I2958" s="2917"/>
      <c r="J2958" s="1654" t="str">
        <f t="shared" si="248"/>
        <v>354650_2019_12_</v>
      </c>
      <c r="K2958" s="1142">
        <v>12</v>
      </c>
      <c r="L2958" s="1136"/>
      <c r="M2958" s="1133"/>
      <c r="N2958" s="177"/>
      <c r="O2958" s="332"/>
      <c r="P2958" s="1116"/>
      <c r="Q2958" s="1117"/>
      <c r="R2958" s="1116"/>
      <c r="S2958" s="1103"/>
      <c r="T2958" s="1639"/>
      <c r="U2958" s="177"/>
      <c r="V2958" s="2866"/>
      <c r="W2958" s="1142">
        <v>12</v>
      </c>
      <c r="X2958" s="1142">
        <v>12</v>
      </c>
      <c r="Y2958" s="1142">
        <v>12</v>
      </c>
      <c r="Z2958" s="1142"/>
      <c r="AA2958" s="1142"/>
      <c r="AB2958" s="1142"/>
      <c r="AC2958" s="1142"/>
      <c r="AD2958" s="1142"/>
      <c r="AE2958" s="1142"/>
      <c r="AF2958" s="1142"/>
      <c r="AG2958" s="1142"/>
      <c r="BB2958" s="784"/>
      <c r="BC2958" s="785"/>
      <c r="BD2958" s="900"/>
      <c r="BE2958" s="797"/>
    </row>
    <row r="2959" spans="1:57" s="65" customFormat="1" hidden="1" outlineLevel="1" x14ac:dyDescent="0.25">
      <c r="A2959" s="718"/>
      <c r="B2959" s="785"/>
      <c r="C2959" s="455"/>
      <c r="D2959" s="2806"/>
      <c r="E2959" s="2856"/>
      <c r="F2959" s="2917" t="str">
        <f t="shared" si="247"/>
        <v>ASHP - SEER 20 - replace electric furnace / CAC - early replacement MF ER2</v>
      </c>
      <c r="G2959" s="2917"/>
      <c r="H2959" s="2917"/>
      <c r="I2959" s="2917"/>
      <c r="J2959" s="1654" t="str">
        <f t="shared" si="248"/>
        <v>354650_2019_12_</v>
      </c>
      <c r="K2959" s="1142">
        <v>12</v>
      </c>
      <c r="L2959" s="1136"/>
      <c r="M2959" s="1133"/>
      <c r="N2959" s="177"/>
      <c r="O2959" s="332"/>
      <c r="P2959" s="1116"/>
      <c r="Q2959" s="1117"/>
      <c r="R2959" s="1116"/>
      <c r="S2959" s="1103"/>
      <c r="T2959" s="1639"/>
      <c r="U2959" s="177"/>
      <c r="V2959" s="2866"/>
      <c r="W2959" s="1142">
        <v>12</v>
      </c>
      <c r="X2959" s="1142">
        <v>12</v>
      </c>
      <c r="Y2959" s="1142">
        <v>12</v>
      </c>
      <c r="Z2959" s="1142"/>
      <c r="AA2959" s="1142"/>
      <c r="AB2959" s="1142"/>
      <c r="AC2959" s="1142"/>
      <c r="AD2959" s="1142"/>
      <c r="AE2959" s="1142"/>
      <c r="AF2959" s="1142"/>
      <c r="AG2959" s="1142"/>
      <c r="BB2959" s="784"/>
      <c r="BC2959" s="785"/>
      <c r="BD2959" s="900"/>
      <c r="BE2959" s="797"/>
    </row>
    <row r="2960" spans="1:57" s="65" customFormat="1" hidden="1" outlineLevel="1" x14ac:dyDescent="0.25">
      <c r="A2960" s="718"/>
      <c r="B2960" s="785"/>
      <c r="C2960" s="455"/>
      <c r="D2960" s="2806"/>
      <c r="E2960" s="2856"/>
      <c r="F2960" s="2917" t="str">
        <f>E1598</f>
        <v>ASHP SEER 20 replace ASHP - early replacement MF ER1</v>
      </c>
      <c r="G2960" s="2917"/>
      <c r="H2960" s="2917"/>
      <c r="I2960" s="2917"/>
      <c r="J2960" s="1654" t="str">
        <f>C1598</f>
        <v>354700_2019_12_</v>
      </c>
      <c r="K2960" s="1142">
        <v>6</v>
      </c>
      <c r="L2960" s="1136"/>
      <c r="M2960" s="1133"/>
      <c r="N2960" s="177"/>
      <c r="O2960" s="332"/>
      <c r="P2960" s="1116"/>
      <c r="Q2960" s="1117"/>
      <c r="R2960" s="1116"/>
      <c r="S2960" s="1103"/>
      <c r="T2960" s="1639"/>
      <c r="U2960" s="177"/>
      <c r="V2960" s="2866"/>
      <c r="W2960" s="1142">
        <v>6</v>
      </c>
      <c r="X2960" s="1142">
        <v>6</v>
      </c>
      <c r="Y2960" s="1142">
        <v>6</v>
      </c>
      <c r="Z2960" s="1142"/>
      <c r="AA2960" s="1142"/>
      <c r="AB2960" s="1142"/>
      <c r="AC2960" s="1142"/>
      <c r="AD2960" s="1142"/>
      <c r="AE2960" s="1142"/>
      <c r="AF2960" s="1142"/>
      <c r="AG2960" s="1142"/>
      <c r="BB2960" s="784"/>
      <c r="BC2960" s="785"/>
      <c r="BD2960" s="900"/>
      <c r="BE2960" s="797"/>
    </row>
    <row r="2961" spans="1:57" s="65" customFormat="1" hidden="1" outlineLevel="1" x14ac:dyDescent="0.25">
      <c r="A2961" s="718"/>
      <c r="B2961" s="785"/>
      <c r="C2961" s="455"/>
      <c r="D2961" s="2806"/>
      <c r="E2961" s="2856"/>
      <c r="F2961" s="2917" t="str">
        <f>E1599</f>
        <v>ASHP SEER 20 replace ASHP - early replacement MF ER1</v>
      </c>
      <c r="G2961" s="2917"/>
      <c r="H2961" s="2917"/>
      <c r="I2961" s="2917"/>
      <c r="J2961" s="1654" t="str">
        <f>C1599</f>
        <v>354700_2019_12_</v>
      </c>
      <c r="K2961" s="1142">
        <v>6</v>
      </c>
      <c r="L2961" s="1136"/>
      <c r="M2961" s="1133"/>
      <c r="N2961" s="177"/>
      <c r="O2961" s="332"/>
      <c r="P2961" s="1116"/>
      <c r="Q2961" s="1117"/>
      <c r="R2961" s="1116"/>
      <c r="S2961" s="1103"/>
      <c r="T2961" s="1639"/>
      <c r="U2961" s="177"/>
      <c r="V2961" s="2866"/>
      <c r="W2961" s="1142">
        <v>6</v>
      </c>
      <c r="X2961" s="1142">
        <v>6</v>
      </c>
      <c r="Y2961" s="1142">
        <v>6</v>
      </c>
      <c r="Z2961" s="1142"/>
      <c r="AA2961" s="1142"/>
      <c r="AB2961" s="1142"/>
      <c r="AC2961" s="1142"/>
      <c r="AD2961" s="1142"/>
      <c r="AE2961" s="1142"/>
      <c r="AF2961" s="1142"/>
      <c r="AG2961" s="1142"/>
      <c r="BB2961" s="784"/>
      <c r="BC2961" s="785"/>
      <c r="BD2961" s="900"/>
      <c r="BE2961" s="797"/>
    </row>
    <row r="2962" spans="1:57" s="65" customFormat="1" hidden="1" outlineLevel="1" x14ac:dyDescent="0.25">
      <c r="A2962" s="718"/>
      <c r="B2962" s="785"/>
      <c r="C2962" s="455"/>
      <c r="D2962" s="2806"/>
      <c r="E2962" s="2856"/>
      <c r="F2962" s="2917" t="str">
        <f>E1600</f>
        <v>ASHP SEER 20 replace ASHP - early replacement MF ER2</v>
      </c>
      <c r="G2962" s="2917"/>
      <c r="H2962" s="2917"/>
      <c r="I2962" s="2917"/>
      <c r="J2962" s="1654" t="str">
        <f>C1600</f>
        <v>354700_2019_12_</v>
      </c>
      <c r="K2962" s="1142">
        <v>12</v>
      </c>
      <c r="L2962" s="1136"/>
      <c r="M2962" s="1133"/>
      <c r="N2962" s="177"/>
      <c r="O2962" s="332"/>
      <c r="P2962" s="1116"/>
      <c r="Q2962" s="1117"/>
      <c r="R2962" s="1116"/>
      <c r="S2962" s="1103"/>
      <c r="T2962" s="1639"/>
      <c r="U2962" s="177"/>
      <c r="V2962" s="2866"/>
      <c r="W2962" s="1142">
        <v>12</v>
      </c>
      <c r="X2962" s="1142">
        <v>12</v>
      </c>
      <c r="Y2962" s="1142">
        <v>12</v>
      </c>
      <c r="Z2962" s="1142"/>
      <c r="AA2962" s="1142"/>
      <c r="AB2962" s="1142"/>
      <c r="AC2962" s="1142"/>
      <c r="AD2962" s="1142"/>
      <c r="AE2962" s="1142"/>
      <c r="AF2962" s="1142"/>
      <c r="AG2962" s="1142"/>
      <c r="BB2962" s="784"/>
      <c r="BC2962" s="785"/>
      <c r="BD2962" s="900"/>
      <c r="BE2962" s="797"/>
    </row>
    <row r="2963" spans="1:57" s="65" customFormat="1" hidden="1" outlineLevel="1" x14ac:dyDescent="0.25">
      <c r="A2963" s="718"/>
      <c r="B2963" s="785"/>
      <c r="C2963" s="455"/>
      <c r="D2963" s="2806"/>
      <c r="E2963" s="2856"/>
      <c r="F2963" s="2917" t="str">
        <f>E1601</f>
        <v>ASHP SEER 20 replace ASHP - early replacement MF ER2</v>
      </c>
      <c r="G2963" s="2917"/>
      <c r="H2963" s="2917"/>
      <c r="I2963" s="2917"/>
      <c r="J2963" s="1654" t="str">
        <f>C1601</f>
        <v>354700_2019_12_</v>
      </c>
      <c r="K2963" s="1142">
        <v>12</v>
      </c>
      <c r="L2963" s="1136"/>
      <c r="M2963" s="1133"/>
      <c r="N2963" s="177"/>
      <c r="O2963" s="332"/>
      <c r="P2963" s="1116"/>
      <c r="Q2963" s="1117"/>
      <c r="R2963" s="1116"/>
      <c r="S2963" s="1103"/>
      <c r="T2963" s="1639"/>
      <c r="U2963" s="177"/>
      <c r="V2963" s="2866"/>
      <c r="W2963" s="1142">
        <v>12</v>
      </c>
      <c r="X2963" s="1142">
        <v>12</v>
      </c>
      <c r="Y2963" s="1142">
        <v>12</v>
      </c>
      <c r="Z2963" s="1142"/>
      <c r="AA2963" s="1142"/>
      <c r="AB2963" s="1142"/>
      <c r="AC2963" s="1142"/>
      <c r="AD2963" s="1142"/>
      <c r="AE2963" s="1142"/>
      <c r="AF2963" s="1142"/>
      <c r="AG2963" s="1142"/>
      <c r="BB2963" s="784"/>
      <c r="BC2963" s="785"/>
      <c r="BD2963" s="900"/>
      <c r="BE2963" s="797"/>
    </row>
    <row r="2964" spans="1:57" s="65" customFormat="1" hidden="1" outlineLevel="1" x14ac:dyDescent="0.25">
      <c r="A2964" s="718"/>
      <c r="B2964" s="785"/>
      <c r="C2964" s="455"/>
      <c r="D2964" s="2806"/>
      <c r="E2964" s="2856"/>
      <c r="F2964" s="2917" t="str">
        <f t="shared" ref="F2964:F2971" si="249">E1606</f>
        <v>ASHP SEER 21 replace ASHP - early replacement SF ER1</v>
      </c>
      <c r="G2964" s="2917"/>
      <c r="H2964" s="2917"/>
      <c r="I2964" s="2917"/>
      <c r="J2964" s="1654" t="str">
        <f t="shared" ref="J2964:J2971" si="250">C1606</f>
        <v>354750_2019_12_</v>
      </c>
      <c r="K2964" s="1142">
        <v>6</v>
      </c>
      <c r="L2964" s="1136"/>
      <c r="M2964" s="1133"/>
      <c r="N2964" s="177"/>
      <c r="O2964" s="332"/>
      <c r="P2964" s="1116"/>
      <c r="Q2964" s="1117"/>
      <c r="R2964" s="1116"/>
      <c r="S2964" s="1103"/>
      <c r="T2964" s="1639"/>
      <c r="U2964" s="177"/>
      <c r="V2964" s="2866"/>
      <c r="W2964" s="1142">
        <v>6</v>
      </c>
      <c r="X2964" s="1142">
        <v>6</v>
      </c>
      <c r="Y2964" s="1142">
        <v>6</v>
      </c>
      <c r="Z2964" s="1142"/>
      <c r="AA2964" s="1142"/>
      <c r="AB2964" s="1142"/>
      <c r="AC2964" s="1142"/>
      <c r="AD2964" s="1142"/>
      <c r="AE2964" s="1142"/>
      <c r="AF2964" s="1142"/>
      <c r="AG2964" s="1142"/>
      <c r="BB2964" s="784"/>
      <c r="BC2964" s="785"/>
      <c r="BD2964" s="900"/>
      <c r="BE2964" s="797"/>
    </row>
    <row r="2965" spans="1:57" s="65" customFormat="1" hidden="1" outlineLevel="1" x14ac:dyDescent="0.25">
      <c r="A2965" s="718"/>
      <c r="B2965" s="785"/>
      <c r="C2965" s="455"/>
      <c r="D2965" s="2806"/>
      <c r="E2965" s="2856"/>
      <c r="F2965" s="2917" t="str">
        <f t="shared" si="249"/>
        <v>ASHP SEER 21 replace ASHP - early replacement SF ER1</v>
      </c>
      <c r="G2965" s="2917"/>
      <c r="H2965" s="2917"/>
      <c r="I2965" s="2917"/>
      <c r="J2965" s="1654" t="str">
        <f t="shared" si="250"/>
        <v>354750_2019_12_</v>
      </c>
      <c r="K2965" s="1142">
        <v>6</v>
      </c>
      <c r="L2965" s="1136"/>
      <c r="M2965" s="1133"/>
      <c r="N2965" s="177"/>
      <c r="O2965" s="332"/>
      <c r="P2965" s="1116"/>
      <c r="Q2965" s="1117"/>
      <c r="R2965" s="1116"/>
      <c r="S2965" s="1103"/>
      <c r="T2965" s="1639"/>
      <c r="U2965" s="177"/>
      <c r="V2965" s="2866"/>
      <c r="W2965" s="1142">
        <v>6</v>
      </c>
      <c r="X2965" s="1142">
        <v>6</v>
      </c>
      <c r="Y2965" s="1142">
        <v>6</v>
      </c>
      <c r="Z2965" s="1142"/>
      <c r="AA2965" s="1142"/>
      <c r="AB2965" s="1142"/>
      <c r="AC2965" s="1142"/>
      <c r="AD2965" s="1142"/>
      <c r="AE2965" s="1142"/>
      <c r="AF2965" s="1142"/>
      <c r="AG2965" s="1142"/>
      <c r="BB2965" s="784"/>
      <c r="BC2965" s="785"/>
      <c r="BD2965" s="900"/>
      <c r="BE2965" s="797"/>
    </row>
    <row r="2966" spans="1:57" s="65" customFormat="1" hidden="1" outlineLevel="1" x14ac:dyDescent="0.25">
      <c r="A2966" s="718"/>
      <c r="B2966" s="785"/>
      <c r="C2966" s="455"/>
      <c r="D2966" s="2806"/>
      <c r="E2966" s="2856"/>
      <c r="F2966" s="2917" t="str">
        <f t="shared" si="249"/>
        <v>ASHP SEER 21 replace ASHP - early replacement SF ER2</v>
      </c>
      <c r="G2966" s="2917"/>
      <c r="H2966" s="2917"/>
      <c r="I2966" s="2917"/>
      <c r="J2966" s="1654" t="str">
        <f t="shared" si="250"/>
        <v>354750_2019_12_</v>
      </c>
      <c r="K2966" s="1142">
        <v>12</v>
      </c>
      <c r="L2966" s="1136"/>
      <c r="M2966" s="1133"/>
      <c r="N2966" s="177"/>
      <c r="O2966" s="332"/>
      <c r="P2966" s="1116"/>
      <c r="Q2966" s="1117"/>
      <c r="R2966" s="1116"/>
      <c r="S2966" s="1103"/>
      <c r="T2966" s="1639"/>
      <c r="U2966" s="177"/>
      <c r="V2966" s="2866"/>
      <c r="W2966" s="1142">
        <v>12</v>
      </c>
      <c r="X2966" s="1142">
        <v>12</v>
      </c>
      <c r="Y2966" s="1142">
        <v>12</v>
      </c>
      <c r="Z2966" s="1142"/>
      <c r="AA2966" s="1142"/>
      <c r="AB2966" s="1142"/>
      <c r="AC2966" s="1142"/>
      <c r="AD2966" s="1142"/>
      <c r="AE2966" s="1142"/>
      <c r="AF2966" s="1142"/>
      <c r="AG2966" s="1142"/>
      <c r="BB2966" s="784"/>
      <c r="BC2966" s="785"/>
      <c r="BD2966" s="900"/>
      <c r="BE2966" s="797"/>
    </row>
    <row r="2967" spans="1:57" s="65" customFormat="1" hidden="1" outlineLevel="1" x14ac:dyDescent="0.25">
      <c r="A2967" s="718"/>
      <c r="B2967" s="785"/>
      <c r="C2967" s="455"/>
      <c r="D2967" s="2806"/>
      <c r="E2967" s="2856"/>
      <c r="F2967" s="2917" t="str">
        <f t="shared" si="249"/>
        <v>ASHP SEER 21 replace ASHP - early replacement SF ER2</v>
      </c>
      <c r="G2967" s="2917"/>
      <c r="H2967" s="2917"/>
      <c r="I2967" s="2917"/>
      <c r="J2967" s="1654" t="str">
        <f t="shared" si="250"/>
        <v>354750_2019_12_</v>
      </c>
      <c r="K2967" s="1142">
        <v>12</v>
      </c>
      <c r="L2967" s="1136"/>
      <c r="M2967" s="1133"/>
      <c r="N2967" s="177"/>
      <c r="O2967" s="332"/>
      <c r="P2967" s="1116"/>
      <c r="Q2967" s="1117"/>
      <c r="R2967" s="1116"/>
      <c r="S2967" s="1103"/>
      <c r="T2967" s="1639"/>
      <c r="U2967" s="177"/>
      <c r="V2967" s="2866"/>
      <c r="W2967" s="1142">
        <v>12</v>
      </c>
      <c r="X2967" s="1142">
        <v>12</v>
      </c>
      <c r="Y2967" s="1142">
        <v>12</v>
      </c>
      <c r="Z2967" s="1142"/>
      <c r="AA2967" s="1142"/>
      <c r="AB2967" s="1142"/>
      <c r="AC2967" s="1142"/>
      <c r="AD2967" s="1142"/>
      <c r="AE2967" s="1142"/>
      <c r="AF2967" s="1142"/>
      <c r="AG2967" s="1142"/>
      <c r="BB2967" s="784"/>
      <c r="BC2967" s="785"/>
      <c r="BD2967" s="900"/>
      <c r="BE2967" s="797"/>
    </row>
    <row r="2968" spans="1:57" s="65" customFormat="1" hidden="1" outlineLevel="1" x14ac:dyDescent="0.25">
      <c r="A2968" s="718"/>
      <c r="B2968" s="785"/>
      <c r="C2968" s="455"/>
      <c r="D2968" s="2806"/>
      <c r="E2968" s="2856"/>
      <c r="F2968" s="2917" t="str">
        <f t="shared" si="249"/>
        <v>ASHP SEER 21 replace ASHP - replace on fail SF</v>
      </c>
      <c r="G2968" s="2917"/>
      <c r="H2968" s="2917"/>
      <c r="I2968" s="2917"/>
      <c r="J2968" s="1654" t="str">
        <f t="shared" si="250"/>
        <v>354800_2019_12_</v>
      </c>
      <c r="K2968" s="1142">
        <v>18</v>
      </c>
      <c r="L2968" s="1136"/>
      <c r="M2968" s="1133"/>
      <c r="N2968" s="177"/>
      <c r="O2968" s="332"/>
      <c r="P2968" s="1116"/>
      <c r="Q2968" s="1117"/>
      <c r="R2968" s="1116"/>
      <c r="S2968" s="1103"/>
      <c r="T2968" s="1639"/>
      <c r="U2968" s="177"/>
      <c r="V2968" s="2866"/>
      <c r="W2968" s="1142">
        <v>18</v>
      </c>
      <c r="X2968" s="1142">
        <v>18</v>
      </c>
      <c r="Y2968" s="1142">
        <v>18</v>
      </c>
      <c r="Z2968" s="1142"/>
      <c r="AA2968" s="1142"/>
      <c r="AB2968" s="1142"/>
      <c r="AC2968" s="1142"/>
      <c r="AD2968" s="1142"/>
      <c r="AE2968" s="1142"/>
      <c r="AF2968" s="1142"/>
      <c r="AG2968" s="1142"/>
      <c r="BB2968" s="784"/>
      <c r="BC2968" s="785"/>
      <c r="BD2968" s="900"/>
      <c r="BE2968" s="797"/>
    </row>
    <row r="2969" spans="1:57" s="65" customFormat="1" hidden="1" outlineLevel="1" x14ac:dyDescent="0.25">
      <c r="A2969" s="718"/>
      <c r="B2969" s="785"/>
      <c r="C2969" s="455"/>
      <c r="D2969" s="2806"/>
      <c r="E2969" s="2856"/>
      <c r="F2969" s="2917" t="str">
        <f t="shared" si="249"/>
        <v>ASHP SEER 21 replace ASHP - replace on fail SF</v>
      </c>
      <c r="G2969" s="2917"/>
      <c r="H2969" s="2917"/>
      <c r="I2969" s="2917"/>
      <c r="J2969" s="1654" t="str">
        <f t="shared" si="250"/>
        <v>354800_2019_12_</v>
      </c>
      <c r="K2969" s="1142">
        <v>18</v>
      </c>
      <c r="L2969" s="1136"/>
      <c r="M2969" s="1133"/>
      <c r="N2969" s="177"/>
      <c r="O2969" s="332"/>
      <c r="P2969" s="1116"/>
      <c r="Q2969" s="1117"/>
      <c r="R2969" s="1116"/>
      <c r="S2969" s="1103"/>
      <c r="T2969" s="1639"/>
      <c r="U2969" s="177"/>
      <c r="V2969" s="2866"/>
      <c r="W2969" s="1142">
        <v>18</v>
      </c>
      <c r="X2969" s="1142">
        <v>18</v>
      </c>
      <c r="Y2969" s="1142">
        <v>18</v>
      </c>
      <c r="Z2969" s="1142"/>
      <c r="AA2969" s="1142"/>
      <c r="AB2969" s="1142"/>
      <c r="AC2969" s="1142"/>
      <c r="AD2969" s="1142"/>
      <c r="AE2969" s="1142"/>
      <c r="AF2969" s="1142"/>
      <c r="AG2969" s="1142"/>
      <c r="BB2969" s="784"/>
      <c r="BC2969" s="785"/>
      <c r="BD2969" s="900"/>
      <c r="BE2969" s="797"/>
    </row>
    <row r="2970" spans="1:57" s="65" customFormat="1" hidden="1" outlineLevel="1" x14ac:dyDescent="0.25">
      <c r="A2970" s="718"/>
      <c r="B2970" s="785"/>
      <c r="C2970" s="455"/>
      <c r="D2970" s="2806"/>
      <c r="E2970" s="2856"/>
      <c r="F2970" s="2917" t="str">
        <f t="shared" si="249"/>
        <v>ASHP - SEER 21 - replace electric furnace / CAC MF</v>
      </c>
      <c r="G2970" s="2917"/>
      <c r="H2970" s="2917"/>
      <c r="I2970" s="2917"/>
      <c r="J2970" s="1654" t="str">
        <f t="shared" si="250"/>
        <v>354850_2019_12_</v>
      </c>
      <c r="K2970" s="1142">
        <v>18</v>
      </c>
      <c r="L2970" s="1136"/>
      <c r="M2970" s="1133"/>
      <c r="N2970" s="177"/>
      <c r="O2970" s="332"/>
      <c r="P2970" s="1116"/>
      <c r="Q2970" s="1117"/>
      <c r="R2970" s="1116"/>
      <c r="S2970" s="1103"/>
      <c r="T2970" s="1639"/>
      <c r="U2970" s="177"/>
      <c r="V2970" s="2866"/>
      <c r="W2970" s="1142">
        <v>18</v>
      </c>
      <c r="X2970" s="1142">
        <v>18</v>
      </c>
      <c r="Y2970" s="1142">
        <v>18</v>
      </c>
      <c r="Z2970" s="1142"/>
      <c r="AA2970" s="1142"/>
      <c r="AB2970" s="1142"/>
      <c r="AC2970" s="1142"/>
      <c r="AD2970" s="1142"/>
      <c r="AE2970" s="1142"/>
      <c r="AF2970" s="1142"/>
      <c r="AG2970" s="1142"/>
      <c r="BB2970" s="784"/>
      <c r="BC2970" s="785"/>
      <c r="BD2970" s="900"/>
      <c r="BE2970" s="797"/>
    </row>
    <row r="2971" spans="1:57" s="65" customFormat="1" hidden="1" outlineLevel="1" x14ac:dyDescent="0.25">
      <c r="A2971" s="718"/>
      <c r="B2971" s="785"/>
      <c r="C2971" s="455"/>
      <c r="D2971" s="2806"/>
      <c r="E2971" s="2856"/>
      <c r="F2971" s="2917" t="str">
        <f t="shared" si="249"/>
        <v>ASHP - SEER 21 - replace electric furnace / CAC MF</v>
      </c>
      <c r="G2971" s="2917"/>
      <c r="H2971" s="2917"/>
      <c r="I2971" s="2917"/>
      <c r="J2971" s="1654" t="str">
        <f t="shared" si="250"/>
        <v>354850_2019_12_</v>
      </c>
      <c r="K2971" s="1142">
        <v>18</v>
      </c>
      <c r="L2971" s="1136"/>
      <c r="M2971" s="1133"/>
      <c r="N2971" s="177"/>
      <c r="O2971" s="332"/>
      <c r="P2971" s="1116"/>
      <c r="Q2971" s="1117"/>
      <c r="R2971" s="1116"/>
      <c r="S2971" s="1103"/>
      <c r="T2971" s="1639"/>
      <c r="U2971" s="177"/>
      <c r="V2971" s="2866"/>
      <c r="W2971" s="1142">
        <v>18</v>
      </c>
      <c r="X2971" s="1142">
        <v>18</v>
      </c>
      <c r="Y2971" s="1142">
        <v>18</v>
      </c>
      <c r="Z2971" s="1142"/>
      <c r="AA2971" s="1142"/>
      <c r="AB2971" s="1142"/>
      <c r="AC2971" s="1142"/>
      <c r="AD2971" s="1142"/>
      <c r="AE2971" s="1142"/>
      <c r="AF2971" s="1142"/>
      <c r="AG2971" s="1142"/>
      <c r="BB2971" s="784"/>
      <c r="BC2971" s="785"/>
      <c r="BD2971" s="900"/>
      <c r="BE2971" s="797"/>
    </row>
    <row r="2972" spans="1:57" s="65" customFormat="1" hidden="1" outlineLevel="1" x14ac:dyDescent="0.25">
      <c r="A2972" s="718"/>
      <c r="B2972" s="785"/>
      <c r="C2972" s="455"/>
      <c r="D2972" s="2806"/>
      <c r="E2972" s="2856"/>
      <c r="F2972" s="2917" t="str">
        <f>E1616</f>
        <v>ASHP SEER 21 replace ASHP - early replacement MF ER1</v>
      </c>
      <c r="G2972" s="2917"/>
      <c r="H2972" s="2917"/>
      <c r="I2972" s="2917"/>
      <c r="J2972" s="1654" t="str">
        <f>C1616</f>
        <v>354900_2019_12_</v>
      </c>
      <c r="K2972" s="1142">
        <v>6</v>
      </c>
      <c r="L2972" s="1136"/>
      <c r="M2972" s="1133"/>
      <c r="N2972" s="177"/>
      <c r="O2972" s="332"/>
      <c r="P2972" s="1116"/>
      <c r="Q2972" s="1117"/>
      <c r="R2972" s="1116"/>
      <c r="S2972" s="1103"/>
      <c r="T2972" s="1639"/>
      <c r="U2972" s="177"/>
      <c r="V2972" s="2866"/>
      <c r="W2972" s="1142">
        <v>6</v>
      </c>
      <c r="X2972" s="1142">
        <v>6</v>
      </c>
      <c r="Y2972" s="1142">
        <v>6</v>
      </c>
      <c r="Z2972" s="1142"/>
      <c r="AA2972" s="1142"/>
      <c r="AB2972" s="1142"/>
      <c r="AC2972" s="1142"/>
      <c r="AD2972" s="1142"/>
      <c r="AE2972" s="1142"/>
      <c r="AF2972" s="1142"/>
      <c r="AG2972" s="1142"/>
      <c r="BB2972" s="784"/>
      <c r="BC2972" s="785"/>
      <c r="BD2972" s="900"/>
      <c r="BE2972" s="797"/>
    </row>
    <row r="2973" spans="1:57" s="65" customFormat="1" hidden="1" outlineLevel="1" x14ac:dyDescent="0.25">
      <c r="A2973" s="718"/>
      <c r="B2973" s="785"/>
      <c r="C2973" s="455"/>
      <c r="D2973" s="2806"/>
      <c r="E2973" s="2856"/>
      <c r="F2973" s="2917" t="str">
        <f>E1617</f>
        <v>ASHP SEER 21 replace ASHP - early replacement MF ER1</v>
      </c>
      <c r="G2973" s="2917"/>
      <c r="H2973" s="2917"/>
      <c r="I2973" s="2917"/>
      <c r="J2973" s="1654" t="str">
        <f>C1617</f>
        <v>354900_2019_12_</v>
      </c>
      <c r="K2973" s="1142">
        <v>6</v>
      </c>
      <c r="L2973" s="1136"/>
      <c r="M2973" s="1133"/>
      <c r="N2973" s="177"/>
      <c r="O2973" s="332"/>
      <c r="P2973" s="1116"/>
      <c r="Q2973" s="1117"/>
      <c r="R2973" s="1116"/>
      <c r="S2973" s="1103"/>
      <c r="T2973" s="1639"/>
      <c r="U2973" s="177"/>
      <c r="V2973" s="2866"/>
      <c r="W2973" s="1142">
        <v>6</v>
      </c>
      <c r="X2973" s="1142">
        <v>6</v>
      </c>
      <c r="Y2973" s="1142">
        <v>6</v>
      </c>
      <c r="Z2973" s="1142"/>
      <c r="AA2973" s="1142"/>
      <c r="AB2973" s="1142"/>
      <c r="AC2973" s="1142"/>
      <c r="AD2973" s="1142"/>
      <c r="AE2973" s="1142"/>
      <c r="AF2973" s="1142"/>
      <c r="AG2973" s="1142"/>
      <c r="BB2973" s="784"/>
      <c r="BC2973" s="785"/>
      <c r="BD2973" s="900"/>
      <c r="BE2973" s="797"/>
    </row>
    <row r="2974" spans="1:57" s="65" customFormat="1" hidden="1" outlineLevel="1" x14ac:dyDescent="0.25">
      <c r="A2974" s="718"/>
      <c r="B2974" s="785"/>
      <c r="C2974" s="455"/>
      <c r="D2974" s="2806"/>
      <c r="E2974" s="2856"/>
      <c r="F2974" s="2917" t="str">
        <f>E1618</f>
        <v>ASHP SEER 21 replace ASHP - early replacement MF ER2</v>
      </c>
      <c r="G2974" s="2917"/>
      <c r="H2974" s="2917"/>
      <c r="I2974" s="2917"/>
      <c r="J2974" s="1654" t="str">
        <f>C1618</f>
        <v>354900_2019_12_</v>
      </c>
      <c r="K2974" s="1142">
        <v>12</v>
      </c>
      <c r="L2974" s="1136"/>
      <c r="M2974" s="1133"/>
      <c r="N2974" s="177"/>
      <c r="O2974" s="332"/>
      <c r="P2974" s="1116"/>
      <c r="Q2974" s="1117"/>
      <c r="R2974" s="1116"/>
      <c r="S2974" s="1103"/>
      <c r="T2974" s="1639"/>
      <c r="U2974" s="177"/>
      <c r="V2974" s="2866"/>
      <c r="W2974" s="1142">
        <v>12</v>
      </c>
      <c r="X2974" s="1142">
        <v>12</v>
      </c>
      <c r="Y2974" s="1142">
        <v>12</v>
      </c>
      <c r="Z2974" s="1142"/>
      <c r="AA2974" s="1142"/>
      <c r="AB2974" s="1142"/>
      <c r="AC2974" s="1142"/>
      <c r="AD2974" s="1142"/>
      <c r="AE2974" s="1142"/>
      <c r="AF2974" s="1142"/>
      <c r="AG2974" s="1142"/>
      <c r="BB2974" s="784"/>
      <c r="BC2974" s="785"/>
      <c r="BD2974" s="900"/>
      <c r="BE2974" s="797"/>
    </row>
    <row r="2975" spans="1:57" s="65" customFormat="1" hidden="1" outlineLevel="1" x14ac:dyDescent="0.25">
      <c r="A2975" s="718"/>
      <c r="B2975" s="785"/>
      <c r="C2975" s="455"/>
      <c r="D2975" s="2806"/>
      <c r="E2975" s="2856"/>
      <c r="F2975" s="2917" t="str">
        <f>E1619</f>
        <v>ASHP SEER 21 replace ASHP - early replacement MF ER2</v>
      </c>
      <c r="G2975" s="2917"/>
      <c r="H2975" s="2917"/>
      <c r="I2975" s="2917"/>
      <c r="J2975" s="1654" t="str">
        <f>C1619</f>
        <v>354900_2019_12_</v>
      </c>
      <c r="K2975" s="1142">
        <v>12</v>
      </c>
      <c r="L2975" s="1136"/>
      <c r="M2975" s="1133"/>
      <c r="N2975" s="177"/>
      <c r="O2975" s="332"/>
      <c r="P2975" s="1116"/>
      <c r="Q2975" s="1117"/>
      <c r="R2975" s="1116"/>
      <c r="S2975" s="1103"/>
      <c r="T2975" s="1639"/>
      <c r="U2975" s="177"/>
      <c r="V2975" s="2866"/>
      <c r="W2975" s="1142">
        <v>12</v>
      </c>
      <c r="X2975" s="1142">
        <v>12</v>
      </c>
      <c r="Y2975" s="1142">
        <v>12</v>
      </c>
      <c r="Z2975" s="1142"/>
      <c r="AA2975" s="1142"/>
      <c r="AB2975" s="1142"/>
      <c r="AC2975" s="1142"/>
      <c r="AD2975" s="1142"/>
      <c r="AE2975" s="1142"/>
      <c r="AF2975" s="1142"/>
      <c r="AG2975" s="1142"/>
      <c r="BB2975" s="784"/>
      <c r="BC2975" s="785"/>
      <c r="BD2975" s="900"/>
      <c r="BE2975" s="797"/>
    </row>
    <row r="2976" spans="1:57" s="65" customFormat="1" hidden="1" outlineLevel="1" x14ac:dyDescent="0.25">
      <c r="A2976" s="718"/>
      <c r="B2976" s="785"/>
      <c r="C2976" s="455"/>
      <c r="D2976" s="2806"/>
      <c r="E2976" s="2856"/>
      <c r="F2976" s="2917" t="str">
        <f>E1624</f>
        <v>ASHP - SEER 17 - replace on fail MF</v>
      </c>
      <c r="G2976" s="2917"/>
      <c r="H2976" s="2917"/>
      <c r="I2976" s="2917"/>
      <c r="J2976" s="1654" t="str">
        <f>C1624</f>
        <v>354950_2019_12_</v>
      </c>
      <c r="K2976" s="1142">
        <v>18</v>
      </c>
      <c r="L2976" s="1136"/>
      <c r="M2976" s="1133"/>
      <c r="N2976" s="177"/>
      <c r="O2976" s="332"/>
      <c r="P2976" s="1116"/>
      <c r="Q2976" s="1117"/>
      <c r="R2976" s="1116"/>
      <c r="S2976" s="1103"/>
      <c r="T2976" s="1639"/>
      <c r="U2976" s="177"/>
      <c r="V2976" s="2866"/>
      <c r="W2976" s="1142">
        <v>18</v>
      </c>
      <c r="X2976" s="1142">
        <v>18</v>
      </c>
      <c r="Y2976" s="1142">
        <v>18</v>
      </c>
      <c r="Z2976" s="1142"/>
      <c r="AA2976" s="1142"/>
      <c r="AB2976" s="1142"/>
      <c r="AC2976" s="1142"/>
      <c r="AD2976" s="1142"/>
      <c r="AE2976" s="1142"/>
      <c r="AF2976" s="1142"/>
      <c r="AG2976" s="1142"/>
      <c r="BB2976" s="784"/>
      <c r="BC2976" s="785"/>
      <c r="BD2976" s="900"/>
      <c r="BE2976" s="797"/>
    </row>
    <row r="2977" spans="1:57" s="65" customFormat="1" hidden="1" outlineLevel="1" x14ac:dyDescent="0.25">
      <c r="A2977" s="718"/>
      <c r="B2977" s="785"/>
      <c r="C2977" s="455"/>
      <c r="D2977" s="2806"/>
      <c r="E2977" s="2856"/>
      <c r="F2977" s="2917" t="str">
        <f>E1625</f>
        <v>ASHP - SEER 17 - replace on fail MF</v>
      </c>
      <c r="G2977" s="2917"/>
      <c r="H2977" s="2917"/>
      <c r="I2977" s="2917"/>
      <c r="J2977" s="1654" t="str">
        <f>C1625</f>
        <v>354950_2019_12_</v>
      </c>
      <c r="K2977" s="1142">
        <v>18</v>
      </c>
      <c r="L2977" s="1136"/>
      <c r="M2977" s="1133"/>
      <c r="N2977" s="177"/>
      <c r="O2977" s="332"/>
      <c r="P2977" s="1116"/>
      <c r="Q2977" s="1117"/>
      <c r="R2977" s="1116"/>
      <c r="S2977" s="1103"/>
      <c r="T2977" s="1639"/>
      <c r="U2977" s="177"/>
      <c r="V2977" s="2866"/>
      <c r="W2977" s="1142">
        <v>18</v>
      </c>
      <c r="X2977" s="1142">
        <v>18</v>
      </c>
      <c r="Y2977" s="1142">
        <v>18</v>
      </c>
      <c r="Z2977" s="1142"/>
      <c r="AA2977" s="1142"/>
      <c r="AB2977" s="1142"/>
      <c r="AC2977" s="1142"/>
      <c r="AD2977" s="1142"/>
      <c r="AE2977" s="1142"/>
      <c r="AF2977" s="1142"/>
      <c r="AG2977" s="1142"/>
      <c r="BB2977" s="784"/>
      <c r="BC2977" s="785"/>
      <c r="BD2977" s="900"/>
      <c r="BE2977" s="797"/>
    </row>
    <row r="2978" spans="1:57" s="65" customFormat="1" hidden="1" outlineLevel="1" x14ac:dyDescent="0.25">
      <c r="A2978" s="718"/>
      <c r="B2978" s="785"/>
      <c r="C2978" s="455"/>
      <c r="D2978" s="2806"/>
      <c r="E2978" s="2856"/>
      <c r="F2978" s="2917" t="str">
        <f>E1628</f>
        <v>ASHP - SEER 18 - replace on fail MF</v>
      </c>
      <c r="G2978" s="2917"/>
      <c r="H2978" s="2917"/>
      <c r="I2978" s="2917"/>
      <c r="J2978" s="1654" t="str">
        <f>C1628</f>
        <v>355000_2019_12_</v>
      </c>
      <c r="K2978" s="1142">
        <v>18</v>
      </c>
      <c r="L2978" s="1136"/>
      <c r="M2978" s="1133"/>
      <c r="N2978" s="177"/>
      <c r="O2978" s="332"/>
      <c r="P2978" s="1116"/>
      <c r="Q2978" s="1117"/>
      <c r="R2978" s="1116"/>
      <c r="S2978" s="1103"/>
      <c r="T2978" s="1639"/>
      <c r="U2978" s="177"/>
      <c r="V2978" s="2866"/>
      <c r="W2978" s="1142">
        <v>18</v>
      </c>
      <c r="X2978" s="1142">
        <v>18</v>
      </c>
      <c r="Y2978" s="1142">
        <v>18</v>
      </c>
      <c r="Z2978" s="1142"/>
      <c r="AA2978" s="1142"/>
      <c r="AB2978" s="1142"/>
      <c r="AC2978" s="1142"/>
      <c r="AD2978" s="1142"/>
      <c r="AE2978" s="1142"/>
      <c r="AF2978" s="1142"/>
      <c r="AG2978" s="1142"/>
      <c r="BB2978" s="784"/>
      <c r="BC2978" s="785"/>
      <c r="BD2978" s="900"/>
      <c r="BE2978" s="797"/>
    </row>
    <row r="2979" spans="1:57" s="65" customFormat="1" hidden="1" outlineLevel="1" x14ac:dyDescent="0.25">
      <c r="A2979" s="718"/>
      <c r="B2979" s="785"/>
      <c r="C2979" s="455"/>
      <c r="D2979" s="2806"/>
      <c r="E2979" s="2856"/>
      <c r="F2979" s="2917" t="str">
        <f>E1629</f>
        <v>ASHP - SEER 18 - replace on fail MF</v>
      </c>
      <c r="G2979" s="2917"/>
      <c r="H2979" s="2917"/>
      <c r="I2979" s="2917"/>
      <c r="J2979" s="1654" t="str">
        <f>C1629</f>
        <v>355000_2019_12_</v>
      </c>
      <c r="K2979" s="1142">
        <v>18</v>
      </c>
      <c r="L2979" s="1136"/>
      <c r="M2979" s="1133"/>
      <c r="N2979" s="177"/>
      <c r="O2979" s="332"/>
      <c r="P2979" s="1116"/>
      <c r="Q2979" s="1117"/>
      <c r="R2979" s="1116"/>
      <c r="S2979" s="1103"/>
      <c r="T2979" s="1639"/>
      <c r="U2979" s="177"/>
      <c r="V2979" s="2866"/>
      <c r="W2979" s="1142">
        <v>18</v>
      </c>
      <c r="X2979" s="1142">
        <v>18</v>
      </c>
      <c r="Y2979" s="1142">
        <v>18</v>
      </c>
      <c r="Z2979" s="1142"/>
      <c r="AA2979" s="1142"/>
      <c r="AB2979" s="1142"/>
      <c r="AC2979" s="1142"/>
      <c r="AD2979" s="1142"/>
      <c r="AE2979" s="1142"/>
      <c r="AF2979" s="1142"/>
      <c r="AG2979" s="1142"/>
      <c r="BB2979" s="784"/>
      <c r="BC2979" s="785"/>
      <c r="BD2979" s="900"/>
      <c r="BE2979" s="797"/>
    </row>
    <row r="2980" spans="1:57" s="65" customFormat="1" hidden="1" outlineLevel="1" x14ac:dyDescent="0.25">
      <c r="A2980" s="718"/>
      <c r="B2980" s="785"/>
      <c r="C2980" s="455"/>
      <c r="D2980" s="2806"/>
      <c r="E2980" s="2856"/>
      <c r="F2980" s="2917" t="str">
        <f>E1632</f>
        <v>ASHP - SEER 19 - replace on fail MF</v>
      </c>
      <c r="G2980" s="2917"/>
      <c r="H2980" s="2917"/>
      <c r="I2980" s="2917"/>
      <c r="J2980" s="1654" t="str">
        <f>C1632</f>
        <v>355050_2019_12_</v>
      </c>
      <c r="K2980" s="1142">
        <v>18</v>
      </c>
      <c r="L2980" s="1136"/>
      <c r="M2980" s="1133"/>
      <c r="N2980" s="177"/>
      <c r="O2980" s="332"/>
      <c r="P2980" s="1116"/>
      <c r="Q2980" s="1117"/>
      <c r="R2980" s="1116"/>
      <c r="S2980" s="1103"/>
      <c r="T2980" s="1639"/>
      <c r="U2980" s="177"/>
      <c r="V2980" s="2866"/>
      <c r="W2980" s="1142">
        <v>18</v>
      </c>
      <c r="X2980" s="1142">
        <v>18</v>
      </c>
      <c r="Y2980" s="1142">
        <v>18</v>
      </c>
      <c r="Z2980" s="1142"/>
      <c r="AA2980" s="1142"/>
      <c r="AB2980" s="1142"/>
      <c r="AC2980" s="1142"/>
      <c r="AD2980" s="1142"/>
      <c r="AE2980" s="1142"/>
      <c r="AF2980" s="1142"/>
      <c r="AG2980" s="1142"/>
      <c r="BB2980" s="784"/>
      <c r="BC2980" s="785"/>
      <c r="BD2980" s="900"/>
      <c r="BE2980" s="797"/>
    </row>
    <row r="2981" spans="1:57" s="65" customFormat="1" ht="15" hidden="1" customHeight="1" outlineLevel="1" x14ac:dyDescent="0.25">
      <c r="A2981" s="718"/>
      <c r="B2981" s="785"/>
      <c r="C2981" s="455"/>
      <c r="D2981" s="2806"/>
      <c r="E2981" s="2856"/>
      <c r="F2981" s="2917" t="str">
        <f>E1633</f>
        <v>ASHP - SEER 19 - replace on fail MF</v>
      </c>
      <c r="G2981" s="2917"/>
      <c r="H2981" s="2917"/>
      <c r="I2981" s="2917"/>
      <c r="J2981" s="1654" t="str">
        <f>C1633</f>
        <v>355050_2019_12_</v>
      </c>
      <c r="K2981" s="1142">
        <v>18</v>
      </c>
      <c r="L2981" s="1124"/>
      <c r="M2981" s="928"/>
      <c r="N2981" s="177"/>
      <c r="O2981" s="332"/>
      <c r="P2981" s="1116"/>
      <c r="Q2981" s="1117"/>
      <c r="R2981" s="1116"/>
      <c r="S2981" s="1103"/>
      <c r="T2981" s="1639"/>
      <c r="U2981" s="177"/>
      <c r="V2981" s="2866"/>
      <c r="W2981" s="1142">
        <v>18</v>
      </c>
      <c r="X2981" s="1142">
        <v>18</v>
      </c>
      <c r="Y2981" s="1142">
        <v>18</v>
      </c>
      <c r="Z2981" s="1142"/>
      <c r="AA2981" s="1142"/>
      <c r="AB2981" s="1142"/>
      <c r="AC2981" s="1142"/>
      <c r="AD2981" s="1142"/>
      <c r="AE2981" s="1142"/>
      <c r="AF2981" s="1142"/>
      <c r="AG2981" s="1142"/>
      <c r="BB2981" s="784"/>
      <c r="BC2981" s="785"/>
      <c r="BD2981" s="900"/>
      <c r="BE2981" s="797"/>
    </row>
    <row r="2982" spans="1:57" s="65" customFormat="1" ht="15" hidden="1" customHeight="1" outlineLevel="1" x14ac:dyDescent="0.25">
      <c r="A2982" s="718"/>
      <c r="B2982" s="785"/>
      <c r="C2982" s="455"/>
      <c r="D2982" s="2806"/>
      <c r="E2982" s="2856"/>
      <c r="F2982" s="2917" t="str">
        <f>E1636</f>
        <v>ASHP - SEER 20 - replace on fail MF</v>
      </c>
      <c r="G2982" s="2917"/>
      <c r="H2982" s="2917"/>
      <c r="I2982" s="2917"/>
      <c r="J2982" s="1654" t="str">
        <f>C1636</f>
        <v>355100_2019_12_</v>
      </c>
      <c r="K2982" s="1142">
        <v>18</v>
      </c>
      <c r="L2982" s="1124"/>
      <c r="M2982" s="928"/>
      <c r="N2982" s="177"/>
      <c r="O2982" s="332"/>
      <c r="P2982" s="1116"/>
      <c r="Q2982" s="1117"/>
      <c r="R2982" s="1116"/>
      <c r="S2982" s="1103"/>
      <c r="T2982" s="1639"/>
      <c r="U2982" s="177"/>
      <c r="V2982" s="2866"/>
      <c r="W2982" s="1142">
        <v>18</v>
      </c>
      <c r="X2982" s="1142">
        <v>18</v>
      </c>
      <c r="Y2982" s="1142">
        <v>18</v>
      </c>
      <c r="Z2982" s="1142"/>
      <c r="AA2982" s="1142"/>
      <c r="AB2982" s="1142"/>
      <c r="AC2982" s="1142"/>
      <c r="AD2982" s="1142"/>
      <c r="AE2982" s="1142"/>
      <c r="AF2982" s="1142"/>
      <c r="AG2982" s="1142"/>
      <c r="BB2982" s="784"/>
      <c r="BC2982" s="785"/>
      <c r="BD2982" s="900"/>
      <c r="BE2982" s="797"/>
    </row>
    <row r="2983" spans="1:57" s="65" customFormat="1" ht="15" hidden="1" customHeight="1" outlineLevel="1" x14ac:dyDescent="0.25">
      <c r="A2983" s="718"/>
      <c r="B2983" s="785"/>
      <c r="C2983" s="455"/>
      <c r="D2983" s="2806"/>
      <c r="E2983" s="2856"/>
      <c r="F2983" s="2917" t="str">
        <f>E1637</f>
        <v>ASHP - SEER 20 - replace on fail MF</v>
      </c>
      <c r="G2983" s="2917"/>
      <c r="H2983" s="2917"/>
      <c r="I2983" s="2917"/>
      <c r="J2983" s="1654" t="str">
        <f>C1637</f>
        <v>355100_2019_12_</v>
      </c>
      <c r="K2983" s="1142">
        <v>18</v>
      </c>
      <c r="L2983" s="1124"/>
      <c r="M2983" s="928"/>
      <c r="N2983" s="177"/>
      <c r="O2983" s="332"/>
      <c r="P2983" s="1116"/>
      <c r="Q2983" s="1117"/>
      <c r="R2983" s="1116"/>
      <c r="S2983" s="1103"/>
      <c r="T2983" s="1639"/>
      <c r="U2983" s="177"/>
      <c r="V2983" s="2866"/>
      <c r="W2983" s="1142">
        <v>18</v>
      </c>
      <c r="X2983" s="1142">
        <v>18</v>
      </c>
      <c r="Y2983" s="1142">
        <v>18</v>
      </c>
      <c r="Z2983" s="1142"/>
      <c r="AA2983" s="1142"/>
      <c r="AB2983" s="1142"/>
      <c r="AC2983" s="1142"/>
      <c r="AD2983" s="1142"/>
      <c r="AE2983" s="1142"/>
      <c r="AF2983" s="1142"/>
      <c r="AG2983" s="1142"/>
      <c r="BB2983" s="784"/>
      <c r="BC2983" s="785"/>
      <c r="BD2983" s="900"/>
      <c r="BE2983" s="797"/>
    </row>
    <row r="2984" spans="1:57" s="65" customFormat="1" ht="15" hidden="1" customHeight="1" outlineLevel="1" x14ac:dyDescent="0.25">
      <c r="A2984" s="718"/>
      <c r="B2984" s="785"/>
      <c r="C2984" s="455"/>
      <c r="D2984" s="2806"/>
      <c r="E2984" s="2856"/>
      <c r="F2984" s="2917" t="str">
        <f>E1640</f>
        <v>ASHP - SEER 21 - replace on fail MF</v>
      </c>
      <c r="G2984" s="2917"/>
      <c r="H2984" s="2917"/>
      <c r="I2984" s="2917"/>
      <c r="J2984" s="1654" t="str">
        <f>C1640</f>
        <v>355150_2019_12_</v>
      </c>
      <c r="K2984" s="1142">
        <v>18</v>
      </c>
      <c r="L2984" s="1136"/>
      <c r="M2984" s="928"/>
      <c r="N2984" s="177"/>
      <c r="O2984" s="332"/>
      <c r="P2984" s="1116"/>
      <c r="Q2984" s="1117"/>
      <c r="R2984" s="1116"/>
      <c r="S2984" s="1103"/>
      <c r="T2984" s="1639"/>
      <c r="U2984" s="177"/>
      <c r="V2984" s="2866"/>
      <c r="W2984" s="1142">
        <v>18</v>
      </c>
      <c r="X2984" s="1142">
        <v>18</v>
      </c>
      <c r="Y2984" s="1142">
        <v>18</v>
      </c>
      <c r="Z2984" s="1142"/>
      <c r="AA2984" s="1142"/>
      <c r="AB2984" s="1142"/>
      <c r="AC2984" s="1142"/>
      <c r="AD2984" s="1142"/>
      <c r="AE2984" s="1142"/>
      <c r="AF2984" s="1142"/>
      <c r="AG2984" s="1142"/>
      <c r="BB2984" s="784"/>
      <c r="BC2984" s="785"/>
      <c r="BD2984" s="900"/>
      <c r="BE2984" s="797"/>
    </row>
    <row r="2985" spans="1:57" s="65" customFormat="1" ht="15.75" hidden="1" customHeight="1" outlineLevel="1" thickBot="1" x14ac:dyDescent="0.3">
      <c r="A2985" s="718"/>
      <c r="B2985" s="785"/>
      <c r="C2985" s="455"/>
      <c r="D2985" s="2824"/>
      <c r="E2985" s="2890"/>
      <c r="F2985" s="2917" t="str">
        <f>E1641</f>
        <v>ASHP - SEER 21 - replace on fail MF</v>
      </c>
      <c r="G2985" s="2917"/>
      <c r="H2985" s="2917"/>
      <c r="I2985" s="2917"/>
      <c r="J2985" s="1654" t="str">
        <f>C1641</f>
        <v>355150_2019_12_</v>
      </c>
      <c r="K2985" s="1144">
        <v>18</v>
      </c>
      <c r="L2985" s="1145"/>
      <c r="M2985" s="928"/>
      <c r="N2985" s="177"/>
      <c r="O2985" s="332"/>
      <c r="P2985" s="1116"/>
      <c r="Q2985" s="1117"/>
      <c r="R2985" s="1116"/>
      <c r="S2985" s="1103"/>
      <c r="T2985" s="1639"/>
      <c r="U2985" s="177"/>
      <c r="V2985" s="2883"/>
      <c r="W2985" s="1144">
        <v>18</v>
      </c>
      <c r="X2985" s="1144">
        <v>18</v>
      </c>
      <c r="Y2985" s="1144">
        <v>18</v>
      </c>
      <c r="Z2985" s="1144"/>
      <c r="AA2985" s="1144"/>
      <c r="AB2985" s="1144"/>
      <c r="AC2985" s="1144"/>
      <c r="AD2985" s="1144"/>
      <c r="AE2985" s="1144"/>
      <c r="AF2985" s="1144"/>
      <c r="AG2985" s="1144"/>
      <c r="BB2985" s="784"/>
      <c r="BC2985" s="785"/>
      <c r="BD2985" s="900"/>
      <c r="BE2985" s="797"/>
    </row>
    <row r="2986" spans="1:57" s="65" customFormat="1" hidden="1" outlineLevel="1" x14ac:dyDescent="0.25">
      <c r="A2986" s="718"/>
      <c r="B2986" s="785"/>
      <c r="C2986" s="455"/>
      <c r="D2986" s="2805" t="str">
        <f>D1370</f>
        <v>Inc. Cost</v>
      </c>
      <c r="E2986" s="2855" t="e">
        <f>E1370</f>
        <v>#REF!</v>
      </c>
      <c r="F2986" s="2905" t="str">
        <f t="shared" ref="F2986:F3013" si="251">E1388</f>
        <v>ASHP - SEER 15 ER Elec Resist Furnace: HVAC ER1</v>
      </c>
      <c r="G2986" s="2905"/>
      <c r="H2986" s="2905"/>
      <c r="I2986" s="2905"/>
      <c r="J2986" s="1656" t="str">
        <f t="shared" ref="J2986:J3013" si="252">C1388</f>
        <v>352300_2019_12_</v>
      </c>
      <c r="K2986" s="1147">
        <f>(($R$1678*L2986)+$R$1666)-(($Q$1678*L2986)/((1+$R$1680)^($R$1681-1)))</f>
        <v>995.91981316470583</v>
      </c>
      <c r="L2986" s="904">
        <f>VLOOKUP(J2986,$J$1664:$L$1791,3,FALSE)*M2986</f>
        <v>2.9</v>
      </c>
      <c r="M2986" s="2109">
        <f>VLOOKUP(J2986,$J$2688:$K$2815,2,FALSE)</f>
        <v>1</v>
      </c>
      <c r="N2986" s="1453"/>
      <c r="O2986" s="332"/>
      <c r="P2986" s="1116"/>
      <c r="Q2986" s="1116"/>
      <c r="R2986" s="1116"/>
      <c r="S2986" s="1103"/>
      <c r="T2986" s="1639"/>
      <c r="U2986" s="177"/>
      <c r="V2986" s="2867" t="s">
        <v>775</v>
      </c>
      <c r="W2986" s="1147">
        <v>2365.1309007383738</v>
      </c>
      <c r="X2986" s="1148">
        <f>$Q$1666*(X$1664/12000)*X$2688</f>
        <v>3120.6296154662073</v>
      </c>
      <c r="Y2986" s="1146">
        <v>1119.3961863407253</v>
      </c>
      <c r="Z2986" s="1056"/>
      <c r="AA2986" s="1149"/>
      <c r="AB2986" s="1056"/>
      <c r="AC2986" s="1056"/>
      <c r="AD2986" s="1056"/>
      <c r="AE2986" s="1056"/>
      <c r="AF2986" s="1056"/>
      <c r="AG2986" s="1056"/>
      <c r="BB2986" s="784"/>
      <c r="BC2986" s="785"/>
      <c r="BD2986" s="900"/>
      <c r="BE2986" s="797"/>
    </row>
    <row r="2987" spans="1:57" s="65" customFormat="1" ht="15" hidden="1" customHeight="1" outlineLevel="1" x14ac:dyDescent="0.25">
      <c r="A2987" s="718"/>
      <c r="B2987" s="785"/>
      <c r="C2987" s="455"/>
      <c r="D2987" s="2806"/>
      <c r="E2987" s="2856"/>
      <c r="F2987" s="2917" t="str">
        <f t="shared" si="251"/>
        <v>ASHP - SEER 15 ER Elec Resist Furnace: HVAC ER1</v>
      </c>
      <c r="G2987" s="2917"/>
      <c r="H2987" s="2917"/>
      <c r="I2987" s="2917"/>
      <c r="J2987" s="1654" t="str">
        <f t="shared" si="252"/>
        <v>352300_2019_12_</v>
      </c>
      <c r="K2987" s="713"/>
      <c r="L2987" s="910"/>
      <c r="M2987" s="2110" t="str">
        <f>IF(K2987&gt;0,VLOOKUP(J2987,$J$2688:$K$2815,2,FALSE),"")</f>
        <v/>
      </c>
      <c r="N2987" s="1453"/>
      <c r="O2987" s="332"/>
      <c r="P2987" s="1116"/>
      <c r="Q2987" s="1116"/>
      <c r="R2987" s="1116"/>
      <c r="S2987" s="1103"/>
      <c r="T2987" s="1639"/>
      <c r="U2987" s="177"/>
      <c r="V2987" s="2866"/>
      <c r="W2987" s="713"/>
      <c r="X2987" s="1094"/>
      <c r="Y2987" s="713"/>
      <c r="Z2987" s="1060"/>
      <c r="AA2987" s="1085"/>
      <c r="AB2987" s="1060"/>
      <c r="AC2987" s="1060"/>
      <c r="AD2987" s="1060"/>
      <c r="AE2987" s="1060"/>
      <c r="AF2987" s="1060"/>
      <c r="AG2987" s="1060"/>
      <c r="BB2987" s="784"/>
      <c r="BC2987" s="785"/>
      <c r="BD2987" s="900"/>
      <c r="BE2987" s="797"/>
    </row>
    <row r="2988" spans="1:57" s="65" customFormat="1" ht="15" hidden="1" customHeight="1" outlineLevel="1" x14ac:dyDescent="0.25">
      <c r="A2988" s="718"/>
      <c r="B2988" s="785"/>
      <c r="C2988" s="455"/>
      <c r="D2988" s="2806"/>
      <c r="E2988" s="2856"/>
      <c r="F2988" s="2917" t="str">
        <f t="shared" si="251"/>
        <v>ASHP - SEER 15 ER Elec Resist Furnace: HVAC ER2</v>
      </c>
      <c r="G2988" s="2917"/>
      <c r="H2988" s="2917"/>
      <c r="I2988" s="2917"/>
      <c r="J2988" s="1654" t="str">
        <f t="shared" si="252"/>
        <v>352300_2019_12_</v>
      </c>
      <c r="K2988" s="713"/>
      <c r="L2988" s="910"/>
      <c r="M2988" s="2110" t="str">
        <f>IF(K2988&gt;0,VLOOKUP(J2988,$J$2688:$K$2815,2,FALSE),"")</f>
        <v/>
      </c>
      <c r="N2988" s="1453"/>
      <c r="O2988" s="332"/>
      <c r="P2988" s="1116"/>
      <c r="Q2988" s="1116"/>
      <c r="R2988" s="1116"/>
      <c r="S2988" s="1103"/>
      <c r="T2988" s="1639"/>
      <c r="U2988" s="177"/>
      <c r="V2988" s="2866"/>
      <c r="W2988" s="713"/>
      <c r="X2988" s="1094"/>
      <c r="Y2988" s="713"/>
      <c r="Z2988" s="1060"/>
      <c r="AA2988" s="1085"/>
      <c r="AB2988" s="1060"/>
      <c r="AC2988" s="1060"/>
      <c r="AD2988" s="1060"/>
      <c r="AE2988" s="1060"/>
      <c r="AF2988" s="1060"/>
      <c r="AG2988" s="1060"/>
      <c r="BB2988" s="784"/>
      <c r="BC2988" s="785"/>
      <c r="BD2988" s="900"/>
      <c r="BE2988" s="797"/>
    </row>
    <row r="2989" spans="1:57" s="65" customFormat="1" ht="15" hidden="1" customHeight="1" outlineLevel="1" x14ac:dyDescent="0.25">
      <c r="A2989" s="718"/>
      <c r="B2989" s="785"/>
      <c r="C2989" s="455"/>
      <c r="D2989" s="2806"/>
      <c r="E2989" s="2856"/>
      <c r="F2989" s="2917" t="str">
        <f t="shared" si="251"/>
        <v>ASHP - SEER 15 ER Elec Resist Furnace: HVAC ER2</v>
      </c>
      <c r="G2989" s="2917"/>
      <c r="H2989" s="2917"/>
      <c r="I2989" s="2917"/>
      <c r="J2989" s="1654" t="str">
        <f t="shared" si="252"/>
        <v>352300_2019_12_</v>
      </c>
      <c r="K2989" s="713"/>
      <c r="L2989" s="910"/>
      <c r="M2989" s="2110" t="str">
        <f>IF(K2989&gt;0,VLOOKUP(J2989,$J$2688:$K$2815,2,FALSE),"")</f>
        <v/>
      </c>
      <c r="N2989" s="1453"/>
      <c r="O2989" s="332"/>
      <c r="P2989" s="1116"/>
      <c r="Q2989" s="1116"/>
      <c r="R2989" s="1116"/>
      <c r="S2989" s="1103"/>
      <c r="T2989" s="1639"/>
      <c r="U2989" s="177"/>
      <c r="V2989" s="2866"/>
      <c r="W2989" s="713"/>
      <c r="X2989" s="1094"/>
      <c r="Y2989" s="713"/>
      <c r="Z2989" s="1060"/>
      <c r="AA2989" s="1085"/>
      <c r="AB2989" s="1060"/>
      <c r="AC2989" s="1060"/>
      <c r="AD2989" s="1060"/>
      <c r="AE2989" s="1060"/>
      <c r="AF2989" s="1060"/>
      <c r="AG2989" s="1060"/>
      <c r="BB2989" s="784"/>
      <c r="BC2989" s="785"/>
      <c r="BD2989" s="900"/>
      <c r="BE2989" s="797"/>
    </row>
    <row r="2990" spans="1:57" s="65" customFormat="1" ht="15" hidden="1" customHeight="1" outlineLevel="1" x14ac:dyDescent="0.25">
      <c r="A2990" s="718"/>
      <c r="B2990" s="785"/>
      <c r="C2990" s="455"/>
      <c r="D2990" s="2806"/>
      <c r="E2990" s="2856"/>
      <c r="F2990" s="2917" t="str">
        <f t="shared" si="251"/>
        <v>ASHP - SEER 15 ER with ASHP: HVAC ER1</v>
      </c>
      <c r="G2990" s="2917"/>
      <c r="H2990" s="2917"/>
      <c r="I2990" s="2917"/>
      <c r="J2990" s="1654" t="str">
        <f t="shared" si="252"/>
        <v>352350_2019_12_</v>
      </c>
      <c r="K2990" s="713">
        <f>(($R$1678*L2990)+$R$1666)-(($Q$1678*L2990)/((1+$R$1680)^($R$1681-1)))</f>
        <v>1003.0879491629616</v>
      </c>
      <c r="L2990" s="910">
        <f>VLOOKUP(J2990,$J$1664:$L$1791,3,FALSE)*M2990</f>
        <v>2.93</v>
      </c>
      <c r="M2990" s="2110">
        <f>VLOOKUP(J2990,$J$2688:$K$2815,2,FALSE)</f>
        <v>1</v>
      </c>
      <c r="N2990" s="1453"/>
      <c r="O2990" s="332"/>
      <c r="P2990" s="1116"/>
      <c r="Q2990" s="1116"/>
      <c r="R2990" s="1116"/>
      <c r="S2990" s="1103"/>
      <c r="T2990" s="1639"/>
      <c r="U2990" s="177"/>
      <c r="V2990" s="2866"/>
      <c r="W2990" s="713">
        <v>2618.5377829603426</v>
      </c>
      <c r="X2990" s="1094">
        <f>$Q$1666*(X$1666/12000)*X$2690</f>
        <v>3120.6296154662073</v>
      </c>
      <c r="Y2990" s="716">
        <v>1127.8416641304575</v>
      </c>
      <c r="Z2990" s="1060"/>
      <c r="AA2990" s="1085"/>
      <c r="AB2990" s="1060"/>
      <c r="AC2990" s="1060"/>
      <c r="AD2990" s="1060"/>
      <c r="AE2990" s="1060"/>
      <c r="AF2990" s="1060"/>
      <c r="AG2990" s="1060"/>
      <c r="BB2990" s="784"/>
      <c r="BC2990" s="785"/>
      <c r="BD2990" s="900"/>
      <c r="BE2990" s="797"/>
    </row>
    <row r="2991" spans="1:57" s="65" customFormat="1" ht="15" hidden="1" customHeight="1" outlineLevel="1" x14ac:dyDescent="0.25">
      <c r="A2991" s="718"/>
      <c r="B2991" s="785"/>
      <c r="C2991" s="455"/>
      <c r="D2991" s="2806"/>
      <c r="E2991" s="2856"/>
      <c r="F2991" s="2917" t="str">
        <f t="shared" si="251"/>
        <v>ASHP - SEER 15 ER with ASHP: HVAC ER1</v>
      </c>
      <c r="G2991" s="2917"/>
      <c r="H2991" s="2917"/>
      <c r="I2991" s="2917"/>
      <c r="J2991" s="1654" t="str">
        <f t="shared" si="252"/>
        <v>352350_2019_12_</v>
      </c>
      <c r="K2991" s="713"/>
      <c r="L2991" s="910" t="str">
        <f>IF(K2991&gt;0,VLOOKUP(J2991,$J$1664:$L$1791,3,FALSE),"")</f>
        <v/>
      </c>
      <c r="M2991" s="2110" t="str">
        <f>IF(K2991&gt;0,VLOOKUP(J2991,$J$2688:$K$2815,2,FALSE),"")</f>
        <v/>
      </c>
      <c r="N2991" s="1453"/>
      <c r="O2991" s="332"/>
      <c r="P2991" s="1116"/>
      <c r="Q2991" s="1116"/>
      <c r="R2991" s="1116"/>
      <c r="S2991" s="1103"/>
      <c r="T2991" s="1639"/>
      <c r="U2991" s="177"/>
      <c r="V2991" s="2866"/>
      <c r="W2991" s="713"/>
      <c r="X2991" s="1094"/>
      <c r="Y2991" s="716"/>
      <c r="Z2991" s="1060"/>
      <c r="AA2991" s="1085"/>
      <c r="AB2991" s="1060"/>
      <c r="AC2991" s="1060"/>
      <c r="AD2991" s="1060"/>
      <c r="AE2991" s="1060"/>
      <c r="AF2991" s="1060"/>
      <c r="AG2991" s="1060"/>
      <c r="BB2991" s="784"/>
      <c r="BC2991" s="785"/>
      <c r="BD2991" s="900"/>
      <c r="BE2991" s="797"/>
    </row>
    <row r="2992" spans="1:57" s="65" customFormat="1" ht="15" hidden="1" customHeight="1" outlineLevel="1" x14ac:dyDescent="0.25">
      <c r="A2992" s="718"/>
      <c r="B2992" s="785"/>
      <c r="C2992" s="455"/>
      <c r="D2992" s="2806"/>
      <c r="E2992" s="2856"/>
      <c r="F2992" s="2917" t="str">
        <f t="shared" si="251"/>
        <v>ASHP - SEER 15 ER with ASHP: HVAC ER2</v>
      </c>
      <c r="G2992" s="2917"/>
      <c r="H2992" s="2917"/>
      <c r="I2992" s="2917"/>
      <c r="J2992" s="1654" t="str">
        <f t="shared" si="252"/>
        <v>352350_2019_12_</v>
      </c>
      <c r="K2992" s="713"/>
      <c r="L2992" s="910" t="str">
        <f>IF(K2992&gt;0,VLOOKUP(J2992,$J$1664:$L$1791,3,FALSE),"")</f>
        <v/>
      </c>
      <c r="M2992" s="2110" t="str">
        <f>IF(K2992&gt;0,VLOOKUP(J2992,$J$2688:$K$2815,2,FALSE),"")</f>
        <v/>
      </c>
      <c r="N2992" s="1453"/>
      <c r="O2992" s="332"/>
      <c r="P2992" s="1116"/>
      <c r="Q2992" s="1116"/>
      <c r="R2992" s="1116"/>
      <c r="S2992" s="1103"/>
      <c r="T2992" s="1639"/>
      <c r="U2992" s="177"/>
      <c r="V2992" s="2866"/>
      <c r="W2992" s="713"/>
      <c r="X2992" s="1094"/>
      <c r="Y2992" s="716"/>
      <c r="Z2992" s="1060"/>
      <c r="AA2992" s="1085"/>
      <c r="AB2992" s="1060"/>
      <c r="AC2992" s="1060"/>
      <c r="AD2992" s="1060"/>
      <c r="AE2992" s="1060"/>
      <c r="AF2992" s="1060"/>
      <c r="AG2992" s="1060"/>
      <c r="BB2992" s="784"/>
      <c r="BC2992" s="785"/>
      <c r="BD2992" s="900"/>
      <c r="BE2992" s="797"/>
    </row>
    <row r="2993" spans="1:57" s="65" customFormat="1" ht="15" hidden="1" customHeight="1" outlineLevel="1" x14ac:dyDescent="0.25">
      <c r="A2993" s="718"/>
      <c r="B2993" s="785"/>
      <c r="C2993" s="455"/>
      <c r="D2993" s="2806"/>
      <c r="E2993" s="2856"/>
      <c r="F2993" s="2917" t="str">
        <f t="shared" si="251"/>
        <v>ASHP - SEER 15 ER with ASHP: HVAC ER2</v>
      </c>
      <c r="G2993" s="2917"/>
      <c r="H2993" s="2917"/>
      <c r="I2993" s="2917"/>
      <c r="J2993" s="1654" t="str">
        <f t="shared" si="252"/>
        <v>352350_2019_12_</v>
      </c>
      <c r="K2993" s="713"/>
      <c r="L2993" s="910" t="str">
        <f>IF(K2993&gt;0,VLOOKUP(J2993,$J$1664:$L$1791,3,FALSE),"")</f>
        <v/>
      </c>
      <c r="M2993" s="2110" t="str">
        <f>IF(K2993&gt;0,VLOOKUP(J2993,$J$2688:$K$2815,2,FALSE),"")</f>
        <v/>
      </c>
      <c r="N2993" s="1453"/>
      <c r="O2993" s="332"/>
      <c r="P2993" s="1116"/>
      <c r="Q2993" s="1116"/>
      <c r="R2993" s="1116"/>
      <c r="S2993" s="1103"/>
      <c r="T2993" s="1639"/>
      <c r="U2993" s="177"/>
      <c r="V2993" s="2866"/>
      <c r="W2993" s="713"/>
      <c r="X2993" s="1094"/>
      <c r="Y2993" s="716"/>
      <c r="Z2993" s="1060"/>
      <c r="AA2993" s="1085"/>
      <c r="AB2993" s="1060"/>
      <c r="AC2993" s="1060"/>
      <c r="AD2993" s="1060"/>
      <c r="AE2993" s="1060"/>
      <c r="AF2993" s="1060"/>
      <c r="AG2993" s="1060"/>
      <c r="BB2993" s="784"/>
      <c r="BC2993" s="785"/>
      <c r="BD2993" s="900"/>
      <c r="BE2993" s="797"/>
    </row>
    <row r="2994" spans="1:57" s="65" customFormat="1" ht="15" hidden="1" customHeight="1" outlineLevel="1" x14ac:dyDescent="0.25">
      <c r="A2994" s="718"/>
      <c r="B2994" s="785"/>
      <c r="C2994" s="455"/>
      <c r="D2994" s="2806"/>
      <c r="E2994" s="2856"/>
      <c r="F2994" s="2917" t="str">
        <f t="shared" si="251"/>
        <v>ASHP-  SEER 15 Replace at Fail Elec Resist Furnace: HVAC</v>
      </c>
      <c r="G2994" s="2917"/>
      <c r="H2994" s="2917"/>
      <c r="I2994" s="2917"/>
      <c r="J2994" s="1654" t="str">
        <f t="shared" si="252"/>
        <v>352400_2019_12_</v>
      </c>
      <c r="K2994" s="713">
        <f>$R$1666*K$2692</f>
        <v>303</v>
      </c>
      <c r="L2994" s="910">
        <f>VLOOKUP(J2994,$J$1664:$L$1791,3,FALSE)*M2994</f>
        <v>2.86</v>
      </c>
      <c r="M2994" s="2110">
        <f>VLOOKUP(J2994,$J$2688:$K$2815,2,FALSE)</f>
        <v>1</v>
      </c>
      <c r="N2994" s="1453"/>
      <c r="O2994" s="332"/>
      <c r="P2994" s="1116"/>
      <c r="Q2994" s="1116"/>
      <c r="R2994" s="1116"/>
      <c r="S2994" s="1103"/>
      <c r="T2994" s="1639"/>
      <c r="U2994" s="177"/>
      <c r="V2994" s="2866"/>
      <c r="W2994" s="713">
        <v>787.80000000000007</v>
      </c>
      <c r="X2994" s="1094">
        <f>$R$1666*(X$1668/12000)*X$2692</f>
        <v>927.18000000000006</v>
      </c>
      <c r="Y2994" s="716">
        <v>303</v>
      </c>
      <c r="Z2994" s="1060"/>
      <c r="AA2994" s="1085"/>
      <c r="AB2994" s="1060"/>
      <c r="AC2994" s="1060"/>
      <c r="AD2994" s="1060"/>
      <c r="AE2994" s="1060"/>
      <c r="AF2994" s="1060"/>
      <c r="AG2994" s="1060"/>
      <c r="BB2994" s="784"/>
      <c r="BC2994" s="785"/>
      <c r="BD2994" s="900"/>
      <c r="BE2994" s="797"/>
    </row>
    <row r="2995" spans="1:57" s="65" customFormat="1" ht="15" hidden="1" customHeight="1" outlineLevel="1" x14ac:dyDescent="0.25">
      <c r="A2995" s="718"/>
      <c r="B2995" s="785"/>
      <c r="C2995" s="455"/>
      <c r="D2995" s="2806"/>
      <c r="E2995" s="2856"/>
      <c r="F2995" s="2917" t="str">
        <f t="shared" si="251"/>
        <v>ASHP-  SEER 15 Replace at Fail Elec Resist Furnace: HVAC</v>
      </c>
      <c r="G2995" s="2917"/>
      <c r="H2995" s="2917"/>
      <c r="I2995" s="2917"/>
      <c r="J2995" s="1654" t="str">
        <f t="shared" si="252"/>
        <v>352400_2019_12_</v>
      </c>
      <c r="K2995" s="713"/>
      <c r="L2995" s="910" t="str">
        <f>IF(K2995&gt;0,VLOOKUP(J2995,$J$1664:$L$1791,3,FALSE),"")</f>
        <v/>
      </c>
      <c r="M2995" s="2110" t="str">
        <f>IF(K2995&gt;0,VLOOKUP(J2995,$J$2688:$K$2815,2,FALSE),"")</f>
        <v/>
      </c>
      <c r="N2995" s="1453"/>
      <c r="O2995" s="332"/>
      <c r="P2995" s="1116"/>
      <c r="Q2995" s="1116"/>
      <c r="R2995" s="1116"/>
      <c r="S2995" s="1103"/>
      <c r="T2995" s="1639"/>
      <c r="U2995" s="177"/>
      <c r="V2995" s="2866"/>
      <c r="W2995" s="713"/>
      <c r="X2995" s="1094"/>
      <c r="Y2995" s="716"/>
      <c r="Z2995" s="1060"/>
      <c r="AA2995" s="1085"/>
      <c r="AB2995" s="1060"/>
      <c r="AC2995" s="1060"/>
      <c r="AD2995" s="1060"/>
      <c r="AE2995" s="1060"/>
      <c r="AF2995" s="1060"/>
      <c r="AG2995" s="1060"/>
      <c r="BB2995" s="784"/>
      <c r="BC2995" s="785"/>
      <c r="BD2995" s="900"/>
      <c r="BE2995" s="797"/>
    </row>
    <row r="2996" spans="1:57" s="65" customFormat="1" ht="15" hidden="1" customHeight="1" outlineLevel="1" x14ac:dyDescent="0.25">
      <c r="A2996" s="718"/>
      <c r="B2996" s="785"/>
      <c r="C2996" s="455"/>
      <c r="D2996" s="2806"/>
      <c r="E2996" s="2856"/>
      <c r="F2996" s="2917" t="str">
        <f t="shared" si="251"/>
        <v>ASHP - SEER 15 Replace at Fail with ASHP: HVAC</v>
      </c>
      <c r="G2996" s="2917"/>
      <c r="H2996" s="2917"/>
      <c r="I2996" s="2917"/>
      <c r="J2996" s="1654" t="str">
        <f t="shared" si="252"/>
        <v>352450_2019_12_</v>
      </c>
      <c r="K2996" s="713">
        <f>$R$1666*K$2692</f>
        <v>303</v>
      </c>
      <c r="L2996" s="910">
        <f>VLOOKUP(J2996,$J$1664:$L$1791,3,FALSE)*M2996</f>
        <v>2.89</v>
      </c>
      <c r="M2996" s="2110">
        <f>VLOOKUP(J2996,$J$2688:$K$2815,2,FALSE)</f>
        <v>1</v>
      </c>
      <c r="N2996" s="1453"/>
      <c r="O2996" s="332"/>
      <c r="P2996" s="1116"/>
      <c r="Q2996" s="1116"/>
      <c r="R2996" s="1116"/>
      <c r="S2996" s="1103"/>
      <c r="T2996" s="1639"/>
      <c r="U2996" s="177"/>
      <c r="V2996" s="2866"/>
      <c r="W2996" s="713">
        <v>939.30000000000007</v>
      </c>
      <c r="X2996" s="1094">
        <f>$R$1666*(X$1669/12000)*X$2693</f>
        <v>927.18000000000006</v>
      </c>
      <c r="Y2996" s="716">
        <v>303</v>
      </c>
      <c r="Z2996" s="1060"/>
      <c r="AA2996" s="1085"/>
      <c r="AB2996" s="1060"/>
      <c r="AC2996" s="1060"/>
      <c r="AD2996" s="1060"/>
      <c r="AE2996" s="1060"/>
      <c r="AF2996" s="1060"/>
      <c r="AG2996" s="1060"/>
      <c r="BB2996" s="784"/>
      <c r="BC2996" s="785"/>
      <c r="BD2996" s="900"/>
      <c r="BE2996" s="797"/>
    </row>
    <row r="2997" spans="1:57" s="65" customFormat="1" ht="15" hidden="1" customHeight="1" outlineLevel="1" x14ac:dyDescent="0.25">
      <c r="A2997" s="718"/>
      <c r="B2997" s="785"/>
      <c r="C2997" s="455"/>
      <c r="D2997" s="2806"/>
      <c r="E2997" s="2856"/>
      <c r="F2997" s="2917" t="str">
        <f t="shared" si="251"/>
        <v>ASHP - SEER 15 Replace at Fail with ASHP: HVAC</v>
      </c>
      <c r="G2997" s="2917"/>
      <c r="H2997" s="2917"/>
      <c r="I2997" s="2917"/>
      <c r="J2997" s="1654" t="str">
        <f t="shared" si="252"/>
        <v>352450_2019_12_</v>
      </c>
      <c r="K2997" s="713"/>
      <c r="L2997" s="910" t="str">
        <f>IF(K2997&gt;0,VLOOKUP(J2997,$J$1664:$L$1791,3,FALSE),"")</f>
        <v/>
      </c>
      <c r="M2997" s="2110" t="str">
        <f>IF(K2997&gt;0,VLOOKUP(J2997,$J$2688:$K$2815,2,FALSE),"")</f>
        <v/>
      </c>
      <c r="N2997" s="1453"/>
      <c r="O2997" s="332"/>
      <c r="P2997" s="1116"/>
      <c r="Q2997" s="1116"/>
      <c r="R2997" s="1116"/>
      <c r="S2997" s="1103"/>
      <c r="T2997" s="1639"/>
      <c r="U2997" s="177"/>
      <c r="V2997" s="2866"/>
      <c r="W2997" s="713"/>
      <c r="X2997" s="1094"/>
      <c r="Y2997" s="716"/>
      <c r="Z2997" s="1060"/>
      <c r="AA2997" s="1085"/>
      <c r="AB2997" s="1060"/>
      <c r="AC2997" s="1060"/>
      <c r="AD2997" s="1060"/>
      <c r="AE2997" s="1060"/>
      <c r="AF2997" s="1060"/>
      <c r="AG2997" s="1060"/>
      <c r="BB2997" s="784"/>
      <c r="BC2997" s="785"/>
      <c r="BD2997" s="900"/>
      <c r="BE2997" s="797"/>
    </row>
    <row r="2998" spans="1:57" s="65" customFormat="1" ht="15" hidden="1" customHeight="1" outlineLevel="1" x14ac:dyDescent="0.25">
      <c r="A2998" s="718"/>
      <c r="B2998" s="785"/>
      <c r="C2998" s="455"/>
      <c r="D2998" s="2806"/>
      <c r="E2998" s="2856"/>
      <c r="F2998" s="2917" t="str">
        <f t="shared" si="251"/>
        <v>ASHP - SEER 16 - replace electric furnace / CAC - early replacement SF ER1</v>
      </c>
      <c r="G2998" s="2917"/>
      <c r="H2998" s="2917"/>
      <c r="I2998" s="2917"/>
      <c r="J2998" s="1654" t="str">
        <f t="shared" si="252"/>
        <v>352500_2019_12_</v>
      </c>
      <c r="K2998" s="713">
        <f>(($R$1678*L2998)+$R$1667)-(($Q$1678*L2998)/((1+$R$1680)^($R$1681-1)))</f>
        <v>1197.8224158150915</v>
      </c>
      <c r="L2998" s="910">
        <f>VLOOKUP(J2998,$J$1664:$L$1791,3,FALSE)*M2998</f>
        <v>3.18</v>
      </c>
      <c r="M2998" s="2110">
        <f>VLOOKUP(J2998,$J$2688:$K$2815,2,FALSE)</f>
        <v>1</v>
      </c>
      <c r="N2998" s="1453"/>
      <c r="O2998" s="332"/>
      <c r="P2998" s="1116"/>
      <c r="Q2998" s="1116"/>
      <c r="R2998" s="1116"/>
      <c r="S2998" s="1103"/>
      <c r="T2998" s="1639"/>
      <c r="U2998" s="177"/>
      <c r="V2998" s="2866"/>
      <c r="W2998" s="713">
        <v>2896.6077829603428</v>
      </c>
      <c r="X2998" s="1094">
        <f>$Q$1667*(X$1670/12000)*X$2694</f>
        <v>3533.7296154662076</v>
      </c>
      <c r="Y2998" s="716">
        <v>1287.9206457115542</v>
      </c>
      <c r="Z2998" s="1060"/>
      <c r="AA2998" s="1085"/>
      <c r="AB2998" s="1060"/>
      <c r="AC2998" s="1060"/>
      <c r="AD2998" s="1060"/>
      <c r="AE2998" s="1060"/>
      <c r="AF2998" s="1060"/>
      <c r="AG2998" s="1060"/>
      <c r="BB2998" s="784"/>
      <c r="BC2998" s="785"/>
      <c r="BD2998" s="900"/>
      <c r="BE2998" s="797"/>
    </row>
    <row r="2999" spans="1:57" s="65" customFormat="1" ht="15" hidden="1" customHeight="1" outlineLevel="1" x14ac:dyDescent="0.25">
      <c r="A2999" s="718"/>
      <c r="B2999" s="785"/>
      <c r="C2999" s="455"/>
      <c r="D2999" s="2806"/>
      <c r="E2999" s="2856"/>
      <c r="F2999" s="2917" t="str">
        <f t="shared" si="251"/>
        <v>ASHP - SEER 16 - replace electric furnace / CAC - early replacement SF ER1</v>
      </c>
      <c r="G2999" s="2917"/>
      <c r="H2999" s="2917"/>
      <c r="I2999" s="2917"/>
      <c r="J2999" s="1654" t="str">
        <f t="shared" si="252"/>
        <v>352500_2019_12_</v>
      </c>
      <c r="K2999" s="713"/>
      <c r="L2999" s="910" t="str">
        <f>IF(K2999&gt;0,VLOOKUP(J2999,$J$1664:$L$1791,3,FALSE),"")</f>
        <v/>
      </c>
      <c r="M2999" s="2110" t="str">
        <f>IF(K2999&gt;0,VLOOKUP(J2999,$J$2688:$K$2815,2,FALSE),"")</f>
        <v/>
      </c>
      <c r="N2999" s="1453"/>
      <c r="O2999" s="332"/>
      <c r="P2999" s="1116"/>
      <c r="Q2999" s="1116"/>
      <c r="R2999" s="1116"/>
      <c r="S2999" s="1103"/>
      <c r="T2999" s="1639"/>
      <c r="U2999" s="177"/>
      <c r="V2999" s="2866"/>
      <c r="W2999" s="713"/>
      <c r="X2999" s="1094"/>
      <c r="Y2999" s="716"/>
      <c r="Z2999" s="1060"/>
      <c r="AA2999" s="1085"/>
      <c r="AB2999" s="1060"/>
      <c r="AC2999" s="1060"/>
      <c r="AD2999" s="1060"/>
      <c r="AE2999" s="1060"/>
      <c r="AF2999" s="1060"/>
      <c r="AG2999" s="1060"/>
      <c r="BB2999" s="784"/>
      <c r="BC2999" s="785"/>
      <c r="BD2999" s="900"/>
      <c r="BE2999" s="797"/>
    </row>
    <row r="3000" spans="1:57" s="65" customFormat="1" ht="15" hidden="1" customHeight="1" outlineLevel="1" x14ac:dyDescent="0.25">
      <c r="A3000" s="718"/>
      <c r="B3000" s="785"/>
      <c r="C3000" s="455"/>
      <c r="D3000" s="2806"/>
      <c r="E3000" s="2856"/>
      <c r="F3000" s="2917" t="str">
        <f t="shared" si="251"/>
        <v>ASHP - SEER 16 - replace electric furnace / CAC - early replacement SF ER2</v>
      </c>
      <c r="G3000" s="2917"/>
      <c r="H3000" s="2917"/>
      <c r="I3000" s="2917"/>
      <c r="J3000" s="1654" t="str">
        <f t="shared" si="252"/>
        <v>352500_2019_12_</v>
      </c>
      <c r="K3000" s="713"/>
      <c r="L3000" s="910" t="str">
        <f>IF(K3000&gt;0,VLOOKUP(J3000,$J$1664:$L$1791,3,FALSE),"")</f>
        <v/>
      </c>
      <c r="M3000" s="2110" t="str">
        <f>IF(K3000&gt;0,VLOOKUP(J3000,$J$2688:$K$2815,2,FALSE),"")</f>
        <v/>
      </c>
      <c r="N3000" s="1453"/>
      <c r="O3000" s="332"/>
      <c r="P3000" s="1116"/>
      <c r="Q3000" s="1116"/>
      <c r="R3000" s="1116"/>
      <c r="S3000" s="1103"/>
      <c r="T3000" s="1639"/>
      <c r="U3000" s="177"/>
      <c r="V3000" s="2866"/>
      <c r="W3000" s="713"/>
      <c r="X3000" s="1094"/>
      <c r="Y3000" s="716"/>
      <c r="Z3000" s="1060"/>
      <c r="AA3000" s="1085"/>
      <c r="AB3000" s="1060"/>
      <c r="AC3000" s="1060"/>
      <c r="AD3000" s="1060"/>
      <c r="AE3000" s="1060"/>
      <c r="AF3000" s="1060"/>
      <c r="AG3000" s="1060"/>
      <c r="BB3000" s="784"/>
      <c r="BC3000" s="785"/>
      <c r="BD3000" s="900"/>
      <c r="BE3000" s="797"/>
    </row>
    <row r="3001" spans="1:57" s="65" customFormat="1" ht="15" hidden="1" customHeight="1" outlineLevel="1" x14ac:dyDescent="0.25">
      <c r="A3001" s="718"/>
      <c r="B3001" s="785"/>
      <c r="C3001" s="455"/>
      <c r="D3001" s="2806"/>
      <c r="E3001" s="2856"/>
      <c r="F3001" s="2917" t="str">
        <f t="shared" si="251"/>
        <v>ASHP - SEER 16 - replace electric furnace / CAC - early replacement SF ER2</v>
      </c>
      <c r="G3001" s="2917"/>
      <c r="H3001" s="2917"/>
      <c r="I3001" s="2917"/>
      <c r="J3001" s="1654" t="str">
        <f t="shared" si="252"/>
        <v>352500_2019_12_</v>
      </c>
      <c r="K3001" s="713"/>
      <c r="L3001" s="910" t="str">
        <f>IF(K3001&gt;0,VLOOKUP(J3001,$J$1664:$L$1791,3,FALSE),"")</f>
        <v/>
      </c>
      <c r="M3001" s="2110" t="str">
        <f>IF(K3001&gt;0,VLOOKUP(J3001,$J$2688:$K$2815,2,FALSE),"")</f>
        <v/>
      </c>
      <c r="N3001" s="1453"/>
      <c r="O3001" s="332"/>
      <c r="P3001" s="1116"/>
      <c r="Q3001" s="1116"/>
      <c r="R3001" s="1116"/>
      <c r="S3001" s="1103"/>
      <c r="T3001" s="1639"/>
      <c r="U3001" s="177"/>
      <c r="V3001" s="2866"/>
      <c r="W3001" s="713"/>
      <c r="X3001" s="1094"/>
      <c r="Y3001" s="716"/>
      <c r="Z3001" s="1060"/>
      <c r="AA3001" s="1085"/>
      <c r="AB3001" s="1060"/>
      <c r="AC3001" s="1060"/>
      <c r="AD3001" s="1060"/>
      <c r="AE3001" s="1060"/>
      <c r="AF3001" s="1060"/>
      <c r="AG3001" s="1060"/>
      <c r="BB3001" s="784"/>
      <c r="BC3001" s="785"/>
      <c r="BD3001" s="900"/>
      <c r="BE3001" s="797"/>
    </row>
    <row r="3002" spans="1:57" s="65" customFormat="1" ht="15" hidden="1" customHeight="1" outlineLevel="1" x14ac:dyDescent="0.25">
      <c r="A3002" s="718"/>
      <c r="B3002" s="785"/>
      <c r="C3002" s="455"/>
      <c r="D3002" s="2806"/>
      <c r="E3002" s="2856"/>
      <c r="F3002" s="2917" t="str">
        <f t="shared" si="251"/>
        <v>ASHP SEER 16 replace ASHP - early replacement SF ER1</v>
      </c>
      <c r="G3002" s="2917"/>
      <c r="H3002" s="2917"/>
      <c r="I3002" s="2917"/>
      <c r="J3002" s="1654" t="str">
        <f t="shared" si="252"/>
        <v>352550_2019_12_</v>
      </c>
      <c r="K3002" s="713">
        <f>(($R$1678*L3002)+$R$1667)-(($Q$1678*L3002)/((1+$R$1680)^($R$1681-1)))</f>
        <v>1190.6542798168357</v>
      </c>
      <c r="L3002" s="910">
        <f>VLOOKUP(J3002,$J$1664:$L$1791,3,FALSE)*M3002</f>
        <v>3.15</v>
      </c>
      <c r="M3002" s="2110">
        <f>VLOOKUP(J3002,$J$2688:$K$2815,2,FALSE)</f>
        <v>1</v>
      </c>
      <c r="N3002" s="1453"/>
      <c r="O3002" s="332"/>
      <c r="P3002" s="1116"/>
      <c r="Q3002" s="1116"/>
      <c r="R3002" s="1116"/>
      <c r="S3002" s="1103"/>
      <c r="T3002" s="1639"/>
      <c r="U3002" s="177"/>
      <c r="V3002" s="2866"/>
      <c r="W3002" s="713">
        <v>3083.4857044416549</v>
      </c>
      <c r="X3002" s="1094">
        <f>$Q$1667*(X$1672/12000)*X$2696</f>
        <v>3533.7296154662076</v>
      </c>
      <c r="Y3002" s="716">
        <v>1279.4751679218225</v>
      </c>
      <c r="Z3002" s="1060"/>
      <c r="AA3002" s="1085"/>
      <c r="AB3002" s="1060"/>
      <c r="AC3002" s="1060"/>
      <c r="AD3002" s="1060"/>
      <c r="AE3002" s="1060"/>
      <c r="AF3002" s="1060"/>
      <c r="AG3002" s="1060"/>
      <c r="BB3002" s="784"/>
      <c r="BC3002" s="785"/>
      <c r="BD3002" s="900"/>
      <c r="BE3002" s="797"/>
    </row>
    <row r="3003" spans="1:57" s="65" customFormat="1" ht="15" hidden="1" customHeight="1" outlineLevel="1" x14ac:dyDescent="0.25">
      <c r="A3003" s="718"/>
      <c r="B3003" s="785"/>
      <c r="C3003" s="455"/>
      <c r="D3003" s="2806"/>
      <c r="E3003" s="2856"/>
      <c r="F3003" s="2917" t="str">
        <f t="shared" si="251"/>
        <v>ASHP SEER 16 replace ASHP - early replacement SF ER1</v>
      </c>
      <c r="G3003" s="2917"/>
      <c r="H3003" s="2917"/>
      <c r="I3003" s="2917"/>
      <c r="J3003" s="1654" t="str">
        <f t="shared" si="252"/>
        <v>352550_2019_12_</v>
      </c>
      <c r="K3003" s="713"/>
      <c r="L3003" s="910" t="str">
        <f>IF(K3003&gt;0,VLOOKUP(J3003,$J$1664:$L$1791,3,FALSE),"")</f>
        <v/>
      </c>
      <c r="M3003" s="2110" t="str">
        <f>IF(K3003&gt;0,VLOOKUP(J3003,$J$2688:$K$2815,2,FALSE),"")</f>
        <v/>
      </c>
      <c r="N3003" s="1453"/>
      <c r="O3003" s="332"/>
      <c r="P3003" s="1116"/>
      <c r="Q3003" s="1116"/>
      <c r="R3003" s="1116"/>
      <c r="S3003" s="1103"/>
      <c r="T3003" s="1639"/>
      <c r="U3003" s="177"/>
      <c r="V3003" s="2866"/>
      <c r="W3003" s="713"/>
      <c r="X3003" s="1094"/>
      <c r="Y3003" s="716"/>
      <c r="Z3003" s="1060"/>
      <c r="AA3003" s="1085"/>
      <c r="AB3003" s="1060"/>
      <c r="AC3003" s="1060"/>
      <c r="AD3003" s="1060"/>
      <c r="AE3003" s="1060"/>
      <c r="AF3003" s="1060"/>
      <c r="AG3003" s="1060"/>
      <c r="BB3003" s="784"/>
      <c r="BC3003" s="785"/>
      <c r="BD3003" s="900"/>
      <c r="BE3003" s="797"/>
    </row>
    <row r="3004" spans="1:57" s="65" customFormat="1" ht="15" hidden="1" customHeight="1" outlineLevel="1" x14ac:dyDescent="0.25">
      <c r="A3004" s="718"/>
      <c r="B3004" s="785"/>
      <c r="C3004" s="455"/>
      <c r="D3004" s="2806"/>
      <c r="E3004" s="2856"/>
      <c r="F3004" s="2917" t="str">
        <f t="shared" si="251"/>
        <v>ASHP SEER 16 replace ASHP - early replacement SF ER2</v>
      </c>
      <c r="G3004" s="2917"/>
      <c r="H3004" s="2917"/>
      <c r="I3004" s="2917"/>
      <c r="J3004" s="1654" t="str">
        <f t="shared" si="252"/>
        <v>352550_2019_12_</v>
      </c>
      <c r="K3004" s="713"/>
      <c r="L3004" s="910" t="str">
        <f>IF(K3004&gt;0,VLOOKUP(J3004,$J$1664:$L$1791,3,FALSE),"")</f>
        <v/>
      </c>
      <c r="M3004" s="2110" t="str">
        <f>IF(K3004&gt;0,VLOOKUP(J3004,$J$2688:$K$2815,2,FALSE),"")</f>
        <v/>
      </c>
      <c r="N3004" s="1453"/>
      <c r="O3004" s="332"/>
      <c r="P3004" s="1116"/>
      <c r="Q3004" s="1116"/>
      <c r="R3004" s="1116"/>
      <c r="S3004" s="1103"/>
      <c r="T3004" s="1639"/>
      <c r="U3004" s="177"/>
      <c r="V3004" s="2866"/>
      <c r="W3004" s="713"/>
      <c r="X3004" s="1094"/>
      <c r="Y3004" s="716"/>
      <c r="Z3004" s="1060"/>
      <c r="AA3004" s="1085"/>
      <c r="AB3004" s="1060"/>
      <c r="AC3004" s="1060"/>
      <c r="AD3004" s="1060"/>
      <c r="AE3004" s="1060"/>
      <c r="AF3004" s="1060"/>
      <c r="AG3004" s="1060"/>
      <c r="BB3004" s="784"/>
      <c r="BC3004" s="785"/>
      <c r="BD3004" s="900"/>
      <c r="BE3004" s="797"/>
    </row>
    <row r="3005" spans="1:57" s="65" customFormat="1" ht="15" hidden="1" customHeight="1" outlineLevel="1" x14ac:dyDescent="0.25">
      <c r="A3005" s="718"/>
      <c r="B3005" s="785"/>
      <c r="C3005" s="455"/>
      <c r="D3005" s="2806"/>
      <c r="E3005" s="2856"/>
      <c r="F3005" s="2917" t="str">
        <f t="shared" si="251"/>
        <v>ASHP SEER 16 replace ASHP - early replacement SF ER2</v>
      </c>
      <c r="G3005" s="2917"/>
      <c r="H3005" s="2917"/>
      <c r="I3005" s="2917"/>
      <c r="J3005" s="1654" t="str">
        <f t="shared" si="252"/>
        <v>352550_2019_12_</v>
      </c>
      <c r="K3005" s="713"/>
      <c r="L3005" s="910" t="str">
        <f>IF(K3005&gt;0,VLOOKUP(J3005,$J$1664:$L$1791,3,FALSE),"")</f>
        <v/>
      </c>
      <c r="M3005" s="2110" t="str">
        <f>IF(K3005&gt;0,VLOOKUP(J3005,$J$2688:$K$2815,2,FALSE),"")</f>
        <v/>
      </c>
      <c r="N3005" s="1453"/>
      <c r="O3005" s="332"/>
      <c r="P3005" s="1116"/>
      <c r="Q3005" s="1116"/>
      <c r="R3005" s="1116"/>
      <c r="S3005" s="1103"/>
      <c r="T3005" s="1639"/>
      <c r="U3005" s="177"/>
      <c r="V3005" s="2866"/>
      <c r="W3005" s="713"/>
      <c r="X3005" s="1094"/>
      <c r="Y3005" s="716"/>
      <c r="Z3005" s="1060"/>
      <c r="AA3005" s="1085"/>
      <c r="AB3005" s="1060"/>
      <c r="AC3005" s="1060"/>
      <c r="AD3005" s="1060"/>
      <c r="AE3005" s="1060"/>
      <c r="AF3005" s="1060"/>
      <c r="AG3005" s="1060"/>
      <c r="BB3005" s="784"/>
      <c r="BC3005" s="785"/>
      <c r="BD3005" s="900"/>
      <c r="BE3005" s="797"/>
    </row>
    <row r="3006" spans="1:57" s="65" customFormat="1" ht="15" hidden="1" customHeight="1" outlineLevel="1" x14ac:dyDescent="0.25">
      <c r="A3006" s="718"/>
      <c r="B3006" s="785"/>
      <c r="C3006" s="455"/>
      <c r="D3006" s="2806"/>
      <c r="E3006" s="2856"/>
      <c r="F3006" s="2917" t="str">
        <f t="shared" si="251"/>
        <v>ASHP - SEER 16 - replace electric furnace / CAC SF</v>
      </c>
      <c r="G3006" s="2917"/>
      <c r="H3006" s="2917"/>
      <c r="I3006" s="2917"/>
      <c r="J3006" s="1654" t="str">
        <f t="shared" si="252"/>
        <v>352600_2019_12_</v>
      </c>
      <c r="K3006" s="713">
        <f>$R$1667*K$2692</f>
        <v>438</v>
      </c>
      <c r="L3006" s="910">
        <f>VLOOKUP(J3006,$J$1664:$L$1791,3,FALSE)*M3006</f>
        <v>3.11</v>
      </c>
      <c r="M3006" s="2110">
        <f>VLOOKUP(J3006,$J$2688:$K$2815,2,FALSE)</f>
        <v>1</v>
      </c>
      <c r="N3006" s="1453"/>
      <c r="O3006" s="332"/>
      <c r="P3006" s="1116"/>
      <c r="Q3006" s="1116"/>
      <c r="R3006" s="1116"/>
      <c r="S3006" s="1103"/>
      <c r="T3006" s="1639"/>
      <c r="U3006" s="177"/>
      <c r="V3006" s="2866"/>
      <c r="W3006" s="713">
        <v>1256.6400000000001</v>
      </c>
      <c r="X3006" s="1094">
        <f>$R$1667*(X$1674/12000)*X$2698</f>
        <v>1340.28</v>
      </c>
      <c r="Y3006" s="716">
        <v>392.7</v>
      </c>
      <c r="Z3006" s="1060"/>
      <c r="AA3006" s="1085"/>
      <c r="AB3006" s="1060"/>
      <c r="AC3006" s="1060"/>
      <c r="AD3006" s="1060"/>
      <c r="AE3006" s="1060"/>
      <c r="AF3006" s="1060"/>
      <c r="AG3006" s="1060"/>
      <c r="BB3006" s="784"/>
      <c r="BC3006" s="785"/>
      <c r="BD3006" s="900"/>
      <c r="BE3006" s="797"/>
    </row>
    <row r="3007" spans="1:57" s="65" customFormat="1" ht="15" hidden="1" customHeight="1" outlineLevel="1" x14ac:dyDescent="0.25">
      <c r="A3007" s="718"/>
      <c r="B3007" s="785"/>
      <c r="C3007" s="455"/>
      <c r="D3007" s="2806"/>
      <c r="E3007" s="2856"/>
      <c r="F3007" s="2917" t="str">
        <f t="shared" si="251"/>
        <v>ASHP - SEER 16 - replace electric furnace / CAC SF</v>
      </c>
      <c r="G3007" s="2917"/>
      <c r="H3007" s="2917"/>
      <c r="I3007" s="2917"/>
      <c r="J3007" s="1654" t="str">
        <f t="shared" si="252"/>
        <v>352600_2019_12_</v>
      </c>
      <c r="K3007" s="713"/>
      <c r="L3007" s="910" t="str">
        <f>IF(K3007&gt;0,VLOOKUP(J3007,$J$1664:$L$1791,3,FALSE),"")</f>
        <v/>
      </c>
      <c r="M3007" s="2110" t="str">
        <f>IF(K3007&gt;0,VLOOKUP(J3007,$J$2688:$K$2815,2,FALSE),"")</f>
        <v/>
      </c>
      <c r="N3007" s="1453"/>
      <c r="O3007" s="332"/>
      <c r="P3007" s="1116"/>
      <c r="Q3007" s="1116"/>
      <c r="R3007" s="1116"/>
      <c r="S3007" s="1103"/>
      <c r="T3007" s="1639"/>
      <c r="U3007" s="177"/>
      <c r="V3007" s="2866"/>
      <c r="W3007" s="713"/>
      <c r="X3007" s="1094"/>
      <c r="Y3007" s="716"/>
      <c r="Z3007" s="1060"/>
      <c r="AA3007" s="1085"/>
      <c r="AB3007" s="1060"/>
      <c r="AC3007" s="1060"/>
      <c r="AD3007" s="1060"/>
      <c r="AE3007" s="1060"/>
      <c r="AF3007" s="1060"/>
      <c r="AG3007" s="1060"/>
      <c r="BB3007" s="784"/>
      <c r="BC3007" s="785"/>
      <c r="BD3007" s="900"/>
      <c r="BE3007" s="797"/>
    </row>
    <row r="3008" spans="1:57" s="65" customFormat="1" ht="15" hidden="1" customHeight="1" outlineLevel="1" x14ac:dyDescent="0.25">
      <c r="A3008" s="718"/>
      <c r="B3008" s="785"/>
      <c r="C3008" s="455"/>
      <c r="D3008" s="2806"/>
      <c r="E3008" s="2856"/>
      <c r="F3008" s="2917" t="str">
        <f t="shared" si="251"/>
        <v>ASHP SEER 16 replace ASHP - replace on fail SF</v>
      </c>
      <c r="G3008" s="2917"/>
      <c r="H3008" s="2917"/>
      <c r="I3008" s="2917"/>
      <c r="J3008" s="1654" t="str">
        <f t="shared" si="252"/>
        <v>352650_2019_12_</v>
      </c>
      <c r="K3008" s="713">
        <f>$R$1667*K$2692</f>
        <v>438</v>
      </c>
      <c r="L3008" s="910">
        <f>VLOOKUP(J3008,$J$1664:$L$1791,3,FALSE)*M3008</f>
        <v>3.25</v>
      </c>
      <c r="M3008" s="2110">
        <f>VLOOKUP(J3008,$J$2688:$K$2815,2,FALSE)</f>
        <v>1</v>
      </c>
      <c r="N3008" s="1453"/>
      <c r="O3008" s="332"/>
      <c r="P3008" s="1116"/>
      <c r="Q3008" s="1116"/>
      <c r="R3008" s="1116"/>
      <c r="S3008" s="1103"/>
      <c r="T3008" s="1639"/>
      <c r="U3008" s="177"/>
      <c r="V3008" s="2866"/>
      <c r="W3008" s="713">
        <v>999.9</v>
      </c>
      <c r="X3008" s="1094">
        <f>$R$1666*(X$1675/12000)*X$2699</f>
        <v>927.18000000000006</v>
      </c>
      <c r="Y3008" s="716">
        <v>392.7</v>
      </c>
      <c r="Z3008" s="1060"/>
      <c r="AA3008" s="1085"/>
      <c r="AB3008" s="1060"/>
      <c r="AC3008" s="1060"/>
      <c r="AD3008" s="1060"/>
      <c r="AE3008" s="1060"/>
      <c r="AF3008" s="1060"/>
      <c r="AG3008" s="1060"/>
      <c r="BB3008" s="784"/>
      <c r="BC3008" s="785"/>
      <c r="BD3008" s="900"/>
      <c r="BE3008" s="797"/>
    </row>
    <row r="3009" spans="1:57" s="65" customFormat="1" ht="15" hidden="1" customHeight="1" outlineLevel="1" x14ac:dyDescent="0.25">
      <c r="A3009" s="718"/>
      <c r="B3009" s="785"/>
      <c r="C3009" s="455"/>
      <c r="D3009" s="2806"/>
      <c r="E3009" s="2856"/>
      <c r="F3009" s="2917" t="str">
        <f t="shared" si="251"/>
        <v>ASHP SEER 16 replace ASHP - replace on fail SF</v>
      </c>
      <c r="G3009" s="2917"/>
      <c r="H3009" s="2917"/>
      <c r="I3009" s="2917"/>
      <c r="J3009" s="1654" t="str">
        <f t="shared" si="252"/>
        <v>352650_2019_12_</v>
      </c>
      <c r="K3009" s="713"/>
      <c r="L3009" s="910" t="str">
        <f>IF(K3009&gt;0,VLOOKUP(J3009,$J$1664:$L$1791,3,FALSE),"")</f>
        <v/>
      </c>
      <c r="M3009" s="2110" t="str">
        <f>IF(K3009&gt;0,VLOOKUP(J3009,$J$2688:$K$2815,2,FALSE),"")</f>
        <v/>
      </c>
      <c r="N3009" s="1453"/>
      <c r="O3009" s="332"/>
      <c r="P3009" s="1116"/>
      <c r="Q3009" s="1116"/>
      <c r="R3009" s="1116"/>
      <c r="S3009" s="1103"/>
      <c r="T3009" s="1639"/>
      <c r="U3009" s="177"/>
      <c r="V3009" s="2866"/>
      <c r="W3009" s="713"/>
      <c r="X3009" s="716"/>
      <c r="Y3009" s="716"/>
      <c r="Z3009" s="1060"/>
      <c r="AA3009" s="713"/>
      <c r="AB3009" s="1060"/>
      <c r="AC3009" s="1060"/>
      <c r="AD3009" s="1060"/>
      <c r="AE3009" s="1060"/>
      <c r="AF3009" s="1060"/>
      <c r="AG3009" s="1060"/>
      <c r="BB3009" s="784"/>
      <c r="BC3009" s="785"/>
      <c r="BD3009" s="900"/>
      <c r="BE3009" s="797"/>
    </row>
    <row r="3010" spans="1:57" s="65" customFormat="1" ht="15" hidden="1" customHeight="1" outlineLevel="1" x14ac:dyDescent="0.25">
      <c r="A3010" s="718"/>
      <c r="B3010" s="785"/>
      <c r="C3010" s="455"/>
      <c r="D3010" s="2806"/>
      <c r="E3010" s="2856"/>
      <c r="F3010" s="2917" t="str">
        <f t="shared" si="251"/>
        <v>ASHP SEER 15 MF ER replace ASHP: HVAC ER1</v>
      </c>
      <c r="G3010" s="2917"/>
      <c r="H3010" s="2917"/>
      <c r="I3010" s="2917"/>
      <c r="J3010" s="1654" t="str">
        <f t="shared" si="252"/>
        <v>352700_2019_12_</v>
      </c>
      <c r="K3010" s="713">
        <f>(($R$1678*L3010)+$R$1666)-(($Q$1678*L3010)/((1+$R$1680)^($R$1681-1)))</f>
        <v>784.45980121616685</v>
      </c>
      <c r="L3010" s="910">
        <f>VLOOKUP(J3010,$J$1664:$L$1791,3,FALSE)*M3010</f>
        <v>2.0150000000000001</v>
      </c>
      <c r="M3010" s="2110">
        <f>VLOOKUP(J3010,$J$2688:$K$2815,2,FALSE)</f>
        <v>0.65</v>
      </c>
      <c r="N3010" s="1453"/>
      <c r="O3010" s="332"/>
      <c r="P3010" s="1116"/>
      <c r="Q3010" s="1116"/>
      <c r="R3010" s="1116"/>
      <c r="S3010" s="1103"/>
      <c r="T3010" s="1639"/>
      <c r="U3010" s="177"/>
      <c r="V3010" s="2866"/>
      <c r="W3010" s="713">
        <v>2618.5377829603426</v>
      </c>
      <c r="X3010" s="716">
        <f>$Q$1666*(X$1676/12000)*X$2700</f>
        <v>2054.9244036484993</v>
      </c>
      <c r="Y3010" s="716">
        <v>870.25459154364216</v>
      </c>
      <c r="Z3010" s="1060"/>
      <c r="AA3010" s="713"/>
      <c r="AB3010" s="1060"/>
      <c r="AC3010" s="1060"/>
      <c r="AD3010" s="1060"/>
      <c r="AE3010" s="1060"/>
      <c r="AF3010" s="1060"/>
      <c r="AG3010" s="1060"/>
      <c r="BB3010" s="784"/>
      <c r="BC3010" s="785"/>
      <c r="BD3010" s="900"/>
      <c r="BE3010" s="797"/>
    </row>
    <row r="3011" spans="1:57" s="65" customFormat="1" ht="15" hidden="1" customHeight="1" outlineLevel="1" x14ac:dyDescent="0.25">
      <c r="A3011" s="718"/>
      <c r="B3011" s="785"/>
      <c r="C3011" s="455"/>
      <c r="D3011" s="2806"/>
      <c r="E3011" s="2856"/>
      <c r="F3011" s="2917" t="str">
        <f t="shared" si="251"/>
        <v>ASHP SEER 15 MF ER replace ASHP: HVAC ER1</v>
      </c>
      <c r="G3011" s="2917"/>
      <c r="H3011" s="2917"/>
      <c r="I3011" s="2917"/>
      <c r="J3011" s="1654" t="str">
        <f t="shared" si="252"/>
        <v>352700_2019_12_</v>
      </c>
      <c r="K3011" s="713"/>
      <c r="L3011" s="910" t="str">
        <f>IF(K3011&gt;0,VLOOKUP(J3011,$J$1664:$L$1791,3,FALSE),"")</f>
        <v/>
      </c>
      <c r="M3011" s="2110" t="str">
        <f>IF(K3011&gt;0,VLOOKUP(J3011,$J$2688:$K$2815,2,FALSE),"")</f>
        <v/>
      </c>
      <c r="N3011" s="1453"/>
      <c r="O3011" s="332"/>
      <c r="P3011" s="1116"/>
      <c r="Q3011" s="1116"/>
      <c r="R3011" s="1116"/>
      <c r="S3011" s="1103"/>
      <c r="T3011" s="1639"/>
      <c r="U3011" s="177"/>
      <c r="V3011" s="2866"/>
      <c r="W3011" s="713"/>
      <c r="X3011" s="716"/>
      <c r="Y3011" s="716"/>
      <c r="Z3011" s="1060"/>
      <c r="AA3011" s="713"/>
      <c r="AB3011" s="1060"/>
      <c r="AC3011" s="1060"/>
      <c r="AD3011" s="1060"/>
      <c r="AE3011" s="1060"/>
      <c r="AF3011" s="1060"/>
      <c r="AG3011" s="1060"/>
      <c r="BB3011" s="784"/>
      <c r="BC3011" s="785"/>
      <c r="BD3011" s="900"/>
      <c r="BE3011" s="797"/>
    </row>
    <row r="3012" spans="1:57" s="65" customFormat="1" ht="15" hidden="1" customHeight="1" outlineLevel="1" x14ac:dyDescent="0.25">
      <c r="A3012" s="718"/>
      <c r="B3012" s="785"/>
      <c r="C3012" s="455"/>
      <c r="D3012" s="2806"/>
      <c r="E3012" s="2856"/>
      <c r="F3012" s="2917" t="str">
        <f t="shared" si="251"/>
        <v>ASHP SEER 15 MF ER replace ASHP: HVAC ER2</v>
      </c>
      <c r="G3012" s="2917"/>
      <c r="H3012" s="2917"/>
      <c r="I3012" s="2917"/>
      <c r="J3012" s="1654" t="str">
        <f t="shared" si="252"/>
        <v>352700_2019_12_</v>
      </c>
      <c r="K3012" s="713"/>
      <c r="L3012" s="910" t="str">
        <f>IF(K3012&gt;0,VLOOKUP(J3012,$J$1664:$L$1791,3,FALSE),"")</f>
        <v/>
      </c>
      <c r="M3012" s="2110" t="str">
        <f>IF(K3012&gt;0,VLOOKUP(J3012,$J$2688:$K$2815,2,FALSE),"")</f>
        <v/>
      </c>
      <c r="N3012" s="1453"/>
      <c r="O3012" s="332"/>
      <c r="P3012" s="1116"/>
      <c r="Q3012" s="1116"/>
      <c r="R3012" s="1116"/>
      <c r="S3012" s="1103"/>
      <c r="T3012" s="1639"/>
      <c r="U3012" s="177"/>
      <c r="V3012" s="2866"/>
      <c r="W3012" s="713"/>
      <c r="X3012" s="716"/>
      <c r="Y3012" s="716"/>
      <c r="Z3012" s="1060"/>
      <c r="AA3012" s="713"/>
      <c r="AB3012" s="1060"/>
      <c r="AC3012" s="1060"/>
      <c r="AD3012" s="1060"/>
      <c r="AE3012" s="1060"/>
      <c r="AF3012" s="1060"/>
      <c r="AG3012" s="1060"/>
      <c r="BB3012" s="784"/>
      <c r="BC3012" s="785"/>
      <c r="BD3012" s="900"/>
      <c r="BE3012" s="797"/>
    </row>
    <row r="3013" spans="1:57" s="65" customFormat="1" ht="15" hidden="1" customHeight="1" outlineLevel="1" x14ac:dyDescent="0.25">
      <c r="A3013" s="718"/>
      <c r="B3013" s="785"/>
      <c r="C3013" s="455"/>
      <c r="D3013" s="2806"/>
      <c r="E3013" s="2856"/>
      <c r="F3013" s="2917" t="str">
        <f t="shared" si="251"/>
        <v>ASHP SEER 15 MF ER replace ASHP: HVAC ER2</v>
      </c>
      <c r="G3013" s="2917"/>
      <c r="H3013" s="2917"/>
      <c r="I3013" s="2917"/>
      <c r="J3013" s="1654" t="str">
        <f t="shared" si="252"/>
        <v>352700_2019_12_</v>
      </c>
      <c r="K3013" s="713"/>
      <c r="L3013" s="910" t="str">
        <f>IF(K3013&gt;0,VLOOKUP(J3013,$J$1664:$L$1791,3,FALSE),"")</f>
        <v/>
      </c>
      <c r="M3013" s="2110" t="str">
        <f>IF(K3013&gt;0,VLOOKUP(J3013,$J$2688:$K$2815,2,FALSE),"")</f>
        <v/>
      </c>
      <c r="N3013" s="1453"/>
      <c r="O3013" s="332"/>
      <c r="P3013" s="1116"/>
      <c r="Q3013" s="1116"/>
      <c r="R3013" s="1116"/>
      <c r="S3013" s="1103"/>
      <c r="T3013" s="1639"/>
      <c r="U3013" s="177"/>
      <c r="V3013" s="2866"/>
      <c r="W3013" s="713"/>
      <c r="X3013" s="716"/>
      <c r="Y3013" s="716"/>
      <c r="Z3013" s="1060"/>
      <c r="AA3013" s="713"/>
      <c r="AB3013" s="1060"/>
      <c r="AC3013" s="1060"/>
      <c r="AD3013" s="1060"/>
      <c r="AE3013" s="1060"/>
      <c r="AF3013" s="1060"/>
      <c r="AG3013" s="1060"/>
      <c r="BB3013" s="784"/>
      <c r="BC3013" s="785"/>
      <c r="BD3013" s="900"/>
      <c r="BE3013" s="797"/>
    </row>
    <row r="3014" spans="1:57" s="65" customFormat="1" ht="15" hidden="1" customHeight="1" outlineLevel="1" x14ac:dyDescent="0.25">
      <c r="A3014" s="718"/>
      <c r="B3014" s="785"/>
      <c r="C3014" s="455"/>
      <c r="D3014" s="2806"/>
      <c r="E3014" s="2856"/>
      <c r="F3014" s="2917" t="str">
        <f>E1420</f>
        <v>ASHP SEER 15 MF ER replace Elec Resist Furnace: HVAC ER1</v>
      </c>
      <c r="G3014" s="2917"/>
      <c r="H3014" s="2917"/>
      <c r="I3014" s="2917"/>
      <c r="J3014" s="1654" t="str">
        <f>C1420</f>
        <v>352750_2019_12_</v>
      </c>
      <c r="K3014" s="713">
        <f>(($R$1678*L3014)+$R$1666)-(($Q$1678*L3014)/((1+$R$1680)^($R$1681-1)))</f>
        <v>737.86691722750493</v>
      </c>
      <c r="L3014" s="910">
        <f>VLOOKUP(J3014,$J$1664:$L$1791,3,FALSE)*M3014</f>
        <v>1.8199999999999998</v>
      </c>
      <c r="M3014" s="2110">
        <f>VLOOKUP(J3014,$J$2688:$K$2815,2,FALSE)</f>
        <v>0.65</v>
      </c>
      <c r="N3014" s="1453"/>
      <c r="O3014" s="332"/>
      <c r="P3014" s="1116"/>
      <c r="Q3014" s="1116"/>
      <c r="R3014" s="1116"/>
      <c r="S3014" s="1103"/>
      <c r="T3014" s="1639"/>
      <c r="U3014" s="177"/>
      <c r="V3014" s="2866"/>
      <c r="W3014" s="713">
        <v>2365.1309007383738</v>
      </c>
      <c r="X3014" s="716">
        <f>$Q$1666*(X$1680/12000)*X$2704</f>
        <v>1856.0607516825155</v>
      </c>
      <c r="Y3014" s="716">
        <v>815.35898591038654</v>
      </c>
      <c r="Z3014" s="1060"/>
      <c r="AA3014" s="713"/>
      <c r="AB3014" s="1060"/>
      <c r="AC3014" s="1060"/>
      <c r="AD3014" s="1060"/>
      <c r="AE3014" s="1060"/>
      <c r="AF3014" s="1060"/>
      <c r="AG3014" s="1060"/>
      <c r="BB3014" s="784"/>
      <c r="BC3014" s="785"/>
      <c r="BD3014" s="900"/>
      <c r="BE3014" s="797"/>
    </row>
    <row r="3015" spans="1:57" s="65" customFormat="1" ht="15" hidden="1" customHeight="1" outlineLevel="1" x14ac:dyDescent="0.25">
      <c r="A3015" s="718"/>
      <c r="B3015" s="785"/>
      <c r="C3015" s="455"/>
      <c r="D3015" s="2806"/>
      <c r="E3015" s="2856"/>
      <c r="F3015" s="2917" t="str">
        <f>E1421</f>
        <v>ASHP SEER 15 MF ER replace Elec Resist Furnace: HVAC ER1</v>
      </c>
      <c r="G3015" s="2917"/>
      <c r="H3015" s="2917"/>
      <c r="I3015" s="2917"/>
      <c r="J3015" s="1654" t="str">
        <f>C1421</f>
        <v>352750_2019_12_</v>
      </c>
      <c r="K3015" s="713"/>
      <c r="L3015" s="910" t="str">
        <f>IF(K3015&gt;0,VLOOKUP(J3015,$J$1664:$L$1791,3,FALSE),"")</f>
        <v/>
      </c>
      <c r="M3015" s="2110" t="str">
        <f>IF(K3015&gt;0,VLOOKUP(J3015,$J$2688:$K$2815,2,FALSE),"")</f>
        <v/>
      </c>
      <c r="N3015" s="1453"/>
      <c r="O3015" s="332"/>
      <c r="P3015" s="1116"/>
      <c r="Q3015" s="1116"/>
      <c r="R3015" s="1116"/>
      <c r="S3015" s="1103"/>
      <c r="T3015" s="1639"/>
      <c r="U3015" s="177"/>
      <c r="V3015" s="2866"/>
      <c r="W3015" s="713"/>
      <c r="X3015" s="716"/>
      <c r="Y3015" s="716"/>
      <c r="Z3015" s="1060"/>
      <c r="AA3015" s="713"/>
      <c r="AB3015" s="1060"/>
      <c r="AC3015" s="1060"/>
      <c r="AD3015" s="1060"/>
      <c r="AE3015" s="1060"/>
      <c r="AF3015" s="1060"/>
      <c r="AG3015" s="1060"/>
      <c r="BB3015" s="784"/>
      <c r="BC3015" s="785"/>
      <c r="BD3015" s="900"/>
      <c r="BE3015" s="797"/>
    </row>
    <row r="3016" spans="1:57" s="65" customFormat="1" ht="15" hidden="1" customHeight="1" outlineLevel="1" x14ac:dyDescent="0.25">
      <c r="A3016" s="718"/>
      <c r="B3016" s="785"/>
      <c r="C3016" s="455"/>
      <c r="D3016" s="2806"/>
      <c r="E3016" s="2856"/>
      <c r="F3016" s="2917" t="str">
        <f>E1422</f>
        <v>ASHP SEER 15 MF ER replace Elec Resist Furnace: HVAC ER2</v>
      </c>
      <c r="G3016" s="2917"/>
      <c r="H3016" s="2917"/>
      <c r="I3016" s="2917"/>
      <c r="J3016" s="1654" t="str">
        <f>C1422</f>
        <v>352750_2019_12_</v>
      </c>
      <c r="K3016" s="713"/>
      <c r="L3016" s="910" t="str">
        <f>IF(K3016&gt;0,VLOOKUP(J3016,$J$1664:$L$1791,3,FALSE),"")</f>
        <v/>
      </c>
      <c r="M3016" s="2110" t="str">
        <f>IF(K3016&gt;0,VLOOKUP(J3016,$J$2688:$K$2815,2,FALSE),"")</f>
        <v/>
      </c>
      <c r="N3016" s="1453"/>
      <c r="O3016" s="332"/>
      <c r="P3016" s="1116"/>
      <c r="Q3016" s="1116"/>
      <c r="R3016" s="1116"/>
      <c r="S3016" s="1103"/>
      <c r="T3016" s="1639"/>
      <c r="U3016" s="177"/>
      <c r="V3016" s="2866"/>
      <c r="W3016" s="713"/>
      <c r="X3016" s="716"/>
      <c r="Y3016" s="716"/>
      <c r="Z3016" s="1060"/>
      <c r="AA3016" s="713"/>
      <c r="AB3016" s="1060"/>
      <c r="AC3016" s="1060"/>
      <c r="AD3016" s="1060"/>
      <c r="AE3016" s="1060"/>
      <c r="AF3016" s="1060"/>
      <c r="AG3016" s="1060"/>
      <c r="BB3016" s="784"/>
      <c r="BC3016" s="785"/>
      <c r="BD3016" s="900"/>
      <c r="BE3016" s="797"/>
    </row>
    <row r="3017" spans="1:57" s="65" customFormat="1" ht="15" hidden="1" customHeight="1" outlineLevel="1" x14ac:dyDescent="0.25">
      <c r="A3017" s="718"/>
      <c r="B3017" s="785"/>
      <c r="C3017" s="455"/>
      <c r="D3017" s="2806"/>
      <c r="E3017" s="2856"/>
      <c r="F3017" s="2917" t="str">
        <f>E1423</f>
        <v>ASHP SEER 15 MF ER replace Elec Resist Furnace: HVAC ER2</v>
      </c>
      <c r="G3017" s="2917"/>
      <c r="H3017" s="2917"/>
      <c r="I3017" s="2917"/>
      <c r="J3017" s="1654" t="str">
        <f>C1423</f>
        <v>352750_2019_12_</v>
      </c>
      <c r="K3017" s="713"/>
      <c r="L3017" s="910" t="str">
        <f>IF(K3017&gt;0,VLOOKUP(J3017,$J$1664:$L$1791,3,FALSE),"")</f>
        <v/>
      </c>
      <c r="M3017" s="2110" t="str">
        <f>IF(K3017&gt;0,VLOOKUP(J3017,$J$2688:$K$2815,2,FALSE),"")</f>
        <v/>
      </c>
      <c r="N3017" s="1453"/>
      <c r="O3017" s="332"/>
      <c r="P3017" s="1116"/>
      <c r="Q3017" s="1116"/>
      <c r="R3017" s="1116"/>
      <c r="S3017" s="1103"/>
      <c r="T3017" s="1639"/>
      <c r="U3017" s="177"/>
      <c r="V3017" s="2866"/>
      <c r="W3017" s="713"/>
      <c r="X3017" s="716"/>
      <c r="Y3017" s="716"/>
      <c r="Z3017" s="1060"/>
      <c r="AA3017" s="713"/>
      <c r="AB3017" s="1060"/>
      <c r="AC3017" s="1060"/>
      <c r="AD3017" s="1060"/>
      <c r="AE3017" s="1060"/>
      <c r="AF3017" s="1060"/>
      <c r="AG3017" s="1060"/>
      <c r="BB3017" s="784"/>
      <c r="BC3017" s="785"/>
      <c r="BD3017" s="900"/>
      <c r="BE3017" s="797"/>
    </row>
    <row r="3018" spans="1:57" s="65" customFormat="1" ht="15" hidden="1" customHeight="1" outlineLevel="1" x14ac:dyDescent="0.25">
      <c r="A3018" s="718"/>
      <c r="B3018" s="785"/>
      <c r="C3018" s="455"/>
      <c r="D3018" s="2806"/>
      <c r="E3018" s="2856"/>
      <c r="F3018" s="2917" t="str">
        <f>E1428</f>
        <v>ASHP SEER 15 MF replace at Fail Elec Resist Furnace: HVAC</v>
      </c>
      <c r="G3018" s="2917"/>
      <c r="H3018" s="2917"/>
      <c r="I3018" s="2917"/>
      <c r="J3018" s="1654" t="str">
        <f>C1428</f>
        <v>352800_2019_12_</v>
      </c>
      <c r="K3018" s="713">
        <f>$R$1666*K$2692</f>
        <v>303</v>
      </c>
      <c r="L3018" s="910">
        <f>VLOOKUP(J3018,$J$1664:$L$1791,3,FALSE)*M3018</f>
        <v>1.6900000000000002</v>
      </c>
      <c r="M3018" s="2110">
        <f>VLOOKUP(J3018,$J$2688:$K$2815,2,FALSE)</f>
        <v>0.65</v>
      </c>
      <c r="N3018" s="1453"/>
      <c r="O3018" s="332"/>
      <c r="P3018" s="1116"/>
      <c r="Q3018" s="1116"/>
      <c r="R3018" s="1116"/>
      <c r="S3018" s="1103"/>
      <c r="T3018" s="1639"/>
      <c r="U3018" s="177"/>
      <c r="V3018" s="2866"/>
      <c r="W3018" s="713">
        <v>787.80000000000007</v>
      </c>
      <c r="X3018" s="716">
        <f>$R$1666*(X$1684/12000)*X$2708</f>
        <v>512.07000000000005</v>
      </c>
      <c r="Y3018" s="716">
        <v>303</v>
      </c>
      <c r="Z3018" s="1060"/>
      <c r="AA3018" s="713"/>
      <c r="AB3018" s="1060"/>
      <c r="AC3018" s="1060"/>
      <c r="AD3018" s="1060"/>
      <c r="AE3018" s="1060"/>
      <c r="AF3018" s="1060"/>
      <c r="AG3018" s="1060"/>
      <c r="BB3018" s="784"/>
      <c r="BC3018" s="785"/>
      <c r="BD3018" s="900"/>
      <c r="BE3018" s="797"/>
    </row>
    <row r="3019" spans="1:57" s="65" customFormat="1" ht="15" hidden="1" customHeight="1" outlineLevel="1" x14ac:dyDescent="0.25">
      <c r="A3019" s="718"/>
      <c r="B3019" s="785"/>
      <c r="C3019" s="455"/>
      <c r="D3019" s="2806"/>
      <c r="E3019" s="2856"/>
      <c r="F3019" s="2917" t="str">
        <f>E1429</f>
        <v>ASHP SEER 15 MF replace at Fail Elec Resist Furnace: HVAC</v>
      </c>
      <c r="G3019" s="2917"/>
      <c r="H3019" s="2917"/>
      <c r="I3019" s="2917"/>
      <c r="J3019" s="1654" t="str">
        <f>C1429</f>
        <v>352800_2019_12_</v>
      </c>
      <c r="K3019" s="713"/>
      <c r="L3019" s="910" t="str">
        <f>IF(K3019&gt;0,VLOOKUP(J3019,$J$1664:$L$1791,3,FALSE),"")</f>
        <v/>
      </c>
      <c r="M3019" s="2110" t="str">
        <f>IF(K3019&gt;0,VLOOKUP(J3019,$J$2688:$K$2815,2,FALSE),"")</f>
        <v/>
      </c>
      <c r="N3019" s="1453"/>
      <c r="O3019" s="332"/>
      <c r="P3019" s="1116"/>
      <c r="Q3019" s="1117"/>
      <c r="R3019" s="1116"/>
      <c r="S3019" s="1103"/>
      <c r="T3019" s="1639"/>
      <c r="U3019" s="177"/>
      <c r="V3019" s="2866"/>
      <c r="W3019" s="713"/>
      <c r="X3019" s="716"/>
      <c r="Y3019" s="716"/>
      <c r="Z3019" s="1060"/>
      <c r="AA3019" s="713"/>
      <c r="AB3019" s="1060"/>
      <c r="AC3019" s="1060"/>
      <c r="AD3019" s="1060"/>
      <c r="AE3019" s="1060"/>
      <c r="AF3019" s="1060"/>
      <c r="AG3019" s="1060"/>
      <c r="BB3019" s="784"/>
      <c r="BC3019" s="785"/>
      <c r="BD3019" s="900"/>
      <c r="BE3019" s="797"/>
    </row>
    <row r="3020" spans="1:57" s="65" customFormat="1" ht="15" hidden="1" customHeight="1" outlineLevel="1" x14ac:dyDescent="0.25">
      <c r="A3020" s="718"/>
      <c r="B3020" s="785"/>
      <c r="C3020" s="455"/>
      <c r="D3020" s="2806"/>
      <c r="E3020" s="2856"/>
      <c r="F3020" s="2917" t="str">
        <f>E1432</f>
        <v>ASHP SEER 16 MF ER replace ASHP: HVAC ER1</v>
      </c>
      <c r="G3020" s="2917"/>
      <c r="H3020" s="2917"/>
      <c r="I3020" s="2917"/>
      <c r="J3020" s="1654" t="str">
        <f>C1432</f>
        <v>352850_2019_12_</v>
      </c>
      <c r="K3020" s="713">
        <f>(($R$1678*L3020)+$R$1667)-(($Q$1678*L3020)/((1+$R$1680)^($R$1681-1)))</f>
        <v>950.52172387527389</v>
      </c>
      <c r="L3020" s="910">
        <f>VLOOKUP(J3020,$J$1664:$L$1791,3,FALSE)*M3020</f>
        <v>2.145</v>
      </c>
      <c r="M3020" s="2110">
        <f>VLOOKUP(J3020,$J$2688:$K$2815,2,FALSE)</f>
        <v>0.65</v>
      </c>
      <c r="N3020" s="1453"/>
      <c r="O3020" s="332"/>
      <c r="P3020" s="1116"/>
      <c r="Q3020" s="1117"/>
      <c r="R3020" s="1116"/>
      <c r="S3020" s="1103"/>
      <c r="T3020" s="1639"/>
      <c r="U3020" s="177"/>
      <c r="V3020" s="2866"/>
      <c r="W3020" s="713">
        <v>3083.4857044416549</v>
      </c>
      <c r="X3020" s="716">
        <f>$Q$1667*(X$1686/12000)*X$2710</f>
        <v>2477.0751716258214</v>
      </c>
      <c r="Y3020" s="716">
        <v>996.5516619658124</v>
      </c>
      <c r="Z3020" s="1060"/>
      <c r="AA3020" s="713"/>
      <c r="AB3020" s="1060"/>
      <c r="AC3020" s="1060"/>
      <c r="AD3020" s="1060"/>
      <c r="AE3020" s="1060"/>
      <c r="AF3020" s="1060"/>
      <c r="AG3020" s="1060"/>
      <c r="BB3020" s="784"/>
      <c r="BC3020" s="785"/>
      <c r="BD3020" s="900"/>
      <c r="BE3020" s="797"/>
    </row>
    <row r="3021" spans="1:57" s="65" customFormat="1" ht="15" hidden="1" customHeight="1" outlineLevel="1" x14ac:dyDescent="0.25">
      <c r="A3021" s="718"/>
      <c r="B3021" s="785"/>
      <c r="C3021" s="455"/>
      <c r="D3021" s="2806"/>
      <c r="E3021" s="2856"/>
      <c r="F3021" s="2917" t="str">
        <f>E1433</f>
        <v>ASHP SEER 16 MF ER replace ASHP: HVAC ER1</v>
      </c>
      <c r="G3021" s="2917"/>
      <c r="H3021" s="2917"/>
      <c r="I3021" s="2917"/>
      <c r="J3021" s="1654" t="str">
        <f>C1433</f>
        <v>352850_2019_12_</v>
      </c>
      <c r="K3021" s="713"/>
      <c r="L3021" s="910" t="str">
        <f>IF(K3021&gt;0,VLOOKUP(J3021,$J$1664:$L$1791,3,FALSE),"")</f>
        <v/>
      </c>
      <c r="M3021" s="2110" t="str">
        <f>IF(K3021&gt;0,VLOOKUP(J3021,$J$2688:$K$2815,2,FALSE),"")</f>
        <v/>
      </c>
      <c r="N3021" s="1453"/>
      <c r="O3021" s="332"/>
      <c r="P3021" s="1116"/>
      <c r="Q3021" s="1117"/>
      <c r="R3021" s="1116"/>
      <c r="S3021" s="1103"/>
      <c r="T3021" s="1639"/>
      <c r="U3021" s="177"/>
      <c r="V3021" s="2866"/>
      <c r="W3021" s="713"/>
      <c r="X3021" s="716"/>
      <c r="Y3021" s="716"/>
      <c r="Z3021" s="1060"/>
      <c r="AA3021" s="713"/>
      <c r="AB3021" s="1060"/>
      <c r="AC3021" s="1060"/>
      <c r="AD3021" s="1060"/>
      <c r="AE3021" s="1060"/>
      <c r="AF3021" s="1060"/>
      <c r="AG3021" s="1060"/>
      <c r="BB3021" s="784"/>
      <c r="BC3021" s="785"/>
      <c r="BD3021" s="900"/>
      <c r="BE3021" s="797"/>
    </row>
    <row r="3022" spans="1:57" s="65" customFormat="1" ht="15" hidden="1" customHeight="1" outlineLevel="1" x14ac:dyDescent="0.25">
      <c r="A3022" s="718"/>
      <c r="B3022" s="785"/>
      <c r="C3022" s="455"/>
      <c r="D3022" s="2806"/>
      <c r="E3022" s="2856"/>
      <c r="F3022" s="2917" t="str">
        <f>E1434</f>
        <v>ASHP SEER 16 MF ER replace ASHP: HVAC ER2</v>
      </c>
      <c r="G3022" s="2917"/>
      <c r="H3022" s="2917"/>
      <c r="I3022" s="2917"/>
      <c r="J3022" s="1654" t="str">
        <f>C1434</f>
        <v>352850_2019_12_</v>
      </c>
      <c r="K3022" s="713"/>
      <c r="L3022" s="910" t="str">
        <f>IF(K3022&gt;0,VLOOKUP(J3022,$J$1664:$L$1791,3,FALSE),"")</f>
        <v/>
      </c>
      <c r="M3022" s="2110" t="str">
        <f>IF(K3022&gt;0,VLOOKUP(J3022,$J$2688:$K$2815,2,FALSE),"")</f>
        <v/>
      </c>
      <c r="N3022" s="1453"/>
      <c r="O3022" s="332"/>
      <c r="P3022" s="1116"/>
      <c r="Q3022" s="1117"/>
      <c r="R3022" s="1116"/>
      <c r="S3022" s="1103"/>
      <c r="T3022" s="1639"/>
      <c r="U3022" s="177"/>
      <c r="V3022" s="2866"/>
      <c r="W3022" s="713"/>
      <c r="X3022" s="716"/>
      <c r="Y3022" s="716"/>
      <c r="Z3022" s="1060"/>
      <c r="AA3022" s="713"/>
      <c r="AB3022" s="1060"/>
      <c r="AC3022" s="1060"/>
      <c r="AD3022" s="1060"/>
      <c r="AE3022" s="1060"/>
      <c r="AF3022" s="1060"/>
      <c r="AG3022" s="1060"/>
      <c r="BB3022" s="784"/>
      <c r="BC3022" s="785"/>
      <c r="BD3022" s="900"/>
      <c r="BE3022" s="797"/>
    </row>
    <row r="3023" spans="1:57" s="65" customFormat="1" ht="15" hidden="1" customHeight="1" outlineLevel="1" x14ac:dyDescent="0.25">
      <c r="A3023" s="718"/>
      <c r="B3023" s="785"/>
      <c r="C3023" s="455"/>
      <c r="D3023" s="2806"/>
      <c r="E3023" s="2856"/>
      <c r="F3023" s="2917" t="str">
        <f>E1435</f>
        <v>ASHP SEER 16 MF ER replace ASHP: HVAC ER2</v>
      </c>
      <c r="G3023" s="2917"/>
      <c r="H3023" s="2917"/>
      <c r="I3023" s="2917"/>
      <c r="J3023" s="1654" t="str">
        <f>C1435</f>
        <v>352850_2019_12_</v>
      </c>
      <c r="K3023" s="713"/>
      <c r="L3023" s="910" t="str">
        <f>IF(K3023&gt;0,VLOOKUP(J3023,$J$1664:$L$1791,3,FALSE),"")</f>
        <v/>
      </c>
      <c r="M3023" s="2110" t="str">
        <f>IF(K3023&gt;0,VLOOKUP(J3023,$J$2688:$K$2815,2,FALSE),"")</f>
        <v/>
      </c>
      <c r="N3023" s="1453"/>
      <c r="O3023" s="332"/>
      <c r="P3023" s="1116"/>
      <c r="Q3023" s="1117"/>
      <c r="R3023" s="1116"/>
      <c r="S3023" s="1103"/>
      <c r="T3023" s="1639"/>
      <c r="U3023" s="177"/>
      <c r="V3023" s="2866"/>
      <c r="W3023" s="713"/>
      <c r="X3023" s="716"/>
      <c r="Y3023" s="716"/>
      <c r="Z3023" s="1060"/>
      <c r="AA3023" s="713"/>
      <c r="AB3023" s="1060"/>
      <c r="AC3023" s="1060"/>
      <c r="AD3023" s="1060"/>
      <c r="AE3023" s="1060"/>
      <c r="AF3023" s="1060"/>
      <c r="AG3023" s="1060"/>
      <c r="BB3023" s="784"/>
      <c r="BC3023" s="785"/>
      <c r="BD3023" s="900"/>
      <c r="BE3023" s="797"/>
    </row>
    <row r="3024" spans="1:57" s="65" customFormat="1" ht="15" hidden="1" customHeight="1" outlineLevel="1" x14ac:dyDescent="0.25">
      <c r="A3024" s="718"/>
      <c r="B3024" s="785"/>
      <c r="C3024" s="455"/>
      <c r="D3024" s="2806"/>
      <c r="E3024" s="2856"/>
      <c r="F3024" s="2917" t="str">
        <f>E1440</f>
        <v>ASHP - SEER 16 - replace on fail MF</v>
      </c>
      <c r="G3024" s="2917"/>
      <c r="H3024" s="2917"/>
      <c r="I3024" s="2917"/>
      <c r="J3024" s="1654" t="str">
        <f>C1440</f>
        <v>352900_2019_12_</v>
      </c>
      <c r="K3024" s="713">
        <f>$R$1667*K$2692</f>
        <v>438</v>
      </c>
      <c r="L3024" s="910">
        <f>VLOOKUP(J3024,$J$1664:$L$1791,3,FALSE)*M3024</f>
        <v>2.145</v>
      </c>
      <c r="M3024" s="2110">
        <f>VLOOKUP(J3024,$J$2688:$K$2815,2,FALSE)</f>
        <v>0.65</v>
      </c>
      <c r="N3024" s="1453"/>
      <c r="O3024" s="332"/>
      <c r="P3024" s="1116"/>
      <c r="Q3024" s="1117"/>
      <c r="R3024" s="1116"/>
      <c r="S3024" s="1103"/>
      <c r="T3024" s="1639"/>
      <c r="U3024" s="177"/>
      <c r="V3024" s="2866"/>
      <c r="W3024" s="713">
        <v>1295.9099999999999</v>
      </c>
      <c r="X3024" s="716">
        <f>$R$1667*(X$1690/12000)*X$2714</f>
        <v>939.51</v>
      </c>
      <c r="Y3024" s="716">
        <v>392.7</v>
      </c>
      <c r="Z3024" s="1060"/>
      <c r="AA3024" s="713"/>
      <c r="AB3024" s="1060"/>
      <c r="AC3024" s="1060"/>
      <c r="AD3024" s="1060"/>
      <c r="AE3024" s="1060"/>
      <c r="AF3024" s="1060"/>
      <c r="AG3024" s="1060"/>
      <c r="BB3024" s="784"/>
      <c r="BC3024" s="785"/>
      <c r="BD3024" s="900"/>
      <c r="BE3024" s="797"/>
    </row>
    <row r="3025" spans="1:57" s="65" customFormat="1" ht="15" hidden="1" customHeight="1" outlineLevel="1" x14ac:dyDescent="0.25">
      <c r="A3025" s="785"/>
      <c r="B3025" s="785"/>
      <c r="C3025" s="455"/>
      <c r="D3025" s="2806"/>
      <c r="E3025" s="2856"/>
      <c r="F3025" s="2917" t="str">
        <f>E1441</f>
        <v>ASHP - SEER 16 - replace on fail MF</v>
      </c>
      <c r="G3025" s="2917"/>
      <c r="H3025" s="2917"/>
      <c r="I3025" s="2917"/>
      <c r="J3025" s="1654" t="str">
        <f>C1441</f>
        <v>352900_2019_12_</v>
      </c>
      <c r="K3025" s="713"/>
      <c r="L3025" s="910" t="str">
        <f>IF(K3025&gt;0,VLOOKUP(J3025,$J$1664:$L$1791,3,FALSE),"")</f>
        <v/>
      </c>
      <c r="M3025" s="2110" t="str">
        <f>IF(K3025&gt;0,VLOOKUP(J3025,$J$2688:$K$2815,2,FALSE),"")</f>
        <v/>
      </c>
      <c r="N3025" s="1453"/>
      <c r="O3025" s="332"/>
      <c r="P3025" s="1116"/>
      <c r="Q3025" s="332"/>
      <c r="R3025" s="332"/>
      <c r="S3025" s="177"/>
      <c r="T3025" s="177"/>
      <c r="U3025" s="177"/>
      <c r="V3025" s="2866"/>
      <c r="W3025" s="713"/>
      <c r="X3025" s="716"/>
      <c r="Y3025" s="716"/>
      <c r="Z3025" s="1060"/>
      <c r="AA3025" s="713"/>
      <c r="AB3025" s="1060"/>
      <c r="AC3025" s="1060"/>
      <c r="AD3025" s="1060"/>
      <c r="AE3025" s="1060"/>
      <c r="AF3025" s="1060"/>
      <c r="AG3025" s="1060"/>
      <c r="BB3025" s="784"/>
      <c r="BC3025" s="785"/>
      <c r="BD3025" s="900"/>
      <c r="BE3025" s="797"/>
    </row>
    <row r="3026" spans="1:57" s="65" customFormat="1" ht="15" hidden="1" customHeight="1" outlineLevel="1" x14ac:dyDescent="0.25">
      <c r="A3026" s="718"/>
      <c r="B3026" s="785"/>
      <c r="C3026" s="455"/>
      <c r="D3026" s="2806"/>
      <c r="E3026" s="2856"/>
      <c r="F3026" s="2917" t="str">
        <f>E1444</f>
        <v>ASHP - SEER 16 - replace electric furnace / CAC MF</v>
      </c>
      <c r="G3026" s="2917"/>
      <c r="H3026" s="2917"/>
      <c r="I3026" s="2917"/>
      <c r="J3026" s="1654" t="str">
        <f>C1444</f>
        <v>352950_2019_12_</v>
      </c>
      <c r="K3026" s="713">
        <f>$R$1667*K$2692</f>
        <v>438</v>
      </c>
      <c r="L3026" s="910">
        <f>VLOOKUP(J3026,$J$1664:$L$1791,3,FALSE)*M3026</f>
        <v>2.08</v>
      </c>
      <c r="M3026" s="2110">
        <f>VLOOKUP(J3026,$J$2688:$K$2815,2,FALSE)</f>
        <v>0.65</v>
      </c>
      <c r="N3026" s="1453"/>
      <c r="O3026" s="332"/>
      <c r="P3026" s="1116"/>
      <c r="Q3026" s="1117"/>
      <c r="R3026" s="1116"/>
      <c r="S3026" s="1103"/>
      <c r="T3026" s="1639"/>
      <c r="U3026" s="177"/>
      <c r="V3026" s="2866"/>
      <c r="W3026" s="713">
        <v>1256.6400000000001</v>
      </c>
      <c r="X3026" s="716">
        <f>$R$1667*(X$1692/12000)*X$2716</f>
        <v>911.04000000000008</v>
      </c>
      <c r="Y3026" s="716">
        <v>392.7</v>
      </c>
      <c r="Z3026" s="1060"/>
      <c r="AA3026" s="713"/>
      <c r="AB3026" s="1060"/>
      <c r="AC3026" s="1060"/>
      <c r="AD3026" s="1060"/>
      <c r="AE3026" s="1060"/>
      <c r="AF3026" s="1060"/>
      <c r="AG3026" s="1060"/>
      <c r="BB3026" s="784"/>
      <c r="BC3026" s="785"/>
      <c r="BD3026" s="900"/>
      <c r="BE3026" s="797"/>
    </row>
    <row r="3027" spans="1:57" s="65" customFormat="1" ht="15" hidden="1" customHeight="1" outlineLevel="1" x14ac:dyDescent="0.25">
      <c r="A3027" s="785"/>
      <c r="B3027" s="785"/>
      <c r="C3027" s="455"/>
      <c r="D3027" s="2806"/>
      <c r="E3027" s="2856"/>
      <c r="F3027" s="2917" t="str">
        <f>E1445</f>
        <v>ASHP - SEER 16 - replace electric furnace / CAC MF</v>
      </c>
      <c r="G3027" s="2917"/>
      <c r="H3027" s="2917"/>
      <c r="I3027" s="2917"/>
      <c r="J3027" s="1654" t="str">
        <f>C1445</f>
        <v>352950_2019_12_</v>
      </c>
      <c r="K3027" s="713"/>
      <c r="L3027" s="910" t="str">
        <f>IF(K3027&gt;0,VLOOKUP(J3027,$J$1664:$L$1791,3,FALSE),"")</f>
        <v/>
      </c>
      <c r="M3027" s="2110" t="str">
        <f>IF(K3027&gt;0,VLOOKUP(J3027,$J$2688:$K$2815,2,FALSE),"")</f>
        <v/>
      </c>
      <c r="N3027" s="1453"/>
      <c r="O3027" s="332"/>
      <c r="P3027" s="1116"/>
      <c r="Q3027" s="332"/>
      <c r="R3027" s="332"/>
      <c r="S3027" s="177"/>
      <c r="T3027" s="177"/>
      <c r="U3027" s="177"/>
      <c r="V3027" s="2866"/>
      <c r="W3027" s="713"/>
      <c r="X3027" s="716"/>
      <c r="Y3027" s="716"/>
      <c r="Z3027" s="1060"/>
      <c r="AA3027" s="713"/>
      <c r="AB3027" s="1060"/>
      <c r="AC3027" s="1060"/>
      <c r="AD3027" s="1060"/>
      <c r="AE3027" s="1060"/>
      <c r="AF3027" s="1060"/>
      <c r="AG3027" s="1060"/>
      <c r="BB3027" s="784"/>
      <c r="BC3027" s="785"/>
      <c r="BD3027" s="900"/>
      <c r="BE3027" s="797"/>
    </row>
    <row r="3028" spans="1:57" s="65" customFormat="1" ht="15" hidden="1" customHeight="1" outlineLevel="1" x14ac:dyDescent="0.25">
      <c r="A3028" s="718"/>
      <c r="B3028" s="785"/>
      <c r="C3028" s="455"/>
      <c r="D3028" s="2806"/>
      <c r="E3028" s="2856"/>
      <c r="F3028" s="2917" t="str">
        <f>E1448</f>
        <v>ASHP - SEER 16 - replace electric furnace / CAC - early replacement MF ER1</v>
      </c>
      <c r="G3028" s="2917"/>
      <c r="H3028" s="2917"/>
      <c r="I3028" s="2917"/>
      <c r="J3028" s="1654" t="str">
        <f>C1448</f>
        <v>353000_2019_12_</v>
      </c>
      <c r="K3028" s="713">
        <f>(($R$1678*L3028)+$R$1667)-(($Q$1678*L3028)/((1+$R$1680)^($R$1681-1)))</f>
        <v>919.45980121616685</v>
      </c>
      <c r="L3028" s="910">
        <f>VLOOKUP(J3028,$J$1664:$L$1791,3,FALSE)*M3028</f>
        <v>2.0150000000000001</v>
      </c>
      <c r="M3028" s="2110">
        <f>VLOOKUP(J3028,$J$2688:$K$2815,2,FALSE)</f>
        <v>0.65</v>
      </c>
      <c r="N3028" s="1453"/>
      <c r="O3028" s="332"/>
      <c r="P3028" s="1116"/>
      <c r="Q3028" s="1117"/>
      <c r="R3028" s="1116"/>
      <c r="S3028" s="1103"/>
      <c r="T3028" s="1639"/>
      <c r="U3028" s="177"/>
      <c r="V3028" s="2866"/>
      <c r="W3028" s="713">
        <v>2896.6077829603428</v>
      </c>
      <c r="X3028" s="716">
        <f>$Q$1667*(X$1694/12000)*X$2718</f>
        <v>2326.9494036484994</v>
      </c>
      <c r="Y3028" s="716">
        <v>959.95459154364198</v>
      </c>
      <c r="Z3028" s="1060"/>
      <c r="AA3028" s="713"/>
      <c r="AB3028" s="1060"/>
      <c r="AC3028" s="1060"/>
      <c r="AD3028" s="1060"/>
      <c r="AE3028" s="1060"/>
      <c r="AF3028" s="1060"/>
      <c r="AG3028" s="1060"/>
      <c r="BB3028" s="784"/>
      <c r="BC3028" s="785"/>
      <c r="BD3028" s="900"/>
      <c r="BE3028" s="797"/>
    </row>
    <row r="3029" spans="1:57" s="65" customFormat="1" ht="15" hidden="1" customHeight="1" outlineLevel="1" x14ac:dyDescent="0.25">
      <c r="A3029" s="785"/>
      <c r="B3029" s="785"/>
      <c r="C3029" s="455"/>
      <c r="D3029" s="2806"/>
      <c r="E3029" s="2856"/>
      <c r="F3029" s="2917" t="str">
        <f>E1449</f>
        <v>ASHP - SEER 16 - replace electric furnace / CAC - early replacement MF ER1</v>
      </c>
      <c r="G3029" s="2917"/>
      <c r="H3029" s="2917"/>
      <c r="I3029" s="2917"/>
      <c r="J3029" s="1654" t="str">
        <f>C1449</f>
        <v>353000_2019_12_</v>
      </c>
      <c r="K3029" s="713"/>
      <c r="L3029" s="910" t="str">
        <f>IF(K3029&gt;0,VLOOKUP(J3029,$J$1664:$L$1791,3,FALSE),"")</f>
        <v/>
      </c>
      <c r="M3029" s="2110" t="str">
        <f>IF(K3029&gt;0,VLOOKUP(J3029,$J$2688:$K$2815,2,FALSE),"")</f>
        <v/>
      </c>
      <c r="N3029" s="1453"/>
      <c r="O3029" s="332"/>
      <c r="P3029" s="1116"/>
      <c r="Q3029" s="332"/>
      <c r="R3029" s="332"/>
      <c r="S3029" s="177"/>
      <c r="T3029" s="177"/>
      <c r="U3029" s="177"/>
      <c r="V3029" s="2866"/>
      <c r="W3029" s="713"/>
      <c r="X3029" s="716"/>
      <c r="Y3029" s="716"/>
      <c r="Z3029" s="1060"/>
      <c r="AA3029" s="713"/>
      <c r="AB3029" s="1060"/>
      <c r="AC3029" s="1060"/>
      <c r="AD3029" s="1060"/>
      <c r="AE3029" s="1060"/>
      <c r="AF3029" s="1060"/>
      <c r="AG3029" s="1060"/>
      <c r="BB3029" s="784"/>
      <c r="BC3029" s="785"/>
      <c r="BD3029" s="900"/>
      <c r="BE3029" s="797"/>
    </row>
    <row r="3030" spans="1:57" s="65" customFormat="1" ht="15" hidden="1" customHeight="1" outlineLevel="1" x14ac:dyDescent="0.25">
      <c r="A3030" s="785"/>
      <c r="B3030" s="785"/>
      <c r="C3030" s="455"/>
      <c r="D3030" s="2806"/>
      <c r="E3030" s="2856"/>
      <c r="F3030" s="2917" t="str">
        <f>E1450</f>
        <v>ASHP - SEER 16 - replace electric furnace / CAC - early replacement MF ER2</v>
      </c>
      <c r="G3030" s="2917"/>
      <c r="H3030" s="2917"/>
      <c r="I3030" s="2917"/>
      <c r="J3030" s="1654" t="str">
        <f>C1450</f>
        <v>353000_2019_12_</v>
      </c>
      <c r="K3030" s="713"/>
      <c r="L3030" s="910" t="str">
        <f>IF(K3030&gt;0,VLOOKUP(J3030,$J$1664:$L$1791,3,FALSE),"")</f>
        <v/>
      </c>
      <c r="M3030" s="2110" t="str">
        <f>IF(K3030&gt;0,VLOOKUP(J3030,$J$2688:$K$2815,2,FALSE),"")</f>
        <v/>
      </c>
      <c r="N3030" s="1453"/>
      <c r="O3030" s="332"/>
      <c r="P3030" s="1116"/>
      <c r="Q3030" s="332"/>
      <c r="R3030" s="332"/>
      <c r="S3030" s="177"/>
      <c r="T3030" s="177"/>
      <c r="U3030" s="177"/>
      <c r="V3030" s="2866"/>
      <c r="W3030" s="713"/>
      <c r="X3030" s="716"/>
      <c r="Y3030" s="716"/>
      <c r="Z3030" s="1060"/>
      <c r="AA3030" s="713"/>
      <c r="AB3030" s="1060"/>
      <c r="AC3030" s="1060"/>
      <c r="AD3030" s="1060"/>
      <c r="AE3030" s="1060"/>
      <c r="AF3030" s="1060"/>
      <c r="AG3030" s="1060"/>
      <c r="BB3030" s="784"/>
      <c r="BC3030" s="785"/>
      <c r="BD3030" s="900"/>
      <c r="BE3030" s="797"/>
    </row>
    <row r="3031" spans="1:57" s="65" customFormat="1" ht="15" hidden="1" customHeight="1" outlineLevel="1" x14ac:dyDescent="0.25">
      <c r="A3031" s="718"/>
      <c r="B3031" s="785"/>
      <c r="C3031" s="455"/>
      <c r="D3031" s="2806"/>
      <c r="E3031" s="2856"/>
      <c r="F3031" s="2917" t="str">
        <f>E1451</f>
        <v>ASHP - SEER 16 - replace electric furnace / CAC - early replacement MF ER2</v>
      </c>
      <c r="G3031" s="2917"/>
      <c r="H3031" s="2917"/>
      <c r="I3031" s="2917"/>
      <c r="J3031" s="1654" t="str">
        <f>C1451</f>
        <v>353000_2019_12_</v>
      </c>
      <c r="K3031" s="713"/>
      <c r="L3031" s="910" t="str">
        <f>IF(K3031&gt;0,VLOOKUP(J3031,$J$1664:$L$1791,3,FALSE),"")</f>
        <v/>
      </c>
      <c r="M3031" s="2110" t="str">
        <f>IF(K3031&gt;0,VLOOKUP(J3031,$J$2688:$K$2815,2,FALSE),"")</f>
        <v/>
      </c>
      <c r="N3031" s="1453"/>
      <c r="O3031" s="332"/>
      <c r="P3031" s="1116"/>
      <c r="Q3031" s="1117"/>
      <c r="R3031" s="1116"/>
      <c r="S3031" s="1103"/>
      <c r="T3031" s="1639"/>
      <c r="U3031" s="177"/>
      <c r="V3031" s="2866"/>
      <c r="W3031" s="713"/>
      <c r="X3031" s="716"/>
      <c r="Y3031" s="716"/>
      <c r="Z3031" s="1060"/>
      <c r="AA3031" s="713"/>
      <c r="AB3031" s="1060"/>
      <c r="AC3031" s="1060"/>
      <c r="AD3031" s="1060"/>
      <c r="AE3031" s="1060"/>
      <c r="AF3031" s="1060"/>
      <c r="AG3031" s="1060"/>
      <c r="BB3031" s="784"/>
      <c r="BC3031" s="785"/>
      <c r="BD3031" s="900"/>
      <c r="BE3031" s="797"/>
    </row>
    <row r="3032" spans="1:57" s="65" customFormat="1" ht="15" hidden="1" customHeight="1" outlineLevel="1" x14ac:dyDescent="0.25">
      <c r="A3032" s="718"/>
      <c r="B3032" s="785"/>
      <c r="C3032" s="455"/>
      <c r="D3032" s="2806"/>
      <c r="E3032" s="2856"/>
      <c r="F3032" s="2917" t="str">
        <f>E1456</f>
        <v xml:space="preserve">ASHP SEER 15 - replace on Fail MF </v>
      </c>
      <c r="G3032" s="2917"/>
      <c r="H3032" s="2917"/>
      <c r="I3032" s="2917"/>
      <c r="J3032" s="1654" t="str">
        <f>C1456</f>
        <v>353050_2019_12_</v>
      </c>
      <c r="K3032" s="713">
        <f>$R$1666*K$2692</f>
        <v>303</v>
      </c>
      <c r="L3032" s="910">
        <f>VLOOKUP(J3032,$J$1664:$L$1791,3,FALSE)*M3032</f>
        <v>2.0150000000000001</v>
      </c>
      <c r="M3032" s="2110">
        <f>VLOOKUP(J3032,$J$2688:$K$2815,2,FALSE)</f>
        <v>0.65</v>
      </c>
      <c r="N3032" s="1453"/>
      <c r="O3032" s="332"/>
      <c r="P3032" s="1116"/>
      <c r="Q3032" s="1117"/>
      <c r="R3032" s="1116"/>
      <c r="S3032" s="1103"/>
      <c r="T3032" s="1639"/>
      <c r="U3032" s="177"/>
      <c r="V3032" s="2866"/>
      <c r="W3032" s="713">
        <v>939.30000000000007</v>
      </c>
      <c r="X3032" s="716">
        <f>$R$1666*(X$1698/12000)*X$2722</f>
        <v>610.54500000000007</v>
      </c>
      <c r="Y3032" s="716">
        <v>303</v>
      </c>
      <c r="Z3032" s="1060"/>
      <c r="AA3032" s="713"/>
      <c r="AB3032" s="1060"/>
      <c r="AC3032" s="1060"/>
      <c r="AD3032" s="1060"/>
      <c r="AE3032" s="1060"/>
      <c r="AF3032" s="1060"/>
      <c r="AG3032" s="1060"/>
      <c r="BB3032" s="784"/>
      <c r="BC3032" s="785"/>
      <c r="BD3032" s="900"/>
      <c r="BE3032" s="797"/>
    </row>
    <row r="3033" spans="1:57" s="65" customFormat="1" ht="15" hidden="1" customHeight="1" outlineLevel="1" x14ac:dyDescent="0.25">
      <c r="A3033" s="785"/>
      <c r="B3033" s="785"/>
      <c r="C3033" s="455"/>
      <c r="D3033" s="2806"/>
      <c r="E3033" s="2856"/>
      <c r="F3033" s="2917" t="str">
        <f>E1457</f>
        <v xml:space="preserve">ASHP SEER 15 - replace on Fail MF </v>
      </c>
      <c r="G3033" s="2917"/>
      <c r="H3033" s="2917"/>
      <c r="I3033" s="2917"/>
      <c r="J3033" s="1654" t="str">
        <f>C1457</f>
        <v>353050_2019_12_</v>
      </c>
      <c r="K3033" s="713"/>
      <c r="L3033" s="910" t="str">
        <f>IF(K3033&gt;0,VLOOKUP(J3033,$J$1664:$L$1791,3,FALSE),"")</f>
        <v/>
      </c>
      <c r="M3033" s="2110" t="str">
        <f>IF(K3033&gt;0,VLOOKUP(J3033,$J$2688:$K$2815,2,FALSE),"")</f>
        <v/>
      </c>
      <c r="N3033" s="1453"/>
      <c r="O3033" s="332"/>
      <c r="P3033" s="1116"/>
      <c r="Q3033" s="332"/>
      <c r="R3033" s="332"/>
      <c r="S3033" s="177"/>
      <c r="T3033" s="177"/>
      <c r="U3033" s="177"/>
      <c r="V3033" s="2866"/>
      <c r="W3033" s="713"/>
      <c r="X3033" s="716"/>
      <c r="Y3033" s="716"/>
      <c r="Z3033" s="1060"/>
      <c r="AA3033" s="713"/>
      <c r="AB3033" s="1060"/>
      <c r="AC3033" s="1060"/>
      <c r="AD3033" s="1060"/>
      <c r="AE3033" s="1060"/>
      <c r="AF3033" s="1060"/>
      <c r="AG3033" s="1060"/>
      <c r="BB3033" s="784"/>
      <c r="BC3033" s="785"/>
      <c r="BD3033" s="900"/>
      <c r="BE3033" s="797"/>
    </row>
    <row r="3034" spans="1:57" s="65" customFormat="1" ht="15" hidden="1" customHeight="1" outlineLevel="1" x14ac:dyDescent="0.25">
      <c r="A3034" s="785"/>
      <c r="B3034" s="785"/>
      <c r="C3034" s="455"/>
      <c r="D3034" s="2806"/>
      <c r="E3034" s="2856"/>
      <c r="F3034" s="2917" t="str">
        <f>E1460</f>
        <v>ASHP - SEER 17 - replace electric furnace / CAC SF</v>
      </c>
      <c r="G3034" s="2917"/>
      <c r="H3034" s="2917"/>
      <c r="I3034" s="2917"/>
      <c r="J3034" s="1654" t="str">
        <f>C1460</f>
        <v>353100_2019_12_</v>
      </c>
      <c r="K3034" s="713">
        <f>$R$1668*K$2692</f>
        <v>724</v>
      </c>
      <c r="L3034" s="910">
        <f>VLOOKUP(J3034,$J$1664:$L$1791,3,FALSE)*M3034</f>
        <v>2.8</v>
      </c>
      <c r="M3034" s="2110">
        <f>VLOOKUP(J3034,$J$2688:$K$2815,2,FALSE)</f>
        <v>1</v>
      </c>
      <c r="N3034" s="1453"/>
      <c r="O3034" s="332"/>
      <c r="P3034" s="1116"/>
      <c r="Q3034" s="332"/>
      <c r="R3034" s="332"/>
      <c r="S3034" s="177"/>
      <c r="T3034" s="177"/>
      <c r="U3034" s="177"/>
      <c r="V3034" s="2866"/>
      <c r="W3034" s="713">
        <v>1624</v>
      </c>
      <c r="X3034" s="716">
        <f>$R$1668*(X$1700/12000)*X$2724</f>
        <v>2027.1999999999998</v>
      </c>
      <c r="Y3034" s="716">
        <v>580</v>
      </c>
      <c r="Z3034" s="1060"/>
      <c r="AA3034" s="713"/>
      <c r="AB3034" s="1060"/>
      <c r="AC3034" s="1060"/>
      <c r="AD3034" s="1060"/>
      <c r="AE3034" s="1060"/>
      <c r="AF3034" s="1060"/>
      <c r="AG3034" s="1060"/>
      <c r="BB3034" s="784"/>
      <c r="BC3034" s="785"/>
      <c r="BD3034" s="900"/>
      <c r="BE3034" s="797"/>
    </row>
    <row r="3035" spans="1:57" s="65" customFormat="1" ht="15" hidden="1" customHeight="1" outlineLevel="1" x14ac:dyDescent="0.25">
      <c r="A3035" s="718"/>
      <c r="B3035" s="785"/>
      <c r="C3035" s="455"/>
      <c r="D3035" s="2806"/>
      <c r="E3035" s="2856"/>
      <c r="F3035" s="2917" t="str">
        <f>E1461</f>
        <v>ASHP - SEER 17 - replace electric furnace / CAC SF</v>
      </c>
      <c r="G3035" s="2917"/>
      <c r="H3035" s="2917"/>
      <c r="I3035" s="2917"/>
      <c r="J3035" s="1654" t="str">
        <f>C1461</f>
        <v>353100_2019_12_</v>
      </c>
      <c r="K3035" s="713"/>
      <c r="L3035" s="910" t="str">
        <f>IF(K3035&gt;0,VLOOKUP(J3035,$J$1664:$L$1791,3,FALSE),"")</f>
        <v/>
      </c>
      <c r="M3035" s="2110" t="str">
        <f>IF(K3035&gt;0,VLOOKUP(J3035,$J$2688:$K$2815,2,FALSE),"")</f>
        <v/>
      </c>
      <c r="N3035" s="1453"/>
      <c r="O3035" s="332"/>
      <c r="P3035" s="1116"/>
      <c r="Q3035" s="1117"/>
      <c r="R3035" s="1116"/>
      <c r="S3035" s="1103"/>
      <c r="T3035" s="1639"/>
      <c r="U3035" s="177"/>
      <c r="V3035" s="2866"/>
      <c r="W3035" s="713"/>
      <c r="X3035" s="716"/>
      <c r="Y3035" s="716"/>
      <c r="Z3035" s="1060"/>
      <c r="AA3035" s="713"/>
      <c r="AB3035" s="1060"/>
      <c r="AC3035" s="1060"/>
      <c r="AD3035" s="1060"/>
      <c r="AE3035" s="1060"/>
      <c r="AF3035" s="1060"/>
      <c r="AG3035" s="1060"/>
      <c r="BB3035" s="784"/>
      <c r="BC3035" s="785"/>
      <c r="BD3035" s="900"/>
      <c r="BE3035" s="797"/>
    </row>
    <row r="3036" spans="1:57" s="65" customFormat="1" ht="15" hidden="1" customHeight="1" outlineLevel="1" x14ac:dyDescent="0.25">
      <c r="A3036" s="718"/>
      <c r="B3036" s="785"/>
      <c r="C3036" s="455"/>
      <c r="D3036" s="2806"/>
      <c r="E3036" s="2856"/>
      <c r="F3036" s="2917" t="str">
        <f>E1462</f>
        <v>ASHP - SEER 17 - replace electric furnace / CAC MF</v>
      </c>
      <c r="G3036" s="2917"/>
      <c r="H3036" s="2917"/>
      <c r="I3036" s="2917"/>
      <c r="J3036" s="1654" t="str">
        <f>C1462</f>
        <v>353150_2019_12_</v>
      </c>
      <c r="K3036" s="713">
        <f>$R$1668*K$2692</f>
        <v>724</v>
      </c>
      <c r="L3036" s="910">
        <f>VLOOKUP(J3036,$J$1664:$L$1791,3,FALSE)*M3036</f>
        <v>1.8199999999999998</v>
      </c>
      <c r="M3036" s="2110">
        <f>VLOOKUP(J3036,$J$2688:$K$2815,2,FALSE)</f>
        <v>0.65</v>
      </c>
      <c r="N3036" s="1453"/>
      <c r="O3036" s="332"/>
      <c r="P3036" s="1116"/>
      <c r="Q3036" s="1117"/>
      <c r="R3036" s="1116"/>
      <c r="S3036" s="1103"/>
      <c r="T3036" s="1639"/>
      <c r="U3036" s="177"/>
      <c r="V3036" s="2866"/>
      <c r="W3036" s="713">
        <v>1624</v>
      </c>
      <c r="X3036" s="716">
        <f>$R$1668*(X$1701/12000)*X$2725</f>
        <v>1317.6799999999998</v>
      </c>
      <c r="Y3036" s="716">
        <v>580</v>
      </c>
      <c r="Z3036" s="1060"/>
      <c r="AA3036" s="713"/>
      <c r="AB3036" s="1060"/>
      <c r="AC3036" s="1060"/>
      <c r="AD3036" s="1060"/>
      <c r="AE3036" s="1060"/>
      <c r="AF3036" s="1060"/>
      <c r="AG3036" s="1060"/>
      <c r="BB3036" s="784"/>
      <c r="BC3036" s="785"/>
      <c r="BD3036" s="900"/>
      <c r="BE3036" s="797"/>
    </row>
    <row r="3037" spans="1:57" s="65" customFormat="1" ht="15" hidden="1" customHeight="1" outlineLevel="1" x14ac:dyDescent="0.25">
      <c r="A3037" s="718"/>
      <c r="B3037" s="785"/>
      <c r="C3037" s="455"/>
      <c r="D3037" s="2806"/>
      <c r="E3037" s="2856"/>
      <c r="F3037" s="2917" t="str">
        <f>E1463</f>
        <v>ASHP - SEER 17 - replace electric furnace / CAC MF</v>
      </c>
      <c r="G3037" s="2917"/>
      <c r="H3037" s="2917"/>
      <c r="I3037" s="2917"/>
      <c r="J3037" s="1654" t="str">
        <f>C1463</f>
        <v>353150_2019_12_</v>
      </c>
      <c r="K3037" s="713"/>
      <c r="L3037" s="910" t="str">
        <f>IF(K3037&gt;0,VLOOKUP(J3037,$J$1664:$L$1791,3,FALSE),"")</f>
        <v/>
      </c>
      <c r="M3037" s="2110" t="str">
        <f>IF(K3037&gt;0,VLOOKUP(J3037,$J$2688:$K$2815,2,FALSE),"")</f>
        <v/>
      </c>
      <c r="N3037" s="1453"/>
      <c r="O3037" s="332"/>
      <c r="P3037" s="1116"/>
      <c r="Q3037" s="1117"/>
      <c r="R3037" s="1116"/>
      <c r="S3037" s="1103"/>
      <c r="T3037" s="1639"/>
      <c r="U3037" s="177"/>
      <c r="V3037" s="2866"/>
      <c r="W3037" s="713"/>
      <c r="X3037" s="716"/>
      <c r="Y3037" s="716"/>
      <c r="Z3037" s="1060"/>
      <c r="AA3037" s="713"/>
      <c r="AB3037" s="1060"/>
      <c r="AC3037" s="1060"/>
      <c r="AD3037" s="1060"/>
      <c r="AE3037" s="1060"/>
      <c r="AF3037" s="1060"/>
      <c r="AG3037" s="1060"/>
      <c r="BB3037" s="784"/>
      <c r="BC3037" s="785"/>
      <c r="BD3037" s="900"/>
      <c r="BE3037" s="797"/>
    </row>
    <row r="3038" spans="1:57" s="65" customFormat="1" ht="15" hidden="1" customHeight="1" outlineLevel="1" x14ac:dyDescent="0.25">
      <c r="A3038" s="718"/>
      <c r="B3038" s="785"/>
      <c r="C3038" s="455"/>
      <c r="D3038" s="2806"/>
      <c r="E3038" s="2856"/>
      <c r="F3038" s="2917" t="str">
        <f>E1466</f>
        <v>ASHP - SEER 18 - replace electric furnace / CAC SF</v>
      </c>
      <c r="G3038" s="2917"/>
      <c r="H3038" s="2917"/>
      <c r="I3038" s="2917"/>
      <c r="J3038" s="1654" t="str">
        <f>C1466</f>
        <v>353200_2019_12_</v>
      </c>
      <c r="K3038" s="713">
        <f>$R$1669*K$2692</f>
        <v>962.92000000000007</v>
      </c>
      <c r="L3038" s="910">
        <f>VLOOKUP(J3038,$J$1664:$L$1791,3,FALSE)*M3038</f>
        <v>2.8</v>
      </c>
      <c r="M3038" s="2110">
        <f>VLOOKUP(J3038,$J$2688:$K$2815,2,FALSE)</f>
        <v>1</v>
      </c>
      <c r="N3038" s="1453"/>
      <c r="O3038" s="332"/>
      <c r="P3038" s="1116"/>
      <c r="Q3038" s="1117"/>
      <c r="R3038" s="1116"/>
      <c r="S3038" s="1103"/>
      <c r="T3038" s="1639"/>
      <c r="U3038" s="177"/>
      <c r="V3038" s="2866"/>
      <c r="W3038" s="713">
        <v>1997.3333333333333</v>
      </c>
      <c r="X3038" s="716">
        <f>$R$1669*(X$1703/12000)*X$2727</f>
        <v>2696.1759999999999</v>
      </c>
      <c r="Y3038" s="716">
        <v>713.33333333333337</v>
      </c>
      <c r="Z3038" s="1060"/>
      <c r="AA3038" s="713"/>
      <c r="AB3038" s="1060"/>
      <c r="AC3038" s="1060"/>
      <c r="AD3038" s="1060"/>
      <c r="AE3038" s="1060"/>
      <c r="AF3038" s="1060"/>
      <c r="AG3038" s="1060"/>
      <c r="BB3038" s="784"/>
      <c r="BC3038" s="785"/>
      <c r="BD3038" s="900"/>
      <c r="BE3038" s="797"/>
    </row>
    <row r="3039" spans="1:57" s="65" customFormat="1" ht="15" hidden="1" customHeight="1" outlineLevel="1" x14ac:dyDescent="0.25">
      <c r="A3039" s="718"/>
      <c r="B3039" s="785"/>
      <c r="C3039" s="455"/>
      <c r="D3039" s="2806"/>
      <c r="E3039" s="2856"/>
      <c r="F3039" s="2917" t="str">
        <f>E1467</f>
        <v>ASHP - SEER 18 - replace electric furnace / CAC SF</v>
      </c>
      <c r="G3039" s="2917"/>
      <c r="H3039" s="2917"/>
      <c r="I3039" s="2917"/>
      <c r="J3039" s="1654" t="str">
        <f>C1467</f>
        <v>353200_2019_12_</v>
      </c>
      <c r="K3039" s="713"/>
      <c r="L3039" s="910" t="str">
        <f>IF(K3039&gt;0,VLOOKUP(J3039,$J$1664:$L$1791,3,FALSE),"")</f>
        <v/>
      </c>
      <c r="M3039" s="2110" t="str">
        <f>IF(K3039&gt;0,VLOOKUP(J3039,$J$2688:$K$2815,2,FALSE),"")</f>
        <v/>
      </c>
      <c r="N3039" s="1453"/>
      <c r="O3039" s="332"/>
      <c r="P3039" s="1116"/>
      <c r="Q3039" s="1117"/>
      <c r="R3039" s="1116"/>
      <c r="S3039" s="1103"/>
      <c r="T3039" s="1639"/>
      <c r="U3039" s="177"/>
      <c r="V3039" s="2866"/>
      <c r="W3039" s="713"/>
      <c r="X3039" s="716"/>
      <c r="Y3039" s="716"/>
      <c r="Z3039" s="1060"/>
      <c r="AA3039" s="713"/>
      <c r="AB3039" s="1060"/>
      <c r="AC3039" s="1060"/>
      <c r="AD3039" s="1060"/>
      <c r="AE3039" s="1060"/>
      <c r="AF3039" s="1060"/>
      <c r="AG3039" s="1060"/>
      <c r="BB3039" s="784"/>
      <c r="BC3039" s="785"/>
      <c r="BD3039" s="900"/>
      <c r="BE3039" s="797"/>
    </row>
    <row r="3040" spans="1:57" s="65" customFormat="1" ht="15" hidden="1" customHeight="1" outlineLevel="1" x14ac:dyDescent="0.25">
      <c r="A3040" s="718"/>
      <c r="B3040" s="785"/>
      <c r="C3040" s="455"/>
      <c r="D3040" s="2806"/>
      <c r="E3040" s="2856"/>
      <c r="F3040" s="2917" t="str">
        <f>E1468</f>
        <v>ASHP - SEER 18 - replace electric furnace / CAC MF</v>
      </c>
      <c r="G3040" s="2917"/>
      <c r="H3040" s="2917"/>
      <c r="I3040" s="2917"/>
      <c r="J3040" s="1654" t="str">
        <f>C1468</f>
        <v>353250_2019_12_</v>
      </c>
      <c r="K3040" s="713">
        <f>$R$1669*K$2692</f>
        <v>962.92000000000007</v>
      </c>
      <c r="L3040" s="910">
        <f>VLOOKUP(J3040,$J$1664:$L$1791,3,FALSE)*M3040</f>
        <v>1.8199999999999998</v>
      </c>
      <c r="M3040" s="2110">
        <f>VLOOKUP(J3040,$J$2688:$K$2815,2,FALSE)</f>
        <v>0.65</v>
      </c>
      <c r="N3040" s="1453"/>
      <c r="O3040" s="332"/>
      <c r="P3040" s="1116"/>
      <c r="Q3040" s="1117"/>
      <c r="R3040" s="1116"/>
      <c r="S3040" s="1103"/>
      <c r="T3040" s="1639"/>
      <c r="U3040" s="177"/>
      <c r="V3040" s="2866"/>
      <c r="W3040" s="713">
        <v>1997.3333333333333</v>
      </c>
      <c r="X3040" s="716">
        <f>$R$1669*(X$1704/12000)*X$2728</f>
        <v>1752.5144</v>
      </c>
      <c r="Y3040" s="716">
        <v>713.33333333333337</v>
      </c>
      <c r="Z3040" s="1060"/>
      <c r="AA3040" s="713"/>
      <c r="AB3040" s="1060"/>
      <c r="AC3040" s="1060"/>
      <c r="AD3040" s="1060"/>
      <c r="AE3040" s="1060"/>
      <c r="AF3040" s="1060"/>
      <c r="AG3040" s="1060"/>
      <c r="BB3040" s="784"/>
      <c r="BC3040" s="785"/>
      <c r="BD3040" s="900"/>
      <c r="BE3040" s="797"/>
    </row>
    <row r="3041" spans="1:57" s="65" customFormat="1" ht="15" hidden="1" customHeight="1" outlineLevel="1" x14ac:dyDescent="0.25">
      <c r="A3041" s="718"/>
      <c r="B3041" s="785"/>
      <c r="C3041" s="455"/>
      <c r="D3041" s="2806"/>
      <c r="E3041" s="2856"/>
      <c r="F3041" s="2917" t="str">
        <f>E1469</f>
        <v>ASHP - SEER 18 - replace electric furnace / CAC MF</v>
      </c>
      <c r="G3041" s="2917"/>
      <c r="H3041" s="2917"/>
      <c r="I3041" s="2917"/>
      <c r="J3041" s="1654" t="str">
        <f>C1469</f>
        <v>353250_2019_12_</v>
      </c>
      <c r="K3041" s="713"/>
      <c r="L3041" s="910" t="str">
        <f>IF(K3041&gt;0,VLOOKUP(J3041,$J$1664:$L$1791,3,FALSE),"")</f>
        <v/>
      </c>
      <c r="M3041" s="2110" t="str">
        <f>IF(K3041&gt;0,VLOOKUP(J3041,$J$2688:$K$2815,2,FALSE),"")</f>
        <v/>
      </c>
      <c r="N3041" s="1453"/>
      <c r="O3041" s="332"/>
      <c r="P3041" s="1116"/>
      <c r="Q3041" s="1117"/>
      <c r="R3041" s="1116"/>
      <c r="S3041" s="1103"/>
      <c r="T3041" s="1639"/>
      <c r="U3041" s="177"/>
      <c r="V3041" s="2866"/>
      <c r="W3041" s="713"/>
      <c r="X3041" s="716"/>
      <c r="Y3041" s="716"/>
      <c r="Z3041" s="1059"/>
      <c r="AA3041" s="713"/>
      <c r="AB3041" s="1059"/>
      <c r="AC3041" s="1059"/>
      <c r="AD3041" s="1059"/>
      <c r="AE3041" s="1059"/>
      <c r="AF3041" s="1059"/>
      <c r="AG3041" s="1059"/>
      <c r="BB3041" s="784"/>
      <c r="BC3041" s="785"/>
      <c r="BD3041" s="900"/>
      <c r="BE3041" s="797"/>
    </row>
    <row r="3042" spans="1:57" s="65" customFormat="1" hidden="1" outlineLevel="1" x14ac:dyDescent="0.25">
      <c r="A3042" s="718"/>
      <c r="B3042" s="785"/>
      <c r="C3042" s="455"/>
      <c r="D3042" s="2806"/>
      <c r="E3042" s="2856"/>
      <c r="F3042" s="2917" t="str">
        <f>E1472</f>
        <v>ASHP - SEER 19 - replace electric furnace / CAC SF</v>
      </c>
      <c r="G3042" s="2917"/>
      <c r="H3042" s="2917"/>
      <c r="I3042" s="2917"/>
      <c r="J3042" s="1654" t="str">
        <f>C1472</f>
        <v>353300_2019_12_</v>
      </c>
      <c r="K3042" s="713">
        <f>$R$1670*K$2692</f>
        <v>1203.6500000000003</v>
      </c>
      <c r="L3042" s="910">
        <f>VLOOKUP(J3042,$J$1664:$L$1791,3,FALSE)*M3042</f>
        <v>2.8</v>
      </c>
      <c r="M3042" s="2110">
        <f>VLOOKUP(J3042,$J$2688:$K$2815,2,FALSE)</f>
        <v>1</v>
      </c>
      <c r="N3042" s="1453"/>
      <c r="O3042" s="332"/>
      <c r="P3042" s="1116"/>
      <c r="Q3042" s="1117"/>
      <c r="R3042" s="1116"/>
      <c r="S3042" s="1103"/>
      <c r="T3042" s="1639"/>
      <c r="U3042" s="177"/>
      <c r="V3042" s="2866"/>
      <c r="W3042" s="713">
        <v>2277.3333333333335</v>
      </c>
      <c r="X3042" s="716">
        <f>$R$1670*(X$1706/12000)*X$2730</f>
        <v>3370.2200000000007</v>
      </c>
      <c r="Y3042" s="716">
        <v>813.33333333333337</v>
      </c>
      <c r="Z3042" s="1060"/>
      <c r="AA3042" s="713"/>
      <c r="AB3042" s="1060"/>
      <c r="AC3042" s="1060"/>
      <c r="AD3042" s="1060"/>
      <c r="AE3042" s="1060"/>
      <c r="AF3042" s="1060"/>
      <c r="AG3042" s="1060"/>
      <c r="BB3042" s="784"/>
      <c r="BC3042" s="785"/>
      <c r="BD3042" s="900"/>
      <c r="BE3042" s="797"/>
    </row>
    <row r="3043" spans="1:57" s="65" customFormat="1" hidden="1" outlineLevel="1" x14ac:dyDescent="0.25">
      <c r="A3043" s="718"/>
      <c r="B3043" s="785"/>
      <c r="C3043" s="455"/>
      <c r="D3043" s="2806"/>
      <c r="E3043" s="2856"/>
      <c r="F3043" s="2917" t="str">
        <f>E1473</f>
        <v>ASHP - SEER 19 - replace electric furnace / CAC SF</v>
      </c>
      <c r="G3043" s="2917"/>
      <c r="H3043" s="2917"/>
      <c r="I3043" s="2917"/>
      <c r="J3043" s="1654" t="str">
        <f>C1473</f>
        <v>353300_2019_12_</v>
      </c>
      <c r="K3043" s="713"/>
      <c r="L3043" s="910" t="str">
        <f>IF(K3043&gt;0,VLOOKUP(J3043,$J$1664:$L$1791,3,FALSE),"")</f>
        <v/>
      </c>
      <c r="M3043" s="2110" t="str">
        <f>IF(K3043&gt;0,VLOOKUP(J3043,$J$2688:$K$2815,2,FALSE),"")</f>
        <v/>
      </c>
      <c r="N3043" s="1453"/>
      <c r="O3043" s="332"/>
      <c r="P3043" s="1116"/>
      <c r="Q3043" s="1117"/>
      <c r="R3043" s="1116"/>
      <c r="S3043" s="1103"/>
      <c r="T3043" s="1639"/>
      <c r="U3043" s="177"/>
      <c r="V3043" s="2866"/>
      <c r="W3043" s="713"/>
      <c r="X3043" s="716"/>
      <c r="Y3043" s="716"/>
      <c r="Z3043" s="1060"/>
      <c r="AA3043" s="713"/>
      <c r="AB3043" s="1060"/>
      <c r="AC3043" s="1060"/>
      <c r="AD3043" s="1060"/>
      <c r="AE3043" s="1060"/>
      <c r="AF3043" s="1060"/>
      <c r="AG3043" s="1060"/>
      <c r="BB3043" s="784"/>
      <c r="BC3043" s="785"/>
      <c r="BD3043" s="900"/>
      <c r="BE3043" s="797"/>
    </row>
    <row r="3044" spans="1:57" s="65" customFormat="1" hidden="1" outlineLevel="1" x14ac:dyDescent="0.25">
      <c r="A3044" s="718"/>
      <c r="B3044" s="785"/>
      <c r="C3044" s="455"/>
      <c r="D3044" s="2806"/>
      <c r="E3044" s="2856"/>
      <c r="F3044" s="2917" t="str">
        <f>E1474</f>
        <v>ASHP - SEER 19 - replace electric furnace / CAC MF</v>
      </c>
      <c r="G3044" s="2917"/>
      <c r="H3044" s="2917"/>
      <c r="I3044" s="2917"/>
      <c r="J3044" s="1654" t="str">
        <f>C1474</f>
        <v>353350_2019_12_</v>
      </c>
      <c r="K3044" s="713">
        <f>$R$1670*K$2692</f>
        <v>1203.6500000000003</v>
      </c>
      <c r="L3044" s="910">
        <f>VLOOKUP(J3044,$J$1664:$L$1791,3,FALSE)*M3044</f>
        <v>1.8199999999999998</v>
      </c>
      <c r="M3044" s="2110">
        <f>VLOOKUP(J3044,$J$2688:$K$2815,2,FALSE)</f>
        <v>0.65</v>
      </c>
      <c r="N3044" s="1453"/>
      <c r="O3044" s="332"/>
      <c r="P3044" s="1116"/>
      <c r="Q3044" s="1117"/>
      <c r="R3044" s="1116"/>
      <c r="S3044" s="1103"/>
      <c r="T3044" s="1639"/>
      <c r="U3044" s="177"/>
      <c r="V3044" s="2866"/>
      <c r="W3044" s="713">
        <v>2277.3333333333335</v>
      </c>
      <c r="X3044" s="716">
        <f>$R$1670*(X$1707/12000)*X$2731</f>
        <v>2190.6430000000005</v>
      </c>
      <c r="Y3044" s="716">
        <v>813.33333333333337</v>
      </c>
      <c r="Z3044" s="1060"/>
      <c r="AA3044" s="713"/>
      <c r="AB3044" s="1060"/>
      <c r="AC3044" s="1060"/>
      <c r="AD3044" s="1060"/>
      <c r="AE3044" s="1060"/>
      <c r="AF3044" s="1060"/>
      <c r="AG3044" s="1060"/>
      <c r="BB3044" s="784"/>
      <c r="BC3044" s="785"/>
      <c r="BD3044" s="900"/>
      <c r="BE3044" s="797"/>
    </row>
    <row r="3045" spans="1:57" s="65" customFormat="1" hidden="1" outlineLevel="1" x14ac:dyDescent="0.25">
      <c r="A3045" s="718"/>
      <c r="B3045" s="785"/>
      <c r="C3045" s="455"/>
      <c r="D3045" s="2806"/>
      <c r="E3045" s="2856"/>
      <c r="F3045" s="2917" t="str">
        <f>E1475</f>
        <v>ASHP - SEER 19 - replace electric furnace / CAC MF</v>
      </c>
      <c r="G3045" s="2917"/>
      <c r="H3045" s="2917"/>
      <c r="I3045" s="2917"/>
      <c r="J3045" s="1654" t="str">
        <f>C1475</f>
        <v>353350_2019_12_</v>
      </c>
      <c r="K3045" s="713"/>
      <c r="L3045" s="910" t="str">
        <f>IF(K3045&gt;0,VLOOKUP(J3045,$J$1664:$L$1791,3,FALSE),"")</f>
        <v/>
      </c>
      <c r="M3045" s="2110" t="str">
        <f>IF(K3045&gt;0,VLOOKUP(J3045,$J$2688:$K$2815,2,FALSE),"")</f>
        <v/>
      </c>
      <c r="N3045" s="1453"/>
      <c r="O3045" s="332"/>
      <c r="P3045" s="1116"/>
      <c r="Q3045" s="1117"/>
      <c r="R3045" s="1116"/>
      <c r="S3045" s="1103"/>
      <c r="T3045" s="1639"/>
      <c r="U3045" s="177"/>
      <c r="V3045" s="2866"/>
      <c r="W3045" s="713"/>
      <c r="X3045" s="716"/>
      <c r="Y3045" s="716"/>
      <c r="Z3045" s="1060"/>
      <c r="AA3045" s="713"/>
      <c r="AB3045" s="1060"/>
      <c r="AC3045" s="1060"/>
      <c r="AD3045" s="1060"/>
      <c r="AE3045" s="1060"/>
      <c r="AF3045" s="1060"/>
      <c r="AG3045" s="1060"/>
      <c r="BB3045" s="784"/>
      <c r="BC3045" s="785"/>
      <c r="BD3045" s="900"/>
      <c r="BE3045" s="797"/>
    </row>
    <row r="3046" spans="1:57" s="65" customFormat="1" hidden="1" outlineLevel="1" x14ac:dyDescent="0.25">
      <c r="A3046" s="718"/>
      <c r="B3046" s="785"/>
      <c r="C3046" s="455"/>
      <c r="D3046" s="2806"/>
      <c r="E3046" s="2856"/>
      <c r="F3046" s="2917" t="str">
        <f t="shared" ref="F3046:F3053" si="253">E1478</f>
        <v>ASHP - SEER 20 - replace electric furnace / CAC - early replacement SF ER1</v>
      </c>
      <c r="G3046" s="2917"/>
      <c r="H3046" s="2917"/>
      <c r="I3046" s="2917"/>
      <c r="J3046" s="1654" t="str">
        <f t="shared" ref="J3046:J3053" si="254">C1478</f>
        <v>353400_2019_12_</v>
      </c>
      <c r="K3046" s="713">
        <f>(($R$1678*L3046)+$R$1671)-(($Q$1678*L3046)/((1+$R$1680)^($R$1681-1)))</f>
        <v>2185.0873864864097</v>
      </c>
      <c r="L3046" s="910">
        <f>VLOOKUP(J3046,$J$1664:$L$1791,3,FALSE)*M3046</f>
        <v>3.1</v>
      </c>
      <c r="M3046" s="2110">
        <f>VLOOKUP(J3046,$J$2688:$K$2815,2,FALSE)</f>
        <v>1</v>
      </c>
      <c r="N3046" s="1453"/>
      <c r="O3046" s="332"/>
      <c r="P3046" s="1116"/>
      <c r="Q3046" s="1117"/>
      <c r="R3046" s="1116"/>
      <c r="S3046" s="1103"/>
      <c r="T3046" s="1639"/>
      <c r="U3046" s="177"/>
      <c r="V3046" s="2866"/>
      <c r="W3046" s="713">
        <v>5275.2377829603429</v>
      </c>
      <c r="X3046" s="716">
        <f>$Q$1671*(X$1709/12000)*X$2733</f>
        <v>6699.7001594592275</v>
      </c>
      <c r="Y3046" s="716">
        <v>2032.6993716056036</v>
      </c>
      <c r="Z3046" s="1060"/>
      <c r="AA3046" s="713"/>
      <c r="AB3046" s="1060"/>
      <c r="AC3046" s="1060"/>
      <c r="AD3046" s="1060"/>
      <c r="AE3046" s="1060"/>
      <c r="AF3046" s="1060"/>
      <c r="AG3046" s="1060"/>
      <c r="BB3046" s="784"/>
      <c r="BC3046" s="785"/>
      <c r="BD3046" s="900"/>
      <c r="BE3046" s="797"/>
    </row>
    <row r="3047" spans="1:57" s="65" customFormat="1" hidden="1" outlineLevel="1" x14ac:dyDescent="0.25">
      <c r="A3047" s="718"/>
      <c r="B3047" s="785"/>
      <c r="C3047" s="455"/>
      <c r="D3047" s="2806"/>
      <c r="E3047" s="2856"/>
      <c r="F3047" s="2917" t="str">
        <f t="shared" si="253"/>
        <v>ASHP - SEER 20 - replace electric furnace / CAC - early replacement SF ER1</v>
      </c>
      <c r="G3047" s="2917"/>
      <c r="H3047" s="2917"/>
      <c r="I3047" s="2917"/>
      <c r="J3047" s="1654" t="str">
        <f t="shared" si="254"/>
        <v>353400_2019_12_</v>
      </c>
      <c r="K3047" s="713"/>
      <c r="L3047" s="910" t="str">
        <f>IF(K3047&gt;0,VLOOKUP(J3047,$J$1664:$L$1791,3,FALSE),"")</f>
        <v/>
      </c>
      <c r="M3047" s="2110" t="str">
        <f>IF(K3047&gt;0,VLOOKUP(J3047,$J$2688:$K$2815,2,FALSE),"")</f>
        <v/>
      </c>
      <c r="N3047" s="1453"/>
      <c r="O3047" s="332"/>
      <c r="P3047" s="1116"/>
      <c r="Q3047" s="1117"/>
      <c r="R3047" s="1116"/>
      <c r="S3047" s="1103"/>
      <c r="T3047" s="1639"/>
      <c r="U3047" s="177"/>
      <c r="V3047" s="2866"/>
      <c r="W3047" s="713"/>
      <c r="X3047" s="716"/>
      <c r="Y3047" s="716"/>
      <c r="Z3047" s="1060"/>
      <c r="AA3047" s="713"/>
      <c r="AB3047" s="1060"/>
      <c r="AC3047" s="1060"/>
      <c r="AD3047" s="1060"/>
      <c r="AE3047" s="1060"/>
      <c r="AF3047" s="1060"/>
      <c r="AG3047" s="1060"/>
      <c r="BB3047" s="784"/>
      <c r="BC3047" s="785"/>
      <c r="BD3047" s="900"/>
      <c r="BE3047" s="797"/>
    </row>
    <row r="3048" spans="1:57" s="65" customFormat="1" hidden="1" outlineLevel="1" x14ac:dyDescent="0.25">
      <c r="A3048" s="718"/>
      <c r="B3048" s="785"/>
      <c r="C3048" s="455"/>
      <c r="D3048" s="2806"/>
      <c r="E3048" s="2856"/>
      <c r="F3048" s="2917" t="str">
        <f t="shared" si="253"/>
        <v>ASHP - SEER 20 - replace electric furnace / CAC - early replacement SF ER2</v>
      </c>
      <c r="G3048" s="2917"/>
      <c r="H3048" s="2917"/>
      <c r="I3048" s="2917"/>
      <c r="J3048" s="1654" t="str">
        <f t="shared" si="254"/>
        <v>353400_2019_12_</v>
      </c>
      <c r="K3048" s="713"/>
      <c r="L3048" s="910" t="str">
        <f>IF(K3048&gt;0,VLOOKUP(J3048,$J$1664:$L$1791,3,FALSE),"")</f>
        <v/>
      </c>
      <c r="M3048" s="2110" t="str">
        <f>IF(K3048&gt;0,VLOOKUP(J3048,$J$2688:$K$2815,2,FALSE),"")</f>
        <v/>
      </c>
      <c r="N3048" s="1453"/>
      <c r="O3048" s="332"/>
      <c r="P3048" s="1116"/>
      <c r="Q3048" s="1117"/>
      <c r="R3048" s="1116"/>
      <c r="S3048" s="1103"/>
      <c r="T3048" s="1639"/>
      <c r="U3048" s="177"/>
      <c r="V3048" s="2866"/>
      <c r="W3048" s="713"/>
      <c r="X3048" s="716"/>
      <c r="Y3048" s="716"/>
      <c r="Z3048" s="1060"/>
      <c r="AA3048" s="713"/>
      <c r="AB3048" s="1060"/>
      <c r="AC3048" s="1060"/>
      <c r="AD3048" s="1060"/>
      <c r="AE3048" s="1060"/>
      <c r="AF3048" s="1060"/>
      <c r="AG3048" s="1060"/>
      <c r="BB3048" s="784"/>
      <c r="BC3048" s="785"/>
      <c r="BD3048" s="900"/>
      <c r="BE3048" s="797"/>
    </row>
    <row r="3049" spans="1:57" s="65" customFormat="1" hidden="1" outlineLevel="1" x14ac:dyDescent="0.25">
      <c r="A3049" s="718"/>
      <c r="B3049" s="785"/>
      <c r="C3049" s="455"/>
      <c r="D3049" s="2806"/>
      <c r="E3049" s="2856"/>
      <c r="F3049" s="2917" t="str">
        <f t="shared" si="253"/>
        <v>ASHP - SEER 20 - replace electric furnace / CAC - early replacement SF ER2</v>
      </c>
      <c r="G3049" s="2917"/>
      <c r="H3049" s="2917"/>
      <c r="I3049" s="2917"/>
      <c r="J3049" s="1654" t="str">
        <f t="shared" si="254"/>
        <v>353400_2019_12_</v>
      </c>
      <c r="K3049" s="713"/>
      <c r="L3049" s="910" t="str">
        <f>IF(K3049&gt;0,VLOOKUP(J3049,$J$1664:$L$1791,3,FALSE),"")</f>
        <v/>
      </c>
      <c r="M3049" s="2110" t="str">
        <f>IF(K3049&gt;0,VLOOKUP(J3049,$J$2688:$K$2815,2,FALSE),"")</f>
        <v/>
      </c>
      <c r="N3049" s="1453"/>
      <c r="O3049" s="332"/>
      <c r="P3049" s="1116"/>
      <c r="Q3049" s="1117"/>
      <c r="R3049" s="1116"/>
      <c r="S3049" s="1103"/>
      <c r="T3049" s="1639"/>
      <c r="U3049" s="177"/>
      <c r="V3049" s="2866"/>
      <c r="W3049" s="713"/>
      <c r="X3049" s="716"/>
      <c r="Y3049" s="716"/>
      <c r="Z3049" s="1060"/>
      <c r="AA3049" s="713"/>
      <c r="AB3049" s="1060"/>
      <c r="AC3049" s="1060"/>
      <c r="AD3049" s="1060"/>
      <c r="AE3049" s="1060"/>
      <c r="AF3049" s="1060"/>
      <c r="AG3049" s="1060"/>
      <c r="BB3049" s="784"/>
      <c r="BC3049" s="785"/>
      <c r="BD3049" s="900"/>
      <c r="BE3049" s="797"/>
    </row>
    <row r="3050" spans="1:57" s="65" customFormat="1" hidden="1" outlineLevel="1" x14ac:dyDescent="0.25">
      <c r="A3050" s="718"/>
      <c r="B3050" s="785"/>
      <c r="C3050" s="455"/>
      <c r="D3050" s="2806"/>
      <c r="E3050" s="2856"/>
      <c r="F3050" s="2917" t="str">
        <f t="shared" si="253"/>
        <v>ASHP - SEER 20 - replace electric furnace / CAC SF</v>
      </c>
      <c r="G3050" s="2917"/>
      <c r="H3050" s="2917"/>
      <c r="I3050" s="2917"/>
      <c r="J3050" s="1654" t="str">
        <f t="shared" si="254"/>
        <v>353450_2019_12_</v>
      </c>
      <c r="K3050" s="713">
        <f>$R$1671*K$2692</f>
        <v>1444.3799999999994</v>
      </c>
      <c r="L3050" s="910">
        <f>VLOOKUP(J3050,$J$1664:$L$1791,3,FALSE)*M3050</f>
        <v>3.2</v>
      </c>
      <c r="M3050" s="2110">
        <f>VLOOKUP(J3050,$J$2688:$K$2815,2,FALSE)</f>
        <v>1</v>
      </c>
      <c r="N3050" s="1453"/>
      <c r="O3050" s="332"/>
      <c r="P3050" s="1116"/>
      <c r="Q3050" s="1117"/>
      <c r="R3050" s="1116"/>
      <c r="S3050" s="1103"/>
      <c r="T3050" s="1639"/>
      <c r="U3050" s="177"/>
      <c r="V3050" s="2866"/>
      <c r="W3050" s="713">
        <v>3712</v>
      </c>
      <c r="X3050" s="716">
        <f>$R$1671*(X$1711/12000)*X$2735</f>
        <v>4622.0159999999987</v>
      </c>
      <c r="Y3050" s="716">
        <v>1160</v>
      </c>
      <c r="Z3050" s="1060"/>
      <c r="AA3050" s="713"/>
      <c r="AB3050" s="1060"/>
      <c r="AC3050" s="1060"/>
      <c r="AD3050" s="1060"/>
      <c r="AE3050" s="1060"/>
      <c r="AF3050" s="1060"/>
      <c r="AG3050" s="1060"/>
      <c r="BB3050" s="784"/>
      <c r="BC3050" s="785"/>
      <c r="BD3050" s="900"/>
      <c r="BE3050" s="797"/>
    </row>
    <row r="3051" spans="1:57" s="65" customFormat="1" hidden="1" outlineLevel="1" x14ac:dyDescent="0.25">
      <c r="A3051" s="718"/>
      <c r="B3051" s="785"/>
      <c r="C3051" s="455"/>
      <c r="D3051" s="2806"/>
      <c r="E3051" s="2856"/>
      <c r="F3051" s="2917" t="str">
        <f t="shared" si="253"/>
        <v>ASHP - SEER 20 - replace electric furnace / CAC SF</v>
      </c>
      <c r="G3051" s="2917"/>
      <c r="H3051" s="2917"/>
      <c r="I3051" s="2917"/>
      <c r="J3051" s="1654" t="str">
        <f t="shared" si="254"/>
        <v>353450_2019_12_</v>
      </c>
      <c r="K3051" s="713"/>
      <c r="L3051" s="910" t="str">
        <f>IF(K3051&gt;0,VLOOKUP(J3051,$J$1664:$L$1791,3,FALSE),"")</f>
        <v/>
      </c>
      <c r="M3051" s="2110" t="str">
        <f>IF(K3051&gt;0,VLOOKUP(J3051,$J$2688:$K$2815,2,FALSE),"")</f>
        <v/>
      </c>
      <c r="N3051" s="1453"/>
      <c r="O3051" s="332"/>
      <c r="P3051" s="1116"/>
      <c r="Q3051" s="1117"/>
      <c r="R3051" s="1116"/>
      <c r="S3051" s="1103"/>
      <c r="T3051" s="1639"/>
      <c r="U3051" s="177"/>
      <c r="V3051" s="2866"/>
      <c r="W3051" s="713"/>
      <c r="X3051" s="716"/>
      <c r="Y3051" s="716"/>
      <c r="Z3051" s="1060"/>
      <c r="AA3051" s="713"/>
      <c r="AB3051" s="1060"/>
      <c r="AC3051" s="1060"/>
      <c r="AD3051" s="1060"/>
      <c r="AE3051" s="1060"/>
      <c r="AF3051" s="1060"/>
      <c r="AG3051" s="1060"/>
      <c r="BB3051" s="784"/>
      <c r="BC3051" s="785"/>
      <c r="BD3051" s="900"/>
      <c r="BE3051" s="797"/>
    </row>
    <row r="3052" spans="1:57" s="65" customFormat="1" hidden="1" outlineLevel="1" x14ac:dyDescent="0.25">
      <c r="A3052" s="718"/>
      <c r="B3052" s="785"/>
      <c r="C3052" s="455"/>
      <c r="D3052" s="2806"/>
      <c r="E3052" s="2856"/>
      <c r="F3052" s="2917" t="str">
        <f t="shared" si="253"/>
        <v>ASHP - SEER 20 - replace electric furnace / CAC MF</v>
      </c>
      <c r="G3052" s="2917"/>
      <c r="H3052" s="2917"/>
      <c r="I3052" s="2917"/>
      <c r="J3052" s="1654" t="str">
        <f t="shared" si="254"/>
        <v>353500_2019_12_</v>
      </c>
      <c r="K3052" s="713">
        <f>$R$1671*K$2692</f>
        <v>1444.3799999999994</v>
      </c>
      <c r="L3052" s="910">
        <f>VLOOKUP(J3052,$J$1664:$L$1791,3,FALSE)*M3052</f>
        <v>2.08</v>
      </c>
      <c r="M3052" s="2110">
        <f>VLOOKUP(J3052,$J$2688:$K$2815,2,FALSE)</f>
        <v>0.65</v>
      </c>
      <c r="N3052" s="1453"/>
      <c r="O3052" s="332"/>
      <c r="P3052" s="1116"/>
      <c r="Q3052" s="1117"/>
      <c r="R3052" s="1116"/>
      <c r="S3052" s="1103"/>
      <c r="T3052" s="1639"/>
      <c r="U3052" s="177"/>
      <c r="V3052" s="2866"/>
      <c r="W3052" s="713">
        <v>3596</v>
      </c>
      <c r="X3052" s="716">
        <f>$R$1671*(X$1712/12000)*X$2736</f>
        <v>3004.3103999999994</v>
      </c>
      <c r="Y3052" s="716">
        <v>1160</v>
      </c>
      <c r="Z3052" s="1060"/>
      <c r="AA3052" s="713"/>
      <c r="AB3052" s="1060"/>
      <c r="AC3052" s="1060"/>
      <c r="AD3052" s="1060"/>
      <c r="AE3052" s="1060"/>
      <c r="AF3052" s="1060"/>
      <c r="AG3052" s="1060"/>
      <c r="BB3052" s="784"/>
      <c r="BC3052" s="785"/>
      <c r="BD3052" s="900"/>
      <c r="BE3052" s="797"/>
    </row>
    <row r="3053" spans="1:57" s="65" customFormat="1" hidden="1" outlineLevel="1" x14ac:dyDescent="0.25">
      <c r="A3053" s="718"/>
      <c r="B3053" s="785"/>
      <c r="C3053" s="455"/>
      <c r="D3053" s="2806"/>
      <c r="E3053" s="2856"/>
      <c r="F3053" s="2917" t="str">
        <f t="shared" si="253"/>
        <v>ASHP - SEER 20 - replace electric furnace / CAC MF</v>
      </c>
      <c r="G3053" s="2917"/>
      <c r="H3053" s="2917"/>
      <c r="I3053" s="2917"/>
      <c r="J3053" s="1654" t="str">
        <f t="shared" si="254"/>
        <v>353500_2019_12_</v>
      </c>
      <c r="K3053" s="713"/>
      <c r="L3053" s="910" t="str">
        <f>IF(K3053&gt;0,VLOOKUP(J3053,$J$1664:$L$1791,3,FALSE),"")</f>
        <v/>
      </c>
      <c r="M3053" s="2110" t="str">
        <f>IF(K3053&gt;0,VLOOKUP(J3053,$J$2688:$K$2815,2,FALSE),"")</f>
        <v/>
      </c>
      <c r="N3053" s="1453"/>
      <c r="O3053" s="332"/>
      <c r="P3053" s="1116"/>
      <c r="Q3053" s="1117"/>
      <c r="R3053" s="1116"/>
      <c r="S3053" s="1103"/>
      <c r="T3053" s="1639"/>
      <c r="U3053" s="177"/>
      <c r="V3053" s="2866"/>
      <c r="W3053" s="713"/>
      <c r="X3053" s="716"/>
      <c r="Y3053" s="716"/>
      <c r="Z3053" s="1060"/>
      <c r="AA3053" s="713"/>
      <c r="AB3053" s="1060"/>
      <c r="AC3053" s="1060"/>
      <c r="AD3053" s="1060"/>
      <c r="AE3053" s="1060"/>
      <c r="AF3053" s="1060"/>
      <c r="AG3053" s="1060"/>
      <c r="BB3053" s="784"/>
      <c r="BC3053" s="785"/>
      <c r="BD3053" s="900"/>
      <c r="BE3053" s="797"/>
    </row>
    <row r="3054" spans="1:57" s="65" customFormat="1" hidden="1" outlineLevel="1" x14ac:dyDescent="0.25">
      <c r="A3054" s="718"/>
      <c r="B3054" s="785"/>
      <c r="C3054" s="455"/>
      <c r="D3054" s="2806"/>
      <c r="E3054" s="2856"/>
      <c r="F3054" s="2917" t="str">
        <f t="shared" ref="F3054:F3061" si="255">E1488</f>
        <v>ASHP - SEER 21 - replace electric furnace / CAC - early replacement SF ER1</v>
      </c>
      <c r="G3054" s="2917"/>
      <c r="H3054" s="2917"/>
      <c r="I3054" s="2917"/>
      <c r="J3054" s="1654" t="str">
        <f t="shared" ref="J3054:J3061" si="256">C1488</f>
        <v>353550_2019_12_</v>
      </c>
      <c r="K3054" s="713">
        <f>(($R$1678*L3054)+$R$1672)-(($Q$1678*L3054)/((1+$R$1680)^($R$1681-1)))</f>
        <v>2430.6319864864099</v>
      </c>
      <c r="L3054" s="910">
        <f>VLOOKUP(J3054,$J$1664:$L$1791,3,FALSE)*M3054</f>
        <v>3.1</v>
      </c>
      <c r="M3054" s="2110">
        <f>VLOOKUP(J3054,$J$2688:$K$2815,2,FALSE)</f>
        <v>1</v>
      </c>
      <c r="N3054" s="1453"/>
      <c r="O3054" s="332"/>
      <c r="P3054" s="1116"/>
      <c r="Q3054" s="1117"/>
      <c r="R3054" s="1116"/>
      <c r="S3054" s="1103"/>
      <c r="T3054" s="1639"/>
      <c r="U3054" s="177"/>
      <c r="V3054" s="2866"/>
      <c r="W3054" s="713">
        <v>5275.2377829603429</v>
      </c>
      <c r="X3054" s="716">
        <f>$Q$1672*(X$1714/12000)*X$2738</f>
        <v>7460.8884194592283</v>
      </c>
      <c r="Y3054" s="716">
        <v>2032.6993716056036</v>
      </c>
      <c r="Z3054" s="1060"/>
      <c r="AA3054" s="713"/>
      <c r="AB3054" s="1060"/>
      <c r="AC3054" s="1060"/>
      <c r="AD3054" s="1060"/>
      <c r="AE3054" s="1060"/>
      <c r="AF3054" s="1060"/>
      <c r="AG3054" s="1060"/>
      <c r="BB3054" s="784"/>
      <c r="BC3054" s="785"/>
      <c r="BD3054" s="900"/>
      <c r="BE3054" s="797"/>
    </row>
    <row r="3055" spans="1:57" s="65" customFormat="1" hidden="1" outlineLevel="1" x14ac:dyDescent="0.25">
      <c r="A3055" s="718"/>
      <c r="B3055" s="785"/>
      <c r="C3055" s="455"/>
      <c r="D3055" s="2806"/>
      <c r="E3055" s="2856"/>
      <c r="F3055" s="2917" t="str">
        <f t="shared" si="255"/>
        <v>ASHP - SEER 21 - replace electric furnace / CAC - early replacement SF ER1</v>
      </c>
      <c r="G3055" s="2917"/>
      <c r="H3055" s="2917"/>
      <c r="I3055" s="2917"/>
      <c r="J3055" s="1654" t="str">
        <f t="shared" si="256"/>
        <v>353550_2019_12_</v>
      </c>
      <c r="K3055" s="713"/>
      <c r="L3055" s="910" t="str">
        <f>IF(K3055&gt;0,VLOOKUP(J3055,$J$1664:$L$1791,3,FALSE),"")</f>
        <v/>
      </c>
      <c r="M3055" s="2110" t="str">
        <f>IF(K3055&gt;0,VLOOKUP(J3055,$J$2688:$K$2815,2,FALSE),"")</f>
        <v/>
      </c>
      <c r="N3055" s="1453"/>
      <c r="O3055" s="332"/>
      <c r="P3055" s="1116"/>
      <c r="Q3055" s="1117"/>
      <c r="R3055" s="1116"/>
      <c r="S3055" s="1103"/>
      <c r="T3055" s="1639"/>
      <c r="U3055" s="177"/>
      <c r="V3055" s="2866"/>
      <c r="W3055" s="713"/>
      <c r="X3055" s="716"/>
      <c r="Y3055" s="716"/>
      <c r="Z3055" s="1060"/>
      <c r="AA3055" s="713"/>
      <c r="AB3055" s="1060"/>
      <c r="AC3055" s="1060"/>
      <c r="AD3055" s="1060"/>
      <c r="AE3055" s="1060"/>
      <c r="AF3055" s="1060"/>
      <c r="AG3055" s="1060"/>
      <c r="BB3055" s="784"/>
      <c r="BC3055" s="785"/>
      <c r="BD3055" s="900"/>
      <c r="BE3055" s="797"/>
    </row>
    <row r="3056" spans="1:57" s="65" customFormat="1" hidden="1" outlineLevel="1" x14ac:dyDescent="0.25">
      <c r="A3056" s="718"/>
      <c r="B3056" s="785"/>
      <c r="C3056" s="455"/>
      <c r="D3056" s="2806"/>
      <c r="E3056" s="2856"/>
      <c r="F3056" s="2917" t="str">
        <f t="shared" si="255"/>
        <v>ASHP - SEER 21 - replace electric furnace / CAC - early replacement SF ER2</v>
      </c>
      <c r="G3056" s="2917"/>
      <c r="H3056" s="2917"/>
      <c r="I3056" s="2917"/>
      <c r="J3056" s="1654" t="str">
        <f t="shared" si="256"/>
        <v>353550_2019_12_</v>
      </c>
      <c r="K3056" s="713"/>
      <c r="L3056" s="910" t="str">
        <f>IF(K3056&gt;0,VLOOKUP(J3056,$J$1664:$L$1791,3,FALSE),"")</f>
        <v/>
      </c>
      <c r="M3056" s="2110" t="str">
        <f>IF(K3056&gt;0,VLOOKUP(J3056,$J$2688:$K$2815,2,FALSE),"")</f>
        <v/>
      </c>
      <c r="N3056" s="1453"/>
      <c r="O3056" s="332"/>
      <c r="P3056" s="1116"/>
      <c r="Q3056" s="1117"/>
      <c r="R3056" s="1116"/>
      <c r="S3056" s="1103"/>
      <c r="T3056" s="1639"/>
      <c r="U3056" s="177"/>
      <c r="V3056" s="2866"/>
      <c r="W3056" s="713"/>
      <c r="X3056" s="716"/>
      <c r="Y3056" s="716"/>
      <c r="Z3056" s="1060"/>
      <c r="AA3056" s="713"/>
      <c r="AB3056" s="1060"/>
      <c r="AC3056" s="1060"/>
      <c r="AD3056" s="1060"/>
      <c r="AE3056" s="1060"/>
      <c r="AF3056" s="1060"/>
      <c r="AG3056" s="1060"/>
      <c r="BB3056" s="784"/>
      <c r="BC3056" s="785"/>
      <c r="BD3056" s="900"/>
      <c r="BE3056" s="797"/>
    </row>
    <row r="3057" spans="1:57" s="65" customFormat="1" hidden="1" outlineLevel="1" x14ac:dyDescent="0.25">
      <c r="A3057" s="718"/>
      <c r="B3057" s="785"/>
      <c r="C3057" s="455"/>
      <c r="D3057" s="2806"/>
      <c r="E3057" s="2856"/>
      <c r="F3057" s="2917" t="str">
        <f t="shared" si="255"/>
        <v>ASHP - SEER 21 - replace electric furnace / CAC - early replacement SF ER2</v>
      </c>
      <c r="G3057" s="2917"/>
      <c r="H3057" s="2917"/>
      <c r="I3057" s="2917"/>
      <c r="J3057" s="1654" t="str">
        <f t="shared" si="256"/>
        <v>353550_2019_12_</v>
      </c>
      <c r="K3057" s="713"/>
      <c r="L3057" s="910" t="str">
        <f>IF(K3057&gt;0,VLOOKUP(J3057,$J$1664:$L$1791,3,FALSE),"")</f>
        <v/>
      </c>
      <c r="M3057" s="2110" t="str">
        <f>IF(K3057&gt;0,VLOOKUP(J3057,$J$2688:$K$2815,2,FALSE),"")</f>
        <v/>
      </c>
      <c r="N3057" s="1453"/>
      <c r="O3057" s="332"/>
      <c r="P3057" s="1116"/>
      <c r="Q3057" s="1117"/>
      <c r="R3057" s="1116"/>
      <c r="S3057" s="1103"/>
      <c r="T3057" s="1639"/>
      <c r="U3057" s="177"/>
      <c r="V3057" s="2866"/>
      <c r="W3057" s="713"/>
      <c r="X3057" s="716"/>
      <c r="Y3057" s="716"/>
      <c r="Z3057" s="1060"/>
      <c r="AA3057" s="713"/>
      <c r="AB3057" s="1060"/>
      <c r="AC3057" s="1060"/>
      <c r="AD3057" s="1060"/>
      <c r="AE3057" s="1060"/>
      <c r="AF3057" s="1060"/>
      <c r="AG3057" s="1060"/>
      <c r="BB3057" s="784"/>
      <c r="BC3057" s="785"/>
      <c r="BD3057" s="900"/>
      <c r="BE3057" s="797"/>
    </row>
    <row r="3058" spans="1:57" s="65" customFormat="1" hidden="1" outlineLevel="1" x14ac:dyDescent="0.25">
      <c r="A3058" s="718"/>
      <c r="B3058" s="785"/>
      <c r="C3058" s="455"/>
      <c r="D3058" s="2806"/>
      <c r="E3058" s="2856"/>
      <c r="F3058" s="2917" t="str">
        <f t="shared" si="255"/>
        <v>ASHP - SEER 21 - replace electric furnace / CAC - early replacement MF ER1</v>
      </c>
      <c r="G3058" s="2917"/>
      <c r="H3058" s="2917"/>
      <c r="I3058" s="2917"/>
      <c r="J3058" s="1654" t="str">
        <f t="shared" si="256"/>
        <v>353600_2019_12_</v>
      </c>
      <c r="K3058" s="713">
        <f>(($R$1678*L3058)+$R$1672)-(($Q$1678*L3058)/((1+$R$1680)^($R$1681-1)))</f>
        <v>2171.3844012161662</v>
      </c>
      <c r="L3058" s="910">
        <f>VLOOKUP(J3058,$J$1664:$L$1791,3,FALSE)*M3058</f>
        <v>2.0150000000000001</v>
      </c>
      <c r="M3058" s="2110">
        <f>VLOOKUP(J3058,$J$2688:$K$2815,2,FALSE)</f>
        <v>0.65</v>
      </c>
      <c r="N3058" s="1453"/>
      <c r="O3058" s="332"/>
      <c r="P3058" s="1116"/>
      <c r="Q3058" s="1117"/>
      <c r="R3058" s="1116"/>
      <c r="S3058" s="1103"/>
      <c r="T3058" s="1639"/>
      <c r="U3058" s="177"/>
      <c r="V3058" s="2866"/>
      <c r="W3058" s="713">
        <v>5275.2377829603429</v>
      </c>
      <c r="X3058" s="716">
        <f>$Q$1672*(X$1716/12000)*X$2740</f>
        <v>4849.5774726484988</v>
      </c>
      <c r="Y3058" s="716">
        <v>1727.2545915436422</v>
      </c>
      <c r="Z3058" s="1060"/>
      <c r="AA3058" s="713"/>
      <c r="AB3058" s="1060"/>
      <c r="AC3058" s="1060"/>
      <c r="AD3058" s="1060"/>
      <c r="AE3058" s="1060"/>
      <c r="AF3058" s="1060"/>
      <c r="AG3058" s="1060"/>
      <c r="BB3058" s="784"/>
      <c r="BC3058" s="785"/>
      <c r="BD3058" s="900"/>
      <c r="BE3058" s="797"/>
    </row>
    <row r="3059" spans="1:57" s="65" customFormat="1" hidden="1" outlineLevel="1" x14ac:dyDescent="0.25">
      <c r="A3059" s="718"/>
      <c r="B3059" s="785"/>
      <c r="C3059" s="455"/>
      <c r="D3059" s="2806"/>
      <c r="E3059" s="2856"/>
      <c r="F3059" s="2917" t="str">
        <f t="shared" si="255"/>
        <v>ASHP - SEER 21 - replace electric furnace / CAC - early replacement MF ER1</v>
      </c>
      <c r="G3059" s="2917"/>
      <c r="H3059" s="2917"/>
      <c r="I3059" s="2917"/>
      <c r="J3059" s="1654" t="str">
        <f t="shared" si="256"/>
        <v>353600_2019_12_</v>
      </c>
      <c r="K3059" s="713"/>
      <c r="L3059" s="910" t="str">
        <f>IF(K3059&gt;0,VLOOKUP(J3059,$J$1664:$L$1791,3,FALSE),"")</f>
        <v/>
      </c>
      <c r="M3059" s="2110" t="str">
        <f>IF(K3059&gt;0,VLOOKUP(J3059,$J$2688:$K$2815,2,FALSE),"")</f>
        <v/>
      </c>
      <c r="N3059" s="1453"/>
      <c r="O3059" s="332"/>
      <c r="P3059" s="1116"/>
      <c r="Q3059" s="1117"/>
      <c r="R3059" s="1116"/>
      <c r="S3059" s="1103"/>
      <c r="T3059" s="1639"/>
      <c r="U3059" s="177"/>
      <c r="V3059" s="2866"/>
      <c r="W3059" s="713"/>
      <c r="X3059" s="716"/>
      <c r="Y3059" s="716"/>
      <c r="Z3059" s="1060"/>
      <c r="AA3059" s="713"/>
      <c r="AB3059" s="1060"/>
      <c r="AC3059" s="1060"/>
      <c r="AD3059" s="1060"/>
      <c r="AE3059" s="1060"/>
      <c r="AF3059" s="1060"/>
      <c r="AG3059" s="1060"/>
      <c r="BB3059" s="784"/>
      <c r="BC3059" s="785"/>
      <c r="BD3059" s="900"/>
      <c r="BE3059" s="797"/>
    </row>
    <row r="3060" spans="1:57" s="65" customFormat="1" hidden="1" outlineLevel="1" x14ac:dyDescent="0.25">
      <c r="A3060" s="718"/>
      <c r="B3060" s="785"/>
      <c r="C3060" s="455"/>
      <c r="D3060" s="2806"/>
      <c r="E3060" s="2856"/>
      <c r="F3060" s="2917" t="str">
        <f t="shared" si="255"/>
        <v>ASHP - SEER 21 - replace electric furnace / CAC - early replacement MF ER2</v>
      </c>
      <c r="G3060" s="2917"/>
      <c r="H3060" s="2917"/>
      <c r="I3060" s="2917"/>
      <c r="J3060" s="1654" t="str">
        <f t="shared" si="256"/>
        <v>353600_2019_12_</v>
      </c>
      <c r="K3060" s="713"/>
      <c r="L3060" s="910" t="str">
        <f>IF(K3060&gt;0,VLOOKUP(J3060,$J$1664:$L$1791,3,FALSE),"")</f>
        <v/>
      </c>
      <c r="M3060" s="2110" t="str">
        <f>IF(K3060&gt;0,VLOOKUP(J3060,$J$2688:$K$2815,2,FALSE),"")</f>
        <v/>
      </c>
      <c r="N3060" s="1453"/>
      <c r="O3060" s="332"/>
      <c r="P3060" s="1116"/>
      <c r="Q3060" s="1117"/>
      <c r="R3060" s="1116"/>
      <c r="S3060" s="1103"/>
      <c r="T3060" s="1639"/>
      <c r="U3060" s="177"/>
      <c r="V3060" s="2866"/>
      <c r="W3060" s="713"/>
      <c r="X3060" s="716"/>
      <c r="Y3060" s="716"/>
      <c r="Z3060" s="1060"/>
      <c r="AA3060" s="713"/>
      <c r="AB3060" s="1060"/>
      <c r="AC3060" s="1060"/>
      <c r="AD3060" s="1060"/>
      <c r="AE3060" s="1060"/>
      <c r="AF3060" s="1060"/>
      <c r="AG3060" s="1060"/>
      <c r="BB3060" s="784"/>
      <c r="BC3060" s="785"/>
      <c r="BD3060" s="900"/>
      <c r="BE3060" s="797"/>
    </row>
    <row r="3061" spans="1:57" s="65" customFormat="1" hidden="1" outlineLevel="1" x14ac:dyDescent="0.25">
      <c r="A3061" s="718"/>
      <c r="B3061" s="785"/>
      <c r="C3061" s="455"/>
      <c r="D3061" s="2806"/>
      <c r="E3061" s="2856"/>
      <c r="F3061" s="2917" t="str">
        <f t="shared" si="255"/>
        <v>ASHP - SEER 21 - replace electric furnace / CAC - early replacement MF ER2</v>
      </c>
      <c r="G3061" s="2917"/>
      <c r="H3061" s="2917"/>
      <c r="I3061" s="2917"/>
      <c r="J3061" s="1654" t="str">
        <f t="shared" si="256"/>
        <v>353600_2019_12_</v>
      </c>
      <c r="K3061" s="713"/>
      <c r="L3061" s="910" t="str">
        <f>IF(K3061&gt;0,VLOOKUP(J3061,$J$1664:$L$1791,3,FALSE),"")</f>
        <v/>
      </c>
      <c r="M3061" s="2110" t="str">
        <f>IF(K3061&gt;0,VLOOKUP(J3061,$J$2688:$K$2815,2,FALSE),"")</f>
        <v/>
      </c>
      <c r="N3061" s="1453"/>
      <c r="O3061" s="332"/>
      <c r="P3061" s="1116"/>
      <c r="Q3061" s="1117"/>
      <c r="R3061" s="1116"/>
      <c r="S3061" s="1103"/>
      <c r="T3061" s="1639"/>
      <c r="U3061" s="177"/>
      <c r="V3061" s="2866"/>
      <c r="W3061" s="713"/>
      <c r="X3061" s="716"/>
      <c r="Y3061" s="716"/>
      <c r="Z3061" s="1060"/>
      <c r="AA3061" s="713"/>
      <c r="AB3061" s="1060"/>
      <c r="AC3061" s="1060"/>
      <c r="AD3061" s="1060"/>
      <c r="AE3061" s="1060"/>
      <c r="AF3061" s="1060"/>
      <c r="AG3061" s="1060"/>
      <c r="BB3061" s="784"/>
      <c r="BC3061" s="785"/>
      <c r="BD3061" s="900"/>
      <c r="BE3061" s="797"/>
    </row>
    <row r="3062" spans="1:57" s="65" customFormat="1" hidden="1" outlineLevel="1" x14ac:dyDescent="0.25">
      <c r="A3062" s="718"/>
      <c r="B3062" s="785"/>
      <c r="C3062" s="455"/>
      <c r="D3062" s="2806"/>
      <c r="E3062" s="2856"/>
      <c r="F3062" s="2917" t="str">
        <f>E1500</f>
        <v>ASHP - SEER 21 - replace electric furnace / CAC SF</v>
      </c>
      <c r="G3062" s="2917"/>
      <c r="H3062" s="2917"/>
      <c r="I3062" s="2917"/>
      <c r="J3062" s="1654" t="str">
        <f>C1500</f>
        <v>353650_2019_12_</v>
      </c>
      <c r="K3062" s="713">
        <f>$R$1672*K$2692</f>
        <v>1689.9245999999991</v>
      </c>
      <c r="L3062" s="910">
        <f>VLOOKUP(J3062,$J$1664:$L$1791,3,FALSE)*M3062</f>
        <v>3.2</v>
      </c>
      <c r="M3062" s="2110">
        <f>VLOOKUP(J3062,$J$2688:$K$2815,2,FALSE)</f>
        <v>1</v>
      </c>
      <c r="N3062" s="1453"/>
      <c r="O3062" s="332"/>
      <c r="P3062" s="1116"/>
      <c r="Q3062" s="1117"/>
      <c r="R3062" s="1116"/>
      <c r="S3062" s="1103"/>
      <c r="T3062" s="1639"/>
      <c r="U3062" s="177"/>
      <c r="V3062" s="2866"/>
      <c r="W3062" s="713">
        <v>3712</v>
      </c>
      <c r="X3062" s="716">
        <f>$R$1672*(X$1720/12000)*X$2744</f>
        <v>5407.758719999998</v>
      </c>
      <c r="Y3062" s="716">
        <v>1160</v>
      </c>
      <c r="Z3062" s="1060"/>
      <c r="AA3062" s="713"/>
      <c r="AB3062" s="1060"/>
      <c r="AC3062" s="1060"/>
      <c r="AD3062" s="1060"/>
      <c r="AE3062" s="1060"/>
      <c r="AF3062" s="1060"/>
      <c r="AG3062" s="1060"/>
      <c r="BB3062" s="784"/>
      <c r="BC3062" s="785"/>
      <c r="BD3062" s="900"/>
      <c r="BE3062" s="797"/>
    </row>
    <row r="3063" spans="1:57" s="65" customFormat="1" hidden="1" outlineLevel="1" x14ac:dyDescent="0.25">
      <c r="A3063" s="718"/>
      <c r="B3063" s="785"/>
      <c r="C3063" s="455"/>
      <c r="D3063" s="2806"/>
      <c r="E3063" s="2856"/>
      <c r="F3063" s="2917" t="str">
        <f>E1501</f>
        <v>ASHP - SEER 21 - replace electric furnace / CAC SF</v>
      </c>
      <c r="G3063" s="2917"/>
      <c r="H3063" s="2917"/>
      <c r="I3063" s="2917"/>
      <c r="J3063" s="1654" t="str">
        <f>C1501</f>
        <v>353650_2019_12_</v>
      </c>
      <c r="K3063" s="713"/>
      <c r="L3063" s="910" t="str">
        <f>IF(K3063&gt;0,VLOOKUP(J3063,$J$1664:$L$1791,3,FALSE),"")</f>
        <v/>
      </c>
      <c r="M3063" s="2110" t="str">
        <f>IF(K3063&gt;0,VLOOKUP(J3063,$J$2688:$K$2815,2,FALSE),"")</f>
        <v/>
      </c>
      <c r="N3063" s="1453"/>
      <c r="O3063" s="332"/>
      <c r="P3063" s="1116"/>
      <c r="Q3063" s="1117"/>
      <c r="R3063" s="1116"/>
      <c r="S3063" s="1103"/>
      <c r="T3063" s="1639"/>
      <c r="U3063" s="177"/>
      <c r="V3063" s="2866"/>
      <c r="W3063" s="713"/>
      <c r="X3063" s="716"/>
      <c r="Y3063" s="716"/>
      <c r="Z3063" s="1060"/>
      <c r="AA3063" s="713"/>
      <c r="AB3063" s="1060"/>
      <c r="AC3063" s="1060"/>
      <c r="AD3063" s="1060"/>
      <c r="AE3063" s="1060"/>
      <c r="AF3063" s="1060"/>
      <c r="AG3063" s="1060"/>
      <c r="BB3063" s="784"/>
      <c r="BC3063" s="785"/>
      <c r="BD3063" s="900"/>
      <c r="BE3063" s="797"/>
    </row>
    <row r="3064" spans="1:57" s="65" customFormat="1" hidden="1" outlineLevel="1" x14ac:dyDescent="0.25">
      <c r="A3064" s="718"/>
      <c r="B3064" s="785"/>
      <c r="C3064" s="455"/>
      <c r="D3064" s="2806"/>
      <c r="E3064" s="2856"/>
      <c r="F3064" s="2917" t="str">
        <f>E1502</f>
        <v>ASHP-  SEER 21+ replace at Fail Elec Resist Furnace MF</v>
      </c>
      <c r="G3064" s="2917"/>
      <c r="H3064" s="2917"/>
      <c r="I3064" s="2917"/>
      <c r="J3064" s="1654" t="str">
        <f>C1502</f>
        <v>353700_2019_12_</v>
      </c>
      <c r="K3064" s="713">
        <f>$R$1672*K$2692</f>
        <v>1689.9245999999991</v>
      </c>
      <c r="L3064" s="910">
        <f>VLOOKUP(J3064,$J$1664:$L$1791,3,FALSE)*M3064</f>
        <v>2.08</v>
      </c>
      <c r="M3064" s="2110">
        <f>VLOOKUP(J3064,$J$2688:$K$2815,2,FALSE)</f>
        <v>0.65</v>
      </c>
      <c r="N3064" s="1453"/>
      <c r="O3064" s="332"/>
      <c r="P3064" s="1116"/>
      <c r="Q3064" s="1117"/>
      <c r="R3064" s="1116"/>
      <c r="S3064" s="1103"/>
      <c r="T3064" s="1639"/>
      <c r="U3064" s="177"/>
      <c r="V3064" s="2866"/>
      <c r="W3064" s="713">
        <v>3712</v>
      </c>
      <c r="X3064" s="716">
        <f>$R$1672*(X$1721/12000)*X$2745</f>
        <v>3515.0431679999988</v>
      </c>
      <c r="Y3064" s="716">
        <v>1160</v>
      </c>
      <c r="Z3064" s="1060"/>
      <c r="AA3064" s="713"/>
      <c r="AB3064" s="1060"/>
      <c r="AC3064" s="1060"/>
      <c r="AD3064" s="1060"/>
      <c r="AE3064" s="1060"/>
      <c r="AF3064" s="1060"/>
      <c r="AG3064" s="1060"/>
      <c r="BB3064" s="784"/>
      <c r="BC3064" s="785"/>
      <c r="BD3064" s="900"/>
      <c r="BE3064" s="797"/>
    </row>
    <row r="3065" spans="1:57" s="65" customFormat="1" hidden="1" outlineLevel="1" x14ac:dyDescent="0.25">
      <c r="A3065" s="718"/>
      <c r="B3065" s="785"/>
      <c r="C3065" s="455"/>
      <c r="D3065" s="2806"/>
      <c r="E3065" s="2856"/>
      <c r="F3065" s="2917" t="str">
        <f>E1503</f>
        <v>ASHP-  SEER 21+ replace at Fail Elec Resist Furnace MF</v>
      </c>
      <c r="G3065" s="2917"/>
      <c r="H3065" s="2917"/>
      <c r="I3065" s="2917"/>
      <c r="J3065" s="1654" t="str">
        <f>C1503</f>
        <v>353700_2019_12_</v>
      </c>
      <c r="K3065" s="713"/>
      <c r="L3065" s="910" t="str">
        <f>IF(K3065&gt;0,VLOOKUP(J3065,$J$1664:$L$1791,3,FALSE),"")</f>
        <v/>
      </c>
      <c r="M3065" s="2110" t="str">
        <f>IF(K3065&gt;0,VLOOKUP(J3065,$J$2688:$K$2815,2,FALSE),"")</f>
        <v/>
      </c>
      <c r="N3065" s="1453"/>
      <c r="O3065" s="332"/>
      <c r="P3065" s="1116"/>
      <c r="Q3065" s="1117"/>
      <c r="R3065" s="1116"/>
      <c r="S3065" s="1103"/>
      <c r="T3065" s="1639"/>
      <c r="U3065" s="177"/>
      <c r="V3065" s="2866"/>
      <c r="W3065" s="713"/>
      <c r="X3065" s="1094"/>
      <c r="Y3065" s="716"/>
      <c r="Z3065" s="1060"/>
      <c r="AA3065" s="1085"/>
      <c r="AB3065" s="1060"/>
      <c r="AC3065" s="1060"/>
      <c r="AD3065" s="1060"/>
      <c r="AE3065" s="1060"/>
      <c r="AF3065" s="1060"/>
      <c r="AG3065" s="1060"/>
      <c r="BB3065" s="784"/>
      <c r="BC3065" s="785"/>
      <c r="BD3065" s="900"/>
      <c r="BE3065" s="797"/>
    </row>
    <row r="3066" spans="1:57" s="65" customFormat="1" hidden="1" outlineLevel="1" x14ac:dyDescent="0.25">
      <c r="A3066" s="718"/>
      <c r="B3066" s="785"/>
      <c r="C3066" s="455"/>
      <c r="D3066" s="2806"/>
      <c r="E3066" s="2856"/>
      <c r="F3066" s="2917" t="str">
        <f t="shared" ref="F3066:F3091" si="257">E1506</f>
        <v>ASHP SEER 17 replace ASHP - early replacement SF ER1</v>
      </c>
      <c r="G3066" s="2917"/>
      <c r="H3066" s="2917"/>
      <c r="I3066" s="2917"/>
      <c r="J3066" s="1654" t="str">
        <f t="shared" ref="J3066:J3091" si="258">C1506</f>
        <v>353750_2019_12_</v>
      </c>
      <c r="K3066" s="713">
        <f>(($R$1678*L3066)+$R$1668)-(($Q$1678*L3066)/((1+$R$1680)^($R$1681-1)))</f>
        <v>1512.4949598081143</v>
      </c>
      <c r="L3066" s="910">
        <f>VLOOKUP(J3066,$J$1664:$L$1791,3,FALSE)*M3066</f>
        <v>3.3</v>
      </c>
      <c r="M3066" s="2110">
        <f>VLOOKUP(J3066,$J$2688:$K$2815,2,FALSE)</f>
        <v>1</v>
      </c>
      <c r="N3066" s="1453"/>
      <c r="O3066" s="332"/>
      <c r="P3066" s="1116"/>
      <c r="Q3066" s="1117"/>
      <c r="R3066" s="1116"/>
      <c r="S3066" s="1103"/>
      <c r="T3066" s="1639"/>
      <c r="U3066" s="177"/>
      <c r="V3066" s="2866"/>
      <c r="W3066" s="713">
        <v>3701.5757044416546</v>
      </c>
      <c r="X3066" s="1094">
        <f>$Q$1668*(X$1723/12000)*X$2747</f>
        <v>4754.6848794243406</v>
      </c>
      <c r="Y3066" s="716">
        <v>1509.0025568704818</v>
      </c>
      <c r="Z3066" s="1060"/>
      <c r="AA3066" s="1085"/>
      <c r="AB3066" s="1060"/>
      <c r="AC3066" s="1060"/>
      <c r="AD3066" s="1060"/>
      <c r="AE3066" s="1060"/>
      <c r="AF3066" s="1060"/>
      <c r="AG3066" s="1060"/>
      <c r="BB3066" s="784"/>
      <c r="BC3066" s="785"/>
      <c r="BD3066" s="900"/>
      <c r="BE3066" s="797"/>
    </row>
    <row r="3067" spans="1:57" s="65" customFormat="1" ht="15" hidden="1" customHeight="1" outlineLevel="1" x14ac:dyDescent="0.25">
      <c r="A3067" s="718"/>
      <c r="B3067" s="785"/>
      <c r="C3067" s="455"/>
      <c r="D3067" s="2806"/>
      <c r="E3067" s="2856"/>
      <c r="F3067" s="2917" t="str">
        <f t="shared" si="257"/>
        <v>ASHP SEER 17 replace ASHP - early replacement SF ER1</v>
      </c>
      <c r="G3067" s="2917"/>
      <c r="H3067" s="2917"/>
      <c r="I3067" s="2917"/>
      <c r="J3067" s="1654" t="str">
        <f t="shared" si="258"/>
        <v>353750_2019_12_</v>
      </c>
      <c r="K3067" s="713"/>
      <c r="L3067" s="910" t="str">
        <f>IF(K3067&gt;0,VLOOKUP(J3067,$J$1664:$L$1791,3,FALSE),"")</f>
        <v/>
      </c>
      <c r="M3067" s="2110" t="str">
        <f>IF(K3067&gt;0,VLOOKUP(J3067,$J$2688:$K$2815,2,FALSE),"")</f>
        <v/>
      </c>
      <c r="N3067" s="1453"/>
      <c r="O3067" s="332"/>
      <c r="P3067" s="1116"/>
      <c r="Q3067" s="1117"/>
      <c r="R3067" s="1116"/>
      <c r="S3067" s="1103"/>
      <c r="T3067" s="1639"/>
      <c r="U3067" s="177"/>
      <c r="V3067" s="2866"/>
      <c r="W3067" s="713"/>
      <c r="X3067" s="1094"/>
      <c r="Y3067" s="716"/>
      <c r="Z3067" s="1060"/>
      <c r="AA3067" s="1085"/>
      <c r="AB3067" s="1060"/>
      <c r="AC3067" s="1060"/>
      <c r="AD3067" s="1060"/>
      <c r="AE3067" s="1060"/>
      <c r="AF3067" s="1060"/>
      <c r="AG3067" s="1060"/>
      <c r="BB3067" s="784"/>
      <c r="BC3067" s="785"/>
      <c r="BD3067" s="900"/>
      <c r="BE3067" s="797"/>
    </row>
    <row r="3068" spans="1:57" s="65" customFormat="1" ht="15" hidden="1" customHeight="1" outlineLevel="1" x14ac:dyDescent="0.25">
      <c r="A3068" s="718"/>
      <c r="B3068" s="785"/>
      <c r="C3068" s="455"/>
      <c r="D3068" s="2806"/>
      <c r="E3068" s="2856"/>
      <c r="F3068" s="2917" t="str">
        <f t="shared" si="257"/>
        <v>ASHP SEER 17 replace ASHP - early replacement SF ER2</v>
      </c>
      <c r="G3068" s="2917"/>
      <c r="H3068" s="2917"/>
      <c r="I3068" s="2917"/>
      <c r="J3068" s="1654" t="str">
        <f t="shared" si="258"/>
        <v>353750_2019_12_</v>
      </c>
      <c r="K3068" s="713"/>
      <c r="L3068" s="910" t="str">
        <f>IF(K3068&gt;0,VLOOKUP(J3068,$J$1664:$L$1791,3,FALSE),"")</f>
        <v/>
      </c>
      <c r="M3068" s="2110" t="str">
        <f>IF(K3068&gt;0,VLOOKUP(J3068,$J$2688:$K$2815,2,FALSE),"")</f>
        <v/>
      </c>
      <c r="N3068" s="1453"/>
      <c r="O3068" s="332"/>
      <c r="P3068" s="1116"/>
      <c r="Q3068" s="1117"/>
      <c r="R3068" s="1116"/>
      <c r="S3068" s="1103"/>
      <c r="T3068" s="1639"/>
      <c r="U3068" s="177"/>
      <c r="V3068" s="2866"/>
      <c r="W3068" s="713"/>
      <c r="X3068" s="1094"/>
      <c r="Y3068" s="716"/>
      <c r="Z3068" s="1060"/>
      <c r="AA3068" s="1085"/>
      <c r="AB3068" s="1060"/>
      <c r="AC3068" s="1060"/>
      <c r="AD3068" s="1060"/>
      <c r="AE3068" s="1060"/>
      <c r="AF3068" s="1060"/>
      <c r="AG3068" s="1060"/>
      <c r="BB3068" s="784"/>
      <c r="BC3068" s="785"/>
      <c r="BD3068" s="900"/>
      <c r="BE3068" s="797"/>
    </row>
    <row r="3069" spans="1:57" s="65" customFormat="1" ht="15" hidden="1" customHeight="1" outlineLevel="1" x14ac:dyDescent="0.25">
      <c r="A3069" s="718"/>
      <c r="B3069" s="785"/>
      <c r="C3069" s="455"/>
      <c r="D3069" s="2806"/>
      <c r="E3069" s="2856"/>
      <c r="F3069" s="2917" t="str">
        <f t="shared" si="257"/>
        <v>ASHP SEER 17 replace ASHP - early replacement SF ER2</v>
      </c>
      <c r="G3069" s="2917"/>
      <c r="H3069" s="2917"/>
      <c r="I3069" s="2917"/>
      <c r="J3069" s="1654" t="str">
        <f t="shared" si="258"/>
        <v>353750_2019_12_</v>
      </c>
      <c r="K3069" s="713"/>
      <c r="L3069" s="910" t="str">
        <f>IF(K3069&gt;0,VLOOKUP(J3069,$J$1664:$L$1791,3,FALSE),"")</f>
        <v/>
      </c>
      <c r="M3069" s="2110" t="str">
        <f>IF(K3069&gt;0,VLOOKUP(J3069,$J$2688:$K$2815,2,FALSE),"")</f>
        <v/>
      </c>
      <c r="N3069" s="1453"/>
      <c r="O3069" s="332"/>
      <c r="P3069" s="1116"/>
      <c r="Q3069" s="1117"/>
      <c r="R3069" s="1116"/>
      <c r="S3069" s="1103"/>
      <c r="T3069" s="1639"/>
      <c r="U3069" s="177"/>
      <c r="V3069" s="2866"/>
      <c r="W3069" s="713"/>
      <c r="X3069" s="1094"/>
      <c r="Y3069" s="716"/>
      <c r="Z3069" s="1060"/>
      <c r="AA3069" s="1085"/>
      <c r="AB3069" s="1060"/>
      <c r="AC3069" s="1060"/>
      <c r="AD3069" s="1060"/>
      <c r="AE3069" s="1060"/>
      <c r="AF3069" s="1060"/>
      <c r="AG3069" s="1060"/>
      <c r="BB3069" s="784"/>
      <c r="BC3069" s="785"/>
      <c r="BD3069" s="900"/>
      <c r="BE3069" s="797"/>
    </row>
    <row r="3070" spans="1:57" s="65" customFormat="1" ht="15" hidden="1" customHeight="1" outlineLevel="1" x14ac:dyDescent="0.25">
      <c r="A3070" s="718"/>
      <c r="B3070" s="785"/>
      <c r="C3070" s="455"/>
      <c r="D3070" s="2806"/>
      <c r="E3070" s="2856"/>
      <c r="F3070" s="2917" t="str">
        <f t="shared" si="257"/>
        <v>ASHP SEER 17 replace ASHP - replace on fail SF</v>
      </c>
      <c r="G3070" s="2917"/>
      <c r="H3070" s="2917"/>
      <c r="I3070" s="2917"/>
      <c r="J3070" s="1654" t="str">
        <f t="shared" si="258"/>
        <v>353800_2019_12_</v>
      </c>
      <c r="K3070" s="713">
        <f>$R$1668*K$2692</f>
        <v>724</v>
      </c>
      <c r="L3070" s="910">
        <f>VLOOKUP(J3070,$J$1664:$L$1791,3,FALSE)*M3070</f>
        <v>3.3</v>
      </c>
      <c r="M3070" s="2110">
        <f>VLOOKUP(J3070,$J$2688:$K$2815,2,FALSE)</f>
        <v>1</v>
      </c>
      <c r="N3070" s="1453"/>
      <c r="O3070" s="332"/>
      <c r="P3070" s="1116"/>
      <c r="Q3070" s="1117"/>
      <c r="R3070" s="1116"/>
      <c r="S3070" s="1103"/>
      <c r="T3070" s="1639"/>
      <c r="U3070" s="177"/>
      <c r="V3070" s="2866"/>
      <c r="W3070" s="713">
        <v>1914</v>
      </c>
      <c r="X3070" s="1094">
        <f>$R$1668*(X$1725/12000)*X$2749</f>
        <v>2389.1999999999998</v>
      </c>
      <c r="Y3070" s="716">
        <v>580</v>
      </c>
      <c r="Z3070" s="1060"/>
      <c r="AA3070" s="1085"/>
      <c r="AB3070" s="1060"/>
      <c r="AC3070" s="1060"/>
      <c r="AD3070" s="1060"/>
      <c r="AE3070" s="1060"/>
      <c r="AF3070" s="1060"/>
      <c r="AG3070" s="1060"/>
      <c r="BB3070" s="784"/>
      <c r="BC3070" s="785"/>
      <c r="BD3070" s="900"/>
      <c r="BE3070" s="797"/>
    </row>
    <row r="3071" spans="1:57" s="65" customFormat="1" ht="15" hidden="1" customHeight="1" outlineLevel="1" x14ac:dyDescent="0.25">
      <c r="A3071" s="718"/>
      <c r="B3071" s="785"/>
      <c r="C3071" s="455"/>
      <c r="D3071" s="2806"/>
      <c r="E3071" s="2856"/>
      <c r="F3071" s="2917" t="str">
        <f t="shared" si="257"/>
        <v>ASHP SEER 17 replace ASHP - replace on fail SF</v>
      </c>
      <c r="G3071" s="2917"/>
      <c r="H3071" s="2917"/>
      <c r="I3071" s="2917"/>
      <c r="J3071" s="1654" t="str">
        <f t="shared" si="258"/>
        <v>353800_2019_12_</v>
      </c>
      <c r="K3071" s="713"/>
      <c r="L3071" s="910" t="str">
        <f>IF(K3071&gt;0,VLOOKUP(J3071,$J$1664:$L$1791,3,FALSE),"")</f>
        <v/>
      </c>
      <c r="M3071" s="2110" t="str">
        <f>IF(K3071&gt;0,VLOOKUP(J3071,$J$2688:$K$2815,2,FALSE),"")</f>
        <v/>
      </c>
      <c r="N3071" s="1453"/>
      <c r="O3071" s="332"/>
      <c r="P3071" s="1116"/>
      <c r="Q3071" s="1116"/>
      <c r="R3071" s="1116"/>
      <c r="S3071" s="1103"/>
      <c r="T3071" s="1639"/>
      <c r="U3071" s="177"/>
      <c r="V3071" s="2866"/>
      <c r="W3071" s="713"/>
      <c r="X3071" s="1094"/>
      <c r="Y3071" s="716"/>
      <c r="Z3071" s="1060"/>
      <c r="AA3071" s="1085"/>
      <c r="AB3071" s="1060"/>
      <c r="AC3071" s="1060"/>
      <c r="AD3071" s="1060"/>
      <c r="AE3071" s="1060"/>
      <c r="AF3071" s="1060"/>
      <c r="AG3071" s="1060"/>
      <c r="BB3071" s="784"/>
      <c r="BC3071" s="785"/>
      <c r="BD3071" s="900"/>
      <c r="BE3071" s="797"/>
    </row>
    <row r="3072" spans="1:57" s="65" customFormat="1" ht="15" hidden="1" customHeight="1" outlineLevel="1" x14ac:dyDescent="0.25">
      <c r="A3072" s="718"/>
      <c r="B3072" s="785"/>
      <c r="C3072" s="455"/>
      <c r="D3072" s="2806"/>
      <c r="E3072" s="2856"/>
      <c r="F3072" s="2917" t="str">
        <f t="shared" si="257"/>
        <v>ASHP SEER 18 replace ASHP - early replacement SF ER1</v>
      </c>
      <c r="G3072" s="2917"/>
      <c r="H3072" s="2917"/>
      <c r="I3072" s="2917"/>
      <c r="J3072" s="1654" t="str">
        <f t="shared" si="258"/>
        <v>353850_2019_12_</v>
      </c>
      <c r="K3072" s="713">
        <f>(($R$1678*L3072)+$R$1669)-(($Q$1678*L3072)/((1+$R$1680)^($R$1681-1)))</f>
        <v>1751.4149598081144</v>
      </c>
      <c r="L3072" s="910">
        <f>VLOOKUP(J3072,$J$1664:$L$1791,3,FALSE)*M3072</f>
        <v>3.3</v>
      </c>
      <c r="M3072" s="2110">
        <f>VLOOKUP(J3072,$J$2688:$K$2815,2,FALSE)</f>
        <v>1</v>
      </c>
      <c r="N3072" s="1453"/>
      <c r="O3072" s="332"/>
      <c r="P3072" s="1116"/>
      <c r="Q3072" s="1116"/>
      <c r="R3072" s="1116"/>
      <c r="S3072" s="1103"/>
      <c r="T3072" s="1639"/>
      <c r="U3072" s="177"/>
      <c r="V3072" s="2866"/>
      <c r="W3072" s="713">
        <v>4141.575704441655</v>
      </c>
      <c r="X3072" s="1094">
        <f>$Q$1669*(X$1726/12000)*X$2750</f>
        <v>5543.1208794243412</v>
      </c>
      <c r="Y3072" s="716">
        <v>1642.3358902038149</v>
      </c>
      <c r="Z3072" s="1060"/>
      <c r="AA3072" s="1085"/>
      <c r="AB3072" s="1060"/>
      <c r="AC3072" s="1060"/>
      <c r="AD3072" s="1060"/>
      <c r="AE3072" s="1060"/>
      <c r="AF3072" s="1060"/>
      <c r="AG3072" s="1060"/>
      <c r="BB3072" s="784"/>
      <c r="BC3072" s="785"/>
      <c r="BD3072" s="900"/>
      <c r="BE3072" s="797"/>
    </row>
    <row r="3073" spans="1:57" s="65" customFormat="1" ht="15" hidden="1" customHeight="1" outlineLevel="1" x14ac:dyDescent="0.25">
      <c r="A3073" s="718"/>
      <c r="B3073" s="785"/>
      <c r="C3073" s="455"/>
      <c r="D3073" s="2806"/>
      <c r="E3073" s="2856"/>
      <c r="F3073" s="2917" t="str">
        <f t="shared" si="257"/>
        <v>ASHP SEER 18 replace ASHP - early replacement SF ER1</v>
      </c>
      <c r="G3073" s="2917"/>
      <c r="H3073" s="2917"/>
      <c r="I3073" s="2917"/>
      <c r="J3073" s="1654" t="str">
        <f t="shared" si="258"/>
        <v>353850_2019_12_</v>
      </c>
      <c r="K3073" s="713"/>
      <c r="L3073" s="910" t="str">
        <f>IF(K3073&gt;0,VLOOKUP(J3073,$J$1664:$L$1791,3,FALSE),"")</f>
        <v/>
      </c>
      <c r="M3073" s="2110" t="str">
        <f>IF(K3073&gt;0,VLOOKUP(J3073,$J$2688:$K$2815,2,FALSE),"")</f>
        <v/>
      </c>
      <c r="N3073" s="1453"/>
      <c r="O3073" s="332"/>
      <c r="P3073" s="1116"/>
      <c r="Q3073" s="1116"/>
      <c r="R3073" s="1116"/>
      <c r="S3073" s="1103"/>
      <c r="T3073" s="1639"/>
      <c r="U3073" s="177"/>
      <c r="V3073" s="2866"/>
      <c r="W3073" s="713"/>
      <c r="X3073" s="1094"/>
      <c r="Y3073" s="716"/>
      <c r="Z3073" s="1060"/>
      <c r="AA3073" s="1085"/>
      <c r="AB3073" s="1060"/>
      <c r="AC3073" s="1060"/>
      <c r="AD3073" s="1060"/>
      <c r="AE3073" s="1060"/>
      <c r="AF3073" s="1060"/>
      <c r="AG3073" s="1060"/>
      <c r="BB3073" s="784"/>
      <c r="BC3073" s="785"/>
      <c r="BD3073" s="900"/>
      <c r="BE3073" s="797"/>
    </row>
    <row r="3074" spans="1:57" s="65" customFormat="1" ht="15" hidden="1" customHeight="1" outlineLevel="1" x14ac:dyDescent="0.25">
      <c r="A3074" s="718"/>
      <c r="B3074" s="785"/>
      <c r="C3074" s="455"/>
      <c r="D3074" s="2806"/>
      <c r="E3074" s="2856"/>
      <c r="F3074" s="2917" t="str">
        <f t="shared" si="257"/>
        <v>ASHP SEER 18 replace ASHP - early replacement SF ER2</v>
      </c>
      <c r="G3074" s="2917"/>
      <c r="H3074" s="2917"/>
      <c r="I3074" s="2917"/>
      <c r="J3074" s="1654" t="str">
        <f t="shared" si="258"/>
        <v>353850_2019_12_</v>
      </c>
      <c r="K3074" s="713"/>
      <c r="L3074" s="910" t="str">
        <f>IF(K3074&gt;0,VLOOKUP(J3074,$J$1664:$L$1791,3,FALSE),"")</f>
        <v/>
      </c>
      <c r="M3074" s="2110" t="str">
        <f>IF(K3074&gt;0,VLOOKUP(J3074,$J$2688:$K$2815,2,FALSE),"")</f>
        <v/>
      </c>
      <c r="N3074" s="1453"/>
      <c r="O3074" s="332"/>
      <c r="P3074" s="1116"/>
      <c r="Q3074" s="1116"/>
      <c r="R3074" s="1116"/>
      <c r="S3074" s="1103"/>
      <c r="T3074" s="1639"/>
      <c r="U3074" s="177"/>
      <c r="V3074" s="2866"/>
      <c r="W3074" s="713"/>
      <c r="X3074" s="1094"/>
      <c r="Y3074" s="716"/>
      <c r="Z3074" s="1060"/>
      <c r="AA3074" s="1085"/>
      <c r="AB3074" s="1060"/>
      <c r="AC3074" s="1060"/>
      <c r="AD3074" s="1060"/>
      <c r="AE3074" s="1060"/>
      <c r="AF3074" s="1060"/>
      <c r="AG3074" s="1060"/>
      <c r="BB3074" s="784"/>
      <c r="BC3074" s="785"/>
      <c r="BD3074" s="900"/>
      <c r="BE3074" s="797"/>
    </row>
    <row r="3075" spans="1:57" s="65" customFormat="1" ht="15" hidden="1" customHeight="1" outlineLevel="1" x14ac:dyDescent="0.25">
      <c r="A3075" s="718"/>
      <c r="B3075" s="785"/>
      <c r="C3075" s="455"/>
      <c r="D3075" s="2806"/>
      <c r="E3075" s="2856"/>
      <c r="F3075" s="2917" t="str">
        <f t="shared" si="257"/>
        <v>ASHP SEER 18 replace ASHP - early replacement SF ER2</v>
      </c>
      <c r="G3075" s="2917"/>
      <c r="H3075" s="2917"/>
      <c r="I3075" s="2917"/>
      <c r="J3075" s="1654" t="str">
        <f t="shared" si="258"/>
        <v>353850_2019_12_</v>
      </c>
      <c r="K3075" s="713"/>
      <c r="L3075" s="910" t="str">
        <f>IF(K3075&gt;0,VLOOKUP(J3075,$J$1664:$L$1791,3,FALSE),"")</f>
        <v/>
      </c>
      <c r="M3075" s="2110" t="str">
        <f>IF(K3075&gt;0,VLOOKUP(J3075,$J$2688:$K$2815,2,FALSE),"")</f>
        <v/>
      </c>
      <c r="N3075" s="1453"/>
      <c r="O3075" s="332"/>
      <c r="P3075" s="1116"/>
      <c r="Q3075" s="1116"/>
      <c r="R3075" s="1116"/>
      <c r="S3075" s="1103"/>
      <c r="T3075" s="1639"/>
      <c r="U3075" s="177"/>
      <c r="V3075" s="2866"/>
      <c r="W3075" s="713"/>
      <c r="X3075" s="1094"/>
      <c r="Y3075" s="716"/>
      <c r="Z3075" s="1060"/>
      <c r="AA3075" s="1085"/>
      <c r="AB3075" s="1060"/>
      <c r="AC3075" s="1060"/>
      <c r="AD3075" s="1060"/>
      <c r="AE3075" s="1060"/>
      <c r="AF3075" s="1060"/>
      <c r="AG3075" s="1060"/>
      <c r="BB3075" s="784"/>
      <c r="BC3075" s="785"/>
      <c r="BD3075" s="900"/>
      <c r="BE3075" s="797"/>
    </row>
    <row r="3076" spans="1:57" s="65" customFormat="1" ht="15" hidden="1" customHeight="1" outlineLevel="1" x14ac:dyDescent="0.25">
      <c r="A3076" s="718"/>
      <c r="B3076" s="785"/>
      <c r="C3076" s="455"/>
      <c r="D3076" s="2806"/>
      <c r="E3076" s="2856"/>
      <c r="F3076" s="2917" t="str">
        <f t="shared" si="257"/>
        <v>ASHP - SEER 18 - replace on fail SF</v>
      </c>
      <c r="G3076" s="2917"/>
      <c r="H3076" s="2917"/>
      <c r="I3076" s="2917"/>
      <c r="J3076" s="1654" t="str">
        <f t="shared" si="258"/>
        <v>353950_2019_12_</v>
      </c>
      <c r="K3076" s="713">
        <f>$R$1669*K$2692</f>
        <v>962.92000000000007</v>
      </c>
      <c r="L3076" s="910">
        <f>VLOOKUP(J3076,$J$1664:$L$1791,3,FALSE)*M3076</f>
        <v>3.3</v>
      </c>
      <c r="M3076" s="2110">
        <f>VLOOKUP(J3076,$J$2688:$K$2815,2,FALSE)</f>
        <v>1</v>
      </c>
      <c r="N3076" s="1453"/>
      <c r="O3076" s="332"/>
      <c r="P3076" s="1116"/>
      <c r="Q3076" s="1116"/>
      <c r="R3076" s="1116"/>
      <c r="S3076" s="1103"/>
      <c r="T3076" s="1639"/>
      <c r="U3076" s="177"/>
      <c r="V3076" s="2866"/>
      <c r="W3076" s="713">
        <v>2354</v>
      </c>
      <c r="X3076" s="1094">
        <f>$R$1669*(X$1728/12000)*X$2752</f>
        <v>3177.636</v>
      </c>
      <c r="Y3076" s="716">
        <v>713.33333333333337</v>
      </c>
      <c r="Z3076" s="1060"/>
      <c r="AA3076" s="1085"/>
      <c r="AB3076" s="1060"/>
      <c r="AC3076" s="1060"/>
      <c r="AD3076" s="1060"/>
      <c r="AE3076" s="1060"/>
      <c r="AF3076" s="1060"/>
      <c r="AG3076" s="1060"/>
      <c r="BB3076" s="784"/>
      <c r="BC3076" s="785"/>
      <c r="BD3076" s="900"/>
      <c r="BE3076" s="797"/>
    </row>
    <row r="3077" spans="1:57" s="65" customFormat="1" ht="15" hidden="1" customHeight="1" outlineLevel="1" x14ac:dyDescent="0.25">
      <c r="A3077" s="718"/>
      <c r="B3077" s="785"/>
      <c r="C3077" s="455"/>
      <c r="D3077" s="2806"/>
      <c r="E3077" s="2856"/>
      <c r="F3077" s="2917" t="str">
        <f t="shared" si="257"/>
        <v>ASHP - SEER 18 - replace on fail SF</v>
      </c>
      <c r="G3077" s="2917"/>
      <c r="H3077" s="2917"/>
      <c r="I3077" s="2917"/>
      <c r="J3077" s="1654" t="str">
        <f t="shared" si="258"/>
        <v>353950_2019_12_</v>
      </c>
      <c r="K3077" s="713"/>
      <c r="L3077" s="910" t="str">
        <f>IF(K3077&gt;0,VLOOKUP(J3077,$J$1664:$L$1791,3,FALSE),"")</f>
        <v/>
      </c>
      <c r="M3077" s="2110" t="str">
        <f>IF(K3077&gt;0,VLOOKUP(J3077,$J$2688:$K$2815,2,FALSE),"")</f>
        <v/>
      </c>
      <c r="N3077" s="1453"/>
      <c r="O3077" s="332"/>
      <c r="P3077" s="1116"/>
      <c r="Q3077" s="1116"/>
      <c r="R3077" s="1116"/>
      <c r="S3077" s="1103"/>
      <c r="T3077" s="1639"/>
      <c r="U3077" s="177"/>
      <c r="V3077" s="2866"/>
      <c r="W3077" s="713"/>
      <c r="X3077" s="1094"/>
      <c r="Y3077" s="716"/>
      <c r="Z3077" s="1060"/>
      <c r="AA3077" s="1085"/>
      <c r="AB3077" s="1060"/>
      <c r="AC3077" s="1060"/>
      <c r="AD3077" s="1060"/>
      <c r="AE3077" s="1060"/>
      <c r="AF3077" s="1060"/>
      <c r="AG3077" s="1060"/>
      <c r="BB3077" s="784"/>
      <c r="BC3077" s="785"/>
      <c r="BD3077" s="900"/>
      <c r="BE3077" s="797"/>
    </row>
    <row r="3078" spans="1:57" s="65" customFormat="1" ht="15" hidden="1" customHeight="1" outlineLevel="1" x14ac:dyDescent="0.25">
      <c r="A3078" s="718"/>
      <c r="B3078" s="785"/>
      <c r="C3078" s="455"/>
      <c r="D3078" s="2806"/>
      <c r="E3078" s="2856"/>
      <c r="F3078" s="2917" t="str">
        <f t="shared" si="257"/>
        <v>ASHP SEER 19 replace ASHP - early replacement SF ER1</v>
      </c>
      <c r="G3078" s="2917"/>
      <c r="H3078" s="2917"/>
      <c r="I3078" s="2917"/>
      <c r="J3078" s="1654" t="str">
        <f t="shared" si="258"/>
        <v>354000_2019_12_</v>
      </c>
      <c r="K3078" s="713">
        <f>(($R$1678*L3078)+$R$1670)-(($Q$1678*L3078)/((1+$R$1680)^($R$1681-1)))</f>
        <v>1992.1449598081149</v>
      </c>
      <c r="L3078" s="910">
        <f>VLOOKUP(J3078,$J$1664:$L$1791,3,FALSE)*M3078</f>
        <v>3.3</v>
      </c>
      <c r="M3078" s="2110">
        <f>VLOOKUP(J3078,$J$2688:$K$2815,2,FALSE)</f>
        <v>1</v>
      </c>
      <c r="N3078" s="1453"/>
      <c r="O3078" s="332"/>
      <c r="P3078" s="1116"/>
      <c r="Q3078" s="1116"/>
      <c r="R3078" s="1116"/>
      <c r="S3078" s="1103"/>
      <c r="T3078" s="1639"/>
      <c r="U3078" s="177"/>
      <c r="V3078" s="2866"/>
      <c r="W3078" s="713">
        <v>4471.575704441655</v>
      </c>
      <c r="X3078" s="716">
        <f>$Q$1670*(X$1729/12000)*$K$2753</f>
        <v>6337.5298794243427</v>
      </c>
      <c r="Y3078" s="716">
        <v>1742.3358902038149</v>
      </c>
      <c r="Z3078" s="1060"/>
      <c r="AA3078" s="713"/>
      <c r="AB3078" s="1060"/>
      <c r="AC3078" s="1060"/>
      <c r="AD3078" s="1060"/>
      <c r="AE3078" s="1060"/>
      <c r="AF3078" s="1060"/>
      <c r="AG3078" s="1060"/>
      <c r="BB3078" s="784"/>
      <c r="BC3078" s="785"/>
      <c r="BD3078" s="900"/>
      <c r="BE3078" s="797"/>
    </row>
    <row r="3079" spans="1:57" s="65" customFormat="1" ht="15" hidden="1" customHeight="1" outlineLevel="1" x14ac:dyDescent="0.25">
      <c r="A3079" s="718"/>
      <c r="B3079" s="785"/>
      <c r="C3079" s="455"/>
      <c r="D3079" s="2806"/>
      <c r="E3079" s="2856"/>
      <c r="F3079" s="2917" t="str">
        <f t="shared" si="257"/>
        <v>ASHP SEER 19 replace ASHP - early replacement SF ER1</v>
      </c>
      <c r="G3079" s="2917"/>
      <c r="H3079" s="2917"/>
      <c r="I3079" s="2917"/>
      <c r="J3079" s="1654" t="str">
        <f t="shared" si="258"/>
        <v>354000_2019_12_</v>
      </c>
      <c r="K3079" s="713"/>
      <c r="L3079" s="910" t="str">
        <f>IF(K3079&gt;0,VLOOKUP(J3079,$J$1664:$L$1791,3,FALSE),"")</f>
        <v/>
      </c>
      <c r="M3079" s="2110" t="str">
        <f>IF(K3079&gt;0,VLOOKUP(J3079,$J$2688:$K$2815,2,FALSE),"")</f>
        <v/>
      </c>
      <c r="N3079" s="1453"/>
      <c r="O3079" s="332"/>
      <c r="P3079" s="1116"/>
      <c r="Q3079" s="1116"/>
      <c r="R3079" s="1116"/>
      <c r="S3079" s="1103"/>
      <c r="T3079" s="1639"/>
      <c r="U3079" s="177"/>
      <c r="V3079" s="2866"/>
      <c r="W3079" s="713"/>
      <c r="X3079" s="716"/>
      <c r="Y3079" s="716"/>
      <c r="Z3079" s="1060"/>
      <c r="AA3079" s="713"/>
      <c r="AB3079" s="1060"/>
      <c r="AC3079" s="1060"/>
      <c r="AD3079" s="1060"/>
      <c r="AE3079" s="1060"/>
      <c r="AF3079" s="1060"/>
      <c r="AG3079" s="1060"/>
      <c r="BB3079" s="784"/>
      <c r="BC3079" s="785"/>
      <c r="BD3079" s="900"/>
      <c r="BE3079" s="797"/>
    </row>
    <row r="3080" spans="1:57" s="65" customFormat="1" ht="15" hidden="1" customHeight="1" outlineLevel="1" x14ac:dyDescent="0.25">
      <c r="A3080" s="718"/>
      <c r="B3080" s="785"/>
      <c r="C3080" s="455"/>
      <c r="D3080" s="2806"/>
      <c r="E3080" s="2856"/>
      <c r="F3080" s="2917" t="str">
        <f t="shared" si="257"/>
        <v>ASHP SEER 19 replace ASHP - early replacement SF ER2</v>
      </c>
      <c r="G3080" s="2917"/>
      <c r="H3080" s="2917"/>
      <c r="I3080" s="2917"/>
      <c r="J3080" s="1654" t="str">
        <f t="shared" si="258"/>
        <v>354000_2019_12_</v>
      </c>
      <c r="K3080" s="713"/>
      <c r="L3080" s="910" t="str">
        <f>IF(K3080&gt;0,VLOOKUP(J3080,$J$1664:$L$1791,3,FALSE),"")</f>
        <v/>
      </c>
      <c r="M3080" s="2110" t="str">
        <f>IF(K3080&gt;0,VLOOKUP(J3080,$J$2688:$K$2815,2,FALSE),"")</f>
        <v/>
      </c>
      <c r="N3080" s="1453"/>
      <c r="O3080" s="332"/>
      <c r="P3080" s="1116"/>
      <c r="Q3080" s="1116"/>
      <c r="R3080" s="1116"/>
      <c r="S3080" s="1103"/>
      <c r="T3080" s="1639"/>
      <c r="U3080" s="177"/>
      <c r="V3080" s="2866"/>
      <c r="W3080" s="713"/>
      <c r="X3080" s="716"/>
      <c r="Y3080" s="716"/>
      <c r="Z3080" s="1060"/>
      <c r="AA3080" s="713"/>
      <c r="AB3080" s="1060"/>
      <c r="AC3080" s="1060"/>
      <c r="AD3080" s="1060"/>
      <c r="AE3080" s="1060"/>
      <c r="AF3080" s="1060"/>
      <c r="AG3080" s="1060"/>
      <c r="BB3080" s="784"/>
      <c r="BC3080" s="785"/>
      <c r="BD3080" s="900"/>
      <c r="BE3080" s="797"/>
    </row>
    <row r="3081" spans="1:57" s="65" customFormat="1" ht="15" hidden="1" customHeight="1" outlineLevel="1" x14ac:dyDescent="0.25">
      <c r="A3081" s="718"/>
      <c r="B3081" s="785"/>
      <c r="C3081" s="455"/>
      <c r="D3081" s="2806"/>
      <c r="E3081" s="2856"/>
      <c r="F3081" s="2917" t="str">
        <f t="shared" si="257"/>
        <v>ASHP SEER 19 replace ASHP - early replacement SF ER2</v>
      </c>
      <c r="G3081" s="2917"/>
      <c r="H3081" s="2917"/>
      <c r="I3081" s="2917"/>
      <c r="J3081" s="1654" t="str">
        <f t="shared" si="258"/>
        <v>354000_2019_12_</v>
      </c>
      <c r="K3081" s="713"/>
      <c r="L3081" s="910" t="str">
        <f>IF(K3081&gt;0,VLOOKUP(J3081,$J$1664:$L$1791,3,FALSE),"")</f>
        <v/>
      </c>
      <c r="M3081" s="2110" t="str">
        <f>IF(K3081&gt;0,VLOOKUP(J3081,$J$2688:$K$2815,2,FALSE),"")</f>
        <v/>
      </c>
      <c r="N3081" s="1453"/>
      <c r="O3081" s="332"/>
      <c r="P3081" s="1116"/>
      <c r="Q3081" s="1116"/>
      <c r="R3081" s="1116"/>
      <c r="S3081" s="1103"/>
      <c r="T3081" s="1639"/>
      <c r="U3081" s="177"/>
      <c r="V3081" s="2866"/>
      <c r="W3081" s="713"/>
      <c r="X3081" s="716"/>
      <c r="Y3081" s="716"/>
      <c r="Z3081" s="1060"/>
      <c r="AA3081" s="713"/>
      <c r="AB3081" s="1060"/>
      <c r="AC3081" s="1060"/>
      <c r="AD3081" s="1060"/>
      <c r="AE3081" s="1060"/>
      <c r="AF3081" s="1060"/>
      <c r="AG3081" s="1060"/>
      <c r="BB3081" s="784"/>
      <c r="BC3081" s="785"/>
      <c r="BD3081" s="900"/>
      <c r="BE3081" s="797"/>
    </row>
    <row r="3082" spans="1:57" s="65" customFormat="1" ht="15" hidden="1" customHeight="1" outlineLevel="1" x14ac:dyDescent="0.25">
      <c r="A3082" s="718"/>
      <c r="B3082" s="785"/>
      <c r="C3082" s="455"/>
      <c r="D3082" s="2806"/>
      <c r="E3082" s="2856"/>
      <c r="F3082" s="2917" t="str">
        <f t="shared" si="257"/>
        <v>ASHP SEER 19 replace ASHP - replace on fail SF</v>
      </c>
      <c r="G3082" s="2917"/>
      <c r="H3082" s="2917"/>
      <c r="I3082" s="2917"/>
      <c r="J3082" s="1654" t="str">
        <f t="shared" si="258"/>
        <v>354050_2019_12_</v>
      </c>
      <c r="K3082" s="713">
        <f>$R$1670*K$2692</f>
        <v>1203.6500000000003</v>
      </c>
      <c r="L3082" s="910">
        <f>VLOOKUP(J3082,$J$1664:$L$1791,3,FALSE)*M3082</f>
        <v>3.3</v>
      </c>
      <c r="M3082" s="2110">
        <f>VLOOKUP(J3082,$J$2688:$K$2815,2,FALSE)</f>
        <v>1</v>
      </c>
      <c r="N3082" s="1453"/>
      <c r="O3082" s="332"/>
      <c r="P3082" s="1116"/>
      <c r="Q3082" s="1116"/>
      <c r="R3082" s="1116"/>
      <c r="S3082" s="1103"/>
      <c r="T3082" s="1639"/>
      <c r="U3082" s="177"/>
      <c r="V3082" s="2866"/>
      <c r="W3082" s="713">
        <v>2684</v>
      </c>
      <c r="X3082" s="716">
        <f>$R$1670*(X$1731/12000)*X$2755</f>
        <v>3972.045000000001</v>
      </c>
      <c r="Y3082" s="716">
        <v>813.33333333333337</v>
      </c>
      <c r="Z3082" s="1060"/>
      <c r="AA3082" s="713"/>
      <c r="AB3082" s="1060"/>
      <c r="AC3082" s="1060"/>
      <c r="AD3082" s="1060"/>
      <c r="AE3082" s="1060"/>
      <c r="AF3082" s="1060"/>
      <c r="AG3082" s="1060"/>
      <c r="BB3082" s="784"/>
      <c r="BC3082" s="785"/>
      <c r="BD3082" s="900"/>
      <c r="BE3082" s="797"/>
    </row>
    <row r="3083" spans="1:57" s="65" customFormat="1" ht="15" hidden="1" customHeight="1" outlineLevel="1" x14ac:dyDescent="0.25">
      <c r="A3083" s="718"/>
      <c r="B3083" s="785"/>
      <c r="C3083" s="455"/>
      <c r="D3083" s="2806"/>
      <c r="E3083" s="2856"/>
      <c r="F3083" s="2917" t="str">
        <f t="shared" si="257"/>
        <v>ASHP SEER 19 replace ASHP - replace on fail SF</v>
      </c>
      <c r="G3083" s="2917"/>
      <c r="H3083" s="2917"/>
      <c r="I3083" s="2917"/>
      <c r="J3083" s="1654" t="str">
        <f t="shared" si="258"/>
        <v>354050_2019_12_</v>
      </c>
      <c r="K3083" s="713"/>
      <c r="L3083" s="910" t="str">
        <f>IF(K3083&gt;0,VLOOKUP(J3083,$J$1664:$L$1791,3,FALSE),"")</f>
        <v/>
      </c>
      <c r="M3083" s="2110" t="str">
        <f>IF(K3083&gt;0,VLOOKUP(J3083,$J$2688:$K$2815,2,FALSE),"")</f>
        <v/>
      </c>
      <c r="N3083" s="1453"/>
      <c r="O3083" s="332"/>
      <c r="P3083" s="1116"/>
      <c r="Q3083" s="1116"/>
      <c r="R3083" s="1116"/>
      <c r="S3083" s="1103"/>
      <c r="T3083" s="1639"/>
      <c r="U3083" s="177"/>
      <c r="V3083" s="2866"/>
      <c r="W3083" s="713"/>
      <c r="X3083" s="716"/>
      <c r="Y3083" s="716"/>
      <c r="Z3083" s="1060"/>
      <c r="AA3083" s="713"/>
      <c r="AB3083" s="1060"/>
      <c r="AC3083" s="1060"/>
      <c r="AD3083" s="1060"/>
      <c r="AE3083" s="1060"/>
      <c r="AF3083" s="1060"/>
      <c r="AG3083" s="1060"/>
      <c r="BB3083" s="784"/>
      <c r="BC3083" s="785"/>
      <c r="BD3083" s="900"/>
      <c r="BE3083" s="797"/>
    </row>
    <row r="3084" spans="1:57" s="65" customFormat="1" ht="15" hidden="1" customHeight="1" outlineLevel="1" x14ac:dyDescent="0.25">
      <c r="A3084" s="718"/>
      <c r="B3084" s="785"/>
      <c r="C3084" s="455"/>
      <c r="D3084" s="2806"/>
      <c r="E3084" s="2856"/>
      <c r="F3084" s="2917" t="str">
        <f t="shared" si="257"/>
        <v>ASHP - SEER 17 - replace electric furnace / CAC - early replacement SF ER1</v>
      </c>
      <c r="G3084" s="2917"/>
      <c r="H3084" s="2917"/>
      <c r="I3084" s="2917"/>
      <c r="J3084" s="1654" t="str">
        <f t="shared" si="258"/>
        <v>354100_2019_12_</v>
      </c>
      <c r="K3084" s="713">
        <f>(($R$1678*L3084)+$R$1668)-(($Q$1678*L3084)/((1+$R$1680)^($R$1681-1)))</f>
        <v>1464.7073864864105</v>
      </c>
      <c r="L3084" s="910">
        <f>VLOOKUP(J3084,$J$1664:$L$1791,3,FALSE)*M3084</f>
        <v>3.1</v>
      </c>
      <c r="M3084" s="2110">
        <f>VLOOKUP(J3084,$J$2688:$K$2815,2,FALSE)</f>
        <v>1</v>
      </c>
      <c r="N3084" s="1453"/>
      <c r="O3084" s="332"/>
      <c r="P3084" s="1116"/>
      <c r="Q3084" s="1116"/>
      <c r="R3084" s="1116"/>
      <c r="S3084" s="1103"/>
      <c r="T3084" s="1639"/>
      <c r="U3084" s="177"/>
      <c r="V3084" s="2866"/>
      <c r="W3084" s="713">
        <v>3824.9615612563771</v>
      </c>
      <c r="X3084" s="716">
        <f>(X$1732/12000)*$Q$1668*X$2756</f>
        <v>4466.5221594592294</v>
      </c>
      <c r="Y3084" s="716">
        <v>1452.6993716056036</v>
      </c>
      <c r="Z3084" s="1060"/>
      <c r="AA3084" s="713"/>
      <c r="AB3084" s="1060"/>
      <c r="AC3084" s="1060"/>
      <c r="AD3084" s="1060"/>
      <c r="AE3084" s="1060"/>
      <c r="AF3084" s="1060"/>
      <c r="AG3084" s="1060"/>
      <c r="BB3084" s="784"/>
      <c r="BC3084" s="785"/>
      <c r="BD3084" s="900"/>
      <c r="BE3084" s="797"/>
    </row>
    <row r="3085" spans="1:57" s="65" customFormat="1" ht="15" hidden="1" customHeight="1" outlineLevel="1" x14ac:dyDescent="0.25">
      <c r="A3085" s="718"/>
      <c r="B3085" s="785"/>
      <c r="C3085" s="455"/>
      <c r="D3085" s="2806"/>
      <c r="E3085" s="2856"/>
      <c r="F3085" s="2917" t="str">
        <f t="shared" si="257"/>
        <v>ASHP - SEER 17 - replace electric furnace / CAC - early replacement SF ER1</v>
      </c>
      <c r="G3085" s="2917"/>
      <c r="H3085" s="2917"/>
      <c r="I3085" s="2917"/>
      <c r="J3085" s="1654" t="str">
        <f t="shared" si="258"/>
        <v>354100_2019_12_</v>
      </c>
      <c r="K3085" s="713"/>
      <c r="L3085" s="910" t="str">
        <f>IF(K3085&gt;0,VLOOKUP(J3085,$J$1664:$L$1791,3,FALSE),"")</f>
        <v/>
      </c>
      <c r="M3085" s="2110" t="str">
        <f>IF(K3085&gt;0,VLOOKUP(J3085,$J$2688:$K$2815,2,FALSE),"")</f>
        <v/>
      </c>
      <c r="N3085" s="1453"/>
      <c r="O3085" s="332"/>
      <c r="P3085" s="1116"/>
      <c r="Q3085" s="1116"/>
      <c r="R3085" s="1116"/>
      <c r="S3085" s="1103"/>
      <c r="T3085" s="1639"/>
      <c r="U3085" s="177"/>
      <c r="V3085" s="2866"/>
      <c r="W3085" s="713"/>
      <c r="X3085" s="716"/>
      <c r="Y3085" s="716"/>
      <c r="Z3085" s="1060"/>
      <c r="AA3085" s="713"/>
      <c r="AB3085" s="1060"/>
      <c r="AC3085" s="1060"/>
      <c r="AD3085" s="1060"/>
      <c r="AE3085" s="1060"/>
      <c r="AF3085" s="1060"/>
      <c r="AG3085" s="1060"/>
      <c r="BB3085" s="784"/>
      <c r="BC3085" s="785"/>
      <c r="BD3085" s="900"/>
      <c r="BE3085" s="797"/>
    </row>
    <row r="3086" spans="1:57" s="65" customFormat="1" ht="15" hidden="1" customHeight="1" outlineLevel="1" x14ac:dyDescent="0.25">
      <c r="A3086" s="718"/>
      <c r="B3086" s="785"/>
      <c r="C3086" s="455"/>
      <c r="D3086" s="2806"/>
      <c r="E3086" s="2856"/>
      <c r="F3086" s="2917" t="str">
        <f t="shared" si="257"/>
        <v>ASHP - SEER 17 - replace electric furnace / CAC - early replacement SF ER2</v>
      </c>
      <c r="G3086" s="2917"/>
      <c r="H3086" s="2917"/>
      <c r="I3086" s="2917"/>
      <c r="J3086" s="1654" t="str">
        <f t="shared" si="258"/>
        <v>354100_2019_12_</v>
      </c>
      <c r="K3086" s="713"/>
      <c r="L3086" s="910" t="str">
        <f>IF(K3086&gt;0,VLOOKUP(J3086,$J$1664:$L$1791,3,FALSE),"")</f>
        <v/>
      </c>
      <c r="M3086" s="2110" t="str">
        <f>IF(K3086&gt;0,VLOOKUP(J3086,$J$2688:$K$2815,2,FALSE),"")</f>
        <v/>
      </c>
      <c r="N3086" s="1453"/>
      <c r="O3086" s="332"/>
      <c r="P3086" s="1116"/>
      <c r="Q3086" s="1116"/>
      <c r="R3086" s="1116"/>
      <c r="S3086" s="1103"/>
      <c r="T3086" s="1639"/>
      <c r="U3086" s="177"/>
      <c r="V3086" s="2866"/>
      <c r="W3086" s="713"/>
      <c r="X3086" s="716"/>
      <c r="Y3086" s="716"/>
      <c r="Z3086" s="1060"/>
      <c r="AA3086" s="713"/>
      <c r="AB3086" s="1060"/>
      <c r="AC3086" s="1060"/>
      <c r="AD3086" s="1060"/>
      <c r="AE3086" s="1060"/>
      <c r="AF3086" s="1060"/>
      <c r="AG3086" s="1060"/>
      <c r="BB3086" s="784"/>
      <c r="BC3086" s="785"/>
      <c r="BD3086" s="900"/>
      <c r="BE3086" s="797"/>
    </row>
    <row r="3087" spans="1:57" s="65" customFormat="1" ht="15" hidden="1" customHeight="1" outlineLevel="1" x14ac:dyDescent="0.25">
      <c r="A3087" s="718"/>
      <c r="B3087" s="785"/>
      <c r="C3087" s="455"/>
      <c r="D3087" s="2806"/>
      <c r="E3087" s="2856"/>
      <c r="F3087" s="2917" t="str">
        <f t="shared" si="257"/>
        <v>ASHP - SEER 17 - replace electric furnace / CAC - early replacement SF ER2</v>
      </c>
      <c r="G3087" s="2917"/>
      <c r="H3087" s="2917"/>
      <c r="I3087" s="2917"/>
      <c r="J3087" s="1654" t="str">
        <f t="shared" si="258"/>
        <v>354100_2019_12_</v>
      </c>
      <c r="K3087" s="713"/>
      <c r="L3087" s="910" t="str">
        <f>IF(K3087&gt;0,VLOOKUP(J3087,$J$1664:$L$1791,3,FALSE),"")</f>
        <v/>
      </c>
      <c r="M3087" s="2110" t="str">
        <f>IF(K3087&gt;0,VLOOKUP(J3087,$J$2688:$K$2815,2,FALSE),"")</f>
        <v/>
      </c>
      <c r="N3087" s="1453"/>
      <c r="O3087" s="332"/>
      <c r="P3087" s="1116"/>
      <c r="Q3087" s="1116"/>
      <c r="R3087" s="1116"/>
      <c r="S3087" s="1103"/>
      <c r="T3087" s="1639"/>
      <c r="U3087" s="177"/>
      <c r="V3087" s="2866"/>
      <c r="W3087" s="713"/>
      <c r="X3087" s="716"/>
      <c r="Y3087" s="716"/>
      <c r="Z3087" s="1060"/>
      <c r="AA3087" s="713"/>
      <c r="AB3087" s="1060"/>
      <c r="AC3087" s="1060"/>
      <c r="AD3087" s="1060"/>
      <c r="AE3087" s="1060"/>
      <c r="AF3087" s="1060"/>
      <c r="AG3087" s="1060"/>
      <c r="BB3087" s="784"/>
      <c r="BC3087" s="785"/>
      <c r="BD3087" s="900"/>
      <c r="BE3087" s="797"/>
    </row>
    <row r="3088" spans="1:57" s="65" customFormat="1" ht="15" hidden="1" customHeight="1" outlineLevel="1" x14ac:dyDescent="0.25">
      <c r="A3088" s="718"/>
      <c r="B3088" s="785"/>
      <c r="C3088" s="455"/>
      <c r="D3088" s="2806"/>
      <c r="E3088" s="2856"/>
      <c r="F3088" s="2917" t="str">
        <f t="shared" si="257"/>
        <v>ASHP - SEER 17 - replace electric furnace / CAC - early replacement MF ER1</v>
      </c>
      <c r="G3088" s="2917"/>
      <c r="H3088" s="2917"/>
      <c r="I3088" s="2917"/>
      <c r="J3088" s="1654" t="str">
        <f t="shared" si="258"/>
        <v>354150_2019_12_</v>
      </c>
      <c r="K3088" s="713">
        <f>(($R$1678*L3088)+$R$1668)-(($Q$1678*L3088)/((1+$R$1680)^($R$1681-1)))</f>
        <v>1205.4598012161669</v>
      </c>
      <c r="L3088" s="910">
        <f>VLOOKUP(J3088,$J$1664:$L$1791,3,FALSE)*M3088</f>
        <v>2.0150000000000001</v>
      </c>
      <c r="M3088" s="2110">
        <f>VLOOKUP(J3088,$J$2688:$K$2815,2,FALSE)</f>
        <v>0.65</v>
      </c>
      <c r="N3088" s="1453"/>
      <c r="O3088" s="332"/>
      <c r="P3088" s="1116"/>
      <c r="Q3088" s="1116"/>
      <c r="R3088" s="1116"/>
      <c r="S3088" s="1103"/>
      <c r="T3088" s="1639"/>
      <c r="U3088" s="177"/>
      <c r="V3088" s="2866"/>
      <c r="W3088" s="713">
        <v>3824.9615612563771</v>
      </c>
      <c r="X3088" s="716">
        <f>(X$1734/12000)*$Q$1668*X$2758</f>
        <v>2903.2394036484993</v>
      </c>
      <c r="Y3088" s="716">
        <v>1147.2545915436422</v>
      </c>
      <c r="Z3088" s="1060"/>
      <c r="AA3088" s="713"/>
      <c r="AB3088" s="1060"/>
      <c r="AC3088" s="1060"/>
      <c r="AD3088" s="1060"/>
      <c r="AE3088" s="1060"/>
      <c r="AF3088" s="1060"/>
      <c r="AG3088" s="1060"/>
      <c r="BB3088" s="784"/>
      <c r="BC3088" s="785"/>
      <c r="BD3088" s="900"/>
      <c r="BE3088" s="797"/>
    </row>
    <row r="3089" spans="1:57" s="65" customFormat="1" ht="15" hidden="1" customHeight="1" outlineLevel="1" x14ac:dyDescent="0.25">
      <c r="A3089" s="718"/>
      <c r="B3089" s="785"/>
      <c r="C3089" s="455"/>
      <c r="D3089" s="2806"/>
      <c r="E3089" s="2856"/>
      <c r="F3089" s="2917" t="str">
        <f t="shared" si="257"/>
        <v>ASHP - SEER 17 - replace electric furnace / CAC - early replacement MF ER1</v>
      </c>
      <c r="G3089" s="2917"/>
      <c r="H3089" s="2917"/>
      <c r="I3089" s="2917"/>
      <c r="J3089" s="1654" t="str">
        <f t="shared" si="258"/>
        <v>354150_2019_12_</v>
      </c>
      <c r="K3089" s="713"/>
      <c r="L3089" s="910" t="str">
        <f>IF(K3089&gt;0,VLOOKUP(J3089,$J$1664:$L$1791,3,FALSE),"")</f>
        <v/>
      </c>
      <c r="M3089" s="2110" t="str">
        <f>IF(K3089&gt;0,VLOOKUP(J3089,$J$2688:$K$2815,2,FALSE),"")</f>
        <v/>
      </c>
      <c r="N3089" s="1453"/>
      <c r="O3089" s="332"/>
      <c r="P3089" s="1116"/>
      <c r="Q3089" s="1116"/>
      <c r="R3089" s="1116"/>
      <c r="S3089" s="1103"/>
      <c r="T3089" s="1639"/>
      <c r="U3089" s="177"/>
      <c r="V3089" s="2866"/>
      <c r="W3089" s="713"/>
      <c r="X3089" s="716"/>
      <c r="Y3089" s="716"/>
      <c r="Z3089" s="1060"/>
      <c r="AA3089" s="713"/>
      <c r="AB3089" s="1060"/>
      <c r="AC3089" s="1060"/>
      <c r="AD3089" s="1060"/>
      <c r="AE3089" s="1060"/>
      <c r="AF3089" s="1060"/>
      <c r="AG3089" s="1060"/>
      <c r="BB3089" s="784"/>
      <c r="BC3089" s="785"/>
      <c r="BD3089" s="900"/>
      <c r="BE3089" s="797"/>
    </row>
    <row r="3090" spans="1:57" s="65" customFormat="1" ht="15" hidden="1" customHeight="1" outlineLevel="1" x14ac:dyDescent="0.25">
      <c r="A3090" s="718"/>
      <c r="B3090" s="785"/>
      <c r="C3090" s="455"/>
      <c r="D3090" s="2806"/>
      <c r="E3090" s="2856"/>
      <c r="F3090" s="2917" t="str">
        <f t="shared" si="257"/>
        <v>ASHP - SEER 17 - replace electric furnace / CAC - early replacement MF ER2</v>
      </c>
      <c r="G3090" s="2917"/>
      <c r="H3090" s="2917"/>
      <c r="I3090" s="2917"/>
      <c r="J3090" s="1654" t="str">
        <f t="shared" si="258"/>
        <v>354150_2019_12_</v>
      </c>
      <c r="K3090" s="713"/>
      <c r="L3090" s="910" t="str">
        <f>IF(K3090&gt;0,VLOOKUP(J3090,$J$1664:$L$1791,3,FALSE),"")</f>
        <v/>
      </c>
      <c r="M3090" s="2110" t="str">
        <f>IF(K3090&gt;0,VLOOKUP(J3090,$J$2688:$K$2815,2,FALSE),"")</f>
        <v/>
      </c>
      <c r="N3090" s="1453"/>
      <c r="O3090" s="332"/>
      <c r="P3090" s="1116"/>
      <c r="Q3090" s="1116"/>
      <c r="R3090" s="1116"/>
      <c r="S3090" s="1103"/>
      <c r="T3090" s="1639"/>
      <c r="U3090" s="177"/>
      <c r="V3090" s="2866"/>
      <c r="W3090" s="713"/>
      <c r="X3090" s="716"/>
      <c r="Y3090" s="716"/>
      <c r="Z3090" s="1060"/>
      <c r="AA3090" s="713"/>
      <c r="AB3090" s="1060"/>
      <c r="AC3090" s="1060"/>
      <c r="AD3090" s="1060"/>
      <c r="AE3090" s="1060"/>
      <c r="AF3090" s="1060"/>
      <c r="AG3090" s="1060"/>
      <c r="BB3090" s="784"/>
      <c r="BC3090" s="785"/>
      <c r="BD3090" s="900"/>
      <c r="BE3090" s="797"/>
    </row>
    <row r="3091" spans="1:57" s="65" customFormat="1" ht="15" hidden="1" customHeight="1" outlineLevel="1" x14ac:dyDescent="0.25">
      <c r="A3091" s="718"/>
      <c r="B3091" s="785"/>
      <c r="C3091" s="455"/>
      <c r="D3091" s="2806"/>
      <c r="E3091" s="2856"/>
      <c r="F3091" s="2917" t="str">
        <f t="shared" si="257"/>
        <v>ASHP - SEER 17 - replace electric furnace / CAC - early replacement MF ER2</v>
      </c>
      <c r="G3091" s="2917"/>
      <c r="H3091" s="2917"/>
      <c r="I3091" s="2917"/>
      <c r="J3091" s="1654" t="str">
        <f t="shared" si="258"/>
        <v>354150_2019_12_</v>
      </c>
      <c r="K3091" s="713"/>
      <c r="L3091" s="910" t="str">
        <f>IF(K3091&gt;0,VLOOKUP(J3091,$J$1664:$L$1791,3,FALSE),"")</f>
        <v/>
      </c>
      <c r="M3091" s="2110" t="str">
        <f>IF(K3091&gt;0,VLOOKUP(J3091,$J$2688:$K$2815,2,FALSE),"")</f>
        <v/>
      </c>
      <c r="N3091" s="1453"/>
      <c r="O3091" s="332"/>
      <c r="P3091" s="1116"/>
      <c r="Q3091" s="1116"/>
      <c r="R3091" s="1116"/>
      <c r="S3091" s="1103"/>
      <c r="T3091" s="1639"/>
      <c r="U3091" s="177"/>
      <c r="V3091" s="2866"/>
      <c r="W3091" s="713"/>
      <c r="X3091" s="716"/>
      <c r="Y3091" s="716"/>
      <c r="Z3091" s="1060"/>
      <c r="AA3091" s="713"/>
      <c r="AB3091" s="1060"/>
      <c r="AC3091" s="1060"/>
      <c r="AD3091" s="1060"/>
      <c r="AE3091" s="1060"/>
      <c r="AF3091" s="1060"/>
      <c r="AG3091" s="1060"/>
      <c r="BB3091" s="784"/>
      <c r="BC3091" s="785"/>
      <c r="BD3091" s="900"/>
      <c r="BE3091" s="797"/>
    </row>
    <row r="3092" spans="1:57" s="65" customFormat="1" ht="15" hidden="1" customHeight="1" outlineLevel="1" x14ac:dyDescent="0.25">
      <c r="A3092" s="718"/>
      <c r="B3092" s="785"/>
      <c r="C3092" s="455"/>
      <c r="D3092" s="2806"/>
      <c r="E3092" s="2856"/>
      <c r="F3092" s="2917" t="str">
        <f>E1536</f>
        <v>ASHP SEER 17 replace ASHP - early replacement MF ER1</v>
      </c>
      <c r="G3092" s="2917"/>
      <c r="H3092" s="2917"/>
      <c r="I3092" s="2917"/>
      <c r="J3092" s="1654" t="str">
        <f>C1536</f>
        <v>354200_2019_12_</v>
      </c>
      <c r="K3092" s="713">
        <f>(($R$1678*L3092)+$R$1668)-(($Q$1678*L3092)/((1+$R$1680)^($R$1681-1)))</f>
        <v>1236.5217238752739</v>
      </c>
      <c r="L3092" s="910">
        <f>VLOOKUP(J3092,$J$1664:$L$1791,3,FALSE)*M3092</f>
        <v>2.145</v>
      </c>
      <c r="M3092" s="2110">
        <f>VLOOKUP(J3092,$J$2688:$K$2815,2,FALSE)</f>
        <v>0.65</v>
      </c>
      <c r="N3092" s="1453"/>
      <c r="O3092" s="332"/>
      <c r="P3092" s="1116"/>
      <c r="Q3092" s="1116"/>
      <c r="R3092" s="1116"/>
      <c r="S3092" s="1103"/>
      <c r="T3092" s="1639"/>
      <c r="U3092" s="177"/>
      <c r="V3092" s="2866"/>
      <c r="W3092" s="713">
        <v>6101.9914642916983</v>
      </c>
      <c r="X3092" s="716">
        <f>(X$1738/12000)*$Q$1668*X$2762</f>
        <v>3090.5451716258217</v>
      </c>
      <c r="Y3092" s="716">
        <v>1183.8516619658126</v>
      </c>
      <c r="Z3092" s="1060"/>
      <c r="AA3092" s="713"/>
      <c r="AB3092" s="1060"/>
      <c r="AC3092" s="1060"/>
      <c r="AD3092" s="1060"/>
      <c r="AE3092" s="1060"/>
      <c r="AF3092" s="1060"/>
      <c r="AG3092" s="1060"/>
      <c r="BB3092" s="784"/>
      <c r="BC3092" s="785"/>
      <c r="BD3092" s="900"/>
      <c r="BE3092" s="797"/>
    </row>
    <row r="3093" spans="1:57" s="65" customFormat="1" ht="15" hidden="1" customHeight="1" outlineLevel="1" x14ac:dyDescent="0.25">
      <c r="A3093" s="718"/>
      <c r="B3093" s="785"/>
      <c r="C3093" s="455"/>
      <c r="D3093" s="2806"/>
      <c r="E3093" s="2856"/>
      <c r="F3093" s="2917" t="str">
        <f>E1537</f>
        <v>ASHP SEER 17 replace ASHP - early replacement MF ER1</v>
      </c>
      <c r="G3093" s="2917"/>
      <c r="H3093" s="2917"/>
      <c r="I3093" s="2917"/>
      <c r="J3093" s="1654" t="str">
        <f>C1537</f>
        <v>354200_2019_12_</v>
      </c>
      <c r="K3093" s="713"/>
      <c r="L3093" s="910" t="str">
        <f>IF(K3093&gt;0,VLOOKUP(J3093,$J$1664:$L$1791,3,FALSE),"")</f>
        <v/>
      </c>
      <c r="M3093" s="2110" t="str">
        <f>IF(K3093&gt;0,VLOOKUP(J3093,$J$2688:$K$2815,2,FALSE),"")</f>
        <v/>
      </c>
      <c r="N3093" s="1453"/>
      <c r="O3093" s="332"/>
      <c r="P3093" s="1116"/>
      <c r="Q3093" s="1116"/>
      <c r="R3093" s="1116"/>
      <c r="S3093" s="1103"/>
      <c r="T3093" s="1639"/>
      <c r="U3093" s="177"/>
      <c r="V3093" s="2866"/>
      <c r="W3093" s="713"/>
      <c r="X3093" s="716"/>
      <c r="Y3093" s="716"/>
      <c r="Z3093" s="1060"/>
      <c r="AA3093" s="713"/>
      <c r="AB3093" s="1060"/>
      <c r="AC3093" s="1060"/>
      <c r="AD3093" s="1060"/>
      <c r="AE3093" s="1060"/>
      <c r="AF3093" s="1060"/>
      <c r="AG3093" s="1060"/>
      <c r="BB3093" s="784"/>
      <c r="BC3093" s="785"/>
      <c r="BD3093" s="900"/>
      <c r="BE3093" s="797"/>
    </row>
    <row r="3094" spans="1:57" s="65" customFormat="1" ht="15" hidden="1" customHeight="1" outlineLevel="1" x14ac:dyDescent="0.25">
      <c r="A3094" s="718"/>
      <c r="B3094" s="785"/>
      <c r="C3094" s="455"/>
      <c r="D3094" s="2806"/>
      <c r="E3094" s="2856"/>
      <c r="F3094" s="2917" t="str">
        <f>E1538</f>
        <v>ASHP SEER 17 replace ASHP - early replacement MF ER2</v>
      </c>
      <c r="G3094" s="2917"/>
      <c r="H3094" s="2917"/>
      <c r="I3094" s="2917"/>
      <c r="J3094" s="1654" t="str">
        <f>C1538</f>
        <v>354200_2019_12_</v>
      </c>
      <c r="K3094" s="713"/>
      <c r="L3094" s="910" t="str">
        <f>IF(K3094&gt;0,VLOOKUP(J3094,$J$1664:$L$1791,3,FALSE),"")</f>
        <v/>
      </c>
      <c r="M3094" s="2110" t="str">
        <f>IF(K3094&gt;0,VLOOKUP(J3094,$J$2688:$K$2815,2,FALSE),"")</f>
        <v/>
      </c>
      <c r="N3094" s="1453"/>
      <c r="O3094" s="332"/>
      <c r="P3094" s="1116"/>
      <c r="Q3094" s="1116"/>
      <c r="R3094" s="1116"/>
      <c r="S3094" s="1103"/>
      <c r="T3094" s="1639"/>
      <c r="U3094" s="177"/>
      <c r="V3094" s="2866"/>
      <c r="W3094" s="713"/>
      <c r="X3094" s="716"/>
      <c r="Y3094" s="716"/>
      <c r="Z3094" s="1060"/>
      <c r="AA3094" s="713"/>
      <c r="AB3094" s="1060"/>
      <c r="AC3094" s="1060"/>
      <c r="AD3094" s="1060"/>
      <c r="AE3094" s="1060"/>
      <c r="AF3094" s="1060"/>
      <c r="AG3094" s="1060"/>
      <c r="BB3094" s="784"/>
      <c r="BC3094" s="785"/>
      <c r="BD3094" s="900"/>
      <c r="BE3094" s="797"/>
    </row>
    <row r="3095" spans="1:57" s="65" customFormat="1" ht="15" hidden="1" customHeight="1" outlineLevel="1" x14ac:dyDescent="0.25">
      <c r="A3095" s="718"/>
      <c r="B3095" s="785"/>
      <c r="C3095" s="455"/>
      <c r="D3095" s="2806"/>
      <c r="E3095" s="2856"/>
      <c r="F3095" s="2917" t="str">
        <f>E1539</f>
        <v>ASHP SEER 17 replace ASHP - early replacement MF ER2</v>
      </c>
      <c r="G3095" s="2917"/>
      <c r="H3095" s="2917"/>
      <c r="I3095" s="2917"/>
      <c r="J3095" s="1654" t="str">
        <f>C1539</f>
        <v>354200_2019_12_</v>
      </c>
      <c r="K3095" s="713"/>
      <c r="L3095" s="910" t="str">
        <f>IF(K3095&gt;0,VLOOKUP(J3095,$J$1664:$L$1791,3,FALSE),"")</f>
        <v/>
      </c>
      <c r="M3095" s="2110" t="str">
        <f>IF(K3095&gt;0,VLOOKUP(J3095,$J$2688:$K$2815,2,FALSE),"")</f>
        <v/>
      </c>
      <c r="N3095" s="1453"/>
      <c r="O3095" s="332"/>
      <c r="P3095" s="1116"/>
      <c r="Q3095" s="1116"/>
      <c r="R3095" s="1116"/>
      <c r="S3095" s="1103"/>
      <c r="T3095" s="1639"/>
      <c r="U3095" s="177"/>
      <c r="V3095" s="2866"/>
      <c r="W3095" s="713"/>
      <c r="X3095" s="716"/>
      <c r="Y3095" s="716"/>
      <c r="Z3095" s="1060"/>
      <c r="AA3095" s="713"/>
      <c r="AB3095" s="1060"/>
      <c r="AC3095" s="1060"/>
      <c r="AD3095" s="1060"/>
      <c r="AE3095" s="1060"/>
      <c r="AF3095" s="1060"/>
      <c r="AG3095" s="1060"/>
      <c r="BB3095" s="784"/>
      <c r="BC3095" s="785"/>
      <c r="BD3095" s="900"/>
      <c r="BE3095" s="797"/>
    </row>
    <row r="3096" spans="1:57" s="65" customFormat="1" ht="15" hidden="1" customHeight="1" outlineLevel="1" x14ac:dyDescent="0.25">
      <c r="A3096" s="718"/>
      <c r="B3096" s="785"/>
      <c r="C3096" s="455"/>
      <c r="D3096" s="2806"/>
      <c r="E3096" s="2856"/>
      <c r="F3096" s="2917" t="str">
        <f t="shared" ref="F3096:F3103" si="259">E1544</f>
        <v>ASHP - SEER 18 - replace electric furnace / CAC - early replacement SF ER1</v>
      </c>
      <c r="G3096" s="2917"/>
      <c r="H3096" s="2917"/>
      <c r="I3096" s="2917"/>
      <c r="J3096" s="1654" t="str">
        <f t="shared" ref="J3096:J3103" si="260">C1544</f>
        <v>354250_2019_12_</v>
      </c>
      <c r="K3096" s="713">
        <f>(($R$1678*L3096)+$R$1669)-(($Q$1678*L3096)/((1+$R$1680)^($R$1681-1)))</f>
        <v>1703.6273864864106</v>
      </c>
      <c r="L3096" s="910">
        <f>VLOOKUP(J3096,$J$1664:$L$1791,3,FALSE)*M3096</f>
        <v>3.1</v>
      </c>
      <c r="M3096" s="2110">
        <f>VLOOKUP(J3096,$J$2688:$K$2815,2,FALSE)</f>
        <v>1</v>
      </c>
      <c r="N3096" s="1453"/>
      <c r="O3096" s="332"/>
      <c r="P3096" s="1116"/>
      <c r="Q3096" s="1116"/>
      <c r="R3096" s="1116"/>
      <c r="S3096" s="1103"/>
      <c r="T3096" s="1639"/>
      <c r="U3096" s="177"/>
      <c r="V3096" s="2866"/>
      <c r="W3096" s="713">
        <v>4279.6282279230445</v>
      </c>
      <c r="X3096" s="716">
        <f>(X$1742/12000)*$Q$1669*X$2766</f>
        <v>5207.1741594592304</v>
      </c>
      <c r="Y3096" s="716">
        <v>1586.0327049389366</v>
      </c>
      <c r="Z3096" s="1060"/>
      <c r="AA3096" s="713"/>
      <c r="AB3096" s="1060"/>
      <c r="AC3096" s="1060"/>
      <c r="AD3096" s="1060"/>
      <c r="AE3096" s="1060"/>
      <c r="AF3096" s="1060"/>
      <c r="AG3096" s="1060"/>
      <c r="BB3096" s="784"/>
      <c r="BC3096" s="785"/>
      <c r="BD3096" s="900"/>
      <c r="BE3096" s="797"/>
    </row>
    <row r="3097" spans="1:57" s="65" customFormat="1" ht="15" hidden="1" customHeight="1" outlineLevel="1" x14ac:dyDescent="0.25">
      <c r="A3097" s="718"/>
      <c r="B3097" s="785"/>
      <c r="C3097" s="455"/>
      <c r="D3097" s="2806"/>
      <c r="E3097" s="2856"/>
      <c r="F3097" s="2917" t="str">
        <f t="shared" si="259"/>
        <v>ASHP - SEER 18 - replace electric furnace / CAC - early replacement SF ER1</v>
      </c>
      <c r="G3097" s="2917"/>
      <c r="H3097" s="2917"/>
      <c r="I3097" s="2917"/>
      <c r="J3097" s="1654" t="str">
        <f t="shared" si="260"/>
        <v>354250_2019_12_</v>
      </c>
      <c r="K3097" s="713"/>
      <c r="L3097" s="910" t="str">
        <f>IF(K3097&gt;0,VLOOKUP(J3097,$J$1664:$L$1791,3,FALSE),"")</f>
        <v/>
      </c>
      <c r="M3097" s="2110" t="str">
        <f>IF(K3097&gt;0,VLOOKUP(J3097,$J$2688:$K$2815,2,FALSE),"")</f>
        <v/>
      </c>
      <c r="N3097" s="1453"/>
      <c r="O3097" s="332"/>
      <c r="P3097" s="1116"/>
      <c r="Q3097" s="1116"/>
      <c r="R3097" s="1116"/>
      <c r="S3097" s="1103"/>
      <c r="T3097" s="1639"/>
      <c r="U3097" s="177"/>
      <c r="V3097" s="2866"/>
      <c r="W3097" s="713"/>
      <c r="X3097" s="716"/>
      <c r="Y3097" s="716"/>
      <c r="Z3097" s="1060"/>
      <c r="AA3097" s="713"/>
      <c r="AB3097" s="1060"/>
      <c r="AC3097" s="1060"/>
      <c r="AD3097" s="1060"/>
      <c r="AE3097" s="1060"/>
      <c r="AF3097" s="1060"/>
      <c r="AG3097" s="1060"/>
      <c r="BB3097" s="784"/>
      <c r="BC3097" s="785"/>
      <c r="BD3097" s="900"/>
      <c r="BE3097" s="797"/>
    </row>
    <row r="3098" spans="1:57" s="65" customFormat="1" ht="15" hidden="1" customHeight="1" outlineLevel="1" x14ac:dyDescent="0.25">
      <c r="A3098" s="718"/>
      <c r="B3098" s="785"/>
      <c r="C3098" s="455"/>
      <c r="D3098" s="2806"/>
      <c r="E3098" s="2856"/>
      <c r="F3098" s="2917" t="str">
        <f t="shared" si="259"/>
        <v>ASHP - SEER 18 - replace electric furnace / CAC - early replacement SF ER2</v>
      </c>
      <c r="G3098" s="2917"/>
      <c r="H3098" s="2917"/>
      <c r="I3098" s="2917"/>
      <c r="J3098" s="1654" t="str">
        <f t="shared" si="260"/>
        <v>354250_2019_12_</v>
      </c>
      <c r="K3098" s="713"/>
      <c r="L3098" s="910" t="str">
        <f>IF(K3098&gt;0,VLOOKUP(J3098,$J$1664:$L$1791,3,FALSE),"")</f>
        <v/>
      </c>
      <c r="M3098" s="2110" t="str">
        <f>IF(K3098&gt;0,VLOOKUP(J3098,$J$2688:$K$2815,2,FALSE),"")</f>
        <v/>
      </c>
      <c r="N3098" s="1453"/>
      <c r="O3098" s="332"/>
      <c r="P3098" s="1116"/>
      <c r="Q3098" s="1116"/>
      <c r="R3098" s="1116"/>
      <c r="S3098" s="1103"/>
      <c r="T3098" s="1639"/>
      <c r="U3098" s="177"/>
      <c r="V3098" s="2866"/>
      <c r="W3098" s="713"/>
      <c r="X3098" s="716"/>
      <c r="Y3098" s="716"/>
      <c r="Z3098" s="1060"/>
      <c r="AA3098" s="713"/>
      <c r="AB3098" s="1060"/>
      <c r="AC3098" s="1060"/>
      <c r="AD3098" s="1060"/>
      <c r="AE3098" s="1060"/>
      <c r="AF3098" s="1060"/>
      <c r="AG3098" s="1060"/>
      <c r="BB3098" s="784"/>
      <c r="BC3098" s="785"/>
      <c r="BD3098" s="900"/>
      <c r="BE3098" s="797"/>
    </row>
    <row r="3099" spans="1:57" s="65" customFormat="1" ht="15" hidden="1" customHeight="1" outlineLevel="1" x14ac:dyDescent="0.25">
      <c r="A3099" s="718"/>
      <c r="B3099" s="785"/>
      <c r="C3099" s="455"/>
      <c r="D3099" s="2806"/>
      <c r="E3099" s="2856"/>
      <c r="F3099" s="2917" t="str">
        <f t="shared" si="259"/>
        <v>ASHP - SEER 18 - replace electric furnace / CAC - early replacement SF ER2</v>
      </c>
      <c r="G3099" s="2917"/>
      <c r="H3099" s="2917"/>
      <c r="I3099" s="2917"/>
      <c r="J3099" s="1654" t="str">
        <f t="shared" si="260"/>
        <v>354250_2019_12_</v>
      </c>
      <c r="K3099" s="713"/>
      <c r="L3099" s="910" t="str">
        <f>IF(K3099&gt;0,VLOOKUP(J3099,$J$1664:$L$1791,3,FALSE),"")</f>
        <v/>
      </c>
      <c r="M3099" s="2110" t="str">
        <f>IF(K3099&gt;0,VLOOKUP(J3099,$J$2688:$K$2815,2,FALSE),"")</f>
        <v/>
      </c>
      <c r="N3099" s="1453"/>
      <c r="O3099" s="332"/>
      <c r="P3099" s="1116"/>
      <c r="Q3099" s="1116"/>
      <c r="R3099" s="1116"/>
      <c r="S3099" s="1103"/>
      <c r="T3099" s="1639"/>
      <c r="U3099" s="177"/>
      <c r="V3099" s="2866"/>
      <c r="W3099" s="713"/>
      <c r="X3099" s="716"/>
      <c r="Y3099" s="716"/>
      <c r="Z3099" s="1060"/>
      <c r="AA3099" s="713"/>
      <c r="AB3099" s="1060"/>
      <c r="AC3099" s="1060"/>
      <c r="AD3099" s="1060"/>
      <c r="AE3099" s="1060"/>
      <c r="AF3099" s="1060"/>
      <c r="AG3099" s="1060"/>
      <c r="BB3099" s="784"/>
      <c r="BC3099" s="785"/>
      <c r="BD3099" s="900"/>
      <c r="BE3099" s="797"/>
    </row>
    <row r="3100" spans="1:57" s="65" customFormat="1" ht="15" hidden="1" customHeight="1" outlineLevel="1" x14ac:dyDescent="0.25">
      <c r="A3100" s="718"/>
      <c r="B3100" s="785"/>
      <c r="C3100" s="455"/>
      <c r="D3100" s="2806"/>
      <c r="E3100" s="2856"/>
      <c r="F3100" s="2917" t="str">
        <f t="shared" si="259"/>
        <v>ASHP - SEER 18 - replace electric furnace / CAC - early replacement MF ER1</v>
      </c>
      <c r="G3100" s="2917"/>
      <c r="H3100" s="2917"/>
      <c r="I3100" s="2917"/>
      <c r="J3100" s="1654" t="str">
        <f t="shared" si="260"/>
        <v>354300_2019_12_</v>
      </c>
      <c r="K3100" s="713">
        <f>(($R$1678*L3100)+$R$1669)-(($Q$1678*L3100)/((1+$R$1680)^($R$1681-1)))</f>
        <v>1444.3798012161669</v>
      </c>
      <c r="L3100" s="910">
        <f>VLOOKUP(J3100,$J$1664:$L$1791,3,FALSE)*M3100</f>
        <v>2.0150000000000001</v>
      </c>
      <c r="M3100" s="2110">
        <f>VLOOKUP(J3100,$J$2688:$K$2815,2,FALSE)</f>
        <v>0.65</v>
      </c>
      <c r="N3100" s="1453"/>
      <c r="O3100" s="332"/>
      <c r="P3100" s="1116"/>
      <c r="Q3100" s="1116"/>
      <c r="R3100" s="1116"/>
      <c r="S3100" s="1103"/>
      <c r="T3100" s="1639"/>
      <c r="U3100" s="177"/>
      <c r="V3100" s="2866"/>
      <c r="W3100" s="713">
        <v>4279.6282279230445</v>
      </c>
      <c r="X3100" s="716">
        <f>(X$1744/12000)*$Q$1669*X$2768</f>
        <v>3384.6632036484998</v>
      </c>
      <c r="Y3100" s="716">
        <v>1280.5879248769756</v>
      </c>
      <c r="Z3100" s="1060"/>
      <c r="AA3100" s="713"/>
      <c r="AB3100" s="1060"/>
      <c r="AC3100" s="1060"/>
      <c r="AD3100" s="1060"/>
      <c r="AE3100" s="1060"/>
      <c r="AF3100" s="1060"/>
      <c r="AG3100" s="1060"/>
      <c r="BB3100" s="784"/>
      <c r="BC3100" s="785"/>
      <c r="BD3100" s="900"/>
      <c r="BE3100" s="797"/>
    </row>
    <row r="3101" spans="1:57" s="65" customFormat="1" ht="15" hidden="1" customHeight="1" outlineLevel="1" x14ac:dyDescent="0.25">
      <c r="A3101" s="718"/>
      <c r="B3101" s="785"/>
      <c r="C3101" s="455"/>
      <c r="D3101" s="2806"/>
      <c r="E3101" s="2856"/>
      <c r="F3101" s="2917" t="str">
        <f t="shared" si="259"/>
        <v>ASHP - SEER 18 - replace electric furnace / CAC - early replacement MF ER1</v>
      </c>
      <c r="G3101" s="2917"/>
      <c r="H3101" s="2917"/>
      <c r="I3101" s="2917"/>
      <c r="J3101" s="1654" t="str">
        <f t="shared" si="260"/>
        <v>354300_2019_12_</v>
      </c>
      <c r="K3101" s="713"/>
      <c r="L3101" s="910" t="str">
        <f>IF(K3101&gt;0,VLOOKUP(J3101,$J$1664:$L$1791,3,FALSE),"")</f>
        <v/>
      </c>
      <c r="M3101" s="2110" t="str">
        <f>IF(K3101&gt;0,VLOOKUP(J3101,$J$2688:$K$2815,2,FALSE),"")</f>
        <v/>
      </c>
      <c r="N3101" s="1453"/>
      <c r="O3101" s="332"/>
      <c r="P3101" s="1116"/>
      <c r="Q3101" s="1116"/>
      <c r="R3101" s="1116"/>
      <c r="S3101" s="1103"/>
      <c r="T3101" s="1639"/>
      <c r="U3101" s="177"/>
      <c r="V3101" s="2866"/>
      <c r="W3101" s="713"/>
      <c r="X3101" s="716"/>
      <c r="Y3101" s="716"/>
      <c r="Z3101" s="1060"/>
      <c r="AA3101" s="713"/>
      <c r="AB3101" s="1060"/>
      <c r="AC3101" s="1060"/>
      <c r="AD3101" s="1060"/>
      <c r="AE3101" s="1060"/>
      <c r="AF3101" s="1060"/>
      <c r="AG3101" s="1060"/>
      <c r="BB3101" s="784"/>
      <c r="BC3101" s="785"/>
      <c r="BD3101" s="900"/>
      <c r="BE3101" s="797"/>
    </row>
    <row r="3102" spans="1:57" s="65" customFormat="1" ht="15" hidden="1" customHeight="1" outlineLevel="1" x14ac:dyDescent="0.25">
      <c r="A3102" s="718"/>
      <c r="B3102" s="785"/>
      <c r="C3102" s="455"/>
      <c r="D3102" s="2806"/>
      <c r="E3102" s="2856"/>
      <c r="F3102" s="2917" t="str">
        <f t="shared" si="259"/>
        <v>ASHP - SEER 18 - replace electric furnace / CAC - early replacement MF ER2</v>
      </c>
      <c r="G3102" s="2917"/>
      <c r="H3102" s="2917"/>
      <c r="I3102" s="2917"/>
      <c r="J3102" s="1654" t="str">
        <f t="shared" si="260"/>
        <v>354300_2019_12_</v>
      </c>
      <c r="K3102" s="713"/>
      <c r="L3102" s="910" t="str">
        <f>IF(K3102&gt;0,VLOOKUP(J3102,$J$1664:$L$1791,3,FALSE),"")</f>
        <v/>
      </c>
      <c r="M3102" s="2110" t="str">
        <f>IF(K3102&gt;0,VLOOKUP(J3102,$J$2688:$K$2815,2,FALSE),"")</f>
        <v/>
      </c>
      <c r="N3102" s="1453"/>
      <c r="O3102" s="332"/>
      <c r="P3102" s="1116"/>
      <c r="Q3102" s="1116"/>
      <c r="R3102" s="1116"/>
      <c r="S3102" s="1103"/>
      <c r="T3102" s="1639"/>
      <c r="U3102" s="177"/>
      <c r="V3102" s="2866"/>
      <c r="W3102" s="713"/>
      <c r="X3102" s="716"/>
      <c r="Y3102" s="716"/>
      <c r="Z3102" s="1060"/>
      <c r="AA3102" s="713"/>
      <c r="AB3102" s="1060"/>
      <c r="AC3102" s="1060"/>
      <c r="AD3102" s="1060"/>
      <c r="AE3102" s="1060"/>
      <c r="AF3102" s="1060"/>
      <c r="AG3102" s="1060"/>
      <c r="BB3102" s="784"/>
      <c r="BC3102" s="785"/>
      <c r="BD3102" s="900"/>
      <c r="BE3102" s="797"/>
    </row>
    <row r="3103" spans="1:57" s="65" customFormat="1" ht="15" hidden="1" customHeight="1" outlineLevel="1" x14ac:dyDescent="0.25">
      <c r="A3103" s="718"/>
      <c r="B3103" s="785"/>
      <c r="C3103" s="455"/>
      <c r="D3103" s="2806"/>
      <c r="E3103" s="2856"/>
      <c r="F3103" s="2917" t="str">
        <f t="shared" si="259"/>
        <v>ASHP - SEER 18 - replace electric furnace / CAC - early replacement MF ER2</v>
      </c>
      <c r="G3103" s="2917"/>
      <c r="H3103" s="2917"/>
      <c r="I3103" s="2917"/>
      <c r="J3103" s="1654" t="str">
        <f t="shared" si="260"/>
        <v>354300_2019_12_</v>
      </c>
      <c r="K3103" s="713"/>
      <c r="L3103" s="910" t="str">
        <f>IF(K3103&gt;0,VLOOKUP(J3103,$J$1664:$L$1791,3,FALSE),"")</f>
        <v/>
      </c>
      <c r="M3103" s="2110" t="str">
        <f>IF(K3103&gt;0,VLOOKUP(J3103,$J$2688:$K$2815,2,FALSE),"")</f>
        <v/>
      </c>
      <c r="N3103" s="1453"/>
      <c r="O3103" s="332"/>
      <c r="P3103" s="1116"/>
      <c r="Q3103" s="1117"/>
      <c r="R3103" s="1116"/>
      <c r="S3103" s="1103"/>
      <c r="T3103" s="1639"/>
      <c r="U3103" s="177"/>
      <c r="V3103" s="2866"/>
      <c r="W3103" s="713"/>
      <c r="X3103" s="716"/>
      <c r="Y3103" s="716"/>
      <c r="Z3103" s="1060"/>
      <c r="AA3103" s="713"/>
      <c r="AB3103" s="1060"/>
      <c r="AC3103" s="1060"/>
      <c r="AD3103" s="1060"/>
      <c r="AE3103" s="1060"/>
      <c r="AF3103" s="1060"/>
      <c r="AG3103" s="1060"/>
      <c r="BB3103" s="784"/>
      <c r="BC3103" s="785"/>
      <c r="BD3103" s="900"/>
      <c r="BE3103" s="797"/>
    </row>
    <row r="3104" spans="1:57" s="65" customFormat="1" ht="15" hidden="1" customHeight="1" outlineLevel="1" x14ac:dyDescent="0.25">
      <c r="A3104" s="718"/>
      <c r="B3104" s="785"/>
      <c r="C3104" s="455"/>
      <c r="D3104" s="2806"/>
      <c r="E3104" s="2856"/>
      <c r="F3104" s="2917" t="str">
        <f>E1556</f>
        <v>ASHP SEER 18 replace ASHP - early replacement MF ER1</v>
      </c>
      <c r="G3104" s="2917"/>
      <c r="H3104" s="2917"/>
      <c r="I3104" s="2917"/>
      <c r="J3104" s="1654" t="str">
        <f>C1556</f>
        <v>354350_2019_12_</v>
      </c>
      <c r="K3104" s="713">
        <f>(($R$1678*L3104)+$R$1669)-(($Q$1678*L3104)/((1+$R$1680)^($R$1681-1)))</f>
        <v>1475.441723875274</v>
      </c>
      <c r="L3104" s="910">
        <f>VLOOKUP(J3104,$J$1664:$L$1791,3,FALSE)*M3104</f>
        <v>2.145</v>
      </c>
      <c r="M3104" s="2110">
        <f>VLOOKUP(J3104,$J$2688:$K$2815,2,FALSE)</f>
        <v>0.65</v>
      </c>
      <c r="N3104" s="1453"/>
      <c r="O3104" s="332"/>
      <c r="P3104" s="1116"/>
      <c r="Q3104" s="1117"/>
      <c r="R3104" s="1116"/>
      <c r="S3104" s="1103"/>
      <c r="T3104" s="1639"/>
      <c r="U3104" s="177"/>
      <c r="V3104" s="2866"/>
      <c r="W3104" s="713">
        <v>6827.3247976250323</v>
      </c>
      <c r="X3104" s="716">
        <f>(X$1748/12000)*$Q$1669*X$2772</f>
        <v>3603.0285716258218</v>
      </c>
      <c r="Y3104" s="716">
        <v>1317.1849952991461</v>
      </c>
      <c r="Z3104" s="1060"/>
      <c r="AA3104" s="713"/>
      <c r="AB3104" s="1060"/>
      <c r="AC3104" s="1060"/>
      <c r="AD3104" s="1060"/>
      <c r="AE3104" s="1060"/>
      <c r="AF3104" s="1060"/>
      <c r="AG3104" s="1060"/>
      <c r="BB3104" s="784"/>
      <c r="BC3104" s="785"/>
      <c r="BD3104" s="900"/>
      <c r="BE3104" s="797"/>
    </row>
    <row r="3105" spans="1:57" s="65" customFormat="1" ht="15" hidden="1" customHeight="1" outlineLevel="1" x14ac:dyDescent="0.25">
      <c r="A3105" s="718"/>
      <c r="B3105" s="785"/>
      <c r="C3105" s="455"/>
      <c r="D3105" s="2806"/>
      <c r="E3105" s="2856"/>
      <c r="F3105" s="2917" t="str">
        <f>E1557</f>
        <v>ASHP SEER 18 replace ASHP - early replacement MF ER1</v>
      </c>
      <c r="G3105" s="2917"/>
      <c r="H3105" s="2917"/>
      <c r="I3105" s="2917"/>
      <c r="J3105" s="1654" t="str">
        <f>C1557</f>
        <v>354350_2019_12_</v>
      </c>
      <c r="K3105" s="713"/>
      <c r="L3105" s="910" t="str">
        <f>IF(K3105&gt;0,VLOOKUP(J3105,$J$1664:$L$1791,3,FALSE),"")</f>
        <v/>
      </c>
      <c r="M3105" s="2110" t="str">
        <f>IF(K3105&gt;0,VLOOKUP(J3105,$J$2688:$K$2815,2,FALSE),"")</f>
        <v/>
      </c>
      <c r="N3105" s="1453"/>
      <c r="O3105" s="332"/>
      <c r="P3105" s="1116"/>
      <c r="Q3105" s="1117"/>
      <c r="R3105" s="1116"/>
      <c r="S3105" s="1103"/>
      <c r="T3105" s="1639"/>
      <c r="U3105" s="177"/>
      <c r="V3105" s="2866"/>
      <c r="W3105" s="713"/>
      <c r="X3105" s="716"/>
      <c r="Y3105" s="716"/>
      <c r="Z3105" s="1060"/>
      <c r="AA3105" s="713"/>
      <c r="AB3105" s="1060"/>
      <c r="AC3105" s="1060"/>
      <c r="AD3105" s="1060"/>
      <c r="AE3105" s="1060"/>
      <c r="AF3105" s="1060"/>
      <c r="AG3105" s="1060"/>
      <c r="BB3105" s="784"/>
      <c r="BC3105" s="785"/>
      <c r="BD3105" s="900"/>
      <c r="BE3105" s="797"/>
    </row>
    <row r="3106" spans="1:57" s="65" customFormat="1" ht="15" hidden="1" customHeight="1" outlineLevel="1" x14ac:dyDescent="0.25">
      <c r="A3106" s="718"/>
      <c r="B3106" s="785"/>
      <c r="C3106" s="455"/>
      <c r="D3106" s="2806"/>
      <c r="E3106" s="2856"/>
      <c r="F3106" s="2917" t="str">
        <f>E1558</f>
        <v>ASHP SEER 18 replace ASHP - early replacement MF ER2</v>
      </c>
      <c r="G3106" s="2917"/>
      <c r="H3106" s="2917"/>
      <c r="I3106" s="2917"/>
      <c r="J3106" s="1654" t="str">
        <f>C1558</f>
        <v>354350_2019_12_</v>
      </c>
      <c r="K3106" s="713"/>
      <c r="L3106" s="910" t="str">
        <f>IF(K3106&gt;0,VLOOKUP(J3106,$J$1664:$L$1791,3,FALSE),"")</f>
        <v/>
      </c>
      <c r="M3106" s="2110" t="str">
        <f>IF(K3106&gt;0,VLOOKUP(J3106,$J$2688:$K$2815,2,FALSE),"")</f>
        <v/>
      </c>
      <c r="N3106" s="1453"/>
      <c r="O3106" s="332"/>
      <c r="P3106" s="1116"/>
      <c r="Q3106" s="1117"/>
      <c r="R3106" s="1116"/>
      <c r="S3106" s="1103"/>
      <c r="T3106" s="1639"/>
      <c r="U3106" s="177"/>
      <c r="V3106" s="2866"/>
      <c r="W3106" s="713"/>
      <c r="X3106" s="716"/>
      <c r="Y3106" s="716"/>
      <c r="Z3106" s="1060"/>
      <c r="AA3106" s="713"/>
      <c r="AB3106" s="1060"/>
      <c r="AC3106" s="1060"/>
      <c r="AD3106" s="1060"/>
      <c r="AE3106" s="1060"/>
      <c r="AF3106" s="1060"/>
      <c r="AG3106" s="1060"/>
      <c r="BB3106" s="784"/>
      <c r="BC3106" s="785"/>
      <c r="BD3106" s="900"/>
      <c r="BE3106" s="797"/>
    </row>
    <row r="3107" spans="1:57" s="65" customFormat="1" ht="15" hidden="1" customHeight="1" outlineLevel="1" x14ac:dyDescent="0.25">
      <c r="A3107" s="718"/>
      <c r="B3107" s="785"/>
      <c r="C3107" s="455"/>
      <c r="D3107" s="2806"/>
      <c r="E3107" s="2856"/>
      <c r="F3107" s="2917" t="str">
        <f>E1559</f>
        <v>ASHP SEER 18 replace ASHP - early replacement MF ER2</v>
      </c>
      <c r="G3107" s="2917"/>
      <c r="H3107" s="2917"/>
      <c r="I3107" s="2917"/>
      <c r="J3107" s="1654" t="str">
        <f>C1559</f>
        <v>354350_2019_12_</v>
      </c>
      <c r="K3107" s="713"/>
      <c r="L3107" s="910" t="str">
        <f>IF(K3107&gt;0,VLOOKUP(J3107,$J$1664:$L$1791,3,FALSE),"")</f>
        <v/>
      </c>
      <c r="M3107" s="2110" t="str">
        <f>IF(K3107&gt;0,VLOOKUP(J3107,$J$2688:$K$2815,2,FALSE),"")</f>
        <v/>
      </c>
      <c r="N3107" s="1453"/>
      <c r="O3107" s="332"/>
      <c r="P3107" s="1116"/>
      <c r="Q3107" s="1117"/>
      <c r="R3107" s="1116"/>
      <c r="S3107" s="1103"/>
      <c r="T3107" s="1639"/>
      <c r="U3107" s="177"/>
      <c r="V3107" s="2866"/>
      <c r="W3107" s="713"/>
      <c r="X3107" s="716"/>
      <c r="Y3107" s="716"/>
      <c r="Z3107" s="1060"/>
      <c r="AA3107" s="713"/>
      <c r="AB3107" s="1060"/>
      <c r="AC3107" s="1060"/>
      <c r="AD3107" s="1060"/>
      <c r="AE3107" s="1060"/>
      <c r="AF3107" s="1060"/>
      <c r="AG3107" s="1060"/>
      <c r="BB3107" s="784"/>
      <c r="BC3107" s="785"/>
      <c r="BD3107" s="900"/>
      <c r="BE3107" s="797"/>
    </row>
    <row r="3108" spans="1:57" s="65" customFormat="1" ht="15" hidden="1" customHeight="1" outlineLevel="1" x14ac:dyDescent="0.25">
      <c r="A3108" s="718"/>
      <c r="B3108" s="785"/>
      <c r="C3108" s="455"/>
      <c r="D3108" s="2806"/>
      <c r="E3108" s="2856"/>
      <c r="F3108" s="2917" t="str">
        <f t="shared" ref="F3108:F3115" si="261">E1564</f>
        <v>ASHP - SEER 19 - replace electric furnace / CAC - early replacement SF ER1</v>
      </c>
      <c r="G3108" s="2917"/>
      <c r="H3108" s="2917"/>
      <c r="I3108" s="2917"/>
      <c r="J3108" s="1654" t="str">
        <f t="shared" ref="J3108:J3115" si="262">C1564</f>
        <v>354400_2019_12_</v>
      </c>
      <c r="K3108" s="713">
        <f>(($R$1678*L3108)+$R$1670)-(($Q$1678*L3108)/((1+$R$1680)^($R$1681-1)))</f>
        <v>1944.3573864864111</v>
      </c>
      <c r="L3108" s="910">
        <f>VLOOKUP(J3108,$J$1664:$L$1791,3,FALSE)*M3108</f>
        <v>3.1</v>
      </c>
      <c r="M3108" s="2110">
        <f>VLOOKUP(J3108,$J$2688:$K$2815,2,FALSE)</f>
        <v>1</v>
      </c>
      <c r="N3108" s="1453"/>
      <c r="O3108" s="332"/>
      <c r="P3108" s="1116"/>
      <c r="Q3108" s="1117"/>
      <c r="R3108" s="1116"/>
      <c r="S3108" s="1103"/>
      <c r="T3108" s="1639"/>
      <c r="U3108" s="177"/>
      <c r="V3108" s="2866"/>
      <c r="W3108" s="713">
        <v>4620.6282279230445</v>
      </c>
      <c r="X3108" s="716">
        <f>(X$1752/12000)*$Q$1670*X$2776</f>
        <v>5953.4371594592312</v>
      </c>
      <c r="Y3108" s="716">
        <v>1686.0327049389366</v>
      </c>
      <c r="Z3108" s="1060"/>
      <c r="AA3108" s="713"/>
      <c r="AB3108" s="1060"/>
      <c r="AC3108" s="1060"/>
      <c r="AD3108" s="1060"/>
      <c r="AE3108" s="1060"/>
      <c r="AF3108" s="1060"/>
      <c r="AG3108" s="1060"/>
      <c r="BB3108" s="784"/>
      <c r="BC3108" s="785"/>
      <c r="BD3108" s="900"/>
      <c r="BE3108" s="797"/>
    </row>
    <row r="3109" spans="1:57" s="65" customFormat="1" ht="15" hidden="1" customHeight="1" outlineLevel="1" x14ac:dyDescent="0.25">
      <c r="A3109" s="785"/>
      <c r="B3109" s="785"/>
      <c r="C3109" s="455"/>
      <c r="D3109" s="2806"/>
      <c r="E3109" s="2856"/>
      <c r="F3109" s="2917" t="str">
        <f t="shared" si="261"/>
        <v>ASHP - SEER 19 - replace electric furnace / CAC - early replacement SF ER1</v>
      </c>
      <c r="G3109" s="2917"/>
      <c r="H3109" s="2917"/>
      <c r="I3109" s="2917"/>
      <c r="J3109" s="1654" t="str">
        <f t="shared" si="262"/>
        <v>354400_2019_12_</v>
      </c>
      <c r="K3109" s="713"/>
      <c r="L3109" s="910" t="str">
        <f>IF(K3109&gt;0,VLOOKUP(J3109,$J$1664:$L$1791,3,FALSE),"")</f>
        <v/>
      </c>
      <c r="M3109" s="2110" t="str">
        <f>IF(K3109&gt;0,VLOOKUP(J3109,$J$2688:$K$2815,2,FALSE),"")</f>
        <v/>
      </c>
      <c r="N3109" s="1453"/>
      <c r="O3109" s="332"/>
      <c r="P3109" s="1116"/>
      <c r="Q3109" s="332"/>
      <c r="R3109" s="332"/>
      <c r="S3109" s="177"/>
      <c r="T3109" s="177"/>
      <c r="U3109" s="177"/>
      <c r="V3109" s="2866"/>
      <c r="W3109" s="713"/>
      <c r="X3109" s="716"/>
      <c r="Y3109" s="716"/>
      <c r="Z3109" s="1060"/>
      <c r="AA3109" s="713"/>
      <c r="AB3109" s="1060"/>
      <c r="AC3109" s="1060"/>
      <c r="AD3109" s="1060"/>
      <c r="AE3109" s="1060"/>
      <c r="AF3109" s="1060"/>
      <c r="AG3109" s="1060"/>
      <c r="BB3109" s="784"/>
      <c r="BC3109" s="785"/>
      <c r="BD3109" s="900"/>
      <c r="BE3109" s="797"/>
    </row>
    <row r="3110" spans="1:57" s="65" customFormat="1" ht="15" hidden="1" customHeight="1" outlineLevel="1" x14ac:dyDescent="0.25">
      <c r="A3110" s="718"/>
      <c r="B3110" s="785"/>
      <c r="C3110" s="455"/>
      <c r="D3110" s="2806"/>
      <c r="E3110" s="2856"/>
      <c r="F3110" s="2917" t="str">
        <f t="shared" si="261"/>
        <v>ASHP - SEER 19 - replace electric furnace / CAC - early replacement SF ER2</v>
      </c>
      <c r="G3110" s="2917"/>
      <c r="H3110" s="2917"/>
      <c r="I3110" s="2917"/>
      <c r="J3110" s="1654" t="str">
        <f t="shared" si="262"/>
        <v>354400_2019_12_</v>
      </c>
      <c r="K3110" s="713"/>
      <c r="L3110" s="910" t="str">
        <f>IF(K3110&gt;0,VLOOKUP(J3110,$J$1664:$L$1791,3,FALSE),"")</f>
        <v/>
      </c>
      <c r="M3110" s="2110" t="str">
        <f>IF(K3110&gt;0,VLOOKUP(J3110,$J$2688:$K$2815,2,FALSE),"")</f>
        <v/>
      </c>
      <c r="N3110" s="1453"/>
      <c r="O3110" s="332"/>
      <c r="P3110" s="1116"/>
      <c r="Q3110" s="1117"/>
      <c r="R3110" s="1116"/>
      <c r="S3110" s="1103"/>
      <c r="T3110" s="1639"/>
      <c r="U3110" s="177"/>
      <c r="V3110" s="2866"/>
      <c r="W3110" s="713"/>
      <c r="X3110" s="716"/>
      <c r="Y3110" s="716"/>
      <c r="Z3110" s="1060"/>
      <c r="AA3110" s="713"/>
      <c r="AB3110" s="1060"/>
      <c r="AC3110" s="1060"/>
      <c r="AD3110" s="1060"/>
      <c r="AE3110" s="1060"/>
      <c r="AF3110" s="1060"/>
      <c r="AG3110" s="1060"/>
      <c r="BB3110" s="784"/>
      <c r="BC3110" s="785"/>
      <c r="BD3110" s="900"/>
      <c r="BE3110" s="797"/>
    </row>
    <row r="3111" spans="1:57" s="65" customFormat="1" ht="15" hidden="1" customHeight="1" outlineLevel="1" x14ac:dyDescent="0.25">
      <c r="A3111" s="785"/>
      <c r="B3111" s="785"/>
      <c r="C3111" s="455"/>
      <c r="D3111" s="2806"/>
      <c r="E3111" s="2856"/>
      <c r="F3111" s="2917" t="str">
        <f t="shared" si="261"/>
        <v>ASHP - SEER 19 - replace electric furnace / CAC - early replacement SF ER2</v>
      </c>
      <c r="G3111" s="2917"/>
      <c r="H3111" s="2917"/>
      <c r="I3111" s="2917"/>
      <c r="J3111" s="1654" t="str">
        <f t="shared" si="262"/>
        <v>354400_2019_12_</v>
      </c>
      <c r="K3111" s="713"/>
      <c r="L3111" s="910" t="str">
        <f>IF(K3111&gt;0,VLOOKUP(J3111,$J$1664:$L$1791,3,FALSE),"")</f>
        <v/>
      </c>
      <c r="M3111" s="2110" t="str">
        <f>IF(K3111&gt;0,VLOOKUP(J3111,$J$2688:$K$2815,2,FALSE),"")</f>
        <v/>
      </c>
      <c r="N3111" s="1453"/>
      <c r="O3111" s="332"/>
      <c r="P3111" s="1116"/>
      <c r="Q3111" s="332"/>
      <c r="R3111" s="332"/>
      <c r="S3111" s="177"/>
      <c r="T3111" s="177"/>
      <c r="U3111" s="177"/>
      <c r="V3111" s="2866"/>
      <c r="W3111" s="713"/>
      <c r="X3111" s="716"/>
      <c r="Y3111" s="716"/>
      <c r="Z3111" s="1060"/>
      <c r="AA3111" s="713"/>
      <c r="AB3111" s="1060"/>
      <c r="AC3111" s="1060"/>
      <c r="AD3111" s="1060"/>
      <c r="AE3111" s="1060"/>
      <c r="AF3111" s="1060"/>
      <c r="AG3111" s="1060"/>
      <c r="BB3111" s="784"/>
      <c r="BC3111" s="785"/>
      <c r="BD3111" s="900"/>
      <c r="BE3111" s="797"/>
    </row>
    <row r="3112" spans="1:57" s="65" customFormat="1" ht="15" hidden="1" customHeight="1" outlineLevel="1" x14ac:dyDescent="0.25">
      <c r="A3112" s="718"/>
      <c r="B3112" s="785"/>
      <c r="C3112" s="455"/>
      <c r="D3112" s="2806"/>
      <c r="E3112" s="2856"/>
      <c r="F3112" s="2917" t="str">
        <f t="shared" si="261"/>
        <v>ASHP - SEER 19 - replace electric furnace / CAC - early replacement MF ER1</v>
      </c>
      <c r="G3112" s="2917"/>
      <c r="H3112" s="2917"/>
      <c r="I3112" s="2917"/>
      <c r="J3112" s="1654" t="str">
        <f t="shared" si="262"/>
        <v>354450_2019_12_</v>
      </c>
      <c r="K3112" s="713">
        <f>(($R$1678*L3112)+$R$1670)-(($Q$1678*L3112)/((1+$R$1680)^($R$1681-1)))</f>
        <v>1685.1098012161674</v>
      </c>
      <c r="L3112" s="910">
        <f>VLOOKUP(J3112,$J$1664:$L$1791,3,FALSE)*M3112</f>
        <v>2.0150000000000001</v>
      </c>
      <c r="M3112" s="2110">
        <f>VLOOKUP(J3112,$J$2688:$K$2815,2,FALSE)</f>
        <v>0.65</v>
      </c>
      <c r="N3112" s="1453"/>
      <c r="O3112" s="332"/>
      <c r="P3112" s="1116"/>
      <c r="Q3112" s="1117"/>
      <c r="R3112" s="1116"/>
      <c r="S3112" s="1103"/>
      <c r="T3112" s="1639"/>
      <c r="U3112" s="177"/>
      <c r="V3112" s="2866"/>
      <c r="W3112" s="713">
        <v>4620.6282279230445</v>
      </c>
      <c r="X3112" s="716">
        <f>(X$1754/12000)*$Q$1670*X$2778</f>
        <v>3869.7341536485005</v>
      </c>
      <c r="Y3112" s="716">
        <v>1380.5879248769756</v>
      </c>
      <c r="Z3112" s="1060"/>
      <c r="AA3112" s="713"/>
      <c r="AB3112" s="1060"/>
      <c r="AC3112" s="1060"/>
      <c r="AD3112" s="1060"/>
      <c r="AE3112" s="1060"/>
      <c r="AF3112" s="1060"/>
      <c r="AG3112" s="1060"/>
      <c r="BB3112" s="784"/>
      <c r="BC3112" s="785"/>
      <c r="BD3112" s="900"/>
      <c r="BE3112" s="797"/>
    </row>
    <row r="3113" spans="1:57" s="65" customFormat="1" ht="15" hidden="1" customHeight="1" outlineLevel="1" x14ac:dyDescent="0.25">
      <c r="A3113" s="785"/>
      <c r="B3113" s="785"/>
      <c r="C3113" s="455"/>
      <c r="D3113" s="2806"/>
      <c r="E3113" s="2856"/>
      <c r="F3113" s="2917" t="str">
        <f t="shared" si="261"/>
        <v>ASHP - SEER 19 - replace electric furnace / CAC - early replacement MF ER1</v>
      </c>
      <c r="G3113" s="2917"/>
      <c r="H3113" s="2917"/>
      <c r="I3113" s="2917"/>
      <c r="J3113" s="1654" t="str">
        <f t="shared" si="262"/>
        <v>354450_2019_12_</v>
      </c>
      <c r="K3113" s="713"/>
      <c r="L3113" s="910" t="str">
        <f>IF(K3113&gt;0,VLOOKUP(J3113,$J$1664:$L$1791,3,FALSE),"")</f>
        <v/>
      </c>
      <c r="M3113" s="2110" t="str">
        <f>IF(K3113&gt;0,VLOOKUP(J3113,$J$2688:$K$2815,2,FALSE),"")</f>
        <v/>
      </c>
      <c r="N3113" s="1453"/>
      <c r="O3113" s="332"/>
      <c r="P3113" s="1116"/>
      <c r="Q3113" s="332"/>
      <c r="R3113" s="332"/>
      <c r="S3113" s="177"/>
      <c r="T3113" s="177"/>
      <c r="U3113" s="177"/>
      <c r="V3113" s="2866"/>
      <c r="W3113" s="713"/>
      <c r="X3113" s="716"/>
      <c r="Y3113" s="716"/>
      <c r="Z3113" s="1060"/>
      <c r="AA3113" s="713"/>
      <c r="AB3113" s="1060"/>
      <c r="AC3113" s="1060"/>
      <c r="AD3113" s="1060"/>
      <c r="AE3113" s="1060"/>
      <c r="AF3113" s="1060"/>
      <c r="AG3113" s="1060"/>
      <c r="BB3113" s="784"/>
      <c r="BC3113" s="785"/>
      <c r="BD3113" s="900"/>
      <c r="BE3113" s="797"/>
    </row>
    <row r="3114" spans="1:57" s="65" customFormat="1" ht="15" hidden="1" customHeight="1" outlineLevel="1" x14ac:dyDescent="0.25">
      <c r="A3114" s="785"/>
      <c r="B3114" s="785"/>
      <c r="C3114" s="455"/>
      <c r="D3114" s="2806"/>
      <c r="E3114" s="2856"/>
      <c r="F3114" s="2917" t="str">
        <f t="shared" si="261"/>
        <v>ASHP - SEER 19 - replace electric furnace / CAC - early replacement MF ER2</v>
      </c>
      <c r="G3114" s="2917"/>
      <c r="H3114" s="2917"/>
      <c r="I3114" s="2917"/>
      <c r="J3114" s="1654" t="str">
        <f t="shared" si="262"/>
        <v>354450_2019_12_</v>
      </c>
      <c r="K3114" s="713"/>
      <c r="L3114" s="910" t="str">
        <f>IF(K3114&gt;0,VLOOKUP(J3114,$J$1664:$L$1791,3,FALSE),"")</f>
        <v/>
      </c>
      <c r="M3114" s="2110" t="str">
        <f>IF(K3114&gt;0,VLOOKUP(J3114,$J$2688:$K$2815,2,FALSE),"")</f>
        <v/>
      </c>
      <c r="N3114" s="1453"/>
      <c r="O3114" s="332"/>
      <c r="P3114" s="1116"/>
      <c r="Q3114" s="332"/>
      <c r="R3114" s="332"/>
      <c r="S3114" s="177"/>
      <c r="T3114" s="177"/>
      <c r="U3114" s="177"/>
      <c r="V3114" s="2866"/>
      <c r="W3114" s="713"/>
      <c r="X3114" s="716"/>
      <c r="Y3114" s="716"/>
      <c r="Z3114" s="1060"/>
      <c r="AA3114" s="713"/>
      <c r="AB3114" s="1060"/>
      <c r="AC3114" s="1060"/>
      <c r="AD3114" s="1060"/>
      <c r="AE3114" s="1060"/>
      <c r="AF3114" s="1060"/>
      <c r="AG3114" s="1060"/>
      <c r="BB3114" s="784"/>
      <c r="BC3114" s="785"/>
      <c r="BD3114" s="900"/>
      <c r="BE3114" s="797"/>
    </row>
    <row r="3115" spans="1:57" s="65" customFormat="1" ht="15" hidden="1" customHeight="1" outlineLevel="1" x14ac:dyDescent="0.25">
      <c r="A3115" s="718"/>
      <c r="B3115" s="785"/>
      <c r="C3115" s="455"/>
      <c r="D3115" s="2806"/>
      <c r="E3115" s="2856"/>
      <c r="F3115" s="2917" t="str">
        <f t="shared" si="261"/>
        <v>ASHP - SEER 19 - replace electric furnace / CAC - early replacement MF ER2</v>
      </c>
      <c r="G3115" s="2917"/>
      <c r="H3115" s="2917"/>
      <c r="I3115" s="2917"/>
      <c r="J3115" s="1654" t="str">
        <f t="shared" si="262"/>
        <v>354450_2019_12_</v>
      </c>
      <c r="K3115" s="713"/>
      <c r="L3115" s="910" t="str">
        <f>IF(K3115&gt;0,VLOOKUP(J3115,$J$1664:$L$1791,3,FALSE),"")</f>
        <v/>
      </c>
      <c r="M3115" s="2110" t="str">
        <f>IF(K3115&gt;0,VLOOKUP(J3115,$J$2688:$K$2815,2,FALSE),"")</f>
        <v/>
      </c>
      <c r="N3115" s="1453"/>
      <c r="O3115" s="332"/>
      <c r="P3115" s="1116"/>
      <c r="Q3115" s="1117"/>
      <c r="R3115" s="1116"/>
      <c r="S3115" s="1103"/>
      <c r="T3115" s="1639"/>
      <c r="U3115" s="177"/>
      <c r="V3115" s="2866"/>
      <c r="W3115" s="713"/>
      <c r="X3115" s="716"/>
      <c r="Y3115" s="716"/>
      <c r="Z3115" s="1060"/>
      <c r="AA3115" s="713"/>
      <c r="AB3115" s="1060"/>
      <c r="AC3115" s="1060"/>
      <c r="AD3115" s="1060"/>
      <c r="AE3115" s="1060"/>
      <c r="AF3115" s="1060"/>
      <c r="AG3115" s="1060"/>
      <c r="BB3115" s="784"/>
      <c r="BC3115" s="785"/>
      <c r="BD3115" s="900"/>
      <c r="BE3115" s="797"/>
    </row>
    <row r="3116" spans="1:57" s="65" customFormat="1" ht="15" hidden="1" customHeight="1" outlineLevel="1" x14ac:dyDescent="0.25">
      <c r="A3116" s="718"/>
      <c r="B3116" s="785"/>
      <c r="C3116" s="455"/>
      <c r="D3116" s="2806"/>
      <c r="E3116" s="2856"/>
      <c r="F3116" s="2917" t="str">
        <f>E1576</f>
        <v>ASHP SEER 19 replace ASHP - early replacement MF ER1</v>
      </c>
      <c r="G3116" s="2917"/>
      <c r="H3116" s="2917"/>
      <c r="I3116" s="2917"/>
      <c r="J3116" s="1654" t="str">
        <f>C1576</f>
        <v>354500_2019_12_</v>
      </c>
      <c r="K3116" s="713">
        <f>(($R$1678*L3116)+$R$1670)-(($Q$1678*L3116)/((1+$R$1680)^($R$1681-1)))</f>
        <v>1716.1717238752744</v>
      </c>
      <c r="L3116" s="910">
        <f>VLOOKUP(J3116,$J$1664:$L$1791,3,FALSE)*M3116</f>
        <v>2.145</v>
      </c>
      <c r="M3116" s="2110">
        <f>VLOOKUP(J3116,$J$2688:$K$2815,2,FALSE)</f>
        <v>0.65</v>
      </c>
      <c r="N3116" s="1453"/>
      <c r="O3116" s="332"/>
      <c r="P3116" s="1116"/>
      <c r="Q3116" s="1117"/>
      <c r="R3116" s="1116"/>
      <c r="S3116" s="1103"/>
      <c r="T3116" s="1639"/>
      <c r="U3116" s="177"/>
      <c r="V3116" s="2866"/>
      <c r="W3116" s="713">
        <v>7371.3247976250323</v>
      </c>
      <c r="X3116" s="716">
        <f>(X$1758/12000)*$Q$1670*X$2782</f>
        <v>4119.3944216258233</v>
      </c>
      <c r="Y3116" s="716">
        <v>1417.1849952991461</v>
      </c>
      <c r="Z3116" s="1060"/>
      <c r="AA3116" s="713"/>
      <c r="AB3116" s="1060"/>
      <c r="AC3116" s="1060"/>
      <c r="AD3116" s="1060"/>
      <c r="AE3116" s="1060"/>
      <c r="AF3116" s="1060"/>
      <c r="AG3116" s="1060"/>
      <c r="BB3116" s="784"/>
      <c r="BC3116" s="785"/>
      <c r="BD3116" s="900"/>
      <c r="BE3116" s="797"/>
    </row>
    <row r="3117" spans="1:57" s="65" customFormat="1" ht="15" hidden="1" customHeight="1" outlineLevel="1" x14ac:dyDescent="0.25">
      <c r="A3117" s="785"/>
      <c r="B3117" s="785"/>
      <c r="C3117" s="455"/>
      <c r="D3117" s="2806"/>
      <c r="E3117" s="2856"/>
      <c r="F3117" s="2917" t="str">
        <f>E1577</f>
        <v>ASHP SEER 19 replace ASHP - early replacement MF ER1</v>
      </c>
      <c r="G3117" s="2917"/>
      <c r="H3117" s="2917"/>
      <c r="I3117" s="2917"/>
      <c r="J3117" s="1654" t="str">
        <f>C1577</f>
        <v>354500_2019_12_</v>
      </c>
      <c r="K3117" s="713"/>
      <c r="L3117" s="910" t="str">
        <f>IF(K3117&gt;0,VLOOKUP(J3117,$J$1664:$L$1791,3,FALSE),"")</f>
        <v/>
      </c>
      <c r="M3117" s="2110" t="str">
        <f>IF(K3117&gt;0,VLOOKUP(J3117,$J$2688:$K$2815,2,FALSE),"")</f>
        <v/>
      </c>
      <c r="N3117" s="1453"/>
      <c r="O3117" s="332"/>
      <c r="P3117" s="1116"/>
      <c r="Q3117" s="332"/>
      <c r="R3117" s="332"/>
      <c r="S3117" s="177"/>
      <c r="T3117" s="177"/>
      <c r="U3117" s="177"/>
      <c r="V3117" s="2866"/>
      <c r="W3117" s="713"/>
      <c r="X3117" s="716"/>
      <c r="Y3117" s="716"/>
      <c r="Z3117" s="1060"/>
      <c r="AA3117" s="713"/>
      <c r="AB3117" s="1060"/>
      <c r="AC3117" s="1060"/>
      <c r="AD3117" s="1060"/>
      <c r="AE3117" s="1060"/>
      <c r="AF3117" s="1060"/>
      <c r="AG3117" s="1060"/>
      <c r="BB3117" s="784"/>
      <c r="BC3117" s="785"/>
      <c r="BD3117" s="900"/>
      <c r="BE3117" s="797"/>
    </row>
    <row r="3118" spans="1:57" s="65" customFormat="1" ht="15" hidden="1" customHeight="1" outlineLevel="1" x14ac:dyDescent="0.25">
      <c r="A3118" s="785"/>
      <c r="B3118" s="785"/>
      <c r="C3118" s="455"/>
      <c r="D3118" s="2806"/>
      <c r="E3118" s="2856"/>
      <c r="F3118" s="2917" t="str">
        <f>E1578</f>
        <v>ASHP SEER 19 replace ASHP - early replacement MF ER2</v>
      </c>
      <c r="G3118" s="2917"/>
      <c r="H3118" s="2917"/>
      <c r="I3118" s="2917"/>
      <c r="J3118" s="1654" t="str">
        <f>C1578</f>
        <v>354500_2019_12_</v>
      </c>
      <c r="K3118" s="713"/>
      <c r="L3118" s="910" t="str">
        <f>IF(K3118&gt;0,VLOOKUP(J3118,$J$1664:$L$1791,3,FALSE),"")</f>
        <v/>
      </c>
      <c r="M3118" s="2110" t="str">
        <f>IF(K3118&gt;0,VLOOKUP(J3118,$J$2688:$K$2815,2,FALSE),"")</f>
        <v/>
      </c>
      <c r="N3118" s="1453"/>
      <c r="O3118" s="332"/>
      <c r="P3118" s="1116"/>
      <c r="Q3118" s="332"/>
      <c r="R3118" s="332"/>
      <c r="S3118" s="177"/>
      <c r="T3118" s="177"/>
      <c r="U3118" s="177"/>
      <c r="V3118" s="2866"/>
      <c r="W3118" s="713"/>
      <c r="X3118" s="716"/>
      <c r="Y3118" s="716"/>
      <c r="Z3118" s="1060"/>
      <c r="AA3118" s="713"/>
      <c r="AB3118" s="1060"/>
      <c r="AC3118" s="1060"/>
      <c r="AD3118" s="1060"/>
      <c r="AE3118" s="1060"/>
      <c r="AF3118" s="1060"/>
      <c r="AG3118" s="1060"/>
      <c r="BB3118" s="784"/>
      <c r="BC3118" s="785"/>
      <c r="BD3118" s="900"/>
      <c r="BE3118" s="797"/>
    </row>
    <row r="3119" spans="1:57" s="65" customFormat="1" ht="15" hidden="1" customHeight="1" outlineLevel="1" x14ac:dyDescent="0.25">
      <c r="A3119" s="718"/>
      <c r="B3119" s="785"/>
      <c r="C3119" s="455"/>
      <c r="D3119" s="2806"/>
      <c r="E3119" s="2856"/>
      <c r="F3119" s="2917" t="str">
        <f>E1579</f>
        <v>ASHP SEER 19 replace ASHP - early replacement MF ER2</v>
      </c>
      <c r="G3119" s="2917"/>
      <c r="H3119" s="2917"/>
      <c r="I3119" s="2917"/>
      <c r="J3119" s="1654" t="str">
        <f>C1579</f>
        <v>354500_2019_12_</v>
      </c>
      <c r="K3119" s="713"/>
      <c r="L3119" s="910" t="str">
        <f>IF(K3119&gt;0,VLOOKUP(J3119,$J$1664:$L$1791,3,FALSE),"")</f>
        <v/>
      </c>
      <c r="M3119" s="2110" t="str">
        <f>IF(K3119&gt;0,VLOOKUP(J3119,$J$2688:$K$2815,2,FALSE),"")</f>
        <v/>
      </c>
      <c r="N3119" s="1453"/>
      <c r="O3119" s="332"/>
      <c r="P3119" s="1116"/>
      <c r="Q3119" s="1117"/>
      <c r="R3119" s="1116"/>
      <c r="S3119" s="1103"/>
      <c r="T3119" s="1639"/>
      <c r="U3119" s="177"/>
      <c r="V3119" s="2866"/>
      <c r="W3119" s="713"/>
      <c r="X3119" s="716"/>
      <c r="Y3119" s="716"/>
      <c r="Z3119" s="1060"/>
      <c r="AA3119" s="713"/>
      <c r="AB3119" s="1060"/>
      <c r="AC3119" s="1060"/>
      <c r="AD3119" s="1060"/>
      <c r="AE3119" s="1060"/>
      <c r="AF3119" s="1060"/>
      <c r="AG3119" s="1060"/>
      <c r="BB3119" s="784"/>
      <c r="BC3119" s="785"/>
      <c r="BD3119" s="900"/>
      <c r="BE3119" s="797"/>
    </row>
    <row r="3120" spans="1:57" s="65" customFormat="1" ht="15" hidden="1" customHeight="1" outlineLevel="1" x14ac:dyDescent="0.25">
      <c r="A3120" s="718"/>
      <c r="B3120" s="785"/>
      <c r="C3120" s="455"/>
      <c r="D3120" s="2806"/>
      <c r="E3120" s="2856"/>
      <c r="F3120" s="2917" t="str">
        <f t="shared" ref="F3120:F3129" si="263">E1584</f>
        <v>ASHP SEER 20 replace ASHP - early replacement SF ER1</v>
      </c>
      <c r="G3120" s="2917"/>
      <c r="H3120" s="2917"/>
      <c r="I3120" s="2917"/>
      <c r="J3120" s="1654" t="str">
        <f t="shared" ref="J3120:J3129" si="264">C1584</f>
        <v>354550_2019_12_</v>
      </c>
      <c r="K3120" s="713">
        <f>(($R$1678*L3120)+$R$1671)-(($Q$1678*L3120)/((1+$R$1680)^($R$1681-1)))</f>
        <v>2232.8749598081135</v>
      </c>
      <c r="L3120" s="910">
        <f>VLOOKUP(J3120,$J$1664:$L$1791,3,FALSE)*M3120</f>
        <v>3.3</v>
      </c>
      <c r="M3120" s="2110">
        <f>VLOOKUP(J3120,$J$2688:$K$2815,2,FALSE)</f>
        <v>1</v>
      </c>
      <c r="N3120" s="1453"/>
      <c r="O3120" s="332"/>
      <c r="P3120" s="1116"/>
      <c r="Q3120" s="1117"/>
      <c r="R3120" s="1116"/>
      <c r="S3120" s="1103"/>
      <c r="T3120" s="1639"/>
      <c r="U3120" s="177"/>
      <c r="V3120" s="2866"/>
      <c r="W3120" s="713">
        <v>13953.854780733807</v>
      </c>
      <c r="X3120" s="716">
        <f>(X$1762/12000)*$Q$1671*X$2786</f>
        <v>7131.9388794243387</v>
      </c>
      <c r="Y3120" s="716">
        <v>2089.0025568704818</v>
      </c>
      <c r="Z3120" s="1060"/>
      <c r="AA3120" s="713"/>
      <c r="AB3120" s="1060"/>
      <c r="AC3120" s="1060"/>
      <c r="AD3120" s="1060"/>
      <c r="AE3120" s="1060"/>
      <c r="AF3120" s="1060"/>
      <c r="AG3120" s="1060"/>
      <c r="BB3120" s="784"/>
      <c r="BC3120" s="785"/>
      <c r="BD3120" s="900"/>
      <c r="BE3120" s="797"/>
    </row>
    <row r="3121" spans="1:57" s="65" customFormat="1" ht="15" hidden="1" customHeight="1" outlineLevel="1" x14ac:dyDescent="0.25">
      <c r="A3121" s="718"/>
      <c r="B3121" s="785"/>
      <c r="C3121" s="455"/>
      <c r="D3121" s="2806"/>
      <c r="E3121" s="2856"/>
      <c r="F3121" s="2917" t="str">
        <f t="shared" si="263"/>
        <v>ASHP SEER 20 replace ASHP - early replacement SF ER1</v>
      </c>
      <c r="G3121" s="2917"/>
      <c r="H3121" s="2917"/>
      <c r="I3121" s="2917"/>
      <c r="J3121" s="1654" t="str">
        <f t="shared" si="264"/>
        <v>354550_2019_12_</v>
      </c>
      <c r="K3121" s="713"/>
      <c r="L3121" s="910" t="str">
        <f>IF(K3121&gt;0,VLOOKUP(J3121,$J$1664:$L$1791,3,FALSE),"")</f>
        <v/>
      </c>
      <c r="M3121" s="2110" t="str">
        <f>IF(K3121&gt;0,VLOOKUP(J3121,$J$2688:$K$2815,2,FALSE),"")</f>
        <v/>
      </c>
      <c r="N3121" s="1453"/>
      <c r="O3121" s="332"/>
      <c r="P3121" s="1116"/>
      <c r="Q3121" s="1117"/>
      <c r="R3121" s="1116"/>
      <c r="S3121" s="1103"/>
      <c r="T3121" s="1639"/>
      <c r="U3121" s="177"/>
      <c r="V3121" s="2866"/>
      <c r="W3121" s="713"/>
      <c r="X3121" s="716"/>
      <c r="Y3121" s="716"/>
      <c r="Z3121" s="1060"/>
      <c r="AA3121" s="713"/>
      <c r="AB3121" s="1060"/>
      <c r="AC3121" s="1060"/>
      <c r="AD3121" s="1060"/>
      <c r="AE3121" s="1060"/>
      <c r="AF3121" s="1060"/>
      <c r="AG3121" s="1060"/>
      <c r="BB3121" s="784"/>
      <c r="BC3121" s="785"/>
      <c r="BD3121" s="900"/>
      <c r="BE3121" s="797"/>
    </row>
    <row r="3122" spans="1:57" s="65" customFormat="1" ht="15" hidden="1" customHeight="1" outlineLevel="1" x14ac:dyDescent="0.25">
      <c r="A3122" s="718"/>
      <c r="B3122" s="785"/>
      <c r="C3122" s="455"/>
      <c r="D3122" s="2806"/>
      <c r="E3122" s="2856"/>
      <c r="F3122" s="2917" t="str">
        <f t="shared" si="263"/>
        <v>ASHP SEER 20 replace ASHP - early replacement SF ER2</v>
      </c>
      <c r="G3122" s="2917"/>
      <c r="H3122" s="2917"/>
      <c r="I3122" s="2917"/>
      <c r="J3122" s="1654" t="str">
        <f t="shared" si="264"/>
        <v>354550_2019_12_</v>
      </c>
      <c r="K3122" s="713"/>
      <c r="L3122" s="910" t="str">
        <f>IF(K3122&gt;0,VLOOKUP(J3122,$J$1664:$L$1791,3,FALSE),"")</f>
        <v/>
      </c>
      <c r="M3122" s="2110" t="str">
        <f>IF(K3122&gt;0,VLOOKUP(J3122,$J$2688:$K$2815,2,FALSE),"")</f>
        <v/>
      </c>
      <c r="N3122" s="1453"/>
      <c r="O3122" s="332"/>
      <c r="P3122" s="1116"/>
      <c r="Q3122" s="1117"/>
      <c r="R3122" s="1116"/>
      <c r="S3122" s="1103"/>
      <c r="T3122" s="1639"/>
      <c r="U3122" s="177"/>
      <c r="V3122" s="2866"/>
      <c r="W3122" s="713"/>
      <c r="X3122" s="716"/>
      <c r="Y3122" s="716"/>
      <c r="Z3122" s="1060"/>
      <c r="AA3122" s="713"/>
      <c r="AB3122" s="1060"/>
      <c r="AC3122" s="1060"/>
      <c r="AD3122" s="1060"/>
      <c r="AE3122" s="1060"/>
      <c r="AF3122" s="1060"/>
      <c r="AG3122" s="1060"/>
      <c r="BB3122" s="784"/>
      <c r="BC3122" s="785"/>
      <c r="BD3122" s="900"/>
      <c r="BE3122" s="797"/>
    </row>
    <row r="3123" spans="1:57" s="65" customFormat="1" ht="15" hidden="1" customHeight="1" outlineLevel="1" x14ac:dyDescent="0.25">
      <c r="A3123" s="718"/>
      <c r="B3123" s="785"/>
      <c r="C3123" s="455"/>
      <c r="D3123" s="2806"/>
      <c r="E3123" s="2856"/>
      <c r="F3123" s="2917" t="str">
        <f t="shared" si="263"/>
        <v>ASHP SEER 20 replace ASHP - early replacement SF ER2</v>
      </c>
      <c r="G3123" s="2917"/>
      <c r="H3123" s="2917"/>
      <c r="I3123" s="2917"/>
      <c r="J3123" s="1654" t="str">
        <f t="shared" si="264"/>
        <v>354550_2019_12_</v>
      </c>
      <c r="K3123" s="713"/>
      <c r="L3123" s="910" t="str">
        <f>IF(K3123&gt;0,VLOOKUP(J3123,$J$1664:$L$1791,3,FALSE),"")</f>
        <v/>
      </c>
      <c r="M3123" s="2110" t="str">
        <f>IF(K3123&gt;0,VLOOKUP(J3123,$J$2688:$K$2815,2,FALSE),"")</f>
        <v/>
      </c>
      <c r="N3123" s="1453"/>
      <c r="O3123" s="332"/>
      <c r="P3123" s="1116"/>
      <c r="Q3123" s="1117"/>
      <c r="R3123" s="1116"/>
      <c r="S3123" s="1103"/>
      <c r="T3123" s="1639"/>
      <c r="U3123" s="177"/>
      <c r="V3123" s="2866"/>
      <c r="W3123" s="713"/>
      <c r="X3123" s="716"/>
      <c r="Y3123" s="716"/>
      <c r="Z3123" s="1060"/>
      <c r="AA3123" s="713"/>
      <c r="AB3123" s="1060"/>
      <c r="AC3123" s="1060"/>
      <c r="AD3123" s="1060"/>
      <c r="AE3123" s="1060"/>
      <c r="AF3123" s="1060"/>
      <c r="AG3123" s="1060"/>
      <c r="BB3123" s="784"/>
      <c r="BC3123" s="785"/>
      <c r="BD3123" s="900"/>
      <c r="BE3123" s="797"/>
    </row>
    <row r="3124" spans="1:57" s="65" customFormat="1" ht="15" hidden="1" customHeight="1" outlineLevel="1" x14ac:dyDescent="0.25">
      <c r="A3124" s="718"/>
      <c r="B3124" s="785"/>
      <c r="C3124" s="455"/>
      <c r="D3124" s="2806"/>
      <c r="E3124" s="2856"/>
      <c r="F3124" s="2917" t="str">
        <f t="shared" si="263"/>
        <v>ASHP SEER 20 replace ASHP - replace on fail SF</v>
      </c>
      <c r="G3124" s="2917"/>
      <c r="H3124" s="2917"/>
      <c r="I3124" s="2917"/>
      <c r="J3124" s="1654" t="str">
        <f t="shared" si="264"/>
        <v>354600_2019_12_</v>
      </c>
      <c r="K3124" s="713">
        <f>$R$1671*K$2692</f>
        <v>1444.3799999999994</v>
      </c>
      <c r="L3124" s="910">
        <f>VLOOKUP(J3124,$J$1664:$L$1791,3,FALSE)*M3124</f>
        <v>3.3</v>
      </c>
      <c r="M3124" s="2110">
        <f>VLOOKUP(J3124,$J$2688:$K$2815,2,FALSE)</f>
        <v>1</v>
      </c>
      <c r="N3124" s="1453"/>
      <c r="O3124" s="332"/>
      <c r="P3124" s="1116"/>
      <c r="Q3124" s="1117"/>
      <c r="R3124" s="1116"/>
      <c r="S3124" s="1103"/>
      <c r="T3124" s="1639"/>
      <c r="U3124" s="177"/>
      <c r="V3124" s="2866"/>
      <c r="W3124" s="713">
        <v>9512</v>
      </c>
      <c r="X3124" s="716">
        <f>(X$1764/12000)*$R$1671*X$2788</f>
        <v>4766.4539999999979</v>
      </c>
      <c r="Y3124" s="716">
        <v>1160</v>
      </c>
      <c r="Z3124" s="1060"/>
      <c r="AA3124" s="713"/>
      <c r="AB3124" s="1060"/>
      <c r="AC3124" s="1060"/>
      <c r="AD3124" s="1060"/>
      <c r="AE3124" s="1060"/>
      <c r="AF3124" s="1060"/>
      <c r="AG3124" s="1060"/>
      <c r="BB3124" s="784"/>
      <c r="BC3124" s="785"/>
      <c r="BD3124" s="900"/>
      <c r="BE3124" s="797"/>
    </row>
    <row r="3125" spans="1:57" s="65" customFormat="1" ht="15" hidden="1" customHeight="1" outlineLevel="1" x14ac:dyDescent="0.25">
      <c r="A3125" s="718"/>
      <c r="B3125" s="785"/>
      <c r="C3125" s="455"/>
      <c r="D3125" s="2806"/>
      <c r="E3125" s="2856"/>
      <c r="F3125" s="2917" t="str">
        <f t="shared" si="263"/>
        <v>ASHP SEER 20 replace ASHP - replace on fail SF</v>
      </c>
      <c r="G3125" s="2917"/>
      <c r="H3125" s="2917"/>
      <c r="I3125" s="2917"/>
      <c r="J3125" s="1654" t="str">
        <f t="shared" si="264"/>
        <v>354600_2019_12_</v>
      </c>
      <c r="K3125" s="713"/>
      <c r="L3125" s="910" t="str">
        <f>IF(K3125&gt;0,VLOOKUP(J3125,$J$1664:$L$1791,3,FALSE),"")</f>
        <v/>
      </c>
      <c r="M3125" s="2110" t="str">
        <f>IF(K3125&gt;0,VLOOKUP(J3125,$J$2688:$K$2815,2,FALSE),"")</f>
        <v/>
      </c>
      <c r="N3125" s="1453"/>
      <c r="O3125" s="332"/>
      <c r="P3125" s="1116"/>
      <c r="Q3125" s="1117"/>
      <c r="R3125" s="1116"/>
      <c r="S3125" s="1103"/>
      <c r="T3125" s="1639"/>
      <c r="U3125" s="177"/>
      <c r="V3125" s="2866"/>
      <c r="W3125" s="713"/>
      <c r="X3125" s="716"/>
      <c r="Y3125" s="716"/>
      <c r="Z3125" s="1059"/>
      <c r="AA3125" s="713"/>
      <c r="AB3125" s="1059"/>
      <c r="AC3125" s="1059"/>
      <c r="AD3125" s="1059"/>
      <c r="AE3125" s="1059"/>
      <c r="AF3125" s="1059"/>
      <c r="AG3125" s="1059"/>
      <c r="BB3125" s="784"/>
      <c r="BC3125" s="785"/>
      <c r="BD3125" s="900"/>
      <c r="BE3125" s="797"/>
    </row>
    <row r="3126" spans="1:57" s="65" customFormat="1" hidden="1" outlineLevel="1" x14ac:dyDescent="0.25">
      <c r="A3126" s="718"/>
      <c r="B3126" s="785"/>
      <c r="C3126" s="455"/>
      <c r="D3126" s="2806"/>
      <c r="E3126" s="2856"/>
      <c r="F3126" s="2917" t="str">
        <f t="shared" si="263"/>
        <v>ASHP - SEER 20 - replace electric furnace / CAC - early replacement MF ER1</v>
      </c>
      <c r="G3126" s="2917"/>
      <c r="H3126" s="2917"/>
      <c r="I3126" s="2917"/>
      <c r="J3126" s="1654" t="str">
        <f t="shared" si="264"/>
        <v>354650_2019_12_</v>
      </c>
      <c r="K3126" s="713">
        <f>(($R$1678*L3126)+$R$1671)-(($Q$1678*L3126)/((1+$R$1680)^($R$1681-1)))</f>
        <v>1925.8398012161661</v>
      </c>
      <c r="L3126" s="910">
        <f>VLOOKUP(J3126,$J$1664:$L$1791,3,FALSE)*M3126</f>
        <v>2.0150000000000001</v>
      </c>
      <c r="M3126" s="2110">
        <f>VLOOKUP(J3126,$J$2688:$K$2815,2,FALSE)</f>
        <v>0.65</v>
      </c>
      <c r="N3126" s="1453"/>
      <c r="O3126" s="332"/>
      <c r="P3126" s="1116"/>
      <c r="Q3126" s="1117"/>
      <c r="R3126" s="1116"/>
      <c r="S3126" s="1103"/>
      <c r="T3126" s="1639"/>
      <c r="U3126" s="177"/>
      <c r="V3126" s="2866"/>
      <c r="W3126" s="713">
        <v>13953.854780733807</v>
      </c>
      <c r="X3126" s="716">
        <f>(X$1765/12000)*$Q$1671*X$2789</f>
        <v>4354.8051036484976</v>
      </c>
      <c r="Y3126" s="716">
        <v>1727.2545915436422</v>
      </c>
      <c r="Z3126" s="1060"/>
      <c r="AA3126" s="713"/>
      <c r="AB3126" s="1060"/>
      <c r="AC3126" s="1060"/>
      <c r="AD3126" s="1060"/>
      <c r="AE3126" s="1060"/>
      <c r="AF3126" s="1060"/>
      <c r="AG3126" s="1060"/>
      <c r="BB3126" s="784"/>
      <c r="BC3126" s="785"/>
      <c r="BD3126" s="900"/>
      <c r="BE3126" s="797"/>
    </row>
    <row r="3127" spans="1:57" s="65" customFormat="1" hidden="1" outlineLevel="1" x14ac:dyDescent="0.25">
      <c r="A3127" s="718"/>
      <c r="B3127" s="785"/>
      <c r="C3127" s="455"/>
      <c r="D3127" s="2806"/>
      <c r="E3127" s="2856"/>
      <c r="F3127" s="2917" t="str">
        <f t="shared" si="263"/>
        <v>ASHP - SEER 20 - replace electric furnace / CAC - early replacement MF ER1</v>
      </c>
      <c r="G3127" s="2917"/>
      <c r="H3127" s="2917"/>
      <c r="I3127" s="2917"/>
      <c r="J3127" s="1654" t="str">
        <f t="shared" si="264"/>
        <v>354650_2019_12_</v>
      </c>
      <c r="K3127" s="713"/>
      <c r="L3127" s="910" t="str">
        <f>IF(K3127&gt;0,VLOOKUP(J3127,$J$1664:$L$1791,3,FALSE),"")</f>
        <v/>
      </c>
      <c r="M3127" s="2110" t="str">
        <f>IF(K3127&gt;0,VLOOKUP(J3127,$J$2688:$K$2815,2,FALSE),"")</f>
        <v/>
      </c>
      <c r="N3127" s="1453"/>
      <c r="O3127" s="332"/>
      <c r="P3127" s="1116"/>
      <c r="Q3127" s="1117"/>
      <c r="R3127" s="1116"/>
      <c r="S3127" s="1103"/>
      <c r="T3127" s="1639"/>
      <c r="U3127" s="177"/>
      <c r="V3127" s="2866"/>
      <c r="W3127" s="713"/>
      <c r="X3127" s="716"/>
      <c r="Y3127" s="716"/>
      <c r="Z3127" s="1060"/>
      <c r="AA3127" s="713"/>
      <c r="AB3127" s="1060"/>
      <c r="AC3127" s="1060"/>
      <c r="AD3127" s="1060"/>
      <c r="AE3127" s="1060"/>
      <c r="AF3127" s="1060"/>
      <c r="AG3127" s="1060"/>
      <c r="BB3127" s="784"/>
      <c r="BC3127" s="785"/>
      <c r="BD3127" s="900"/>
      <c r="BE3127" s="797"/>
    </row>
    <row r="3128" spans="1:57" s="65" customFormat="1" hidden="1" outlineLevel="1" x14ac:dyDescent="0.25">
      <c r="A3128" s="718"/>
      <c r="B3128" s="785"/>
      <c r="C3128" s="455"/>
      <c r="D3128" s="2806"/>
      <c r="E3128" s="2856"/>
      <c r="F3128" s="2917" t="str">
        <f t="shared" si="263"/>
        <v>ASHP - SEER 20 - replace electric furnace / CAC - early replacement MF ER2</v>
      </c>
      <c r="G3128" s="2917"/>
      <c r="H3128" s="2917"/>
      <c r="I3128" s="2917"/>
      <c r="J3128" s="1654" t="str">
        <f t="shared" si="264"/>
        <v>354650_2019_12_</v>
      </c>
      <c r="K3128" s="713"/>
      <c r="L3128" s="910" t="str">
        <f>IF(K3128&gt;0,VLOOKUP(J3128,$J$1664:$L$1791,3,FALSE),"")</f>
        <v/>
      </c>
      <c r="M3128" s="2110" t="str">
        <f>IF(K3128&gt;0,VLOOKUP(J3128,$J$2688:$K$2815,2,FALSE),"")</f>
        <v/>
      </c>
      <c r="N3128" s="1453"/>
      <c r="O3128" s="332"/>
      <c r="P3128" s="1116"/>
      <c r="Q3128" s="1117"/>
      <c r="R3128" s="1116"/>
      <c r="S3128" s="1103"/>
      <c r="T3128" s="1639"/>
      <c r="U3128" s="177"/>
      <c r="V3128" s="2866"/>
      <c r="W3128" s="713"/>
      <c r="X3128" s="716"/>
      <c r="Y3128" s="716"/>
      <c r="Z3128" s="1060"/>
      <c r="AA3128" s="713"/>
      <c r="AB3128" s="1060"/>
      <c r="AC3128" s="1060"/>
      <c r="AD3128" s="1060"/>
      <c r="AE3128" s="1060"/>
      <c r="AF3128" s="1060"/>
      <c r="AG3128" s="1060"/>
      <c r="BB3128" s="784"/>
      <c r="BC3128" s="785"/>
      <c r="BD3128" s="900"/>
      <c r="BE3128" s="797"/>
    </row>
    <row r="3129" spans="1:57" s="65" customFormat="1" hidden="1" outlineLevel="1" x14ac:dyDescent="0.25">
      <c r="A3129" s="718"/>
      <c r="B3129" s="785"/>
      <c r="C3129" s="455"/>
      <c r="D3129" s="2806"/>
      <c r="E3129" s="2856"/>
      <c r="F3129" s="2917" t="str">
        <f t="shared" si="263"/>
        <v>ASHP - SEER 20 - replace electric furnace / CAC - early replacement MF ER2</v>
      </c>
      <c r="G3129" s="2917"/>
      <c r="H3129" s="2917"/>
      <c r="I3129" s="2917"/>
      <c r="J3129" s="1654" t="str">
        <f t="shared" si="264"/>
        <v>354650_2019_12_</v>
      </c>
      <c r="K3129" s="713"/>
      <c r="L3129" s="910" t="str">
        <f>IF(K3129&gt;0,VLOOKUP(J3129,$J$1664:$L$1791,3,FALSE),"")</f>
        <v/>
      </c>
      <c r="M3129" s="2110" t="str">
        <f>IF(K3129&gt;0,VLOOKUP(J3129,$J$2688:$K$2815,2,FALSE),"")</f>
        <v/>
      </c>
      <c r="N3129" s="1453"/>
      <c r="O3129" s="332"/>
      <c r="P3129" s="1116"/>
      <c r="Q3129" s="1117"/>
      <c r="R3129" s="1116"/>
      <c r="S3129" s="1103"/>
      <c r="T3129" s="1639"/>
      <c r="U3129" s="177"/>
      <c r="V3129" s="2866"/>
      <c r="W3129" s="713"/>
      <c r="X3129" s="716"/>
      <c r="Y3129" s="716"/>
      <c r="Z3129" s="1060"/>
      <c r="AA3129" s="713"/>
      <c r="AB3129" s="1060"/>
      <c r="AC3129" s="1060"/>
      <c r="AD3129" s="1060"/>
      <c r="AE3129" s="1060"/>
      <c r="AF3129" s="1060"/>
      <c r="AG3129" s="1060"/>
      <c r="BB3129" s="784"/>
      <c r="BC3129" s="785"/>
      <c r="BD3129" s="900"/>
      <c r="BE3129" s="797"/>
    </row>
    <row r="3130" spans="1:57" s="65" customFormat="1" hidden="1" outlineLevel="1" x14ac:dyDescent="0.25">
      <c r="A3130" s="718"/>
      <c r="B3130" s="785"/>
      <c r="C3130" s="455"/>
      <c r="D3130" s="2806"/>
      <c r="E3130" s="2856"/>
      <c r="F3130" s="2917" t="str">
        <f>E1598</f>
        <v>ASHP SEER 20 replace ASHP - early replacement MF ER1</v>
      </c>
      <c r="G3130" s="2917"/>
      <c r="H3130" s="2917"/>
      <c r="I3130" s="2917"/>
      <c r="J3130" s="1654" t="str">
        <f>C1598</f>
        <v>354700_2019_12_</v>
      </c>
      <c r="K3130" s="713">
        <f>(($R$1678*L3130)+$R$1671)-(($Q$1678*L3130)/((1+$R$1680)^($R$1681-1)))</f>
        <v>1956.9017238752731</v>
      </c>
      <c r="L3130" s="910">
        <f>VLOOKUP(J3130,$J$1664:$L$1791,3,FALSE)*M3130</f>
        <v>2.145</v>
      </c>
      <c r="M3130" s="2110">
        <f>VLOOKUP(J3130,$J$2688:$K$2815,2,FALSE)</f>
        <v>0.65</v>
      </c>
      <c r="N3130" s="1453"/>
      <c r="O3130" s="332"/>
      <c r="P3130" s="1116"/>
      <c r="Q3130" s="1117"/>
      <c r="R3130" s="1116"/>
      <c r="S3130" s="1103"/>
      <c r="T3130" s="1639"/>
      <c r="U3130" s="177"/>
      <c r="V3130" s="2866"/>
      <c r="W3130" s="713">
        <v>14804.699584437089</v>
      </c>
      <c r="X3130" s="716">
        <f>(X$1769/12000)*$Q$1671*X$2793</f>
        <v>4635.7602716258207</v>
      </c>
      <c r="Y3130" s="716">
        <v>1763.8516619658126</v>
      </c>
      <c r="Z3130" s="1060"/>
      <c r="AA3130" s="713"/>
      <c r="AB3130" s="1060"/>
      <c r="AC3130" s="1060"/>
      <c r="AD3130" s="1060"/>
      <c r="AE3130" s="1060"/>
      <c r="AF3130" s="1060"/>
      <c r="AG3130" s="1060"/>
      <c r="BB3130" s="784"/>
      <c r="BC3130" s="785"/>
      <c r="BD3130" s="900"/>
      <c r="BE3130" s="797"/>
    </row>
    <row r="3131" spans="1:57" s="65" customFormat="1" hidden="1" outlineLevel="1" x14ac:dyDescent="0.25">
      <c r="A3131" s="718"/>
      <c r="B3131" s="785"/>
      <c r="C3131" s="455"/>
      <c r="D3131" s="2806"/>
      <c r="E3131" s="2856"/>
      <c r="F3131" s="2917" t="str">
        <f>E1599</f>
        <v>ASHP SEER 20 replace ASHP - early replacement MF ER1</v>
      </c>
      <c r="G3131" s="2917"/>
      <c r="H3131" s="2917"/>
      <c r="I3131" s="2917"/>
      <c r="J3131" s="1654" t="str">
        <f>C1599</f>
        <v>354700_2019_12_</v>
      </c>
      <c r="K3131" s="713"/>
      <c r="L3131" s="910" t="str">
        <f>IF(K3131&gt;0,VLOOKUP(J3131,$J$1664:$L$1791,3,FALSE),"")</f>
        <v/>
      </c>
      <c r="M3131" s="2110" t="str">
        <f>IF(K3131&gt;0,VLOOKUP(J3131,$J$2688:$K$2815,2,FALSE),"")</f>
        <v/>
      </c>
      <c r="N3131" s="1453"/>
      <c r="O3131" s="332"/>
      <c r="P3131" s="1116"/>
      <c r="Q3131" s="1117"/>
      <c r="R3131" s="1116"/>
      <c r="S3131" s="1103"/>
      <c r="T3131" s="1639"/>
      <c r="U3131" s="177"/>
      <c r="V3131" s="2866"/>
      <c r="W3131" s="713"/>
      <c r="X3131" s="716"/>
      <c r="Y3131" s="716"/>
      <c r="Z3131" s="1060"/>
      <c r="AA3131" s="713"/>
      <c r="AB3131" s="1060"/>
      <c r="AC3131" s="1060"/>
      <c r="AD3131" s="1060"/>
      <c r="AE3131" s="1060"/>
      <c r="AF3131" s="1060"/>
      <c r="AG3131" s="1060"/>
      <c r="BB3131" s="784"/>
      <c r="BC3131" s="785"/>
      <c r="BD3131" s="900"/>
      <c r="BE3131" s="797"/>
    </row>
    <row r="3132" spans="1:57" s="65" customFormat="1" hidden="1" outlineLevel="1" x14ac:dyDescent="0.25">
      <c r="A3132" s="718"/>
      <c r="B3132" s="785"/>
      <c r="C3132" s="455"/>
      <c r="D3132" s="2806"/>
      <c r="E3132" s="2856"/>
      <c r="F3132" s="2917" t="str">
        <f>E1600</f>
        <v>ASHP SEER 20 replace ASHP - early replacement MF ER2</v>
      </c>
      <c r="G3132" s="2917"/>
      <c r="H3132" s="2917"/>
      <c r="I3132" s="2917"/>
      <c r="J3132" s="1654" t="str">
        <f>C1600</f>
        <v>354700_2019_12_</v>
      </c>
      <c r="K3132" s="713"/>
      <c r="L3132" s="910" t="str">
        <f>IF(K3132&gt;0,VLOOKUP(J3132,$J$1664:$L$1791,3,FALSE),"")</f>
        <v/>
      </c>
      <c r="M3132" s="2110" t="str">
        <f>IF(K3132&gt;0,VLOOKUP(J3132,$J$2688:$K$2815,2,FALSE),"")</f>
        <v/>
      </c>
      <c r="N3132" s="1453"/>
      <c r="O3132" s="332"/>
      <c r="P3132" s="1116"/>
      <c r="Q3132" s="1117"/>
      <c r="R3132" s="1116"/>
      <c r="S3132" s="1103"/>
      <c r="T3132" s="1639"/>
      <c r="U3132" s="177"/>
      <c r="V3132" s="2866"/>
      <c r="W3132" s="713"/>
      <c r="X3132" s="716"/>
      <c r="Y3132" s="716"/>
      <c r="Z3132" s="1060"/>
      <c r="AA3132" s="713"/>
      <c r="AB3132" s="1060"/>
      <c r="AC3132" s="1060"/>
      <c r="AD3132" s="1060"/>
      <c r="AE3132" s="1060"/>
      <c r="AF3132" s="1060"/>
      <c r="AG3132" s="1060"/>
      <c r="BB3132" s="784"/>
      <c r="BC3132" s="785"/>
      <c r="BD3132" s="900"/>
      <c r="BE3132" s="797"/>
    </row>
    <row r="3133" spans="1:57" s="65" customFormat="1" hidden="1" outlineLevel="1" x14ac:dyDescent="0.25">
      <c r="A3133" s="718"/>
      <c r="B3133" s="785"/>
      <c r="C3133" s="455"/>
      <c r="D3133" s="2806"/>
      <c r="E3133" s="2856"/>
      <c r="F3133" s="2917" t="str">
        <f>E1601</f>
        <v>ASHP SEER 20 replace ASHP - early replacement MF ER2</v>
      </c>
      <c r="G3133" s="2917"/>
      <c r="H3133" s="2917"/>
      <c r="I3133" s="2917"/>
      <c r="J3133" s="1654" t="str">
        <f>C1601</f>
        <v>354700_2019_12_</v>
      </c>
      <c r="K3133" s="713"/>
      <c r="L3133" s="910" t="str">
        <f>IF(K3133&gt;0,VLOOKUP(J3133,$J$1664:$L$1791,3,FALSE),"")</f>
        <v/>
      </c>
      <c r="M3133" s="2110" t="str">
        <f>IF(K3133&gt;0,VLOOKUP(J3133,$J$2688:$K$2815,2,FALSE),"")</f>
        <v/>
      </c>
      <c r="N3133" s="1453"/>
      <c r="O3133" s="332"/>
      <c r="P3133" s="1116"/>
      <c r="Q3133" s="1117"/>
      <c r="R3133" s="1116"/>
      <c r="S3133" s="1103"/>
      <c r="T3133" s="1639"/>
      <c r="U3133" s="177"/>
      <c r="V3133" s="2866"/>
      <c r="W3133" s="713"/>
      <c r="X3133" s="716"/>
      <c r="Y3133" s="716"/>
      <c r="Z3133" s="1060"/>
      <c r="AA3133" s="713"/>
      <c r="AB3133" s="1060"/>
      <c r="AC3133" s="1060"/>
      <c r="AD3133" s="1060"/>
      <c r="AE3133" s="1060"/>
      <c r="AF3133" s="1060"/>
      <c r="AG3133" s="1060"/>
      <c r="BB3133" s="784"/>
      <c r="BC3133" s="785"/>
      <c r="BD3133" s="900"/>
      <c r="BE3133" s="797"/>
    </row>
    <row r="3134" spans="1:57" s="65" customFormat="1" hidden="1" outlineLevel="1" x14ac:dyDescent="0.25">
      <c r="A3134" s="718"/>
      <c r="B3134" s="785"/>
      <c r="C3134" s="455"/>
      <c r="D3134" s="2806"/>
      <c r="E3134" s="2856"/>
      <c r="F3134" s="2917" t="str">
        <f t="shared" ref="F3134:F3141" si="265">E1606</f>
        <v>ASHP SEER 21 replace ASHP - early replacement SF ER1</v>
      </c>
      <c r="G3134" s="2917"/>
      <c r="H3134" s="2917"/>
      <c r="I3134" s="2917"/>
      <c r="J3134" s="1654" t="str">
        <f t="shared" ref="J3134:J3141" si="266">C1606</f>
        <v>354750_2019_12_</v>
      </c>
      <c r="K3134" s="713">
        <f>(($R$1678*L3134)+$R$1672)-(($Q$1678*L3134)/((1+$R$1680)^($R$1681-1)))</f>
        <v>2478.4195598081137</v>
      </c>
      <c r="L3134" s="910">
        <f>VLOOKUP(J3134,$J$1664:$L$1791,3,FALSE)*M3134</f>
        <v>3.3</v>
      </c>
      <c r="M3134" s="2110">
        <f>VLOOKUP(J3134,$J$2688:$K$2815,2,FALSE)</f>
        <v>1</v>
      </c>
      <c r="N3134" s="1453"/>
      <c r="O3134" s="332"/>
      <c r="P3134" s="1116"/>
      <c r="Q3134" s="1117"/>
      <c r="R3134" s="1116"/>
      <c r="S3134" s="1103"/>
      <c r="T3134" s="1639"/>
      <c r="U3134" s="177"/>
      <c r="V3134" s="2866"/>
      <c r="W3134" s="713">
        <v>14804.699584437089</v>
      </c>
      <c r="X3134" s="716">
        <f>(X$1773/12000)*$Q$1672*X$2797</f>
        <v>7942.2360594243391</v>
      </c>
      <c r="Y3134" s="716">
        <v>2089.0025568704818</v>
      </c>
      <c r="Z3134" s="1060"/>
      <c r="AA3134" s="713"/>
      <c r="AB3134" s="1060"/>
      <c r="AC3134" s="1060"/>
      <c r="AD3134" s="1060"/>
      <c r="AE3134" s="1060"/>
      <c r="AF3134" s="1060"/>
      <c r="AG3134" s="1060"/>
      <c r="BB3134" s="784"/>
      <c r="BC3134" s="785"/>
      <c r="BD3134" s="900"/>
      <c r="BE3134" s="797"/>
    </row>
    <row r="3135" spans="1:57" s="65" customFormat="1" hidden="1" outlineLevel="1" x14ac:dyDescent="0.25">
      <c r="A3135" s="718"/>
      <c r="B3135" s="785"/>
      <c r="C3135" s="455"/>
      <c r="D3135" s="2806"/>
      <c r="E3135" s="2856"/>
      <c r="F3135" s="2917" t="str">
        <f t="shared" si="265"/>
        <v>ASHP SEER 21 replace ASHP - early replacement SF ER1</v>
      </c>
      <c r="G3135" s="2917"/>
      <c r="H3135" s="2917"/>
      <c r="I3135" s="2917"/>
      <c r="J3135" s="1654" t="str">
        <f t="shared" si="266"/>
        <v>354750_2019_12_</v>
      </c>
      <c r="K3135" s="713"/>
      <c r="L3135" s="910" t="str">
        <f>IF(K3135&gt;0,VLOOKUP(J3135,$J$1664:$L$1791,3,FALSE),"")</f>
        <v/>
      </c>
      <c r="M3135" s="2110" t="str">
        <f>IF(K3135&gt;0,VLOOKUP(J3135,$J$2688:$K$2815,2,FALSE),"")</f>
        <v/>
      </c>
      <c r="N3135" s="1453"/>
      <c r="O3135" s="332"/>
      <c r="P3135" s="1116"/>
      <c r="Q3135" s="1117"/>
      <c r="R3135" s="1116"/>
      <c r="S3135" s="1103"/>
      <c r="T3135" s="1639"/>
      <c r="U3135" s="177"/>
      <c r="V3135" s="2866"/>
      <c r="W3135" s="713"/>
      <c r="X3135" s="716"/>
      <c r="Y3135" s="716"/>
      <c r="Z3135" s="1060"/>
      <c r="AA3135" s="713"/>
      <c r="AB3135" s="1060"/>
      <c r="AC3135" s="1060"/>
      <c r="AD3135" s="1060"/>
      <c r="AE3135" s="1060"/>
      <c r="AF3135" s="1060"/>
      <c r="AG3135" s="1060"/>
      <c r="BB3135" s="784"/>
      <c r="BC3135" s="785"/>
      <c r="BD3135" s="900"/>
      <c r="BE3135" s="797"/>
    </row>
    <row r="3136" spans="1:57" s="65" customFormat="1" hidden="1" outlineLevel="1" x14ac:dyDescent="0.25">
      <c r="A3136" s="718"/>
      <c r="B3136" s="785"/>
      <c r="C3136" s="455"/>
      <c r="D3136" s="2806"/>
      <c r="E3136" s="2856"/>
      <c r="F3136" s="2917" t="str">
        <f t="shared" si="265"/>
        <v>ASHP SEER 21 replace ASHP - early replacement SF ER2</v>
      </c>
      <c r="G3136" s="2917"/>
      <c r="H3136" s="2917"/>
      <c r="I3136" s="2917"/>
      <c r="J3136" s="1654" t="str">
        <f t="shared" si="266"/>
        <v>354750_2019_12_</v>
      </c>
      <c r="K3136" s="713"/>
      <c r="L3136" s="910" t="str">
        <f>IF(K3136&gt;0,VLOOKUP(J3136,$J$1664:$L$1791,3,FALSE),"")</f>
        <v/>
      </c>
      <c r="M3136" s="2110" t="str">
        <f>IF(K3136&gt;0,VLOOKUP(J3136,$J$2688:$K$2815,2,FALSE),"")</f>
        <v/>
      </c>
      <c r="N3136" s="1453"/>
      <c r="O3136" s="332"/>
      <c r="P3136" s="1116"/>
      <c r="Q3136" s="1117"/>
      <c r="R3136" s="1116"/>
      <c r="S3136" s="1103"/>
      <c r="T3136" s="1639"/>
      <c r="U3136" s="177"/>
      <c r="V3136" s="2866"/>
      <c r="W3136" s="713"/>
      <c r="X3136" s="716"/>
      <c r="Y3136" s="716"/>
      <c r="Z3136" s="1060"/>
      <c r="AA3136" s="713"/>
      <c r="AB3136" s="1060"/>
      <c r="AC3136" s="1060"/>
      <c r="AD3136" s="1060"/>
      <c r="AE3136" s="1060"/>
      <c r="AF3136" s="1060"/>
      <c r="AG3136" s="1060"/>
      <c r="BB3136" s="784"/>
      <c r="BC3136" s="785"/>
      <c r="BD3136" s="900"/>
      <c r="BE3136" s="797"/>
    </row>
    <row r="3137" spans="1:57" s="65" customFormat="1" hidden="1" outlineLevel="1" x14ac:dyDescent="0.25">
      <c r="A3137" s="718"/>
      <c r="B3137" s="785"/>
      <c r="C3137" s="455"/>
      <c r="D3137" s="2806"/>
      <c r="E3137" s="2856"/>
      <c r="F3137" s="2917" t="str">
        <f t="shared" si="265"/>
        <v>ASHP SEER 21 replace ASHP - early replacement SF ER2</v>
      </c>
      <c r="G3137" s="2917"/>
      <c r="H3137" s="2917"/>
      <c r="I3137" s="2917"/>
      <c r="J3137" s="1654" t="str">
        <f t="shared" si="266"/>
        <v>354750_2019_12_</v>
      </c>
      <c r="K3137" s="713"/>
      <c r="L3137" s="910" t="str">
        <f>IF(K3137&gt;0,VLOOKUP(J3137,$J$1664:$L$1791,3,FALSE),"")</f>
        <v/>
      </c>
      <c r="M3137" s="2110" t="str">
        <f>IF(K3137&gt;0,VLOOKUP(J3137,$J$2688:$K$2815,2,FALSE),"")</f>
        <v/>
      </c>
      <c r="N3137" s="1453"/>
      <c r="O3137" s="332"/>
      <c r="P3137" s="1116"/>
      <c r="Q3137" s="1117"/>
      <c r="R3137" s="1116"/>
      <c r="S3137" s="1103"/>
      <c r="T3137" s="1639"/>
      <c r="U3137" s="177"/>
      <c r="V3137" s="2866"/>
      <c r="W3137" s="713"/>
      <c r="X3137" s="716"/>
      <c r="Y3137" s="716"/>
      <c r="Z3137" s="1060"/>
      <c r="AA3137" s="713"/>
      <c r="AB3137" s="1060"/>
      <c r="AC3137" s="1060"/>
      <c r="AD3137" s="1060"/>
      <c r="AE3137" s="1060"/>
      <c r="AF3137" s="1060"/>
      <c r="AG3137" s="1060"/>
      <c r="BB3137" s="784"/>
      <c r="BC3137" s="785"/>
      <c r="BD3137" s="900"/>
      <c r="BE3137" s="797"/>
    </row>
    <row r="3138" spans="1:57" s="65" customFormat="1" hidden="1" outlineLevel="1" x14ac:dyDescent="0.25">
      <c r="A3138" s="718"/>
      <c r="B3138" s="785"/>
      <c r="C3138" s="455"/>
      <c r="D3138" s="2806"/>
      <c r="E3138" s="2856"/>
      <c r="F3138" s="2917" t="str">
        <f t="shared" si="265"/>
        <v>ASHP SEER 21 replace ASHP - replace on fail SF</v>
      </c>
      <c r="G3138" s="2917"/>
      <c r="H3138" s="2917"/>
      <c r="I3138" s="2917"/>
      <c r="J3138" s="1654" t="str">
        <f t="shared" si="266"/>
        <v>354800_2019_12_</v>
      </c>
      <c r="K3138" s="713">
        <f>$R$1672*K$2692</f>
        <v>1689.9245999999991</v>
      </c>
      <c r="L3138" s="910">
        <f>VLOOKUP(J3138,$J$1664:$L$1791,3,FALSE)*M3138</f>
        <v>3.3</v>
      </c>
      <c r="M3138" s="2110">
        <f>VLOOKUP(J3138,$J$2688:$K$2815,2,FALSE)</f>
        <v>1</v>
      </c>
      <c r="N3138" s="1453"/>
      <c r="O3138" s="332"/>
      <c r="P3138" s="1116"/>
      <c r="Q3138" s="1117"/>
      <c r="R3138" s="1116"/>
      <c r="S3138" s="1103"/>
      <c r="T3138" s="1639"/>
      <c r="U3138" s="177"/>
      <c r="V3138" s="2866"/>
      <c r="W3138" s="713">
        <v>9976</v>
      </c>
      <c r="X3138" s="716">
        <f>(X$1775/12000)*$R$1672*X$2799</f>
        <v>5576.7511799999966</v>
      </c>
      <c r="Y3138" s="716">
        <v>1160</v>
      </c>
      <c r="Z3138" s="1060"/>
      <c r="AA3138" s="713"/>
      <c r="AB3138" s="1060"/>
      <c r="AC3138" s="1060"/>
      <c r="AD3138" s="1060"/>
      <c r="AE3138" s="1060"/>
      <c r="AF3138" s="1060"/>
      <c r="AG3138" s="1060"/>
      <c r="BB3138" s="784"/>
      <c r="BC3138" s="785"/>
      <c r="BD3138" s="900"/>
      <c r="BE3138" s="797"/>
    </row>
    <row r="3139" spans="1:57" s="65" customFormat="1" hidden="1" outlineLevel="1" x14ac:dyDescent="0.25">
      <c r="A3139" s="718"/>
      <c r="B3139" s="785"/>
      <c r="C3139" s="455"/>
      <c r="D3139" s="2806"/>
      <c r="E3139" s="2856"/>
      <c r="F3139" s="2917" t="str">
        <f t="shared" si="265"/>
        <v>ASHP SEER 21 replace ASHP - replace on fail SF</v>
      </c>
      <c r="G3139" s="2917"/>
      <c r="H3139" s="2917"/>
      <c r="I3139" s="2917"/>
      <c r="J3139" s="1654" t="str">
        <f t="shared" si="266"/>
        <v>354800_2019_12_</v>
      </c>
      <c r="K3139" s="713"/>
      <c r="L3139" s="910" t="str">
        <f>IF(K3139&gt;0,VLOOKUP(J3139,$J$1664:$L$1791,3,FALSE),"")</f>
        <v/>
      </c>
      <c r="M3139" s="2110" t="str">
        <f>IF(K3139&gt;0,VLOOKUP(J3139,$J$2688:$K$2815,2,FALSE),"")</f>
        <v/>
      </c>
      <c r="N3139" s="1453"/>
      <c r="O3139" s="332"/>
      <c r="P3139" s="1116"/>
      <c r="Q3139" s="1117"/>
      <c r="R3139" s="1116"/>
      <c r="S3139" s="1103"/>
      <c r="T3139" s="1639"/>
      <c r="U3139" s="177"/>
      <c r="V3139" s="2866"/>
      <c r="W3139" s="713"/>
      <c r="X3139" s="716"/>
      <c r="Y3139" s="716"/>
      <c r="Z3139" s="1060"/>
      <c r="AA3139" s="713"/>
      <c r="AB3139" s="1060"/>
      <c r="AC3139" s="1060"/>
      <c r="AD3139" s="1060"/>
      <c r="AE3139" s="1060"/>
      <c r="AF3139" s="1060"/>
      <c r="AG3139" s="1060"/>
      <c r="BB3139" s="784"/>
      <c r="BC3139" s="785"/>
      <c r="BD3139" s="900"/>
      <c r="BE3139" s="797"/>
    </row>
    <row r="3140" spans="1:57" s="65" customFormat="1" hidden="1" outlineLevel="1" x14ac:dyDescent="0.25">
      <c r="A3140" s="718"/>
      <c r="B3140" s="785"/>
      <c r="C3140" s="455"/>
      <c r="D3140" s="2806"/>
      <c r="E3140" s="2856"/>
      <c r="F3140" s="2917" t="str">
        <f t="shared" si="265"/>
        <v>ASHP - SEER 21 - replace electric furnace / CAC MF</v>
      </c>
      <c r="G3140" s="2917"/>
      <c r="H3140" s="2917"/>
      <c r="I3140" s="2917"/>
      <c r="J3140" s="1654" t="str">
        <f t="shared" si="266"/>
        <v>354850_2019_12_</v>
      </c>
      <c r="K3140" s="713">
        <f>$R$1672*K$2692</f>
        <v>1689.9245999999991</v>
      </c>
      <c r="L3140" s="910">
        <f>VLOOKUP(J3140,$J$1664:$L$1791,3,FALSE)*M3140</f>
        <v>1.8199999999999998</v>
      </c>
      <c r="M3140" s="2110">
        <f>VLOOKUP(J3140,$J$2688:$K$2815,2,FALSE)</f>
        <v>0.65</v>
      </c>
      <c r="N3140" s="1453"/>
      <c r="O3140" s="332"/>
      <c r="P3140" s="1116"/>
      <c r="Q3140" s="1117"/>
      <c r="R3140" s="1116"/>
      <c r="S3140" s="1103"/>
      <c r="T3140" s="1639"/>
      <c r="U3140" s="177"/>
      <c r="V3140" s="2866"/>
      <c r="W3140" s="713">
        <v>10092</v>
      </c>
      <c r="X3140" s="716">
        <f>(X$1776/12000)*$R$1672*X$2800</f>
        <v>3075.6627719999983</v>
      </c>
      <c r="Y3140" s="716">
        <v>1160</v>
      </c>
      <c r="Z3140" s="1060"/>
      <c r="AA3140" s="713"/>
      <c r="AB3140" s="1060"/>
      <c r="AC3140" s="1060"/>
      <c r="AD3140" s="1060"/>
      <c r="AE3140" s="1060"/>
      <c r="AF3140" s="1060"/>
      <c r="AG3140" s="1060"/>
      <c r="BB3140" s="784"/>
      <c r="BC3140" s="785"/>
      <c r="BD3140" s="900"/>
      <c r="BE3140" s="797"/>
    </row>
    <row r="3141" spans="1:57" s="65" customFormat="1" hidden="1" outlineLevel="1" x14ac:dyDescent="0.25">
      <c r="A3141" s="718"/>
      <c r="B3141" s="785"/>
      <c r="C3141" s="455"/>
      <c r="D3141" s="2806"/>
      <c r="E3141" s="2856"/>
      <c r="F3141" s="2917" t="str">
        <f t="shared" si="265"/>
        <v>ASHP - SEER 21 - replace electric furnace / CAC MF</v>
      </c>
      <c r="G3141" s="2917"/>
      <c r="H3141" s="2917"/>
      <c r="I3141" s="2917"/>
      <c r="J3141" s="1654" t="str">
        <f t="shared" si="266"/>
        <v>354850_2019_12_</v>
      </c>
      <c r="K3141" s="713"/>
      <c r="L3141" s="910" t="str">
        <f>IF(K3141&gt;0,VLOOKUP(J3141,$J$1664:$L$1791,3,FALSE),"")</f>
        <v/>
      </c>
      <c r="M3141" s="2110" t="str">
        <f>IF(K3141&gt;0,VLOOKUP(J3141,$J$2688:$K$2815,2,FALSE),"")</f>
        <v/>
      </c>
      <c r="N3141" s="1453"/>
      <c r="O3141" s="332"/>
      <c r="P3141" s="1116"/>
      <c r="Q3141" s="1117"/>
      <c r="R3141" s="1116"/>
      <c r="S3141" s="1103"/>
      <c r="T3141" s="1639"/>
      <c r="U3141" s="177"/>
      <c r="V3141" s="2866"/>
      <c r="W3141" s="713"/>
      <c r="X3141" s="716"/>
      <c r="Y3141" s="716"/>
      <c r="Z3141" s="1060"/>
      <c r="AA3141" s="713"/>
      <c r="AB3141" s="1060"/>
      <c r="AC3141" s="1060"/>
      <c r="AD3141" s="1060"/>
      <c r="AE3141" s="1060"/>
      <c r="AF3141" s="1060"/>
      <c r="AG3141" s="1060"/>
      <c r="BB3141" s="784"/>
      <c r="BC3141" s="785"/>
      <c r="BD3141" s="900"/>
      <c r="BE3141" s="797"/>
    </row>
    <row r="3142" spans="1:57" s="65" customFormat="1" hidden="1" outlineLevel="1" x14ac:dyDescent="0.25">
      <c r="A3142" s="718"/>
      <c r="B3142" s="785"/>
      <c r="C3142" s="455"/>
      <c r="D3142" s="2806"/>
      <c r="E3142" s="2856"/>
      <c r="F3142" s="2917" t="str">
        <f>E1616</f>
        <v>ASHP SEER 21 replace ASHP - early replacement MF ER1</v>
      </c>
      <c r="G3142" s="2917"/>
      <c r="H3142" s="2917"/>
      <c r="I3142" s="2917"/>
      <c r="J3142" s="1654" t="str">
        <f>C1616</f>
        <v>354900_2019_12_</v>
      </c>
      <c r="K3142" s="713">
        <f>(($R$1678*L3142)+$R$1672)-(($Q$1678*L3142)/((1+$R$1680)^($R$1681-1)))</f>
        <v>2202.4463238752733</v>
      </c>
      <c r="L3142" s="910">
        <f>VLOOKUP(J3142,$J$1664:$L$1791,3,FALSE)*M3142</f>
        <v>2.145</v>
      </c>
      <c r="M3142" s="2110">
        <f>VLOOKUP(J3142,$J$2688:$K$2815,2,FALSE)</f>
        <v>0.65</v>
      </c>
      <c r="N3142" s="1453"/>
      <c r="O3142" s="332"/>
      <c r="P3142" s="1116"/>
      <c r="Q3142" s="1117"/>
      <c r="R3142" s="1116"/>
      <c r="S3142" s="1103"/>
      <c r="T3142" s="1639"/>
      <c r="U3142" s="177"/>
      <c r="V3142" s="2866"/>
      <c r="W3142" s="713">
        <v>15995.882309621684</v>
      </c>
      <c r="X3142" s="716">
        <f>(X$1778/12000)*$Q$1672*X$2802</f>
        <v>5162.453438625821</v>
      </c>
      <c r="Y3142" s="716">
        <v>1763.8516619658126</v>
      </c>
      <c r="Z3142" s="1060"/>
      <c r="AA3142" s="713"/>
      <c r="AB3142" s="1060"/>
      <c r="AC3142" s="1060"/>
      <c r="AD3142" s="1060"/>
      <c r="AE3142" s="1060"/>
      <c r="AF3142" s="1060"/>
      <c r="AG3142" s="1060"/>
      <c r="BB3142" s="784"/>
      <c r="BC3142" s="785"/>
      <c r="BD3142" s="900"/>
      <c r="BE3142" s="797"/>
    </row>
    <row r="3143" spans="1:57" s="65" customFormat="1" hidden="1" outlineLevel="1" x14ac:dyDescent="0.25">
      <c r="A3143" s="718"/>
      <c r="B3143" s="785"/>
      <c r="C3143" s="455"/>
      <c r="D3143" s="2806"/>
      <c r="E3143" s="2856"/>
      <c r="F3143" s="2917" t="str">
        <f>E1617</f>
        <v>ASHP SEER 21 replace ASHP - early replacement MF ER1</v>
      </c>
      <c r="G3143" s="2917"/>
      <c r="H3143" s="2917"/>
      <c r="I3143" s="2917"/>
      <c r="J3143" s="1654" t="str">
        <f>C1617</f>
        <v>354900_2019_12_</v>
      </c>
      <c r="K3143" s="713"/>
      <c r="L3143" s="910" t="str">
        <f>IF(K3143&gt;0,VLOOKUP(J3143,$J$1664:$L$1791,3,FALSE),"")</f>
        <v/>
      </c>
      <c r="M3143" s="2110" t="str">
        <f>IF(K3143&gt;0,VLOOKUP(J3143,$J$2688:$K$2815,2,FALSE),"")</f>
        <v/>
      </c>
      <c r="N3143" s="1453"/>
      <c r="O3143" s="332"/>
      <c r="P3143" s="1116"/>
      <c r="Q3143" s="1117"/>
      <c r="R3143" s="1116"/>
      <c r="S3143" s="1103"/>
      <c r="T3143" s="1639"/>
      <c r="U3143" s="177"/>
      <c r="V3143" s="2866"/>
      <c r="W3143" s="713"/>
      <c r="X3143" s="716"/>
      <c r="Y3143" s="716"/>
      <c r="Z3143" s="1060"/>
      <c r="AA3143" s="713"/>
      <c r="AB3143" s="1060"/>
      <c r="AC3143" s="1060"/>
      <c r="AD3143" s="1060"/>
      <c r="AE3143" s="1060"/>
      <c r="AF3143" s="1060"/>
      <c r="AG3143" s="1060"/>
      <c r="BB3143" s="784"/>
      <c r="BC3143" s="785"/>
      <c r="BD3143" s="900"/>
      <c r="BE3143" s="797"/>
    </row>
    <row r="3144" spans="1:57" s="65" customFormat="1" hidden="1" outlineLevel="1" x14ac:dyDescent="0.25">
      <c r="A3144" s="718"/>
      <c r="B3144" s="785"/>
      <c r="C3144" s="455"/>
      <c r="D3144" s="2806"/>
      <c r="E3144" s="2856"/>
      <c r="F3144" s="2917" t="str">
        <f>E1618</f>
        <v>ASHP SEER 21 replace ASHP - early replacement MF ER2</v>
      </c>
      <c r="G3144" s="2917"/>
      <c r="H3144" s="2917"/>
      <c r="I3144" s="2917"/>
      <c r="J3144" s="1654" t="str">
        <f>C1618</f>
        <v>354900_2019_12_</v>
      </c>
      <c r="K3144" s="713"/>
      <c r="L3144" s="910" t="str">
        <f>IF(K3144&gt;0,VLOOKUP(J3144,$J$1664:$L$1791,3,FALSE),"")</f>
        <v/>
      </c>
      <c r="M3144" s="2110" t="str">
        <f>IF(K3144&gt;0,VLOOKUP(J3144,$J$2688:$K$2815,2,FALSE),"")</f>
        <v/>
      </c>
      <c r="N3144" s="1453"/>
      <c r="O3144" s="332"/>
      <c r="P3144" s="1116"/>
      <c r="Q3144" s="1117"/>
      <c r="R3144" s="1116"/>
      <c r="S3144" s="1103"/>
      <c r="T3144" s="1639"/>
      <c r="U3144" s="177"/>
      <c r="V3144" s="2866"/>
      <c r="W3144" s="713"/>
      <c r="X3144" s="716"/>
      <c r="Y3144" s="716"/>
      <c r="Z3144" s="1060"/>
      <c r="AA3144" s="713"/>
      <c r="AB3144" s="1060"/>
      <c r="AC3144" s="1060"/>
      <c r="AD3144" s="1060"/>
      <c r="AE3144" s="1060"/>
      <c r="AF3144" s="1060"/>
      <c r="AG3144" s="1060"/>
      <c r="BB3144" s="784"/>
      <c r="BC3144" s="785"/>
      <c r="BD3144" s="900"/>
      <c r="BE3144" s="797"/>
    </row>
    <row r="3145" spans="1:57" s="65" customFormat="1" hidden="1" outlineLevel="1" x14ac:dyDescent="0.25">
      <c r="A3145" s="718"/>
      <c r="B3145" s="785"/>
      <c r="C3145" s="455"/>
      <c r="D3145" s="2806"/>
      <c r="E3145" s="2856"/>
      <c r="F3145" s="2917" t="str">
        <f>E1619</f>
        <v>ASHP SEER 21 replace ASHP - early replacement MF ER2</v>
      </c>
      <c r="G3145" s="2917"/>
      <c r="H3145" s="2917"/>
      <c r="I3145" s="2917"/>
      <c r="J3145" s="1654" t="str">
        <f>C1619</f>
        <v>354900_2019_12_</v>
      </c>
      <c r="K3145" s="713"/>
      <c r="L3145" s="910" t="str">
        <f>IF(K3145&gt;0,VLOOKUP(J3145,$J$1664:$L$1791,3,FALSE),"")</f>
        <v/>
      </c>
      <c r="M3145" s="2110" t="str">
        <f>IF(K3145&gt;0,VLOOKUP(J3145,$J$2688:$K$2815,2,FALSE),"")</f>
        <v/>
      </c>
      <c r="N3145" s="1453"/>
      <c r="O3145" s="332"/>
      <c r="P3145" s="1116"/>
      <c r="Q3145" s="1117"/>
      <c r="R3145" s="1116"/>
      <c r="S3145" s="1103"/>
      <c r="T3145" s="1639"/>
      <c r="U3145" s="177"/>
      <c r="V3145" s="2866"/>
      <c r="W3145" s="713"/>
      <c r="X3145" s="716"/>
      <c r="Y3145" s="716"/>
      <c r="Z3145" s="1060"/>
      <c r="AA3145" s="713"/>
      <c r="AB3145" s="1060"/>
      <c r="AC3145" s="1060"/>
      <c r="AD3145" s="1060"/>
      <c r="AE3145" s="1060"/>
      <c r="AF3145" s="1060"/>
      <c r="AG3145" s="1060"/>
      <c r="BB3145" s="784"/>
      <c r="BC3145" s="785"/>
      <c r="BD3145" s="900"/>
      <c r="BE3145" s="797"/>
    </row>
    <row r="3146" spans="1:57" s="65" customFormat="1" hidden="1" outlineLevel="1" x14ac:dyDescent="0.25">
      <c r="A3146" s="718"/>
      <c r="B3146" s="785"/>
      <c r="C3146" s="455"/>
      <c r="D3146" s="2806"/>
      <c r="E3146" s="2856"/>
      <c r="F3146" s="2917" t="str">
        <f>E1624</f>
        <v>ASHP - SEER 17 - replace on fail MF</v>
      </c>
      <c r="G3146" s="2917"/>
      <c r="H3146" s="2917"/>
      <c r="I3146" s="2917"/>
      <c r="J3146" s="1654" t="str">
        <f>C1624</f>
        <v>354950_2019_12_</v>
      </c>
      <c r="K3146" s="713">
        <f>$R$1668*K$2692</f>
        <v>724</v>
      </c>
      <c r="L3146" s="910">
        <f>VLOOKUP(J3146,$J$1664:$L$1791,3,FALSE)*M3146</f>
        <v>2.145</v>
      </c>
      <c r="M3146" s="2110">
        <f>VLOOKUP(J3146,$J$2688:$K$2815,2,FALSE)</f>
        <v>0.65</v>
      </c>
      <c r="N3146" s="1453"/>
      <c r="O3146" s="332"/>
      <c r="P3146" s="1116"/>
      <c r="Q3146" s="1117"/>
      <c r="R3146" s="1116"/>
      <c r="S3146" s="1103"/>
      <c r="T3146" s="1639"/>
      <c r="U3146" s="177"/>
      <c r="V3146" s="2866"/>
      <c r="W3146" s="713">
        <v>1914</v>
      </c>
      <c r="X3146" s="716">
        <f>$R$1668*(X$1782/12000)*X$2806</f>
        <v>1552.98</v>
      </c>
      <c r="Y3146" s="716">
        <v>580</v>
      </c>
      <c r="Z3146" s="1060"/>
      <c r="AA3146" s="713"/>
      <c r="AB3146" s="1060"/>
      <c r="AC3146" s="1060"/>
      <c r="AD3146" s="1060"/>
      <c r="AE3146" s="1060"/>
      <c r="AF3146" s="1060"/>
      <c r="AG3146" s="1060"/>
      <c r="BB3146" s="784"/>
      <c r="BC3146" s="785"/>
      <c r="BD3146" s="900"/>
      <c r="BE3146" s="797"/>
    </row>
    <row r="3147" spans="1:57" s="65" customFormat="1" hidden="1" outlineLevel="1" x14ac:dyDescent="0.25">
      <c r="A3147" s="718"/>
      <c r="B3147" s="785"/>
      <c r="C3147" s="455"/>
      <c r="D3147" s="2806"/>
      <c r="E3147" s="2856"/>
      <c r="F3147" s="2917" t="str">
        <f>E1625</f>
        <v>ASHP - SEER 17 - replace on fail MF</v>
      </c>
      <c r="G3147" s="2917"/>
      <c r="H3147" s="2917"/>
      <c r="I3147" s="2917"/>
      <c r="J3147" s="1654" t="str">
        <f>C1625</f>
        <v>354950_2019_12_</v>
      </c>
      <c r="K3147" s="713"/>
      <c r="L3147" s="910" t="str">
        <f>IF(K3147&gt;0,VLOOKUP(J3147,$J$1664:$L$1791,3,FALSE),"")</f>
        <v/>
      </c>
      <c r="M3147" s="2110" t="str">
        <f>IF(K3147&gt;0,VLOOKUP(J3147,$J$2688:$K$2815,2,FALSE),"")</f>
        <v/>
      </c>
      <c r="N3147" s="1453"/>
      <c r="O3147" s="332"/>
      <c r="P3147" s="1116"/>
      <c r="Q3147" s="1117"/>
      <c r="R3147" s="1116"/>
      <c r="S3147" s="1103"/>
      <c r="T3147" s="1639"/>
      <c r="U3147" s="177"/>
      <c r="V3147" s="2866"/>
      <c r="W3147" s="713"/>
      <c r="X3147" s="716"/>
      <c r="Y3147" s="716"/>
      <c r="Z3147" s="1060"/>
      <c r="AA3147" s="713"/>
      <c r="AB3147" s="1060"/>
      <c r="AC3147" s="1060"/>
      <c r="AD3147" s="1060"/>
      <c r="AE3147" s="1060"/>
      <c r="AF3147" s="1060"/>
      <c r="AG3147" s="1060"/>
      <c r="BB3147" s="784"/>
      <c r="BC3147" s="785"/>
      <c r="BD3147" s="900"/>
      <c r="BE3147" s="797"/>
    </row>
    <row r="3148" spans="1:57" s="65" customFormat="1" hidden="1" outlineLevel="1" x14ac:dyDescent="0.25">
      <c r="A3148" s="718"/>
      <c r="B3148" s="785"/>
      <c r="C3148" s="455"/>
      <c r="D3148" s="2806"/>
      <c r="E3148" s="2856"/>
      <c r="F3148" s="2917" t="str">
        <f>E1628</f>
        <v>ASHP - SEER 18 - replace on fail MF</v>
      </c>
      <c r="G3148" s="2917"/>
      <c r="H3148" s="2917"/>
      <c r="I3148" s="2917"/>
      <c r="J3148" s="1654" t="str">
        <f>C1628</f>
        <v>355000_2019_12_</v>
      </c>
      <c r="K3148" s="713">
        <f>$R$1669*K$2692</f>
        <v>962.92000000000007</v>
      </c>
      <c r="L3148" s="910">
        <f>VLOOKUP(J3148,$J$1664:$L$1791,3,FALSE)*M3148</f>
        <v>2.145</v>
      </c>
      <c r="M3148" s="2110">
        <f>VLOOKUP(J3148,$J$2688:$K$2815,2,FALSE)</f>
        <v>0.65</v>
      </c>
      <c r="N3148" s="1453"/>
      <c r="O3148" s="332"/>
      <c r="P3148" s="1116"/>
      <c r="Q3148" s="1117"/>
      <c r="R3148" s="1116"/>
      <c r="S3148" s="1103"/>
      <c r="T3148" s="1639"/>
      <c r="U3148" s="177"/>
      <c r="V3148" s="2866"/>
      <c r="W3148" s="713">
        <v>2354</v>
      </c>
      <c r="X3148" s="716">
        <f>$R$1669*(X$1784/12000)*X$2808</f>
        <v>2065.4634000000001</v>
      </c>
      <c r="Y3148" s="716">
        <v>713.33333333333337</v>
      </c>
      <c r="Z3148" s="1060"/>
      <c r="AA3148" s="713"/>
      <c r="AB3148" s="1060"/>
      <c r="AC3148" s="1060"/>
      <c r="AD3148" s="1060"/>
      <c r="AE3148" s="1060"/>
      <c r="AF3148" s="1060"/>
      <c r="AG3148" s="1060"/>
      <c r="BB3148" s="784"/>
      <c r="BC3148" s="785"/>
      <c r="BD3148" s="900"/>
      <c r="BE3148" s="797"/>
    </row>
    <row r="3149" spans="1:57" s="65" customFormat="1" hidden="1" outlineLevel="1" x14ac:dyDescent="0.25">
      <c r="A3149" s="718"/>
      <c r="B3149" s="785"/>
      <c r="C3149" s="455"/>
      <c r="D3149" s="2806"/>
      <c r="E3149" s="2856"/>
      <c r="F3149" s="2917" t="str">
        <f>E1629</f>
        <v>ASHP - SEER 18 - replace on fail MF</v>
      </c>
      <c r="G3149" s="2917"/>
      <c r="H3149" s="2917"/>
      <c r="I3149" s="2917"/>
      <c r="J3149" s="1654" t="str">
        <f>C1629</f>
        <v>355000_2019_12_</v>
      </c>
      <c r="K3149" s="713"/>
      <c r="L3149" s="910" t="str">
        <f>IF(K3149&gt;0,VLOOKUP(J3149,$J$1664:$L$1791,3,FALSE),"")</f>
        <v/>
      </c>
      <c r="M3149" s="2110" t="str">
        <f>IF(K3149&gt;0,VLOOKUP(J3149,$J$2688:$K$2815,2,FALSE),"")</f>
        <v/>
      </c>
      <c r="N3149" s="1453"/>
      <c r="O3149" s="332"/>
      <c r="P3149" s="1116"/>
      <c r="Q3149" s="1117"/>
      <c r="R3149" s="1116"/>
      <c r="S3149" s="1103"/>
      <c r="T3149" s="1639"/>
      <c r="U3149" s="177"/>
      <c r="V3149" s="2866"/>
      <c r="W3149" s="713"/>
      <c r="X3149" s="716"/>
      <c r="Y3149" s="716"/>
      <c r="Z3149" s="1060"/>
      <c r="AA3149" s="713"/>
      <c r="AB3149" s="1060"/>
      <c r="AC3149" s="1060"/>
      <c r="AD3149" s="1060"/>
      <c r="AE3149" s="1060"/>
      <c r="AF3149" s="1060"/>
      <c r="AG3149" s="1060"/>
      <c r="BB3149" s="784"/>
      <c r="BC3149" s="785"/>
      <c r="BD3149" s="900"/>
      <c r="BE3149" s="797"/>
    </row>
    <row r="3150" spans="1:57" s="65" customFormat="1" hidden="1" outlineLevel="1" x14ac:dyDescent="0.25">
      <c r="A3150" s="718"/>
      <c r="B3150" s="785"/>
      <c r="C3150" s="455"/>
      <c r="D3150" s="2806"/>
      <c r="E3150" s="2856"/>
      <c r="F3150" s="2917" t="str">
        <f>E1632</f>
        <v>ASHP - SEER 19 - replace on fail MF</v>
      </c>
      <c r="G3150" s="2917"/>
      <c r="H3150" s="2917"/>
      <c r="I3150" s="2917"/>
      <c r="J3150" s="1654" t="str">
        <f>C1632</f>
        <v>355050_2019_12_</v>
      </c>
      <c r="K3150" s="713">
        <f>$R$1670*K$2692</f>
        <v>1203.6500000000003</v>
      </c>
      <c r="L3150" s="910">
        <f>VLOOKUP(J3150,$J$1664:$L$1791,3,FALSE)*M3150</f>
        <v>2.145</v>
      </c>
      <c r="M3150" s="2110">
        <f>VLOOKUP(J3150,$J$2688:$K$2815,2,FALSE)</f>
        <v>0.65</v>
      </c>
      <c r="N3150" s="1453"/>
      <c r="O3150" s="332"/>
      <c r="P3150" s="1116"/>
      <c r="Q3150" s="1117"/>
      <c r="R3150" s="1116"/>
      <c r="S3150" s="1103"/>
      <c r="T3150" s="1639"/>
      <c r="U3150" s="177"/>
      <c r="V3150" s="2866"/>
      <c r="W3150" s="713">
        <v>2684</v>
      </c>
      <c r="X3150" s="716">
        <f>$R$1670*(X$1786/12000)*X$2810</f>
        <v>2581.8292500000007</v>
      </c>
      <c r="Y3150" s="716">
        <v>813.33333333333337</v>
      </c>
      <c r="Z3150" s="1060"/>
      <c r="AA3150" s="713"/>
      <c r="AB3150" s="1060"/>
      <c r="AC3150" s="1060"/>
      <c r="AD3150" s="1060"/>
      <c r="AE3150" s="1060"/>
      <c r="AF3150" s="1060"/>
      <c r="AG3150" s="1060"/>
      <c r="BB3150" s="784"/>
      <c r="BC3150" s="785"/>
      <c r="BD3150" s="900"/>
      <c r="BE3150" s="797"/>
    </row>
    <row r="3151" spans="1:57" s="65" customFormat="1" ht="15" hidden="1" customHeight="1" outlineLevel="1" x14ac:dyDescent="0.25">
      <c r="A3151" s="718"/>
      <c r="B3151" s="785"/>
      <c r="C3151" s="455"/>
      <c r="D3151" s="2806"/>
      <c r="E3151" s="2856"/>
      <c r="F3151" s="2917" t="str">
        <f>E1633</f>
        <v>ASHP - SEER 19 - replace on fail MF</v>
      </c>
      <c r="G3151" s="2917"/>
      <c r="H3151" s="2917"/>
      <c r="I3151" s="2917"/>
      <c r="J3151" s="1654" t="str">
        <f>C1633</f>
        <v>355050_2019_12_</v>
      </c>
      <c r="K3151" s="713"/>
      <c r="L3151" s="910" t="str">
        <f>IF(K3151&gt;0,VLOOKUP(J3151,$J$1664:$L$1791,3,FALSE),"")</f>
        <v/>
      </c>
      <c r="M3151" s="2110" t="str">
        <f>IF(K3151&gt;0,VLOOKUP(J3151,$J$2688:$K$2815,2,FALSE),"")</f>
        <v/>
      </c>
      <c r="N3151" s="1453"/>
      <c r="O3151" s="332"/>
      <c r="P3151" s="1116"/>
      <c r="Q3151" s="1117"/>
      <c r="R3151" s="1116"/>
      <c r="S3151" s="1103"/>
      <c r="T3151" s="1639"/>
      <c r="U3151" s="177"/>
      <c r="V3151" s="2866"/>
      <c r="W3151" s="713"/>
      <c r="X3151" s="716"/>
      <c r="Y3151" s="716"/>
      <c r="Z3151" s="1060"/>
      <c r="AA3151" s="713"/>
      <c r="AB3151" s="1060"/>
      <c r="AC3151" s="1060"/>
      <c r="AD3151" s="1060"/>
      <c r="AE3151" s="1060"/>
      <c r="AF3151" s="1060"/>
      <c r="AG3151" s="1060"/>
      <c r="BB3151" s="784"/>
      <c r="BC3151" s="785"/>
      <c r="BD3151" s="900"/>
      <c r="BE3151" s="797"/>
    </row>
    <row r="3152" spans="1:57" s="65" customFormat="1" ht="15" hidden="1" customHeight="1" outlineLevel="1" x14ac:dyDescent="0.25">
      <c r="A3152" s="718"/>
      <c r="B3152" s="785"/>
      <c r="C3152" s="455"/>
      <c r="D3152" s="2806"/>
      <c r="E3152" s="2856"/>
      <c r="F3152" s="2917" t="str">
        <f>E1636</f>
        <v>ASHP - SEER 20 - replace on fail MF</v>
      </c>
      <c r="G3152" s="2917"/>
      <c r="H3152" s="2917"/>
      <c r="I3152" s="2917"/>
      <c r="J3152" s="1654" t="str">
        <f>C1636</f>
        <v>355100_2019_12_</v>
      </c>
      <c r="K3152" s="713">
        <f>$R$1671*K$2692</f>
        <v>1444.3799999999994</v>
      </c>
      <c r="L3152" s="910">
        <f>VLOOKUP(J3152,$J$1664:$L$1791,3,FALSE)*M3152</f>
        <v>2.145</v>
      </c>
      <c r="M3152" s="2110">
        <f>VLOOKUP(J3152,$J$2688:$K$2815,2,FALSE)</f>
        <v>0.65</v>
      </c>
      <c r="N3152" s="1453"/>
      <c r="O3152" s="332"/>
      <c r="P3152" s="1116"/>
      <c r="Q3152" s="1117"/>
      <c r="R3152" s="1116"/>
      <c r="S3152" s="1103"/>
      <c r="T3152" s="1639"/>
      <c r="U3152" s="177"/>
      <c r="V3152" s="2866"/>
      <c r="W3152" s="713">
        <v>3828</v>
      </c>
      <c r="X3152" s="716">
        <f>$R$1671*(X$1788/12000)*X$2812</f>
        <v>3098.1950999999985</v>
      </c>
      <c r="Y3152" s="716">
        <v>1160</v>
      </c>
      <c r="Z3152" s="1060"/>
      <c r="AA3152" s="713"/>
      <c r="AB3152" s="1060"/>
      <c r="AC3152" s="1060"/>
      <c r="AD3152" s="1060"/>
      <c r="AE3152" s="1060"/>
      <c r="AF3152" s="1060"/>
      <c r="AG3152" s="1060"/>
      <c r="BB3152" s="784"/>
      <c r="BC3152" s="785"/>
      <c r="BD3152" s="900"/>
      <c r="BE3152" s="797"/>
    </row>
    <row r="3153" spans="1:57" s="65" customFormat="1" ht="15" hidden="1" customHeight="1" outlineLevel="1" x14ac:dyDescent="0.25">
      <c r="A3153" s="718"/>
      <c r="B3153" s="785"/>
      <c r="C3153" s="455"/>
      <c r="D3153" s="2806"/>
      <c r="E3153" s="2856"/>
      <c r="F3153" s="2917" t="str">
        <f>E1637</f>
        <v>ASHP - SEER 20 - replace on fail MF</v>
      </c>
      <c r="G3153" s="2917"/>
      <c r="H3153" s="2917"/>
      <c r="I3153" s="2917"/>
      <c r="J3153" s="1654" t="str">
        <f>C1637</f>
        <v>355100_2019_12_</v>
      </c>
      <c r="K3153" s="713"/>
      <c r="L3153" s="910" t="str">
        <f>IF(K3153&gt;0,VLOOKUP(J3153,$J$1664:$L$1791,3,FALSE),"")</f>
        <v/>
      </c>
      <c r="M3153" s="2110" t="str">
        <f>IF(K3153&gt;0,VLOOKUP(J3153,$J$2688:$K$2815,2,FALSE),"")</f>
        <v/>
      </c>
      <c r="N3153" s="1453"/>
      <c r="O3153" s="332"/>
      <c r="P3153" s="1116"/>
      <c r="Q3153" s="1117"/>
      <c r="R3153" s="1116"/>
      <c r="S3153" s="1103"/>
      <c r="T3153" s="1639"/>
      <c r="U3153" s="177"/>
      <c r="V3153" s="2866"/>
      <c r="W3153" s="713"/>
      <c r="X3153" s="716"/>
      <c r="Y3153" s="716"/>
      <c r="Z3153" s="1060"/>
      <c r="AA3153" s="713"/>
      <c r="AB3153" s="1060"/>
      <c r="AC3153" s="1060"/>
      <c r="AD3153" s="1060"/>
      <c r="AE3153" s="1060"/>
      <c r="AF3153" s="1060"/>
      <c r="AG3153" s="1060"/>
      <c r="BB3153" s="784"/>
      <c r="BC3153" s="785"/>
      <c r="BD3153" s="900"/>
      <c r="BE3153" s="797"/>
    </row>
    <row r="3154" spans="1:57" s="65" customFormat="1" ht="15" hidden="1" customHeight="1" outlineLevel="1" x14ac:dyDescent="0.25">
      <c r="A3154" s="718"/>
      <c r="B3154" s="785"/>
      <c r="C3154" s="455"/>
      <c r="D3154" s="2806"/>
      <c r="E3154" s="2856"/>
      <c r="F3154" s="2917" t="str">
        <f t="shared" ref="F3154:F3155" si="267">E1640</f>
        <v>ASHP - SEER 21 - replace on fail MF</v>
      </c>
      <c r="G3154" s="2917"/>
      <c r="H3154" s="2917"/>
      <c r="I3154" s="2917"/>
      <c r="J3154" s="1654" t="str">
        <f>C1640</f>
        <v>355150_2019_12_</v>
      </c>
      <c r="K3154" s="713">
        <f>$R$1672*K$2692</f>
        <v>1689.9245999999991</v>
      </c>
      <c r="L3154" s="910">
        <f>VLOOKUP(J3154,$J$1664:$L$1791,3,FALSE)*M3154</f>
        <v>2.145</v>
      </c>
      <c r="M3154" s="2110">
        <f>VLOOKUP(J3154,$J$2688:$K$2815,2,FALSE)</f>
        <v>0.65</v>
      </c>
      <c r="N3154" s="1453"/>
      <c r="O3154" s="332"/>
      <c r="P3154" s="1116"/>
      <c r="Q3154" s="1117"/>
      <c r="R3154" s="1116"/>
      <c r="S3154" s="1103"/>
      <c r="T3154" s="1639"/>
      <c r="U3154" s="177"/>
      <c r="V3154" s="2866"/>
      <c r="W3154" s="713">
        <v>3828</v>
      </c>
      <c r="X3154" s="716">
        <f>$R$1672*(X$1790/12000)*X$2814</f>
        <v>3624.888266999998</v>
      </c>
      <c r="Y3154" s="716">
        <v>1160</v>
      </c>
      <c r="Z3154" s="1060"/>
      <c r="AA3154" s="713"/>
      <c r="AB3154" s="1060"/>
      <c r="AC3154" s="1060"/>
      <c r="AD3154" s="1060"/>
      <c r="AE3154" s="1060"/>
      <c r="AF3154" s="1060"/>
      <c r="AG3154" s="1060"/>
      <c r="BB3154" s="784"/>
      <c r="BC3154" s="785"/>
      <c r="BD3154" s="900"/>
      <c r="BE3154" s="797"/>
    </row>
    <row r="3155" spans="1:57" s="65" customFormat="1" ht="15.75" hidden="1" customHeight="1" outlineLevel="1" thickBot="1" x14ac:dyDescent="0.3">
      <c r="A3155" s="718"/>
      <c r="B3155" s="785"/>
      <c r="C3155" s="455"/>
      <c r="D3155" s="2824"/>
      <c r="E3155" s="2890"/>
      <c r="F3155" s="2918" t="str">
        <f t="shared" si="267"/>
        <v>ASHP - SEER 21 - replace on fail MF</v>
      </c>
      <c r="G3155" s="2918"/>
      <c r="H3155" s="2918"/>
      <c r="I3155" s="2918"/>
      <c r="J3155" s="1655" t="str">
        <f>C1641</f>
        <v>355150_2019_12_</v>
      </c>
      <c r="K3155" s="1151"/>
      <c r="L3155" s="814" t="str">
        <f>IF(K3155&gt;0,VLOOKUP(J3155,$J$1664:$L$1791,3,FALSE),"")</f>
        <v/>
      </c>
      <c r="M3155" s="2111" t="str">
        <f>IF(K3155&gt;0,VLOOKUP(J3155,$J$2688:$K$2815,2,FALSE),"")</f>
        <v/>
      </c>
      <c r="N3155" s="177"/>
      <c r="O3155" s="332"/>
      <c r="P3155" s="1116"/>
      <c r="Q3155" s="1117"/>
      <c r="R3155" s="1116"/>
      <c r="S3155" s="1103"/>
      <c r="T3155" s="1639"/>
      <c r="U3155" s="177"/>
      <c r="V3155" s="2883"/>
      <c r="W3155" s="1151"/>
      <c r="X3155" s="1152"/>
      <c r="Y3155" s="1150"/>
      <c r="Z3155" s="1153"/>
      <c r="AA3155" s="1154"/>
      <c r="AB3155" s="1153"/>
      <c r="AC3155" s="1153"/>
      <c r="AD3155" s="1153"/>
      <c r="AE3155" s="1153"/>
      <c r="AF3155" s="1153"/>
      <c r="AG3155" s="1153"/>
      <c r="BB3155" s="784"/>
      <c r="BC3155" s="785"/>
      <c r="BD3155" s="900"/>
      <c r="BE3155" s="797"/>
    </row>
    <row r="3156" spans="1:57" ht="15" customHeight="1" collapsed="1" x14ac:dyDescent="0.25">
      <c r="AK3156" s="65"/>
      <c r="AL3156" s="65"/>
      <c r="AM3156" s="65"/>
      <c r="AN3156" s="65"/>
    </row>
  </sheetData>
  <mergeCells count="2800">
    <mergeCell ref="F743:H743"/>
    <mergeCell ref="F744:H744"/>
    <mergeCell ref="F745:H745"/>
    <mergeCell ref="F746:H746"/>
    <mergeCell ref="F747:H747"/>
    <mergeCell ref="V194:V265"/>
    <mergeCell ref="V266:V337"/>
    <mergeCell ref="V338:V409"/>
    <mergeCell ref="V410:V481"/>
    <mergeCell ref="V482:V553"/>
    <mergeCell ref="V554:V625"/>
    <mergeCell ref="V626:V697"/>
    <mergeCell ref="V698:V769"/>
    <mergeCell ref="F337:H337"/>
    <mergeCell ref="F256:H256"/>
    <mergeCell ref="F257:H257"/>
    <mergeCell ref="F756:H756"/>
    <mergeCell ref="F757:H757"/>
    <mergeCell ref="F758:H758"/>
    <mergeCell ref="F759:H759"/>
    <mergeCell ref="F760:H760"/>
    <mergeCell ref="F761:H761"/>
    <mergeCell ref="F762:H762"/>
    <mergeCell ref="F763:H763"/>
    <mergeCell ref="F764:H764"/>
    <mergeCell ref="F765:H765"/>
    <mergeCell ref="F766:H766"/>
    <mergeCell ref="F767:H767"/>
    <mergeCell ref="F768:H768"/>
    <mergeCell ref="F769:H769"/>
    <mergeCell ref="F617:H617"/>
    <mergeCell ref="F618:H618"/>
    <mergeCell ref="F677:H677"/>
    <mergeCell ref="F678:H678"/>
    <mergeCell ref="F679:H679"/>
    <mergeCell ref="F683:H683"/>
    <mergeCell ref="F684:H684"/>
    <mergeCell ref="F685:H685"/>
    <mergeCell ref="F686:H686"/>
    <mergeCell ref="F687:H687"/>
    <mergeCell ref="F624:H624"/>
    <mergeCell ref="F625:H625"/>
    <mergeCell ref="F258:H258"/>
    <mergeCell ref="F259:H259"/>
    <mergeCell ref="F260:H260"/>
    <mergeCell ref="F261:H261"/>
    <mergeCell ref="F262:H262"/>
    <mergeCell ref="F263:H263"/>
    <mergeCell ref="D698:D769"/>
    <mergeCell ref="E698:E769"/>
    <mergeCell ref="F692:H692"/>
    <mergeCell ref="F693:H693"/>
    <mergeCell ref="F694:H694"/>
    <mergeCell ref="F695:H695"/>
    <mergeCell ref="F696:H696"/>
    <mergeCell ref="F697:H697"/>
    <mergeCell ref="D626:D697"/>
    <mergeCell ref="E626:E697"/>
    <mergeCell ref="F734:H734"/>
    <mergeCell ref="F735:H735"/>
    <mergeCell ref="F736:H736"/>
    <mergeCell ref="F737:H737"/>
    <mergeCell ref="F738:H738"/>
    <mergeCell ref="F739:H739"/>
    <mergeCell ref="E554:E625"/>
    <mergeCell ref="D554:D625"/>
    <mergeCell ref="F662:H662"/>
    <mergeCell ref="F663:H663"/>
    <mergeCell ref="F664:H664"/>
    <mergeCell ref="F665:H665"/>
    <mergeCell ref="F666:H666"/>
    <mergeCell ref="F667:H667"/>
    <mergeCell ref="F668:H668"/>
    <mergeCell ref="F669:H669"/>
    <mergeCell ref="F670:H670"/>
    <mergeCell ref="F671:H671"/>
    <mergeCell ref="F672:H672"/>
    <mergeCell ref="F673:H673"/>
    <mergeCell ref="F674:H674"/>
    <mergeCell ref="F675:H675"/>
    <mergeCell ref="F676:H676"/>
    <mergeCell ref="F619:H619"/>
    <mergeCell ref="F620:H620"/>
    <mergeCell ref="F621:H621"/>
    <mergeCell ref="F622:H622"/>
    <mergeCell ref="F623:H623"/>
    <mergeCell ref="F656:H656"/>
    <mergeCell ref="F657:H657"/>
    <mergeCell ref="F658:H658"/>
    <mergeCell ref="F650:H650"/>
    <mergeCell ref="F651:H651"/>
    <mergeCell ref="F652:H652"/>
    <mergeCell ref="F653:H653"/>
    <mergeCell ref="F654:H654"/>
    <mergeCell ref="F655:H655"/>
    <mergeCell ref="F644:H644"/>
    <mergeCell ref="F688:H688"/>
    <mergeCell ref="F689:H689"/>
    <mergeCell ref="F690:H690"/>
    <mergeCell ref="F691:H691"/>
    <mergeCell ref="F643:H643"/>
    <mergeCell ref="F497:H497"/>
    <mergeCell ref="E482:E553"/>
    <mergeCell ref="D482:D553"/>
    <mergeCell ref="F590:H590"/>
    <mergeCell ref="F591:H591"/>
    <mergeCell ref="F592:H592"/>
    <mergeCell ref="F593:H593"/>
    <mergeCell ref="F594:H594"/>
    <mergeCell ref="F595:H595"/>
    <mergeCell ref="F596:H596"/>
    <mergeCell ref="F597:H597"/>
    <mergeCell ref="F598:H598"/>
    <mergeCell ref="F599:H599"/>
    <mergeCell ref="F600:H600"/>
    <mergeCell ref="F601:H601"/>
    <mergeCell ref="F602:H602"/>
    <mergeCell ref="F603:H603"/>
    <mergeCell ref="F604:H604"/>
    <mergeCell ref="F605:H605"/>
    <mergeCell ref="F606:H606"/>
    <mergeCell ref="F607:H607"/>
    <mergeCell ref="F608:H608"/>
    <mergeCell ref="F609:H609"/>
    <mergeCell ref="F610:H610"/>
    <mergeCell ref="F611:H611"/>
    <mergeCell ref="F612:H612"/>
    <mergeCell ref="F613:H613"/>
    <mergeCell ref="F460:H460"/>
    <mergeCell ref="F461:H461"/>
    <mergeCell ref="F462:H462"/>
    <mergeCell ref="F463:H463"/>
    <mergeCell ref="F464:H464"/>
    <mergeCell ref="F465:H465"/>
    <mergeCell ref="F614:H614"/>
    <mergeCell ref="F615:H615"/>
    <mergeCell ref="F616:H616"/>
    <mergeCell ref="F575:H575"/>
    <mergeCell ref="F335:H335"/>
    <mergeCell ref="F336:H336"/>
    <mergeCell ref="E410:E481"/>
    <mergeCell ref="D410:D481"/>
    <mergeCell ref="F518:H518"/>
    <mergeCell ref="F519:H519"/>
    <mergeCell ref="F520:H520"/>
    <mergeCell ref="F521:H521"/>
    <mergeCell ref="F522:H522"/>
    <mergeCell ref="F523:H523"/>
    <mergeCell ref="F524:H524"/>
    <mergeCell ref="F525:H525"/>
    <mergeCell ref="F526:H526"/>
    <mergeCell ref="F527:H527"/>
    <mergeCell ref="F528:H528"/>
    <mergeCell ref="F529:H529"/>
    <mergeCell ref="F530:H530"/>
    <mergeCell ref="F531:H531"/>
    <mergeCell ref="F532:H532"/>
    <mergeCell ref="F533:H533"/>
    <mergeCell ref="F534:H534"/>
    <mergeCell ref="F535:H535"/>
    <mergeCell ref="F343:H343"/>
    <mergeCell ref="F344:H344"/>
    <mergeCell ref="E338:E409"/>
    <mergeCell ref="D266:D337"/>
    <mergeCell ref="D338:D409"/>
    <mergeCell ref="F446:H446"/>
    <mergeCell ref="F447:H447"/>
    <mergeCell ref="F448:H448"/>
    <mergeCell ref="F449:H449"/>
    <mergeCell ref="F450:H450"/>
    <mergeCell ref="F451:H451"/>
    <mergeCell ref="F452:H452"/>
    <mergeCell ref="F453:H453"/>
    <mergeCell ref="F454:H454"/>
    <mergeCell ref="F455:H455"/>
    <mergeCell ref="F456:H456"/>
    <mergeCell ref="F457:H457"/>
    <mergeCell ref="F317:H317"/>
    <mergeCell ref="F318:H318"/>
    <mergeCell ref="F357:H357"/>
    <mergeCell ref="F358:H358"/>
    <mergeCell ref="F359:H359"/>
    <mergeCell ref="F360:H360"/>
    <mergeCell ref="F361:H361"/>
    <mergeCell ref="F362:H362"/>
    <mergeCell ref="F422:H422"/>
    <mergeCell ref="F423:H423"/>
    <mergeCell ref="F424:H424"/>
    <mergeCell ref="F425:H425"/>
    <mergeCell ref="F412:H412"/>
    <mergeCell ref="F413:H413"/>
    <mergeCell ref="F414:H414"/>
    <mergeCell ref="F466:H466"/>
    <mergeCell ref="F375:H375"/>
    <mergeCell ref="F376:H376"/>
    <mergeCell ref="F377:H377"/>
    <mergeCell ref="F378:H378"/>
    <mergeCell ref="F379:H379"/>
    <mergeCell ref="F380:H380"/>
    <mergeCell ref="F381:H381"/>
    <mergeCell ref="F382:H382"/>
    <mergeCell ref="F383:H383"/>
    <mergeCell ref="F384:H384"/>
    <mergeCell ref="F385:H385"/>
    <mergeCell ref="F386:H386"/>
    <mergeCell ref="F387:H387"/>
    <mergeCell ref="F388:H388"/>
    <mergeCell ref="F389:H389"/>
    <mergeCell ref="F390:H390"/>
    <mergeCell ref="F391:H391"/>
    <mergeCell ref="F392:H392"/>
    <mergeCell ref="F393:H393"/>
    <mergeCell ref="F394:H394"/>
    <mergeCell ref="F395:H395"/>
    <mergeCell ref="F396:H396"/>
    <mergeCell ref="F440:H440"/>
    <mergeCell ref="F441:H441"/>
    <mergeCell ref="F442:H442"/>
    <mergeCell ref="F443:H443"/>
    <mergeCell ref="F426:H426"/>
    <mergeCell ref="F427:H427"/>
    <mergeCell ref="F411:H411"/>
    <mergeCell ref="F458:H458"/>
    <mergeCell ref="F459:H459"/>
    <mergeCell ref="D194:D265"/>
    <mergeCell ref="E194:E265"/>
    <mergeCell ref="F302:H302"/>
    <mergeCell ref="F303:H303"/>
    <mergeCell ref="F304:H304"/>
    <mergeCell ref="F305:H305"/>
    <mergeCell ref="F306:H306"/>
    <mergeCell ref="F307:H307"/>
    <mergeCell ref="F308:H308"/>
    <mergeCell ref="F309:H309"/>
    <mergeCell ref="F310:H310"/>
    <mergeCell ref="F311:H311"/>
    <mergeCell ref="F312:H312"/>
    <mergeCell ref="F313:H313"/>
    <mergeCell ref="F314:H314"/>
    <mergeCell ref="F315:H315"/>
    <mergeCell ref="F316:H316"/>
    <mergeCell ref="F264:H264"/>
    <mergeCell ref="F265:H265"/>
    <mergeCell ref="F288:H288"/>
    <mergeCell ref="F289:H289"/>
    <mergeCell ref="F283:H283"/>
    <mergeCell ref="F267:H267"/>
    <mergeCell ref="F268:H268"/>
    <mergeCell ref="F269:H269"/>
    <mergeCell ref="F270:H270"/>
    <mergeCell ref="F271:H271"/>
    <mergeCell ref="F272:H272"/>
    <mergeCell ref="F273:H273"/>
    <mergeCell ref="F274:H274"/>
    <mergeCell ref="F275:H275"/>
    <mergeCell ref="F225:H225"/>
    <mergeCell ref="F237:H237"/>
    <mergeCell ref="F238:H238"/>
    <mergeCell ref="E266:E337"/>
    <mergeCell ref="F334:H334"/>
    <mergeCell ref="F239:H239"/>
    <mergeCell ref="F240:H240"/>
    <mergeCell ref="F241:H241"/>
    <mergeCell ref="P241:R241"/>
    <mergeCell ref="F242:H242"/>
    <mergeCell ref="F243:H243"/>
    <mergeCell ref="F244:H244"/>
    <mergeCell ref="F245:H245"/>
    <mergeCell ref="F246:H246"/>
    <mergeCell ref="F247:H247"/>
    <mergeCell ref="F248:H248"/>
    <mergeCell ref="L194:L265"/>
    <mergeCell ref="F249:H249"/>
    <mergeCell ref="F250:H250"/>
    <mergeCell ref="F251:H251"/>
    <mergeCell ref="F252:H252"/>
    <mergeCell ref="F253:H253"/>
    <mergeCell ref="F254:H254"/>
    <mergeCell ref="F255:H255"/>
    <mergeCell ref="F296:H296"/>
    <mergeCell ref="F297:H297"/>
    <mergeCell ref="F3150:I3150"/>
    <mergeCell ref="F3151:I3151"/>
    <mergeCell ref="F3152:I3152"/>
    <mergeCell ref="F3153:I3153"/>
    <mergeCell ref="F3154:I3154"/>
    <mergeCell ref="F3155:I3155"/>
    <mergeCell ref="F3144:I3144"/>
    <mergeCell ref="F3145:I3145"/>
    <mergeCell ref="F3146:I3146"/>
    <mergeCell ref="F3147:I3147"/>
    <mergeCell ref="F3148:I3148"/>
    <mergeCell ref="F3149:I3149"/>
    <mergeCell ref="F3138:I3138"/>
    <mergeCell ref="F3139:I3139"/>
    <mergeCell ref="F3140:I3140"/>
    <mergeCell ref="F3141:I3141"/>
    <mergeCell ref="F3142:I3142"/>
    <mergeCell ref="F3143:I3143"/>
    <mergeCell ref="F3132:I3132"/>
    <mergeCell ref="F3133:I3133"/>
    <mergeCell ref="F3134:I3134"/>
    <mergeCell ref="F3135:I3135"/>
    <mergeCell ref="F3136:I3136"/>
    <mergeCell ref="F3137:I3137"/>
    <mergeCell ref="F3126:I3126"/>
    <mergeCell ref="F3127:I3127"/>
    <mergeCell ref="F3128:I3128"/>
    <mergeCell ref="F3129:I3129"/>
    <mergeCell ref="F3130:I3130"/>
    <mergeCell ref="F3131:I3131"/>
    <mergeCell ref="F3120:I3120"/>
    <mergeCell ref="F3121:I3121"/>
    <mergeCell ref="F3122:I3122"/>
    <mergeCell ref="F3123:I3123"/>
    <mergeCell ref="F3124:I3124"/>
    <mergeCell ref="F3125:I3125"/>
    <mergeCell ref="F3114:I3114"/>
    <mergeCell ref="F3115:I3115"/>
    <mergeCell ref="F3116:I3116"/>
    <mergeCell ref="F3117:I3117"/>
    <mergeCell ref="F3118:I3118"/>
    <mergeCell ref="F3119:I3119"/>
    <mergeCell ref="F3108:I3108"/>
    <mergeCell ref="F3109:I3109"/>
    <mergeCell ref="F3110:I3110"/>
    <mergeCell ref="F3111:I3111"/>
    <mergeCell ref="F3112:I3112"/>
    <mergeCell ref="F3113:I3113"/>
    <mergeCell ref="F3102:I3102"/>
    <mergeCell ref="F3103:I3103"/>
    <mergeCell ref="F3104:I3104"/>
    <mergeCell ref="F3105:I3105"/>
    <mergeCell ref="F3106:I3106"/>
    <mergeCell ref="F3107:I3107"/>
    <mergeCell ref="F3096:I3096"/>
    <mergeCell ref="F3097:I3097"/>
    <mergeCell ref="F3098:I3098"/>
    <mergeCell ref="F3099:I3099"/>
    <mergeCell ref="F3100:I3100"/>
    <mergeCell ref="F3101:I3101"/>
    <mergeCell ref="F3090:I3090"/>
    <mergeCell ref="F3091:I3091"/>
    <mergeCell ref="F3092:I3092"/>
    <mergeCell ref="F3093:I3093"/>
    <mergeCell ref="F3094:I3094"/>
    <mergeCell ref="F3095:I3095"/>
    <mergeCell ref="F3084:I3084"/>
    <mergeCell ref="F3085:I3085"/>
    <mergeCell ref="F3086:I3086"/>
    <mergeCell ref="F3087:I3087"/>
    <mergeCell ref="F3088:I3088"/>
    <mergeCell ref="F3089:I3089"/>
    <mergeCell ref="F3078:I3078"/>
    <mergeCell ref="F3079:I3079"/>
    <mergeCell ref="F3080:I3080"/>
    <mergeCell ref="F3081:I3081"/>
    <mergeCell ref="F3082:I3082"/>
    <mergeCell ref="F3083:I3083"/>
    <mergeCell ref="F3046:I3046"/>
    <mergeCell ref="F3047:I3047"/>
    <mergeCell ref="F3036:I3036"/>
    <mergeCell ref="F3037:I3037"/>
    <mergeCell ref="F3038:I3038"/>
    <mergeCell ref="F3039:I3039"/>
    <mergeCell ref="F3040:I3040"/>
    <mergeCell ref="F3041:I3041"/>
    <mergeCell ref="F3072:I3072"/>
    <mergeCell ref="F3073:I3073"/>
    <mergeCell ref="F3074:I3074"/>
    <mergeCell ref="F3075:I3075"/>
    <mergeCell ref="F3076:I3076"/>
    <mergeCell ref="F3077:I3077"/>
    <mergeCell ref="F3066:I3066"/>
    <mergeCell ref="F3067:I3067"/>
    <mergeCell ref="F3068:I3068"/>
    <mergeCell ref="F3069:I3069"/>
    <mergeCell ref="F3070:I3070"/>
    <mergeCell ref="F3071:I3071"/>
    <mergeCell ref="F3061:I3061"/>
    <mergeCell ref="F3062:I3062"/>
    <mergeCell ref="F3063:I3063"/>
    <mergeCell ref="F3064:I3064"/>
    <mergeCell ref="F3065:I3065"/>
    <mergeCell ref="V2986:V3155"/>
    <mergeCell ref="F2987:I2987"/>
    <mergeCell ref="F2988:I2988"/>
    <mergeCell ref="F2989:I2989"/>
    <mergeCell ref="F2990:I2990"/>
    <mergeCell ref="F2991:I2991"/>
    <mergeCell ref="F2992:I2992"/>
    <mergeCell ref="F2993:I2993"/>
    <mergeCell ref="F2994:I2994"/>
    <mergeCell ref="F2995:I2995"/>
    <mergeCell ref="F3024:I3024"/>
    <mergeCell ref="F3025:I3025"/>
    <mergeCell ref="F3026:I3026"/>
    <mergeCell ref="F3027:I3027"/>
    <mergeCell ref="F3028:I3028"/>
    <mergeCell ref="F3029:I3029"/>
    <mergeCell ref="F3018:I3018"/>
    <mergeCell ref="F3019:I3019"/>
    <mergeCell ref="F3020:I3020"/>
    <mergeCell ref="F3021:I3021"/>
    <mergeCell ref="F3022:I3022"/>
    <mergeCell ref="F3023:I3023"/>
    <mergeCell ref="F3012:I3012"/>
    <mergeCell ref="F3054:I3054"/>
    <mergeCell ref="F3055:I3055"/>
    <mergeCell ref="F3056:I3056"/>
    <mergeCell ref="F3057:I3057"/>
    <mergeCell ref="F3058:I3058"/>
    <mergeCell ref="F3059:I3059"/>
    <mergeCell ref="F3048:I3048"/>
    <mergeCell ref="F3049:I3049"/>
    <mergeCell ref="F3050:I3050"/>
    <mergeCell ref="F3013:I3013"/>
    <mergeCell ref="F3014:I3014"/>
    <mergeCell ref="F3015:I3015"/>
    <mergeCell ref="F3016:I3016"/>
    <mergeCell ref="F3017:I3017"/>
    <mergeCell ref="F3042:I3042"/>
    <mergeCell ref="F3043:I3043"/>
    <mergeCell ref="F2983:I2983"/>
    <mergeCell ref="F2984:I2984"/>
    <mergeCell ref="F2985:I2985"/>
    <mergeCell ref="D2986:D3155"/>
    <mergeCell ref="E2986:E3155"/>
    <mergeCell ref="F2986:I2986"/>
    <mergeCell ref="F2996:I2996"/>
    <mergeCell ref="F2997:I2997"/>
    <mergeCell ref="F2998:I2998"/>
    <mergeCell ref="F2999:I2999"/>
    <mergeCell ref="F3011:I3011"/>
    <mergeCell ref="F3030:I3030"/>
    <mergeCell ref="F3031:I3031"/>
    <mergeCell ref="F3032:I3032"/>
    <mergeCell ref="F3033:I3033"/>
    <mergeCell ref="F3034:I3034"/>
    <mergeCell ref="F3035:I3035"/>
    <mergeCell ref="F3060:I3060"/>
    <mergeCell ref="F3004:I3004"/>
    <mergeCell ref="F3005:I3005"/>
    <mergeCell ref="F3051:I3051"/>
    <mergeCell ref="F3052:I3052"/>
    <mergeCell ref="F3053:I3053"/>
    <mergeCell ref="F3044:I3044"/>
    <mergeCell ref="F3045:I3045"/>
    <mergeCell ref="F2977:I2977"/>
    <mergeCell ref="F2978:I2978"/>
    <mergeCell ref="F2979:I2979"/>
    <mergeCell ref="F2980:I2980"/>
    <mergeCell ref="F2981:I2981"/>
    <mergeCell ref="F2982:I2982"/>
    <mergeCell ref="F2971:I2971"/>
    <mergeCell ref="F2972:I2972"/>
    <mergeCell ref="F2973:I2973"/>
    <mergeCell ref="F2974:I2974"/>
    <mergeCell ref="F2975:I2975"/>
    <mergeCell ref="F2976:I2976"/>
    <mergeCell ref="F3006:I3006"/>
    <mergeCell ref="F3007:I3007"/>
    <mergeCell ref="F3008:I3008"/>
    <mergeCell ref="F3009:I3009"/>
    <mergeCell ref="F3010:I3010"/>
    <mergeCell ref="F3000:I3000"/>
    <mergeCell ref="F3001:I3001"/>
    <mergeCell ref="F3002:I3002"/>
    <mergeCell ref="F3003:I3003"/>
    <mergeCell ref="F2965:I2965"/>
    <mergeCell ref="F2966:I2966"/>
    <mergeCell ref="F2967:I2967"/>
    <mergeCell ref="F2968:I2968"/>
    <mergeCell ref="F2969:I2969"/>
    <mergeCell ref="F2970:I2970"/>
    <mergeCell ref="F2959:I2959"/>
    <mergeCell ref="F2960:I2960"/>
    <mergeCell ref="F2961:I2961"/>
    <mergeCell ref="F2962:I2962"/>
    <mergeCell ref="F2963:I2963"/>
    <mergeCell ref="F2964:I2964"/>
    <mergeCell ref="F2953:I2953"/>
    <mergeCell ref="F2954:I2954"/>
    <mergeCell ref="F2955:I2955"/>
    <mergeCell ref="F2956:I2956"/>
    <mergeCell ref="F2957:I2957"/>
    <mergeCell ref="F2958:I2958"/>
    <mergeCell ref="F2947:I2947"/>
    <mergeCell ref="F2948:I2948"/>
    <mergeCell ref="F2949:I2949"/>
    <mergeCell ref="F2950:I2950"/>
    <mergeCell ref="F2951:I2951"/>
    <mergeCell ref="F2952:I2952"/>
    <mergeCell ref="F2941:I2941"/>
    <mergeCell ref="F2942:I2942"/>
    <mergeCell ref="F2943:I2943"/>
    <mergeCell ref="F2944:I2944"/>
    <mergeCell ref="F2945:I2945"/>
    <mergeCell ref="F2946:I2946"/>
    <mergeCell ref="F2935:I2935"/>
    <mergeCell ref="F2936:I2936"/>
    <mergeCell ref="F2937:I2937"/>
    <mergeCell ref="F2938:I2938"/>
    <mergeCell ref="F2939:I2939"/>
    <mergeCell ref="F2940:I2940"/>
    <mergeCell ref="F2929:I2929"/>
    <mergeCell ref="F2930:I2930"/>
    <mergeCell ref="F2931:I2931"/>
    <mergeCell ref="F2932:I2932"/>
    <mergeCell ref="F2933:I2933"/>
    <mergeCell ref="F2934:I2934"/>
    <mergeCell ref="F2923:I2923"/>
    <mergeCell ref="F2924:I2924"/>
    <mergeCell ref="F2925:I2925"/>
    <mergeCell ref="F2926:I2926"/>
    <mergeCell ref="F2927:I2927"/>
    <mergeCell ref="F2928:I2928"/>
    <mergeCell ref="F2917:I2917"/>
    <mergeCell ref="F2918:I2918"/>
    <mergeCell ref="F2919:I2919"/>
    <mergeCell ref="F2920:I2920"/>
    <mergeCell ref="F2921:I2921"/>
    <mergeCell ref="F2922:I2922"/>
    <mergeCell ref="F2911:I2911"/>
    <mergeCell ref="F2912:I2912"/>
    <mergeCell ref="F2913:I2913"/>
    <mergeCell ref="F2914:I2914"/>
    <mergeCell ref="F2915:I2915"/>
    <mergeCell ref="F2916:I2916"/>
    <mergeCell ref="F2905:I2905"/>
    <mergeCell ref="F2906:I2906"/>
    <mergeCell ref="F2907:I2907"/>
    <mergeCell ref="F2908:I2908"/>
    <mergeCell ref="F2909:I2909"/>
    <mergeCell ref="F2910:I2910"/>
    <mergeCell ref="F2899:I2899"/>
    <mergeCell ref="F2900:I2900"/>
    <mergeCell ref="F2901:I2901"/>
    <mergeCell ref="F2902:I2902"/>
    <mergeCell ref="F2903:I2903"/>
    <mergeCell ref="F2904:I2904"/>
    <mergeCell ref="F2893:I2893"/>
    <mergeCell ref="F2894:I2894"/>
    <mergeCell ref="F2895:I2895"/>
    <mergeCell ref="F2896:I2896"/>
    <mergeCell ref="F2897:I2897"/>
    <mergeCell ref="F2898:I2898"/>
    <mergeCell ref="F2887:I2887"/>
    <mergeCell ref="F2888:I2888"/>
    <mergeCell ref="F2889:I2889"/>
    <mergeCell ref="F2890:I2890"/>
    <mergeCell ref="F2891:I2891"/>
    <mergeCell ref="F2892:I2892"/>
    <mergeCell ref="F2881:I2881"/>
    <mergeCell ref="F2882:I2882"/>
    <mergeCell ref="F2883:I2883"/>
    <mergeCell ref="F2884:I2884"/>
    <mergeCell ref="F2885:I2885"/>
    <mergeCell ref="F2886:I2886"/>
    <mergeCell ref="F2875:I2875"/>
    <mergeCell ref="F2876:I2876"/>
    <mergeCell ref="F2877:I2877"/>
    <mergeCell ref="F2878:I2878"/>
    <mergeCell ref="F2879:I2879"/>
    <mergeCell ref="F2880:I2880"/>
    <mergeCell ref="F2869:I2869"/>
    <mergeCell ref="F2870:I2870"/>
    <mergeCell ref="F2871:I2871"/>
    <mergeCell ref="F2872:I2872"/>
    <mergeCell ref="F2873:I2873"/>
    <mergeCell ref="F2874:I2874"/>
    <mergeCell ref="F2863:I2863"/>
    <mergeCell ref="F2864:I2864"/>
    <mergeCell ref="F2865:I2865"/>
    <mergeCell ref="F2866:I2866"/>
    <mergeCell ref="F2867:I2867"/>
    <mergeCell ref="F2868:I2868"/>
    <mergeCell ref="F2837:I2837"/>
    <mergeCell ref="F2838:I2838"/>
    <mergeCell ref="F2827:I2827"/>
    <mergeCell ref="F2828:I2828"/>
    <mergeCell ref="F2829:I2829"/>
    <mergeCell ref="F2830:I2830"/>
    <mergeCell ref="F2831:I2831"/>
    <mergeCell ref="F2832:I2832"/>
    <mergeCell ref="F2857:I2857"/>
    <mergeCell ref="F2858:I2858"/>
    <mergeCell ref="F2859:I2859"/>
    <mergeCell ref="F2860:I2860"/>
    <mergeCell ref="F2861:I2861"/>
    <mergeCell ref="F2862:I2862"/>
    <mergeCell ref="F2851:I2851"/>
    <mergeCell ref="F2852:I2852"/>
    <mergeCell ref="F2853:I2853"/>
    <mergeCell ref="F2854:I2854"/>
    <mergeCell ref="F2855:I2855"/>
    <mergeCell ref="F2856:I2856"/>
    <mergeCell ref="F2845:I2845"/>
    <mergeCell ref="F2846:I2846"/>
    <mergeCell ref="F2847:I2847"/>
    <mergeCell ref="F2848:I2848"/>
    <mergeCell ref="F2849:I2849"/>
    <mergeCell ref="F2850:I2850"/>
    <mergeCell ref="F2821:I2821"/>
    <mergeCell ref="F2822:I2822"/>
    <mergeCell ref="F2823:I2823"/>
    <mergeCell ref="F2824:I2824"/>
    <mergeCell ref="F2825:I2825"/>
    <mergeCell ref="F2826:I2826"/>
    <mergeCell ref="F2813:I2813"/>
    <mergeCell ref="F2814:I2814"/>
    <mergeCell ref="D2816:D2985"/>
    <mergeCell ref="E2816:E2985"/>
    <mergeCell ref="F2816:I2816"/>
    <mergeCell ref="V2816:V2985"/>
    <mergeCell ref="F2817:I2817"/>
    <mergeCell ref="F2818:I2818"/>
    <mergeCell ref="F2819:I2819"/>
    <mergeCell ref="F2820:I2820"/>
    <mergeCell ref="F2807:I2807"/>
    <mergeCell ref="F2808:I2808"/>
    <mergeCell ref="F2809:I2809"/>
    <mergeCell ref="F2810:I2810"/>
    <mergeCell ref="F2811:I2811"/>
    <mergeCell ref="F2812:I2812"/>
    <mergeCell ref="F2839:I2839"/>
    <mergeCell ref="F2840:I2840"/>
    <mergeCell ref="F2841:I2841"/>
    <mergeCell ref="F2842:I2842"/>
    <mergeCell ref="F2843:I2843"/>
    <mergeCell ref="F2844:I2844"/>
    <mergeCell ref="F2833:I2833"/>
    <mergeCell ref="F2834:I2834"/>
    <mergeCell ref="F2835:I2835"/>
    <mergeCell ref="F2836:I2836"/>
    <mergeCell ref="F2801:I2801"/>
    <mergeCell ref="F2802:I2802"/>
    <mergeCell ref="F2803:I2803"/>
    <mergeCell ref="F2804:I2804"/>
    <mergeCell ref="F2805:I2805"/>
    <mergeCell ref="F2806:I2806"/>
    <mergeCell ref="F2795:I2795"/>
    <mergeCell ref="F2796:I2796"/>
    <mergeCell ref="F2797:I2797"/>
    <mergeCell ref="F2798:I2798"/>
    <mergeCell ref="F2799:I2799"/>
    <mergeCell ref="F2800:I2800"/>
    <mergeCell ref="F2789:I2789"/>
    <mergeCell ref="F2790:I2790"/>
    <mergeCell ref="F2791:I2791"/>
    <mergeCell ref="F2792:I2792"/>
    <mergeCell ref="F2793:I2793"/>
    <mergeCell ref="F2794:I2794"/>
    <mergeCell ref="F2783:I2783"/>
    <mergeCell ref="F2784:I2784"/>
    <mergeCell ref="F2785:I2785"/>
    <mergeCell ref="F2786:I2786"/>
    <mergeCell ref="F2787:I2787"/>
    <mergeCell ref="F2788:I2788"/>
    <mergeCell ref="F2777:I2777"/>
    <mergeCell ref="F2778:I2778"/>
    <mergeCell ref="F2779:I2779"/>
    <mergeCell ref="F2780:I2780"/>
    <mergeCell ref="F2781:I2781"/>
    <mergeCell ref="F2782:I2782"/>
    <mergeCell ref="F2771:I2771"/>
    <mergeCell ref="F2772:I2772"/>
    <mergeCell ref="F2773:I2773"/>
    <mergeCell ref="F2774:I2774"/>
    <mergeCell ref="F2775:I2775"/>
    <mergeCell ref="F2776:I2776"/>
    <mergeCell ref="F2765:I2765"/>
    <mergeCell ref="F2766:I2766"/>
    <mergeCell ref="F2767:I2767"/>
    <mergeCell ref="F2768:I2768"/>
    <mergeCell ref="F2769:I2769"/>
    <mergeCell ref="F2770:I2770"/>
    <mergeCell ref="F2759:I2759"/>
    <mergeCell ref="F2760:I2760"/>
    <mergeCell ref="F2761:I2761"/>
    <mergeCell ref="F2762:I2762"/>
    <mergeCell ref="F2763:I2763"/>
    <mergeCell ref="F2764:I2764"/>
    <mergeCell ref="F2753:I2753"/>
    <mergeCell ref="F2754:I2754"/>
    <mergeCell ref="F2755:I2755"/>
    <mergeCell ref="F2756:I2756"/>
    <mergeCell ref="F2757:I2757"/>
    <mergeCell ref="F2758:I2758"/>
    <mergeCell ref="F2747:I2747"/>
    <mergeCell ref="F2748:I2748"/>
    <mergeCell ref="F2749:I2749"/>
    <mergeCell ref="F2750:I2750"/>
    <mergeCell ref="F2751:I2751"/>
    <mergeCell ref="F2752:I2752"/>
    <mergeCell ref="F2741:I2741"/>
    <mergeCell ref="F2742:I2742"/>
    <mergeCell ref="F2743:I2743"/>
    <mergeCell ref="F2744:I2744"/>
    <mergeCell ref="F2745:I2745"/>
    <mergeCell ref="F2746:I2746"/>
    <mergeCell ref="F2735:I2735"/>
    <mergeCell ref="F2736:I2736"/>
    <mergeCell ref="F2737:I2737"/>
    <mergeCell ref="F2738:I2738"/>
    <mergeCell ref="F2739:I2739"/>
    <mergeCell ref="F2740:I2740"/>
    <mergeCell ref="F2709:I2709"/>
    <mergeCell ref="F2710:I2710"/>
    <mergeCell ref="F2699:I2699"/>
    <mergeCell ref="F2700:I2700"/>
    <mergeCell ref="F2701:I2701"/>
    <mergeCell ref="F2702:I2702"/>
    <mergeCell ref="F2703:I2703"/>
    <mergeCell ref="F2704:I2704"/>
    <mergeCell ref="F2729:I2729"/>
    <mergeCell ref="F2730:I2730"/>
    <mergeCell ref="F2731:I2731"/>
    <mergeCell ref="F2732:I2732"/>
    <mergeCell ref="F2733:I2733"/>
    <mergeCell ref="F2734:I2734"/>
    <mergeCell ref="F2723:I2723"/>
    <mergeCell ref="F2724:I2724"/>
    <mergeCell ref="F2725:I2725"/>
    <mergeCell ref="F2726:I2726"/>
    <mergeCell ref="F2727:I2727"/>
    <mergeCell ref="F2728:I2728"/>
    <mergeCell ref="F2717:I2717"/>
    <mergeCell ref="F2718:I2718"/>
    <mergeCell ref="F2719:I2719"/>
    <mergeCell ref="F2720:I2720"/>
    <mergeCell ref="F2721:I2721"/>
    <mergeCell ref="F2722:I2722"/>
    <mergeCell ref="F2693:I2693"/>
    <mergeCell ref="F2694:I2694"/>
    <mergeCell ref="F2695:I2695"/>
    <mergeCell ref="F2696:I2696"/>
    <mergeCell ref="F2697:I2697"/>
    <mergeCell ref="F2698:I2698"/>
    <mergeCell ref="F2685:I2685"/>
    <mergeCell ref="F2686:I2686"/>
    <mergeCell ref="D2688:D2815"/>
    <mergeCell ref="E2688:E2815"/>
    <mergeCell ref="F2688:I2688"/>
    <mergeCell ref="V2688:V2815"/>
    <mergeCell ref="F2689:I2689"/>
    <mergeCell ref="F2690:I2690"/>
    <mergeCell ref="F2691:I2691"/>
    <mergeCell ref="F2692:I2692"/>
    <mergeCell ref="F2679:I2679"/>
    <mergeCell ref="F2680:I2680"/>
    <mergeCell ref="F2681:I2681"/>
    <mergeCell ref="F2682:I2682"/>
    <mergeCell ref="F2683:I2683"/>
    <mergeCell ref="F2684:I2684"/>
    <mergeCell ref="F2711:I2711"/>
    <mergeCell ref="F2712:I2712"/>
    <mergeCell ref="F2713:I2713"/>
    <mergeCell ref="F2714:I2714"/>
    <mergeCell ref="F2715:I2715"/>
    <mergeCell ref="F2716:I2716"/>
    <mergeCell ref="F2705:I2705"/>
    <mergeCell ref="F2706:I2706"/>
    <mergeCell ref="F2707:I2707"/>
    <mergeCell ref="F2708:I2708"/>
    <mergeCell ref="F2673:I2673"/>
    <mergeCell ref="F2674:I2674"/>
    <mergeCell ref="F2675:I2675"/>
    <mergeCell ref="F2676:I2676"/>
    <mergeCell ref="F2677:I2677"/>
    <mergeCell ref="F2678:I2678"/>
    <mergeCell ref="F2667:I2667"/>
    <mergeCell ref="F2668:I2668"/>
    <mergeCell ref="F2669:I2669"/>
    <mergeCell ref="F2670:I2670"/>
    <mergeCell ref="F2671:I2671"/>
    <mergeCell ref="F2672:I2672"/>
    <mergeCell ref="F2661:I2661"/>
    <mergeCell ref="F2662:I2662"/>
    <mergeCell ref="F2663:I2663"/>
    <mergeCell ref="F2664:I2664"/>
    <mergeCell ref="F2665:I2665"/>
    <mergeCell ref="F2666:I2666"/>
    <mergeCell ref="F2655:I2655"/>
    <mergeCell ref="F2656:I2656"/>
    <mergeCell ref="F2657:I2657"/>
    <mergeCell ref="F2658:I2658"/>
    <mergeCell ref="F2659:I2659"/>
    <mergeCell ref="F2660:I2660"/>
    <mergeCell ref="F2649:I2649"/>
    <mergeCell ref="F2650:I2650"/>
    <mergeCell ref="F2651:I2651"/>
    <mergeCell ref="F2652:I2652"/>
    <mergeCell ref="F2653:I2653"/>
    <mergeCell ref="F2654:I2654"/>
    <mergeCell ref="F2643:I2643"/>
    <mergeCell ref="F2644:I2644"/>
    <mergeCell ref="F2645:I2645"/>
    <mergeCell ref="F2646:I2646"/>
    <mergeCell ref="F2647:I2647"/>
    <mergeCell ref="F2648:I2648"/>
    <mergeCell ref="F2637:I2637"/>
    <mergeCell ref="F2638:I2638"/>
    <mergeCell ref="F2639:I2639"/>
    <mergeCell ref="F2640:I2640"/>
    <mergeCell ref="F2641:I2641"/>
    <mergeCell ref="F2642:I2642"/>
    <mergeCell ref="F2631:I2631"/>
    <mergeCell ref="F2632:I2632"/>
    <mergeCell ref="F2633:I2633"/>
    <mergeCell ref="F2634:I2634"/>
    <mergeCell ref="F2635:I2635"/>
    <mergeCell ref="F2636:I2636"/>
    <mergeCell ref="F2625:I2625"/>
    <mergeCell ref="F2626:I2626"/>
    <mergeCell ref="F2627:I2627"/>
    <mergeCell ref="F2628:I2628"/>
    <mergeCell ref="F2629:I2629"/>
    <mergeCell ref="F2630:I2630"/>
    <mergeCell ref="F2619:I2619"/>
    <mergeCell ref="F2620:I2620"/>
    <mergeCell ref="F2621:I2621"/>
    <mergeCell ref="F2622:I2622"/>
    <mergeCell ref="F2623:I2623"/>
    <mergeCell ref="F2624:I2624"/>
    <mergeCell ref="F2613:I2613"/>
    <mergeCell ref="F2614:I2614"/>
    <mergeCell ref="F2615:I2615"/>
    <mergeCell ref="F2616:I2616"/>
    <mergeCell ref="F2617:I2617"/>
    <mergeCell ref="F2618:I2618"/>
    <mergeCell ref="F2607:I2607"/>
    <mergeCell ref="F2608:I2608"/>
    <mergeCell ref="F2609:I2609"/>
    <mergeCell ref="F2610:I2610"/>
    <mergeCell ref="F2611:I2611"/>
    <mergeCell ref="F2612:I2612"/>
    <mergeCell ref="F2581:I2581"/>
    <mergeCell ref="F2582:I2582"/>
    <mergeCell ref="F2571:I2571"/>
    <mergeCell ref="F2572:I2572"/>
    <mergeCell ref="F2573:I2573"/>
    <mergeCell ref="F2574:I2574"/>
    <mergeCell ref="F2575:I2575"/>
    <mergeCell ref="F2576:I2576"/>
    <mergeCell ref="F2601:I2601"/>
    <mergeCell ref="F2602:I2602"/>
    <mergeCell ref="F2603:I2603"/>
    <mergeCell ref="F2604:I2604"/>
    <mergeCell ref="F2605:I2605"/>
    <mergeCell ref="F2606:I2606"/>
    <mergeCell ref="F2595:I2595"/>
    <mergeCell ref="F2596:I2596"/>
    <mergeCell ref="F2597:I2597"/>
    <mergeCell ref="F2598:I2598"/>
    <mergeCell ref="F2599:I2599"/>
    <mergeCell ref="F2600:I2600"/>
    <mergeCell ref="F2589:I2589"/>
    <mergeCell ref="F2590:I2590"/>
    <mergeCell ref="F2591:I2591"/>
    <mergeCell ref="F2592:I2592"/>
    <mergeCell ref="F2593:I2593"/>
    <mergeCell ref="F2594:I2594"/>
    <mergeCell ref="F2565:I2565"/>
    <mergeCell ref="F2566:I2566"/>
    <mergeCell ref="F2567:I2567"/>
    <mergeCell ref="F2568:I2568"/>
    <mergeCell ref="F2569:I2569"/>
    <mergeCell ref="F2570:I2570"/>
    <mergeCell ref="F2557:I2557"/>
    <mergeCell ref="F2558:I2558"/>
    <mergeCell ref="D2560:D2687"/>
    <mergeCell ref="E2560:E2687"/>
    <mergeCell ref="F2560:I2560"/>
    <mergeCell ref="V2560:V2687"/>
    <mergeCell ref="F2561:I2561"/>
    <mergeCell ref="F2562:I2562"/>
    <mergeCell ref="F2563:I2563"/>
    <mergeCell ref="F2564:I2564"/>
    <mergeCell ref="F2551:I2551"/>
    <mergeCell ref="F2552:I2552"/>
    <mergeCell ref="F2553:I2553"/>
    <mergeCell ref="F2554:I2554"/>
    <mergeCell ref="F2555:I2555"/>
    <mergeCell ref="F2556:I2556"/>
    <mergeCell ref="F2583:I2583"/>
    <mergeCell ref="F2584:I2584"/>
    <mergeCell ref="F2585:I2585"/>
    <mergeCell ref="F2586:I2586"/>
    <mergeCell ref="F2587:I2587"/>
    <mergeCell ref="F2588:I2588"/>
    <mergeCell ref="F2577:I2577"/>
    <mergeCell ref="F2578:I2578"/>
    <mergeCell ref="F2579:I2579"/>
    <mergeCell ref="F2580:I2580"/>
    <mergeCell ref="F2545:I2545"/>
    <mergeCell ref="F2546:I2546"/>
    <mergeCell ref="F2547:I2547"/>
    <mergeCell ref="F2548:I2548"/>
    <mergeCell ref="F2549:I2549"/>
    <mergeCell ref="F2550:I2550"/>
    <mergeCell ref="F2539:I2539"/>
    <mergeCell ref="F2540:I2540"/>
    <mergeCell ref="F2541:I2541"/>
    <mergeCell ref="F2542:I2542"/>
    <mergeCell ref="F2543:I2543"/>
    <mergeCell ref="F2544:I2544"/>
    <mergeCell ref="F2533:I2533"/>
    <mergeCell ref="F2534:I2534"/>
    <mergeCell ref="F2535:I2535"/>
    <mergeCell ref="F2536:I2536"/>
    <mergeCell ref="F2537:I2537"/>
    <mergeCell ref="F2538:I2538"/>
    <mergeCell ref="F2527:I2527"/>
    <mergeCell ref="F2528:I2528"/>
    <mergeCell ref="F2529:I2529"/>
    <mergeCell ref="F2530:I2530"/>
    <mergeCell ref="F2531:I2531"/>
    <mergeCell ref="F2532:I2532"/>
    <mergeCell ref="F2521:I2521"/>
    <mergeCell ref="F2522:I2522"/>
    <mergeCell ref="F2523:I2523"/>
    <mergeCell ref="F2524:I2524"/>
    <mergeCell ref="F2525:I2525"/>
    <mergeCell ref="F2526:I2526"/>
    <mergeCell ref="F2515:I2515"/>
    <mergeCell ref="F2516:I2516"/>
    <mergeCell ref="F2517:I2517"/>
    <mergeCell ref="F2518:I2518"/>
    <mergeCell ref="F2519:I2519"/>
    <mergeCell ref="F2520:I2520"/>
    <mergeCell ref="F2509:I2509"/>
    <mergeCell ref="F2510:I2510"/>
    <mergeCell ref="F2511:I2511"/>
    <mergeCell ref="F2512:I2512"/>
    <mergeCell ref="F2513:I2513"/>
    <mergeCell ref="F2514:I2514"/>
    <mergeCell ref="F2503:I2503"/>
    <mergeCell ref="F2504:I2504"/>
    <mergeCell ref="F2505:I2505"/>
    <mergeCell ref="F2506:I2506"/>
    <mergeCell ref="F2507:I2507"/>
    <mergeCell ref="F2508:I2508"/>
    <mergeCell ref="F2497:I2497"/>
    <mergeCell ref="F2498:I2498"/>
    <mergeCell ref="F2499:I2499"/>
    <mergeCell ref="F2500:I2500"/>
    <mergeCell ref="F2501:I2501"/>
    <mergeCell ref="F2502:I2502"/>
    <mergeCell ref="F2491:I2491"/>
    <mergeCell ref="F2492:I2492"/>
    <mergeCell ref="F2493:I2493"/>
    <mergeCell ref="F2494:I2494"/>
    <mergeCell ref="F2495:I2495"/>
    <mergeCell ref="F2496:I2496"/>
    <mergeCell ref="F2485:I2485"/>
    <mergeCell ref="F2486:I2486"/>
    <mergeCell ref="F2487:I2487"/>
    <mergeCell ref="F2488:I2488"/>
    <mergeCell ref="F2489:I2489"/>
    <mergeCell ref="F2490:I2490"/>
    <mergeCell ref="F2479:I2479"/>
    <mergeCell ref="F2480:I2480"/>
    <mergeCell ref="F2481:I2481"/>
    <mergeCell ref="F2482:I2482"/>
    <mergeCell ref="F2483:I2483"/>
    <mergeCell ref="F2484:I2484"/>
    <mergeCell ref="F2453:I2453"/>
    <mergeCell ref="F2454:I2454"/>
    <mergeCell ref="F2443:I2443"/>
    <mergeCell ref="F2444:I2444"/>
    <mergeCell ref="F2445:I2445"/>
    <mergeCell ref="F2446:I2446"/>
    <mergeCell ref="F2447:I2447"/>
    <mergeCell ref="F2448:I2448"/>
    <mergeCell ref="F2473:I2473"/>
    <mergeCell ref="F2474:I2474"/>
    <mergeCell ref="F2475:I2475"/>
    <mergeCell ref="F2476:I2476"/>
    <mergeCell ref="F2477:I2477"/>
    <mergeCell ref="F2478:I2478"/>
    <mergeCell ref="F2467:I2467"/>
    <mergeCell ref="F2468:I2468"/>
    <mergeCell ref="F2469:I2469"/>
    <mergeCell ref="F2470:I2470"/>
    <mergeCell ref="F2471:I2471"/>
    <mergeCell ref="F2472:I2472"/>
    <mergeCell ref="F2461:I2461"/>
    <mergeCell ref="F2462:I2462"/>
    <mergeCell ref="F2463:I2463"/>
    <mergeCell ref="F2464:I2464"/>
    <mergeCell ref="F2465:I2465"/>
    <mergeCell ref="F2466:I2466"/>
    <mergeCell ref="F2437:I2437"/>
    <mergeCell ref="F2438:I2438"/>
    <mergeCell ref="F2439:I2439"/>
    <mergeCell ref="F2440:I2440"/>
    <mergeCell ref="F2441:I2441"/>
    <mergeCell ref="F2442:I2442"/>
    <mergeCell ref="F2430:I2430"/>
    <mergeCell ref="D2432:D2559"/>
    <mergeCell ref="E2432:E2559"/>
    <mergeCell ref="F2432:I2432"/>
    <mergeCell ref="M2432:M2559"/>
    <mergeCell ref="V2432:V2559"/>
    <mergeCell ref="F2433:I2433"/>
    <mergeCell ref="F2434:I2434"/>
    <mergeCell ref="F2435:I2435"/>
    <mergeCell ref="F2436:I2436"/>
    <mergeCell ref="F2424:I2424"/>
    <mergeCell ref="F2425:I2425"/>
    <mergeCell ref="F2426:I2426"/>
    <mergeCell ref="F2427:I2427"/>
    <mergeCell ref="F2428:I2428"/>
    <mergeCell ref="F2429:I2429"/>
    <mergeCell ref="F2455:I2455"/>
    <mergeCell ref="F2456:I2456"/>
    <mergeCell ref="F2457:I2457"/>
    <mergeCell ref="F2458:I2458"/>
    <mergeCell ref="F2459:I2459"/>
    <mergeCell ref="F2460:I2460"/>
    <mergeCell ref="F2449:I2449"/>
    <mergeCell ref="F2450:I2450"/>
    <mergeCell ref="F2451:I2451"/>
    <mergeCell ref="F2452:I2452"/>
    <mergeCell ref="F2418:I2418"/>
    <mergeCell ref="F2419:I2419"/>
    <mergeCell ref="F2420:I2420"/>
    <mergeCell ref="F2421:I2421"/>
    <mergeCell ref="F2422:I2422"/>
    <mergeCell ref="F2423:I2423"/>
    <mergeCell ref="F2412:I2412"/>
    <mergeCell ref="F2413:I2413"/>
    <mergeCell ref="F2414:I2414"/>
    <mergeCell ref="F2415:I2415"/>
    <mergeCell ref="F2416:I2416"/>
    <mergeCell ref="F2417:I2417"/>
    <mergeCell ref="F2406:I2406"/>
    <mergeCell ref="F2407:I2407"/>
    <mergeCell ref="F2408:I2408"/>
    <mergeCell ref="F2409:I2409"/>
    <mergeCell ref="F2410:I2410"/>
    <mergeCell ref="F2411:I2411"/>
    <mergeCell ref="F2400:I2400"/>
    <mergeCell ref="F2401:I2401"/>
    <mergeCell ref="F2402:I2402"/>
    <mergeCell ref="F2403:I2403"/>
    <mergeCell ref="F2404:I2404"/>
    <mergeCell ref="F2405:I2405"/>
    <mergeCell ref="F2394:I2394"/>
    <mergeCell ref="F2395:I2395"/>
    <mergeCell ref="F2396:I2396"/>
    <mergeCell ref="F2397:I2397"/>
    <mergeCell ref="F2398:I2398"/>
    <mergeCell ref="F2399:I2399"/>
    <mergeCell ref="F2388:I2388"/>
    <mergeCell ref="F2389:I2389"/>
    <mergeCell ref="F2390:I2390"/>
    <mergeCell ref="F2391:I2391"/>
    <mergeCell ref="F2392:I2392"/>
    <mergeCell ref="F2393:I2393"/>
    <mergeCell ref="F2382:I2382"/>
    <mergeCell ref="F2383:I2383"/>
    <mergeCell ref="F2384:I2384"/>
    <mergeCell ref="F2385:I2385"/>
    <mergeCell ref="F2386:I2386"/>
    <mergeCell ref="F2387:I2387"/>
    <mergeCell ref="F2376:I2376"/>
    <mergeCell ref="F2377:I2377"/>
    <mergeCell ref="F2378:I2378"/>
    <mergeCell ref="F2379:I2379"/>
    <mergeCell ref="F2380:I2380"/>
    <mergeCell ref="F2381:I2381"/>
    <mergeCell ref="F2370:I2370"/>
    <mergeCell ref="F2371:I2371"/>
    <mergeCell ref="F2372:I2372"/>
    <mergeCell ref="F2373:I2373"/>
    <mergeCell ref="F2374:I2374"/>
    <mergeCell ref="F2375:I2375"/>
    <mergeCell ref="F2364:I2364"/>
    <mergeCell ref="F2365:I2365"/>
    <mergeCell ref="F2366:I2366"/>
    <mergeCell ref="F2367:I2367"/>
    <mergeCell ref="F2368:I2368"/>
    <mergeCell ref="F2369:I2369"/>
    <mergeCell ref="F2358:I2358"/>
    <mergeCell ref="F2359:I2359"/>
    <mergeCell ref="F2360:I2360"/>
    <mergeCell ref="F2361:I2361"/>
    <mergeCell ref="F2362:I2362"/>
    <mergeCell ref="F2363:I2363"/>
    <mergeCell ref="F2352:I2352"/>
    <mergeCell ref="F2353:I2353"/>
    <mergeCell ref="F2354:I2354"/>
    <mergeCell ref="F2355:I2355"/>
    <mergeCell ref="F2356:I2356"/>
    <mergeCell ref="F2357:I2357"/>
    <mergeCell ref="F2326:I2326"/>
    <mergeCell ref="F2327:I2327"/>
    <mergeCell ref="F2316:I2316"/>
    <mergeCell ref="F2317:I2317"/>
    <mergeCell ref="F2318:I2318"/>
    <mergeCell ref="F2319:I2319"/>
    <mergeCell ref="F2320:I2320"/>
    <mergeCell ref="F2321:I2321"/>
    <mergeCell ref="F2346:I2346"/>
    <mergeCell ref="F2347:I2347"/>
    <mergeCell ref="F2348:I2348"/>
    <mergeCell ref="F2349:I2349"/>
    <mergeCell ref="F2350:I2350"/>
    <mergeCell ref="F2351:I2351"/>
    <mergeCell ref="F2340:I2340"/>
    <mergeCell ref="F2341:I2341"/>
    <mergeCell ref="F2342:I2342"/>
    <mergeCell ref="F2343:I2343"/>
    <mergeCell ref="F2344:I2344"/>
    <mergeCell ref="F2345:I2345"/>
    <mergeCell ref="F2334:I2334"/>
    <mergeCell ref="F2335:I2335"/>
    <mergeCell ref="F2336:I2336"/>
    <mergeCell ref="F2337:I2337"/>
    <mergeCell ref="F2338:I2338"/>
    <mergeCell ref="F2339:I2339"/>
    <mergeCell ref="F2310:I2310"/>
    <mergeCell ref="F2311:I2311"/>
    <mergeCell ref="F2312:I2312"/>
    <mergeCell ref="F2313:I2313"/>
    <mergeCell ref="F2314:I2314"/>
    <mergeCell ref="F2315:I2315"/>
    <mergeCell ref="F2302:I2302"/>
    <mergeCell ref="D2304:D2431"/>
    <mergeCell ref="E2304:E2431"/>
    <mergeCell ref="F2304:I2304"/>
    <mergeCell ref="V2304:V2431"/>
    <mergeCell ref="F2305:I2305"/>
    <mergeCell ref="F2306:I2306"/>
    <mergeCell ref="F2307:I2307"/>
    <mergeCell ref="F2308:I2308"/>
    <mergeCell ref="F2309:I2309"/>
    <mergeCell ref="F2296:I2296"/>
    <mergeCell ref="F2297:I2297"/>
    <mergeCell ref="F2298:I2298"/>
    <mergeCell ref="F2299:I2299"/>
    <mergeCell ref="F2300:I2300"/>
    <mergeCell ref="F2301:I2301"/>
    <mergeCell ref="F2328:I2328"/>
    <mergeCell ref="F2329:I2329"/>
    <mergeCell ref="F2330:I2330"/>
    <mergeCell ref="F2331:I2331"/>
    <mergeCell ref="F2332:I2332"/>
    <mergeCell ref="F2333:I2333"/>
    <mergeCell ref="F2322:I2322"/>
    <mergeCell ref="F2323:I2323"/>
    <mergeCell ref="F2324:I2324"/>
    <mergeCell ref="F2325:I2325"/>
    <mergeCell ref="F2290:I2290"/>
    <mergeCell ref="F2291:I2291"/>
    <mergeCell ref="F2292:I2292"/>
    <mergeCell ref="F2293:I2293"/>
    <mergeCell ref="F2294:I2294"/>
    <mergeCell ref="F2295:I2295"/>
    <mergeCell ref="F2284:I2284"/>
    <mergeCell ref="F2285:I2285"/>
    <mergeCell ref="F2286:I2286"/>
    <mergeCell ref="F2287:I2287"/>
    <mergeCell ref="F2288:I2288"/>
    <mergeCell ref="F2289:I2289"/>
    <mergeCell ref="F2278:I2278"/>
    <mergeCell ref="F2279:I2279"/>
    <mergeCell ref="F2280:I2280"/>
    <mergeCell ref="F2281:I2281"/>
    <mergeCell ref="F2282:I2282"/>
    <mergeCell ref="F2283:I2283"/>
    <mergeCell ref="F2272:I2272"/>
    <mergeCell ref="F2273:I2273"/>
    <mergeCell ref="F2274:I2274"/>
    <mergeCell ref="F2275:I2275"/>
    <mergeCell ref="F2276:I2276"/>
    <mergeCell ref="F2277:I2277"/>
    <mergeCell ref="F2266:I2266"/>
    <mergeCell ref="F2267:I2267"/>
    <mergeCell ref="F2268:I2268"/>
    <mergeCell ref="F2269:I2269"/>
    <mergeCell ref="F2270:I2270"/>
    <mergeCell ref="F2271:I2271"/>
    <mergeCell ref="F2260:I2260"/>
    <mergeCell ref="F2261:I2261"/>
    <mergeCell ref="F2262:I2262"/>
    <mergeCell ref="F2263:I2263"/>
    <mergeCell ref="F2264:I2264"/>
    <mergeCell ref="F2265:I2265"/>
    <mergeCell ref="F2254:I2254"/>
    <mergeCell ref="F2255:I2255"/>
    <mergeCell ref="F2256:I2256"/>
    <mergeCell ref="F2257:I2257"/>
    <mergeCell ref="F2258:I2258"/>
    <mergeCell ref="F2259:I2259"/>
    <mergeCell ref="F2248:I2248"/>
    <mergeCell ref="F2249:I2249"/>
    <mergeCell ref="F2250:I2250"/>
    <mergeCell ref="F2251:I2251"/>
    <mergeCell ref="F2252:I2252"/>
    <mergeCell ref="F2253:I2253"/>
    <mergeCell ref="F2242:I2242"/>
    <mergeCell ref="F2243:I2243"/>
    <mergeCell ref="F2244:I2244"/>
    <mergeCell ref="F2245:I2245"/>
    <mergeCell ref="F2246:I2246"/>
    <mergeCell ref="F2247:I2247"/>
    <mergeCell ref="F2236:I2236"/>
    <mergeCell ref="F2237:I2237"/>
    <mergeCell ref="F2238:I2238"/>
    <mergeCell ref="F2239:I2239"/>
    <mergeCell ref="F2240:I2240"/>
    <mergeCell ref="F2241:I2241"/>
    <mergeCell ref="F2230:I2230"/>
    <mergeCell ref="F2231:I2231"/>
    <mergeCell ref="F2232:I2232"/>
    <mergeCell ref="F2233:I2233"/>
    <mergeCell ref="F2234:I2234"/>
    <mergeCell ref="F2235:I2235"/>
    <mergeCell ref="F2224:I2224"/>
    <mergeCell ref="F2225:I2225"/>
    <mergeCell ref="F2226:I2226"/>
    <mergeCell ref="F2227:I2227"/>
    <mergeCell ref="F2228:I2228"/>
    <mergeCell ref="F2229:I2229"/>
    <mergeCell ref="F2198:I2198"/>
    <mergeCell ref="F2199:I2199"/>
    <mergeCell ref="F2188:I2188"/>
    <mergeCell ref="F2189:I2189"/>
    <mergeCell ref="F2190:I2190"/>
    <mergeCell ref="F2191:I2191"/>
    <mergeCell ref="F2192:I2192"/>
    <mergeCell ref="F2193:I2193"/>
    <mergeCell ref="F2218:I2218"/>
    <mergeCell ref="F2219:I2219"/>
    <mergeCell ref="F2220:I2220"/>
    <mergeCell ref="F2221:I2221"/>
    <mergeCell ref="F2222:I2222"/>
    <mergeCell ref="F2223:I2223"/>
    <mergeCell ref="F2212:I2212"/>
    <mergeCell ref="F2213:I2213"/>
    <mergeCell ref="F2214:I2214"/>
    <mergeCell ref="F2215:I2215"/>
    <mergeCell ref="F2216:I2216"/>
    <mergeCell ref="F2217:I2217"/>
    <mergeCell ref="F2206:I2206"/>
    <mergeCell ref="F2207:I2207"/>
    <mergeCell ref="F2208:I2208"/>
    <mergeCell ref="F2209:I2209"/>
    <mergeCell ref="F2210:I2210"/>
    <mergeCell ref="F2211:I2211"/>
    <mergeCell ref="F2182:I2182"/>
    <mergeCell ref="F2183:I2183"/>
    <mergeCell ref="F2184:I2184"/>
    <mergeCell ref="F2185:I2185"/>
    <mergeCell ref="F2186:I2186"/>
    <mergeCell ref="F2187:I2187"/>
    <mergeCell ref="F2174:I2174"/>
    <mergeCell ref="D2176:D2303"/>
    <mergeCell ref="E2176:E2303"/>
    <mergeCell ref="F2176:I2176"/>
    <mergeCell ref="V2176:V2303"/>
    <mergeCell ref="F2177:I2177"/>
    <mergeCell ref="F2178:I2178"/>
    <mergeCell ref="F2179:I2179"/>
    <mergeCell ref="F2180:I2180"/>
    <mergeCell ref="F2181:I2181"/>
    <mergeCell ref="F2168:I2168"/>
    <mergeCell ref="F2169:I2169"/>
    <mergeCell ref="F2170:I2170"/>
    <mergeCell ref="F2171:I2171"/>
    <mergeCell ref="F2172:I2172"/>
    <mergeCell ref="F2173:I2173"/>
    <mergeCell ref="F2200:I2200"/>
    <mergeCell ref="F2201:I2201"/>
    <mergeCell ref="F2202:I2202"/>
    <mergeCell ref="F2203:I2203"/>
    <mergeCell ref="F2204:I2204"/>
    <mergeCell ref="F2205:I2205"/>
    <mergeCell ref="F2194:I2194"/>
    <mergeCell ref="F2195:I2195"/>
    <mergeCell ref="F2196:I2196"/>
    <mergeCell ref="F2197:I2197"/>
    <mergeCell ref="F2162:I2162"/>
    <mergeCell ref="F2163:I2163"/>
    <mergeCell ref="F2164:I2164"/>
    <mergeCell ref="F2165:I2165"/>
    <mergeCell ref="F2166:I2166"/>
    <mergeCell ref="F2167:I2167"/>
    <mergeCell ref="F2156:I2156"/>
    <mergeCell ref="F2157:I2157"/>
    <mergeCell ref="F2158:I2158"/>
    <mergeCell ref="F2159:I2159"/>
    <mergeCell ref="F2160:I2160"/>
    <mergeCell ref="F2161:I2161"/>
    <mergeCell ref="F2150:I2150"/>
    <mergeCell ref="F2151:I2151"/>
    <mergeCell ref="F2152:I2152"/>
    <mergeCell ref="F2153:I2153"/>
    <mergeCell ref="F2154:I2154"/>
    <mergeCell ref="F2155:I2155"/>
    <mergeCell ref="F2144:I2144"/>
    <mergeCell ref="F2145:I2145"/>
    <mergeCell ref="F2146:I2146"/>
    <mergeCell ref="F2147:I2147"/>
    <mergeCell ref="F2148:I2148"/>
    <mergeCell ref="F2149:I2149"/>
    <mergeCell ref="F2138:I2138"/>
    <mergeCell ref="F2139:I2139"/>
    <mergeCell ref="F2140:I2140"/>
    <mergeCell ref="F2141:I2141"/>
    <mergeCell ref="F2142:I2142"/>
    <mergeCell ref="F2143:I2143"/>
    <mergeCell ref="F2132:I2132"/>
    <mergeCell ref="F2133:I2133"/>
    <mergeCell ref="F2134:I2134"/>
    <mergeCell ref="F2135:I2135"/>
    <mergeCell ref="F2136:I2136"/>
    <mergeCell ref="F2137:I2137"/>
    <mergeCell ref="F2126:I2126"/>
    <mergeCell ref="F2127:I2127"/>
    <mergeCell ref="F2128:I2128"/>
    <mergeCell ref="F2129:I2129"/>
    <mergeCell ref="F2130:I2130"/>
    <mergeCell ref="F2131:I2131"/>
    <mergeCell ref="F2120:I2120"/>
    <mergeCell ref="F2121:I2121"/>
    <mergeCell ref="F2122:I2122"/>
    <mergeCell ref="F2123:I2123"/>
    <mergeCell ref="F2124:I2124"/>
    <mergeCell ref="F2125:I2125"/>
    <mergeCell ref="F2114:I2114"/>
    <mergeCell ref="F2115:I2115"/>
    <mergeCell ref="F2116:I2116"/>
    <mergeCell ref="F2117:I2117"/>
    <mergeCell ref="F2118:I2118"/>
    <mergeCell ref="F2119:I2119"/>
    <mergeCell ref="F2108:I2108"/>
    <mergeCell ref="F2109:I2109"/>
    <mergeCell ref="F2110:I2110"/>
    <mergeCell ref="F2111:I2111"/>
    <mergeCell ref="F2112:I2112"/>
    <mergeCell ref="F2113:I2113"/>
    <mergeCell ref="F2102:I2102"/>
    <mergeCell ref="F2103:I2103"/>
    <mergeCell ref="F2104:I2104"/>
    <mergeCell ref="F2105:I2105"/>
    <mergeCell ref="F2106:I2106"/>
    <mergeCell ref="F2107:I2107"/>
    <mergeCell ref="F2096:I2096"/>
    <mergeCell ref="F2097:I2097"/>
    <mergeCell ref="F2098:I2098"/>
    <mergeCell ref="F2099:I2099"/>
    <mergeCell ref="F2100:I2100"/>
    <mergeCell ref="F2101:I2101"/>
    <mergeCell ref="F2070:I2070"/>
    <mergeCell ref="F2071:I2071"/>
    <mergeCell ref="F2060:I2060"/>
    <mergeCell ref="F2061:I2061"/>
    <mergeCell ref="F2062:I2062"/>
    <mergeCell ref="F2063:I2063"/>
    <mergeCell ref="F2064:I2064"/>
    <mergeCell ref="F2065:I2065"/>
    <mergeCell ref="F2090:I2090"/>
    <mergeCell ref="F2091:I2091"/>
    <mergeCell ref="F2092:I2092"/>
    <mergeCell ref="F2093:I2093"/>
    <mergeCell ref="F2094:I2094"/>
    <mergeCell ref="F2095:I2095"/>
    <mergeCell ref="F2084:I2084"/>
    <mergeCell ref="F2085:I2085"/>
    <mergeCell ref="F2086:I2086"/>
    <mergeCell ref="F2087:I2087"/>
    <mergeCell ref="F2088:I2088"/>
    <mergeCell ref="F2089:I2089"/>
    <mergeCell ref="F2078:I2078"/>
    <mergeCell ref="F2079:I2079"/>
    <mergeCell ref="F2080:I2080"/>
    <mergeCell ref="F2081:I2081"/>
    <mergeCell ref="F2082:I2082"/>
    <mergeCell ref="F2083:I2083"/>
    <mergeCell ref="F2054:I2054"/>
    <mergeCell ref="F2055:I2055"/>
    <mergeCell ref="F2056:I2056"/>
    <mergeCell ref="F2057:I2057"/>
    <mergeCell ref="F2058:I2058"/>
    <mergeCell ref="F2059:I2059"/>
    <mergeCell ref="F2046:I2046"/>
    <mergeCell ref="D2048:D2175"/>
    <mergeCell ref="E2048:E2175"/>
    <mergeCell ref="F2048:I2048"/>
    <mergeCell ref="V2048:V2174"/>
    <mergeCell ref="F2049:I2049"/>
    <mergeCell ref="F2050:I2050"/>
    <mergeCell ref="F2051:I2051"/>
    <mergeCell ref="F2052:I2052"/>
    <mergeCell ref="F2053:I2053"/>
    <mergeCell ref="F2040:I2040"/>
    <mergeCell ref="F2041:I2041"/>
    <mergeCell ref="F2042:I2042"/>
    <mergeCell ref="F2043:I2043"/>
    <mergeCell ref="F2044:I2044"/>
    <mergeCell ref="F2045:I2045"/>
    <mergeCell ref="F2072:I2072"/>
    <mergeCell ref="F2073:I2073"/>
    <mergeCell ref="F2074:I2074"/>
    <mergeCell ref="F2075:I2075"/>
    <mergeCell ref="F2076:I2076"/>
    <mergeCell ref="F2077:I2077"/>
    <mergeCell ref="F2066:I2066"/>
    <mergeCell ref="F2067:I2067"/>
    <mergeCell ref="F2068:I2068"/>
    <mergeCell ref="F2069:I2069"/>
    <mergeCell ref="F2034:I2034"/>
    <mergeCell ref="F2035:I2035"/>
    <mergeCell ref="F2036:I2036"/>
    <mergeCell ref="F2037:I2037"/>
    <mergeCell ref="F2038:I2038"/>
    <mergeCell ref="F2039:I2039"/>
    <mergeCell ref="F2028:I2028"/>
    <mergeCell ref="F2029:I2029"/>
    <mergeCell ref="F2030:I2030"/>
    <mergeCell ref="F2031:I2031"/>
    <mergeCell ref="F2032:I2032"/>
    <mergeCell ref="F2033:I2033"/>
    <mergeCell ref="F2022:I2022"/>
    <mergeCell ref="F2023:I2023"/>
    <mergeCell ref="F2024:I2024"/>
    <mergeCell ref="F2025:I2025"/>
    <mergeCell ref="F2026:I2026"/>
    <mergeCell ref="F2027:I2027"/>
    <mergeCell ref="F2016:I2016"/>
    <mergeCell ref="F2017:I2017"/>
    <mergeCell ref="F2018:I2018"/>
    <mergeCell ref="F2019:I2019"/>
    <mergeCell ref="F2020:I2020"/>
    <mergeCell ref="F2021:I2021"/>
    <mergeCell ref="F2010:I2010"/>
    <mergeCell ref="F2011:I2011"/>
    <mergeCell ref="F2012:I2012"/>
    <mergeCell ref="F2013:I2013"/>
    <mergeCell ref="F2014:I2014"/>
    <mergeCell ref="F2015:I2015"/>
    <mergeCell ref="F2004:I2004"/>
    <mergeCell ref="F2005:I2005"/>
    <mergeCell ref="F2006:I2006"/>
    <mergeCell ref="F2007:I2007"/>
    <mergeCell ref="F2008:I2008"/>
    <mergeCell ref="F2009:I2009"/>
    <mergeCell ref="F1998:I1998"/>
    <mergeCell ref="F1999:I1999"/>
    <mergeCell ref="F2000:I2000"/>
    <mergeCell ref="F2001:I2001"/>
    <mergeCell ref="F2002:I2002"/>
    <mergeCell ref="F2003:I2003"/>
    <mergeCell ref="F1992:I1992"/>
    <mergeCell ref="F1993:I1993"/>
    <mergeCell ref="F1994:I1994"/>
    <mergeCell ref="F1995:I1995"/>
    <mergeCell ref="F1996:I1996"/>
    <mergeCell ref="F1997:I1997"/>
    <mergeCell ref="F1986:I1986"/>
    <mergeCell ref="F1987:I1987"/>
    <mergeCell ref="F1988:I1988"/>
    <mergeCell ref="F1989:I1989"/>
    <mergeCell ref="F1990:I1990"/>
    <mergeCell ref="F1991:I1991"/>
    <mergeCell ref="F1980:I1980"/>
    <mergeCell ref="F1981:I1981"/>
    <mergeCell ref="F1982:I1982"/>
    <mergeCell ref="F1983:I1983"/>
    <mergeCell ref="F1984:I1984"/>
    <mergeCell ref="F1985:I1985"/>
    <mergeCell ref="F1974:I1974"/>
    <mergeCell ref="F1975:I1975"/>
    <mergeCell ref="F1976:I1976"/>
    <mergeCell ref="F1977:I1977"/>
    <mergeCell ref="F1978:I1978"/>
    <mergeCell ref="F1979:I1979"/>
    <mergeCell ref="F1968:I1968"/>
    <mergeCell ref="F1969:I1969"/>
    <mergeCell ref="F1970:I1970"/>
    <mergeCell ref="F1971:I1971"/>
    <mergeCell ref="F1972:I1972"/>
    <mergeCell ref="F1973:I1973"/>
    <mergeCell ref="F1962:I1962"/>
    <mergeCell ref="F1963:I1963"/>
    <mergeCell ref="F1964:I1964"/>
    <mergeCell ref="F1965:I1965"/>
    <mergeCell ref="F1966:I1966"/>
    <mergeCell ref="F1967:I1967"/>
    <mergeCell ref="F1956:I1956"/>
    <mergeCell ref="F1957:I1957"/>
    <mergeCell ref="F1958:I1958"/>
    <mergeCell ref="F1959:I1959"/>
    <mergeCell ref="F1960:I1960"/>
    <mergeCell ref="F1961:I1961"/>
    <mergeCell ref="F1950:I1950"/>
    <mergeCell ref="F1951:I1951"/>
    <mergeCell ref="F1952:I1952"/>
    <mergeCell ref="F1953:I1953"/>
    <mergeCell ref="F1954:I1954"/>
    <mergeCell ref="F1955:I1955"/>
    <mergeCell ref="F1944:I1944"/>
    <mergeCell ref="F1945:I1945"/>
    <mergeCell ref="F1946:I1946"/>
    <mergeCell ref="F1947:I1947"/>
    <mergeCell ref="F1948:I1948"/>
    <mergeCell ref="F1949:I1949"/>
    <mergeCell ref="F1938:I1938"/>
    <mergeCell ref="F1939:I1939"/>
    <mergeCell ref="F1940:I1940"/>
    <mergeCell ref="F1941:I1941"/>
    <mergeCell ref="F1942:I1942"/>
    <mergeCell ref="F1943:I1943"/>
    <mergeCell ref="F1932:I1932"/>
    <mergeCell ref="F1933:I1933"/>
    <mergeCell ref="F1934:I1934"/>
    <mergeCell ref="F1935:I1935"/>
    <mergeCell ref="F1936:I1936"/>
    <mergeCell ref="F1937:I1937"/>
    <mergeCell ref="F1926:I1926"/>
    <mergeCell ref="F1927:I1927"/>
    <mergeCell ref="F1928:I1928"/>
    <mergeCell ref="F1929:I1929"/>
    <mergeCell ref="F1930:I1930"/>
    <mergeCell ref="F1931:I1931"/>
    <mergeCell ref="F1918:I1918"/>
    <mergeCell ref="D1920:D2047"/>
    <mergeCell ref="E1920:E2047"/>
    <mergeCell ref="F1920:I1920"/>
    <mergeCell ref="V1920:V2047"/>
    <mergeCell ref="F1921:I1921"/>
    <mergeCell ref="F1922:I1922"/>
    <mergeCell ref="F1923:I1923"/>
    <mergeCell ref="F1924:I1924"/>
    <mergeCell ref="F1925:I1925"/>
    <mergeCell ref="F1912:I1912"/>
    <mergeCell ref="F1913:I1913"/>
    <mergeCell ref="F1914:I1914"/>
    <mergeCell ref="F1915:I1915"/>
    <mergeCell ref="F1916:I1916"/>
    <mergeCell ref="F1917:I1917"/>
    <mergeCell ref="V1792:V1919"/>
    <mergeCell ref="F1793:I1793"/>
    <mergeCell ref="F1794:I1794"/>
    <mergeCell ref="F1795:I1795"/>
    <mergeCell ref="F1796:I1796"/>
    <mergeCell ref="F1797:I1797"/>
    <mergeCell ref="F1798:I1798"/>
    <mergeCell ref="F1799:I1799"/>
    <mergeCell ref="F1800:I1800"/>
    <mergeCell ref="F1801:I1801"/>
    <mergeCell ref="F1906:I1906"/>
    <mergeCell ref="F1907:I1907"/>
    <mergeCell ref="F1908:I1908"/>
    <mergeCell ref="F1909:I1909"/>
    <mergeCell ref="F1910:I1910"/>
    <mergeCell ref="F1911:I1911"/>
    <mergeCell ref="F1900:I1900"/>
    <mergeCell ref="F1901:I1901"/>
    <mergeCell ref="F1902:I1902"/>
    <mergeCell ref="F1903:I1903"/>
    <mergeCell ref="F1904:I1904"/>
    <mergeCell ref="F1905:I1905"/>
    <mergeCell ref="F1894:I1894"/>
    <mergeCell ref="F1895:I1895"/>
    <mergeCell ref="F1896:I1896"/>
    <mergeCell ref="F1897:I1897"/>
    <mergeCell ref="F1898:I1898"/>
    <mergeCell ref="F1899:I1899"/>
    <mergeCell ref="F1888:I1888"/>
    <mergeCell ref="F1889:I1889"/>
    <mergeCell ref="F1890:I1890"/>
    <mergeCell ref="F1891:I1891"/>
    <mergeCell ref="F1892:I1892"/>
    <mergeCell ref="F1893:I1893"/>
    <mergeCell ref="F1882:I1882"/>
    <mergeCell ref="F1883:I1883"/>
    <mergeCell ref="F1884:I1884"/>
    <mergeCell ref="F1885:I1885"/>
    <mergeCell ref="F1886:I1886"/>
    <mergeCell ref="F1887:I1887"/>
    <mergeCell ref="F1876:I1876"/>
    <mergeCell ref="F1877:I1877"/>
    <mergeCell ref="F1878:I1878"/>
    <mergeCell ref="F1879:I1879"/>
    <mergeCell ref="F1880:I1880"/>
    <mergeCell ref="F1881:I1881"/>
    <mergeCell ref="F1870:I1870"/>
    <mergeCell ref="F1871:I1871"/>
    <mergeCell ref="F1872:I1872"/>
    <mergeCell ref="F1873:I1873"/>
    <mergeCell ref="F1874:I1874"/>
    <mergeCell ref="F1875:I1875"/>
    <mergeCell ref="F1864:I1864"/>
    <mergeCell ref="F1865:I1865"/>
    <mergeCell ref="F1866:I1866"/>
    <mergeCell ref="F1867:I1867"/>
    <mergeCell ref="F1868:I1868"/>
    <mergeCell ref="F1869:I1869"/>
    <mergeCell ref="F1858:I1858"/>
    <mergeCell ref="F1859:I1859"/>
    <mergeCell ref="F1860:I1860"/>
    <mergeCell ref="F1861:I1861"/>
    <mergeCell ref="F1862:I1862"/>
    <mergeCell ref="F1863:I1863"/>
    <mergeCell ref="F1852:I1852"/>
    <mergeCell ref="F1853:I1853"/>
    <mergeCell ref="F1854:I1854"/>
    <mergeCell ref="F1855:I1855"/>
    <mergeCell ref="F1856:I1856"/>
    <mergeCell ref="F1857:I1857"/>
    <mergeCell ref="F1846:I1846"/>
    <mergeCell ref="F1847:I1847"/>
    <mergeCell ref="F1848:I1848"/>
    <mergeCell ref="F1849:I1849"/>
    <mergeCell ref="F1850:I1850"/>
    <mergeCell ref="F1851:I1851"/>
    <mergeCell ref="F1840:I1840"/>
    <mergeCell ref="F1841:I1841"/>
    <mergeCell ref="F1842:I1842"/>
    <mergeCell ref="F1843:I1843"/>
    <mergeCell ref="F1844:I1844"/>
    <mergeCell ref="F1845:I1845"/>
    <mergeCell ref="F1814:I1814"/>
    <mergeCell ref="F1815:I1815"/>
    <mergeCell ref="F1804:I1804"/>
    <mergeCell ref="F1805:I1805"/>
    <mergeCell ref="F1806:I1806"/>
    <mergeCell ref="F1807:I1807"/>
    <mergeCell ref="F1808:I1808"/>
    <mergeCell ref="F1809:I1809"/>
    <mergeCell ref="F1834:I1834"/>
    <mergeCell ref="F1835:I1835"/>
    <mergeCell ref="F1836:I1836"/>
    <mergeCell ref="F1837:I1837"/>
    <mergeCell ref="F1838:I1838"/>
    <mergeCell ref="F1839:I1839"/>
    <mergeCell ref="F1828:I1828"/>
    <mergeCell ref="F1829:I1829"/>
    <mergeCell ref="F1830:I1830"/>
    <mergeCell ref="F1831:I1831"/>
    <mergeCell ref="F1832:I1832"/>
    <mergeCell ref="F1833:I1833"/>
    <mergeCell ref="F1822:I1822"/>
    <mergeCell ref="F1823:I1823"/>
    <mergeCell ref="F1824:I1824"/>
    <mergeCell ref="F1825:I1825"/>
    <mergeCell ref="F1826:I1826"/>
    <mergeCell ref="F1827:I1827"/>
    <mergeCell ref="F1786:I1786"/>
    <mergeCell ref="F1787:I1787"/>
    <mergeCell ref="F1788:I1788"/>
    <mergeCell ref="F1789:I1789"/>
    <mergeCell ref="F1790:I1790"/>
    <mergeCell ref="D1792:D1919"/>
    <mergeCell ref="E1792:E1919"/>
    <mergeCell ref="F1792:I1792"/>
    <mergeCell ref="F1802:I1802"/>
    <mergeCell ref="F1803:I1803"/>
    <mergeCell ref="F1780:I1780"/>
    <mergeCell ref="F1781:I1781"/>
    <mergeCell ref="F1782:I1782"/>
    <mergeCell ref="F1783:I1783"/>
    <mergeCell ref="F1784:I1784"/>
    <mergeCell ref="F1785:I1785"/>
    <mergeCell ref="F1774:I1774"/>
    <mergeCell ref="F1775:I1775"/>
    <mergeCell ref="F1776:I1776"/>
    <mergeCell ref="F1777:I1777"/>
    <mergeCell ref="F1778:I1778"/>
    <mergeCell ref="F1779:I1779"/>
    <mergeCell ref="F1816:I1816"/>
    <mergeCell ref="F1817:I1817"/>
    <mergeCell ref="F1818:I1818"/>
    <mergeCell ref="F1819:I1819"/>
    <mergeCell ref="F1820:I1820"/>
    <mergeCell ref="F1821:I1821"/>
    <mergeCell ref="F1810:I1810"/>
    <mergeCell ref="F1811:I1811"/>
    <mergeCell ref="F1812:I1812"/>
    <mergeCell ref="F1813:I1813"/>
    <mergeCell ref="F1768:I1768"/>
    <mergeCell ref="F1769:I1769"/>
    <mergeCell ref="F1770:I1770"/>
    <mergeCell ref="F1771:I1771"/>
    <mergeCell ref="F1772:I1772"/>
    <mergeCell ref="F1773:I1773"/>
    <mergeCell ref="F1762:I1762"/>
    <mergeCell ref="F1763:I1763"/>
    <mergeCell ref="F1764:I1764"/>
    <mergeCell ref="F1765:I1765"/>
    <mergeCell ref="F1766:I1766"/>
    <mergeCell ref="F1767:I1767"/>
    <mergeCell ref="F1756:I1756"/>
    <mergeCell ref="F1757:I1757"/>
    <mergeCell ref="F1758:I1758"/>
    <mergeCell ref="F1759:I1759"/>
    <mergeCell ref="F1760:I1760"/>
    <mergeCell ref="F1761:I1761"/>
    <mergeCell ref="F1750:I1750"/>
    <mergeCell ref="F1751:I1751"/>
    <mergeCell ref="F1752:I1752"/>
    <mergeCell ref="F1753:I1753"/>
    <mergeCell ref="F1754:I1754"/>
    <mergeCell ref="F1755:I1755"/>
    <mergeCell ref="F1744:I1744"/>
    <mergeCell ref="F1745:I1745"/>
    <mergeCell ref="F1746:I1746"/>
    <mergeCell ref="F1747:I1747"/>
    <mergeCell ref="F1748:I1748"/>
    <mergeCell ref="F1749:I1749"/>
    <mergeCell ref="F1738:I1738"/>
    <mergeCell ref="F1739:I1739"/>
    <mergeCell ref="F1740:I1740"/>
    <mergeCell ref="F1741:I1741"/>
    <mergeCell ref="F1742:I1742"/>
    <mergeCell ref="F1743:I1743"/>
    <mergeCell ref="F1732:I1732"/>
    <mergeCell ref="F1733:I1733"/>
    <mergeCell ref="F1734:I1734"/>
    <mergeCell ref="F1735:I1735"/>
    <mergeCell ref="F1736:I1736"/>
    <mergeCell ref="F1737:I1737"/>
    <mergeCell ref="F1726:I1726"/>
    <mergeCell ref="F1727:I1727"/>
    <mergeCell ref="F1728:I1728"/>
    <mergeCell ref="F1729:I1729"/>
    <mergeCell ref="F1730:I1730"/>
    <mergeCell ref="F1731:I1731"/>
    <mergeCell ref="F1720:I1720"/>
    <mergeCell ref="F1721:I1721"/>
    <mergeCell ref="F1722:I1722"/>
    <mergeCell ref="F1723:I1723"/>
    <mergeCell ref="F1724:I1724"/>
    <mergeCell ref="F1725:I1725"/>
    <mergeCell ref="F1714:I1714"/>
    <mergeCell ref="F1715:I1715"/>
    <mergeCell ref="F1716:I1716"/>
    <mergeCell ref="F1717:I1717"/>
    <mergeCell ref="F1718:I1718"/>
    <mergeCell ref="F1719:I1719"/>
    <mergeCell ref="F1708:I1708"/>
    <mergeCell ref="F1709:I1709"/>
    <mergeCell ref="F1710:I1710"/>
    <mergeCell ref="F1711:I1711"/>
    <mergeCell ref="F1712:I1712"/>
    <mergeCell ref="F1713:I1713"/>
    <mergeCell ref="F1702:I1702"/>
    <mergeCell ref="F1703:I1703"/>
    <mergeCell ref="F1704:I1704"/>
    <mergeCell ref="F1705:I1705"/>
    <mergeCell ref="F1706:I1706"/>
    <mergeCell ref="F1707:I1707"/>
    <mergeCell ref="F1667:I1667"/>
    <mergeCell ref="F1668:I1668"/>
    <mergeCell ref="F1669:I1669"/>
    <mergeCell ref="F1670:I1670"/>
    <mergeCell ref="F1671:I1671"/>
    <mergeCell ref="F1672:I1672"/>
    <mergeCell ref="F1696:I1696"/>
    <mergeCell ref="F1697:I1697"/>
    <mergeCell ref="F1698:I1698"/>
    <mergeCell ref="F1699:I1699"/>
    <mergeCell ref="F1700:I1700"/>
    <mergeCell ref="F1701:I1701"/>
    <mergeCell ref="F1690:I1690"/>
    <mergeCell ref="F1691:I1691"/>
    <mergeCell ref="F1692:I1692"/>
    <mergeCell ref="F1693:I1693"/>
    <mergeCell ref="F1694:I1694"/>
    <mergeCell ref="F1695:I1695"/>
    <mergeCell ref="F1684:I1684"/>
    <mergeCell ref="F1685:I1685"/>
    <mergeCell ref="F1686:I1686"/>
    <mergeCell ref="F1687:I1687"/>
    <mergeCell ref="F1688:I1688"/>
    <mergeCell ref="F1689:I1689"/>
    <mergeCell ref="V1384:AH1384"/>
    <mergeCell ref="F1663:I1663"/>
    <mergeCell ref="D1664:D1791"/>
    <mergeCell ref="E1664:E1791"/>
    <mergeCell ref="F1664:I1664"/>
    <mergeCell ref="M1664:M1675"/>
    <mergeCell ref="P1664:R1664"/>
    <mergeCell ref="V1664:V1791"/>
    <mergeCell ref="F1665:I1665"/>
    <mergeCell ref="F1666:I1666"/>
    <mergeCell ref="V1370:V1381"/>
    <mergeCell ref="F1371:H1371"/>
    <mergeCell ref="F1372:H1372"/>
    <mergeCell ref="F1373:H1373"/>
    <mergeCell ref="F1374:H1374"/>
    <mergeCell ref="F1375:H1375"/>
    <mergeCell ref="F1376:H1376"/>
    <mergeCell ref="F1377:H1377"/>
    <mergeCell ref="F1378:H1378"/>
    <mergeCell ref="F1379:H1379"/>
    <mergeCell ref="F1678:I1678"/>
    <mergeCell ref="F1679:I1679"/>
    <mergeCell ref="F1680:I1680"/>
    <mergeCell ref="F1681:I1681"/>
    <mergeCell ref="F1682:I1682"/>
    <mergeCell ref="F1683:I1683"/>
    <mergeCell ref="F1673:I1673"/>
    <mergeCell ref="F1674:I1674"/>
    <mergeCell ref="F1675:I1675"/>
    <mergeCell ref="P1676:R1676"/>
    <mergeCell ref="F1676:I1676"/>
    <mergeCell ref="F1677:I1677"/>
    <mergeCell ref="F1365:H1365"/>
    <mergeCell ref="F1366:H1366"/>
    <mergeCell ref="F1367:H1367"/>
    <mergeCell ref="F1368:H1368"/>
    <mergeCell ref="F1369:H1369"/>
    <mergeCell ref="D1370:D1381"/>
    <mergeCell ref="E1370:E1381"/>
    <mergeCell ref="F1370:H1370"/>
    <mergeCell ref="F1380:H1380"/>
    <mergeCell ref="F1381:H1381"/>
    <mergeCell ref="D1358:D1369"/>
    <mergeCell ref="E1358:E1369"/>
    <mergeCell ref="F1358:H1358"/>
    <mergeCell ref="V1358:V1369"/>
    <mergeCell ref="F1359:H1359"/>
    <mergeCell ref="F1360:H1360"/>
    <mergeCell ref="F1361:H1361"/>
    <mergeCell ref="F1362:H1362"/>
    <mergeCell ref="F1363:H1363"/>
    <mergeCell ref="F1364:H1364"/>
    <mergeCell ref="D1353:D1357"/>
    <mergeCell ref="E1353:E1357"/>
    <mergeCell ref="F1353:H1353"/>
    <mergeCell ref="L1353:L1357"/>
    <mergeCell ref="V1353:V1357"/>
    <mergeCell ref="F1354:H1354"/>
    <mergeCell ref="F1355:H1355"/>
    <mergeCell ref="F1356:H1356"/>
    <mergeCell ref="F1357:H1357"/>
    <mergeCell ref="D1348:D1352"/>
    <mergeCell ref="E1348:E1352"/>
    <mergeCell ref="F1348:H1348"/>
    <mergeCell ref="L1348:L1352"/>
    <mergeCell ref="V1348:V1352"/>
    <mergeCell ref="F1349:H1349"/>
    <mergeCell ref="F1350:H1350"/>
    <mergeCell ref="F1351:H1351"/>
    <mergeCell ref="F1352:H1352"/>
    <mergeCell ref="D1343:D1347"/>
    <mergeCell ref="E1343:E1347"/>
    <mergeCell ref="F1343:H1343"/>
    <mergeCell ref="V1343:V1347"/>
    <mergeCell ref="F1344:H1344"/>
    <mergeCell ref="F1345:H1345"/>
    <mergeCell ref="F1346:H1346"/>
    <mergeCell ref="F1347:H1347"/>
    <mergeCell ref="D1338:D1342"/>
    <mergeCell ref="E1338:E1342"/>
    <mergeCell ref="F1338:H1338"/>
    <mergeCell ref="L1338:L1342"/>
    <mergeCell ref="V1338:V1342"/>
    <mergeCell ref="F1339:H1339"/>
    <mergeCell ref="F1340:H1340"/>
    <mergeCell ref="F1341:H1341"/>
    <mergeCell ref="F1342:H1342"/>
    <mergeCell ref="D1333:D1337"/>
    <mergeCell ref="E1333:E1337"/>
    <mergeCell ref="F1333:H1333"/>
    <mergeCell ref="L1333:L1337"/>
    <mergeCell ref="V1333:V1337"/>
    <mergeCell ref="F1334:H1334"/>
    <mergeCell ref="F1335:H1335"/>
    <mergeCell ref="F1336:H1336"/>
    <mergeCell ref="F1337:H1337"/>
    <mergeCell ref="D1327:D1332"/>
    <mergeCell ref="E1327:E1332"/>
    <mergeCell ref="F1327:H1327"/>
    <mergeCell ref="L1327:L1330"/>
    <mergeCell ref="V1327:V1332"/>
    <mergeCell ref="F1328:H1328"/>
    <mergeCell ref="F1329:H1329"/>
    <mergeCell ref="F1331:H1331"/>
    <mergeCell ref="L1331:L1332"/>
    <mergeCell ref="F1332:H1332"/>
    <mergeCell ref="P1330:R1330"/>
    <mergeCell ref="F1321:H1321"/>
    <mergeCell ref="D1322:D1326"/>
    <mergeCell ref="E1322:E1326"/>
    <mergeCell ref="F1322:H1322"/>
    <mergeCell ref="L1322:L1326"/>
    <mergeCell ref="V1322:V1326"/>
    <mergeCell ref="F1323:H1323"/>
    <mergeCell ref="F1324:H1324"/>
    <mergeCell ref="F1325:H1325"/>
    <mergeCell ref="F1326:H1326"/>
    <mergeCell ref="V1281:AH1281"/>
    <mergeCell ref="F1316:H1316"/>
    <mergeCell ref="D1317:D1321"/>
    <mergeCell ref="E1317:E1321"/>
    <mergeCell ref="F1317:H1317"/>
    <mergeCell ref="L1317:L1321"/>
    <mergeCell ref="V1317:V1321"/>
    <mergeCell ref="F1318:H1318"/>
    <mergeCell ref="F1319:H1319"/>
    <mergeCell ref="F1320:H1320"/>
    <mergeCell ref="P1317:R1317"/>
    <mergeCell ref="T1318:T1321"/>
    <mergeCell ref="F1273:H1273"/>
    <mergeCell ref="V1273:V1278"/>
    <mergeCell ref="F1274:H1274"/>
    <mergeCell ref="F1275:H1275"/>
    <mergeCell ref="F1276:H1276"/>
    <mergeCell ref="F1277:H1277"/>
    <mergeCell ref="F1278:H1278"/>
    <mergeCell ref="F1267:H1267"/>
    <mergeCell ref="V1267:V1272"/>
    <mergeCell ref="F1268:H1268"/>
    <mergeCell ref="F1269:H1269"/>
    <mergeCell ref="F1270:H1270"/>
    <mergeCell ref="F1271:H1271"/>
    <mergeCell ref="F1272:H1272"/>
    <mergeCell ref="F1261:H1261"/>
    <mergeCell ref="V1261:V1266"/>
    <mergeCell ref="F1262:H1262"/>
    <mergeCell ref="F1263:H1263"/>
    <mergeCell ref="F1264:H1264"/>
    <mergeCell ref="F1265:H1265"/>
    <mergeCell ref="F1266:H1266"/>
    <mergeCell ref="F1255:H1255"/>
    <mergeCell ref="V1255:V1260"/>
    <mergeCell ref="F1256:H1256"/>
    <mergeCell ref="F1257:H1257"/>
    <mergeCell ref="F1258:H1258"/>
    <mergeCell ref="F1259:H1259"/>
    <mergeCell ref="F1260:H1260"/>
    <mergeCell ref="F1249:H1249"/>
    <mergeCell ref="V1249:V1254"/>
    <mergeCell ref="F1250:H1250"/>
    <mergeCell ref="F1251:H1251"/>
    <mergeCell ref="F1252:H1252"/>
    <mergeCell ref="F1253:H1253"/>
    <mergeCell ref="F1254:H1254"/>
    <mergeCell ref="F1243:H1243"/>
    <mergeCell ref="V1243:V1248"/>
    <mergeCell ref="F1244:H1244"/>
    <mergeCell ref="F1245:H1245"/>
    <mergeCell ref="F1246:H1246"/>
    <mergeCell ref="F1247:H1247"/>
    <mergeCell ref="F1248:H1248"/>
    <mergeCell ref="F1237:H1237"/>
    <mergeCell ref="V1237:V1242"/>
    <mergeCell ref="F1238:H1238"/>
    <mergeCell ref="F1239:H1239"/>
    <mergeCell ref="F1240:H1240"/>
    <mergeCell ref="F1241:H1241"/>
    <mergeCell ref="F1242:H1242"/>
    <mergeCell ref="F1231:H1231"/>
    <mergeCell ref="V1231:V1236"/>
    <mergeCell ref="F1232:H1232"/>
    <mergeCell ref="F1233:H1233"/>
    <mergeCell ref="F1234:H1234"/>
    <mergeCell ref="F1235:H1235"/>
    <mergeCell ref="F1236:H1236"/>
    <mergeCell ref="F1121:H1121"/>
    <mergeCell ref="F1122:H1122"/>
    <mergeCell ref="F1123:H1123"/>
    <mergeCell ref="F1124:H1124"/>
    <mergeCell ref="F1154:H1154"/>
    <mergeCell ref="F1155:H1155"/>
    <mergeCell ref="F1225:H1225"/>
    <mergeCell ref="V1225:V1230"/>
    <mergeCell ref="F1226:H1226"/>
    <mergeCell ref="F1227:H1227"/>
    <mergeCell ref="F1228:H1228"/>
    <mergeCell ref="F1229:H1229"/>
    <mergeCell ref="F1230:H1230"/>
    <mergeCell ref="V1219:V1224"/>
    <mergeCell ref="F1220:H1220"/>
    <mergeCell ref="F1221:H1221"/>
    <mergeCell ref="F1222:H1222"/>
    <mergeCell ref="F1223:H1223"/>
    <mergeCell ref="F1224:H1224"/>
    <mergeCell ref="F1216:H1216"/>
    <mergeCell ref="F1217:H1217"/>
    <mergeCell ref="F1218:H1218"/>
    <mergeCell ref="F1219:H1219"/>
    <mergeCell ref="F1172:H1172"/>
    <mergeCell ref="F1173:H1173"/>
    <mergeCell ref="V1176:AH1176"/>
    <mergeCell ref="F1211:H1211"/>
    <mergeCell ref="F1213:H1213"/>
    <mergeCell ref="V1213:V1218"/>
    <mergeCell ref="F1214:H1214"/>
    <mergeCell ref="F1215:H1215"/>
    <mergeCell ref="F1166:H1166"/>
    <mergeCell ref="F1167:H1167"/>
    <mergeCell ref="F1168:H1168"/>
    <mergeCell ref="F1169:H1169"/>
    <mergeCell ref="F1170:H1170"/>
    <mergeCell ref="F1171:H1171"/>
    <mergeCell ref="F1160:H1160"/>
    <mergeCell ref="F1161:H1161"/>
    <mergeCell ref="F1162:H1162"/>
    <mergeCell ref="F1163:H1163"/>
    <mergeCell ref="F1164:H1164"/>
    <mergeCell ref="F1165:H1165"/>
    <mergeCell ref="D1140:D1173"/>
    <mergeCell ref="E1140:E1173"/>
    <mergeCell ref="F1156:H1156"/>
    <mergeCell ref="F1157:H1157"/>
    <mergeCell ref="F1158:H1158"/>
    <mergeCell ref="F1159:H1159"/>
    <mergeCell ref="V1140:V1173"/>
    <mergeCell ref="F1141:H1141"/>
    <mergeCell ref="F1142:H1142"/>
    <mergeCell ref="F1143:H1143"/>
    <mergeCell ref="F1144:H1144"/>
    <mergeCell ref="F1145:H1145"/>
    <mergeCell ref="F1146:H1146"/>
    <mergeCell ref="F1147:H1147"/>
    <mergeCell ref="F1148:H1148"/>
    <mergeCell ref="F1149:H1149"/>
    <mergeCell ref="F1137:H1137"/>
    <mergeCell ref="F1138:H1138"/>
    <mergeCell ref="F1139:H1139"/>
    <mergeCell ref="F1140:H1140"/>
    <mergeCell ref="F1150:H1150"/>
    <mergeCell ref="F1151:H1151"/>
    <mergeCell ref="F1152:H1152"/>
    <mergeCell ref="F1153:H1153"/>
    <mergeCell ref="V1106:V1139"/>
    <mergeCell ref="F1107:H1107"/>
    <mergeCell ref="F1108:H1108"/>
    <mergeCell ref="F1109:H1109"/>
    <mergeCell ref="F1114:H1114"/>
    <mergeCell ref="F1115:H1115"/>
    <mergeCell ref="F1110:H1110"/>
    <mergeCell ref="F1111:H1111"/>
    <mergeCell ref="F1112:H1112"/>
    <mergeCell ref="F1113:H1113"/>
    <mergeCell ref="F1102:H1102"/>
    <mergeCell ref="F1103:H1103"/>
    <mergeCell ref="F1104:H1104"/>
    <mergeCell ref="F1105:H1105"/>
    <mergeCell ref="D1106:D1139"/>
    <mergeCell ref="E1106:E1139"/>
    <mergeCell ref="F1106:H1106"/>
    <mergeCell ref="F1116:H1116"/>
    <mergeCell ref="F1117:H1117"/>
    <mergeCell ref="F1118:H1118"/>
    <mergeCell ref="F1096:H1096"/>
    <mergeCell ref="F1097:H1097"/>
    <mergeCell ref="F1098:H1098"/>
    <mergeCell ref="F1099:H1099"/>
    <mergeCell ref="F1100:H1100"/>
    <mergeCell ref="F1101:H1101"/>
    <mergeCell ref="F1131:H1131"/>
    <mergeCell ref="F1132:H1132"/>
    <mergeCell ref="F1133:H1133"/>
    <mergeCell ref="F1134:H1134"/>
    <mergeCell ref="F1135:H1135"/>
    <mergeCell ref="F1136:H1136"/>
    <mergeCell ref="F1125:H1125"/>
    <mergeCell ref="F1126:H1126"/>
    <mergeCell ref="F1127:H1127"/>
    <mergeCell ref="F1128:H1128"/>
    <mergeCell ref="F1129:H1129"/>
    <mergeCell ref="F1130:H1130"/>
    <mergeCell ref="F1119:H1119"/>
    <mergeCell ref="F1120:H1120"/>
    <mergeCell ref="D1055:D1105"/>
    <mergeCell ref="E1055:E1105"/>
    <mergeCell ref="F1076:H1076"/>
    <mergeCell ref="F1077:H1077"/>
    <mergeCell ref="V1055:V1105"/>
    <mergeCell ref="F1056:H1056"/>
    <mergeCell ref="F1057:H1057"/>
    <mergeCell ref="F1058:H1058"/>
    <mergeCell ref="F1059:H1059"/>
    <mergeCell ref="F1060:H1060"/>
    <mergeCell ref="F1061:H1061"/>
    <mergeCell ref="F1062:H1062"/>
    <mergeCell ref="F1063:H1063"/>
    <mergeCell ref="F1064:H1064"/>
    <mergeCell ref="F1090:H1090"/>
    <mergeCell ref="F1091:H1091"/>
    <mergeCell ref="F1092:H1092"/>
    <mergeCell ref="F1093:H1093"/>
    <mergeCell ref="F1094:H1094"/>
    <mergeCell ref="F1095:H1095"/>
    <mergeCell ref="F1084:H1084"/>
    <mergeCell ref="F1085:H1085"/>
    <mergeCell ref="F1086:H1086"/>
    <mergeCell ref="F1087:H1087"/>
    <mergeCell ref="F1088:H1088"/>
    <mergeCell ref="F1089:H1089"/>
    <mergeCell ref="F1078:H1078"/>
    <mergeCell ref="F1079:H1079"/>
    <mergeCell ref="F1080:H1080"/>
    <mergeCell ref="F1081:H1081"/>
    <mergeCell ref="F1082:H1082"/>
    <mergeCell ref="F1083:H1083"/>
    <mergeCell ref="F1055:H1055"/>
    <mergeCell ref="L1055:L1071"/>
    <mergeCell ref="F1069:H1069"/>
    <mergeCell ref="F1070:H1070"/>
    <mergeCell ref="F1071:H1071"/>
    <mergeCell ref="F1072:H1072"/>
    <mergeCell ref="L1072:L1105"/>
    <mergeCell ref="F1073:H1073"/>
    <mergeCell ref="F1074:H1074"/>
    <mergeCell ref="F1075:H1075"/>
    <mergeCell ref="D1034:D1054"/>
    <mergeCell ref="E1034:E1054"/>
    <mergeCell ref="F1034:H1034"/>
    <mergeCell ref="F1044:H1044"/>
    <mergeCell ref="F1045:H1045"/>
    <mergeCell ref="F1046:H1046"/>
    <mergeCell ref="F1024:H1024"/>
    <mergeCell ref="F1025:H1025"/>
    <mergeCell ref="F1026:H1026"/>
    <mergeCell ref="F1027:H1027"/>
    <mergeCell ref="F1028:H1028"/>
    <mergeCell ref="F1029:H1029"/>
    <mergeCell ref="F1065:H1065"/>
    <mergeCell ref="F1066:H1066"/>
    <mergeCell ref="F1067:H1067"/>
    <mergeCell ref="F1068:H1068"/>
    <mergeCell ref="F1047:H1047"/>
    <mergeCell ref="F1048:H1048"/>
    <mergeCell ref="F1049:H1049"/>
    <mergeCell ref="F1050:H1050"/>
    <mergeCell ref="F1051:H1051"/>
    <mergeCell ref="F1052:H1052"/>
    <mergeCell ref="F1035:H1035"/>
    <mergeCell ref="F1036:H1036"/>
    <mergeCell ref="F1002:H1002"/>
    <mergeCell ref="F1003:H1003"/>
    <mergeCell ref="F1004:H1004"/>
    <mergeCell ref="F1018:H1018"/>
    <mergeCell ref="F1019:H1019"/>
    <mergeCell ref="F1020:H1020"/>
    <mergeCell ref="F1021:H1021"/>
    <mergeCell ref="F1022:H1022"/>
    <mergeCell ref="F1023:H1023"/>
    <mergeCell ref="F1053:H1053"/>
    <mergeCell ref="F1054:H1054"/>
    <mergeCell ref="V1013:V1033"/>
    <mergeCell ref="F1014:H1014"/>
    <mergeCell ref="F1015:H1015"/>
    <mergeCell ref="F1016:H1016"/>
    <mergeCell ref="F1017:H1017"/>
    <mergeCell ref="F1005:H1005"/>
    <mergeCell ref="F1006:H1006"/>
    <mergeCell ref="F1007:H1007"/>
    <mergeCell ref="F1008:H1008"/>
    <mergeCell ref="F1009:H1009"/>
    <mergeCell ref="F1010:H1010"/>
    <mergeCell ref="V1034:V1054"/>
    <mergeCell ref="F1037:H1037"/>
    <mergeCell ref="F1038:H1038"/>
    <mergeCell ref="F1039:H1039"/>
    <mergeCell ref="F1040:H1040"/>
    <mergeCell ref="F1041:H1041"/>
    <mergeCell ref="F1042:H1042"/>
    <mergeCell ref="F1043:H1043"/>
    <mergeCell ref="F1011:H1011"/>
    <mergeCell ref="F1012:H1012"/>
    <mergeCell ref="D1013:D1033"/>
    <mergeCell ref="E1013:E1033"/>
    <mergeCell ref="F1013:H1013"/>
    <mergeCell ref="V971:V991"/>
    <mergeCell ref="F972:H972"/>
    <mergeCell ref="F973:H973"/>
    <mergeCell ref="F974:H974"/>
    <mergeCell ref="F975:H975"/>
    <mergeCell ref="F976:H976"/>
    <mergeCell ref="F977:H977"/>
    <mergeCell ref="F978:H978"/>
    <mergeCell ref="F979:H979"/>
    <mergeCell ref="L992:L998"/>
    <mergeCell ref="V992:V1012"/>
    <mergeCell ref="F993:H993"/>
    <mergeCell ref="F994:H994"/>
    <mergeCell ref="F995:H995"/>
    <mergeCell ref="F996:H996"/>
    <mergeCell ref="F997:H997"/>
    <mergeCell ref="F998:H998"/>
    <mergeCell ref="F999:H999"/>
    <mergeCell ref="F1000:H1000"/>
    <mergeCell ref="F1030:H1030"/>
    <mergeCell ref="F1031:H1031"/>
    <mergeCell ref="F1032:H1032"/>
    <mergeCell ref="F1033:H1033"/>
    <mergeCell ref="D992:D1012"/>
    <mergeCell ref="E992:E1012"/>
    <mergeCell ref="F992:H992"/>
    <mergeCell ref="F1001:H1001"/>
    <mergeCell ref="D971:D991"/>
    <mergeCell ref="E971:E991"/>
    <mergeCell ref="F971:H971"/>
    <mergeCell ref="F980:H980"/>
    <mergeCell ref="F981:H981"/>
    <mergeCell ref="F982:H982"/>
    <mergeCell ref="V950:V970"/>
    <mergeCell ref="F989:H989"/>
    <mergeCell ref="F990:H990"/>
    <mergeCell ref="F991:H991"/>
    <mergeCell ref="F961:H961"/>
    <mergeCell ref="F962:H962"/>
    <mergeCell ref="F963:H963"/>
    <mergeCell ref="F964:H964"/>
    <mergeCell ref="F965:H965"/>
    <mergeCell ref="F966:H966"/>
    <mergeCell ref="F955:H955"/>
    <mergeCell ref="F956:H956"/>
    <mergeCell ref="F957:H957"/>
    <mergeCell ref="F958:H958"/>
    <mergeCell ref="F959:H959"/>
    <mergeCell ref="F960:H960"/>
    <mergeCell ref="F983:H983"/>
    <mergeCell ref="F984:H984"/>
    <mergeCell ref="F985:H985"/>
    <mergeCell ref="F986:H986"/>
    <mergeCell ref="F987:H987"/>
    <mergeCell ref="F988:H988"/>
    <mergeCell ref="L971:L991"/>
    <mergeCell ref="F948:H948"/>
    <mergeCell ref="F949:H949"/>
    <mergeCell ref="D950:D970"/>
    <mergeCell ref="E950:E970"/>
    <mergeCell ref="F950:H950"/>
    <mergeCell ref="F951:H951"/>
    <mergeCell ref="F952:H952"/>
    <mergeCell ref="F953:H953"/>
    <mergeCell ref="F954:H954"/>
    <mergeCell ref="D929:D949"/>
    <mergeCell ref="E929:E949"/>
    <mergeCell ref="F944:H944"/>
    <mergeCell ref="F945:H945"/>
    <mergeCell ref="F946:H946"/>
    <mergeCell ref="F947:H947"/>
    <mergeCell ref="V929:V949"/>
    <mergeCell ref="F930:H930"/>
    <mergeCell ref="F931:H931"/>
    <mergeCell ref="L931:L935"/>
    <mergeCell ref="F932:H932"/>
    <mergeCell ref="F933:H933"/>
    <mergeCell ref="F934:H934"/>
    <mergeCell ref="F935:H935"/>
    <mergeCell ref="F936:H936"/>
    <mergeCell ref="F937:H937"/>
    <mergeCell ref="F967:H967"/>
    <mergeCell ref="F968:H968"/>
    <mergeCell ref="F969:H969"/>
    <mergeCell ref="F970:H970"/>
    <mergeCell ref="F942:H942"/>
    <mergeCell ref="F943:H943"/>
    <mergeCell ref="F940:H940"/>
    <mergeCell ref="D908:D928"/>
    <mergeCell ref="E908:E928"/>
    <mergeCell ref="F908:H908"/>
    <mergeCell ref="F918:H918"/>
    <mergeCell ref="F919:H919"/>
    <mergeCell ref="F897:H897"/>
    <mergeCell ref="F898:H898"/>
    <mergeCell ref="F899:H899"/>
    <mergeCell ref="F900:H900"/>
    <mergeCell ref="F901:H901"/>
    <mergeCell ref="F902:H902"/>
    <mergeCell ref="F926:H926"/>
    <mergeCell ref="F927:H927"/>
    <mergeCell ref="F928:H928"/>
    <mergeCell ref="F929:H929"/>
    <mergeCell ref="F938:H938"/>
    <mergeCell ref="F939:H939"/>
    <mergeCell ref="D887:D907"/>
    <mergeCell ref="E887:E907"/>
    <mergeCell ref="F887:H887"/>
    <mergeCell ref="F941:H941"/>
    <mergeCell ref="F909:H909"/>
    <mergeCell ref="F910:H910"/>
    <mergeCell ref="F911:H911"/>
    <mergeCell ref="F912:H912"/>
    <mergeCell ref="F913:H913"/>
    <mergeCell ref="F914:H914"/>
    <mergeCell ref="F915:H915"/>
    <mergeCell ref="F916:H916"/>
    <mergeCell ref="F917:H917"/>
    <mergeCell ref="F895:H895"/>
    <mergeCell ref="F896:H896"/>
    <mergeCell ref="F920:H920"/>
    <mergeCell ref="F921:H921"/>
    <mergeCell ref="F922:H922"/>
    <mergeCell ref="F923:H923"/>
    <mergeCell ref="F924:H924"/>
    <mergeCell ref="F925:H925"/>
    <mergeCell ref="F903:H903"/>
    <mergeCell ref="F904:H904"/>
    <mergeCell ref="F905:H905"/>
    <mergeCell ref="F906:H906"/>
    <mergeCell ref="F907:H907"/>
    <mergeCell ref="P858:R858"/>
    <mergeCell ref="V908:V928"/>
    <mergeCell ref="V866:V886"/>
    <mergeCell ref="F867:H867"/>
    <mergeCell ref="F868:H868"/>
    <mergeCell ref="L868:L886"/>
    <mergeCell ref="F869:H869"/>
    <mergeCell ref="F870:H870"/>
    <mergeCell ref="F871:H871"/>
    <mergeCell ref="F872:H872"/>
    <mergeCell ref="F873:H873"/>
    <mergeCell ref="F874:H874"/>
    <mergeCell ref="F893:H893"/>
    <mergeCell ref="F894:H894"/>
    <mergeCell ref="F891:H891"/>
    <mergeCell ref="F892:H892"/>
    <mergeCell ref="V887:V907"/>
    <mergeCell ref="F888:H888"/>
    <mergeCell ref="F889:H889"/>
    <mergeCell ref="L889:L893"/>
    <mergeCell ref="F890:H890"/>
    <mergeCell ref="V845:V865"/>
    <mergeCell ref="D866:D886"/>
    <mergeCell ref="E866:E886"/>
    <mergeCell ref="F866:H866"/>
    <mergeCell ref="F875:H875"/>
    <mergeCell ref="F876:H876"/>
    <mergeCell ref="F877:H877"/>
    <mergeCell ref="F878:H878"/>
    <mergeCell ref="F857:H857"/>
    <mergeCell ref="F858:H858"/>
    <mergeCell ref="F859:H859"/>
    <mergeCell ref="F860:H860"/>
    <mergeCell ref="F861:H861"/>
    <mergeCell ref="F862:H862"/>
    <mergeCell ref="F885:H885"/>
    <mergeCell ref="F886:H886"/>
    <mergeCell ref="F879:H879"/>
    <mergeCell ref="F880:H880"/>
    <mergeCell ref="F881:H881"/>
    <mergeCell ref="F882:H882"/>
    <mergeCell ref="F883:H883"/>
    <mergeCell ref="F884:H884"/>
    <mergeCell ref="D845:D865"/>
    <mergeCell ref="E845:E865"/>
    <mergeCell ref="F845:H845"/>
    <mergeCell ref="F863:H863"/>
    <mergeCell ref="F864:H864"/>
    <mergeCell ref="F865:H865"/>
    <mergeCell ref="F846:H846"/>
    <mergeCell ref="F847:H847"/>
    <mergeCell ref="F856:H856"/>
    <mergeCell ref="F698:H698"/>
    <mergeCell ref="F699:H699"/>
    <mergeCell ref="F700:H700"/>
    <mergeCell ref="F701:H701"/>
    <mergeCell ref="F702:H702"/>
    <mergeCell ref="F703:H703"/>
    <mergeCell ref="F704:H704"/>
    <mergeCell ref="F844:H844"/>
    <mergeCell ref="F848:H848"/>
    <mergeCell ref="F849:H849"/>
    <mergeCell ref="F850:H850"/>
    <mergeCell ref="F729:H729"/>
    <mergeCell ref="F730:H730"/>
    <mergeCell ref="F731:H731"/>
    <mergeCell ref="F732:H732"/>
    <mergeCell ref="F733:H733"/>
    <mergeCell ref="V772:AH772"/>
    <mergeCell ref="P845:R845"/>
    <mergeCell ref="F755:H755"/>
    <mergeCell ref="F754:H754"/>
    <mergeCell ref="F708:H708"/>
    <mergeCell ref="F709:H709"/>
    <mergeCell ref="F710:H710"/>
    <mergeCell ref="F748:H748"/>
    <mergeCell ref="F749:H749"/>
    <mergeCell ref="F750:H750"/>
    <mergeCell ref="F751:H751"/>
    <mergeCell ref="F752:H752"/>
    <mergeCell ref="F753:H753"/>
    <mergeCell ref="F740:H740"/>
    <mergeCell ref="F741:H741"/>
    <mergeCell ref="F742:H742"/>
    <mergeCell ref="F680:H680"/>
    <mergeCell ref="F681:H681"/>
    <mergeCell ref="F682:H682"/>
    <mergeCell ref="F659:H659"/>
    <mergeCell ref="F660:H660"/>
    <mergeCell ref="F661:H661"/>
    <mergeCell ref="F723:H723"/>
    <mergeCell ref="F724:H724"/>
    <mergeCell ref="F725:H725"/>
    <mergeCell ref="F726:H726"/>
    <mergeCell ref="F727:H727"/>
    <mergeCell ref="F728:H728"/>
    <mergeCell ref="F851:H851"/>
    <mergeCell ref="F852:H852"/>
    <mergeCell ref="F853:H853"/>
    <mergeCell ref="F854:H854"/>
    <mergeCell ref="F855:H855"/>
    <mergeCell ref="F717:H717"/>
    <mergeCell ref="F718:H718"/>
    <mergeCell ref="F719:H719"/>
    <mergeCell ref="F720:H720"/>
    <mergeCell ref="F721:H721"/>
    <mergeCell ref="F722:H722"/>
    <mergeCell ref="F711:H711"/>
    <mergeCell ref="F712:H712"/>
    <mergeCell ref="F713:H713"/>
    <mergeCell ref="F714:H714"/>
    <mergeCell ref="F715:H715"/>
    <mergeCell ref="F716:H716"/>
    <mergeCell ref="F705:H705"/>
    <mergeCell ref="F706:H706"/>
    <mergeCell ref="F707:H707"/>
    <mergeCell ref="F645:H645"/>
    <mergeCell ref="F646:H646"/>
    <mergeCell ref="F647:H647"/>
    <mergeCell ref="F638:H638"/>
    <mergeCell ref="F639:H639"/>
    <mergeCell ref="F640:H640"/>
    <mergeCell ref="F641:H641"/>
    <mergeCell ref="F642:H642"/>
    <mergeCell ref="F648:H648"/>
    <mergeCell ref="F649:H649"/>
    <mergeCell ref="F626:H626"/>
    <mergeCell ref="F636:H636"/>
    <mergeCell ref="F637:H637"/>
    <mergeCell ref="F579:H579"/>
    <mergeCell ref="F580:H580"/>
    <mergeCell ref="F581:H581"/>
    <mergeCell ref="F582:H582"/>
    <mergeCell ref="F583:H583"/>
    <mergeCell ref="F584:H584"/>
    <mergeCell ref="F573:H573"/>
    <mergeCell ref="F574:H574"/>
    <mergeCell ref="F577:H577"/>
    <mergeCell ref="F578:H578"/>
    <mergeCell ref="F627:H627"/>
    <mergeCell ref="F628:H628"/>
    <mergeCell ref="F629:H629"/>
    <mergeCell ref="F630:H630"/>
    <mergeCell ref="F631:H631"/>
    <mergeCell ref="F632:H632"/>
    <mergeCell ref="F633:H633"/>
    <mergeCell ref="F634:H634"/>
    <mergeCell ref="F635:H635"/>
    <mergeCell ref="F585:H585"/>
    <mergeCell ref="F586:H586"/>
    <mergeCell ref="F587:H587"/>
    <mergeCell ref="F588:H588"/>
    <mergeCell ref="F589:H589"/>
    <mergeCell ref="F576:H576"/>
    <mergeCell ref="F572:H572"/>
    <mergeCell ref="F561:H561"/>
    <mergeCell ref="F562:H562"/>
    <mergeCell ref="F563:H563"/>
    <mergeCell ref="F564:H564"/>
    <mergeCell ref="F565:H565"/>
    <mergeCell ref="F566:H566"/>
    <mergeCell ref="F544:H544"/>
    <mergeCell ref="F545:H545"/>
    <mergeCell ref="F546:H546"/>
    <mergeCell ref="F547:H547"/>
    <mergeCell ref="F548:H548"/>
    <mergeCell ref="F549:H549"/>
    <mergeCell ref="F550:H550"/>
    <mergeCell ref="F551:H551"/>
    <mergeCell ref="F554:H554"/>
    <mergeCell ref="F553:H553"/>
    <mergeCell ref="F555:H555"/>
    <mergeCell ref="F556:H556"/>
    <mergeCell ref="F557:H557"/>
    <mergeCell ref="F558:H558"/>
    <mergeCell ref="F559:H559"/>
    <mergeCell ref="F560:H560"/>
    <mergeCell ref="F552:H552"/>
    <mergeCell ref="F512:H512"/>
    <mergeCell ref="F513:H513"/>
    <mergeCell ref="F514:H514"/>
    <mergeCell ref="F506:H506"/>
    <mergeCell ref="F507:H507"/>
    <mergeCell ref="F508:H508"/>
    <mergeCell ref="F509:H509"/>
    <mergeCell ref="F510:H510"/>
    <mergeCell ref="F511:H511"/>
    <mergeCell ref="F500:H500"/>
    <mergeCell ref="F504:H504"/>
    <mergeCell ref="F505:H505"/>
    <mergeCell ref="F567:H567"/>
    <mergeCell ref="F568:H568"/>
    <mergeCell ref="F569:H569"/>
    <mergeCell ref="F570:H570"/>
    <mergeCell ref="F571:H571"/>
    <mergeCell ref="F515:H515"/>
    <mergeCell ref="F516:H516"/>
    <mergeCell ref="F517:H517"/>
    <mergeCell ref="F542:H542"/>
    <mergeCell ref="F543:H543"/>
    <mergeCell ref="F536:H536"/>
    <mergeCell ref="F537:H537"/>
    <mergeCell ref="F538:H538"/>
    <mergeCell ref="F539:H539"/>
    <mergeCell ref="F540:H540"/>
    <mergeCell ref="F541:H541"/>
    <mergeCell ref="L482:L553"/>
    <mergeCell ref="F501:H501"/>
    <mergeCell ref="F502:H502"/>
    <mergeCell ref="F503:H503"/>
    <mergeCell ref="F494:H494"/>
    <mergeCell ref="F495:H495"/>
    <mergeCell ref="F496:H496"/>
    <mergeCell ref="F471:H471"/>
    <mergeCell ref="F472:H472"/>
    <mergeCell ref="F473:H473"/>
    <mergeCell ref="F474:H474"/>
    <mergeCell ref="F475:H475"/>
    <mergeCell ref="F476:H476"/>
    <mergeCell ref="F477:H477"/>
    <mergeCell ref="F478:H478"/>
    <mergeCell ref="F479:H479"/>
    <mergeCell ref="F480:H480"/>
    <mergeCell ref="F481:H481"/>
    <mergeCell ref="F498:H498"/>
    <mergeCell ref="F499:H499"/>
    <mergeCell ref="F488:H488"/>
    <mergeCell ref="F489:H489"/>
    <mergeCell ref="F490:H490"/>
    <mergeCell ref="F491:H491"/>
    <mergeCell ref="F492:H492"/>
    <mergeCell ref="F493:H493"/>
    <mergeCell ref="F482:H482"/>
    <mergeCell ref="F483:H483"/>
    <mergeCell ref="F484:H484"/>
    <mergeCell ref="F485:H485"/>
    <mergeCell ref="F486:H486"/>
    <mergeCell ref="F487:H487"/>
    <mergeCell ref="F467:H467"/>
    <mergeCell ref="F468:H468"/>
    <mergeCell ref="F469:H469"/>
    <mergeCell ref="F470:H470"/>
    <mergeCell ref="F406:H406"/>
    <mergeCell ref="F407:H407"/>
    <mergeCell ref="F408:H408"/>
    <mergeCell ref="F409:H409"/>
    <mergeCell ref="F410:H410"/>
    <mergeCell ref="F420:H420"/>
    <mergeCell ref="F421:H421"/>
    <mergeCell ref="F363:H363"/>
    <mergeCell ref="F364:H364"/>
    <mergeCell ref="F365:H365"/>
    <mergeCell ref="F366:H366"/>
    <mergeCell ref="F367:H367"/>
    <mergeCell ref="F368:H368"/>
    <mergeCell ref="F444:H444"/>
    <mergeCell ref="F445:H445"/>
    <mergeCell ref="F434:H434"/>
    <mergeCell ref="F435:H435"/>
    <mergeCell ref="F436:H436"/>
    <mergeCell ref="F437:H437"/>
    <mergeCell ref="F438:H438"/>
    <mergeCell ref="F439:H439"/>
    <mergeCell ref="F428:H428"/>
    <mergeCell ref="F429:H429"/>
    <mergeCell ref="F430:H430"/>
    <mergeCell ref="F431:H431"/>
    <mergeCell ref="F432:H432"/>
    <mergeCell ref="F433:H433"/>
    <mergeCell ref="F374:H374"/>
    <mergeCell ref="F415:H415"/>
    <mergeCell ref="F416:H416"/>
    <mergeCell ref="F417:H417"/>
    <mergeCell ref="F418:H418"/>
    <mergeCell ref="F419:H419"/>
    <mergeCell ref="F369:H369"/>
    <mergeCell ref="F370:H370"/>
    <mergeCell ref="F371:H371"/>
    <mergeCell ref="F372:H372"/>
    <mergeCell ref="F373:H373"/>
    <mergeCell ref="F397:H397"/>
    <mergeCell ref="F398:H398"/>
    <mergeCell ref="F399:H399"/>
    <mergeCell ref="F400:H400"/>
    <mergeCell ref="F401:H401"/>
    <mergeCell ref="F402:H402"/>
    <mergeCell ref="F403:H403"/>
    <mergeCell ref="F404:H404"/>
    <mergeCell ref="F405:H405"/>
    <mergeCell ref="F351:H351"/>
    <mergeCell ref="F352:H352"/>
    <mergeCell ref="F353:H353"/>
    <mergeCell ref="F354:H354"/>
    <mergeCell ref="F355:H355"/>
    <mergeCell ref="F356:H356"/>
    <mergeCell ref="F345:H345"/>
    <mergeCell ref="F346:H346"/>
    <mergeCell ref="F347:H347"/>
    <mergeCell ref="F348:H348"/>
    <mergeCell ref="F349:H349"/>
    <mergeCell ref="F350:H350"/>
    <mergeCell ref="F338:H338"/>
    <mergeCell ref="F319:H319"/>
    <mergeCell ref="F320:H320"/>
    <mergeCell ref="F321:H321"/>
    <mergeCell ref="F322:H322"/>
    <mergeCell ref="F323:H323"/>
    <mergeCell ref="F324:H324"/>
    <mergeCell ref="F325:H325"/>
    <mergeCell ref="F326:H326"/>
    <mergeCell ref="F327:H327"/>
    <mergeCell ref="F328:H328"/>
    <mergeCell ref="F329:H329"/>
    <mergeCell ref="F330:H330"/>
    <mergeCell ref="F331:H331"/>
    <mergeCell ref="F332:H332"/>
    <mergeCell ref="F333:H333"/>
    <mergeCell ref="F339:H339"/>
    <mergeCell ref="F340:H340"/>
    <mergeCell ref="F341:H341"/>
    <mergeCell ref="F342:H342"/>
    <mergeCell ref="F211:H211"/>
    <mergeCell ref="F212:H212"/>
    <mergeCell ref="F226:H226"/>
    <mergeCell ref="F227:H227"/>
    <mergeCell ref="F228:H228"/>
    <mergeCell ref="F229:H229"/>
    <mergeCell ref="F298:H298"/>
    <mergeCell ref="F299:H299"/>
    <mergeCell ref="F300:H300"/>
    <mergeCell ref="F301:H301"/>
    <mergeCell ref="F290:H290"/>
    <mergeCell ref="F291:H291"/>
    <mergeCell ref="F292:H292"/>
    <mergeCell ref="F293:H293"/>
    <mergeCell ref="F294:H294"/>
    <mergeCell ref="F295:H295"/>
    <mergeCell ref="F284:H284"/>
    <mergeCell ref="F285:H285"/>
    <mergeCell ref="F286:H286"/>
    <mergeCell ref="F287:H287"/>
    <mergeCell ref="F278:H278"/>
    <mergeCell ref="F279:H279"/>
    <mergeCell ref="F280:H280"/>
    <mergeCell ref="F281:H281"/>
    <mergeCell ref="F282:H282"/>
    <mergeCell ref="F230:H230"/>
    <mergeCell ref="F231:H231"/>
    <mergeCell ref="F232:H232"/>
    <mergeCell ref="F233:H233"/>
    <mergeCell ref="F234:H234"/>
    <mergeCell ref="F235:H235"/>
    <mergeCell ref="F236:H236"/>
    <mergeCell ref="F204:H204"/>
    <mergeCell ref="P205:R205"/>
    <mergeCell ref="F205:H205"/>
    <mergeCell ref="F206:H206"/>
    <mergeCell ref="F196:H196"/>
    <mergeCell ref="F197:H197"/>
    <mergeCell ref="F198:H198"/>
    <mergeCell ref="F199:H199"/>
    <mergeCell ref="F200:H200"/>
    <mergeCell ref="F201:H201"/>
    <mergeCell ref="F266:H266"/>
    <mergeCell ref="F202:H202"/>
    <mergeCell ref="F203:H203"/>
    <mergeCell ref="F193:H193"/>
    <mergeCell ref="F276:H276"/>
    <mergeCell ref="F277:H277"/>
    <mergeCell ref="F219:H219"/>
    <mergeCell ref="F220:H220"/>
    <mergeCell ref="F221:H221"/>
    <mergeCell ref="F222:H222"/>
    <mergeCell ref="F223:H223"/>
    <mergeCell ref="F224:H224"/>
    <mergeCell ref="F213:H213"/>
    <mergeCell ref="F214:H214"/>
    <mergeCell ref="F215:H215"/>
    <mergeCell ref="F216:H216"/>
    <mergeCell ref="F217:H217"/>
    <mergeCell ref="F218:H218"/>
    <mergeCell ref="F207:H207"/>
    <mergeCell ref="F208:H208"/>
    <mergeCell ref="F209:H209"/>
    <mergeCell ref="F210:H210"/>
    <mergeCell ref="D92:D103"/>
    <mergeCell ref="E92:E103"/>
    <mergeCell ref="F92:H92"/>
    <mergeCell ref="O92:Q92"/>
    <mergeCell ref="F98:H98"/>
    <mergeCell ref="V80:V91"/>
    <mergeCell ref="F81:H81"/>
    <mergeCell ref="F82:H82"/>
    <mergeCell ref="F83:H83"/>
    <mergeCell ref="F84:H84"/>
    <mergeCell ref="F85:H85"/>
    <mergeCell ref="F86:H86"/>
    <mergeCell ref="O86:R86"/>
    <mergeCell ref="F87:H87"/>
    <mergeCell ref="F88:H88"/>
    <mergeCell ref="V106:AH106"/>
    <mergeCell ref="P192:R192"/>
    <mergeCell ref="F89:H89"/>
    <mergeCell ref="O89:P89"/>
    <mergeCell ref="F90:H90"/>
    <mergeCell ref="F91:H91"/>
    <mergeCell ref="O94:P94"/>
    <mergeCell ref="F95:H95"/>
    <mergeCell ref="O95:P95"/>
    <mergeCell ref="F96:H96"/>
    <mergeCell ref="O96:P96"/>
    <mergeCell ref="F97:H97"/>
    <mergeCell ref="T193:T196"/>
    <mergeCell ref="F194:H194"/>
    <mergeCell ref="F195:H195"/>
    <mergeCell ref="F99:H99"/>
    <mergeCell ref="F100:H100"/>
    <mergeCell ref="F101:H101"/>
    <mergeCell ref="F102:H102"/>
    <mergeCell ref="F103:H103"/>
    <mergeCell ref="B106:Q106"/>
    <mergeCell ref="V92:V103"/>
    <mergeCell ref="F93:H93"/>
    <mergeCell ref="O93:P93"/>
    <mergeCell ref="F94:H94"/>
    <mergeCell ref="F75:H75"/>
    <mergeCell ref="F76:H76"/>
    <mergeCell ref="F77:H77"/>
    <mergeCell ref="F78:H78"/>
    <mergeCell ref="F79:H79"/>
    <mergeCell ref="D80:D91"/>
    <mergeCell ref="E80:E91"/>
    <mergeCell ref="F80:H80"/>
    <mergeCell ref="D68:D79"/>
    <mergeCell ref="E68:E79"/>
    <mergeCell ref="F68:H68"/>
    <mergeCell ref="V68:V79"/>
    <mergeCell ref="F69:H69"/>
    <mergeCell ref="F70:H70"/>
    <mergeCell ref="F71:H71"/>
    <mergeCell ref="F72:H72"/>
    <mergeCell ref="F73:H73"/>
    <mergeCell ref="F74:H74"/>
    <mergeCell ref="O88:P88"/>
    <mergeCell ref="D65:D66"/>
    <mergeCell ref="E65:E66"/>
    <mergeCell ref="F65:H65"/>
    <mergeCell ref="V65:V66"/>
    <mergeCell ref="F66:H66"/>
    <mergeCell ref="F67:H67"/>
    <mergeCell ref="F59:H59"/>
    <mergeCell ref="F60:H60"/>
    <mergeCell ref="F61:H61"/>
    <mergeCell ref="F62:H62"/>
    <mergeCell ref="F63:H63"/>
    <mergeCell ref="J63:J64"/>
    <mergeCell ref="F64:H64"/>
    <mergeCell ref="F53:H53"/>
    <mergeCell ref="F54:H54"/>
    <mergeCell ref="F55:H55"/>
    <mergeCell ref="F56:H56"/>
    <mergeCell ref="F57:H57"/>
    <mergeCell ref="F58:H58"/>
    <mergeCell ref="A1:O1"/>
    <mergeCell ref="P1:R1"/>
    <mergeCell ref="D2:J2"/>
    <mergeCell ref="B4:Q4"/>
    <mergeCell ref="V4:AH4"/>
    <mergeCell ref="F32:H32"/>
    <mergeCell ref="F46:H46"/>
    <mergeCell ref="F47:H47"/>
    <mergeCell ref="D48:D59"/>
    <mergeCell ref="E48:E59"/>
    <mergeCell ref="F48:H48"/>
    <mergeCell ref="V48:V59"/>
    <mergeCell ref="F49:H49"/>
    <mergeCell ref="F50:H50"/>
    <mergeCell ref="F51:H51"/>
    <mergeCell ref="F52:H52"/>
    <mergeCell ref="F40:H40"/>
    <mergeCell ref="F41:H41"/>
    <mergeCell ref="F42:H42"/>
    <mergeCell ref="F43:H43"/>
    <mergeCell ref="F44:H44"/>
    <mergeCell ref="F45:H45"/>
    <mergeCell ref="D33:D44"/>
    <mergeCell ref="E33:E44"/>
    <mergeCell ref="F33:H33"/>
    <mergeCell ref="V33:V44"/>
    <mergeCell ref="F34:H34"/>
    <mergeCell ref="F35:H35"/>
    <mergeCell ref="F36:H36"/>
    <mergeCell ref="F37:H37"/>
    <mergeCell ref="F38:H38"/>
    <mergeCell ref="F39:H39"/>
  </mergeCells>
  <conditionalFormatting sqref="AH7:AH18 AH1388:AH1641 AH794:AI795 AH797:AI797 AH800:AI801 AH804:AI805 AH810:AI813 AH822:AI825 AH816:AI817">
    <cfRule type="cellIs" dxfId="112" priority="40" operator="lessThan">
      <formula>-0.1</formula>
    </cfRule>
    <cfRule type="cellIs" dxfId="111" priority="41" operator="greaterThan">
      <formula>0.1</formula>
    </cfRule>
  </conditionalFormatting>
  <conditionalFormatting sqref="AH110:AH144">
    <cfRule type="cellIs" dxfId="110" priority="38" operator="lessThan">
      <formula>-0.1</formula>
    </cfRule>
    <cfRule type="cellIs" dxfId="109" priority="39" operator="greaterThan">
      <formula>0.1</formula>
    </cfRule>
  </conditionalFormatting>
  <conditionalFormatting sqref="AH775:AI793 AH796:AI796 AH798:AI799 AH802:AI803 AH806:AI809 AH814:AI815 AH818:AI821">
    <cfRule type="cellIs" dxfId="108" priority="36" operator="lessThan">
      <formula>-0.1</formula>
    </cfRule>
    <cfRule type="cellIs" dxfId="107" priority="37" operator="greaterThan">
      <formula>0.1</formula>
    </cfRule>
  </conditionalFormatting>
  <conditionalFormatting sqref="AH1285:AI1296">
    <cfRule type="cellIs" dxfId="106" priority="34" operator="lessThan">
      <formula>-0.1</formula>
    </cfRule>
    <cfRule type="cellIs" dxfId="105" priority="35" operator="greaterThan">
      <formula>0.1</formula>
    </cfRule>
  </conditionalFormatting>
  <conditionalFormatting sqref="AH145">
    <cfRule type="cellIs" dxfId="104" priority="32" operator="lessThan">
      <formula>-0.1</formula>
    </cfRule>
    <cfRule type="cellIs" dxfId="103" priority="33" operator="greaterThan">
      <formula>0.1</formula>
    </cfRule>
  </conditionalFormatting>
  <conditionalFormatting sqref="B1644:B1048576 B1:B145 B266:B301 B338:B373 B410:B445 B482:B517 B554:B589 B626:B661 B698:B733 B182:B229 B770:B1641">
    <cfRule type="cellIs" dxfId="102" priority="31" operator="equal">
      <formula>"x"</formula>
    </cfRule>
  </conditionalFormatting>
  <conditionalFormatting sqref="AH1642:AH1643">
    <cfRule type="cellIs" dxfId="101" priority="29" operator="lessThan">
      <formula>-0.1</formula>
    </cfRule>
    <cfRule type="cellIs" dxfId="100" priority="30" operator="greaterThan">
      <formula>0.1</formula>
    </cfRule>
  </conditionalFormatting>
  <conditionalFormatting sqref="B1642:B1643">
    <cfRule type="cellIs" dxfId="99" priority="28" operator="equal">
      <formula>"x"</formula>
    </cfRule>
  </conditionalFormatting>
  <conditionalFormatting sqref="Y1920:Y2047">
    <cfRule type="cellIs" dxfId="98" priority="27" operator="equal">
      <formula>5.44</formula>
    </cfRule>
  </conditionalFormatting>
  <conditionalFormatting sqref="B230:B265">
    <cfRule type="cellIs" dxfId="97" priority="13" operator="equal">
      <formula>"x"</formula>
    </cfRule>
  </conditionalFormatting>
  <conditionalFormatting sqref="B302:B337">
    <cfRule type="cellIs" dxfId="96" priority="12" operator="equal">
      <formula>"x"</formula>
    </cfRule>
  </conditionalFormatting>
  <conditionalFormatting sqref="B374:B409">
    <cfRule type="cellIs" dxfId="95" priority="11" operator="equal">
      <formula>"x"</formula>
    </cfRule>
  </conditionalFormatting>
  <conditionalFormatting sqref="B446:B481">
    <cfRule type="cellIs" dxfId="94" priority="10" operator="equal">
      <formula>"x"</formula>
    </cfRule>
  </conditionalFormatting>
  <conditionalFormatting sqref="B518:B553">
    <cfRule type="cellIs" dxfId="93" priority="9" operator="equal">
      <formula>"x"</formula>
    </cfRule>
  </conditionalFormatting>
  <conditionalFormatting sqref="B590:B625">
    <cfRule type="cellIs" dxfId="92" priority="8" operator="equal">
      <formula>"x"</formula>
    </cfRule>
  </conditionalFormatting>
  <conditionalFormatting sqref="B662:B697">
    <cfRule type="cellIs" dxfId="91" priority="7" operator="equal">
      <formula>"x"</formula>
    </cfRule>
  </conditionalFormatting>
  <conditionalFormatting sqref="B734:B769">
    <cfRule type="cellIs" dxfId="90" priority="6" operator="equal">
      <formula>"x"</formula>
    </cfRule>
  </conditionalFormatting>
  <conditionalFormatting sqref="AH146:AH180">
    <cfRule type="cellIs" dxfId="89" priority="4" operator="lessThan">
      <formula>-0.1</formula>
    </cfRule>
    <cfRule type="cellIs" dxfId="88" priority="5" operator="greaterThan">
      <formula>0.1</formula>
    </cfRule>
  </conditionalFormatting>
  <conditionalFormatting sqref="AH181">
    <cfRule type="cellIs" dxfId="87" priority="2" operator="lessThan">
      <formula>-0.1</formula>
    </cfRule>
    <cfRule type="cellIs" dxfId="86" priority="3" operator="greaterThan">
      <formula>0.1</formula>
    </cfRule>
  </conditionalFormatting>
  <conditionalFormatting sqref="B146:B181">
    <cfRule type="cellIs" dxfId="85" priority="1" operator="equal">
      <formula>"x"</formula>
    </cfRule>
  </conditionalFormatting>
  <hyperlinks>
    <hyperlink ref="R94" r:id="rId1"/>
  </hyperlinks>
  <pageMargins left="0.7" right="0.7" top="0.75" bottom="0.75" header="0.3" footer="0.3"/>
  <pageSetup scale="14" fitToHeight="0" orientation="landscape" r:id="rId2"/>
  <rowBreaks count="3" manualBreakCount="3">
    <brk id="771" max="36" man="1"/>
    <brk id="1383" max="36" man="1"/>
    <brk id="3156" max="36" man="1"/>
  </rowBreaks>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1259"/>
  <sheetViews>
    <sheetView showGridLines="0" zoomScale="70" zoomScaleNormal="70" zoomScaleSheetLayoutView="55" workbookViewId="0">
      <selection sqref="A1:O1"/>
    </sheetView>
  </sheetViews>
  <sheetFormatPr defaultRowHeight="15" outlineLevelRow="1" x14ac:dyDescent="0.25"/>
  <cols>
    <col min="1" max="1" width="4.28515625" style="355" customWidth="1"/>
    <col min="2" max="2" width="9.140625" style="355"/>
    <col min="3" max="3" width="24" style="1192" bestFit="1" customWidth="1"/>
    <col min="4" max="4" width="24" style="353" customWidth="1"/>
    <col min="5" max="5" width="84.7109375" style="353" customWidth="1"/>
    <col min="6" max="6" width="61.7109375" style="355" bestFit="1" customWidth="1"/>
    <col min="7" max="7" width="41.42578125" style="355" customWidth="1"/>
    <col min="8" max="8" width="27.42578125" style="355" customWidth="1"/>
    <col min="9" max="9" width="26.28515625" style="355" customWidth="1"/>
    <col min="10" max="10" width="17.140625" style="355" customWidth="1"/>
    <col min="11" max="11" width="12.28515625" style="355" customWidth="1"/>
    <col min="12" max="12" width="19.85546875" style="355" customWidth="1"/>
    <col min="13" max="13" width="21.28515625" style="355" customWidth="1"/>
    <col min="14" max="14" width="13.7109375" style="355" customWidth="1"/>
    <col min="15" max="15" width="11" style="355" customWidth="1"/>
    <col min="16" max="16" width="13.7109375" style="355" customWidth="1"/>
    <col min="17" max="17" width="9.42578125" style="355" customWidth="1"/>
    <col min="18" max="18" width="17.42578125" style="355" customWidth="1"/>
    <col min="19" max="19" width="9.28515625" style="355" customWidth="1"/>
    <col min="20" max="20" width="9.140625" style="355" customWidth="1"/>
    <col min="21" max="21" width="22.85546875" style="355" customWidth="1"/>
    <col min="22" max="22" width="49.42578125" style="328" customWidth="1"/>
    <col min="23" max="23" width="13.5703125" style="328" customWidth="1"/>
    <col min="24" max="24" width="17" style="328" customWidth="1"/>
    <col min="25" max="25" width="19.5703125" style="833" customWidth="1"/>
    <col min="26" max="26" width="15.85546875" style="328" bestFit="1" customWidth="1"/>
    <col min="27" max="33" width="13.42578125" style="328" customWidth="1"/>
    <col min="34" max="34" width="9.140625" style="328" customWidth="1"/>
    <col min="35" max="35" width="13.5703125" style="328" customWidth="1"/>
    <col min="36" max="36" width="19.42578125" style="328" customWidth="1"/>
    <col min="37" max="37" width="18.7109375" style="328" customWidth="1"/>
    <col min="38" max="45" width="13.5703125" style="328" customWidth="1"/>
    <col min="46" max="53" width="9.140625" style="328" customWidth="1"/>
    <col min="54" max="54" width="15" style="1159" customWidth="1"/>
    <col min="55" max="55" width="30.28515625" style="328" customWidth="1"/>
    <col min="56" max="56" width="16.5703125" style="328" customWidth="1"/>
    <col min="57" max="57" width="16.42578125" style="328" bestFit="1" customWidth="1"/>
    <col min="58" max="16384" width="9.140625" style="328"/>
  </cols>
  <sheetData>
    <row r="1" spans="1:57" s="26" customFormat="1" ht="18.75" x14ac:dyDescent="0.3">
      <c r="A1" s="2633" t="s">
        <v>1606</v>
      </c>
      <c r="B1" s="2710"/>
      <c r="C1" s="2710"/>
      <c r="D1" s="2710"/>
      <c r="E1" s="2710"/>
      <c r="F1" s="2710"/>
      <c r="G1" s="2710"/>
      <c r="H1" s="2710"/>
      <c r="I1" s="2710"/>
      <c r="J1" s="2710"/>
      <c r="K1" s="2710"/>
      <c r="L1" s="2710"/>
      <c r="M1" s="2710"/>
      <c r="N1" s="2710"/>
      <c r="O1" s="2710"/>
      <c r="P1" s="2635"/>
      <c r="Q1" s="2733"/>
      <c r="R1" s="2733"/>
      <c r="S1" s="1895"/>
      <c r="T1" s="1716"/>
      <c r="U1" s="1716"/>
      <c r="V1" s="33"/>
      <c r="W1" s="34"/>
      <c r="X1" s="34"/>
      <c r="Y1" s="1155"/>
      <c r="Z1" s="35"/>
      <c r="AA1" s="35"/>
      <c r="AB1" s="35"/>
      <c r="AC1" s="35"/>
      <c r="AD1" s="35"/>
      <c r="AE1" s="35"/>
      <c r="AF1" s="35"/>
      <c r="AG1" s="35"/>
      <c r="AH1" s="35"/>
      <c r="BB1" s="27"/>
    </row>
    <row r="2" spans="1:57" s="26" customFormat="1" ht="30" customHeight="1" outlineLevel="1" x14ac:dyDescent="0.35">
      <c r="A2" s="1716"/>
      <c r="B2" s="1718"/>
      <c r="C2" s="225"/>
      <c r="D2" s="2622" t="s">
        <v>3345</v>
      </c>
      <c r="E2" s="2637"/>
      <c r="F2" s="2638"/>
      <c r="G2" s="2638"/>
      <c r="H2" s="2638"/>
      <c r="I2" s="2638"/>
      <c r="J2" s="2638"/>
      <c r="K2" s="1156"/>
      <c r="L2" s="1156"/>
      <c r="M2" s="1716"/>
      <c r="N2" s="1716"/>
      <c r="O2" s="1716"/>
      <c r="P2" s="1716"/>
      <c r="Q2" s="1716"/>
      <c r="R2" s="1716"/>
      <c r="S2" s="1716"/>
      <c r="T2" s="1716"/>
      <c r="U2" s="1716"/>
      <c r="Y2" s="100"/>
      <c r="BB2" s="27"/>
    </row>
    <row r="3" spans="1:57" s="29" customFormat="1" ht="33.75" customHeight="1" x14ac:dyDescent="0.25">
      <c r="A3" s="1157"/>
      <c r="B3" s="1157"/>
      <c r="C3" s="226"/>
      <c r="D3" s="227"/>
      <c r="E3" s="227"/>
      <c r="F3" s="226"/>
      <c r="G3" s="226"/>
      <c r="H3" s="226"/>
      <c r="I3" s="226"/>
      <c r="J3" s="226"/>
      <c r="K3" s="1157"/>
      <c r="L3" s="1157"/>
      <c r="M3" s="1157"/>
      <c r="N3" s="1157"/>
      <c r="O3" s="1157"/>
      <c r="P3" s="1157"/>
      <c r="Q3" s="1157"/>
      <c r="R3" s="1157"/>
      <c r="S3" s="1157"/>
      <c r="T3" s="1157"/>
      <c r="U3" s="1157"/>
      <c r="Y3" s="1158"/>
      <c r="BB3" s="30"/>
    </row>
    <row r="4" spans="1:57" x14ac:dyDescent="0.25">
      <c r="B4" s="2930" t="s">
        <v>1607</v>
      </c>
      <c r="C4" s="2930"/>
      <c r="D4" s="2930"/>
      <c r="E4" s="2930"/>
      <c r="F4" s="2930"/>
      <c r="G4" s="2930"/>
      <c r="H4" s="2930"/>
      <c r="I4" s="2930"/>
      <c r="J4" s="2930"/>
      <c r="K4" s="2930"/>
      <c r="L4" s="2930"/>
      <c r="M4" s="2930"/>
      <c r="N4" s="2709"/>
      <c r="O4" s="2709"/>
      <c r="P4" s="2709"/>
      <c r="Q4" s="2709"/>
      <c r="R4" s="2709"/>
      <c r="V4" s="2639" t="str">
        <f>B4</f>
        <v>AC Tune-up</v>
      </c>
      <c r="W4" s="2640"/>
      <c r="X4" s="2640"/>
      <c r="Y4" s="2640"/>
      <c r="Z4" s="2640"/>
      <c r="AA4" s="2640"/>
      <c r="AB4" s="2640"/>
      <c r="AC4" s="2615"/>
      <c r="AD4" s="2615"/>
      <c r="AE4" s="2615"/>
      <c r="AF4" s="2615"/>
      <c r="AG4" s="2615"/>
      <c r="AH4" s="2615"/>
      <c r="AI4" s="2616"/>
    </row>
    <row r="5" spans="1:57" x14ac:dyDescent="0.25">
      <c r="B5" s="1580"/>
      <c r="C5" s="329"/>
      <c r="D5" s="456" t="s">
        <v>1608</v>
      </c>
      <c r="E5" s="573"/>
      <c r="F5" s="330"/>
      <c r="G5" s="330"/>
      <c r="H5" s="330"/>
      <c r="I5" s="330"/>
      <c r="J5" s="330"/>
      <c r="K5" s="330"/>
      <c r="L5" s="1902"/>
    </row>
    <row r="6" spans="1:57" ht="30" x14ac:dyDescent="0.25">
      <c r="B6" s="1580"/>
      <c r="C6" s="1641" t="s">
        <v>17</v>
      </c>
      <c r="D6" s="1641" t="s">
        <v>662</v>
      </c>
      <c r="E6" s="1641" t="s">
        <v>19</v>
      </c>
      <c r="F6" s="1641" t="s">
        <v>20</v>
      </c>
      <c r="G6" s="1641" t="s">
        <v>21</v>
      </c>
      <c r="H6" s="1641" t="s">
        <v>22</v>
      </c>
      <c r="I6" s="1641" t="s">
        <v>23</v>
      </c>
      <c r="J6" s="1646" t="s">
        <v>24</v>
      </c>
      <c r="K6" s="1641" t="s">
        <v>25</v>
      </c>
      <c r="L6" s="1641" t="s">
        <v>26</v>
      </c>
      <c r="V6" s="55" t="s">
        <v>27</v>
      </c>
      <c r="W6" s="56">
        <v>43252</v>
      </c>
      <c r="X6" s="56">
        <v>43465</v>
      </c>
      <c r="Y6" s="500">
        <v>43800</v>
      </c>
      <c r="Z6" s="56">
        <v>43862</v>
      </c>
      <c r="AA6" s="56" t="s">
        <v>28</v>
      </c>
      <c r="AB6" s="56" t="s">
        <v>28</v>
      </c>
      <c r="AC6" s="56" t="s">
        <v>28</v>
      </c>
      <c r="AD6" s="56" t="s">
        <v>28</v>
      </c>
      <c r="AE6" s="56" t="s">
        <v>28</v>
      </c>
      <c r="AF6" s="56" t="s">
        <v>28</v>
      </c>
      <c r="AG6" s="56" t="s">
        <v>28</v>
      </c>
      <c r="BB6" s="57" t="s">
        <v>29</v>
      </c>
      <c r="BC6" s="58" t="s">
        <v>30</v>
      </c>
      <c r="BD6" s="787" t="s">
        <v>31</v>
      </c>
      <c r="BE6" s="59" t="s">
        <v>32</v>
      </c>
    </row>
    <row r="7" spans="1:57" s="1160" customFormat="1" x14ac:dyDescent="0.25">
      <c r="A7" s="355"/>
      <c r="B7" s="1580"/>
      <c r="C7" s="1543" t="s">
        <v>1609</v>
      </c>
      <c r="D7" s="2045" t="s">
        <v>1610</v>
      </c>
      <c r="E7" s="290" t="s">
        <v>1611</v>
      </c>
      <c r="F7" s="2113">
        <f>ROUND(($G$25*$G$27*(1/$G$29-1/$G$33)/$G$37),2)</f>
        <v>142.51</v>
      </c>
      <c r="G7" s="2045" t="s">
        <v>737</v>
      </c>
      <c r="H7" s="239">
        <f>VLOOKUP(G7,'CP FACTORS'!$A$3:$B$38, 2, FALSE)</f>
        <v>9.4741810000000004E-4</v>
      </c>
      <c r="I7" s="2015">
        <f>ROUND(F7*H7,6)</f>
        <v>0.135017</v>
      </c>
      <c r="J7" s="1162">
        <f t="shared" ref="J7:J18" si="0">$G$38</f>
        <v>2</v>
      </c>
      <c r="K7" s="1163">
        <f>G39</f>
        <v>70</v>
      </c>
      <c r="L7" s="291" t="s">
        <v>37</v>
      </c>
      <c r="M7" s="355"/>
      <c r="N7" s="355"/>
      <c r="O7" s="355"/>
      <c r="P7" s="333"/>
      <c r="Q7" s="333"/>
      <c r="R7" s="1894"/>
      <c r="S7" s="355"/>
      <c r="T7" s="355"/>
      <c r="U7" s="355"/>
      <c r="V7" s="245" t="str">
        <f>F6</f>
        <v>kWh Annual Savings</v>
      </c>
      <c r="W7" s="246">
        <v>142.50980392156862</v>
      </c>
      <c r="X7" s="1164">
        <v>142.50980392156862</v>
      </c>
      <c r="Y7" s="1165">
        <v>142.51</v>
      </c>
      <c r="Z7" s="245"/>
      <c r="AA7" s="245"/>
      <c r="AB7" s="245"/>
      <c r="AC7" s="245"/>
      <c r="AD7" s="245"/>
      <c r="AE7" s="245"/>
      <c r="AF7" s="245"/>
      <c r="AG7" s="245"/>
      <c r="AK7" s="1166"/>
      <c r="BB7" s="68">
        <f>(BD7)/(BE7)</f>
        <v>0.36910615743656439</v>
      </c>
      <c r="BC7" s="69" t="str">
        <f t="shared" ref="BC7:BC18" si="1">CONCATENATE(G7," ",J7," Year EUL")</f>
        <v>Cooling RES 2 Year EUL</v>
      </c>
      <c r="BD7" s="162">
        <f>(INDEX('Avoided Cost Benefits'!$C$4:$C$857,MATCH(BC7,'Avoided Cost Benefits'!$A$4:$A$857,0)))*F7</f>
        <v>24.386437961830584</v>
      </c>
      <c r="BE7" s="70">
        <f>K7/(1.0595^(2020-2019))</f>
        <v>66.068900424728639</v>
      </c>
    </row>
    <row r="8" spans="1:57" s="1160" customFormat="1" x14ac:dyDescent="0.25">
      <c r="A8" s="355"/>
      <c r="B8" s="1580"/>
      <c r="C8" s="1543" t="s">
        <v>1612</v>
      </c>
      <c r="D8" s="2045" t="s">
        <v>1613</v>
      </c>
      <c r="E8" s="290" t="s">
        <v>1614</v>
      </c>
      <c r="F8" s="2113">
        <f>ROUND(($G$25*$G$28*(1/$G$29-1/$G$33)/$G$37),2)</f>
        <v>92.63</v>
      </c>
      <c r="G8" s="2045" t="s">
        <v>737</v>
      </c>
      <c r="H8" s="239">
        <f>VLOOKUP(G8,'CP FACTORS'!$A$3:$B$38, 2, FALSE)</f>
        <v>9.4741810000000004E-4</v>
      </c>
      <c r="I8" s="2015">
        <f t="shared" ref="I8:I18" si="2">ROUND(F8*H8,6)</f>
        <v>8.7759000000000004E-2</v>
      </c>
      <c r="J8" s="1162">
        <f t="shared" si="0"/>
        <v>2</v>
      </c>
      <c r="K8" s="1163">
        <f>G40</f>
        <v>70</v>
      </c>
      <c r="L8" s="291" t="s">
        <v>37</v>
      </c>
      <c r="M8" s="355"/>
      <c r="N8" s="355"/>
      <c r="O8" s="355"/>
      <c r="P8" s="355"/>
      <c r="Q8" s="355"/>
      <c r="R8" s="1894"/>
      <c r="S8" s="355"/>
      <c r="T8" s="355"/>
      <c r="U8" s="355"/>
      <c r="V8" s="245" t="str">
        <f t="shared" ref="V8:V17" si="3">V7</f>
        <v>kWh Annual Savings</v>
      </c>
      <c r="W8" s="246">
        <v>92.631372549019588</v>
      </c>
      <c r="X8" s="1164">
        <v>92.631372549019588</v>
      </c>
      <c r="Y8" s="1165">
        <v>92.63</v>
      </c>
      <c r="Z8" s="245"/>
      <c r="AA8" s="245"/>
      <c r="AB8" s="245"/>
      <c r="AC8" s="245"/>
      <c r="AD8" s="245"/>
      <c r="AE8" s="245"/>
      <c r="AF8" s="245"/>
      <c r="AG8" s="245"/>
      <c r="AK8" s="1166"/>
      <c r="BB8" s="72">
        <f t="shared" ref="BB8:BB18" si="4">(BD8)/(BE8)</f>
        <v>0.23991511727842932</v>
      </c>
      <c r="BC8" s="73" t="str">
        <f t="shared" si="1"/>
        <v>Cooling RES 2 Year EUL</v>
      </c>
      <c r="BD8" s="165">
        <f>(INDEX('Avoided Cost Benefits'!$C$4:$C$857,MATCH(BC8,'Avoided Cost Benefits'!$A$4:$A$857,0)))*F8</f>
        <v>15.85092799385564</v>
      </c>
      <c r="BE8" s="74">
        <f t="shared" ref="BE8:BE18" si="5">K8/(1.0595^(2020-2019))</f>
        <v>66.068900424728639</v>
      </c>
    </row>
    <row r="9" spans="1:57" s="1160" customFormat="1" x14ac:dyDescent="0.25">
      <c r="A9" s="355"/>
      <c r="B9" s="1580"/>
      <c r="C9" s="1543" t="s">
        <v>1615</v>
      </c>
      <c r="D9" s="2045" t="s">
        <v>1616</v>
      </c>
      <c r="E9" s="458" t="str">
        <f>CONCATENATE(E8,"_CompE")</f>
        <v>AC General Tune-Up (no charge or coil clean) MF_CompE</v>
      </c>
      <c r="F9" s="2113">
        <f>ROUND(($G$26*$G$28*(1/$G$29-1/$G$33)/$G$37),2)</f>
        <v>67.37</v>
      </c>
      <c r="G9" s="2045" t="s">
        <v>737</v>
      </c>
      <c r="H9" s="239">
        <f>VLOOKUP(G9,'CP FACTORS'!$A$3:$B$38, 2, FALSE)</f>
        <v>9.4741810000000004E-4</v>
      </c>
      <c r="I9" s="2015">
        <f t="shared" si="2"/>
        <v>6.3827999999999996E-2</v>
      </c>
      <c r="J9" s="1162">
        <f t="shared" si="0"/>
        <v>2</v>
      </c>
      <c r="K9" s="1163">
        <v>70</v>
      </c>
      <c r="L9" s="291" t="s">
        <v>37</v>
      </c>
      <c r="M9" s="355"/>
      <c r="N9" s="355"/>
      <c r="O9" s="355"/>
      <c r="P9" s="355"/>
      <c r="Q9" s="355"/>
      <c r="R9" s="1894"/>
      <c r="S9" s="355"/>
      <c r="T9" s="355"/>
      <c r="U9" s="355"/>
      <c r="V9" s="245"/>
      <c r="W9" s="246"/>
      <c r="X9" s="1164"/>
      <c r="Y9" s="1168">
        <v>67.37</v>
      </c>
      <c r="Z9" s="245"/>
      <c r="AA9" s="245"/>
      <c r="AB9" s="245"/>
      <c r="AC9" s="245"/>
      <c r="AD9" s="245"/>
      <c r="AE9" s="245"/>
      <c r="AF9" s="245"/>
      <c r="AG9" s="245"/>
      <c r="AK9" s="1166"/>
      <c r="BB9" s="72">
        <f t="shared" si="4"/>
        <v>0.17449078539401688</v>
      </c>
      <c r="BC9" s="73" t="str">
        <f t="shared" si="1"/>
        <v>Cooling RES 2 Year EUL</v>
      </c>
      <c r="BD9" s="165">
        <f>(INDEX('Avoided Cost Benefits'!$C$4:$C$857,MATCH(BC9,'Avoided Cost Benefits'!$A$4:$A$857,0)))*F9</f>
        <v>11.528414325229996</v>
      </c>
      <c r="BE9" s="74">
        <f t="shared" si="5"/>
        <v>66.068900424728639</v>
      </c>
    </row>
    <row r="10" spans="1:57" s="1160" customFormat="1" x14ac:dyDescent="0.25">
      <c r="A10" s="355"/>
      <c r="B10" s="1580"/>
      <c r="C10" s="1543" t="s">
        <v>1617</v>
      </c>
      <c r="D10" s="2045" t="s">
        <v>1610</v>
      </c>
      <c r="E10" s="290" t="s">
        <v>1618</v>
      </c>
      <c r="F10" s="2113">
        <f>ROUND(($G$25*$G$27*(1/$G$30-1/$G$34)/$G$37),2)</f>
        <v>594.39</v>
      </c>
      <c r="G10" s="2045" t="s">
        <v>737</v>
      </c>
      <c r="H10" s="239">
        <f>VLOOKUP(G10,'CP FACTORS'!$A$3:$B$38, 2, FALSE)</f>
        <v>9.4741810000000004E-4</v>
      </c>
      <c r="I10" s="2015">
        <f t="shared" si="2"/>
        <v>0.56313599999999997</v>
      </c>
      <c r="J10" s="1162">
        <f t="shared" si="0"/>
        <v>2</v>
      </c>
      <c r="K10" s="1163">
        <f>G41</f>
        <v>81</v>
      </c>
      <c r="L10" s="291" t="s">
        <v>37</v>
      </c>
      <c r="M10" s="355"/>
      <c r="N10" s="355"/>
      <c r="O10" s="355"/>
      <c r="P10" s="355"/>
      <c r="Q10" s="355"/>
      <c r="R10" s="1894"/>
      <c r="S10" s="355"/>
      <c r="T10" s="355"/>
      <c r="U10" s="355"/>
      <c r="V10" s="245" t="str">
        <f>V8</f>
        <v>kWh Annual Savings</v>
      </c>
      <c r="W10" s="246">
        <v>594.39336108275074</v>
      </c>
      <c r="X10" s="1164">
        <v>594.39336108275074</v>
      </c>
      <c r="Y10" s="1165">
        <v>594.39</v>
      </c>
      <c r="Z10" s="245"/>
      <c r="AA10" s="245"/>
      <c r="AB10" s="245"/>
      <c r="AC10" s="245"/>
      <c r="AD10" s="245"/>
      <c r="AE10" s="245"/>
      <c r="AF10" s="245"/>
      <c r="AG10" s="245"/>
      <c r="AK10" s="1166"/>
      <c r="BB10" s="72">
        <f t="shared" si="4"/>
        <v>1.3304252094338942</v>
      </c>
      <c r="BC10" s="73" t="str">
        <f t="shared" si="1"/>
        <v>Cooling RES 2 Year EUL</v>
      </c>
      <c r="BD10" s="165">
        <f>(INDEX('Avoided Cost Benefits'!$C$4:$C$857,MATCH(BC10,'Avoided Cost Benefits'!$A$4:$A$857,0)))*F10</f>
        <v>101.71254550650819</v>
      </c>
      <c r="BE10" s="74">
        <f t="shared" si="5"/>
        <v>76.451156205757428</v>
      </c>
    </row>
    <row r="11" spans="1:57" s="1160" customFormat="1" x14ac:dyDescent="0.25">
      <c r="A11" s="355"/>
      <c r="B11" s="1580"/>
      <c r="C11" s="1543" t="s">
        <v>1619</v>
      </c>
      <c r="D11" s="2045" t="s">
        <v>1613</v>
      </c>
      <c r="E11" s="290" t="s">
        <v>1620</v>
      </c>
      <c r="F11" s="2113">
        <f>ROUND(($G$25*$G$28*(1/$G$30-1/$G$34)/$G$37),2)</f>
        <v>386.36</v>
      </c>
      <c r="G11" s="2045" t="s">
        <v>737</v>
      </c>
      <c r="H11" s="239">
        <f>VLOOKUP(G11,'CP FACTORS'!$A$3:$B$38, 2, FALSE)</f>
        <v>9.4741810000000004E-4</v>
      </c>
      <c r="I11" s="2015">
        <f t="shared" si="2"/>
        <v>0.36604399999999998</v>
      </c>
      <c r="J11" s="1162">
        <f t="shared" si="0"/>
        <v>2</v>
      </c>
      <c r="K11" s="1163">
        <f>G42</f>
        <v>81</v>
      </c>
      <c r="L11" s="291" t="s">
        <v>37</v>
      </c>
      <c r="M11" s="355"/>
      <c r="N11" s="355"/>
      <c r="O11" s="355"/>
      <c r="P11" s="355"/>
      <c r="Q11" s="355"/>
      <c r="R11" s="1894"/>
      <c r="S11" s="355"/>
      <c r="T11" s="355"/>
      <c r="U11" s="355"/>
      <c r="V11" s="245" t="str">
        <f t="shared" si="3"/>
        <v>kWh Annual Savings</v>
      </c>
      <c r="W11" s="246">
        <v>386.35568470378792</v>
      </c>
      <c r="X11" s="1164">
        <v>386.35568470378792</v>
      </c>
      <c r="Y11" s="1165">
        <v>386.36</v>
      </c>
      <c r="Z11" s="245"/>
      <c r="AA11" s="245"/>
      <c r="AB11" s="245"/>
      <c r="AC11" s="245"/>
      <c r="AD11" s="245"/>
      <c r="AE11" s="245"/>
      <c r="AF11" s="245"/>
      <c r="AG11" s="245"/>
      <c r="AK11" s="1166"/>
      <c r="BB11" s="72">
        <f t="shared" si="4"/>
        <v>0.86479093510469462</v>
      </c>
      <c r="BC11" s="73" t="str">
        <f t="shared" si="1"/>
        <v>Cooling RES 2 Year EUL</v>
      </c>
      <c r="BD11" s="165">
        <f>(INDEX('Avoided Cost Benefits'!$C$4:$C$857,MATCH(BC11,'Avoided Cost Benefits'!$A$4:$A$857,0)))*F11</f>
        <v>66.114266865012041</v>
      </c>
      <c r="BE11" s="74">
        <f t="shared" si="5"/>
        <v>76.451156205757428</v>
      </c>
    </row>
    <row r="12" spans="1:57" s="1160" customFormat="1" x14ac:dyDescent="0.25">
      <c r="A12" s="355"/>
      <c r="B12" s="1580"/>
      <c r="C12" s="1543" t="s">
        <v>1621</v>
      </c>
      <c r="D12" s="2045" t="s">
        <v>1616</v>
      </c>
      <c r="E12" s="458" t="str">
        <f>CONCATENATE(E11,"_CompE")</f>
        <v>AC Tune-up / Refrigerant charge MF_CompE</v>
      </c>
      <c r="F12" s="2113">
        <f>ROUND(($G$26*$G$28*(1/$G$30-1/$G$34)/$G$37),2)</f>
        <v>280.99</v>
      </c>
      <c r="G12" s="2045" t="s">
        <v>737</v>
      </c>
      <c r="H12" s="239">
        <f>VLOOKUP(G12,'CP FACTORS'!$A$3:$B$38, 2, FALSE)</f>
        <v>9.4741810000000004E-4</v>
      </c>
      <c r="I12" s="2015">
        <f t="shared" si="2"/>
        <v>0.26621499999999998</v>
      </c>
      <c r="J12" s="1162">
        <f t="shared" si="0"/>
        <v>2</v>
      </c>
      <c r="K12" s="1163">
        <v>81</v>
      </c>
      <c r="L12" s="291" t="s">
        <v>37</v>
      </c>
      <c r="M12" s="355"/>
      <c r="N12" s="355"/>
      <c r="O12" s="355"/>
      <c r="P12" s="355"/>
      <c r="Q12" s="355"/>
      <c r="R12" s="1894"/>
      <c r="S12" s="355"/>
      <c r="T12" s="355"/>
      <c r="U12" s="355"/>
      <c r="V12" s="245"/>
      <c r="W12" s="246"/>
      <c r="X12" s="1164"/>
      <c r="Y12" s="1168">
        <v>280.99</v>
      </c>
      <c r="Z12" s="245"/>
      <c r="AA12" s="245"/>
      <c r="AB12" s="245"/>
      <c r="AC12" s="245"/>
      <c r="AD12" s="245"/>
      <c r="AE12" s="245"/>
      <c r="AF12" s="245"/>
      <c r="AG12" s="245"/>
      <c r="AK12" s="1166"/>
      <c r="BB12" s="72">
        <f t="shared" si="4"/>
        <v>0.62894089671567488</v>
      </c>
      <c r="BC12" s="73" t="str">
        <f t="shared" si="1"/>
        <v>Cooling RES 2 Year EUL</v>
      </c>
      <c r="BD12" s="165">
        <f>(INDEX('Avoided Cost Benefits'!$C$4:$C$857,MATCH(BC12,'Avoided Cost Benefits'!$A$4:$A$857,0)))*F12</f>
        <v>48.083258738999206</v>
      </c>
      <c r="BE12" s="74">
        <f t="shared" si="5"/>
        <v>76.451156205757428</v>
      </c>
    </row>
    <row r="13" spans="1:57" s="1160" customFormat="1" x14ac:dyDescent="0.25">
      <c r="A13" s="355"/>
      <c r="B13" s="1580"/>
      <c r="C13" s="1543" t="s">
        <v>1622</v>
      </c>
      <c r="D13" s="2045" t="s">
        <v>1610</v>
      </c>
      <c r="E13" s="290" t="s">
        <v>1623</v>
      </c>
      <c r="F13" s="2113">
        <f>ROUND(($G$25*$G$27*(1/$G$31-1/$G$35)/$G$37),2)</f>
        <v>98.38</v>
      </c>
      <c r="G13" s="2045" t="s">
        <v>737</v>
      </c>
      <c r="H13" s="239">
        <f>VLOOKUP(G13,'CP FACTORS'!$A$3:$B$38, 2, FALSE)</f>
        <v>9.4741810000000004E-4</v>
      </c>
      <c r="I13" s="2015">
        <f t="shared" si="2"/>
        <v>9.3206999999999998E-2</v>
      </c>
      <c r="J13" s="1162">
        <f t="shared" si="0"/>
        <v>2</v>
      </c>
      <c r="K13" s="1163">
        <f>G43</f>
        <v>63</v>
      </c>
      <c r="L13" s="291" t="s">
        <v>37</v>
      </c>
      <c r="M13" s="355"/>
      <c r="N13" s="355"/>
      <c r="O13" s="355"/>
      <c r="P13" s="355"/>
      <c r="Q13" s="355"/>
      <c r="R13" s="1894"/>
      <c r="S13" s="355"/>
      <c r="T13" s="355"/>
      <c r="U13" s="355"/>
      <c r="V13" s="245" t="str">
        <f>V11</f>
        <v>kWh Annual Savings</v>
      </c>
      <c r="W13" s="246">
        <v>98.380013276987171</v>
      </c>
      <c r="X13" s="1164">
        <v>98.380013276987171</v>
      </c>
      <c r="Y13" s="1165">
        <v>98.38</v>
      </c>
      <c r="Z13" s="245"/>
      <c r="AA13" s="245"/>
      <c r="AB13" s="245"/>
      <c r="AC13" s="245"/>
      <c r="AD13" s="245"/>
      <c r="AE13" s="245"/>
      <c r="AF13" s="245"/>
      <c r="AG13" s="245"/>
      <c r="AK13" s="1166"/>
      <c r="BB13" s="72">
        <f t="shared" si="4"/>
        <v>0.28311981045080037</v>
      </c>
      <c r="BC13" s="73" t="str">
        <f t="shared" si="1"/>
        <v>Cooling RES 2 Year EUL</v>
      </c>
      <c r="BD13" s="165">
        <f>(INDEX('Avoided Cost Benefits'!$C$4:$C$857,MATCH(BC13,'Avoided Cost Benefits'!$A$4:$A$857,0)))*F13</f>
        <v>16.834873108447781</v>
      </c>
      <c r="BE13" s="74">
        <f t="shared" si="5"/>
        <v>59.462010382255777</v>
      </c>
    </row>
    <row r="14" spans="1:57" s="1160" customFormat="1" x14ac:dyDescent="0.25">
      <c r="A14" s="355"/>
      <c r="B14" s="1580"/>
      <c r="C14" s="1543" t="s">
        <v>1624</v>
      </c>
      <c r="D14" s="2045" t="s">
        <v>1613</v>
      </c>
      <c r="E14" s="290" t="s">
        <v>1625</v>
      </c>
      <c r="F14" s="2113">
        <f>ROUND(($G$25*$G$28*(1/$G$31-1/$G$35)/$G$37),2)</f>
        <v>63.95</v>
      </c>
      <c r="G14" s="2045" t="s">
        <v>737</v>
      </c>
      <c r="H14" s="239">
        <f>VLOOKUP(G14,'CP FACTORS'!$A$3:$B$38, 2, FALSE)</f>
        <v>9.4741810000000004E-4</v>
      </c>
      <c r="I14" s="2015">
        <f t="shared" si="2"/>
        <v>6.0587000000000002E-2</v>
      </c>
      <c r="J14" s="1162">
        <f t="shared" si="0"/>
        <v>2</v>
      </c>
      <c r="K14" s="1163">
        <f>G44</f>
        <v>63</v>
      </c>
      <c r="L14" s="291" t="s">
        <v>37</v>
      </c>
      <c r="M14" s="355"/>
      <c r="N14" s="355"/>
      <c r="O14" s="355"/>
      <c r="P14" s="355"/>
      <c r="Q14" s="355"/>
      <c r="R14" s="1894"/>
      <c r="S14" s="355"/>
      <c r="T14" s="355"/>
      <c r="U14" s="355"/>
      <c r="V14" s="245" t="str">
        <f t="shared" si="3"/>
        <v>kWh Annual Savings</v>
      </c>
      <c r="W14" s="246">
        <v>63.947008630041665</v>
      </c>
      <c r="X14" s="1164">
        <v>63.947008630041665</v>
      </c>
      <c r="Y14" s="1165">
        <v>63.95</v>
      </c>
      <c r="Z14" s="245"/>
      <c r="AA14" s="245"/>
      <c r="AB14" s="245"/>
      <c r="AC14" s="245"/>
      <c r="AD14" s="245"/>
      <c r="AE14" s="245"/>
      <c r="AF14" s="245"/>
      <c r="AG14" s="245"/>
      <c r="AK14" s="1166"/>
      <c r="BB14" s="72">
        <f t="shared" si="4"/>
        <v>0.18403651024932594</v>
      </c>
      <c r="BC14" s="73" t="str">
        <f t="shared" si="1"/>
        <v>Cooling RES 2 Year EUL</v>
      </c>
      <c r="BD14" s="165">
        <f>(INDEX('Avoided Cost Benefits'!$C$4:$C$857,MATCH(BC14,'Avoided Cost Benefits'!$A$4:$A$857,0)))*F14</f>
        <v>10.94318088315954</v>
      </c>
      <c r="BE14" s="74">
        <f t="shared" si="5"/>
        <v>59.462010382255777</v>
      </c>
    </row>
    <row r="15" spans="1:57" s="1160" customFormat="1" x14ac:dyDescent="0.25">
      <c r="A15" s="355"/>
      <c r="B15" s="1580"/>
      <c r="C15" s="1543" t="s">
        <v>1626</v>
      </c>
      <c r="D15" s="2045" t="s">
        <v>1616</v>
      </c>
      <c r="E15" s="458" t="str">
        <f>CONCATENATE(E14,"_CompE")</f>
        <v>AC Tune-up /Indoor Coil (Evaporator) Cleaning MF_CompE</v>
      </c>
      <c r="F15" s="2113">
        <f>ROUND(($G$26*$G$28*(1/$G$31-1/$G$35)/$G$37),2)</f>
        <v>46.51</v>
      </c>
      <c r="G15" s="2045" t="s">
        <v>737</v>
      </c>
      <c r="H15" s="239">
        <f>VLOOKUP(G15,'CP FACTORS'!$A$3:$B$38, 2, FALSE)</f>
        <v>9.4741810000000004E-4</v>
      </c>
      <c r="I15" s="2015">
        <f t="shared" si="2"/>
        <v>4.4063999999999999E-2</v>
      </c>
      <c r="J15" s="1162">
        <f t="shared" si="0"/>
        <v>2</v>
      </c>
      <c r="K15" s="1163">
        <v>63</v>
      </c>
      <c r="L15" s="291" t="s">
        <v>37</v>
      </c>
      <c r="M15" s="355"/>
      <c r="N15" s="355"/>
      <c r="O15" s="355"/>
      <c r="P15" s="355"/>
      <c r="Q15" s="355"/>
      <c r="R15" s="1894"/>
      <c r="S15" s="355"/>
      <c r="T15" s="355"/>
      <c r="U15" s="355"/>
      <c r="V15" s="245"/>
      <c r="W15" s="246"/>
      <c r="X15" s="1164"/>
      <c r="Y15" s="1168">
        <v>46.51</v>
      </c>
      <c r="Z15" s="245"/>
      <c r="AA15" s="245"/>
      <c r="AB15" s="245"/>
      <c r="AC15" s="245"/>
      <c r="AD15" s="245"/>
      <c r="AE15" s="245"/>
      <c r="AF15" s="245"/>
      <c r="AG15" s="245"/>
      <c r="AK15" s="1166"/>
      <c r="BB15" s="72">
        <f t="shared" si="4"/>
        <v>0.13384735092566299</v>
      </c>
      <c r="BC15" s="73" t="str">
        <f t="shared" si="1"/>
        <v>Cooling RES 2 Year EUL</v>
      </c>
      <c r="BD15" s="165">
        <f>(INDEX('Avoided Cost Benefits'!$C$4:$C$857,MATCH(BC15,'Avoided Cost Benefits'!$A$4:$A$857,0)))*F15</f>
        <v>7.9588325703792053</v>
      </c>
      <c r="BE15" s="74">
        <f t="shared" si="5"/>
        <v>59.462010382255777</v>
      </c>
    </row>
    <row r="16" spans="1:57" s="1160" customFormat="1" x14ac:dyDescent="0.25">
      <c r="A16" s="355"/>
      <c r="B16" s="1580"/>
      <c r="C16" s="1543" t="s">
        <v>1627</v>
      </c>
      <c r="D16" s="2045" t="s">
        <v>1610</v>
      </c>
      <c r="E16" s="290" t="s">
        <v>1628</v>
      </c>
      <c r="F16" s="2113">
        <f>ROUND(($G$25*$G$27*(1/$G$32-1/$G$36)/$G$37),2)</f>
        <v>196.76</v>
      </c>
      <c r="G16" s="2045" t="s">
        <v>737</v>
      </c>
      <c r="H16" s="239">
        <f>VLOOKUP(G16,'CP FACTORS'!$A$3:$B$38, 2, FALSE)</f>
        <v>9.4741810000000004E-4</v>
      </c>
      <c r="I16" s="2015">
        <f t="shared" si="2"/>
        <v>0.186414</v>
      </c>
      <c r="J16" s="1162">
        <f t="shared" si="0"/>
        <v>2</v>
      </c>
      <c r="K16" s="1163">
        <f t="shared" ref="K16:K17" si="6">G45</f>
        <v>31</v>
      </c>
      <c r="L16" s="291" t="s">
        <v>37</v>
      </c>
      <c r="M16" s="355"/>
      <c r="N16" s="355"/>
      <c r="O16" s="355"/>
      <c r="P16" s="355"/>
      <c r="Q16" s="355"/>
      <c r="R16" s="1894"/>
      <c r="S16" s="355"/>
      <c r="T16" s="355"/>
      <c r="U16" s="355"/>
      <c r="V16" s="245" t="str">
        <f>V14</f>
        <v>kWh Annual Savings</v>
      </c>
      <c r="W16" s="246">
        <v>196.75522776302316</v>
      </c>
      <c r="X16" s="1164">
        <v>196.75522776302316</v>
      </c>
      <c r="Y16" s="1165">
        <v>196.76</v>
      </c>
      <c r="Z16" s="245"/>
      <c r="AA16" s="245"/>
      <c r="AB16" s="245"/>
      <c r="AC16" s="245"/>
      <c r="AD16" s="245"/>
      <c r="AE16" s="245"/>
      <c r="AF16" s="245"/>
      <c r="AG16" s="245"/>
      <c r="AK16" s="1166"/>
      <c r="BB16" s="72">
        <f t="shared" si="4"/>
        <v>1.150745036025834</v>
      </c>
      <c r="BC16" s="73" t="str">
        <f t="shared" si="1"/>
        <v>Cooling RES 2 Year EUL</v>
      </c>
      <c r="BD16" s="165">
        <f>(INDEX('Avoided Cost Benefits'!$C$4:$C$857,MATCH(BC16,'Avoided Cost Benefits'!$A$4:$A$857,0)))*F16</f>
        <v>33.669746216895561</v>
      </c>
      <c r="BE16" s="74">
        <f t="shared" si="5"/>
        <v>29.259084473808397</v>
      </c>
    </row>
    <row r="17" spans="1:57" s="1160" customFormat="1" x14ac:dyDescent="0.25">
      <c r="A17" s="355"/>
      <c r="B17" s="1580"/>
      <c r="C17" s="1543" t="s">
        <v>1629</v>
      </c>
      <c r="D17" s="2045" t="s">
        <v>1613</v>
      </c>
      <c r="E17" s="290" t="s">
        <v>1630</v>
      </c>
      <c r="F17" s="2113">
        <f>ROUND(($G$25*$G$28*(1/$G$32-1/$G$36)/$G$37),2)</f>
        <v>127.89</v>
      </c>
      <c r="G17" s="2045" t="s">
        <v>737</v>
      </c>
      <c r="H17" s="239">
        <f>VLOOKUP(G17,'CP FACTORS'!$A$3:$B$38, 2, FALSE)</f>
        <v>9.4741810000000004E-4</v>
      </c>
      <c r="I17" s="2015">
        <f t="shared" si="2"/>
        <v>0.12116499999999999</v>
      </c>
      <c r="J17" s="1162">
        <f t="shared" si="0"/>
        <v>2</v>
      </c>
      <c r="K17" s="1163">
        <f t="shared" si="6"/>
        <v>31</v>
      </c>
      <c r="L17" s="291" t="s">
        <v>37</v>
      </c>
      <c r="M17" s="355"/>
      <c r="N17" s="355"/>
      <c r="O17" s="355"/>
      <c r="P17" s="355"/>
      <c r="Q17" s="355"/>
      <c r="R17" s="1894"/>
      <c r="S17" s="355"/>
      <c r="T17" s="355"/>
      <c r="U17" s="355"/>
      <c r="V17" s="245" t="str">
        <f t="shared" si="3"/>
        <v>kWh Annual Savings</v>
      </c>
      <c r="W17" s="246">
        <v>127.89089804596506</v>
      </c>
      <c r="X17" s="1164">
        <v>127.89089804596506</v>
      </c>
      <c r="Y17" s="1165">
        <v>127.89</v>
      </c>
      <c r="Z17" s="245"/>
      <c r="AA17" s="245"/>
      <c r="AB17" s="245"/>
      <c r="AC17" s="245"/>
      <c r="AD17" s="245"/>
      <c r="AE17" s="245"/>
      <c r="AF17" s="245"/>
      <c r="AG17" s="245"/>
      <c r="AK17" s="1166"/>
      <c r="BB17" s="72">
        <f t="shared" si="4"/>
        <v>0.74796087953518953</v>
      </c>
      <c r="BC17" s="73" t="str">
        <f t="shared" si="1"/>
        <v>Cooling RES 2 Year EUL</v>
      </c>
      <c r="BD17" s="165">
        <f>(INDEX('Avoided Cost Benefits'!$C$4:$C$857,MATCH(BC17,'Avoided Cost Benefits'!$A$4:$A$857,0)))*F17</f>
        <v>21.884650557424138</v>
      </c>
      <c r="BE17" s="74">
        <f t="shared" si="5"/>
        <v>29.259084473808397</v>
      </c>
    </row>
    <row r="18" spans="1:57" s="1160" customFormat="1" x14ac:dyDescent="0.25">
      <c r="A18" s="355"/>
      <c r="B18" s="1580"/>
      <c r="C18" s="1543" t="s">
        <v>1631</v>
      </c>
      <c r="D18" s="2045" t="s">
        <v>1616</v>
      </c>
      <c r="E18" s="458" t="str">
        <f>CONCATENATE(E17,"_CompE")</f>
        <v>AC Tune-up /Outdoor Coil (Condenser) Cleaning MF_CompE</v>
      </c>
      <c r="F18" s="2113">
        <f>ROUND(($G$26*$G$28*(1/$G$32-1/$G$36)/$G$37),2)</f>
        <v>93.01</v>
      </c>
      <c r="G18" s="2045" t="s">
        <v>737</v>
      </c>
      <c r="H18" s="239">
        <f>VLOOKUP(G18,'CP FACTORS'!$A$3:$B$38, 2, FALSE)</f>
        <v>9.4741810000000004E-4</v>
      </c>
      <c r="I18" s="2015">
        <f t="shared" si="2"/>
        <v>8.8119000000000003E-2</v>
      </c>
      <c r="J18" s="1162">
        <f t="shared" si="0"/>
        <v>2</v>
      </c>
      <c r="K18" s="1163">
        <v>31</v>
      </c>
      <c r="L18" s="291" t="s">
        <v>37</v>
      </c>
      <c r="M18" s="355"/>
      <c r="N18" s="355"/>
      <c r="O18" s="355"/>
      <c r="P18" s="355"/>
      <c r="Q18" s="355"/>
      <c r="R18" s="1894"/>
      <c r="S18" s="355"/>
      <c r="T18" s="355"/>
      <c r="U18" s="355"/>
      <c r="V18" s="245"/>
      <c r="W18" s="246"/>
      <c r="X18" s="1164"/>
      <c r="Y18" s="1168">
        <v>93.01</v>
      </c>
      <c r="Z18" s="245"/>
      <c r="AA18" s="245"/>
      <c r="AB18" s="245"/>
      <c r="AC18" s="245"/>
      <c r="AD18" s="245"/>
      <c r="AE18" s="245"/>
      <c r="AF18" s="245"/>
      <c r="AG18" s="245"/>
      <c r="AK18" s="1166"/>
      <c r="BB18" s="75">
        <f t="shared" si="4"/>
        <v>0.54396623196159188</v>
      </c>
      <c r="BC18" s="73" t="str">
        <f t="shared" si="1"/>
        <v>Cooling RES 2 Year EUL</v>
      </c>
      <c r="BD18" s="170">
        <f>(INDEX('Avoided Cost Benefits'!$C$4:$C$857,MATCH(BC18,'Avoided Cost Benefits'!$A$4:$A$857,0)))*F18</f>
        <v>15.91595393186347</v>
      </c>
      <c r="BE18" s="76">
        <f t="shared" si="5"/>
        <v>29.259084473808397</v>
      </c>
    </row>
    <row r="19" spans="1:57" outlineLevel="1" x14ac:dyDescent="0.25">
      <c r="B19" s="1580"/>
      <c r="C19" s="231"/>
      <c r="D19" s="232"/>
      <c r="E19" s="232"/>
      <c r="F19" s="2114"/>
      <c r="G19" s="233"/>
      <c r="H19" s="233"/>
      <c r="I19" s="233"/>
      <c r="J19" s="233"/>
      <c r="V19"/>
      <c r="W19"/>
      <c r="X19"/>
      <c r="Y19" s="148"/>
      <c r="Z19"/>
      <c r="AA19"/>
      <c r="AB19"/>
      <c r="AC19"/>
      <c r="AD19"/>
      <c r="AE19"/>
      <c r="AF19"/>
      <c r="AG19"/>
      <c r="AK19" s="1166"/>
    </row>
    <row r="20" spans="1:57" outlineLevel="1" x14ac:dyDescent="0.25">
      <c r="B20" s="1580"/>
      <c r="C20" s="231"/>
      <c r="D20" s="252" t="s">
        <v>1632</v>
      </c>
      <c r="E20" s="438"/>
      <c r="F20" s="2115"/>
      <c r="G20" s="233"/>
      <c r="H20" s="233"/>
      <c r="I20" s="233"/>
      <c r="J20" s="233"/>
      <c r="V20"/>
      <c r="W20"/>
      <c r="X20"/>
      <c r="Y20" s="148"/>
      <c r="Z20"/>
      <c r="AA20"/>
      <c r="AB20"/>
      <c r="AC20"/>
      <c r="AD20"/>
      <c r="AE20"/>
      <c r="AF20"/>
      <c r="AG20"/>
      <c r="AK20" s="1166"/>
    </row>
    <row r="21" spans="1:57" outlineLevel="1" x14ac:dyDescent="0.25">
      <c r="B21" s="1580"/>
      <c r="C21" s="231"/>
      <c r="D21" s="1530"/>
      <c r="E21" s="2116"/>
      <c r="F21" s="2115"/>
      <c r="G21" s="233"/>
      <c r="H21" s="233"/>
      <c r="I21" s="233"/>
      <c r="J21" s="233"/>
      <c r="K21" s="233"/>
      <c r="L21" s="233"/>
      <c r="V21"/>
      <c r="W21"/>
      <c r="X21"/>
      <c r="Y21" s="148"/>
      <c r="Z21"/>
      <c r="AA21"/>
      <c r="AB21"/>
      <c r="AC21"/>
      <c r="AD21"/>
      <c r="AE21"/>
      <c r="AF21"/>
      <c r="AG21"/>
      <c r="AK21" s="1166"/>
    </row>
    <row r="22" spans="1:57" ht="15" customHeight="1" outlineLevel="1" x14ac:dyDescent="0.25">
      <c r="B22" s="1580"/>
      <c r="C22" s="231"/>
      <c r="D22" s="1530"/>
      <c r="E22" s="438"/>
      <c r="F22" s="2115"/>
      <c r="G22" s="233"/>
      <c r="H22" s="233"/>
      <c r="I22" s="233"/>
      <c r="J22" s="233"/>
      <c r="K22" s="233"/>
      <c r="L22" s="233"/>
      <c r="AK22" s="1166"/>
    </row>
    <row r="23" spans="1:57" ht="15" customHeight="1" outlineLevel="1" x14ac:dyDescent="0.25">
      <c r="B23" s="1580"/>
      <c r="C23" s="231"/>
      <c r="D23" s="232"/>
      <c r="E23" s="232"/>
      <c r="F23" s="233"/>
      <c r="G23" s="233"/>
      <c r="H23" s="233"/>
      <c r="I23" s="233"/>
      <c r="J23" s="233"/>
      <c r="K23" s="233"/>
      <c r="L23" s="233"/>
      <c r="AK23" s="1166"/>
    </row>
    <row r="24" spans="1:57" ht="15" customHeight="1" outlineLevel="1" x14ac:dyDescent="0.25">
      <c r="B24" s="1580"/>
      <c r="C24" s="231"/>
      <c r="D24" s="1701" t="s">
        <v>618</v>
      </c>
      <c r="E24" s="1701" t="s">
        <v>619</v>
      </c>
      <c r="F24" s="1701" t="s">
        <v>669</v>
      </c>
      <c r="G24" s="1645" t="s">
        <v>620</v>
      </c>
      <c r="H24" s="2669" t="s">
        <v>670</v>
      </c>
      <c r="I24" s="2669"/>
      <c r="J24" s="2722"/>
      <c r="K24" s="2669" t="s">
        <v>621</v>
      </c>
      <c r="L24" s="2669"/>
      <c r="M24" s="2669"/>
      <c r="N24" s="2669"/>
      <c r="V24" s="55" t="s">
        <v>27</v>
      </c>
      <c r="W24" s="56">
        <f>W$6</f>
        <v>43252</v>
      </c>
      <c r="X24" s="56">
        <f t="shared" ref="X24:AG24" si="7">X$6</f>
        <v>43465</v>
      </c>
      <c r="Y24" s="500">
        <f t="shared" si="7"/>
        <v>43800</v>
      </c>
      <c r="Z24" s="56">
        <f t="shared" si="7"/>
        <v>43862</v>
      </c>
      <c r="AA24" s="56" t="str">
        <f t="shared" si="7"/>
        <v>-</v>
      </c>
      <c r="AB24" s="56" t="str">
        <f t="shared" si="7"/>
        <v>-</v>
      </c>
      <c r="AC24" s="56" t="str">
        <f t="shared" si="7"/>
        <v>-</v>
      </c>
      <c r="AD24" s="56" t="str">
        <f t="shared" si="7"/>
        <v>-</v>
      </c>
      <c r="AE24" s="56" t="str">
        <f t="shared" si="7"/>
        <v>-</v>
      </c>
      <c r="AF24" s="56" t="str">
        <f t="shared" si="7"/>
        <v>-</v>
      </c>
      <c r="AG24" s="56" t="str">
        <f t="shared" si="7"/>
        <v>-</v>
      </c>
      <c r="AK24" s="1166"/>
    </row>
    <row r="25" spans="1:57" ht="18" customHeight="1" outlineLevel="1" x14ac:dyDescent="0.25">
      <c r="B25" s="1580"/>
      <c r="C25" s="266"/>
      <c r="D25" s="2931" t="s">
        <v>1903</v>
      </c>
      <c r="E25" s="2931" t="s">
        <v>1393</v>
      </c>
      <c r="F25" s="1301" t="s">
        <v>790</v>
      </c>
      <c r="G25" s="1297">
        <v>869</v>
      </c>
      <c r="H25" s="2940" t="s">
        <v>953</v>
      </c>
      <c r="I25" s="2941"/>
      <c r="J25" s="2942"/>
      <c r="K25" s="2936"/>
      <c r="L25" s="2936"/>
      <c r="M25" s="2936"/>
      <c r="N25" s="2936"/>
      <c r="V25" s="2937" t="str">
        <f>D25</f>
        <v>EFLHcool</v>
      </c>
      <c r="W25" s="1169">
        <v>869</v>
      </c>
      <c r="X25" s="1169">
        <v>869</v>
      </c>
      <c r="Y25" s="1169">
        <v>869</v>
      </c>
      <c r="Z25" s="289"/>
      <c r="AA25" s="289"/>
      <c r="AB25" s="289"/>
      <c r="AC25" s="289"/>
      <c r="AD25" s="289"/>
      <c r="AE25" s="289"/>
      <c r="AF25" s="289"/>
      <c r="AG25" s="289"/>
      <c r="AK25" s="1166"/>
    </row>
    <row r="26" spans="1:57" ht="18" customHeight="1" outlineLevel="1" x14ac:dyDescent="0.25">
      <c r="B26" s="1580"/>
      <c r="C26" s="266"/>
      <c r="D26" s="2939"/>
      <c r="E26" s="2939"/>
      <c r="F26" s="377" t="s">
        <v>952</v>
      </c>
      <c r="G26" s="1297">
        <v>632</v>
      </c>
      <c r="H26" s="2943"/>
      <c r="I26" s="2944"/>
      <c r="J26" s="2945"/>
      <c r="K26" s="2936"/>
      <c r="L26" s="2936"/>
      <c r="M26" s="2936"/>
      <c r="N26" s="2936"/>
      <c r="V26" s="2946"/>
      <c r="W26" s="1169"/>
      <c r="X26" s="1169"/>
      <c r="Y26" s="1170">
        <v>632</v>
      </c>
      <c r="Z26" s="289"/>
      <c r="AA26" s="289"/>
      <c r="AB26" s="289"/>
      <c r="AC26" s="289"/>
      <c r="AD26" s="289"/>
      <c r="AE26" s="289"/>
      <c r="AF26" s="289"/>
      <c r="AG26" s="289"/>
      <c r="AK26" s="1166"/>
    </row>
    <row r="27" spans="1:57" ht="15" customHeight="1" outlineLevel="1" x14ac:dyDescent="0.25">
      <c r="B27" s="1580"/>
      <c r="C27" s="266"/>
      <c r="D27" s="2931" t="s">
        <v>1904</v>
      </c>
      <c r="E27" s="2931" t="s">
        <v>1602</v>
      </c>
      <c r="F27" s="1301" t="s">
        <v>795</v>
      </c>
      <c r="G27" s="1297">
        <v>36800</v>
      </c>
      <c r="H27" s="2933" t="s">
        <v>1635</v>
      </c>
      <c r="I27" s="2934"/>
      <c r="J27" s="2935"/>
      <c r="K27" s="2936" t="s">
        <v>1636</v>
      </c>
      <c r="L27" s="2936"/>
      <c r="M27" s="2936"/>
      <c r="N27" s="2936"/>
      <c r="V27" s="2937" t="str">
        <f>D27</f>
        <v>Capacitycool</v>
      </c>
      <c r="W27" s="1169">
        <v>36800</v>
      </c>
      <c r="X27" s="1169">
        <v>36800</v>
      </c>
      <c r="Y27" s="1169">
        <v>36800</v>
      </c>
      <c r="Z27" s="289"/>
      <c r="AA27" s="289"/>
      <c r="AB27" s="289"/>
      <c r="AC27" s="289"/>
      <c r="AD27" s="289"/>
      <c r="AE27" s="289"/>
      <c r="AF27" s="289"/>
      <c r="AG27" s="289"/>
      <c r="AK27" s="1166"/>
    </row>
    <row r="28" spans="1:57" ht="15" customHeight="1" outlineLevel="1" x14ac:dyDescent="0.25">
      <c r="B28" s="1580"/>
      <c r="C28" s="266"/>
      <c r="D28" s="2932"/>
      <c r="E28" s="2932"/>
      <c r="F28" s="1301" t="s">
        <v>797</v>
      </c>
      <c r="G28" s="1297">
        <v>23920</v>
      </c>
      <c r="H28" s="2933" t="s">
        <v>1637</v>
      </c>
      <c r="I28" s="2934"/>
      <c r="J28" s="2935"/>
      <c r="K28" s="2936"/>
      <c r="L28" s="2936"/>
      <c r="M28" s="2936"/>
      <c r="N28" s="2936"/>
      <c r="V28" s="2938"/>
      <c r="W28" s="1169">
        <v>23920</v>
      </c>
      <c r="X28" s="1169">
        <v>23920</v>
      </c>
      <c r="Y28" s="1169">
        <v>23920</v>
      </c>
      <c r="Z28" s="289"/>
      <c r="AA28" s="289"/>
      <c r="AB28" s="289"/>
      <c r="AC28" s="289"/>
      <c r="AD28" s="289"/>
      <c r="AE28" s="289"/>
      <c r="AF28" s="289"/>
      <c r="AG28" s="289"/>
      <c r="AK28" s="1166"/>
    </row>
    <row r="29" spans="1:57" outlineLevel="1" x14ac:dyDescent="0.25">
      <c r="B29" s="1580"/>
      <c r="C29" s="266"/>
      <c r="D29" s="2931" t="s">
        <v>1638</v>
      </c>
      <c r="E29" s="2931" t="s">
        <v>1639</v>
      </c>
      <c r="F29" s="1301" t="s">
        <v>1640</v>
      </c>
      <c r="G29" s="1691">
        <v>11.9</v>
      </c>
      <c r="H29" s="2936" t="s">
        <v>1289</v>
      </c>
      <c r="I29" s="2936"/>
      <c r="J29" s="2933"/>
      <c r="K29" s="2947"/>
      <c r="L29" s="2947"/>
      <c r="M29" s="2947"/>
      <c r="N29" s="2947"/>
      <c r="V29" s="2950" t="str">
        <f>D29</f>
        <v>SEERtest-in</v>
      </c>
      <c r="W29" s="1171">
        <v>11.9</v>
      </c>
      <c r="X29" s="1171">
        <v>11.9</v>
      </c>
      <c r="Y29" s="1171">
        <v>11.9</v>
      </c>
      <c r="Z29" s="284"/>
      <c r="AA29" s="284"/>
      <c r="AB29" s="284"/>
      <c r="AC29" s="284"/>
      <c r="AD29" s="284"/>
      <c r="AE29" s="284"/>
      <c r="AF29" s="284"/>
      <c r="AG29" s="284"/>
      <c r="AK29" s="1166"/>
    </row>
    <row r="30" spans="1:57" ht="15" customHeight="1" outlineLevel="1" x14ac:dyDescent="0.25">
      <c r="B30" s="1580"/>
      <c r="C30" s="266"/>
      <c r="D30" s="2948"/>
      <c r="E30" s="2948"/>
      <c r="F30" s="1301" t="s">
        <v>1641</v>
      </c>
      <c r="G30" s="1691">
        <v>11.9</v>
      </c>
      <c r="H30" s="2936"/>
      <c r="I30" s="2936"/>
      <c r="J30" s="2933"/>
      <c r="K30" s="2947"/>
      <c r="L30" s="2947"/>
      <c r="M30" s="2947"/>
      <c r="N30" s="2947"/>
      <c r="V30" s="2949"/>
      <c r="W30" s="1171">
        <v>11.9</v>
      </c>
      <c r="X30" s="1171">
        <v>11.9</v>
      </c>
      <c r="Y30" s="1171">
        <v>11.9</v>
      </c>
      <c r="Z30" s="284"/>
      <c r="AA30" s="284"/>
      <c r="AB30" s="284"/>
      <c r="AC30" s="284"/>
      <c r="AD30" s="284"/>
      <c r="AE30" s="284"/>
      <c r="AF30" s="284"/>
      <c r="AG30" s="284"/>
      <c r="AK30" s="1166"/>
    </row>
    <row r="31" spans="1:57" outlineLevel="1" x14ac:dyDescent="0.25">
      <c r="B31" s="1339"/>
      <c r="C31" s="266"/>
      <c r="D31" s="2948"/>
      <c r="E31" s="2948"/>
      <c r="F31" s="1301" t="s">
        <v>1642</v>
      </c>
      <c r="G31" s="1691">
        <v>11.9</v>
      </c>
      <c r="H31" s="2936" t="s">
        <v>1289</v>
      </c>
      <c r="I31" s="2936"/>
      <c r="J31" s="2933"/>
      <c r="K31" s="2947" t="s">
        <v>1643</v>
      </c>
      <c r="L31" s="2947"/>
      <c r="M31" s="2947"/>
      <c r="N31" s="2947"/>
      <c r="V31" s="2949"/>
      <c r="W31" s="1171">
        <v>11.9</v>
      </c>
      <c r="X31" s="1171">
        <v>11.9</v>
      </c>
      <c r="Y31" s="1171">
        <v>11.9</v>
      </c>
      <c r="Z31" s="284"/>
      <c r="AA31" s="284"/>
      <c r="AB31" s="284"/>
      <c r="AC31" s="284"/>
      <c r="AD31" s="284"/>
      <c r="AE31" s="284"/>
      <c r="AF31" s="284"/>
      <c r="AG31" s="284"/>
      <c r="AK31" s="1166"/>
    </row>
    <row r="32" spans="1:57" ht="15" customHeight="1" outlineLevel="1" x14ac:dyDescent="0.25">
      <c r="B32" s="1339"/>
      <c r="C32" s="266"/>
      <c r="D32" s="2932"/>
      <c r="E32" s="2932"/>
      <c r="F32" s="1301" t="s">
        <v>1644</v>
      </c>
      <c r="G32" s="1691">
        <v>11.9</v>
      </c>
      <c r="H32" s="2936"/>
      <c r="I32" s="2936"/>
      <c r="J32" s="2933"/>
      <c r="K32" s="2947"/>
      <c r="L32" s="2947"/>
      <c r="M32" s="2947"/>
      <c r="N32" s="2947"/>
      <c r="V32" s="2938"/>
      <c r="W32" s="1171">
        <v>11.9</v>
      </c>
      <c r="X32" s="1171">
        <v>11.9</v>
      </c>
      <c r="Y32" s="1171">
        <v>11.9</v>
      </c>
      <c r="Z32" s="284"/>
      <c r="AA32" s="284"/>
      <c r="AB32" s="284"/>
      <c r="AC32" s="284"/>
      <c r="AD32" s="284"/>
      <c r="AE32" s="284"/>
      <c r="AF32" s="284"/>
      <c r="AG32" s="284"/>
      <c r="AK32" s="1166"/>
    </row>
    <row r="33" spans="1:54" outlineLevel="1" x14ac:dyDescent="0.25">
      <c r="B33" s="1580"/>
      <c r="C33" s="266"/>
      <c r="D33" s="2931" t="s">
        <v>1906</v>
      </c>
      <c r="E33" s="2931" t="s">
        <v>1646</v>
      </c>
      <c r="F33" s="1301" t="s">
        <v>1640</v>
      </c>
      <c r="G33" s="1691">
        <f>G29*(1+0.056)</f>
        <v>12.566400000000002</v>
      </c>
      <c r="H33" s="2936" t="s">
        <v>1289</v>
      </c>
      <c r="I33" s="2936"/>
      <c r="J33" s="2933"/>
      <c r="K33" s="2947"/>
      <c r="L33" s="2947"/>
      <c r="M33" s="2947"/>
      <c r="N33" s="2947"/>
      <c r="V33" s="2937" t="str">
        <f>D33</f>
        <v>SEERtest-out</v>
      </c>
      <c r="W33" s="1171">
        <v>12.566400000000002</v>
      </c>
      <c r="X33" s="1171">
        <f>X29*(1+0.056)</f>
        <v>12.566400000000002</v>
      </c>
      <c r="Y33" s="1171">
        <f>Y29*(1+0.056)</f>
        <v>12.566400000000002</v>
      </c>
      <c r="Z33" s="284"/>
      <c r="AA33" s="284"/>
      <c r="AB33" s="284"/>
      <c r="AC33" s="284"/>
      <c r="AD33" s="284"/>
      <c r="AE33" s="284"/>
      <c r="AF33" s="284"/>
      <c r="AG33" s="284"/>
      <c r="AK33" s="1166"/>
    </row>
    <row r="34" spans="1:54" ht="15" customHeight="1" outlineLevel="1" x14ac:dyDescent="0.25">
      <c r="B34" s="1580"/>
      <c r="C34" s="266"/>
      <c r="D34" s="2948"/>
      <c r="E34" s="2948"/>
      <c r="F34" s="1301" t="s">
        <v>1641</v>
      </c>
      <c r="G34" s="1691">
        <f>G30*(1+0.284)</f>
        <v>15.2796</v>
      </c>
      <c r="H34" s="2936"/>
      <c r="I34" s="2936"/>
      <c r="J34" s="2933"/>
      <c r="K34" s="2947" t="s">
        <v>1643</v>
      </c>
      <c r="L34" s="2947"/>
      <c r="M34" s="2947"/>
      <c r="N34" s="2947"/>
      <c r="V34" s="2949"/>
      <c r="W34" s="1171">
        <v>15.2796</v>
      </c>
      <c r="X34" s="1171">
        <f>X30*(1+0.284)</f>
        <v>15.2796</v>
      </c>
      <c r="Y34" s="1171">
        <f>Y30*(1+0.284)</f>
        <v>15.2796</v>
      </c>
      <c r="Z34" s="284"/>
      <c r="AA34" s="284"/>
      <c r="AB34" s="284"/>
      <c r="AC34" s="284"/>
      <c r="AD34" s="284"/>
      <c r="AE34" s="284"/>
      <c r="AF34" s="284"/>
      <c r="AG34" s="284"/>
      <c r="AK34" s="1166"/>
    </row>
    <row r="35" spans="1:54" outlineLevel="1" x14ac:dyDescent="0.25">
      <c r="B35" s="1339"/>
      <c r="C35" s="266"/>
      <c r="D35" s="2948"/>
      <c r="E35" s="2948"/>
      <c r="F35" s="1301" t="s">
        <v>1642</v>
      </c>
      <c r="G35" s="1691">
        <f>G31*(1+0.038)</f>
        <v>12.352200000000002</v>
      </c>
      <c r="H35" s="2936" t="s">
        <v>1289</v>
      </c>
      <c r="I35" s="2936"/>
      <c r="J35" s="2933"/>
      <c r="K35" s="2947" t="s">
        <v>1643</v>
      </c>
      <c r="L35" s="2947"/>
      <c r="M35" s="2947"/>
      <c r="N35" s="2947"/>
      <c r="V35" s="2949"/>
      <c r="W35" s="1171">
        <v>12.352200000000002</v>
      </c>
      <c r="X35" s="1171">
        <f>X31*(1+0.038)</f>
        <v>12.352200000000002</v>
      </c>
      <c r="Y35" s="1171">
        <f>Y31*(1+0.038)</f>
        <v>12.352200000000002</v>
      </c>
      <c r="Z35" s="284"/>
      <c r="AA35" s="284"/>
      <c r="AB35" s="284"/>
      <c r="AC35" s="284"/>
      <c r="AD35" s="284"/>
      <c r="AE35" s="284"/>
      <c r="AF35" s="284"/>
      <c r="AG35" s="284"/>
      <c r="AK35" s="1166"/>
    </row>
    <row r="36" spans="1:54" ht="15" customHeight="1" outlineLevel="1" x14ac:dyDescent="0.25">
      <c r="B36" s="1339"/>
      <c r="C36" s="266"/>
      <c r="D36" s="2932"/>
      <c r="E36" s="2932"/>
      <c r="F36" s="1301" t="s">
        <v>1644</v>
      </c>
      <c r="G36" s="1692">
        <f>G32*(1+0.079)</f>
        <v>12.8401</v>
      </c>
      <c r="H36" s="2936"/>
      <c r="I36" s="2936"/>
      <c r="J36" s="2933"/>
      <c r="K36" s="2947" t="s">
        <v>1643</v>
      </c>
      <c r="L36" s="2947"/>
      <c r="M36" s="2947"/>
      <c r="N36" s="2947"/>
      <c r="V36" s="2938"/>
      <c r="W36" s="284">
        <v>12.8401</v>
      </c>
      <c r="X36" s="284">
        <f>X32*(1+0.079)</f>
        <v>12.8401</v>
      </c>
      <c r="Y36" s="284">
        <f>Y32*(1+0.079)</f>
        <v>12.8401</v>
      </c>
      <c r="Z36" s="284"/>
      <c r="AA36" s="284"/>
      <c r="AB36" s="284"/>
      <c r="AC36" s="284"/>
      <c r="AD36" s="284"/>
      <c r="AE36" s="284"/>
      <c r="AF36" s="284"/>
      <c r="AG36" s="284"/>
      <c r="AK36" s="1166"/>
    </row>
    <row r="37" spans="1:54" ht="15" customHeight="1" outlineLevel="1" x14ac:dyDescent="0.25">
      <c r="B37" s="1339"/>
      <c r="C37" s="266"/>
      <c r="D37" s="1305">
        <v>1000</v>
      </c>
      <c r="E37" s="1306" t="s">
        <v>1647</v>
      </c>
      <c r="F37" s="1301"/>
      <c r="G37" s="1297">
        <v>1000</v>
      </c>
      <c r="H37" s="2953" t="s">
        <v>1648</v>
      </c>
      <c r="I37" s="2953"/>
      <c r="J37" s="2954"/>
      <c r="K37" s="2936"/>
      <c r="L37" s="2936"/>
      <c r="M37" s="2936"/>
      <c r="N37" s="2936"/>
      <c r="V37" s="1172">
        <f>D37</f>
        <v>1000</v>
      </c>
      <c r="W37" s="1169">
        <v>1000</v>
      </c>
      <c r="X37" s="1169">
        <v>1000</v>
      </c>
      <c r="Y37" s="1169">
        <v>1000</v>
      </c>
      <c r="Z37" s="289"/>
      <c r="AA37" s="289"/>
      <c r="AB37" s="289"/>
      <c r="AC37" s="289"/>
      <c r="AD37" s="289"/>
      <c r="AE37" s="289"/>
      <c r="AF37" s="289"/>
      <c r="AG37" s="289"/>
      <c r="AK37" s="1166"/>
    </row>
    <row r="38" spans="1:54" ht="30" customHeight="1" outlineLevel="1" x14ac:dyDescent="0.25">
      <c r="B38" s="1339"/>
      <c r="C38" s="266"/>
      <c r="D38" s="1685" t="str">
        <f>J6</f>
        <v>EUL</v>
      </c>
      <c r="E38" s="1685" t="s">
        <v>657</v>
      </c>
      <c r="F38" s="2117" t="s">
        <v>637</v>
      </c>
      <c r="G38" s="1297">
        <v>2</v>
      </c>
      <c r="H38" s="2953"/>
      <c r="I38" s="2953"/>
      <c r="J38" s="2954"/>
      <c r="K38" s="2936"/>
      <c r="L38" s="2936"/>
      <c r="M38" s="2936"/>
      <c r="N38" s="2936"/>
      <c r="V38" s="1173" t="str">
        <f>D38</f>
        <v>EUL</v>
      </c>
      <c r="W38" s="1169">
        <v>2</v>
      </c>
      <c r="X38" s="1169">
        <v>2</v>
      </c>
      <c r="Y38" s="1169">
        <v>2</v>
      </c>
      <c r="Z38" s="289"/>
      <c r="AA38" s="289"/>
      <c r="AB38" s="289"/>
      <c r="AC38" s="289"/>
      <c r="AD38" s="289"/>
      <c r="AE38" s="289"/>
      <c r="AF38" s="289"/>
      <c r="AG38" s="289"/>
      <c r="AK38" s="1166"/>
    </row>
    <row r="39" spans="1:54" outlineLevel="1" x14ac:dyDescent="0.25">
      <c r="B39" s="1339"/>
      <c r="C39" s="266"/>
      <c r="D39" s="2931" t="str">
        <f>K6</f>
        <v>Inc. Cost</v>
      </c>
      <c r="E39" s="2931" t="s">
        <v>659</v>
      </c>
      <c r="F39" s="2117" t="str">
        <f>E7</f>
        <v>AC General Tune-Up (no charge or coil clean) SF</v>
      </c>
      <c r="G39" s="483">
        <v>70</v>
      </c>
      <c r="H39" s="2951"/>
      <c r="I39" s="2951"/>
      <c r="J39" s="2952"/>
      <c r="K39" s="2936"/>
      <c r="L39" s="2936"/>
      <c r="M39" s="2936"/>
      <c r="N39" s="2936"/>
      <c r="V39" s="2931" t="str">
        <f>D39</f>
        <v>Inc. Cost</v>
      </c>
      <c r="W39" s="1174">
        <v>70</v>
      </c>
      <c r="X39" s="1174">
        <v>70</v>
      </c>
      <c r="Y39" s="1174">
        <v>70</v>
      </c>
      <c r="Z39" s="289"/>
      <c r="AA39" s="289"/>
      <c r="AB39" s="289"/>
      <c r="AC39" s="289"/>
      <c r="AD39" s="289"/>
      <c r="AE39" s="289"/>
      <c r="AF39" s="289"/>
      <c r="AG39" s="289"/>
      <c r="AK39" s="1166"/>
    </row>
    <row r="40" spans="1:54" outlineLevel="1" x14ac:dyDescent="0.25">
      <c r="B40" s="1339"/>
      <c r="C40" s="266"/>
      <c r="D40" s="2963"/>
      <c r="E40" s="2963"/>
      <c r="F40" s="2117" t="str">
        <f>E8</f>
        <v>AC General Tune-Up (no charge or coil clean) MF</v>
      </c>
      <c r="G40" s="483">
        <v>70</v>
      </c>
      <c r="H40" s="2951"/>
      <c r="I40" s="2951"/>
      <c r="J40" s="2952"/>
      <c r="K40" s="2936"/>
      <c r="L40" s="2936"/>
      <c r="M40" s="2936"/>
      <c r="N40" s="2936"/>
      <c r="V40" s="2961"/>
      <c r="W40" s="1174">
        <v>70</v>
      </c>
      <c r="X40" s="1174">
        <v>70</v>
      </c>
      <c r="Y40" s="1174">
        <v>70</v>
      </c>
      <c r="Z40" s="289"/>
      <c r="AA40" s="289"/>
      <c r="AB40" s="289"/>
      <c r="AC40" s="289"/>
      <c r="AD40" s="289"/>
      <c r="AE40" s="289"/>
      <c r="AF40" s="289"/>
      <c r="AG40" s="289"/>
      <c r="AK40" s="1166"/>
    </row>
    <row r="41" spans="1:54" outlineLevel="1" x14ac:dyDescent="0.25">
      <c r="B41" s="1339"/>
      <c r="C41" s="266"/>
      <c r="D41" s="2963"/>
      <c r="E41" s="2963"/>
      <c r="F41" s="2117" t="str">
        <f>E10</f>
        <v>AC Tune-up / Refrigerant charge SF</v>
      </c>
      <c r="G41" s="483">
        <v>81</v>
      </c>
      <c r="H41" s="2951"/>
      <c r="I41" s="2951"/>
      <c r="J41" s="2952"/>
      <c r="K41" s="2936"/>
      <c r="L41" s="2936"/>
      <c r="M41" s="2936"/>
      <c r="N41" s="2936"/>
      <c r="V41" s="2961"/>
      <c r="W41" s="1174">
        <v>81</v>
      </c>
      <c r="X41" s="1174">
        <v>81</v>
      </c>
      <c r="Y41" s="1174">
        <v>81</v>
      </c>
      <c r="Z41" s="289"/>
      <c r="AA41" s="289"/>
      <c r="AB41" s="289"/>
      <c r="AC41" s="289"/>
      <c r="AD41" s="289"/>
      <c r="AE41" s="289"/>
      <c r="AF41" s="289"/>
      <c r="AG41" s="289"/>
      <c r="AK41" s="1166"/>
    </row>
    <row r="42" spans="1:54" outlineLevel="1" x14ac:dyDescent="0.25">
      <c r="B42" s="1339"/>
      <c r="C42" s="266"/>
      <c r="D42" s="2963"/>
      <c r="E42" s="2963"/>
      <c r="F42" s="2117" t="str">
        <f>E11</f>
        <v>AC Tune-up / Refrigerant charge MF</v>
      </c>
      <c r="G42" s="483">
        <v>81</v>
      </c>
      <c r="H42" s="2951"/>
      <c r="I42" s="2951"/>
      <c r="J42" s="2952"/>
      <c r="K42" s="2936"/>
      <c r="L42" s="2936"/>
      <c r="M42" s="2936"/>
      <c r="N42" s="2936"/>
      <c r="V42" s="2961"/>
      <c r="W42" s="1174">
        <v>81</v>
      </c>
      <c r="X42" s="1174">
        <v>81</v>
      </c>
      <c r="Y42" s="1174">
        <v>81</v>
      </c>
      <c r="Z42" s="289"/>
      <c r="AA42" s="289"/>
      <c r="AB42" s="289"/>
      <c r="AC42" s="289"/>
      <c r="AD42" s="289"/>
      <c r="AE42" s="289"/>
      <c r="AF42" s="289"/>
      <c r="AG42" s="289"/>
      <c r="AK42" s="1166"/>
    </row>
    <row r="43" spans="1:54" outlineLevel="1" x14ac:dyDescent="0.25">
      <c r="B43" s="1339"/>
      <c r="C43" s="266"/>
      <c r="D43" s="2963"/>
      <c r="E43" s="2963"/>
      <c r="F43" s="2117" t="str">
        <f>E13</f>
        <v>AC Tune-up / Indoor Coil (Evaporator) Cleaning SF</v>
      </c>
      <c r="G43" s="483">
        <v>63</v>
      </c>
      <c r="H43" s="2951"/>
      <c r="I43" s="2951"/>
      <c r="J43" s="2952"/>
      <c r="K43" s="2936"/>
      <c r="L43" s="2936"/>
      <c r="M43" s="2936"/>
      <c r="N43" s="2936"/>
      <c r="V43" s="2961"/>
      <c r="W43" s="1174">
        <v>63</v>
      </c>
      <c r="X43" s="1174">
        <v>63</v>
      </c>
      <c r="Y43" s="1174">
        <v>63</v>
      </c>
      <c r="Z43" s="289"/>
      <c r="AA43" s="289"/>
      <c r="AB43" s="289"/>
      <c r="AC43" s="289"/>
      <c r="AD43" s="289"/>
      <c r="AE43" s="289"/>
      <c r="AF43" s="289"/>
      <c r="AG43" s="289"/>
      <c r="AK43" s="1166"/>
    </row>
    <row r="44" spans="1:54" outlineLevel="1" x14ac:dyDescent="0.25">
      <c r="B44" s="1339"/>
      <c r="C44" s="266"/>
      <c r="D44" s="2963"/>
      <c r="E44" s="2963"/>
      <c r="F44" s="2117" t="str">
        <f>E14</f>
        <v>AC Tune-up /Indoor Coil (Evaporator) Cleaning MF</v>
      </c>
      <c r="G44" s="483">
        <v>63</v>
      </c>
      <c r="H44" s="2951"/>
      <c r="I44" s="2951"/>
      <c r="J44" s="2952"/>
      <c r="K44" s="2936"/>
      <c r="L44" s="2936"/>
      <c r="M44" s="2936"/>
      <c r="N44" s="2936"/>
      <c r="V44" s="2961"/>
      <c r="W44" s="1174">
        <v>63</v>
      </c>
      <c r="X44" s="1174">
        <v>63</v>
      </c>
      <c r="Y44" s="1174">
        <v>63</v>
      </c>
      <c r="Z44" s="289"/>
      <c r="AA44" s="289"/>
      <c r="AB44" s="289"/>
      <c r="AC44" s="289"/>
      <c r="AD44" s="289"/>
      <c r="AE44" s="289"/>
      <c r="AF44" s="289"/>
      <c r="AG44" s="289"/>
      <c r="AK44" s="1166"/>
    </row>
    <row r="45" spans="1:54" outlineLevel="1" x14ac:dyDescent="0.25">
      <c r="B45" s="1339"/>
      <c r="C45" s="266"/>
      <c r="D45" s="2963"/>
      <c r="E45" s="2963"/>
      <c r="F45" s="2117" t="str">
        <f>E16</f>
        <v>AC Tune-up /Outdoor Coil (Condenser) Cleaning SF</v>
      </c>
      <c r="G45" s="483">
        <v>31</v>
      </c>
      <c r="H45" s="2951"/>
      <c r="I45" s="2951"/>
      <c r="J45" s="2952"/>
      <c r="K45" s="2936"/>
      <c r="L45" s="2936"/>
      <c r="M45" s="2936"/>
      <c r="N45" s="2936"/>
      <c r="V45" s="2961"/>
      <c r="W45" s="1174">
        <v>31</v>
      </c>
      <c r="X45" s="1174">
        <v>31</v>
      </c>
      <c r="Y45" s="1174">
        <v>31</v>
      </c>
      <c r="Z45" s="289"/>
      <c r="AA45" s="289"/>
      <c r="AB45" s="289"/>
      <c r="AC45" s="289"/>
      <c r="AD45" s="289"/>
      <c r="AE45" s="289"/>
      <c r="AF45" s="289"/>
      <c r="AG45" s="289"/>
      <c r="AK45" s="1166"/>
    </row>
    <row r="46" spans="1:54" outlineLevel="1" x14ac:dyDescent="0.25">
      <c r="B46" s="1339"/>
      <c r="C46" s="266"/>
      <c r="D46" s="2964"/>
      <c r="E46" s="2964"/>
      <c r="F46" s="2117" t="str">
        <f>E17</f>
        <v>AC Tune-up /Outdoor Coil (Condenser) Cleaning MF</v>
      </c>
      <c r="G46" s="483">
        <v>31</v>
      </c>
      <c r="H46" s="2951"/>
      <c r="I46" s="2951"/>
      <c r="J46" s="2952"/>
      <c r="K46" s="2936"/>
      <c r="L46" s="2936"/>
      <c r="M46" s="2936"/>
      <c r="N46" s="2936"/>
      <c r="V46" s="2962"/>
      <c r="W46" s="1174">
        <v>31</v>
      </c>
      <c r="X46" s="1174">
        <v>31</v>
      </c>
      <c r="Y46" s="1174">
        <v>31</v>
      </c>
      <c r="Z46" s="289"/>
      <c r="AA46" s="289"/>
      <c r="AB46" s="289"/>
      <c r="AC46" s="289"/>
      <c r="AD46" s="289"/>
      <c r="AE46" s="289"/>
      <c r="AF46" s="289"/>
      <c r="AG46" s="289"/>
      <c r="AK46" s="1166"/>
    </row>
    <row r="47" spans="1:54" s="65" customFormat="1" x14ac:dyDescent="0.25">
      <c r="A47" s="785"/>
      <c r="B47" s="177"/>
      <c r="C47" s="455"/>
      <c r="D47" s="456"/>
      <c r="E47" s="456"/>
      <c r="F47" s="177"/>
      <c r="G47" s="177"/>
      <c r="H47" s="455"/>
      <c r="I47" s="455"/>
      <c r="J47" s="455"/>
      <c r="K47" s="455"/>
      <c r="L47" s="455"/>
      <c r="M47" s="455"/>
      <c r="N47" s="177"/>
      <c r="O47" s="177"/>
      <c r="P47" s="177"/>
      <c r="Q47" s="177"/>
      <c r="R47" s="177"/>
      <c r="S47" s="177"/>
      <c r="T47" s="177"/>
      <c r="U47" s="177"/>
      <c r="X47" s="882"/>
      <c r="Y47" s="1175"/>
      <c r="Z47" s="468"/>
      <c r="AA47" s="468"/>
      <c r="AB47" s="468"/>
      <c r="AC47" s="468"/>
      <c r="AD47" s="468"/>
      <c r="AK47" s="1166"/>
      <c r="BB47" s="1176"/>
    </row>
    <row r="48" spans="1:54" s="65" customFormat="1" x14ac:dyDescent="0.25">
      <c r="A48" s="785"/>
      <c r="B48" s="177"/>
      <c r="C48" s="455"/>
      <c r="D48" s="456"/>
      <c r="E48" s="456"/>
      <c r="F48" s="177"/>
      <c r="G48" s="177"/>
      <c r="H48" s="455"/>
      <c r="I48" s="455"/>
      <c r="J48" s="455"/>
      <c r="K48" s="455"/>
      <c r="L48" s="455"/>
      <c r="M48" s="455"/>
      <c r="N48" s="177"/>
      <c r="O48" s="177"/>
      <c r="P48" s="177"/>
      <c r="Q48" s="177"/>
      <c r="R48" s="177"/>
      <c r="S48" s="177"/>
      <c r="T48" s="177"/>
      <c r="U48" s="177"/>
      <c r="Y48" s="623"/>
      <c r="AK48" s="1166"/>
      <c r="BB48" s="1176"/>
    </row>
    <row r="49" spans="1:57" x14ac:dyDescent="0.25">
      <c r="B49" s="2639" t="s">
        <v>1649</v>
      </c>
      <c r="C49" s="2640"/>
      <c r="D49" s="2640"/>
      <c r="E49" s="2640"/>
      <c r="F49" s="2640"/>
      <c r="G49" s="2640"/>
      <c r="H49" s="2640"/>
      <c r="I49" s="2641"/>
      <c r="J49" s="2641"/>
      <c r="K49" s="2641"/>
      <c r="L49" s="2641"/>
      <c r="M49" s="2641"/>
      <c r="N49" s="2641"/>
      <c r="O49" s="2641"/>
      <c r="P49" s="2641"/>
      <c r="Q49" s="2641"/>
      <c r="R49" s="2642"/>
      <c r="V49" s="2639" t="str">
        <f>B49</f>
        <v>Air Sealing</v>
      </c>
      <c r="W49" s="2640"/>
      <c r="X49" s="2640"/>
      <c r="Y49" s="2640"/>
      <c r="Z49" s="2640"/>
      <c r="AA49" s="2640"/>
      <c r="AB49" s="2640"/>
      <c r="AC49" s="2615"/>
      <c r="AD49" s="2615"/>
      <c r="AE49" s="2615"/>
      <c r="AF49" s="2615"/>
      <c r="AG49" s="2615"/>
      <c r="AH49" s="2615"/>
      <c r="AI49" s="2616"/>
      <c r="AK49" s="1166"/>
    </row>
    <row r="50" spans="1:57" x14ac:dyDescent="0.25">
      <c r="B50" s="1580"/>
      <c r="C50" s="329"/>
      <c r="D50" s="573"/>
      <c r="E50" s="573"/>
      <c r="F50" s="330"/>
      <c r="G50" s="330"/>
      <c r="H50" s="330"/>
      <c r="I50" s="330"/>
      <c r="J50" s="330"/>
      <c r="K50" s="330"/>
      <c r="L50" s="1902"/>
      <c r="AK50" s="1166"/>
    </row>
    <row r="51" spans="1:57" s="1177" customFormat="1" ht="30" x14ac:dyDescent="0.25">
      <c r="A51" s="1197"/>
      <c r="B51" s="2118"/>
      <c r="C51" s="1641" t="s">
        <v>17</v>
      </c>
      <c r="D51" s="1641" t="s">
        <v>662</v>
      </c>
      <c r="E51" s="1641" t="s">
        <v>19</v>
      </c>
      <c r="F51" s="1641" t="s">
        <v>20</v>
      </c>
      <c r="G51" s="1641" t="s">
        <v>21</v>
      </c>
      <c r="H51" s="1641" t="s">
        <v>22</v>
      </c>
      <c r="I51" s="1641" t="s">
        <v>936</v>
      </c>
      <c r="J51" s="1641" t="s">
        <v>937</v>
      </c>
      <c r="K51" s="1641" t="s">
        <v>23</v>
      </c>
      <c r="L51" s="1646" t="s">
        <v>24</v>
      </c>
      <c r="M51" s="1641" t="s">
        <v>25</v>
      </c>
      <c r="N51" s="1641" t="s">
        <v>1650</v>
      </c>
      <c r="O51" s="1197"/>
      <c r="P51" s="1197"/>
      <c r="Q51" s="1197"/>
      <c r="R51" s="1197"/>
      <c r="S51" s="1197"/>
      <c r="T51" s="1197"/>
      <c r="U51" s="1197"/>
      <c r="V51" s="55" t="s">
        <v>27</v>
      </c>
      <c r="W51" s="56">
        <f>W$6</f>
        <v>43252</v>
      </c>
      <c r="X51" s="56">
        <f t="shared" ref="X51:AG51" si="8">X$6</f>
        <v>43465</v>
      </c>
      <c r="Y51" s="500">
        <f t="shared" si="8"/>
        <v>43800</v>
      </c>
      <c r="Z51" s="56">
        <f t="shared" si="8"/>
        <v>43862</v>
      </c>
      <c r="AA51" s="56" t="str">
        <f t="shared" si="8"/>
        <v>-</v>
      </c>
      <c r="AB51" s="56" t="str">
        <f t="shared" si="8"/>
        <v>-</v>
      </c>
      <c r="AC51" s="56" t="str">
        <f t="shared" si="8"/>
        <v>-</v>
      </c>
      <c r="AD51" s="56" t="str">
        <f t="shared" si="8"/>
        <v>-</v>
      </c>
      <c r="AE51" s="56" t="str">
        <f t="shared" si="8"/>
        <v>-</v>
      </c>
      <c r="AF51" s="56" t="str">
        <f t="shared" si="8"/>
        <v>-</v>
      </c>
      <c r="AG51" s="56" t="str">
        <f t="shared" si="8"/>
        <v>-</v>
      </c>
      <c r="AH51" s="328"/>
      <c r="AI51" s="328"/>
      <c r="AK51" s="1166"/>
      <c r="BB51" s="57" t="str">
        <f>$BB$6</f>
        <v>TRC (2020)</v>
      </c>
      <c r="BC51" s="103" t="str">
        <f>$BC$6</f>
        <v>Benefit Lookup</v>
      </c>
      <c r="BD51" s="883" t="str">
        <f>$BD$6</f>
        <v>Benefits (2019 $)</v>
      </c>
      <c r="BE51" s="334" t="str">
        <f>$BE$6</f>
        <v>Incremental Cost (2019 $)</v>
      </c>
    </row>
    <row r="52" spans="1:57" s="1177" customFormat="1" x14ac:dyDescent="0.25">
      <c r="A52" s="1197"/>
      <c r="B52" s="2118"/>
      <c r="C52" s="1543" t="s">
        <v>1651</v>
      </c>
      <c r="D52" s="1927" t="s">
        <v>1613</v>
      </c>
      <c r="E52" s="574" t="s">
        <v>1652</v>
      </c>
      <c r="F52" s="788">
        <f>ROUND(I52+J52,2)</f>
        <v>0.33</v>
      </c>
      <c r="G52" s="1927" t="s">
        <v>1653</v>
      </c>
      <c r="H52" s="239">
        <f>VLOOKUP(G52,'CP FACTORS'!$A$3:$B$38, 2, FALSE)</f>
        <v>4.6608050000000002E-4</v>
      </c>
      <c r="I52" s="1244">
        <f>F68*F76+F76*F92*F$100*F$101</f>
        <v>0.28499999999999998</v>
      </c>
      <c r="J52" s="1928">
        <f t="shared" ref="J52:J59" si="9">F84*F76</f>
        <v>4.2999999999999997E-2</v>
      </c>
      <c r="K52" s="1178">
        <f>ROUND(H52*F52,6)</f>
        <v>1.54E-4</v>
      </c>
      <c r="L52" s="1647">
        <f>$F$102</f>
        <v>15</v>
      </c>
      <c r="M52" s="1648">
        <f>120*F76/1000</f>
        <v>0.12</v>
      </c>
      <c r="N52" s="1276">
        <f>F76</f>
        <v>1</v>
      </c>
      <c r="O52" s="1197"/>
      <c r="P52" s="1197"/>
      <c r="Q52" s="1197"/>
      <c r="R52" s="1894"/>
      <c r="S52" s="1197"/>
      <c r="T52" s="1197"/>
      <c r="U52" s="1197"/>
      <c r="V52" s="245" t="str">
        <f>$F$51</f>
        <v>kWh Annual Savings</v>
      </c>
      <c r="W52" s="246">
        <v>295.70839999999998</v>
      </c>
      <c r="X52" s="1164">
        <v>295.70839999999998</v>
      </c>
      <c r="Y52" s="1168">
        <v>0.33</v>
      </c>
      <c r="Z52" s="245"/>
      <c r="AA52" s="245"/>
      <c r="AB52" s="245"/>
      <c r="AC52" s="245"/>
      <c r="AD52" s="245"/>
      <c r="AE52" s="245"/>
      <c r="AF52" s="245"/>
      <c r="AG52" s="245"/>
      <c r="AH52" s="1160"/>
      <c r="AI52" s="1160"/>
      <c r="AK52" s="1166"/>
      <c r="BB52" s="68">
        <f t="shared" ref="BB52:BB57" si="10">(BD52)/(BE52)</f>
        <v>2.7496621881200949</v>
      </c>
      <c r="BC52" s="69" t="str">
        <f>CONCATENATE(G52," ",L52," Year EUL")</f>
        <v>Building Shell RES 15 Year EUL</v>
      </c>
      <c r="BD52" s="162">
        <f>(INDEX('Avoided Cost Benefits'!$C$4:$C$857,MATCH(BC52,'Avoided Cost Benefits'!$A$4:$A$857,0)))*F52</f>
        <v>0.31142941252893941</v>
      </c>
      <c r="BE52" s="70">
        <f>M52/(1.0595^(2020-2019))</f>
        <v>0.11326097215667766</v>
      </c>
    </row>
    <row r="53" spans="1:57" s="1177" customFormat="1" x14ac:dyDescent="0.25">
      <c r="A53" s="1197"/>
      <c r="B53" s="2118"/>
      <c r="C53" s="1543" t="s">
        <v>1654</v>
      </c>
      <c r="D53" s="1927" t="s">
        <v>1613</v>
      </c>
      <c r="E53" s="574" t="s">
        <v>1655</v>
      </c>
      <c r="F53" s="788">
        <f t="shared" ref="F53:F59" si="11">ROUND(I53+J53,2)</f>
        <v>0.25</v>
      </c>
      <c r="G53" s="1927" t="s">
        <v>1653</v>
      </c>
      <c r="H53" s="239">
        <f>VLOOKUP(G53,'CP FACTORS'!$A$3:$B$38, 2, FALSE)</f>
        <v>4.6608050000000002E-4</v>
      </c>
      <c r="I53" s="1244">
        <f t="shared" ref="I53:I59" si="12">F69*F77+F77*F93*F$100*F$101</f>
        <v>0.20799999999999999</v>
      </c>
      <c r="J53" s="1928">
        <f t="shared" si="9"/>
        <v>4.2999999999999997E-2</v>
      </c>
      <c r="K53" s="1178">
        <f t="shared" ref="K53:K59" si="13">ROUND(H53*F53,6)</f>
        <v>1.17E-4</v>
      </c>
      <c r="L53" s="1647">
        <f>$F$102</f>
        <v>15</v>
      </c>
      <c r="M53" s="1648">
        <f>120*F77/1000</f>
        <v>0.12</v>
      </c>
      <c r="N53" s="1276">
        <f t="shared" ref="N53:N59" si="14">F77</f>
        <v>1</v>
      </c>
      <c r="O53" s="1197"/>
      <c r="P53" s="1197"/>
      <c r="Q53" s="1197"/>
      <c r="R53" s="1894"/>
      <c r="S53" s="1197"/>
      <c r="T53" s="1197"/>
      <c r="U53" s="1197"/>
      <c r="V53" s="245" t="str">
        <f>$F$51</f>
        <v>kWh Annual Savings</v>
      </c>
      <c r="W53" s="246">
        <v>226.28905</v>
      </c>
      <c r="X53" s="1164">
        <v>226.28905</v>
      </c>
      <c r="Y53" s="1168">
        <v>0.25</v>
      </c>
      <c r="Z53" s="245"/>
      <c r="AA53" s="245"/>
      <c r="AB53" s="245"/>
      <c r="AC53" s="245"/>
      <c r="AD53" s="245"/>
      <c r="AE53" s="245"/>
      <c r="AF53" s="245"/>
      <c r="AG53" s="245"/>
      <c r="AH53" s="1160"/>
      <c r="AI53" s="1160"/>
      <c r="AK53" s="1166"/>
      <c r="BB53" s="72">
        <f t="shared" si="10"/>
        <v>2.0830774152424958</v>
      </c>
      <c r="BC53" s="73" t="str">
        <f t="shared" ref="BC53:BC57" si="15">CONCATENATE(G53," ",L53," Year EUL")</f>
        <v>Building Shell RES 15 Year EUL</v>
      </c>
      <c r="BD53" s="165">
        <f>(INDEX('Avoided Cost Benefits'!$C$4:$C$857,MATCH(BC53,'Avoided Cost Benefits'!$A$4:$A$857,0)))*F53</f>
        <v>0.23593137312798437</v>
      </c>
      <c r="BE53" s="74">
        <f t="shared" ref="BE53:BE57" si="16">M53/(1.0595^(2020-2019))</f>
        <v>0.11326097215667766</v>
      </c>
    </row>
    <row r="54" spans="1:57" s="1177" customFormat="1" x14ac:dyDescent="0.25">
      <c r="A54" s="1197"/>
      <c r="B54" s="2118"/>
      <c r="C54" s="1543" t="s">
        <v>1656</v>
      </c>
      <c r="D54" s="1927" t="s">
        <v>1610</v>
      </c>
      <c r="E54" s="1555" t="s">
        <v>1657</v>
      </c>
      <c r="F54" s="788">
        <f t="shared" si="11"/>
        <v>0.36</v>
      </c>
      <c r="G54" s="1927" t="s">
        <v>1653</v>
      </c>
      <c r="H54" s="239">
        <f>VLOOKUP(G54,'CP FACTORS'!$A$3:$B$38, 2, FALSE)</f>
        <v>4.6608050000000002E-4</v>
      </c>
      <c r="I54" s="1244">
        <f t="shared" si="12"/>
        <v>0.308</v>
      </c>
      <c r="J54" s="1928">
        <f t="shared" si="9"/>
        <v>0.05</v>
      </c>
      <c r="K54" s="1178">
        <f t="shared" si="13"/>
        <v>1.6799999999999999E-4</v>
      </c>
      <c r="L54" s="1647">
        <f>$F$102</f>
        <v>15</v>
      </c>
      <c r="M54" s="1648">
        <f>120*F78/1000</f>
        <v>0.12</v>
      </c>
      <c r="N54" s="1276">
        <f t="shared" si="14"/>
        <v>1</v>
      </c>
      <c r="O54" s="1197"/>
      <c r="P54" s="1197"/>
      <c r="Q54" s="1197"/>
      <c r="R54" s="1894"/>
      <c r="S54" s="1197"/>
      <c r="T54" s="1197"/>
      <c r="U54" s="1197"/>
      <c r="V54" s="245" t="str">
        <f>$F$51</f>
        <v>kWh Annual Savings</v>
      </c>
      <c r="W54" s="246">
        <v>496.54599999999999</v>
      </c>
      <c r="X54" s="1164">
        <v>496.54599999999999</v>
      </c>
      <c r="Y54" s="1168">
        <v>0.36</v>
      </c>
      <c r="Z54" s="245"/>
      <c r="AA54" s="245"/>
      <c r="AB54" s="245"/>
      <c r="AC54" s="245"/>
      <c r="AD54" s="245"/>
      <c r="AE54" s="245"/>
      <c r="AF54" s="245"/>
      <c r="AG54" s="245"/>
      <c r="AK54" s="1166"/>
      <c r="BB54" s="72">
        <f t="shared" si="10"/>
        <v>2.9996314779491935</v>
      </c>
      <c r="BC54" s="73" t="str">
        <f t="shared" si="15"/>
        <v>Building Shell RES 15 Year EUL</v>
      </c>
      <c r="BD54" s="165">
        <f>(INDEX('Avoided Cost Benefits'!$C$4:$C$857,MATCH(BC54,'Avoided Cost Benefits'!$A$4:$A$857,0)))*F54</f>
        <v>0.33974117730429748</v>
      </c>
      <c r="BE54" s="74">
        <f t="shared" si="16"/>
        <v>0.11326097215667766</v>
      </c>
    </row>
    <row r="55" spans="1:57" s="1177" customFormat="1" x14ac:dyDescent="0.25">
      <c r="A55" s="1197"/>
      <c r="B55" s="2118"/>
      <c r="C55" s="1543" t="s">
        <v>1658</v>
      </c>
      <c r="D55" s="1927" t="s">
        <v>1610</v>
      </c>
      <c r="E55" s="1555" t="s">
        <v>1659</v>
      </c>
      <c r="F55" s="788">
        <f t="shared" si="11"/>
        <v>0.06</v>
      </c>
      <c r="G55" s="1927" t="s">
        <v>1653</v>
      </c>
      <c r="H55" s="239">
        <f>VLOOKUP(G55,'CP FACTORS'!$A$3:$B$38, 2, FALSE)</f>
        <v>4.6608050000000002E-4</v>
      </c>
      <c r="I55" s="1244">
        <f t="shared" si="12"/>
        <v>1.1960259999999999E-2</v>
      </c>
      <c r="J55" s="1928">
        <f t="shared" si="9"/>
        <v>0.05</v>
      </c>
      <c r="K55" s="1178">
        <f t="shared" si="13"/>
        <v>2.8E-5</v>
      </c>
      <c r="L55" s="1647">
        <f t="shared" ref="L55:L59" si="17">$F$102</f>
        <v>15</v>
      </c>
      <c r="M55" s="1648">
        <f t="shared" ref="M55:M59" si="18">120*F79/1000</f>
        <v>0.12</v>
      </c>
      <c r="N55" s="1276">
        <f t="shared" si="14"/>
        <v>1</v>
      </c>
      <c r="O55" s="1197"/>
      <c r="P55" s="1197"/>
      <c r="Q55" s="1197"/>
      <c r="R55" s="1894"/>
      <c r="S55" s="1197"/>
      <c r="T55" s="1197"/>
      <c r="U55" s="1197"/>
      <c r="V55" s="245"/>
      <c r="W55" s="246"/>
      <c r="X55" s="1164"/>
      <c r="Y55" s="1168">
        <v>0.06</v>
      </c>
      <c r="Z55" s="245"/>
      <c r="AA55" s="245"/>
      <c r="AB55" s="245"/>
      <c r="AC55" s="245"/>
      <c r="AD55" s="245"/>
      <c r="AE55" s="245"/>
      <c r="AF55" s="245"/>
      <c r="AG55" s="245"/>
      <c r="AK55" s="1166"/>
      <c r="BB55" s="72">
        <f t="shared" ref="BB55" si="19">(BD55)/(BE55)</f>
        <v>0.49993857965819899</v>
      </c>
      <c r="BC55" s="73" t="str">
        <f t="shared" ref="BC55" si="20">CONCATENATE(G55," ",L55," Year EUL")</f>
        <v>Building Shell RES 15 Year EUL</v>
      </c>
      <c r="BD55" s="165">
        <f>(INDEX('Avoided Cost Benefits'!$C$4:$C$857,MATCH(BC55,'Avoided Cost Benefits'!$A$4:$A$857,0)))*F55</f>
        <v>5.6623529550716249E-2</v>
      </c>
      <c r="BE55" s="74">
        <f t="shared" ref="BE55" si="21">M55/(1.0595^(2020-2019))</f>
        <v>0.11326097215667766</v>
      </c>
    </row>
    <row r="56" spans="1:57" s="1177" customFormat="1" x14ac:dyDescent="0.25">
      <c r="A56" s="1197"/>
      <c r="B56" s="2118"/>
      <c r="C56" s="1543" t="s">
        <v>1660</v>
      </c>
      <c r="D56" s="1927" t="s">
        <v>1610</v>
      </c>
      <c r="E56" s="1555" t="s">
        <v>1661</v>
      </c>
      <c r="F56" s="788">
        <f t="shared" si="11"/>
        <v>0.31</v>
      </c>
      <c r="G56" s="1927" t="s">
        <v>1653</v>
      </c>
      <c r="H56" s="239">
        <f>VLOOKUP(G56,'CP FACTORS'!$A$3:$B$38, 2, FALSE)</f>
        <v>4.6608050000000002E-4</v>
      </c>
      <c r="I56" s="1244">
        <f t="shared" si="12"/>
        <v>0.25700000000000001</v>
      </c>
      <c r="J56" s="1928">
        <f t="shared" si="9"/>
        <v>0.05</v>
      </c>
      <c r="K56" s="1178">
        <f t="shared" si="13"/>
        <v>1.44E-4</v>
      </c>
      <c r="L56" s="1647">
        <f t="shared" si="17"/>
        <v>15</v>
      </c>
      <c r="M56" s="1648">
        <f t="shared" si="18"/>
        <v>0.12</v>
      </c>
      <c r="N56" s="1276">
        <f t="shared" si="14"/>
        <v>1</v>
      </c>
      <c r="O56" s="1197"/>
      <c r="P56" s="1197"/>
      <c r="Q56" s="1197"/>
      <c r="R56" s="1894"/>
      <c r="S56" s="1197"/>
      <c r="T56" s="1197"/>
      <c r="U56" s="1197"/>
      <c r="V56" s="245" t="str">
        <f>$F$51</f>
        <v>kWh Annual Savings</v>
      </c>
      <c r="W56" s="246">
        <v>425.80900000000003</v>
      </c>
      <c r="X56" s="1164">
        <v>425.80900000000003</v>
      </c>
      <c r="Y56" s="1168">
        <v>0.31</v>
      </c>
      <c r="Z56" s="245"/>
      <c r="AA56" s="245"/>
      <c r="AB56" s="245"/>
      <c r="AC56" s="245"/>
      <c r="AD56" s="245"/>
      <c r="AE56" s="245"/>
      <c r="AF56" s="245"/>
      <c r="AG56" s="245"/>
      <c r="AK56" s="1166"/>
      <c r="BB56" s="72">
        <f t="shared" si="10"/>
        <v>2.5830159949006943</v>
      </c>
      <c r="BC56" s="73" t="str">
        <f t="shared" si="15"/>
        <v>Building Shell RES 15 Year EUL</v>
      </c>
      <c r="BD56" s="165">
        <f>(INDEX('Avoided Cost Benefits'!$C$4:$C$857,MATCH(BC56,'Avoided Cost Benefits'!$A$4:$A$857,0)))*F56</f>
        <v>0.2925549026787006</v>
      </c>
      <c r="BE56" s="74">
        <f t="shared" si="16"/>
        <v>0.11326097215667766</v>
      </c>
    </row>
    <row r="57" spans="1:57" s="1177" customFormat="1" x14ac:dyDescent="0.25">
      <c r="A57" s="1197"/>
      <c r="B57" s="2118"/>
      <c r="C57" s="1543" t="s">
        <v>1662</v>
      </c>
      <c r="D57" s="1927" t="s">
        <v>1610</v>
      </c>
      <c r="E57" s="2119" t="s">
        <v>1663</v>
      </c>
      <c r="F57" s="788">
        <f t="shared" si="11"/>
        <v>0.48</v>
      </c>
      <c r="G57" s="1927" t="s">
        <v>1653</v>
      </c>
      <c r="H57" s="239">
        <f>VLOOKUP(G57,'CP FACTORS'!$A$3:$B$38, 2, FALSE)</f>
        <v>4.6608050000000002E-4</v>
      </c>
      <c r="I57" s="1244">
        <f t="shared" si="12"/>
        <v>0.41299999999999998</v>
      </c>
      <c r="J57" s="1928">
        <f t="shared" si="9"/>
        <v>6.2E-2</v>
      </c>
      <c r="K57" s="1178">
        <f t="shared" si="13"/>
        <v>2.24E-4</v>
      </c>
      <c r="L57" s="1647">
        <f t="shared" si="17"/>
        <v>15</v>
      </c>
      <c r="M57" s="1648">
        <f t="shared" si="18"/>
        <v>0.12</v>
      </c>
      <c r="N57" s="1276">
        <f t="shared" si="14"/>
        <v>1</v>
      </c>
      <c r="O57" s="1197"/>
      <c r="P57" s="1197"/>
      <c r="Q57" s="1197"/>
      <c r="R57" s="1894"/>
      <c r="S57" s="1197"/>
      <c r="T57" s="1197"/>
      <c r="U57" s="1197"/>
      <c r="V57" s="245" t="str">
        <f>$F$51</f>
        <v>kWh Annual Savings</v>
      </c>
      <c r="W57" s="246">
        <v>513</v>
      </c>
      <c r="X57" s="1164">
        <v>513</v>
      </c>
      <c r="Y57" s="1168">
        <v>0.48</v>
      </c>
      <c r="Z57" s="245"/>
      <c r="AA57" s="245"/>
      <c r="AB57" s="245"/>
      <c r="AC57" s="245"/>
      <c r="AD57" s="245"/>
      <c r="AE57" s="245"/>
      <c r="AF57" s="245"/>
      <c r="AG57" s="245"/>
      <c r="AK57" s="1166"/>
      <c r="BB57" s="75">
        <f t="shared" si="10"/>
        <v>3.9995086372655919</v>
      </c>
      <c r="BC57" s="73" t="str">
        <f t="shared" si="15"/>
        <v>Building Shell RES 15 Year EUL</v>
      </c>
      <c r="BD57" s="170">
        <f>(INDEX('Avoided Cost Benefits'!$C$4:$C$857,MATCH(BC57,'Avoided Cost Benefits'!$A$4:$A$857,0)))*F57</f>
        <v>0.45298823640572999</v>
      </c>
      <c r="BE57" s="76">
        <f t="shared" si="16"/>
        <v>0.11326097215667766</v>
      </c>
    </row>
    <row r="58" spans="1:57" s="1177" customFormat="1" x14ac:dyDescent="0.25">
      <c r="A58" s="1197"/>
      <c r="B58" s="2118"/>
      <c r="C58" s="1543" t="s">
        <v>1664</v>
      </c>
      <c r="D58" s="1927" t="s">
        <v>1610</v>
      </c>
      <c r="E58" s="1555" t="s">
        <v>1665</v>
      </c>
      <c r="F58" s="788">
        <f t="shared" si="11"/>
        <v>0.45</v>
      </c>
      <c r="G58" s="1927" t="s">
        <v>1653</v>
      </c>
      <c r="H58" s="239">
        <f>VLOOKUP(G58,'CP FACTORS'!$A$3:$B$38, 2, FALSE)</f>
        <v>4.6608050000000002E-4</v>
      </c>
      <c r="I58" s="1244">
        <f t="shared" si="12"/>
        <v>0.39100000000000001</v>
      </c>
      <c r="J58" s="1928">
        <f t="shared" si="9"/>
        <v>6.2E-2</v>
      </c>
      <c r="K58" s="1178">
        <f t="shared" si="13"/>
        <v>2.1000000000000001E-4</v>
      </c>
      <c r="L58" s="1647">
        <f t="shared" si="17"/>
        <v>15</v>
      </c>
      <c r="M58" s="1648">
        <f t="shared" si="18"/>
        <v>0.12</v>
      </c>
      <c r="N58" s="1276">
        <f t="shared" si="14"/>
        <v>1</v>
      </c>
      <c r="O58" s="1197"/>
      <c r="P58" s="1197"/>
      <c r="Q58" s="1197"/>
      <c r="R58" s="1894"/>
      <c r="S58" s="1197"/>
      <c r="T58" s="1197"/>
      <c r="U58" s="1197"/>
      <c r="V58" s="245"/>
      <c r="W58" s="246"/>
      <c r="X58" s="1164"/>
      <c r="Y58" s="1168">
        <v>0.45</v>
      </c>
      <c r="Z58" s="245"/>
      <c r="AA58" s="245"/>
      <c r="AB58" s="245"/>
      <c r="AC58" s="245"/>
      <c r="AD58" s="245"/>
      <c r="AE58" s="245"/>
      <c r="AF58" s="245"/>
      <c r="AG58" s="245"/>
      <c r="AK58" s="1166"/>
      <c r="BB58" s="1181"/>
      <c r="BC58" s="898"/>
      <c r="BD58" s="898"/>
      <c r="BE58" s="797"/>
    </row>
    <row r="59" spans="1:57" s="1177" customFormat="1" x14ac:dyDescent="0.25">
      <c r="A59" s="1197"/>
      <c r="B59" s="2118"/>
      <c r="C59" s="1543" t="s">
        <v>1666</v>
      </c>
      <c r="D59" s="1927" t="s">
        <v>1610</v>
      </c>
      <c r="E59" s="2119" t="s">
        <v>1667</v>
      </c>
      <c r="F59" s="788">
        <f t="shared" si="11"/>
        <v>0.08</v>
      </c>
      <c r="G59" s="1927" t="s">
        <v>1653</v>
      </c>
      <c r="H59" s="239">
        <f>VLOOKUP(G59,'CP FACTORS'!$A$3:$B$38, 2, FALSE)</f>
        <v>4.6608050000000002E-4</v>
      </c>
      <c r="I59" s="1244">
        <f t="shared" si="12"/>
        <v>1.5640339999999999E-2</v>
      </c>
      <c r="J59" s="1928">
        <f t="shared" si="9"/>
        <v>6.2E-2</v>
      </c>
      <c r="K59" s="1178">
        <f t="shared" si="13"/>
        <v>3.6999999999999998E-5</v>
      </c>
      <c r="L59" s="1647">
        <f t="shared" si="17"/>
        <v>15</v>
      </c>
      <c r="M59" s="1648">
        <f t="shared" si="18"/>
        <v>0.12</v>
      </c>
      <c r="N59" s="1276">
        <f t="shared" si="14"/>
        <v>1</v>
      </c>
      <c r="O59" s="1197"/>
      <c r="P59" s="1197"/>
      <c r="Q59" s="1197"/>
      <c r="R59" s="1894"/>
      <c r="S59" s="1197"/>
      <c r="T59" s="1197"/>
      <c r="U59" s="1197"/>
      <c r="V59" s="245"/>
      <c r="W59" s="246"/>
      <c r="X59" s="1164"/>
      <c r="Y59" s="1168">
        <v>0.08</v>
      </c>
      <c r="Z59" s="245"/>
      <c r="AA59" s="245"/>
      <c r="AB59" s="245"/>
      <c r="AC59" s="245"/>
      <c r="AD59" s="245"/>
      <c r="AE59" s="245"/>
      <c r="AF59" s="245"/>
      <c r="AG59" s="245"/>
      <c r="AK59" s="1166"/>
      <c r="BB59" s="1181"/>
      <c r="BC59" s="898"/>
      <c r="BD59" s="898"/>
      <c r="BE59" s="797"/>
    </row>
    <row r="60" spans="1:57" outlineLevel="1" x14ac:dyDescent="0.25">
      <c r="B60" s="1580"/>
      <c r="C60" s="329"/>
      <c r="F60" s="354"/>
      <c r="AK60" s="1166"/>
    </row>
    <row r="61" spans="1:57" outlineLevel="1" x14ac:dyDescent="0.25">
      <c r="B61" s="1580"/>
      <c r="C61" s="329"/>
      <c r="D61" s="353" t="s">
        <v>617</v>
      </c>
      <c r="F61" s="354"/>
      <c r="AK61" s="1166"/>
    </row>
    <row r="62" spans="1:57" outlineLevel="1" x14ac:dyDescent="0.25">
      <c r="B62" s="1580"/>
      <c r="C62" s="359"/>
      <c r="D62" s="2120"/>
      <c r="E62" s="2121"/>
      <c r="F62" s="2122"/>
      <c r="G62" s="2122"/>
      <c r="H62" s="2122"/>
      <c r="I62" s="2122"/>
      <c r="J62" s="1182"/>
      <c r="K62" s="1182"/>
      <c r="L62" s="1182"/>
      <c r="AK62" s="1166"/>
    </row>
    <row r="63" spans="1:57" outlineLevel="1" x14ac:dyDescent="0.25">
      <c r="B63" s="1580"/>
      <c r="C63" s="375"/>
      <c r="D63" s="2123"/>
      <c r="E63" s="2124"/>
      <c r="F63" s="2125"/>
      <c r="G63" s="2125"/>
      <c r="H63" s="2125"/>
      <c r="I63" s="2125"/>
      <c r="J63" s="1183"/>
      <c r="K63" s="1183"/>
      <c r="L63" s="1183"/>
      <c r="AK63" s="1166"/>
    </row>
    <row r="64" spans="1:57" outlineLevel="1" x14ac:dyDescent="0.25">
      <c r="B64" s="1580"/>
      <c r="C64" s="375"/>
      <c r="D64" s="2123"/>
      <c r="E64" s="2124"/>
      <c r="F64" s="2125"/>
      <c r="G64" s="2125"/>
      <c r="H64" s="2125"/>
      <c r="I64" s="2125"/>
      <c r="J64" s="1183"/>
      <c r="K64" s="1183"/>
      <c r="L64" s="1183"/>
      <c r="AK64" s="1166"/>
    </row>
    <row r="65" spans="2:37" ht="39.75" customHeight="1" outlineLevel="1" x14ac:dyDescent="0.25">
      <c r="B65" s="1580"/>
      <c r="C65" s="376"/>
      <c r="D65" s="2126"/>
      <c r="E65" s="2959"/>
      <c r="F65" s="2960"/>
      <c r="G65" s="2960"/>
      <c r="H65" s="2960"/>
      <c r="I65" s="2960"/>
      <c r="J65" s="2960"/>
      <c r="K65" s="2960"/>
      <c r="L65" s="2960"/>
      <c r="AK65" s="1166"/>
    </row>
    <row r="66" spans="2:37" outlineLevel="1" x14ac:dyDescent="0.25">
      <c r="B66" s="1580"/>
      <c r="C66" s="329"/>
      <c r="AK66" s="1166"/>
    </row>
    <row r="67" spans="2:37" outlineLevel="1" x14ac:dyDescent="0.25">
      <c r="B67" s="1580"/>
      <c r="C67" s="329"/>
      <c r="D67" s="1701" t="s">
        <v>618</v>
      </c>
      <c r="E67" s="1701" t="s">
        <v>619</v>
      </c>
      <c r="F67" s="1641" t="s">
        <v>620</v>
      </c>
      <c r="G67" s="1641" t="s">
        <v>670</v>
      </c>
      <c r="H67" s="1641" t="s">
        <v>766</v>
      </c>
      <c r="V67" s="55" t="s">
        <v>27</v>
      </c>
      <c r="W67" s="56">
        <f>W$6</f>
        <v>43252</v>
      </c>
      <c r="X67" s="56">
        <f t="shared" ref="X67:AG67" si="22">X$6</f>
        <v>43465</v>
      </c>
      <c r="Y67" s="500">
        <f t="shared" si="22"/>
        <v>43800</v>
      </c>
      <c r="Z67" s="56">
        <f t="shared" si="22"/>
        <v>43862</v>
      </c>
      <c r="AA67" s="56" t="str">
        <f t="shared" si="22"/>
        <v>-</v>
      </c>
      <c r="AB67" s="56" t="str">
        <f t="shared" si="22"/>
        <v>-</v>
      </c>
      <c r="AC67" s="56" t="str">
        <f t="shared" si="22"/>
        <v>-</v>
      </c>
      <c r="AD67" s="56" t="str">
        <f t="shared" si="22"/>
        <v>-</v>
      </c>
      <c r="AE67" s="56" t="str">
        <f t="shared" si="22"/>
        <v>-</v>
      </c>
      <c r="AF67" s="56" t="str">
        <f t="shared" si="22"/>
        <v>-</v>
      </c>
      <c r="AG67" s="56" t="str">
        <f t="shared" si="22"/>
        <v>-</v>
      </c>
      <c r="AK67" s="1166"/>
    </row>
    <row r="68" spans="2:37" ht="15" customHeight="1" outlineLevel="1" x14ac:dyDescent="0.25">
      <c r="B68" s="1580"/>
      <c r="C68" s="329"/>
      <c r="D68" s="2955" t="s">
        <v>3367</v>
      </c>
      <c r="E68" s="574" t="str">
        <f>E52</f>
        <v>Air Sealing (Infiltration reduction) - 30% MF LI DI electric furnace base</v>
      </c>
      <c r="F68" s="2127">
        <v>0.28499999999999998</v>
      </c>
      <c r="G68" s="1381" t="s">
        <v>767</v>
      </c>
      <c r="H68" s="1542"/>
      <c r="V68" s="2957" t="str">
        <f>D68</f>
        <v>Defaultheat</v>
      </c>
      <c r="W68" s="1184">
        <v>0.28499999999999998</v>
      </c>
      <c r="X68" s="1184">
        <v>0.28499999999999998</v>
      </c>
      <c r="Y68" s="1184">
        <v>0.28499999999999998</v>
      </c>
      <c r="Z68" s="289"/>
      <c r="AA68" s="289"/>
      <c r="AB68" s="289"/>
      <c r="AC68" s="289"/>
      <c r="AD68" s="289"/>
      <c r="AE68" s="289"/>
      <c r="AF68" s="289"/>
      <c r="AG68" s="289"/>
      <c r="AK68" s="1166"/>
    </row>
    <row r="69" spans="2:37" ht="15" customHeight="1" outlineLevel="1" x14ac:dyDescent="0.25">
      <c r="B69" s="1580"/>
      <c r="C69" s="329"/>
      <c r="D69" s="2956"/>
      <c r="E69" s="574" t="str">
        <f t="shared" ref="E69:E75" si="23">E53</f>
        <v>Air Sealing (Infiltration reduction) - 30% MF LI DI heat pump base</v>
      </c>
      <c r="F69" s="2127">
        <v>0.20799999999999999</v>
      </c>
      <c r="G69" s="1381" t="s">
        <v>767</v>
      </c>
      <c r="H69" s="1542"/>
      <c r="V69" s="2958"/>
      <c r="W69" s="1184">
        <v>0.20799999999999999</v>
      </c>
      <c r="X69" s="1184">
        <v>0.20799999999999999</v>
      </c>
      <c r="Y69" s="1184">
        <v>0.20799999999999999</v>
      </c>
      <c r="Z69" s="289"/>
      <c r="AA69" s="289"/>
      <c r="AB69" s="289"/>
      <c r="AC69" s="289"/>
      <c r="AD69" s="289"/>
      <c r="AE69" s="289"/>
      <c r="AF69" s="289"/>
      <c r="AG69" s="289"/>
      <c r="AK69" s="1166"/>
    </row>
    <row r="70" spans="2:37" outlineLevel="1" x14ac:dyDescent="0.25">
      <c r="B70" s="1580"/>
      <c r="C70" s="329"/>
      <c r="D70" s="2956"/>
      <c r="E70" s="574" t="str">
        <f t="shared" si="23"/>
        <v>Air Sealing (Infiltration reduction) - 30% SF LI DI electric furnace base</v>
      </c>
      <c r="F70" s="2127">
        <v>0.308</v>
      </c>
      <c r="G70" s="1381" t="s">
        <v>767</v>
      </c>
      <c r="H70" s="1542"/>
      <c r="V70" s="2958"/>
      <c r="W70" s="1184">
        <v>0.308</v>
      </c>
      <c r="X70" s="1184">
        <v>0.308</v>
      </c>
      <c r="Y70" s="1184">
        <v>0.308</v>
      </c>
      <c r="Z70" s="289"/>
      <c r="AA70" s="289"/>
      <c r="AB70" s="289"/>
      <c r="AC70" s="289"/>
      <c r="AD70" s="289"/>
      <c r="AE70" s="289"/>
      <c r="AF70" s="289"/>
      <c r="AG70" s="289"/>
      <c r="AK70" s="1166"/>
    </row>
    <row r="71" spans="2:37" outlineLevel="1" x14ac:dyDescent="0.25">
      <c r="B71" s="1580"/>
      <c r="C71" s="329"/>
      <c r="D71" s="2956"/>
      <c r="E71" s="574" t="str">
        <f t="shared" si="23"/>
        <v>Air Sealing (Infiltration reduction) - 30% SF LI Gas furnace base</v>
      </c>
      <c r="F71" s="2127">
        <v>0</v>
      </c>
      <c r="G71" s="1381" t="s">
        <v>767</v>
      </c>
      <c r="H71" s="1542"/>
      <c r="V71" s="2958"/>
      <c r="W71" s="1184"/>
      <c r="X71" s="1184"/>
      <c r="Y71" s="1185">
        <v>0</v>
      </c>
      <c r="Z71" s="289"/>
      <c r="AA71" s="289"/>
      <c r="AB71" s="289"/>
      <c r="AC71" s="289"/>
      <c r="AD71" s="289"/>
      <c r="AE71" s="289"/>
      <c r="AF71" s="289"/>
      <c r="AG71" s="289"/>
      <c r="AK71" s="1166"/>
    </row>
    <row r="72" spans="2:37" outlineLevel="1" x14ac:dyDescent="0.25">
      <c r="B72" s="1580"/>
      <c r="C72" s="329"/>
      <c r="D72" s="2956"/>
      <c r="E72" s="574" t="str">
        <f t="shared" si="23"/>
        <v>Air Sealing (Infiltration reduction) - 30% SF LI DI heat pump base</v>
      </c>
      <c r="F72" s="2127">
        <v>0.25700000000000001</v>
      </c>
      <c r="G72" s="1381" t="s">
        <v>767</v>
      </c>
      <c r="H72" s="1542"/>
      <c r="V72" s="2958"/>
      <c r="W72" s="1184">
        <v>0.25700000000000001</v>
      </c>
      <c r="X72" s="1184">
        <v>0.25700000000000001</v>
      </c>
      <c r="Y72" s="1184">
        <v>0.25700000000000001</v>
      </c>
      <c r="Z72" s="1186"/>
      <c r="AA72" s="1186"/>
      <c r="AB72" s="1186"/>
      <c r="AC72" s="1186"/>
      <c r="AD72" s="1186"/>
      <c r="AE72" s="1186"/>
      <c r="AF72" s="1186"/>
      <c r="AG72" s="1186"/>
      <c r="AK72" s="1166"/>
    </row>
    <row r="73" spans="2:37" outlineLevel="1" x14ac:dyDescent="0.25">
      <c r="B73" s="1580"/>
      <c r="C73" s="329"/>
      <c r="D73" s="2956"/>
      <c r="E73" s="574" t="str">
        <f t="shared" si="23"/>
        <v>MH Adjusted Air Sealing (Infiltration reduction) - 30% SF LI DI electric furnace base</v>
      </c>
      <c r="F73" s="2127">
        <v>0.41299999999999998</v>
      </c>
      <c r="G73" s="1381" t="s">
        <v>767</v>
      </c>
      <c r="H73" s="1542"/>
      <c r="V73" s="2958"/>
      <c r="W73" s="1184">
        <v>0.41299999999999998</v>
      </c>
      <c r="X73" s="1184">
        <v>0.41299999999999998</v>
      </c>
      <c r="Y73" s="1184">
        <v>0.41299999999999998</v>
      </c>
      <c r="Z73" s="1186"/>
      <c r="AA73" s="1186"/>
      <c r="AB73" s="1186"/>
      <c r="AC73" s="1186"/>
      <c r="AD73" s="1186"/>
      <c r="AE73" s="1186"/>
      <c r="AF73" s="1186"/>
      <c r="AG73" s="1186"/>
      <c r="AK73" s="1166"/>
    </row>
    <row r="74" spans="2:37" outlineLevel="1" x14ac:dyDescent="0.25">
      <c r="B74" s="1580"/>
      <c r="C74" s="329"/>
      <c r="D74" s="2689"/>
      <c r="E74" s="574" t="str">
        <f t="shared" si="23"/>
        <v>MH Adjusted Air Sealing (Infiltration reduction) - 30% SF LI DI heat pump base</v>
      </c>
      <c r="F74" s="2127">
        <v>0.39100000000000001</v>
      </c>
      <c r="G74" s="1381" t="s">
        <v>767</v>
      </c>
      <c r="H74" s="1542"/>
      <c r="V74" s="2691"/>
      <c r="W74" s="1184"/>
      <c r="X74" s="1184"/>
      <c r="Y74" s="1185">
        <v>0.39100000000000001</v>
      </c>
      <c r="Z74" s="1186"/>
      <c r="AA74" s="1186"/>
      <c r="AB74" s="1186"/>
      <c r="AC74" s="1186"/>
      <c r="AD74" s="1186"/>
      <c r="AE74" s="1186"/>
      <c r="AF74" s="1186"/>
      <c r="AG74" s="1186"/>
      <c r="AK74" s="1166"/>
    </row>
    <row r="75" spans="2:37" outlineLevel="1" x14ac:dyDescent="0.25">
      <c r="B75" s="1580"/>
      <c r="C75" s="329"/>
      <c r="D75" s="2683"/>
      <c r="E75" s="574" t="str">
        <f t="shared" si="23"/>
        <v>MH Adjusted Air Sealing (Infiltration reduction) - 30% SF LI DI gas furnace base</v>
      </c>
      <c r="F75" s="2127">
        <v>0</v>
      </c>
      <c r="G75" s="1381" t="s">
        <v>767</v>
      </c>
      <c r="H75" s="1542"/>
      <c r="V75" s="2684"/>
      <c r="W75" s="1184"/>
      <c r="X75" s="1184"/>
      <c r="Y75" s="1185">
        <v>0</v>
      </c>
      <c r="Z75" s="1186"/>
      <c r="AA75" s="1186"/>
      <c r="AB75" s="1186"/>
      <c r="AC75" s="1186"/>
      <c r="AD75" s="1186"/>
      <c r="AE75" s="1186"/>
      <c r="AF75" s="1186"/>
      <c r="AG75" s="1186"/>
      <c r="AK75" s="1166"/>
    </row>
    <row r="76" spans="2:37" outlineLevel="1" x14ac:dyDescent="0.25">
      <c r="B76" s="1580"/>
      <c r="C76" s="329"/>
      <c r="D76" s="2955" t="s">
        <v>1668</v>
      </c>
      <c r="E76" s="574" t="str">
        <f>E68</f>
        <v>Air Sealing (Infiltration reduction) - 30% MF LI DI electric furnace base</v>
      </c>
      <c r="F76" s="1280">
        <v>1</v>
      </c>
      <c r="G76" s="1679" t="s">
        <v>1669</v>
      </c>
      <c r="H76" s="1279" t="s">
        <v>1670</v>
      </c>
      <c r="V76" s="2957" t="str">
        <f>D76</f>
        <v>Sq. Ft.</v>
      </c>
      <c r="W76" s="1188">
        <f>1387*0.65</f>
        <v>901.55000000000007</v>
      </c>
      <c r="X76" s="1188">
        <v>901.55000000000007</v>
      </c>
      <c r="Y76" s="1187">
        <v>1</v>
      </c>
      <c r="Z76" s="1186"/>
      <c r="AA76" s="1186"/>
      <c r="AB76" s="1186"/>
      <c r="AC76" s="1186"/>
      <c r="AD76" s="1186"/>
      <c r="AE76" s="1186"/>
      <c r="AF76" s="1186"/>
      <c r="AG76" s="1186"/>
      <c r="AK76" s="1166"/>
    </row>
    <row r="77" spans="2:37" outlineLevel="1" x14ac:dyDescent="0.25">
      <c r="B77" s="1580"/>
      <c r="C77" s="329"/>
      <c r="D77" s="2956"/>
      <c r="E77" s="574" t="str">
        <f t="shared" ref="E77:E99" si="24">E69</f>
        <v>Air Sealing (Infiltration reduction) - 30% MF LI DI heat pump base</v>
      </c>
      <c r="F77" s="1280">
        <v>1</v>
      </c>
      <c r="G77" s="1679" t="s">
        <v>1669</v>
      </c>
      <c r="H77" s="1279" t="s">
        <v>1670</v>
      </c>
      <c r="V77" s="2958"/>
      <c r="W77" s="1188">
        <f>1387*0.65</f>
        <v>901.55000000000007</v>
      </c>
      <c r="X77" s="1188">
        <v>901.55000000000007</v>
      </c>
      <c r="Y77" s="1187">
        <v>1</v>
      </c>
      <c r="Z77" s="1186"/>
      <c r="AA77" s="1186"/>
      <c r="AB77" s="1186"/>
      <c r="AC77" s="1186"/>
      <c r="AD77" s="1186"/>
      <c r="AE77" s="1186"/>
      <c r="AF77" s="1186"/>
      <c r="AG77" s="1186"/>
      <c r="AK77" s="1166"/>
    </row>
    <row r="78" spans="2:37" outlineLevel="1" x14ac:dyDescent="0.25">
      <c r="B78" s="1580"/>
      <c r="C78" s="329"/>
      <c r="D78" s="2956"/>
      <c r="E78" s="574" t="str">
        <f t="shared" si="24"/>
        <v>Air Sealing (Infiltration reduction) - 30% SF LI DI electric furnace base</v>
      </c>
      <c r="F78" s="1280">
        <v>1</v>
      </c>
      <c r="G78" s="1679" t="s">
        <v>1671</v>
      </c>
      <c r="H78" s="1279"/>
      <c r="V78" s="2958"/>
      <c r="W78" s="1188">
        <v>1387</v>
      </c>
      <c r="X78" s="1188">
        <v>1387</v>
      </c>
      <c r="Y78" s="1187">
        <v>1</v>
      </c>
      <c r="Z78" s="1186"/>
      <c r="AA78" s="1186"/>
      <c r="AB78" s="1186"/>
      <c r="AC78" s="1186"/>
      <c r="AD78" s="1186"/>
      <c r="AE78" s="1186"/>
      <c r="AF78" s="1186"/>
      <c r="AG78" s="1186"/>
      <c r="AK78" s="1166"/>
    </row>
    <row r="79" spans="2:37" outlineLevel="1" x14ac:dyDescent="0.25">
      <c r="B79" s="1580"/>
      <c r="C79" s="329"/>
      <c r="D79" s="2956"/>
      <c r="E79" s="574" t="str">
        <f t="shared" si="24"/>
        <v>Air Sealing (Infiltration reduction) - 30% SF LI Gas furnace base</v>
      </c>
      <c r="F79" s="1280">
        <v>1</v>
      </c>
      <c r="G79" s="1679" t="s">
        <v>1671</v>
      </c>
      <c r="H79" s="1279"/>
      <c r="V79" s="2958"/>
      <c r="W79" s="1188"/>
      <c r="X79" s="1188"/>
      <c r="Y79" s="1187">
        <v>1</v>
      </c>
      <c r="Z79" s="1186"/>
      <c r="AA79" s="1186"/>
      <c r="AB79" s="1186"/>
      <c r="AC79" s="1186"/>
      <c r="AD79" s="1186"/>
      <c r="AE79" s="1186"/>
      <c r="AF79" s="1186"/>
      <c r="AG79" s="1186"/>
      <c r="AK79" s="1166"/>
    </row>
    <row r="80" spans="2:37" outlineLevel="1" x14ac:dyDescent="0.25">
      <c r="B80" s="1580"/>
      <c r="C80" s="329"/>
      <c r="D80" s="2956"/>
      <c r="E80" s="574" t="str">
        <f t="shared" si="24"/>
        <v>Air Sealing (Infiltration reduction) - 30% SF LI DI heat pump base</v>
      </c>
      <c r="F80" s="1280">
        <v>1</v>
      </c>
      <c r="G80" s="1679" t="s">
        <v>1672</v>
      </c>
      <c r="H80" s="1279"/>
      <c r="V80" s="2958"/>
      <c r="W80" s="1188">
        <v>1387</v>
      </c>
      <c r="X80" s="1188">
        <v>1387</v>
      </c>
      <c r="Y80" s="1187">
        <v>1</v>
      </c>
      <c r="Z80" s="1186"/>
      <c r="AA80" s="1186"/>
      <c r="AB80" s="1186"/>
      <c r="AC80" s="1186"/>
      <c r="AD80" s="1186"/>
      <c r="AE80" s="1186"/>
      <c r="AF80" s="1186"/>
      <c r="AG80" s="1186"/>
      <c r="AK80" s="1166"/>
    </row>
    <row r="81" spans="2:37" outlineLevel="1" x14ac:dyDescent="0.25">
      <c r="B81" s="1580"/>
      <c r="C81" s="329"/>
      <c r="D81" s="2956"/>
      <c r="E81" s="574" t="str">
        <f t="shared" si="24"/>
        <v>MH Adjusted Air Sealing (Infiltration reduction) - 30% SF LI DI electric furnace base</v>
      </c>
      <c r="F81" s="1280">
        <v>1</v>
      </c>
      <c r="G81" s="1679" t="s">
        <v>1673</v>
      </c>
      <c r="H81" s="1279"/>
      <c r="V81" s="2958"/>
      <c r="W81" s="1188">
        <f>15*72</f>
        <v>1080</v>
      </c>
      <c r="X81" s="1188">
        <v>1080</v>
      </c>
      <c r="Y81" s="1187">
        <v>1</v>
      </c>
      <c r="Z81" s="1186"/>
      <c r="AA81" s="1186"/>
      <c r="AB81" s="1186"/>
      <c r="AC81" s="1186"/>
      <c r="AD81" s="1186"/>
      <c r="AE81" s="1186"/>
      <c r="AF81" s="1186"/>
      <c r="AG81" s="1186"/>
      <c r="AK81" s="1166"/>
    </row>
    <row r="82" spans="2:37" outlineLevel="1" x14ac:dyDescent="0.25">
      <c r="B82" s="1580"/>
      <c r="C82" s="329"/>
      <c r="D82" s="2689"/>
      <c r="E82" s="574" t="str">
        <f t="shared" si="24"/>
        <v>MH Adjusted Air Sealing (Infiltration reduction) - 30% SF LI DI heat pump base</v>
      </c>
      <c r="F82" s="1280">
        <v>1</v>
      </c>
      <c r="G82" s="1679" t="s">
        <v>1673</v>
      </c>
      <c r="H82" s="1279"/>
      <c r="V82" s="2691"/>
      <c r="W82" s="1188"/>
      <c r="X82" s="1188"/>
      <c r="Y82" s="1187">
        <v>1</v>
      </c>
      <c r="Z82" s="1186"/>
      <c r="AA82" s="1186"/>
      <c r="AB82" s="1186"/>
      <c r="AC82" s="1186"/>
      <c r="AD82" s="1186"/>
      <c r="AE82" s="1186"/>
      <c r="AF82" s="1186"/>
      <c r="AG82" s="1186"/>
      <c r="AK82" s="1166"/>
    </row>
    <row r="83" spans="2:37" outlineLevel="1" x14ac:dyDescent="0.25">
      <c r="B83" s="1580"/>
      <c r="C83" s="329"/>
      <c r="D83" s="2683"/>
      <c r="E83" s="574" t="str">
        <f t="shared" si="24"/>
        <v>MH Adjusted Air Sealing (Infiltration reduction) - 30% SF LI DI gas furnace base</v>
      </c>
      <c r="F83" s="1280">
        <v>1</v>
      </c>
      <c r="G83" s="1679" t="s">
        <v>1673</v>
      </c>
      <c r="H83" s="1279"/>
      <c r="V83" s="2684"/>
      <c r="W83" s="1188"/>
      <c r="X83" s="1188"/>
      <c r="Y83" s="1187">
        <v>1</v>
      </c>
      <c r="Z83" s="1186"/>
      <c r="AA83" s="1186"/>
      <c r="AB83" s="1186"/>
      <c r="AC83" s="1186"/>
      <c r="AD83" s="1186"/>
      <c r="AE83" s="1186"/>
      <c r="AF83" s="1186"/>
      <c r="AG83" s="1186"/>
      <c r="AK83" s="1166"/>
    </row>
    <row r="84" spans="2:37" ht="15" customHeight="1" outlineLevel="1" x14ac:dyDescent="0.25">
      <c r="B84" s="1580"/>
      <c r="C84" s="329"/>
      <c r="D84" s="2955" t="s">
        <v>3368</v>
      </c>
      <c r="E84" s="574" t="str">
        <f>E76</f>
        <v>Air Sealing (Infiltration reduction) - 30% MF LI DI electric furnace base</v>
      </c>
      <c r="F84" s="2128">
        <v>4.2999999999999997E-2</v>
      </c>
      <c r="G84" s="1679" t="s">
        <v>767</v>
      </c>
      <c r="H84" s="1279"/>
      <c r="V84" s="2957" t="str">
        <f>D84</f>
        <v>Defaultcool</v>
      </c>
      <c r="W84" s="1184">
        <v>4.2999999999999997E-2</v>
      </c>
      <c r="X84" s="1184">
        <v>4.2999999999999997E-2</v>
      </c>
      <c r="Y84" s="1189">
        <v>4.2999999999999997E-2</v>
      </c>
      <c r="Z84" s="1186"/>
      <c r="AA84" s="1186"/>
      <c r="AB84" s="1186"/>
      <c r="AC84" s="1186"/>
      <c r="AD84" s="1186"/>
      <c r="AE84" s="1186"/>
      <c r="AF84" s="1186"/>
      <c r="AG84" s="1186"/>
      <c r="AK84" s="1166"/>
    </row>
    <row r="85" spans="2:37" outlineLevel="1" x14ac:dyDescent="0.25">
      <c r="B85" s="1580"/>
      <c r="C85" s="329"/>
      <c r="D85" s="2956"/>
      <c r="E85" s="574" t="str">
        <f t="shared" si="24"/>
        <v>Air Sealing (Infiltration reduction) - 30% MF LI DI heat pump base</v>
      </c>
      <c r="F85" s="2128">
        <v>4.2999999999999997E-2</v>
      </c>
      <c r="G85" s="1679" t="s">
        <v>767</v>
      </c>
      <c r="H85" s="1279"/>
      <c r="V85" s="2958"/>
      <c r="W85" s="1184">
        <v>4.2999999999999997E-2</v>
      </c>
      <c r="X85" s="1184">
        <v>4.2999999999999997E-2</v>
      </c>
      <c r="Y85" s="1189">
        <v>4.2999999999999997E-2</v>
      </c>
      <c r="Z85" s="1186"/>
      <c r="AA85" s="1186"/>
      <c r="AB85" s="1186"/>
      <c r="AC85" s="1186"/>
      <c r="AD85" s="1186"/>
      <c r="AE85" s="1186"/>
      <c r="AF85" s="1186"/>
      <c r="AG85" s="1186"/>
      <c r="AK85" s="1166"/>
    </row>
    <row r="86" spans="2:37" outlineLevel="1" x14ac:dyDescent="0.25">
      <c r="B86" s="1580"/>
      <c r="C86" s="329"/>
      <c r="D86" s="2956"/>
      <c r="E86" s="574" t="str">
        <f t="shared" si="24"/>
        <v>Air Sealing (Infiltration reduction) - 30% SF LI DI electric furnace base</v>
      </c>
      <c r="F86" s="2128">
        <v>0.05</v>
      </c>
      <c r="G86" s="1679" t="s">
        <v>767</v>
      </c>
      <c r="H86" s="1279"/>
      <c r="V86" s="2958"/>
      <c r="W86" s="1184">
        <v>0.05</v>
      </c>
      <c r="X86" s="1184">
        <v>0.05</v>
      </c>
      <c r="Y86" s="1189">
        <v>0.05</v>
      </c>
      <c r="Z86" s="1186"/>
      <c r="AA86" s="1186"/>
      <c r="AB86" s="1186"/>
      <c r="AC86" s="1186"/>
      <c r="AD86" s="1186"/>
      <c r="AE86" s="1186"/>
      <c r="AF86" s="1186"/>
      <c r="AG86" s="1186"/>
      <c r="AK86" s="1166"/>
    </row>
    <row r="87" spans="2:37" outlineLevel="1" x14ac:dyDescent="0.25">
      <c r="B87" s="1580"/>
      <c r="C87" s="329"/>
      <c r="D87" s="2956"/>
      <c r="E87" s="574" t="str">
        <f t="shared" si="24"/>
        <v>Air Sealing (Infiltration reduction) - 30% SF LI Gas furnace base</v>
      </c>
      <c r="F87" s="2128">
        <f>F86</f>
        <v>0.05</v>
      </c>
      <c r="G87" s="1679" t="s">
        <v>767</v>
      </c>
      <c r="H87" s="1279"/>
      <c r="V87" s="2958"/>
      <c r="W87" s="1184"/>
      <c r="X87" s="1184"/>
      <c r="Y87" s="1190">
        <v>0.05</v>
      </c>
      <c r="Z87" s="1186"/>
      <c r="AA87" s="1186"/>
      <c r="AB87" s="1186"/>
      <c r="AC87" s="1186"/>
      <c r="AD87" s="1186"/>
      <c r="AE87" s="1186"/>
      <c r="AF87" s="1186"/>
      <c r="AG87" s="1186"/>
      <c r="AK87" s="1166"/>
    </row>
    <row r="88" spans="2:37" outlineLevel="1" x14ac:dyDescent="0.25">
      <c r="B88" s="1580"/>
      <c r="C88" s="329"/>
      <c r="D88" s="2956"/>
      <c r="E88" s="574" t="str">
        <f t="shared" si="24"/>
        <v>Air Sealing (Infiltration reduction) - 30% SF LI DI heat pump base</v>
      </c>
      <c r="F88" s="2128">
        <v>0.05</v>
      </c>
      <c r="G88" s="1679" t="s">
        <v>767</v>
      </c>
      <c r="H88" s="1279"/>
      <c r="V88" s="2958"/>
      <c r="W88" s="1184">
        <v>0.05</v>
      </c>
      <c r="X88" s="1184">
        <v>0.05</v>
      </c>
      <c r="Y88" s="1189">
        <v>0.05</v>
      </c>
      <c r="Z88" s="1186"/>
      <c r="AA88" s="1186"/>
      <c r="AB88" s="1186"/>
      <c r="AC88" s="1186"/>
      <c r="AD88" s="1186"/>
      <c r="AE88" s="1186"/>
      <c r="AF88" s="1186"/>
      <c r="AG88" s="1186"/>
      <c r="AK88" s="1166"/>
    </row>
    <row r="89" spans="2:37" outlineLevel="1" x14ac:dyDescent="0.25">
      <c r="B89" s="1580"/>
      <c r="C89" s="329"/>
      <c r="D89" s="2956"/>
      <c r="E89" s="574" t="str">
        <f t="shared" si="24"/>
        <v>MH Adjusted Air Sealing (Infiltration reduction) - 30% SF LI DI electric furnace base</v>
      </c>
      <c r="F89" s="2128">
        <v>6.2E-2</v>
      </c>
      <c r="G89" s="1679" t="s">
        <v>767</v>
      </c>
      <c r="H89" s="1279"/>
      <c r="V89" s="2958"/>
      <c r="W89" s="1184">
        <v>6.2E-2</v>
      </c>
      <c r="X89" s="1184">
        <v>6.2E-2</v>
      </c>
      <c r="Y89" s="1189">
        <v>6.2E-2</v>
      </c>
      <c r="Z89" s="1186"/>
      <c r="AA89" s="1186"/>
      <c r="AB89" s="1186"/>
      <c r="AC89" s="1186"/>
      <c r="AD89" s="1186"/>
      <c r="AE89" s="1186"/>
      <c r="AF89" s="1186"/>
      <c r="AG89" s="1186"/>
      <c r="AK89" s="1166"/>
    </row>
    <row r="90" spans="2:37" outlineLevel="1" x14ac:dyDescent="0.25">
      <c r="B90" s="1580"/>
      <c r="C90" s="329"/>
      <c r="D90" s="2689"/>
      <c r="E90" s="574" t="str">
        <f t="shared" si="24"/>
        <v>MH Adjusted Air Sealing (Infiltration reduction) - 30% SF LI DI heat pump base</v>
      </c>
      <c r="F90" s="2128">
        <f>F89</f>
        <v>6.2E-2</v>
      </c>
      <c r="G90" s="1679" t="s">
        <v>767</v>
      </c>
      <c r="H90" s="1279"/>
      <c r="V90" s="2691"/>
      <c r="W90" s="1184"/>
      <c r="X90" s="1184"/>
      <c r="Y90" s="1190">
        <v>6.2E-2</v>
      </c>
      <c r="Z90" s="1186"/>
      <c r="AA90" s="1186"/>
      <c r="AB90" s="1186"/>
      <c r="AC90" s="1186"/>
      <c r="AD90" s="1186"/>
      <c r="AE90" s="1186"/>
      <c r="AF90" s="1186"/>
      <c r="AG90" s="1186"/>
      <c r="AK90" s="1166"/>
    </row>
    <row r="91" spans="2:37" outlineLevel="1" x14ac:dyDescent="0.25">
      <c r="B91" s="1580"/>
      <c r="C91" s="329"/>
      <c r="D91" s="2683"/>
      <c r="E91" s="574" t="str">
        <f t="shared" si="24"/>
        <v>MH Adjusted Air Sealing (Infiltration reduction) - 30% SF LI DI gas furnace base</v>
      </c>
      <c r="F91" s="2128">
        <f>F90</f>
        <v>6.2E-2</v>
      </c>
      <c r="G91" s="1679" t="s">
        <v>767</v>
      </c>
      <c r="H91" s="1279"/>
      <c r="V91" s="2684"/>
      <c r="W91" s="1184"/>
      <c r="X91" s="1184"/>
      <c r="Y91" s="1190">
        <v>6.2E-2</v>
      </c>
      <c r="Z91" s="1186"/>
      <c r="AA91" s="1186"/>
      <c r="AB91" s="1186"/>
      <c r="AC91" s="1186"/>
      <c r="AD91" s="1186"/>
      <c r="AE91" s="1186"/>
      <c r="AF91" s="1186"/>
      <c r="AG91" s="1186"/>
      <c r="AK91" s="1166"/>
    </row>
    <row r="92" spans="2:37" outlineLevel="1" x14ac:dyDescent="0.25">
      <c r="B92" s="1580"/>
      <c r="C92" s="329"/>
      <c r="D92" s="2955" t="s">
        <v>1674</v>
      </c>
      <c r="E92" s="574" t="str">
        <f>E84</f>
        <v>Air Sealing (Infiltration reduction) - 30% MF LI DI electric furnace base</v>
      </c>
      <c r="F92" s="2129">
        <v>0</v>
      </c>
      <c r="G92" s="1679" t="s">
        <v>767</v>
      </c>
      <c r="H92" s="856" t="s">
        <v>1675</v>
      </c>
      <c r="V92" s="2955" t="s">
        <v>1674</v>
      </c>
      <c r="W92" s="1184"/>
      <c r="X92" s="1184"/>
      <c r="Y92" s="1191">
        <v>0</v>
      </c>
      <c r="Z92" s="1186"/>
      <c r="AA92" s="1186"/>
      <c r="AB92" s="1186"/>
      <c r="AC92" s="1186"/>
      <c r="AD92" s="1186"/>
      <c r="AE92" s="1186"/>
      <c r="AF92" s="1186"/>
      <c r="AG92" s="1186"/>
      <c r="AK92" s="1166"/>
    </row>
    <row r="93" spans="2:37" outlineLevel="1" x14ac:dyDescent="0.25">
      <c r="B93" s="1580"/>
      <c r="C93" s="329"/>
      <c r="D93" s="2956"/>
      <c r="E93" s="574" t="str">
        <f t="shared" si="24"/>
        <v>Air Sealing (Infiltration reduction) - 30% MF LI DI heat pump base</v>
      </c>
      <c r="F93" s="2129">
        <v>0</v>
      </c>
      <c r="G93" s="1679" t="s">
        <v>767</v>
      </c>
      <c r="H93" s="856" t="s">
        <v>1675</v>
      </c>
      <c r="V93" s="2956"/>
      <c r="W93" s="1184"/>
      <c r="X93" s="1184"/>
      <c r="Y93" s="1191">
        <v>0</v>
      </c>
      <c r="Z93" s="1186"/>
      <c r="AA93" s="1186"/>
      <c r="AB93" s="1186"/>
      <c r="AC93" s="1186"/>
      <c r="AD93" s="1186"/>
      <c r="AE93" s="1186"/>
      <c r="AF93" s="1186"/>
      <c r="AG93" s="1186"/>
      <c r="AK93" s="1166"/>
    </row>
    <row r="94" spans="2:37" outlineLevel="1" x14ac:dyDescent="0.25">
      <c r="B94" s="1580"/>
      <c r="C94" s="329"/>
      <c r="D94" s="2956"/>
      <c r="E94" s="574" t="str">
        <f t="shared" si="24"/>
        <v>Air Sealing (Infiltration reduction) - 30% SF LI DI electric furnace base</v>
      </c>
      <c r="F94" s="2129">
        <v>0</v>
      </c>
      <c r="G94" s="1679" t="s">
        <v>767</v>
      </c>
      <c r="H94" s="856" t="s">
        <v>1675</v>
      </c>
      <c r="V94" s="2956"/>
      <c r="W94" s="1184"/>
      <c r="X94" s="1184"/>
      <c r="Y94" s="1191">
        <v>0</v>
      </c>
      <c r="Z94" s="1186"/>
      <c r="AA94" s="1186"/>
      <c r="AB94" s="1186"/>
      <c r="AC94" s="1186"/>
      <c r="AD94" s="1186"/>
      <c r="AE94" s="1186"/>
      <c r="AF94" s="1186"/>
      <c r="AG94" s="1186"/>
      <c r="AK94" s="1166"/>
    </row>
    <row r="95" spans="2:37" outlineLevel="1" x14ac:dyDescent="0.25">
      <c r="B95" s="1580"/>
      <c r="C95" s="329"/>
      <c r="D95" s="2956"/>
      <c r="E95" s="574" t="str">
        <f t="shared" si="24"/>
        <v>Air Sealing (Infiltration reduction) - 30% SF LI Gas furnace base</v>
      </c>
      <c r="F95" s="2129">
        <v>1.2999999999999999E-2</v>
      </c>
      <c r="G95" s="1679" t="s">
        <v>767</v>
      </c>
      <c r="H95" s="856" t="s">
        <v>1675</v>
      </c>
      <c r="V95" s="2956"/>
      <c r="W95" s="1184"/>
      <c r="X95" s="1184"/>
      <c r="Y95" s="1191">
        <v>1.2999999999999999E-2</v>
      </c>
      <c r="Z95" s="1186"/>
      <c r="AA95" s="1186"/>
      <c r="AB95" s="1186"/>
      <c r="AC95" s="1186"/>
      <c r="AD95" s="1186"/>
      <c r="AE95" s="1186"/>
      <c r="AF95" s="1186"/>
      <c r="AG95" s="1186"/>
      <c r="AK95" s="1166"/>
    </row>
    <row r="96" spans="2:37" outlineLevel="1" x14ac:dyDescent="0.25">
      <c r="B96" s="1580"/>
      <c r="C96" s="329"/>
      <c r="D96" s="2956"/>
      <c r="E96" s="574" t="str">
        <f t="shared" si="24"/>
        <v>Air Sealing (Infiltration reduction) - 30% SF LI DI heat pump base</v>
      </c>
      <c r="F96" s="2129">
        <v>0</v>
      </c>
      <c r="G96" s="1679" t="s">
        <v>767</v>
      </c>
      <c r="H96" s="856" t="s">
        <v>1675</v>
      </c>
      <c r="V96" s="2956"/>
      <c r="W96" s="1184"/>
      <c r="X96" s="1184"/>
      <c r="Y96" s="1191">
        <v>0</v>
      </c>
      <c r="Z96" s="1186"/>
      <c r="AA96" s="1186"/>
      <c r="AB96" s="1186"/>
      <c r="AC96" s="1186"/>
      <c r="AD96" s="1186"/>
      <c r="AE96" s="1186"/>
      <c r="AF96" s="1186"/>
      <c r="AG96" s="1186"/>
      <c r="AK96" s="1166"/>
    </row>
    <row r="97" spans="2:37" outlineLevel="1" x14ac:dyDescent="0.25">
      <c r="B97" s="1580"/>
      <c r="C97" s="329"/>
      <c r="D97" s="2956"/>
      <c r="E97" s="574" t="str">
        <f t="shared" si="24"/>
        <v>MH Adjusted Air Sealing (Infiltration reduction) - 30% SF LI DI electric furnace base</v>
      </c>
      <c r="F97" s="2129">
        <v>0</v>
      </c>
      <c r="G97" s="1679" t="s">
        <v>767</v>
      </c>
      <c r="H97" s="856" t="s">
        <v>1675</v>
      </c>
      <c r="V97" s="2956"/>
      <c r="W97" s="1184"/>
      <c r="X97" s="1184"/>
      <c r="Y97" s="1191">
        <v>0</v>
      </c>
      <c r="Z97" s="1186"/>
      <c r="AA97" s="1186"/>
      <c r="AB97" s="1186"/>
      <c r="AC97" s="1186"/>
      <c r="AD97" s="1186"/>
      <c r="AE97" s="1186"/>
      <c r="AF97" s="1186"/>
      <c r="AG97" s="1186"/>
      <c r="AK97" s="1166"/>
    </row>
    <row r="98" spans="2:37" outlineLevel="1" x14ac:dyDescent="0.25">
      <c r="B98" s="1580"/>
      <c r="C98" s="329"/>
      <c r="D98" s="2689"/>
      <c r="E98" s="574" t="str">
        <f t="shared" si="24"/>
        <v>MH Adjusted Air Sealing (Infiltration reduction) - 30% SF LI DI heat pump base</v>
      </c>
      <c r="F98" s="2129">
        <v>0</v>
      </c>
      <c r="G98" s="1679" t="s">
        <v>767</v>
      </c>
      <c r="H98" s="856" t="s">
        <v>1675</v>
      </c>
      <c r="V98" s="2689"/>
      <c r="W98" s="1184"/>
      <c r="X98" s="1184"/>
      <c r="Y98" s="1191">
        <v>0</v>
      </c>
      <c r="Z98" s="1186"/>
      <c r="AA98" s="1186"/>
      <c r="AB98" s="1186"/>
      <c r="AC98" s="1186"/>
      <c r="AD98" s="1186"/>
      <c r="AE98" s="1186"/>
      <c r="AF98" s="1186"/>
      <c r="AG98" s="1186"/>
      <c r="AK98" s="1166"/>
    </row>
    <row r="99" spans="2:37" outlineLevel="1" x14ac:dyDescent="0.25">
      <c r="B99" s="1580"/>
      <c r="C99" s="329"/>
      <c r="D99" s="2683"/>
      <c r="E99" s="574" t="str">
        <f t="shared" si="24"/>
        <v>MH Adjusted Air Sealing (Infiltration reduction) - 30% SF LI DI gas furnace base</v>
      </c>
      <c r="F99" s="2129">
        <v>1.7000000000000001E-2</v>
      </c>
      <c r="G99" s="1679" t="s">
        <v>767</v>
      </c>
      <c r="H99" s="856" t="s">
        <v>1675</v>
      </c>
      <c r="V99" s="2683"/>
      <c r="W99" s="1184"/>
      <c r="X99" s="1184"/>
      <c r="Y99" s="1191">
        <v>1.7000000000000001E-2</v>
      </c>
      <c r="Z99" s="1186"/>
      <c r="AA99" s="1186"/>
      <c r="AB99" s="1186"/>
      <c r="AC99" s="1186"/>
      <c r="AD99" s="1186"/>
      <c r="AE99" s="1186"/>
      <c r="AF99" s="1186"/>
      <c r="AG99" s="1186"/>
      <c r="AK99" s="1166"/>
    </row>
    <row r="100" spans="2:37" outlineLevel="1" x14ac:dyDescent="0.25">
      <c r="B100" s="1580"/>
      <c r="C100" s="329"/>
      <c r="D100" s="1712" t="s">
        <v>786</v>
      </c>
      <c r="E100" s="574" t="s">
        <v>637</v>
      </c>
      <c r="F100" s="2129">
        <v>3.1399999999999997E-2</v>
      </c>
      <c r="G100" s="1679" t="s">
        <v>767</v>
      </c>
      <c r="H100" s="856"/>
      <c r="V100" s="1712" t="str">
        <f>D100</f>
        <v>Fe</v>
      </c>
      <c r="W100" s="1184"/>
      <c r="X100" s="1184"/>
      <c r="Y100" s="1191">
        <v>3.1399999999999997E-2</v>
      </c>
      <c r="Z100" s="1186"/>
      <c r="AA100" s="1186"/>
      <c r="AB100" s="1186"/>
      <c r="AC100" s="1186"/>
      <c r="AD100" s="1186"/>
      <c r="AE100" s="1186"/>
      <c r="AF100" s="1186"/>
      <c r="AG100" s="1186"/>
      <c r="AK100" s="1166"/>
    </row>
    <row r="101" spans="2:37" outlineLevel="1" x14ac:dyDescent="0.25">
      <c r="B101" s="1580"/>
      <c r="C101" s="329"/>
      <c r="D101" s="1712">
        <v>29.3</v>
      </c>
      <c r="E101" s="574" t="s">
        <v>637</v>
      </c>
      <c r="F101" s="2129">
        <v>29.3</v>
      </c>
      <c r="G101" s="1679" t="s">
        <v>767</v>
      </c>
      <c r="H101" s="856"/>
      <c r="V101" s="1712">
        <f>D101</f>
        <v>29.3</v>
      </c>
      <c r="W101" s="1184"/>
      <c r="X101" s="1184"/>
      <c r="Y101" s="1191">
        <v>29.3</v>
      </c>
      <c r="Z101" s="1186"/>
      <c r="AA101" s="1186"/>
      <c r="AB101" s="1186"/>
      <c r="AC101" s="1186"/>
      <c r="AD101" s="1186"/>
      <c r="AE101" s="1186"/>
      <c r="AF101" s="1186"/>
      <c r="AG101" s="1186"/>
      <c r="AK101" s="1166"/>
    </row>
    <row r="102" spans="2:37" outlineLevel="1" x14ac:dyDescent="0.25">
      <c r="B102" s="1580"/>
      <c r="C102" s="329"/>
      <c r="D102" s="1685" t="str">
        <f>L51</f>
        <v>EUL</v>
      </c>
      <c r="E102" s="1685" t="s">
        <v>637</v>
      </c>
      <c r="F102" s="2128">
        <v>15</v>
      </c>
      <c r="G102" s="1679"/>
      <c r="H102" s="1279"/>
      <c r="V102" s="1712" t="str">
        <f>D102</f>
        <v>EUL</v>
      </c>
      <c r="W102" s="1184">
        <v>15</v>
      </c>
      <c r="X102" s="1184">
        <v>15</v>
      </c>
      <c r="Y102" s="1190">
        <v>15</v>
      </c>
      <c r="Z102" s="1186"/>
      <c r="AA102" s="1186"/>
      <c r="AB102" s="1186"/>
      <c r="AC102" s="1186"/>
      <c r="AD102" s="1186"/>
      <c r="AE102" s="1186"/>
      <c r="AF102" s="1186"/>
      <c r="AG102" s="1186"/>
      <c r="AK102" s="1166"/>
    </row>
    <row r="103" spans="2:37" ht="15" customHeight="1" outlineLevel="1" x14ac:dyDescent="0.25">
      <c r="B103" s="1580"/>
      <c r="C103" s="329"/>
      <c r="D103" s="2955" t="str">
        <f>M51</f>
        <v>Inc. Cost</v>
      </c>
      <c r="E103" s="574" t="str">
        <f>E84</f>
        <v>Air Sealing (Infiltration reduction) - 30% MF LI DI electric furnace base</v>
      </c>
      <c r="F103" s="2128">
        <f>108.186/902</f>
        <v>0.11994013303769402</v>
      </c>
      <c r="G103" s="1679" t="s">
        <v>1669</v>
      </c>
      <c r="H103" s="2966" t="s">
        <v>1676</v>
      </c>
      <c r="V103" s="2957" t="str">
        <f>D103</f>
        <v>Inc. Cost</v>
      </c>
      <c r="W103" s="1184">
        <v>4.2999999999999997E-2</v>
      </c>
      <c r="X103" s="1184">
        <v>4.2999999999999997E-2</v>
      </c>
      <c r="Y103" s="1190">
        <v>0.11994013303769402</v>
      </c>
      <c r="Z103" s="1186"/>
      <c r="AA103" s="1186"/>
      <c r="AB103" s="1186"/>
      <c r="AC103" s="1186"/>
      <c r="AD103" s="1186"/>
      <c r="AE103" s="1186"/>
      <c r="AF103" s="1186"/>
      <c r="AG103" s="1186"/>
      <c r="AK103" s="1166"/>
    </row>
    <row r="104" spans="2:37" outlineLevel="1" x14ac:dyDescent="0.25">
      <c r="B104" s="1580"/>
      <c r="C104" s="329"/>
      <c r="D104" s="2956"/>
      <c r="E104" s="574" t="str">
        <f t="shared" ref="E104:E110" si="25">E85</f>
        <v>Air Sealing (Infiltration reduction) - 30% MF LI DI heat pump base</v>
      </c>
      <c r="F104" s="2128">
        <f>108.186/902</f>
        <v>0.11994013303769402</v>
      </c>
      <c r="G104" s="1679" t="s">
        <v>1669</v>
      </c>
      <c r="H104" s="2676"/>
      <c r="V104" s="2958"/>
      <c r="W104" s="1184">
        <v>4.2999999999999997E-2</v>
      </c>
      <c r="X104" s="1184">
        <v>4.2999999999999997E-2</v>
      </c>
      <c r="Y104" s="1190">
        <v>0.11994013303769402</v>
      </c>
      <c r="Z104" s="1186"/>
      <c r="AA104" s="1186"/>
      <c r="AB104" s="1186"/>
      <c r="AC104" s="1186"/>
      <c r="AD104" s="1186"/>
      <c r="AE104" s="1186"/>
      <c r="AF104" s="1186"/>
      <c r="AG104" s="1186"/>
      <c r="AK104" s="1166"/>
    </row>
    <row r="105" spans="2:37" outlineLevel="1" x14ac:dyDescent="0.25">
      <c r="B105" s="1580"/>
      <c r="C105" s="329"/>
      <c r="D105" s="2956"/>
      <c r="E105" s="574" t="str">
        <f t="shared" si="25"/>
        <v>Air Sealing (Infiltration reduction) - 30% SF LI DI electric furnace base</v>
      </c>
      <c r="F105" s="2128">
        <f>166.44/1387</f>
        <v>0.12</v>
      </c>
      <c r="G105" s="1679" t="s">
        <v>1671</v>
      </c>
      <c r="H105" s="2676"/>
      <c r="V105" s="2958"/>
      <c r="W105" s="1184">
        <v>0.05</v>
      </c>
      <c r="X105" s="1184">
        <v>0.05</v>
      </c>
      <c r="Y105" s="1190">
        <v>0.12</v>
      </c>
      <c r="Z105" s="1186"/>
      <c r="AA105" s="1186"/>
      <c r="AB105" s="1186"/>
      <c r="AC105" s="1186"/>
      <c r="AD105" s="1186"/>
      <c r="AE105" s="1186"/>
      <c r="AF105" s="1186"/>
      <c r="AG105" s="1186"/>
      <c r="AK105" s="1166"/>
    </row>
    <row r="106" spans="2:37" outlineLevel="1" x14ac:dyDescent="0.25">
      <c r="B106" s="1580"/>
      <c r="C106" s="329"/>
      <c r="D106" s="2956"/>
      <c r="E106" s="574" t="str">
        <f t="shared" si="25"/>
        <v>Air Sealing (Infiltration reduction) - 30% SF LI Gas furnace base</v>
      </c>
      <c r="F106" s="2128">
        <f>166.44/1387</f>
        <v>0.12</v>
      </c>
      <c r="G106" s="1679" t="s">
        <v>1671</v>
      </c>
      <c r="H106" s="2676"/>
      <c r="V106" s="2958"/>
      <c r="W106" s="1184"/>
      <c r="X106" s="1184"/>
      <c r="Y106" s="1190">
        <v>0.12</v>
      </c>
      <c r="Z106" s="1186"/>
      <c r="AA106" s="1186"/>
      <c r="AB106" s="1186"/>
      <c r="AC106" s="1186"/>
      <c r="AD106" s="1186"/>
      <c r="AE106" s="1186"/>
      <c r="AF106" s="1186"/>
      <c r="AG106" s="1186"/>
      <c r="AK106" s="1166"/>
    </row>
    <row r="107" spans="2:37" outlineLevel="1" x14ac:dyDescent="0.25">
      <c r="B107" s="1580"/>
      <c r="C107" s="329"/>
      <c r="D107" s="2956"/>
      <c r="E107" s="574" t="str">
        <f t="shared" si="25"/>
        <v>Air Sealing (Infiltration reduction) - 30% SF LI DI heat pump base</v>
      </c>
      <c r="F107" s="2128">
        <f>166.44/1387</f>
        <v>0.12</v>
      </c>
      <c r="G107" s="1679" t="s">
        <v>1672</v>
      </c>
      <c r="H107" s="2676"/>
      <c r="V107" s="2958"/>
      <c r="W107" s="1184">
        <v>0.05</v>
      </c>
      <c r="X107" s="1184">
        <v>0.05</v>
      </c>
      <c r="Y107" s="1190">
        <v>0.12</v>
      </c>
      <c r="Z107" s="1186"/>
      <c r="AA107" s="1186"/>
      <c r="AB107" s="1186"/>
      <c r="AC107" s="1186"/>
      <c r="AD107" s="1186"/>
      <c r="AE107" s="1186"/>
      <c r="AF107" s="1186"/>
      <c r="AG107" s="1186"/>
      <c r="AK107" s="1166"/>
    </row>
    <row r="108" spans="2:37" outlineLevel="1" x14ac:dyDescent="0.25">
      <c r="B108" s="1580"/>
      <c r="C108" s="329"/>
      <c r="D108" s="2956"/>
      <c r="E108" s="574" t="str">
        <f t="shared" si="25"/>
        <v>MH Adjusted Air Sealing (Infiltration reduction) - 30% SF LI DI electric furnace base</v>
      </c>
      <c r="F108" s="2128">
        <f>129.6/1080</f>
        <v>0.12</v>
      </c>
      <c r="G108" s="1679" t="s">
        <v>1673</v>
      </c>
      <c r="H108" s="2676"/>
      <c r="V108" s="2958"/>
      <c r="W108" s="1184">
        <v>6.2E-2</v>
      </c>
      <c r="X108" s="1184">
        <v>6.2E-2</v>
      </c>
      <c r="Y108" s="1190">
        <v>0.12</v>
      </c>
      <c r="Z108" s="1186"/>
      <c r="AA108" s="1186"/>
      <c r="AB108" s="1186"/>
      <c r="AC108" s="1186"/>
      <c r="AD108" s="1186"/>
      <c r="AE108" s="1186"/>
      <c r="AF108" s="1186"/>
      <c r="AG108" s="1186"/>
      <c r="AK108" s="1166"/>
    </row>
    <row r="109" spans="2:37" outlineLevel="1" x14ac:dyDescent="0.25">
      <c r="B109" s="1580"/>
      <c r="C109" s="329"/>
      <c r="D109" s="2689"/>
      <c r="E109" s="574" t="str">
        <f t="shared" si="25"/>
        <v>MH Adjusted Air Sealing (Infiltration reduction) - 30% SF LI DI heat pump base</v>
      </c>
      <c r="F109" s="2128">
        <f t="shared" ref="F109:F110" si="26">129.6/1080</f>
        <v>0.12</v>
      </c>
      <c r="G109" s="1679" t="s">
        <v>1673</v>
      </c>
      <c r="H109" s="2676"/>
      <c r="V109" s="2691"/>
      <c r="W109" s="1184"/>
      <c r="X109" s="1184"/>
      <c r="Y109" s="1190">
        <v>0.12</v>
      </c>
      <c r="Z109" s="1186"/>
      <c r="AA109" s="1186"/>
      <c r="AB109" s="1186"/>
      <c r="AC109" s="1186"/>
      <c r="AD109" s="1186"/>
      <c r="AE109" s="1186"/>
      <c r="AF109" s="1186"/>
      <c r="AG109" s="1186"/>
      <c r="AK109" s="1166"/>
    </row>
    <row r="110" spans="2:37" outlineLevel="1" x14ac:dyDescent="0.25">
      <c r="B110" s="1580"/>
      <c r="C110" s="329"/>
      <c r="D110" s="2683"/>
      <c r="E110" s="574" t="str">
        <f t="shared" si="25"/>
        <v>MH Adjusted Air Sealing (Infiltration reduction) - 30% SF LI DI gas furnace base</v>
      </c>
      <c r="F110" s="2128">
        <f t="shared" si="26"/>
        <v>0.12</v>
      </c>
      <c r="G110" s="1679" t="s">
        <v>1673</v>
      </c>
      <c r="H110" s="2677"/>
      <c r="V110" s="2684"/>
      <c r="W110" s="1184"/>
      <c r="X110" s="1184"/>
      <c r="Y110" s="1190">
        <v>0.12</v>
      </c>
      <c r="Z110" s="1186"/>
      <c r="AA110" s="1186"/>
      <c r="AB110" s="1186"/>
      <c r="AC110" s="1186"/>
      <c r="AD110" s="1186"/>
      <c r="AE110" s="1186"/>
      <c r="AF110" s="1186"/>
      <c r="AG110" s="1186"/>
      <c r="AK110" s="1166"/>
    </row>
    <row r="111" spans="2:37" x14ac:dyDescent="0.25">
      <c r="B111" s="1580"/>
      <c r="C111" s="329"/>
      <c r="E111" s="427"/>
      <c r="Y111" s="1983" t="s">
        <v>1677</v>
      </c>
      <c r="AK111" s="1166"/>
    </row>
    <row r="112" spans="2:37" x14ac:dyDescent="0.25">
      <c r="AK112" s="1166"/>
    </row>
    <row r="113" spans="1:57" s="1177" customFormat="1" x14ac:dyDescent="0.25">
      <c r="A113" s="1197"/>
      <c r="B113" s="2639" t="s">
        <v>1678</v>
      </c>
      <c r="C113" s="2640"/>
      <c r="D113" s="2640"/>
      <c r="E113" s="2640"/>
      <c r="F113" s="2640"/>
      <c r="G113" s="2640"/>
      <c r="H113" s="2640"/>
      <c r="I113" s="2641"/>
      <c r="J113" s="2641"/>
      <c r="K113" s="2641"/>
      <c r="L113" s="2641"/>
      <c r="M113" s="2641"/>
      <c r="N113" s="2641"/>
      <c r="O113" s="2641"/>
      <c r="P113" s="2641"/>
      <c r="Q113" s="2641"/>
      <c r="R113" s="2642"/>
      <c r="S113" s="1197"/>
      <c r="T113" s="1197"/>
      <c r="U113" s="1197"/>
      <c r="V113" s="2639" t="str">
        <f>B113</f>
        <v>Ceiling Insulation</v>
      </c>
      <c r="W113" s="2640"/>
      <c r="X113" s="2640"/>
      <c r="Y113" s="2640"/>
      <c r="Z113" s="2640"/>
      <c r="AA113" s="2640"/>
      <c r="AB113" s="2640"/>
      <c r="AC113" s="2615"/>
      <c r="AD113" s="2615"/>
      <c r="AE113" s="2615"/>
      <c r="AF113" s="2615"/>
      <c r="AG113" s="2615"/>
      <c r="AH113" s="2615"/>
      <c r="AI113" s="2616"/>
      <c r="AK113" s="1166"/>
      <c r="BB113" s="1193"/>
    </row>
    <row r="114" spans="1:57" s="1177" customFormat="1" x14ac:dyDescent="0.25">
      <c r="A114" s="1197"/>
      <c r="B114" s="2118"/>
      <c r="C114" s="1194"/>
      <c r="D114" s="2130"/>
      <c r="E114" s="2130"/>
      <c r="F114" s="1195"/>
      <c r="G114" s="1195"/>
      <c r="H114" s="1195"/>
      <c r="I114" s="1195"/>
      <c r="J114" s="1195"/>
      <c r="K114" s="1195"/>
      <c r="L114" s="2131"/>
      <c r="M114" s="1197"/>
      <c r="N114" s="1197"/>
      <c r="O114" s="1197"/>
      <c r="P114" s="1197"/>
      <c r="Q114" s="1197"/>
      <c r="R114" s="1197"/>
      <c r="S114" s="1197"/>
      <c r="T114" s="1197"/>
      <c r="U114" s="1197"/>
      <c r="V114" s="328"/>
      <c r="W114" s="328"/>
      <c r="X114" s="328"/>
      <c r="Y114" s="833"/>
      <c r="Z114" s="328"/>
      <c r="AA114" s="328"/>
      <c r="AB114" s="328"/>
      <c r="AC114" s="328"/>
      <c r="AD114" s="328"/>
      <c r="AE114" s="328"/>
      <c r="AF114" s="328"/>
      <c r="AG114" s="328"/>
      <c r="AH114" s="328"/>
      <c r="AI114" s="328"/>
      <c r="AK114" s="1166"/>
      <c r="BB114" s="1193"/>
    </row>
    <row r="115" spans="1:57" s="1177" customFormat="1" ht="45" x14ac:dyDescent="0.25">
      <c r="A115" s="1197"/>
      <c r="B115" s="2118"/>
      <c r="C115" s="1641" t="s">
        <v>17</v>
      </c>
      <c r="D115" s="1641" t="s">
        <v>662</v>
      </c>
      <c r="E115" s="1641" t="s">
        <v>19</v>
      </c>
      <c r="F115" s="1641" t="s">
        <v>20</v>
      </c>
      <c r="G115" s="1641" t="s">
        <v>21</v>
      </c>
      <c r="H115" s="1641" t="s">
        <v>22</v>
      </c>
      <c r="I115" s="1641" t="s">
        <v>936</v>
      </c>
      <c r="J115" s="1641" t="s">
        <v>937</v>
      </c>
      <c r="K115" s="1641" t="s">
        <v>23</v>
      </c>
      <c r="L115" s="1646" t="s">
        <v>24</v>
      </c>
      <c r="M115" s="1641" t="s">
        <v>25</v>
      </c>
      <c r="N115" s="1641" t="s">
        <v>1679</v>
      </c>
      <c r="O115" s="1197"/>
      <c r="P115" s="1197"/>
      <c r="Q115" s="1197"/>
      <c r="R115" s="1197"/>
      <c r="S115" s="1197"/>
      <c r="T115" s="1197"/>
      <c r="U115" s="1197"/>
      <c r="V115" s="55" t="s">
        <v>27</v>
      </c>
      <c r="W115" s="56">
        <f>W$6</f>
        <v>43252</v>
      </c>
      <c r="X115" s="56">
        <f t="shared" ref="X115:AG115" si="27">X$6</f>
        <v>43465</v>
      </c>
      <c r="Y115" s="500">
        <f t="shared" si="27"/>
        <v>43800</v>
      </c>
      <c r="Z115" s="56">
        <f t="shared" si="27"/>
        <v>43862</v>
      </c>
      <c r="AA115" s="56" t="str">
        <f t="shared" si="27"/>
        <v>-</v>
      </c>
      <c r="AB115" s="56" t="str">
        <f t="shared" si="27"/>
        <v>-</v>
      </c>
      <c r="AC115" s="56" t="str">
        <f t="shared" si="27"/>
        <v>-</v>
      </c>
      <c r="AD115" s="56" t="str">
        <f t="shared" si="27"/>
        <v>-</v>
      </c>
      <c r="AE115" s="56" t="str">
        <f t="shared" si="27"/>
        <v>-</v>
      </c>
      <c r="AF115" s="56" t="str">
        <f t="shared" si="27"/>
        <v>-</v>
      </c>
      <c r="AG115" s="56" t="str">
        <f t="shared" si="27"/>
        <v>-</v>
      </c>
      <c r="AH115" s="328"/>
      <c r="AI115" s="328"/>
      <c r="AK115" s="1166"/>
      <c r="BB115" s="57" t="str">
        <f>$BB$6</f>
        <v>TRC (2020)</v>
      </c>
      <c r="BC115" s="103" t="str">
        <f>$BC$6</f>
        <v>Benefit Lookup</v>
      </c>
      <c r="BD115" s="883" t="str">
        <f>$BD$6</f>
        <v>Benefits (2019 $)</v>
      </c>
      <c r="BE115" s="334" t="str">
        <f>$BE$6</f>
        <v>Incremental Cost (2019 $)</v>
      </c>
    </row>
    <row r="116" spans="1:57" s="1177" customFormat="1" x14ac:dyDescent="0.25">
      <c r="A116" s="1197"/>
      <c r="B116" s="2118"/>
      <c r="C116" s="1543" t="s">
        <v>1680</v>
      </c>
      <c r="D116" s="1927" t="s">
        <v>1613</v>
      </c>
      <c r="E116" s="574" t="s">
        <v>1681</v>
      </c>
      <c r="F116" s="788">
        <f t="shared" ref="F116:F145" si="28">ROUND(I116+J116,2)</f>
        <v>1.06</v>
      </c>
      <c r="G116" s="1927" t="s">
        <v>1653</v>
      </c>
      <c r="H116" s="239">
        <f>VLOOKUP(G116,'CP FACTORS'!$A$3:$B$38, 2, FALSE)</f>
        <v>4.6608050000000002E-4</v>
      </c>
      <c r="I116" s="1276">
        <f>F155*(1/(F185+5)-1/(F215+5))*F245*(1-F$275)*F$276*24*F$277/(F278*3412)+(F308*F$338*29.3)</f>
        <v>0.95509376709652194</v>
      </c>
      <c r="J116" s="1928">
        <f t="shared" ref="J116:J145" si="29">F341*(1/(F185+5)-1/(F215+5))*F245*(1-F$275)*F$339*24*F$340/(F371*1000)</f>
        <v>0.10025449318181817</v>
      </c>
      <c r="K116" s="1178">
        <f>ROUND(H116*F116,6)</f>
        <v>4.9399999999999997E-4</v>
      </c>
      <c r="L116" s="1647">
        <f>$F$401</f>
        <v>25</v>
      </c>
      <c r="M116" s="1648">
        <f>F402</f>
        <v>2.1249043458397576</v>
      </c>
      <c r="N116" s="1276">
        <f>F245</f>
        <v>1</v>
      </c>
      <c r="O116" s="1197"/>
      <c r="P116" s="1197"/>
      <c r="Q116" s="1197"/>
      <c r="R116" s="1197"/>
      <c r="S116" s="1197"/>
      <c r="T116" s="1197"/>
      <c r="U116" s="1197"/>
      <c r="V116" s="245" t="str">
        <f>$F$51</f>
        <v>kWh Annual Savings</v>
      </c>
      <c r="W116" s="340">
        <v>924.01016928670083</v>
      </c>
      <c r="X116" s="579">
        <v>924.01016928670083</v>
      </c>
      <c r="Y116" s="1168">
        <v>1.06</v>
      </c>
      <c r="Z116" s="245"/>
      <c r="AA116" s="245"/>
      <c r="AB116" s="245"/>
      <c r="AC116" s="245"/>
      <c r="AD116" s="245"/>
      <c r="AE116" s="245"/>
      <c r="AF116" s="245"/>
      <c r="AG116" s="245"/>
      <c r="AH116" s="1160"/>
      <c r="AI116" s="1160"/>
      <c r="AK116" s="1166"/>
      <c r="BB116" s="68">
        <f t="shared" ref="BB116:BB145" si="30">(BD116)/(BE116)</f>
        <v>0.73564454661671608</v>
      </c>
      <c r="BC116" s="69" t="str">
        <f>CONCATENATE(G116," ",L116," Year EUL")</f>
        <v>Building Shell RES 25 Year EUL</v>
      </c>
      <c r="BD116" s="162">
        <f>(INDEX('Avoided Cost Benefits'!$C$4:$C$857,MATCH(BC116,'Avoided Cost Benefits'!$A$4:$A$857,0)))*F116</f>
        <v>1.4753886683333441</v>
      </c>
      <c r="BE116" s="70">
        <f>M116/(1.0595^(2020-2019))</f>
        <v>2.0055727662480014</v>
      </c>
    </row>
    <row r="117" spans="1:57" s="1177" customFormat="1" x14ac:dyDescent="0.25">
      <c r="A117" s="1197"/>
      <c r="B117" s="2118"/>
      <c r="C117" s="1543" t="s">
        <v>1682</v>
      </c>
      <c r="D117" s="1927" t="s">
        <v>1613</v>
      </c>
      <c r="E117" s="574" t="s">
        <v>1683</v>
      </c>
      <c r="F117" s="788">
        <f t="shared" si="28"/>
        <v>0.66</v>
      </c>
      <c r="G117" s="1927" t="s">
        <v>1653</v>
      </c>
      <c r="H117" s="239">
        <f>VLOOKUP(G117,'CP FACTORS'!$A$3:$B$38, 2, FALSE)</f>
        <v>4.6608050000000002E-4</v>
      </c>
      <c r="I117" s="1276">
        <f t="shared" ref="I117:I145" si="31">F156*(1/(F186+5)-1/(F216+5))*F246*(1-F$275)*F$276*24*F$277/(F279*3412)+(F309*F$338*29.3)</f>
        <v>0.54769410644257699</v>
      </c>
      <c r="J117" s="1928">
        <f t="shared" si="29"/>
        <v>0.11016977272727271</v>
      </c>
      <c r="K117" s="1178">
        <f t="shared" ref="K117:K145" si="32">ROUND(H117*F117,6)</f>
        <v>3.0800000000000001E-4</v>
      </c>
      <c r="L117" s="1647">
        <f t="shared" ref="L117:L145" si="33">$F$401</f>
        <v>25</v>
      </c>
      <c r="M117" s="1648">
        <f t="shared" ref="M117:M145" si="34">F403</f>
        <v>2.1249043458397576</v>
      </c>
      <c r="N117" s="1276">
        <f t="shared" ref="N117:N145" si="35">F246</f>
        <v>1</v>
      </c>
      <c r="O117" s="1197"/>
      <c r="P117" s="1197"/>
      <c r="Q117" s="1197"/>
      <c r="R117" s="1197"/>
      <c r="S117" s="1197"/>
      <c r="T117" s="1197"/>
      <c r="U117" s="1197"/>
      <c r="V117" s="245" t="str">
        <f t="shared" ref="V117:V145" si="36">$F$51</f>
        <v>kWh Annual Savings</v>
      </c>
      <c r="W117" s="340">
        <v>575.99271940716187</v>
      </c>
      <c r="X117" s="579">
        <v>575.99271940716187</v>
      </c>
      <c r="Y117" s="1168">
        <v>0.66</v>
      </c>
      <c r="Z117" s="245"/>
      <c r="AA117" s="245"/>
      <c r="AB117" s="245"/>
      <c r="AC117" s="245"/>
      <c r="AD117" s="245"/>
      <c r="AE117" s="245"/>
      <c r="AF117" s="245"/>
      <c r="AG117" s="245"/>
      <c r="AH117" s="1160"/>
      <c r="AI117" s="1160"/>
      <c r="AK117" s="1166"/>
      <c r="BB117" s="72">
        <f t="shared" si="30"/>
        <v>0.45804283091229497</v>
      </c>
      <c r="BC117" s="73" t="str">
        <f t="shared" ref="BC117:BC145" si="37">CONCATENATE(G117," ",L117," Year EUL")</f>
        <v>Building Shell RES 25 Year EUL</v>
      </c>
      <c r="BD117" s="165">
        <f>(INDEX('Avoided Cost Benefits'!$C$4:$C$857,MATCH(BC117,'Avoided Cost Benefits'!$A$4:$A$857,0)))*F117</f>
        <v>0.91863822745283696</v>
      </c>
      <c r="BE117" s="74">
        <f t="shared" ref="BE117:BE145" si="38">M117/(1.0595^(2020-2019))</f>
        <v>2.0055727662480014</v>
      </c>
    </row>
    <row r="118" spans="1:57" s="1177" customFormat="1" x14ac:dyDescent="0.25">
      <c r="A118" s="1197"/>
      <c r="B118" s="2118"/>
      <c r="C118" s="1543" t="s">
        <v>1684</v>
      </c>
      <c r="D118" s="1927" t="s">
        <v>1613</v>
      </c>
      <c r="E118" s="574" t="s">
        <v>1685</v>
      </c>
      <c r="F118" s="788">
        <f t="shared" si="28"/>
        <v>0.14000000000000001</v>
      </c>
      <c r="G118" s="1927" t="s">
        <v>1653</v>
      </c>
      <c r="H118" s="239">
        <f>VLOOKUP(G118,'CP FACTORS'!$A$3:$B$38, 2, FALSE)</f>
        <v>4.6608050000000002E-4</v>
      </c>
      <c r="I118" s="1276">
        <f t="shared" si="31"/>
        <v>4.2227362172751165E-2</v>
      </c>
      <c r="J118" s="1928">
        <f t="shared" si="29"/>
        <v>0.10025449318181817</v>
      </c>
      <c r="K118" s="1178">
        <f t="shared" si="32"/>
        <v>6.4999999999999994E-5</v>
      </c>
      <c r="L118" s="1647">
        <f t="shared" si="33"/>
        <v>25</v>
      </c>
      <c r="M118" s="1648">
        <f t="shared" si="34"/>
        <v>2.1249043458397576</v>
      </c>
      <c r="N118" s="1276">
        <f t="shared" si="35"/>
        <v>1</v>
      </c>
      <c r="O118" s="1197"/>
      <c r="P118" s="1197"/>
      <c r="Q118" s="1197"/>
      <c r="R118" s="1197"/>
      <c r="S118" s="1197"/>
      <c r="T118" s="1197"/>
      <c r="U118" s="1197"/>
      <c r="V118" s="245" t="str">
        <f t="shared" si="36"/>
        <v>kWh Annual Savings</v>
      </c>
      <c r="W118" s="340">
        <v>124.7499884556932</v>
      </c>
      <c r="X118" s="579">
        <v>124.7499884556932</v>
      </c>
      <c r="Y118" s="1168">
        <v>0.14000000000000001</v>
      </c>
      <c r="Z118" s="245"/>
      <c r="AA118" s="245"/>
      <c r="AB118" s="245"/>
      <c r="AC118" s="245"/>
      <c r="AD118" s="245"/>
      <c r="AE118" s="245"/>
      <c r="AF118" s="245"/>
      <c r="AG118" s="245"/>
      <c r="AK118" s="1166"/>
      <c r="BB118" s="72">
        <f t="shared" si="30"/>
        <v>9.7160600496547414E-2</v>
      </c>
      <c r="BC118" s="73" t="str">
        <f t="shared" si="37"/>
        <v>Building Shell RES 25 Year EUL</v>
      </c>
      <c r="BD118" s="165">
        <f>(INDEX('Avoided Cost Benefits'!$C$4:$C$857,MATCH(BC118,'Avoided Cost Benefits'!$A$4:$A$857,0)))*F118</f>
        <v>0.19486265430817754</v>
      </c>
      <c r="BE118" s="74">
        <f t="shared" si="38"/>
        <v>2.0055727662480014</v>
      </c>
    </row>
    <row r="119" spans="1:57" s="1177" customFormat="1" x14ac:dyDescent="0.25">
      <c r="A119" s="1197"/>
      <c r="B119" s="2118"/>
      <c r="C119" s="1543" t="s">
        <v>1686</v>
      </c>
      <c r="D119" s="1927" t="s">
        <v>1610</v>
      </c>
      <c r="E119" s="574" t="s">
        <v>1687</v>
      </c>
      <c r="F119" s="788">
        <f t="shared" si="28"/>
        <v>1.06</v>
      </c>
      <c r="G119" s="1927" t="s">
        <v>1653</v>
      </c>
      <c r="H119" s="239">
        <f>VLOOKUP(G119,'CP FACTORS'!$A$3:$B$38, 2, FALSE)</f>
        <v>4.6608050000000002E-4</v>
      </c>
      <c r="I119" s="1276">
        <f t="shared" si="31"/>
        <v>0.95509376709652194</v>
      </c>
      <c r="J119" s="1928">
        <f t="shared" si="29"/>
        <v>0.10025449318181817</v>
      </c>
      <c r="K119" s="1178">
        <f t="shared" si="32"/>
        <v>4.9399999999999997E-4</v>
      </c>
      <c r="L119" s="1647">
        <f t="shared" si="33"/>
        <v>25</v>
      </c>
      <c r="M119" s="1648">
        <f t="shared" si="34"/>
        <v>2.1249072011878249</v>
      </c>
      <c r="N119" s="1276">
        <f t="shared" si="35"/>
        <v>1</v>
      </c>
      <c r="O119" s="1197"/>
      <c r="P119" s="1197"/>
      <c r="Q119" s="1197"/>
      <c r="R119" s="1197"/>
      <c r="S119" s="1197"/>
      <c r="T119" s="1197"/>
      <c r="U119" s="1197"/>
      <c r="V119" s="245" t="str">
        <f t="shared" si="36"/>
        <v>kWh Annual Savings</v>
      </c>
      <c r="W119" s="340">
        <v>1421.5541065949242</v>
      </c>
      <c r="X119" s="579">
        <v>1421.5541065949242</v>
      </c>
      <c r="Y119" s="1168">
        <v>1.06</v>
      </c>
      <c r="Z119" s="245"/>
      <c r="AA119" s="245"/>
      <c r="AB119" s="245"/>
      <c r="AC119" s="245"/>
      <c r="AD119" s="245"/>
      <c r="AE119" s="245"/>
      <c r="AF119" s="245"/>
      <c r="AG119" s="245"/>
      <c r="AK119" s="1166"/>
      <c r="BB119" s="72">
        <f t="shared" si="30"/>
        <v>0.73564355809296633</v>
      </c>
      <c r="BC119" s="73" t="str">
        <f t="shared" si="37"/>
        <v>Building Shell RES 25 Year EUL</v>
      </c>
      <c r="BD119" s="165">
        <f>(INDEX('Avoided Cost Benefits'!$C$4:$C$857,MATCH(BC119,'Avoided Cost Benefits'!$A$4:$A$857,0)))*F119</f>
        <v>1.4753886683333441</v>
      </c>
      <c r="BE119" s="74">
        <f t="shared" si="38"/>
        <v>2.0055754612438177</v>
      </c>
    </row>
    <row r="120" spans="1:57" s="1177" customFormat="1" x14ac:dyDescent="0.25">
      <c r="A120" s="1197"/>
      <c r="B120" s="2118"/>
      <c r="C120" s="1543" t="s">
        <v>1688</v>
      </c>
      <c r="D120" s="1927" t="s">
        <v>1610</v>
      </c>
      <c r="E120" s="574" t="s">
        <v>1689</v>
      </c>
      <c r="F120" s="788">
        <f t="shared" si="28"/>
        <v>0.66</v>
      </c>
      <c r="G120" s="1927" t="s">
        <v>1653</v>
      </c>
      <c r="H120" s="239">
        <f>VLOOKUP(G120,'CP FACTORS'!$A$3:$B$38, 2, FALSE)</f>
        <v>4.6608050000000002E-4</v>
      </c>
      <c r="I120" s="1276">
        <f t="shared" si="31"/>
        <v>0.54769410644257699</v>
      </c>
      <c r="J120" s="1928">
        <f t="shared" si="29"/>
        <v>0.11016977272727271</v>
      </c>
      <c r="K120" s="1178">
        <f t="shared" si="32"/>
        <v>3.0800000000000001E-4</v>
      </c>
      <c r="L120" s="1647">
        <f t="shared" si="33"/>
        <v>25</v>
      </c>
      <c r="M120" s="1648">
        <f t="shared" si="34"/>
        <v>2.1249072011878249</v>
      </c>
      <c r="N120" s="1276">
        <f t="shared" si="35"/>
        <v>1</v>
      </c>
      <c r="O120" s="1197"/>
      <c r="P120" s="1197"/>
      <c r="Q120" s="1197"/>
      <c r="R120" s="1197"/>
      <c r="S120" s="1197"/>
      <c r="T120" s="1197"/>
      <c r="U120" s="1197"/>
      <c r="V120" s="245" t="str">
        <f t="shared" si="36"/>
        <v>kWh Annual Savings</v>
      </c>
      <c r="W120" s="340">
        <v>886.14264524178759</v>
      </c>
      <c r="X120" s="579">
        <v>886.14264524178759</v>
      </c>
      <c r="Y120" s="1168">
        <v>0.66</v>
      </c>
      <c r="Z120" s="245"/>
      <c r="AA120" s="245"/>
      <c r="AB120" s="245"/>
      <c r="AC120" s="245"/>
      <c r="AD120" s="245"/>
      <c r="AE120" s="245"/>
      <c r="AF120" s="245"/>
      <c r="AG120" s="245"/>
      <c r="AK120" s="1166"/>
      <c r="BB120" s="72">
        <f t="shared" si="30"/>
        <v>0.4580422154163753</v>
      </c>
      <c r="BC120" s="73" t="str">
        <f t="shared" si="37"/>
        <v>Building Shell RES 25 Year EUL</v>
      </c>
      <c r="BD120" s="165">
        <f>(INDEX('Avoided Cost Benefits'!$C$4:$C$857,MATCH(BC120,'Avoided Cost Benefits'!$A$4:$A$857,0)))*F120</f>
        <v>0.91863822745283696</v>
      </c>
      <c r="BE120" s="74">
        <f t="shared" si="38"/>
        <v>2.0055754612438177</v>
      </c>
    </row>
    <row r="121" spans="1:57" s="1177" customFormat="1" x14ac:dyDescent="0.25">
      <c r="A121" s="1197"/>
      <c r="B121" s="2118"/>
      <c r="C121" s="1543" t="s">
        <v>1690</v>
      </c>
      <c r="D121" s="1927" t="s">
        <v>1610</v>
      </c>
      <c r="E121" s="574" t="s">
        <v>1691</v>
      </c>
      <c r="F121" s="788">
        <f t="shared" si="28"/>
        <v>0.14000000000000001</v>
      </c>
      <c r="G121" s="1927" t="s">
        <v>1653</v>
      </c>
      <c r="H121" s="239">
        <f>VLOOKUP(G121,'CP FACTORS'!$A$3:$B$38, 2, FALSE)</f>
        <v>4.6608050000000002E-4</v>
      </c>
      <c r="I121" s="1276">
        <f t="shared" si="31"/>
        <v>4.2227362172751165E-2</v>
      </c>
      <c r="J121" s="1928">
        <f t="shared" si="29"/>
        <v>0.10025449318181817</v>
      </c>
      <c r="K121" s="1178">
        <f t="shared" si="32"/>
        <v>6.4999999999999994E-5</v>
      </c>
      <c r="L121" s="1647">
        <f t="shared" si="33"/>
        <v>25</v>
      </c>
      <c r="M121" s="1648">
        <f t="shared" si="34"/>
        <v>2.1249072011878249</v>
      </c>
      <c r="N121" s="1276">
        <f t="shared" si="35"/>
        <v>1</v>
      </c>
      <c r="O121" s="1197"/>
      <c r="P121" s="1197"/>
      <c r="Q121" s="1197"/>
      <c r="R121" s="1197"/>
      <c r="S121" s="1197"/>
      <c r="T121" s="1197"/>
      <c r="U121" s="1197"/>
      <c r="V121" s="245" t="str">
        <f t="shared" si="36"/>
        <v>kWh Annual Savings</v>
      </c>
      <c r="W121" s="340">
        <v>191.92305916260491</v>
      </c>
      <c r="X121" s="579">
        <v>191.92305916260491</v>
      </c>
      <c r="Y121" s="1168">
        <v>0.14000000000000001</v>
      </c>
      <c r="Z121" s="245"/>
      <c r="AA121" s="245"/>
      <c r="AB121" s="245"/>
      <c r="AC121" s="245"/>
      <c r="AD121" s="245"/>
      <c r="AE121" s="245"/>
      <c r="AF121" s="245"/>
      <c r="AG121" s="245"/>
      <c r="AK121" s="1166"/>
      <c r="BB121" s="72">
        <f t="shared" si="30"/>
        <v>9.7160469936806881E-2</v>
      </c>
      <c r="BC121" s="73" t="str">
        <f t="shared" si="37"/>
        <v>Building Shell RES 25 Year EUL</v>
      </c>
      <c r="BD121" s="165">
        <f>(INDEX('Avoided Cost Benefits'!$C$4:$C$857,MATCH(BC121,'Avoided Cost Benefits'!$A$4:$A$857,0)))*F121</f>
        <v>0.19486265430817754</v>
      </c>
      <c r="BE121" s="74">
        <f t="shared" si="38"/>
        <v>2.0055754612438177</v>
      </c>
    </row>
    <row r="122" spans="1:57" s="1177" customFormat="1" x14ac:dyDescent="0.25">
      <c r="A122" s="1197"/>
      <c r="B122" s="2118"/>
      <c r="C122" s="1543" t="s">
        <v>1692</v>
      </c>
      <c r="D122" s="1927" t="s">
        <v>1613</v>
      </c>
      <c r="E122" s="574" t="s">
        <v>1693</v>
      </c>
      <c r="F122" s="788">
        <f t="shared" si="28"/>
        <v>1.71</v>
      </c>
      <c r="G122" s="1927" t="s">
        <v>1653</v>
      </c>
      <c r="H122" s="239">
        <f>VLOOKUP(G122,'CP FACTORS'!$A$3:$B$38, 2, FALSE)</f>
        <v>4.6608050000000002E-4</v>
      </c>
      <c r="I122" s="1276">
        <f t="shared" si="31"/>
        <v>1.5511297270139006</v>
      </c>
      <c r="J122" s="1928">
        <f t="shared" si="29"/>
        <v>0.1628193272727273</v>
      </c>
      <c r="K122" s="1178">
        <f t="shared" si="32"/>
        <v>7.9699999999999997E-4</v>
      </c>
      <c r="L122" s="1647">
        <f t="shared" si="33"/>
        <v>25</v>
      </c>
      <c r="M122" s="1648">
        <f t="shared" si="34"/>
        <v>1.1631103074141049</v>
      </c>
      <c r="N122" s="1276">
        <f t="shared" si="35"/>
        <v>1</v>
      </c>
      <c r="O122" s="1197"/>
      <c r="P122" s="1197"/>
      <c r="Q122" s="1197"/>
      <c r="R122" s="1197"/>
      <c r="S122" s="1197"/>
      <c r="T122" s="1197"/>
      <c r="U122" s="1197"/>
      <c r="V122" s="245" t="str">
        <f t="shared" si="36"/>
        <v>kWh Annual Savings</v>
      </c>
      <c r="W122" s="340">
        <v>1232.157975126657</v>
      </c>
      <c r="X122" s="579">
        <v>1232.157975126657</v>
      </c>
      <c r="Y122" s="1168">
        <v>1.71</v>
      </c>
      <c r="Z122" s="245"/>
      <c r="AA122" s="245"/>
      <c r="AB122" s="245"/>
      <c r="AC122" s="245"/>
      <c r="AD122" s="245"/>
      <c r="AE122" s="245"/>
      <c r="AF122" s="245"/>
      <c r="AG122" s="245"/>
      <c r="AK122" s="1166"/>
      <c r="BB122" s="72">
        <f t="shared" si="30"/>
        <v>2.1680871992176587</v>
      </c>
      <c r="BC122" s="73" t="str">
        <f t="shared" si="37"/>
        <v>Building Shell RES 25 Year EUL</v>
      </c>
      <c r="BD122" s="165">
        <f>(INDEX('Avoided Cost Benefits'!$C$4:$C$857,MATCH(BC122,'Avoided Cost Benefits'!$A$4:$A$857,0)))*F122</f>
        <v>2.3801081347641682</v>
      </c>
      <c r="BE122" s="74">
        <f t="shared" si="38"/>
        <v>1.0977917011931144</v>
      </c>
    </row>
    <row r="123" spans="1:57" s="1177" customFormat="1" x14ac:dyDescent="0.25">
      <c r="A123" s="1197"/>
      <c r="B123" s="2118"/>
      <c r="C123" s="1543" t="s">
        <v>1694</v>
      </c>
      <c r="D123" s="1927" t="s">
        <v>1613</v>
      </c>
      <c r="E123" s="574" t="s">
        <v>1695</v>
      </c>
      <c r="F123" s="788">
        <f t="shared" si="28"/>
        <v>1.07</v>
      </c>
      <c r="G123" s="1927" t="s">
        <v>1653</v>
      </c>
      <c r="H123" s="239">
        <f>VLOOKUP(G123,'CP FACTORS'!$A$3:$B$38, 2, FALSE)</f>
        <v>4.6608050000000002E-4</v>
      </c>
      <c r="I123" s="1276">
        <f t="shared" si="31"/>
        <v>0.88948817286914772</v>
      </c>
      <c r="J123" s="1928">
        <f t="shared" si="29"/>
        <v>0.17892233766233767</v>
      </c>
      <c r="K123" s="1178">
        <f t="shared" si="32"/>
        <v>4.9899999999999999E-4</v>
      </c>
      <c r="L123" s="1647">
        <f t="shared" si="33"/>
        <v>25</v>
      </c>
      <c r="M123" s="1648">
        <f t="shared" si="34"/>
        <v>1.1631103074141049</v>
      </c>
      <c r="N123" s="1276">
        <f t="shared" si="35"/>
        <v>1</v>
      </c>
      <c r="O123" s="1197"/>
      <c r="P123" s="1197"/>
      <c r="Q123" s="1197"/>
      <c r="R123" s="1197"/>
      <c r="S123" s="1197"/>
      <c r="T123" s="1197"/>
      <c r="U123" s="1197"/>
      <c r="V123" s="245" t="str">
        <f t="shared" si="36"/>
        <v>kWh Annual Savings</v>
      </c>
      <c r="W123" s="340">
        <v>768.08031602108485</v>
      </c>
      <c r="X123" s="579">
        <v>768.08031602108485</v>
      </c>
      <c r="Y123" s="1168">
        <v>1.07</v>
      </c>
      <c r="Z123" s="245"/>
      <c r="AA123" s="245"/>
      <c r="AB123" s="245"/>
      <c r="AC123" s="245"/>
      <c r="AD123" s="245"/>
      <c r="AE123" s="245"/>
      <c r="AF123" s="245"/>
      <c r="AG123" s="245"/>
      <c r="AK123" s="1166"/>
      <c r="BB123" s="72">
        <f t="shared" si="30"/>
        <v>1.3566393585747922</v>
      </c>
      <c r="BC123" s="73" t="str">
        <f t="shared" si="37"/>
        <v>Building Shell RES 25 Year EUL</v>
      </c>
      <c r="BD123" s="165">
        <f>(INDEX('Avoided Cost Benefits'!$C$4:$C$857,MATCH(BC123,'Avoided Cost Benefits'!$A$4:$A$857,0)))*F123</f>
        <v>1.4893074293553568</v>
      </c>
      <c r="BE123" s="74">
        <f t="shared" si="38"/>
        <v>1.0977917011931144</v>
      </c>
    </row>
    <row r="124" spans="1:57" s="1177" customFormat="1" x14ac:dyDescent="0.25">
      <c r="A124" s="1197"/>
      <c r="B124" s="2118"/>
      <c r="C124" s="1543" t="s">
        <v>1696</v>
      </c>
      <c r="D124" s="1927" t="s">
        <v>1613</v>
      </c>
      <c r="E124" s="583" t="s">
        <v>1697</v>
      </c>
      <c r="F124" s="788">
        <f t="shared" si="28"/>
        <v>0.23</v>
      </c>
      <c r="G124" s="1927" t="s">
        <v>1653</v>
      </c>
      <c r="H124" s="239">
        <f>VLOOKUP(G124,'CP FACTORS'!$A$3:$B$38, 2, FALSE)</f>
        <v>4.6608050000000002E-4</v>
      </c>
      <c r="I124" s="1276">
        <f t="shared" si="31"/>
        <v>6.8579776160257552E-2</v>
      </c>
      <c r="J124" s="1928">
        <f t="shared" si="29"/>
        <v>0.1628193272727273</v>
      </c>
      <c r="K124" s="1178">
        <f t="shared" si="32"/>
        <v>1.07E-4</v>
      </c>
      <c r="L124" s="1647">
        <f t="shared" si="33"/>
        <v>25</v>
      </c>
      <c r="M124" s="1648">
        <f t="shared" si="34"/>
        <v>1.1631103074141049</v>
      </c>
      <c r="N124" s="1276">
        <f t="shared" si="35"/>
        <v>1</v>
      </c>
      <c r="O124" s="1197"/>
      <c r="P124" s="1197"/>
      <c r="Q124" s="1197"/>
      <c r="R124" s="1197"/>
      <c r="S124" s="1197"/>
      <c r="T124" s="1197"/>
      <c r="U124" s="1197"/>
      <c r="V124" s="245" t="str">
        <f t="shared" si="36"/>
        <v>kWh Annual Savings</v>
      </c>
      <c r="W124" s="340">
        <v>166.35281545797278</v>
      </c>
      <c r="X124" s="579">
        <v>166.35281545797278</v>
      </c>
      <c r="Y124" s="1168">
        <v>0.23</v>
      </c>
      <c r="Z124" s="245"/>
      <c r="AA124" s="245"/>
      <c r="AB124" s="245"/>
      <c r="AC124" s="245"/>
      <c r="AD124" s="245"/>
      <c r="AE124" s="245"/>
      <c r="AF124" s="245"/>
      <c r="AG124" s="245"/>
      <c r="AK124" s="1166"/>
      <c r="BB124" s="72">
        <f t="shared" si="30"/>
        <v>0.29161406773103016</v>
      </c>
      <c r="BC124" s="73" t="str">
        <f t="shared" si="37"/>
        <v>Building Shell RES 25 Year EUL</v>
      </c>
      <c r="BD124" s="165">
        <f>(INDEX('Avoided Cost Benefits'!$C$4:$C$857,MATCH(BC124,'Avoided Cost Benefits'!$A$4:$A$857,0)))*F124</f>
        <v>0.32013150350629166</v>
      </c>
      <c r="BE124" s="74">
        <f t="shared" si="38"/>
        <v>1.0977917011931144</v>
      </c>
    </row>
    <row r="125" spans="1:57" s="1177" customFormat="1" x14ac:dyDescent="0.25">
      <c r="A125" s="1197"/>
      <c r="B125" s="2118"/>
      <c r="C125" s="1543" t="s">
        <v>1698</v>
      </c>
      <c r="D125" s="1927" t="s">
        <v>1610</v>
      </c>
      <c r="E125" s="574" t="s">
        <v>1699</v>
      </c>
      <c r="F125" s="788">
        <f t="shared" si="28"/>
        <v>1.71</v>
      </c>
      <c r="G125" s="1927" t="s">
        <v>1653</v>
      </c>
      <c r="H125" s="239">
        <f>VLOOKUP(G125,'CP FACTORS'!$A$3:$B$38, 2, FALSE)</f>
        <v>4.6608050000000002E-4</v>
      </c>
      <c r="I125" s="1276">
        <f t="shared" si="31"/>
        <v>1.5511297270139006</v>
      </c>
      <c r="J125" s="1928">
        <f t="shared" si="29"/>
        <v>0.1628193272727273</v>
      </c>
      <c r="K125" s="1178">
        <f t="shared" si="32"/>
        <v>7.9699999999999997E-4</v>
      </c>
      <c r="L125" s="1647">
        <f t="shared" si="33"/>
        <v>25</v>
      </c>
      <c r="M125" s="1648">
        <f t="shared" si="34"/>
        <v>1.1631012658227848</v>
      </c>
      <c r="N125" s="1276">
        <f t="shared" si="35"/>
        <v>1</v>
      </c>
      <c r="O125" s="1197"/>
      <c r="P125" s="1197"/>
      <c r="Q125" s="1197"/>
      <c r="R125" s="1197"/>
      <c r="S125" s="1197"/>
      <c r="T125" s="1197"/>
      <c r="U125" s="1197"/>
      <c r="V125" s="245" t="str">
        <f t="shared" si="36"/>
        <v>kWh Annual Savings</v>
      </c>
      <c r="W125" s="340">
        <v>1895.6276540410106</v>
      </c>
      <c r="X125" s="579">
        <v>1895.6276540410106</v>
      </c>
      <c r="Y125" s="1168">
        <v>1.71</v>
      </c>
      <c r="Z125" s="245"/>
      <c r="AA125" s="245"/>
      <c r="AB125" s="245"/>
      <c r="AC125" s="245"/>
      <c r="AD125" s="245"/>
      <c r="AE125" s="245"/>
      <c r="AF125" s="245"/>
      <c r="AG125" s="245"/>
      <c r="AK125" s="1166"/>
      <c r="BB125" s="72">
        <f t="shared" si="30"/>
        <v>2.168104053260361</v>
      </c>
      <c r="BC125" s="73" t="str">
        <f t="shared" si="37"/>
        <v>Building Shell RES 25 Year EUL</v>
      </c>
      <c r="BD125" s="165">
        <f>(INDEX('Avoided Cost Benefits'!$C$4:$C$857,MATCH(BC125,'Avoided Cost Benefits'!$A$4:$A$857,0)))*F125</f>
        <v>2.3801081347641682</v>
      </c>
      <c r="BE125" s="74">
        <f t="shared" si="38"/>
        <v>1.0977831673645915</v>
      </c>
    </row>
    <row r="126" spans="1:57" s="1177" customFormat="1" x14ac:dyDescent="0.25">
      <c r="A126" s="1197"/>
      <c r="B126" s="2118"/>
      <c r="C126" s="1543" t="s">
        <v>1700</v>
      </c>
      <c r="D126" s="1927" t="s">
        <v>1610</v>
      </c>
      <c r="E126" s="574" t="s">
        <v>1701</v>
      </c>
      <c r="F126" s="788">
        <f t="shared" si="28"/>
        <v>1.07</v>
      </c>
      <c r="G126" s="1927" t="s">
        <v>1653</v>
      </c>
      <c r="H126" s="239">
        <f>VLOOKUP(G126,'CP FACTORS'!$A$3:$B$38, 2, FALSE)</f>
        <v>4.6608050000000002E-4</v>
      </c>
      <c r="I126" s="1276">
        <f t="shared" si="31"/>
        <v>0.88948817286914772</v>
      </c>
      <c r="J126" s="1928">
        <f t="shared" si="29"/>
        <v>0.17892233766233767</v>
      </c>
      <c r="K126" s="1178">
        <f t="shared" si="32"/>
        <v>4.9899999999999999E-4</v>
      </c>
      <c r="L126" s="1647">
        <f t="shared" si="33"/>
        <v>25</v>
      </c>
      <c r="M126" s="1648">
        <f t="shared" si="34"/>
        <v>1.1631012658227848</v>
      </c>
      <c r="N126" s="1276">
        <f t="shared" si="35"/>
        <v>1</v>
      </c>
      <c r="O126" s="1197"/>
      <c r="P126" s="1197"/>
      <c r="Q126" s="1197"/>
      <c r="R126" s="1197"/>
      <c r="S126" s="1197"/>
      <c r="T126" s="1197"/>
      <c r="U126" s="1197"/>
      <c r="V126" s="245" t="str">
        <f t="shared" si="36"/>
        <v>kWh Annual Savings</v>
      </c>
      <c r="W126" s="340">
        <v>1181.6620246478228</v>
      </c>
      <c r="X126" s="579">
        <v>1181.6620246478228</v>
      </c>
      <c r="Y126" s="1168">
        <v>1.07</v>
      </c>
      <c r="Z126" s="245"/>
      <c r="AA126" s="245"/>
      <c r="AB126" s="245"/>
      <c r="AC126" s="245"/>
      <c r="AD126" s="245"/>
      <c r="AE126" s="245"/>
      <c r="AF126" s="245"/>
      <c r="AG126" s="245"/>
      <c r="AK126" s="1166"/>
      <c r="BB126" s="72">
        <f t="shared" si="30"/>
        <v>1.356649904671688</v>
      </c>
      <c r="BC126" s="73" t="str">
        <f t="shared" si="37"/>
        <v>Building Shell RES 25 Year EUL</v>
      </c>
      <c r="BD126" s="165">
        <f>(INDEX('Avoided Cost Benefits'!$C$4:$C$857,MATCH(BC126,'Avoided Cost Benefits'!$A$4:$A$857,0)))*F126</f>
        <v>1.4893074293553568</v>
      </c>
      <c r="BE126" s="74">
        <f t="shared" si="38"/>
        <v>1.0977831673645915</v>
      </c>
    </row>
    <row r="127" spans="1:57" s="1177" customFormat="1" x14ac:dyDescent="0.25">
      <c r="A127" s="1197"/>
      <c r="B127" s="2118"/>
      <c r="C127" s="1543" t="s">
        <v>1702</v>
      </c>
      <c r="D127" s="1927" t="s">
        <v>1610</v>
      </c>
      <c r="E127" s="2132" t="s">
        <v>1703</v>
      </c>
      <c r="F127" s="788">
        <f t="shared" si="28"/>
        <v>0.23</v>
      </c>
      <c r="G127" s="1927" t="s">
        <v>1653</v>
      </c>
      <c r="H127" s="239">
        <f>VLOOKUP(G127,'CP FACTORS'!$A$3:$B$38, 2, FALSE)</f>
        <v>4.6608050000000002E-4</v>
      </c>
      <c r="I127" s="1276">
        <f t="shared" si="31"/>
        <v>6.8579776160257552E-2</v>
      </c>
      <c r="J127" s="1928">
        <f t="shared" si="29"/>
        <v>0.1628193272727273</v>
      </c>
      <c r="K127" s="1178">
        <f t="shared" si="32"/>
        <v>1.07E-4</v>
      </c>
      <c r="L127" s="1647">
        <f t="shared" si="33"/>
        <v>25</v>
      </c>
      <c r="M127" s="1648">
        <f t="shared" si="34"/>
        <v>1.1631012658227848</v>
      </c>
      <c r="N127" s="1276">
        <f t="shared" si="35"/>
        <v>1</v>
      </c>
      <c r="O127" s="1197"/>
      <c r="P127" s="1197"/>
      <c r="Q127" s="1197"/>
      <c r="R127" s="1197"/>
      <c r="S127" s="1197"/>
      <c r="T127" s="1197"/>
      <c r="U127" s="1197"/>
      <c r="V127" s="245" t="str">
        <f t="shared" si="36"/>
        <v>kWh Annual Savings</v>
      </c>
      <c r="W127" s="340">
        <v>255.92740839688122</v>
      </c>
      <c r="X127" s="579">
        <v>255.92740839688122</v>
      </c>
      <c r="Y127" s="1168">
        <v>0.23</v>
      </c>
      <c r="Z127" s="245"/>
      <c r="AA127" s="245"/>
      <c r="AB127" s="245"/>
      <c r="AC127" s="245"/>
      <c r="AD127" s="245"/>
      <c r="AE127" s="245"/>
      <c r="AF127" s="245"/>
      <c r="AG127" s="245"/>
      <c r="AK127" s="1166"/>
      <c r="BB127" s="72">
        <f t="shared" si="30"/>
        <v>0.29161633464905445</v>
      </c>
      <c r="BC127" s="73" t="str">
        <f t="shared" si="37"/>
        <v>Building Shell RES 25 Year EUL</v>
      </c>
      <c r="BD127" s="165">
        <f>(INDEX('Avoided Cost Benefits'!$C$4:$C$857,MATCH(BC127,'Avoided Cost Benefits'!$A$4:$A$857,0)))*F127</f>
        <v>0.32013150350629166</v>
      </c>
      <c r="BE127" s="74">
        <f t="shared" si="38"/>
        <v>1.0977831673645915</v>
      </c>
    </row>
    <row r="128" spans="1:57" s="1177" customFormat="1" x14ac:dyDescent="0.25">
      <c r="A128" s="1197"/>
      <c r="B128" s="2118"/>
      <c r="C128" s="1543" t="s">
        <v>1704</v>
      </c>
      <c r="D128" s="1927" t="s">
        <v>1613</v>
      </c>
      <c r="E128" s="574" t="s">
        <v>1705</v>
      </c>
      <c r="F128" s="788">
        <f t="shared" si="28"/>
        <v>1.84</v>
      </c>
      <c r="G128" s="1927" t="s">
        <v>1653</v>
      </c>
      <c r="H128" s="239">
        <f>VLOOKUP(G128,'CP FACTORS'!$A$3:$B$38, 2, FALSE)</f>
        <v>4.6608050000000002E-4</v>
      </c>
      <c r="I128" s="1276">
        <f t="shared" si="31"/>
        <v>1.6665626369312141</v>
      </c>
      <c r="J128" s="1928">
        <f t="shared" si="29"/>
        <v>0.17493611441860468</v>
      </c>
      <c r="K128" s="1178">
        <f t="shared" si="32"/>
        <v>8.5800000000000004E-4</v>
      </c>
      <c r="L128" s="1647">
        <f t="shared" si="33"/>
        <v>25</v>
      </c>
      <c r="M128" s="1648">
        <f t="shared" si="34"/>
        <v>1.6810404785088331</v>
      </c>
      <c r="N128" s="1276">
        <f t="shared" si="35"/>
        <v>1</v>
      </c>
      <c r="O128" s="1197"/>
      <c r="P128" s="1197"/>
      <c r="Q128" s="1197"/>
      <c r="R128" s="1197"/>
      <c r="S128" s="1197"/>
      <c r="T128" s="1197"/>
      <c r="U128" s="1197"/>
      <c r="V128" s="245" t="str">
        <f t="shared" si="36"/>
        <v>kWh Annual Savings</v>
      </c>
      <c r="W128" s="340">
        <v>1323.8534523453845</v>
      </c>
      <c r="X128" s="579">
        <v>1323.8534523453845</v>
      </c>
      <c r="Y128" s="1168">
        <v>1.84</v>
      </c>
      <c r="Z128" s="245"/>
      <c r="AA128" s="245"/>
      <c r="AB128" s="245"/>
      <c r="AC128" s="245"/>
      <c r="AD128" s="245"/>
      <c r="AE128" s="245"/>
      <c r="AF128" s="245"/>
      <c r="AG128" s="245"/>
      <c r="AK128" s="1166"/>
      <c r="BB128" s="72">
        <f t="shared" si="30"/>
        <v>1.6141399677218247</v>
      </c>
      <c r="BC128" s="73" t="str">
        <f t="shared" si="37"/>
        <v>Building Shell RES 25 Year EUL</v>
      </c>
      <c r="BD128" s="165">
        <f>(INDEX('Avoided Cost Benefits'!$C$4:$C$857,MATCH(BC128,'Avoided Cost Benefits'!$A$4:$A$857,0)))*F128</f>
        <v>2.5610520280503333</v>
      </c>
      <c r="BE128" s="74">
        <f t="shared" si="38"/>
        <v>1.5866356569219753</v>
      </c>
    </row>
    <row r="129" spans="1:57" s="1177" customFormat="1" x14ac:dyDescent="0.25">
      <c r="A129" s="1197"/>
      <c r="B129" s="2118"/>
      <c r="C129" s="1543" t="s">
        <v>1706</v>
      </c>
      <c r="D129" s="1927" t="s">
        <v>1613</v>
      </c>
      <c r="E129" s="574" t="s">
        <v>1707</v>
      </c>
      <c r="F129" s="788">
        <f t="shared" si="28"/>
        <v>1.1499999999999999</v>
      </c>
      <c r="G129" s="1927" t="s">
        <v>1653</v>
      </c>
      <c r="H129" s="239">
        <f>VLOOKUP(G129,'CP FACTORS'!$A$3:$B$38, 2, FALSE)</f>
        <v>4.6608050000000002E-4</v>
      </c>
      <c r="I129" s="1276">
        <f t="shared" si="31"/>
        <v>0.95568264154778193</v>
      </c>
      <c r="J129" s="1928">
        <f t="shared" si="29"/>
        <v>0.19223748837209306</v>
      </c>
      <c r="K129" s="1178">
        <f t="shared" si="32"/>
        <v>5.3600000000000002E-4</v>
      </c>
      <c r="L129" s="1647">
        <f t="shared" si="33"/>
        <v>25</v>
      </c>
      <c r="M129" s="1648">
        <f t="shared" si="34"/>
        <v>1.6810404785088331</v>
      </c>
      <c r="N129" s="1276">
        <f t="shared" si="35"/>
        <v>1</v>
      </c>
      <c r="O129" s="1197"/>
      <c r="P129" s="1197"/>
      <c r="Q129" s="1197"/>
      <c r="R129" s="1197"/>
      <c r="S129" s="1197"/>
      <c r="T129" s="1197"/>
      <c r="U129" s="1197"/>
      <c r="V129" s="245" t="str">
        <f t="shared" si="36"/>
        <v>kWh Annual Savings</v>
      </c>
      <c r="W129" s="340">
        <v>825.239781399398</v>
      </c>
      <c r="X129" s="579">
        <v>825.239781399398</v>
      </c>
      <c r="Y129" s="1168">
        <v>1.1499999999999999</v>
      </c>
      <c r="Z129" s="245"/>
      <c r="AA129" s="245"/>
      <c r="AB129" s="245"/>
      <c r="AC129" s="245"/>
      <c r="AD129" s="245"/>
      <c r="AE129" s="245"/>
      <c r="AF129" s="245"/>
      <c r="AG129" s="245"/>
      <c r="AK129" s="1166"/>
      <c r="BB129" s="72">
        <f t="shared" si="30"/>
        <v>1.0088374798261404</v>
      </c>
      <c r="BC129" s="73" t="str">
        <f t="shared" si="37"/>
        <v>Building Shell RES 25 Year EUL</v>
      </c>
      <c r="BD129" s="165">
        <f>(INDEX('Avoided Cost Benefits'!$C$4:$C$857,MATCH(BC129,'Avoided Cost Benefits'!$A$4:$A$857,0)))*F129</f>
        <v>1.6006575175314581</v>
      </c>
      <c r="BE129" s="74">
        <f t="shared" si="38"/>
        <v>1.5866356569219753</v>
      </c>
    </row>
    <row r="130" spans="1:57" s="1177" customFormat="1" x14ac:dyDescent="0.25">
      <c r="A130" s="1197"/>
      <c r="B130" s="2118"/>
      <c r="C130" s="1543" t="s">
        <v>1708</v>
      </c>
      <c r="D130" s="2133" t="s">
        <v>1613</v>
      </c>
      <c r="E130" s="583" t="s">
        <v>1709</v>
      </c>
      <c r="F130" s="788">
        <f t="shared" si="28"/>
        <v>0.25</v>
      </c>
      <c r="G130" s="2133" t="s">
        <v>1653</v>
      </c>
      <c r="H130" s="239">
        <f>VLOOKUP(G130,'CP FACTORS'!$A$3:$B$38, 2, FALSE)</f>
        <v>4.6608050000000002E-4</v>
      </c>
      <c r="I130" s="1276">
        <f t="shared" si="31"/>
        <v>7.3683387409392995E-2</v>
      </c>
      <c r="J130" s="1928">
        <f t="shared" si="29"/>
        <v>0.17493611441860468</v>
      </c>
      <c r="K130" s="1178">
        <f t="shared" si="32"/>
        <v>1.17E-4</v>
      </c>
      <c r="L130" s="1647">
        <f t="shared" si="33"/>
        <v>25</v>
      </c>
      <c r="M130" s="1648">
        <f t="shared" si="34"/>
        <v>1.6810404785088331</v>
      </c>
      <c r="N130" s="1276">
        <f t="shared" si="35"/>
        <v>1</v>
      </c>
      <c r="O130" s="1197"/>
      <c r="P130" s="1197"/>
      <c r="Q130" s="1197"/>
      <c r="R130" s="1197"/>
      <c r="S130" s="1197"/>
      <c r="T130" s="1197"/>
      <c r="U130" s="1197"/>
      <c r="V130" s="245" t="str">
        <f t="shared" si="36"/>
        <v>kWh Annual Savings</v>
      </c>
      <c r="W130" s="340">
        <v>178.7325598641475</v>
      </c>
      <c r="X130" s="579">
        <v>178.7325598641475</v>
      </c>
      <c r="Y130" s="1168">
        <v>0.25</v>
      </c>
      <c r="Z130" s="245"/>
      <c r="AA130" s="245"/>
      <c r="AB130" s="245"/>
      <c r="AC130" s="245"/>
      <c r="AD130" s="245"/>
      <c r="AE130" s="245"/>
      <c r="AF130" s="245"/>
      <c r="AG130" s="245"/>
      <c r="AK130" s="1166"/>
      <c r="BB130" s="72">
        <f t="shared" si="30"/>
        <v>0.21931249561437835</v>
      </c>
      <c r="BC130" s="73" t="str">
        <f t="shared" si="37"/>
        <v>Building Shell RES 25 Year EUL</v>
      </c>
      <c r="BD130" s="165">
        <f>(INDEX('Avoided Cost Benefits'!$C$4:$C$857,MATCH(BC130,'Avoided Cost Benefits'!$A$4:$A$857,0)))*F130</f>
        <v>0.347969025550317</v>
      </c>
      <c r="BE130" s="74">
        <f t="shared" si="38"/>
        <v>1.5866356569219753</v>
      </c>
    </row>
    <row r="131" spans="1:57" s="1177" customFormat="1" x14ac:dyDescent="0.25">
      <c r="A131" s="1197"/>
      <c r="B131" s="2118"/>
      <c r="C131" s="1543" t="s">
        <v>1710</v>
      </c>
      <c r="D131" s="1927" t="s">
        <v>1610</v>
      </c>
      <c r="E131" s="574" t="s">
        <v>1711</v>
      </c>
      <c r="F131" s="788">
        <f t="shared" si="28"/>
        <v>1.84</v>
      </c>
      <c r="G131" s="1927" t="s">
        <v>1653</v>
      </c>
      <c r="H131" s="239">
        <f>VLOOKUP(G131,'CP FACTORS'!$A$3:$B$38, 2, FALSE)</f>
        <v>4.6608050000000002E-4</v>
      </c>
      <c r="I131" s="1276">
        <f t="shared" si="31"/>
        <v>1.6665626369312141</v>
      </c>
      <c r="J131" s="1928">
        <f t="shared" si="29"/>
        <v>0.17493611441860468</v>
      </c>
      <c r="K131" s="1178">
        <f t="shared" si="32"/>
        <v>8.5800000000000004E-4</v>
      </c>
      <c r="L131" s="1647">
        <f t="shared" si="33"/>
        <v>25</v>
      </c>
      <c r="M131" s="1648">
        <f t="shared" si="34"/>
        <v>1.6810397830018082</v>
      </c>
      <c r="N131" s="1276">
        <f t="shared" si="35"/>
        <v>1</v>
      </c>
      <c r="O131" s="1197"/>
      <c r="P131" s="1197"/>
      <c r="Q131" s="1197"/>
      <c r="R131" s="1197"/>
      <c r="S131" s="1197"/>
      <c r="T131" s="1197"/>
      <c r="U131" s="1197"/>
      <c r="V131" s="245" t="str">
        <f t="shared" si="36"/>
        <v>kWh Annual Savings</v>
      </c>
      <c r="W131" s="340">
        <v>2036.6976189928996</v>
      </c>
      <c r="X131" s="579">
        <v>2036.6976189928996</v>
      </c>
      <c r="Y131" s="1168">
        <v>1.84</v>
      </c>
      <c r="Z131" s="245"/>
      <c r="AA131" s="245"/>
      <c r="AB131" s="245"/>
      <c r="AC131" s="245"/>
      <c r="AD131" s="245"/>
      <c r="AE131" s="245"/>
      <c r="AF131" s="245"/>
      <c r="AG131" s="245"/>
      <c r="AK131" s="1166"/>
      <c r="BB131" s="72">
        <f t="shared" si="30"/>
        <v>1.6141406355499737</v>
      </c>
      <c r="BC131" s="73" t="str">
        <f t="shared" si="37"/>
        <v>Building Shell RES 25 Year EUL</v>
      </c>
      <c r="BD131" s="165">
        <f>(INDEX('Avoided Cost Benefits'!$C$4:$C$857,MATCH(BC131,'Avoided Cost Benefits'!$A$4:$A$857,0)))*F131</f>
        <v>2.5610520280503333</v>
      </c>
      <c r="BE131" s="74">
        <f t="shared" si="38"/>
        <v>1.5866350004736272</v>
      </c>
    </row>
    <row r="132" spans="1:57" s="1177" customFormat="1" x14ac:dyDescent="0.25">
      <c r="A132" s="1197"/>
      <c r="B132" s="2118"/>
      <c r="C132" s="1543" t="s">
        <v>1712</v>
      </c>
      <c r="D132" s="2133" t="s">
        <v>1610</v>
      </c>
      <c r="E132" s="583" t="s">
        <v>1713</v>
      </c>
      <c r="F132" s="788">
        <f t="shared" si="28"/>
        <v>1.1499999999999999</v>
      </c>
      <c r="G132" s="2133" t="s">
        <v>1653</v>
      </c>
      <c r="H132" s="239">
        <f>VLOOKUP(G132,'CP FACTORS'!$A$3:$B$38, 2, FALSE)</f>
        <v>4.6608050000000002E-4</v>
      </c>
      <c r="I132" s="2134">
        <f t="shared" si="31"/>
        <v>0.95568264154778193</v>
      </c>
      <c r="J132" s="2135">
        <f t="shared" si="29"/>
        <v>0.19223748837209306</v>
      </c>
      <c r="K132" s="1178">
        <f t="shared" si="32"/>
        <v>5.3600000000000002E-4</v>
      </c>
      <c r="L132" s="1647">
        <f t="shared" si="33"/>
        <v>25</v>
      </c>
      <c r="M132" s="1648">
        <f t="shared" si="34"/>
        <v>1.6810397830018082</v>
      </c>
      <c r="N132" s="1276">
        <f t="shared" si="35"/>
        <v>1</v>
      </c>
      <c r="O132" s="1197"/>
      <c r="P132" s="1197"/>
      <c r="Q132" s="1197"/>
      <c r="R132" s="1197"/>
      <c r="S132" s="1197"/>
      <c r="T132" s="1197"/>
      <c r="U132" s="1197"/>
      <c r="V132" s="245" t="str">
        <f t="shared" si="36"/>
        <v>kWh Annual Savings</v>
      </c>
      <c r="W132" s="340">
        <v>1269.5996636913817</v>
      </c>
      <c r="X132" s="579">
        <v>1269.5996636913817</v>
      </c>
      <c r="Y132" s="1168">
        <v>1.1499999999999999</v>
      </c>
      <c r="Z132" s="245"/>
      <c r="AA132" s="245"/>
      <c r="AB132" s="245"/>
      <c r="AC132" s="245"/>
      <c r="AD132" s="245"/>
      <c r="AE132" s="245"/>
      <c r="AF132" s="245"/>
      <c r="AG132" s="245"/>
      <c r="AK132" s="1166"/>
      <c r="BB132" s="72">
        <f t="shared" si="30"/>
        <v>1.0088378972187335</v>
      </c>
      <c r="BC132" s="73" t="str">
        <f t="shared" si="37"/>
        <v>Building Shell RES 25 Year EUL</v>
      </c>
      <c r="BD132" s="165">
        <f>(INDEX('Avoided Cost Benefits'!$C$4:$C$857,MATCH(BC132,'Avoided Cost Benefits'!$A$4:$A$857,0)))*F132</f>
        <v>1.6006575175314581</v>
      </c>
      <c r="BE132" s="74">
        <f t="shared" si="38"/>
        <v>1.5866350004736272</v>
      </c>
    </row>
    <row r="133" spans="1:57" s="1177" customFormat="1" x14ac:dyDescent="0.25">
      <c r="A133" s="1197"/>
      <c r="B133" s="2118"/>
      <c r="C133" s="1543" t="s">
        <v>1714</v>
      </c>
      <c r="D133" s="1927" t="s">
        <v>1610</v>
      </c>
      <c r="E133" s="574" t="s">
        <v>1715</v>
      </c>
      <c r="F133" s="788">
        <f t="shared" si="28"/>
        <v>0.25</v>
      </c>
      <c r="G133" s="1927" t="s">
        <v>1653</v>
      </c>
      <c r="H133" s="239">
        <f>VLOOKUP(G133,'CP FACTORS'!$A$3:$B$38, 2, FALSE)</f>
        <v>4.6608050000000002E-4</v>
      </c>
      <c r="I133" s="1276">
        <f t="shared" si="31"/>
        <v>7.3683387409392995E-2</v>
      </c>
      <c r="J133" s="1928">
        <f t="shared" si="29"/>
        <v>0.17493611441860468</v>
      </c>
      <c r="K133" s="1178">
        <f t="shared" si="32"/>
        <v>1.17E-4</v>
      </c>
      <c r="L133" s="1647">
        <f t="shared" si="33"/>
        <v>25</v>
      </c>
      <c r="M133" s="1648">
        <f t="shared" si="34"/>
        <v>1.6810397830018082</v>
      </c>
      <c r="N133" s="1276">
        <f t="shared" si="35"/>
        <v>1</v>
      </c>
      <c r="O133" s="1197"/>
      <c r="P133" s="1197"/>
      <c r="Q133" s="1197"/>
      <c r="R133" s="1197"/>
      <c r="S133" s="1197"/>
      <c r="T133" s="1197"/>
      <c r="U133" s="1197"/>
      <c r="V133" s="245" t="str">
        <f t="shared" si="36"/>
        <v>kWh Annual Savings</v>
      </c>
      <c r="W133" s="340">
        <v>274.97316902176544</v>
      </c>
      <c r="X133" s="579">
        <v>274.97316902176544</v>
      </c>
      <c r="Y133" s="1168">
        <v>0.25</v>
      </c>
      <c r="Z133" s="245"/>
      <c r="AA133" s="245"/>
      <c r="AB133" s="245"/>
      <c r="AC133" s="245"/>
      <c r="AD133" s="245"/>
      <c r="AE133" s="245"/>
      <c r="AF133" s="245"/>
      <c r="AG133" s="245"/>
      <c r="AK133" s="1166"/>
      <c r="BB133" s="72">
        <f t="shared" si="30"/>
        <v>0.21931258635189857</v>
      </c>
      <c r="BC133" s="73" t="str">
        <f t="shared" si="37"/>
        <v>Building Shell RES 25 Year EUL</v>
      </c>
      <c r="BD133" s="165">
        <f>(INDEX('Avoided Cost Benefits'!$C$4:$C$857,MATCH(BC133,'Avoided Cost Benefits'!$A$4:$A$857,0)))*F133</f>
        <v>0.347969025550317</v>
      </c>
      <c r="BE133" s="74">
        <f t="shared" si="38"/>
        <v>1.5866350004736272</v>
      </c>
    </row>
    <row r="134" spans="1:57" s="1177" customFormat="1" x14ac:dyDescent="0.25">
      <c r="A134" s="1197"/>
      <c r="B134" s="2118"/>
      <c r="C134" s="1543" t="s">
        <v>1716</v>
      </c>
      <c r="D134" s="1927" t="s">
        <v>1613</v>
      </c>
      <c r="E134" s="574" t="s">
        <v>1717</v>
      </c>
      <c r="F134" s="788">
        <f t="shared" si="28"/>
        <v>1.96</v>
      </c>
      <c r="G134" s="1927" t="s">
        <v>1653</v>
      </c>
      <c r="H134" s="239">
        <f>VLOOKUP(G134,'CP FACTORS'!$A$3:$B$38, 2, FALSE)</f>
        <v>4.6608050000000002E-4</v>
      </c>
      <c r="I134" s="1276">
        <f t="shared" si="31"/>
        <v>1.76943687377882</v>
      </c>
      <c r="J134" s="1928">
        <f t="shared" si="29"/>
        <v>0.18573464000000001</v>
      </c>
      <c r="K134" s="1178">
        <f t="shared" si="32"/>
        <v>9.1399999999999999E-4</v>
      </c>
      <c r="L134" s="1647">
        <f t="shared" si="33"/>
        <v>25</v>
      </c>
      <c r="M134" s="1648">
        <f t="shared" si="34"/>
        <v>2.568757824454027</v>
      </c>
      <c r="N134" s="1276">
        <f t="shared" si="35"/>
        <v>1</v>
      </c>
      <c r="O134" s="1197"/>
      <c r="P134" s="1197"/>
      <c r="Q134" s="1197"/>
      <c r="R134" s="1197"/>
      <c r="S134" s="1197"/>
      <c r="T134" s="1197"/>
      <c r="U134" s="1197"/>
      <c r="V134" s="245" t="str">
        <f t="shared" si="36"/>
        <v>kWh Annual Savings</v>
      </c>
      <c r="W134" s="340">
        <v>1405.5728012555933</v>
      </c>
      <c r="X134" s="579">
        <v>1405.5728012555933</v>
      </c>
      <c r="Y134" s="1168">
        <v>1.96</v>
      </c>
      <c r="Z134" s="245"/>
      <c r="AA134" s="245"/>
      <c r="AB134" s="245"/>
      <c r="AC134" s="245"/>
      <c r="AD134" s="245"/>
      <c r="AE134" s="245"/>
      <c r="AF134" s="245"/>
      <c r="AG134" s="245"/>
      <c r="AK134" s="1166"/>
      <c r="BB134" s="72">
        <f t="shared" si="30"/>
        <v>1.1252122422118687</v>
      </c>
      <c r="BC134" s="73" t="str">
        <f t="shared" si="37"/>
        <v>Building Shell RES 25 Year EUL</v>
      </c>
      <c r="BD134" s="165">
        <f>(INDEX('Avoided Cost Benefits'!$C$4:$C$857,MATCH(BC134,'Avoided Cost Benefits'!$A$4:$A$857,0)))*F134</f>
        <v>2.7280771603144851</v>
      </c>
      <c r="BE134" s="74">
        <f t="shared" si="38"/>
        <v>2.4245000702727952</v>
      </c>
    </row>
    <row r="135" spans="1:57" s="1177" customFormat="1" x14ac:dyDescent="0.25">
      <c r="A135" s="1197"/>
      <c r="B135" s="2118"/>
      <c r="C135" s="1543" t="s">
        <v>1718</v>
      </c>
      <c r="D135" s="1927" t="s">
        <v>1613</v>
      </c>
      <c r="E135" s="574" t="s">
        <v>1719</v>
      </c>
      <c r="F135" s="788">
        <f t="shared" si="28"/>
        <v>1.22</v>
      </c>
      <c r="G135" s="1927" t="s">
        <v>1653</v>
      </c>
      <c r="H135" s="239">
        <f>VLOOKUP(G135,'CP FACTORS'!$A$3:$B$38, 2, FALSE)</f>
        <v>4.6608050000000002E-4</v>
      </c>
      <c r="I135" s="1276">
        <f t="shared" si="31"/>
        <v>1.0146753971988796</v>
      </c>
      <c r="J135" s="1928">
        <f t="shared" si="29"/>
        <v>0.20410400000000001</v>
      </c>
      <c r="K135" s="1178">
        <f t="shared" si="32"/>
        <v>5.6899999999999995E-4</v>
      </c>
      <c r="L135" s="1647">
        <f t="shared" si="33"/>
        <v>25</v>
      </c>
      <c r="M135" s="1648">
        <f t="shared" si="34"/>
        <v>2.568757824454027</v>
      </c>
      <c r="N135" s="1276">
        <f t="shared" si="35"/>
        <v>1</v>
      </c>
      <c r="O135" s="1197"/>
      <c r="P135" s="1197"/>
      <c r="Q135" s="1197"/>
      <c r="R135" s="1197"/>
      <c r="S135" s="1197"/>
      <c r="T135" s="1197"/>
      <c r="U135" s="1197"/>
      <c r="V135" s="245" t="str">
        <f t="shared" si="36"/>
        <v>kWh Annual Savings</v>
      </c>
      <c r="W135" s="340">
        <v>876.18050864627435</v>
      </c>
      <c r="X135" s="579">
        <v>876.18050864627435</v>
      </c>
      <c r="Y135" s="1168">
        <v>1.22</v>
      </c>
      <c r="Z135" s="245"/>
      <c r="AA135" s="245"/>
      <c r="AB135" s="245"/>
      <c r="AC135" s="245"/>
      <c r="AD135" s="245"/>
      <c r="AE135" s="245"/>
      <c r="AF135" s="245"/>
      <c r="AG135" s="245"/>
      <c r="AK135" s="1166"/>
      <c r="BB135" s="72">
        <f t="shared" si="30"/>
        <v>0.70038721198902032</v>
      </c>
      <c r="BC135" s="73" t="str">
        <f t="shared" si="37"/>
        <v>Building Shell RES 25 Year EUL</v>
      </c>
      <c r="BD135" s="165">
        <f>(INDEX('Avoided Cost Benefits'!$C$4:$C$857,MATCH(BC135,'Avoided Cost Benefits'!$A$4:$A$857,0)))*F135</f>
        <v>1.6980888446855469</v>
      </c>
      <c r="BE135" s="74">
        <f t="shared" si="38"/>
        <v>2.4245000702727952</v>
      </c>
    </row>
    <row r="136" spans="1:57" s="1177" customFormat="1" x14ac:dyDescent="0.25">
      <c r="A136" s="1197"/>
      <c r="B136" s="2118"/>
      <c r="C136" s="1543" t="s">
        <v>1720</v>
      </c>
      <c r="D136" s="2133" t="s">
        <v>1613</v>
      </c>
      <c r="E136" s="583" t="s">
        <v>1721</v>
      </c>
      <c r="F136" s="788">
        <f t="shared" si="28"/>
        <v>0.26</v>
      </c>
      <c r="G136" s="1927" t="s">
        <v>1653</v>
      </c>
      <c r="H136" s="239">
        <f>VLOOKUP(G136,'CP FACTORS'!$A$3:$B$38, 2, FALSE)</f>
        <v>4.6608050000000002E-4</v>
      </c>
      <c r="I136" s="1276">
        <f t="shared" si="31"/>
        <v>7.8231744656886398E-2</v>
      </c>
      <c r="J136" s="1928">
        <f t="shared" si="29"/>
        <v>0.18573464000000001</v>
      </c>
      <c r="K136" s="1178">
        <f>ROUND(H136*F136,6)</f>
        <v>1.21E-4</v>
      </c>
      <c r="L136" s="1647">
        <f t="shared" si="33"/>
        <v>25</v>
      </c>
      <c r="M136" s="1648">
        <f t="shared" si="34"/>
        <v>2.568757824454027</v>
      </c>
      <c r="N136" s="1276">
        <f t="shared" si="35"/>
        <v>1</v>
      </c>
      <c r="O136" s="1197"/>
      <c r="P136" s="1197"/>
      <c r="Q136" s="1197"/>
      <c r="R136" s="1197"/>
      <c r="S136" s="1197"/>
      <c r="T136" s="1197"/>
      <c r="U136" s="1197"/>
      <c r="V136" s="245" t="str">
        <f t="shared" si="36"/>
        <v>kWh Annual Savings</v>
      </c>
      <c r="W136" s="340">
        <v>189.76543392983561</v>
      </c>
      <c r="X136" s="579">
        <v>189.76543392983561</v>
      </c>
      <c r="Y136" s="1168">
        <v>0.26</v>
      </c>
      <c r="Z136" s="245"/>
      <c r="AA136" s="245"/>
      <c r="AB136" s="245"/>
      <c r="AC136" s="245"/>
      <c r="AD136" s="245"/>
      <c r="AE136" s="245"/>
      <c r="AF136" s="245"/>
      <c r="AG136" s="245"/>
      <c r="AK136" s="1166"/>
      <c r="BB136" s="72">
        <f t="shared" si="30"/>
        <v>0.14926284845667645</v>
      </c>
      <c r="BC136" s="73" t="str">
        <f t="shared" si="37"/>
        <v>Building Shell RES 25 Year EUL</v>
      </c>
      <c r="BD136" s="165">
        <f>(INDEX('Avoided Cost Benefits'!$C$4:$C$857,MATCH(BC136,'Avoided Cost Benefits'!$A$4:$A$857,0)))*F136</f>
        <v>0.36188778657232967</v>
      </c>
      <c r="BE136" s="74">
        <f t="shared" si="38"/>
        <v>2.4245000702727952</v>
      </c>
    </row>
    <row r="137" spans="1:57" s="1177" customFormat="1" x14ac:dyDescent="0.25">
      <c r="A137" s="1197"/>
      <c r="B137" s="2118"/>
      <c r="C137" s="1543" t="s">
        <v>1722</v>
      </c>
      <c r="D137" s="1927" t="s">
        <v>1610</v>
      </c>
      <c r="E137" s="574" t="s">
        <v>1723</v>
      </c>
      <c r="F137" s="788">
        <f t="shared" si="28"/>
        <v>1.96</v>
      </c>
      <c r="G137" s="1927" t="s">
        <v>1653</v>
      </c>
      <c r="H137" s="239">
        <f>VLOOKUP(G137,'CP FACTORS'!$A$3:$B$38, 2, FALSE)</f>
        <v>4.6608050000000002E-4</v>
      </c>
      <c r="I137" s="1276">
        <f t="shared" si="31"/>
        <v>1.76943687377882</v>
      </c>
      <c r="J137" s="1928">
        <f t="shared" si="29"/>
        <v>0.18573464000000001</v>
      </c>
      <c r="K137" s="1178">
        <f t="shared" si="32"/>
        <v>9.1399999999999999E-4</v>
      </c>
      <c r="L137" s="1647">
        <f t="shared" si="33"/>
        <v>25</v>
      </c>
      <c r="M137" s="1648">
        <f t="shared" si="34"/>
        <v>2.5687522603978299</v>
      </c>
      <c r="N137" s="1276">
        <f t="shared" si="35"/>
        <v>1</v>
      </c>
      <c r="O137" s="1197"/>
      <c r="P137" s="1197"/>
      <c r="Q137" s="1197"/>
      <c r="R137" s="1197"/>
      <c r="S137" s="1197"/>
      <c r="T137" s="1197"/>
      <c r="U137" s="1197"/>
      <c r="V137" s="245" t="str">
        <f t="shared" si="36"/>
        <v>kWh Annual Savings</v>
      </c>
      <c r="W137" s="340">
        <v>2162.4196942393751</v>
      </c>
      <c r="X137" s="579">
        <v>2162.4196942393751</v>
      </c>
      <c r="Y137" s="1168">
        <v>1.96</v>
      </c>
      <c r="Z137" s="245"/>
      <c r="AA137" s="245"/>
      <c r="AB137" s="245"/>
      <c r="AC137" s="245"/>
      <c r="AD137" s="245"/>
      <c r="AE137" s="245"/>
      <c r="AF137" s="245"/>
      <c r="AG137" s="245"/>
      <c r="AK137" s="1166"/>
      <c r="BB137" s="72">
        <f t="shared" si="30"/>
        <v>1.1252146794823854</v>
      </c>
      <c r="BC137" s="73" t="str">
        <f t="shared" si="37"/>
        <v>Building Shell RES 25 Year EUL</v>
      </c>
      <c r="BD137" s="165">
        <f>(INDEX('Avoided Cost Benefits'!$C$4:$C$857,MATCH(BC137,'Avoided Cost Benefits'!$A$4:$A$857,0)))*F137</f>
        <v>2.7280771603144851</v>
      </c>
      <c r="BE137" s="74">
        <f t="shared" si="38"/>
        <v>2.424494818686012</v>
      </c>
    </row>
    <row r="138" spans="1:57" s="1177" customFormat="1" x14ac:dyDescent="0.25">
      <c r="A138" s="1197"/>
      <c r="B138" s="2118"/>
      <c r="C138" s="1543" t="s">
        <v>1724</v>
      </c>
      <c r="D138" s="2133" t="s">
        <v>1610</v>
      </c>
      <c r="E138" s="583" t="s">
        <v>1725</v>
      </c>
      <c r="F138" s="788">
        <f t="shared" si="28"/>
        <v>1.22</v>
      </c>
      <c r="G138" s="1927" t="s">
        <v>1653</v>
      </c>
      <c r="H138" s="239">
        <f>VLOOKUP(G138,'CP FACTORS'!$A$3:$B$38, 2, FALSE)</f>
        <v>4.6608050000000002E-4</v>
      </c>
      <c r="I138" s="1276">
        <f t="shared" si="31"/>
        <v>1.0146753971988796</v>
      </c>
      <c r="J138" s="1928">
        <f t="shared" si="29"/>
        <v>0.20410400000000001</v>
      </c>
      <c r="K138" s="1178">
        <f t="shared" si="32"/>
        <v>5.6899999999999995E-4</v>
      </c>
      <c r="L138" s="1647">
        <f t="shared" si="33"/>
        <v>25</v>
      </c>
      <c r="M138" s="1648">
        <f t="shared" si="34"/>
        <v>2.5687522603978299</v>
      </c>
      <c r="N138" s="1276">
        <f t="shared" si="35"/>
        <v>1</v>
      </c>
      <c r="O138" s="1197"/>
      <c r="P138" s="1197"/>
      <c r="Q138" s="1197"/>
      <c r="R138" s="1197"/>
      <c r="S138" s="1197"/>
      <c r="T138" s="1197"/>
      <c r="U138" s="1197"/>
      <c r="V138" s="245" t="str">
        <f t="shared" si="36"/>
        <v>kWh Annual Savings</v>
      </c>
      <c r="W138" s="340">
        <v>1347.9700133019608</v>
      </c>
      <c r="X138" s="579">
        <v>1347.9700133019608</v>
      </c>
      <c r="Y138" s="1168">
        <v>1.22</v>
      </c>
      <c r="Z138" s="245"/>
      <c r="AA138" s="245"/>
      <c r="AB138" s="245"/>
      <c r="AC138" s="245"/>
      <c r="AD138" s="245"/>
      <c r="AE138" s="245"/>
      <c r="AF138" s="245"/>
      <c r="AG138" s="245"/>
      <c r="AK138" s="1166"/>
      <c r="BB138" s="72">
        <f t="shared" si="30"/>
        <v>0.70038872906556648</v>
      </c>
      <c r="BC138" s="73" t="str">
        <f t="shared" si="37"/>
        <v>Building Shell RES 25 Year EUL</v>
      </c>
      <c r="BD138" s="165">
        <f>(INDEX('Avoided Cost Benefits'!$C$4:$C$857,MATCH(BC138,'Avoided Cost Benefits'!$A$4:$A$857,0)))*F138</f>
        <v>1.6980888446855469</v>
      </c>
      <c r="BE138" s="74">
        <f t="shared" si="38"/>
        <v>2.424494818686012</v>
      </c>
    </row>
    <row r="139" spans="1:57" s="1177" customFormat="1" x14ac:dyDescent="0.25">
      <c r="A139" s="1197"/>
      <c r="B139" s="2118"/>
      <c r="C139" s="1543" t="s">
        <v>1726</v>
      </c>
      <c r="D139" s="1927" t="s">
        <v>1610</v>
      </c>
      <c r="E139" s="574" t="s">
        <v>1727</v>
      </c>
      <c r="F139" s="788">
        <f t="shared" si="28"/>
        <v>0.26</v>
      </c>
      <c r="G139" s="1927" t="s">
        <v>1653</v>
      </c>
      <c r="H139" s="239">
        <f>VLOOKUP(G139,'CP FACTORS'!$A$3:$B$38, 2, FALSE)</f>
        <v>4.6608050000000002E-4</v>
      </c>
      <c r="I139" s="1276">
        <f t="shared" si="31"/>
        <v>7.8231744656886398E-2</v>
      </c>
      <c r="J139" s="1928">
        <f t="shared" si="29"/>
        <v>0.18573464000000001</v>
      </c>
      <c r="K139" s="1178">
        <f t="shared" si="32"/>
        <v>1.21E-4</v>
      </c>
      <c r="L139" s="1647">
        <f t="shared" si="33"/>
        <v>25</v>
      </c>
      <c r="M139" s="1648">
        <f t="shared" si="34"/>
        <v>2.5687522603978299</v>
      </c>
      <c r="N139" s="1276">
        <f t="shared" si="35"/>
        <v>1</v>
      </c>
      <c r="O139" s="1197"/>
      <c r="P139" s="1197"/>
      <c r="Q139" s="1197"/>
      <c r="R139" s="1197"/>
      <c r="S139" s="1197"/>
      <c r="T139" s="1197"/>
      <c r="U139" s="1197"/>
      <c r="V139" s="245" t="str">
        <f t="shared" si="36"/>
        <v>kWh Annual Savings</v>
      </c>
      <c r="W139" s="340">
        <v>291.94682143051637</v>
      </c>
      <c r="X139" s="579">
        <v>291.94682143051637</v>
      </c>
      <c r="Y139" s="1168">
        <v>0.26</v>
      </c>
      <c r="Z139" s="245"/>
      <c r="AA139" s="245"/>
      <c r="AB139" s="245"/>
      <c r="AC139" s="245"/>
      <c r="AD139" s="245"/>
      <c r="AE139" s="245"/>
      <c r="AF139" s="245"/>
      <c r="AG139" s="245"/>
      <c r="AK139" s="1166"/>
      <c r="BB139" s="72">
        <f t="shared" si="30"/>
        <v>0.14926317176807155</v>
      </c>
      <c r="BC139" s="73" t="str">
        <f t="shared" si="37"/>
        <v>Building Shell RES 25 Year EUL</v>
      </c>
      <c r="BD139" s="165">
        <f>(INDEX('Avoided Cost Benefits'!$C$4:$C$857,MATCH(BC139,'Avoided Cost Benefits'!$A$4:$A$857,0)))*F139</f>
        <v>0.36188778657232967</v>
      </c>
      <c r="BE139" s="74">
        <f t="shared" si="38"/>
        <v>2.424494818686012</v>
      </c>
    </row>
    <row r="140" spans="1:57" s="1177" customFormat="1" x14ac:dyDescent="0.25">
      <c r="A140" s="1197"/>
      <c r="B140" s="2118"/>
      <c r="C140" s="1543" t="s">
        <v>1728</v>
      </c>
      <c r="D140" s="1927" t="s">
        <v>1613</v>
      </c>
      <c r="E140" s="574" t="s">
        <v>1729</v>
      </c>
      <c r="F140" s="788">
        <f t="shared" si="28"/>
        <v>2.0299999999999998</v>
      </c>
      <c r="G140" s="1927" t="s">
        <v>1653</v>
      </c>
      <c r="H140" s="239">
        <f>VLOOKUP(G140,'CP FACTORS'!$A$3:$B$38, 2, FALSE)</f>
        <v>4.6608050000000002E-4</v>
      </c>
      <c r="I140" s="1276">
        <f t="shared" si="31"/>
        <v>1.8374921381549281</v>
      </c>
      <c r="J140" s="1928">
        <f t="shared" si="29"/>
        <v>0.19287827999999999</v>
      </c>
      <c r="K140" s="1178">
        <f t="shared" si="32"/>
        <v>9.4600000000000001E-4</v>
      </c>
      <c r="L140" s="1647">
        <f t="shared" si="33"/>
        <v>25</v>
      </c>
      <c r="M140" s="1648">
        <f t="shared" si="34"/>
        <v>3.424301015440256</v>
      </c>
      <c r="N140" s="1276">
        <f t="shared" si="35"/>
        <v>1</v>
      </c>
      <c r="O140" s="1197"/>
      <c r="P140" s="1197"/>
      <c r="Q140" s="1197"/>
      <c r="R140" s="1197"/>
      <c r="S140" s="1197"/>
      <c r="T140" s="1197"/>
      <c r="U140" s="1197"/>
      <c r="V140" s="245" t="str">
        <f t="shared" si="36"/>
        <v>kWh Annual Savings</v>
      </c>
      <c r="W140" s="340">
        <v>1459.6332936115778</v>
      </c>
      <c r="X140" s="579">
        <v>1459.6332936115778</v>
      </c>
      <c r="Y140" s="1168">
        <v>2.0299999999999998</v>
      </c>
      <c r="Z140" s="245"/>
      <c r="AA140" s="245"/>
      <c r="AB140" s="245"/>
      <c r="AC140" s="245"/>
      <c r="AD140" s="245"/>
      <c r="AE140" s="245"/>
      <c r="AF140" s="245"/>
      <c r="AG140" s="245"/>
      <c r="AK140" s="1166"/>
      <c r="BB140" s="72">
        <f t="shared" si="30"/>
        <v>0.87422987318422674</v>
      </c>
      <c r="BC140" s="73" t="str">
        <f t="shared" si="37"/>
        <v>Building Shell RES 25 Year EUL</v>
      </c>
      <c r="BD140" s="165">
        <f>(INDEX('Avoided Cost Benefits'!$C$4:$C$857,MATCH(BC140,'Avoided Cost Benefits'!$A$4:$A$857,0)))*F140</f>
        <v>2.8255084874685736</v>
      </c>
      <c r="BE140" s="74">
        <f t="shared" si="38"/>
        <v>3.2319971830488492</v>
      </c>
    </row>
    <row r="141" spans="1:57" s="1177" customFormat="1" x14ac:dyDescent="0.25">
      <c r="A141" s="1197"/>
      <c r="B141" s="2118"/>
      <c r="C141" s="1543" t="s">
        <v>1730</v>
      </c>
      <c r="D141" s="1927" t="s">
        <v>1613</v>
      </c>
      <c r="E141" s="574" t="s">
        <v>1731</v>
      </c>
      <c r="F141" s="788">
        <f t="shared" si="28"/>
        <v>1.27</v>
      </c>
      <c r="G141" s="1927" t="s">
        <v>1653</v>
      </c>
      <c r="H141" s="239">
        <f>VLOOKUP(G141,'CP FACTORS'!$A$3:$B$38, 2, FALSE)</f>
        <v>4.6608050000000002E-4</v>
      </c>
      <c r="I141" s="1276">
        <f t="shared" si="31"/>
        <v>1.0537013740142209</v>
      </c>
      <c r="J141" s="1928">
        <f t="shared" si="29"/>
        <v>0.21195415384615382</v>
      </c>
      <c r="K141" s="1178">
        <f t="shared" si="32"/>
        <v>5.9199999999999997E-4</v>
      </c>
      <c r="L141" s="1647">
        <f t="shared" si="33"/>
        <v>25</v>
      </c>
      <c r="M141" s="1648">
        <f t="shared" si="34"/>
        <v>3.424301015440256</v>
      </c>
      <c r="N141" s="1276">
        <f t="shared" si="35"/>
        <v>1</v>
      </c>
      <c r="O141" s="1197"/>
      <c r="P141" s="1197"/>
      <c r="Q141" s="1197"/>
      <c r="R141" s="1197"/>
      <c r="S141" s="1197"/>
      <c r="T141" s="1197"/>
      <c r="U141" s="1197"/>
      <c r="V141" s="245" t="str">
        <f t="shared" si="36"/>
        <v>kWh Annual Savings</v>
      </c>
      <c r="W141" s="340">
        <v>909.87975897882347</v>
      </c>
      <c r="X141" s="579">
        <v>909.87975897882347</v>
      </c>
      <c r="Y141" s="1168">
        <v>1.27</v>
      </c>
      <c r="Z141" s="245"/>
      <c r="AA141" s="245"/>
      <c r="AB141" s="245"/>
      <c r="AC141" s="245"/>
      <c r="AD141" s="245"/>
      <c r="AE141" s="245"/>
      <c r="AF141" s="245"/>
      <c r="AG141" s="245"/>
      <c r="AK141" s="1166"/>
      <c r="BB141" s="72">
        <f t="shared" si="30"/>
        <v>0.5469319896275705</v>
      </c>
      <c r="BC141" s="73" t="str">
        <f t="shared" si="37"/>
        <v>Building Shell RES 25 Year EUL</v>
      </c>
      <c r="BD141" s="165">
        <f>(INDEX('Avoided Cost Benefits'!$C$4:$C$857,MATCH(BC141,'Avoided Cost Benefits'!$A$4:$A$857,0)))*F141</f>
        <v>1.7676826497956104</v>
      </c>
      <c r="BE141" s="74">
        <f t="shared" si="38"/>
        <v>3.2319971830488492</v>
      </c>
    </row>
    <row r="142" spans="1:57" s="1177" customFormat="1" x14ac:dyDescent="0.25">
      <c r="A142" s="1197"/>
      <c r="B142" s="2118"/>
      <c r="C142" s="1543" t="s">
        <v>1732</v>
      </c>
      <c r="D142" s="2133" t="s">
        <v>1613</v>
      </c>
      <c r="E142" s="583" t="s">
        <v>1733</v>
      </c>
      <c r="F142" s="788">
        <f t="shared" si="28"/>
        <v>0.27</v>
      </c>
      <c r="G142" s="1927" t="s">
        <v>1653</v>
      </c>
      <c r="H142" s="239">
        <f>VLOOKUP(G142,'CP FACTORS'!$A$3:$B$38, 2, FALSE)</f>
        <v>4.6608050000000002E-4</v>
      </c>
      <c r="I142" s="1276">
        <f t="shared" si="31"/>
        <v>8.1240657912920455E-2</v>
      </c>
      <c r="J142" s="1928">
        <f t="shared" si="29"/>
        <v>0.19287827999999999</v>
      </c>
      <c r="K142" s="1178">
        <f t="shared" si="32"/>
        <v>1.26E-4</v>
      </c>
      <c r="L142" s="1647">
        <f t="shared" si="33"/>
        <v>25</v>
      </c>
      <c r="M142" s="1648">
        <f t="shared" si="34"/>
        <v>3.424301015440256</v>
      </c>
      <c r="N142" s="1276">
        <f t="shared" si="35"/>
        <v>1</v>
      </c>
      <c r="O142" s="1197"/>
      <c r="P142" s="1197"/>
      <c r="Q142" s="1197"/>
      <c r="R142" s="1197"/>
      <c r="S142" s="1197"/>
      <c r="T142" s="1197"/>
      <c r="U142" s="1197"/>
      <c r="V142" s="245" t="str">
        <f t="shared" si="36"/>
        <v>kWh Annual Savings</v>
      </c>
      <c r="W142" s="340">
        <v>197.06410446559852</v>
      </c>
      <c r="X142" s="579">
        <v>197.06410446559852</v>
      </c>
      <c r="Y142" s="1168">
        <v>0.27</v>
      </c>
      <c r="Z142" s="245"/>
      <c r="AA142" s="245"/>
      <c r="AB142" s="245"/>
      <c r="AC142" s="245"/>
      <c r="AD142" s="245"/>
      <c r="AE142" s="245"/>
      <c r="AF142" s="245"/>
      <c r="AG142" s="245"/>
      <c r="AK142" s="1166"/>
      <c r="BB142" s="72">
        <f t="shared" si="30"/>
        <v>0.11627687968460163</v>
      </c>
      <c r="BC142" s="73" t="str">
        <f t="shared" si="37"/>
        <v>Building Shell RES 25 Year EUL</v>
      </c>
      <c r="BD142" s="165">
        <f>(INDEX('Avoided Cost Benefits'!$C$4:$C$857,MATCH(BC142,'Avoided Cost Benefits'!$A$4:$A$857,0)))*F142</f>
        <v>0.3758065475943424</v>
      </c>
      <c r="BE142" s="74">
        <f t="shared" si="38"/>
        <v>3.2319971830488492</v>
      </c>
    </row>
    <row r="143" spans="1:57" s="1177" customFormat="1" x14ac:dyDescent="0.25">
      <c r="A143" s="1197"/>
      <c r="B143" s="2118"/>
      <c r="C143" s="1543" t="s">
        <v>1734</v>
      </c>
      <c r="D143" s="1927" t="s">
        <v>1610</v>
      </c>
      <c r="E143" s="574" t="s">
        <v>1735</v>
      </c>
      <c r="F143" s="788">
        <f t="shared" si="28"/>
        <v>2.0299999999999998</v>
      </c>
      <c r="G143" s="1927" t="s">
        <v>1653</v>
      </c>
      <c r="H143" s="239">
        <f>VLOOKUP(G143,'CP FACTORS'!$A$3:$B$38, 2, FALSE)</f>
        <v>4.6608050000000002E-4</v>
      </c>
      <c r="I143" s="1276">
        <f t="shared" si="31"/>
        <v>1.8374921381549281</v>
      </c>
      <c r="J143" s="1928">
        <f t="shared" si="29"/>
        <v>0.19287827999999999</v>
      </c>
      <c r="K143" s="1178">
        <f t="shared" si="32"/>
        <v>9.4600000000000001E-4</v>
      </c>
      <c r="L143" s="1647">
        <f t="shared" si="33"/>
        <v>25</v>
      </c>
      <c r="M143" s="1648">
        <f t="shared" si="34"/>
        <v>3.4243037974683546</v>
      </c>
      <c r="N143" s="1276">
        <f t="shared" si="35"/>
        <v>1</v>
      </c>
      <c r="O143" s="1197"/>
      <c r="P143" s="1197"/>
      <c r="Q143" s="1197"/>
      <c r="R143" s="1197"/>
      <c r="S143" s="1197"/>
      <c r="T143" s="1197"/>
      <c r="U143" s="1197"/>
      <c r="V143" s="245" t="str">
        <f t="shared" si="36"/>
        <v>kWh Annual Savings</v>
      </c>
      <c r="W143" s="340">
        <v>2245.5896824793513</v>
      </c>
      <c r="X143" s="579">
        <v>2245.5896824793513</v>
      </c>
      <c r="Y143" s="1168">
        <v>2.0299999999999998</v>
      </c>
      <c r="Z143" s="245"/>
      <c r="AA143" s="245"/>
      <c r="AB143" s="245"/>
      <c r="AC143" s="245"/>
      <c r="AD143" s="245"/>
      <c r="AE143" s="245"/>
      <c r="AF143" s="245"/>
      <c r="AG143" s="245"/>
      <c r="AK143" s="1166"/>
      <c r="BB143" s="72">
        <f t="shared" si="30"/>
        <v>0.87422916292829866</v>
      </c>
      <c r="BC143" s="73" t="str">
        <f t="shared" si="37"/>
        <v>Building Shell RES 25 Year EUL</v>
      </c>
      <c r="BD143" s="165">
        <f>(INDEX('Avoided Cost Benefits'!$C$4:$C$857,MATCH(BC143,'Avoided Cost Benefits'!$A$4:$A$857,0)))*F143</f>
        <v>2.8255084874685736</v>
      </c>
      <c r="BE143" s="74">
        <f t="shared" si="38"/>
        <v>3.2319998088422408</v>
      </c>
    </row>
    <row r="144" spans="1:57" s="1177" customFormat="1" x14ac:dyDescent="0.25">
      <c r="A144" s="1197"/>
      <c r="B144" s="2118"/>
      <c r="C144" s="1543" t="s">
        <v>1736</v>
      </c>
      <c r="D144" s="2133" t="s">
        <v>1610</v>
      </c>
      <c r="E144" s="583" t="s">
        <v>1737</v>
      </c>
      <c r="F144" s="788">
        <f t="shared" si="28"/>
        <v>1.27</v>
      </c>
      <c r="G144" s="1927" t="s">
        <v>1653</v>
      </c>
      <c r="H144" s="239">
        <f>VLOOKUP(G144,'CP FACTORS'!$A$3:$B$38, 2, FALSE)</f>
        <v>4.6608050000000002E-4</v>
      </c>
      <c r="I144" s="1276">
        <f t="shared" si="31"/>
        <v>1.0537013740142209</v>
      </c>
      <c r="J144" s="1928">
        <f t="shared" si="29"/>
        <v>0.21195415384615382</v>
      </c>
      <c r="K144" s="1178">
        <f t="shared" si="32"/>
        <v>5.9199999999999997E-4</v>
      </c>
      <c r="L144" s="1647">
        <f t="shared" si="33"/>
        <v>25</v>
      </c>
      <c r="M144" s="1648">
        <f t="shared" si="34"/>
        <v>3.4243037974683546</v>
      </c>
      <c r="N144" s="1276">
        <f t="shared" si="35"/>
        <v>1</v>
      </c>
      <c r="O144" s="1197"/>
      <c r="P144" s="1197"/>
      <c r="Q144" s="1197"/>
      <c r="R144" s="1197"/>
      <c r="S144" s="1197"/>
      <c r="T144" s="1197"/>
      <c r="U144" s="1197"/>
      <c r="V144" s="245" t="str">
        <f t="shared" si="36"/>
        <v>kWh Annual Savings</v>
      </c>
      <c r="W144" s="340">
        <v>1399.815013813575</v>
      </c>
      <c r="X144" s="579">
        <v>1399.815013813575</v>
      </c>
      <c r="Y144" s="1168">
        <v>1.27</v>
      </c>
      <c r="Z144" s="245"/>
      <c r="AA144" s="245"/>
      <c r="AB144" s="245"/>
      <c r="AC144" s="245"/>
      <c r="AD144" s="245"/>
      <c r="AE144" s="245"/>
      <c r="AF144" s="245"/>
      <c r="AG144" s="245"/>
      <c r="AK144" s="1166"/>
      <c r="BB144" s="72">
        <f t="shared" si="30"/>
        <v>0.54693154528026577</v>
      </c>
      <c r="BC144" s="73" t="str">
        <f t="shared" si="37"/>
        <v>Building Shell RES 25 Year EUL</v>
      </c>
      <c r="BD144" s="165">
        <f>(INDEX('Avoided Cost Benefits'!$C$4:$C$857,MATCH(BC144,'Avoided Cost Benefits'!$A$4:$A$857,0)))*F144</f>
        <v>1.7676826497956104</v>
      </c>
      <c r="BE144" s="74">
        <f t="shared" si="38"/>
        <v>3.2319998088422408</v>
      </c>
    </row>
    <row r="145" spans="1:57" s="1177" customFormat="1" x14ac:dyDescent="0.25">
      <c r="A145" s="1197"/>
      <c r="B145" s="2118"/>
      <c r="C145" s="1543" t="s">
        <v>1738</v>
      </c>
      <c r="D145" s="1927" t="s">
        <v>1610</v>
      </c>
      <c r="E145" s="574" t="s">
        <v>1739</v>
      </c>
      <c r="F145" s="788">
        <f t="shared" si="28"/>
        <v>0.27</v>
      </c>
      <c r="G145" s="1927" t="s">
        <v>1653</v>
      </c>
      <c r="H145" s="239">
        <f>VLOOKUP(G145,'CP FACTORS'!$A$3:$B$38, 2, FALSE)</f>
        <v>4.6608050000000002E-4</v>
      </c>
      <c r="I145" s="1276">
        <f t="shared" si="31"/>
        <v>8.1240657912920455E-2</v>
      </c>
      <c r="J145" s="1928">
        <f t="shared" si="29"/>
        <v>0.19287827999999999</v>
      </c>
      <c r="K145" s="1178">
        <f t="shared" si="32"/>
        <v>1.26E-4</v>
      </c>
      <c r="L145" s="1647">
        <f t="shared" si="33"/>
        <v>25</v>
      </c>
      <c r="M145" s="1648">
        <f t="shared" si="34"/>
        <v>3.4243037974683546</v>
      </c>
      <c r="N145" s="1276">
        <f t="shared" si="35"/>
        <v>1</v>
      </c>
      <c r="O145" s="1197"/>
      <c r="P145" s="1197"/>
      <c r="Q145" s="1197"/>
      <c r="R145" s="1197"/>
      <c r="S145" s="1197"/>
      <c r="T145" s="1197"/>
      <c r="U145" s="1197"/>
      <c r="V145" s="245" t="str">
        <f t="shared" si="36"/>
        <v>kWh Annual Savings</v>
      </c>
      <c r="W145" s="340">
        <v>303.1755453316901</v>
      </c>
      <c r="X145" s="579">
        <v>303.1755453316901</v>
      </c>
      <c r="Y145" s="1168">
        <v>0.27</v>
      </c>
      <c r="Z145" s="245"/>
      <c r="AA145" s="245"/>
      <c r="AB145" s="245"/>
      <c r="AC145" s="245"/>
      <c r="AD145" s="245"/>
      <c r="AE145" s="245"/>
      <c r="AF145" s="245"/>
      <c r="AG145" s="245"/>
      <c r="AK145" s="1166"/>
      <c r="BB145" s="75">
        <f t="shared" si="30"/>
        <v>0.11627678521706439</v>
      </c>
      <c r="BC145" s="73" t="str">
        <f t="shared" si="37"/>
        <v>Building Shell RES 25 Year EUL</v>
      </c>
      <c r="BD145" s="170">
        <f>(INDEX('Avoided Cost Benefits'!$C$4:$C$857,MATCH(BC145,'Avoided Cost Benefits'!$A$4:$A$857,0)))*F145</f>
        <v>0.3758065475943424</v>
      </c>
      <c r="BE145" s="76">
        <f t="shared" si="38"/>
        <v>3.2319998088422408</v>
      </c>
    </row>
    <row r="146" spans="1:57" s="1177" customFormat="1" x14ac:dyDescent="0.25">
      <c r="A146" s="1197"/>
      <c r="B146" s="2136"/>
      <c r="C146" s="1626"/>
      <c r="D146" s="2137"/>
      <c r="E146" s="2137"/>
      <c r="F146" s="2138"/>
      <c r="G146" s="1626"/>
      <c r="H146" s="2139"/>
      <c r="I146" s="2140"/>
      <c r="J146" s="2141"/>
      <c r="K146" s="1627"/>
      <c r="L146" s="2142"/>
      <c r="M146" s="2143"/>
      <c r="N146" s="2144"/>
      <c r="O146" s="1205"/>
      <c r="P146" s="1205"/>
      <c r="Q146" s="1205"/>
      <c r="R146" s="1205"/>
      <c r="S146" s="1205"/>
      <c r="T146" s="1205"/>
      <c r="U146" s="1205"/>
      <c r="V146" s="1628"/>
      <c r="W146" s="1629"/>
      <c r="X146" s="1630"/>
      <c r="Y146" s="1631"/>
      <c r="Z146" s="1628"/>
      <c r="AA146" s="1628"/>
      <c r="AB146" s="1628"/>
      <c r="AC146" s="1628"/>
      <c r="AD146" s="1628"/>
      <c r="AE146" s="1628"/>
      <c r="AF146" s="1628"/>
      <c r="AG146" s="1628"/>
      <c r="AK146" s="1166"/>
      <c r="BB146" s="1193"/>
    </row>
    <row r="147" spans="1:57" s="1177" customFormat="1" outlineLevel="1" x14ac:dyDescent="0.25">
      <c r="A147" s="1197"/>
      <c r="B147" s="2145"/>
      <c r="C147" s="1194"/>
      <c r="D147" s="590"/>
      <c r="E147" s="590"/>
      <c r="F147" s="1938"/>
      <c r="G147" s="1197"/>
      <c r="H147" s="1197"/>
      <c r="I147" s="1197"/>
      <c r="J147" s="1197"/>
      <c r="K147" s="1197"/>
      <c r="L147" s="1197"/>
      <c r="M147" s="1197"/>
      <c r="N147" s="1197"/>
      <c r="O147" s="1197"/>
      <c r="P147" s="1197"/>
      <c r="Q147" s="1197"/>
      <c r="R147" s="1197"/>
      <c r="S147" s="1197"/>
      <c r="T147" s="1197"/>
      <c r="U147" s="1197"/>
      <c r="Y147" s="1983" t="s">
        <v>1677</v>
      </c>
      <c r="AK147" s="1166"/>
      <c r="BB147" s="1193"/>
    </row>
    <row r="148" spans="1:57" s="1177" customFormat="1" outlineLevel="1" x14ac:dyDescent="0.25">
      <c r="A148" s="1197"/>
      <c r="B148" s="2118"/>
      <c r="C148" s="1194"/>
      <c r="D148" s="590" t="s">
        <v>617</v>
      </c>
      <c r="E148" s="590"/>
      <c r="F148" s="1938"/>
      <c r="G148" s="1197"/>
      <c r="H148" s="1197"/>
      <c r="I148" s="1197"/>
      <c r="J148" s="1197"/>
      <c r="K148" s="1197"/>
      <c r="L148" s="1197"/>
      <c r="M148" s="1197"/>
      <c r="N148" s="1197"/>
      <c r="O148" s="1197"/>
      <c r="P148" s="1197"/>
      <c r="Q148" s="1197"/>
      <c r="R148" s="1197"/>
      <c r="S148" s="1197"/>
      <c r="T148" s="1197"/>
      <c r="U148" s="1197"/>
      <c r="Y148" s="1198"/>
      <c r="AK148" s="1166"/>
      <c r="BB148" s="1193"/>
    </row>
    <row r="149" spans="1:57" s="1177" customFormat="1" ht="18" customHeight="1" outlineLevel="1" x14ac:dyDescent="0.25">
      <c r="A149" s="1197"/>
      <c r="B149" s="2118"/>
      <c r="C149" s="1199"/>
      <c r="D149" s="2967"/>
      <c r="E149" s="2967"/>
      <c r="F149" s="2967"/>
      <c r="G149" s="2967"/>
      <c r="H149" s="2967"/>
      <c r="I149" s="2967"/>
      <c r="J149" s="2967"/>
      <c r="K149" s="2967"/>
      <c r="L149" s="2967"/>
      <c r="M149" s="1197"/>
      <c r="N149" s="1197"/>
      <c r="O149" s="1197"/>
      <c r="P149" s="1197"/>
      <c r="Q149" s="1197"/>
      <c r="R149" s="1197"/>
      <c r="S149" s="1197"/>
      <c r="T149" s="1197"/>
      <c r="U149" s="1197"/>
      <c r="Y149" s="1198"/>
      <c r="AK149" s="1166"/>
      <c r="BB149" s="1193"/>
    </row>
    <row r="150" spans="1:57" s="1177" customFormat="1" ht="39" customHeight="1" outlineLevel="1" x14ac:dyDescent="0.25">
      <c r="A150" s="1197"/>
      <c r="B150" s="2118"/>
      <c r="C150" s="1200"/>
      <c r="D150" s="2967"/>
      <c r="E150" s="2967"/>
      <c r="F150" s="2967"/>
      <c r="G150" s="2967"/>
      <c r="H150" s="2967"/>
      <c r="I150" s="2967"/>
      <c r="J150" s="2967"/>
      <c r="K150" s="2967"/>
      <c r="L150" s="2967"/>
      <c r="M150" s="1197"/>
      <c r="N150" s="1197"/>
      <c r="O150" s="1197"/>
      <c r="P150" s="1197"/>
      <c r="Q150" s="1197"/>
      <c r="R150" s="1197"/>
      <c r="S150" s="1197"/>
      <c r="T150" s="1197"/>
      <c r="U150" s="1197"/>
      <c r="Y150" s="1198"/>
      <c r="AK150" s="1166"/>
      <c r="BB150" s="1193"/>
    </row>
    <row r="151" spans="1:57" s="1177" customFormat="1" outlineLevel="1" x14ac:dyDescent="0.25">
      <c r="A151" s="1197"/>
      <c r="B151" s="2118"/>
      <c r="C151" s="1200"/>
      <c r="D151" s="2967"/>
      <c r="E151" s="2967"/>
      <c r="F151" s="2967"/>
      <c r="G151" s="2967"/>
      <c r="H151" s="2967"/>
      <c r="I151" s="2967"/>
      <c r="J151" s="2967"/>
      <c r="K151" s="2967"/>
      <c r="L151" s="2967"/>
      <c r="M151" s="1197"/>
      <c r="N151" s="1197"/>
      <c r="O151" s="1197"/>
      <c r="P151" s="1197"/>
      <c r="Q151" s="1197"/>
      <c r="R151" s="1197"/>
      <c r="S151" s="1197"/>
      <c r="T151" s="1197"/>
      <c r="U151" s="1197"/>
      <c r="Y151" s="1198"/>
      <c r="AK151" s="1166"/>
      <c r="BB151" s="1193"/>
    </row>
    <row r="152" spans="1:57" s="1177" customFormat="1" ht="15" customHeight="1" outlineLevel="1" x14ac:dyDescent="0.25">
      <c r="A152" s="1197"/>
      <c r="B152" s="2118"/>
      <c r="C152" s="1201"/>
      <c r="D152" s="2967"/>
      <c r="E152" s="2967"/>
      <c r="F152" s="2967"/>
      <c r="G152" s="2967"/>
      <c r="H152" s="2967"/>
      <c r="I152" s="2967"/>
      <c r="J152" s="2967"/>
      <c r="K152" s="2967"/>
      <c r="L152" s="2967"/>
      <c r="M152" s="1197"/>
      <c r="N152" s="1197"/>
      <c r="O152" s="1197"/>
      <c r="P152" s="1197"/>
      <c r="Q152" s="1197"/>
      <c r="R152" s="1197"/>
      <c r="S152" s="1197"/>
      <c r="T152" s="1197"/>
      <c r="U152" s="1197"/>
      <c r="Y152" s="1198"/>
      <c r="AK152" s="1166"/>
      <c r="BB152" s="1193"/>
    </row>
    <row r="153" spans="1:57" s="1177" customFormat="1" outlineLevel="1" x14ac:dyDescent="0.25">
      <c r="A153" s="1197"/>
      <c r="B153" s="2118"/>
      <c r="C153" s="1194"/>
      <c r="D153" s="590"/>
      <c r="E153" s="590"/>
      <c r="F153" s="1197"/>
      <c r="G153" s="1197"/>
      <c r="H153" s="1197"/>
      <c r="I153" s="1197"/>
      <c r="J153" s="1197"/>
      <c r="K153" s="1197"/>
      <c r="L153" s="1197"/>
      <c r="M153" s="1197"/>
      <c r="N153" s="1197"/>
      <c r="O153" s="1197"/>
      <c r="P153" s="1197"/>
      <c r="Q153" s="1197"/>
      <c r="R153" s="1197"/>
      <c r="S153" s="1197"/>
      <c r="T153" s="1197"/>
      <c r="U153" s="1197"/>
      <c r="Y153" s="1198"/>
      <c r="AK153" s="1166"/>
      <c r="BB153" s="1193"/>
    </row>
    <row r="154" spans="1:57" s="1177" customFormat="1" outlineLevel="1" x14ac:dyDescent="0.25">
      <c r="A154" s="1197"/>
      <c r="B154" s="2118"/>
      <c r="C154" s="1194"/>
      <c r="D154" s="1701" t="s">
        <v>618</v>
      </c>
      <c r="E154" s="1701" t="s">
        <v>619</v>
      </c>
      <c r="F154" s="1641" t="s">
        <v>620</v>
      </c>
      <c r="G154" s="1641" t="s">
        <v>670</v>
      </c>
      <c r="H154" s="1641" t="s">
        <v>766</v>
      </c>
      <c r="I154" s="1197"/>
      <c r="J154" s="1197"/>
      <c r="K154" s="1197"/>
      <c r="L154" s="1197"/>
      <c r="M154" s="1197"/>
      <c r="N154" s="1197"/>
      <c r="O154" s="1197"/>
      <c r="P154" s="1197"/>
      <c r="Q154" s="1197"/>
      <c r="R154" s="1197"/>
      <c r="S154" s="1197"/>
      <c r="T154" s="1197"/>
      <c r="U154" s="1197"/>
      <c r="V154" s="55" t="s">
        <v>27</v>
      </c>
      <c r="W154" s="56">
        <f>W$6</f>
        <v>43252</v>
      </c>
      <c r="X154" s="56">
        <f t="shared" ref="X154:AG154" si="39">X$6</f>
        <v>43465</v>
      </c>
      <c r="Y154" s="500">
        <f t="shared" si="39"/>
        <v>43800</v>
      </c>
      <c r="Z154" s="56">
        <f t="shared" si="39"/>
        <v>43862</v>
      </c>
      <c r="AA154" s="56" t="str">
        <f t="shared" si="39"/>
        <v>-</v>
      </c>
      <c r="AB154" s="56" t="str">
        <f t="shared" si="39"/>
        <v>-</v>
      </c>
      <c r="AC154" s="56" t="str">
        <f t="shared" si="39"/>
        <v>-</v>
      </c>
      <c r="AD154" s="56" t="str">
        <f t="shared" si="39"/>
        <v>-</v>
      </c>
      <c r="AE154" s="56" t="str">
        <f t="shared" si="39"/>
        <v>-</v>
      </c>
      <c r="AF154" s="56" t="str">
        <f t="shared" si="39"/>
        <v>-</v>
      </c>
      <c r="AG154" s="56" t="str">
        <f t="shared" si="39"/>
        <v>-</v>
      </c>
      <c r="AK154" s="1166"/>
      <c r="BB154" s="1193"/>
    </row>
    <row r="155" spans="1:57" s="1177" customFormat="1" outlineLevel="1" x14ac:dyDescent="0.25">
      <c r="A155" s="1197"/>
      <c r="B155" s="2118"/>
      <c r="C155" s="1194"/>
      <c r="D155" s="2955" t="s">
        <v>200</v>
      </c>
      <c r="E155" s="574" t="s">
        <v>1681</v>
      </c>
      <c r="F155" s="1233">
        <v>1</v>
      </c>
      <c r="G155" s="1381"/>
      <c r="H155" s="1542"/>
      <c r="I155" s="1197"/>
      <c r="J155" s="1197"/>
      <c r="K155" s="1197"/>
      <c r="L155" s="1197"/>
      <c r="M155" s="1197"/>
      <c r="N155" s="1197"/>
      <c r="O155" s="1197"/>
      <c r="P155" s="1197"/>
      <c r="Q155" s="1197"/>
      <c r="R155" s="1197"/>
      <c r="S155" s="1197"/>
      <c r="T155" s="1197"/>
      <c r="U155" s="1197"/>
      <c r="V155" s="2957" t="str">
        <f>D155</f>
        <v>%ElectricHeat</v>
      </c>
      <c r="W155" s="1202">
        <v>1</v>
      </c>
      <c r="X155" s="1202">
        <v>1</v>
      </c>
      <c r="Y155" s="1202">
        <v>1</v>
      </c>
      <c r="Z155" s="1202"/>
      <c r="AA155" s="1202"/>
      <c r="AB155" s="1202"/>
      <c r="AC155" s="1202"/>
      <c r="AD155" s="1202"/>
      <c r="AE155" s="1202"/>
      <c r="AF155" s="1202"/>
      <c r="AG155" s="1202"/>
      <c r="AK155" s="1166"/>
      <c r="BB155" s="1193"/>
    </row>
    <row r="156" spans="1:57" s="1177" customFormat="1" outlineLevel="1" x14ac:dyDescent="0.25">
      <c r="A156" s="1197"/>
      <c r="B156" s="2118"/>
      <c r="C156" s="1194"/>
      <c r="D156" s="2956"/>
      <c r="E156" s="574" t="s">
        <v>1683</v>
      </c>
      <c r="F156" s="1233">
        <v>1</v>
      </c>
      <c r="G156" s="1381"/>
      <c r="H156" s="1542"/>
      <c r="I156" s="1197"/>
      <c r="J156" s="1197"/>
      <c r="K156" s="1197"/>
      <c r="L156" s="1197"/>
      <c r="M156" s="1197"/>
      <c r="N156" s="1197"/>
      <c r="O156" s="1197"/>
      <c r="P156" s="1197"/>
      <c r="Q156" s="1197"/>
      <c r="R156" s="1197"/>
      <c r="S156" s="1197"/>
      <c r="T156" s="1197"/>
      <c r="U156" s="1197"/>
      <c r="V156" s="2958"/>
      <c r="W156" s="1202">
        <v>1</v>
      </c>
      <c r="X156" s="1202">
        <v>1</v>
      </c>
      <c r="Y156" s="1202">
        <v>1</v>
      </c>
      <c r="Z156" s="1202"/>
      <c r="AA156" s="1202"/>
      <c r="AB156" s="1202"/>
      <c r="AC156" s="1202"/>
      <c r="AD156" s="1202"/>
      <c r="AE156" s="1202"/>
      <c r="AF156" s="1202"/>
      <c r="AG156" s="1202"/>
      <c r="AK156" s="1166"/>
      <c r="BB156" s="1193"/>
    </row>
    <row r="157" spans="1:57" s="1177" customFormat="1" outlineLevel="1" x14ac:dyDescent="0.25">
      <c r="A157" s="1197"/>
      <c r="B157" s="2118"/>
      <c r="C157" s="1194"/>
      <c r="D157" s="2956"/>
      <c r="E157" s="574" t="s">
        <v>1685</v>
      </c>
      <c r="F157" s="1233">
        <v>0</v>
      </c>
      <c r="G157" s="1381"/>
      <c r="H157" s="1542"/>
      <c r="I157" s="1197"/>
      <c r="J157" s="1197"/>
      <c r="K157" s="1197"/>
      <c r="L157" s="1197"/>
      <c r="M157" s="1197"/>
      <c r="N157" s="1197"/>
      <c r="O157" s="1197"/>
      <c r="P157" s="1197"/>
      <c r="Q157" s="1197"/>
      <c r="R157" s="1197"/>
      <c r="S157" s="1197"/>
      <c r="T157" s="1197"/>
      <c r="U157" s="1197"/>
      <c r="V157" s="2958"/>
      <c r="W157" s="1202">
        <v>0</v>
      </c>
      <c r="X157" s="1202">
        <v>0</v>
      </c>
      <c r="Y157" s="1202">
        <v>0</v>
      </c>
      <c r="Z157" s="1202"/>
      <c r="AA157" s="1202"/>
      <c r="AB157" s="1202"/>
      <c r="AC157" s="1202"/>
      <c r="AD157" s="1202"/>
      <c r="AE157" s="1202"/>
      <c r="AF157" s="1202"/>
      <c r="AG157" s="1202"/>
      <c r="AK157" s="1166"/>
      <c r="BB157" s="1193"/>
    </row>
    <row r="158" spans="1:57" s="1177" customFormat="1" outlineLevel="1" x14ac:dyDescent="0.25">
      <c r="A158" s="1197"/>
      <c r="B158" s="2118"/>
      <c r="C158" s="1194"/>
      <c r="D158" s="2956"/>
      <c r="E158" s="574" t="s">
        <v>1687</v>
      </c>
      <c r="F158" s="1233">
        <v>1</v>
      </c>
      <c r="G158" s="1381"/>
      <c r="H158" s="1542"/>
      <c r="I158" s="1197"/>
      <c r="J158" s="1197"/>
      <c r="K158" s="1197"/>
      <c r="L158" s="1197"/>
      <c r="M158" s="1197"/>
      <c r="N158" s="1197"/>
      <c r="O158" s="1197"/>
      <c r="P158" s="1197"/>
      <c r="Q158" s="1197"/>
      <c r="R158" s="1197"/>
      <c r="S158" s="1197"/>
      <c r="T158" s="1197"/>
      <c r="U158" s="1197"/>
      <c r="V158" s="2958"/>
      <c r="W158" s="1202">
        <v>1</v>
      </c>
      <c r="X158" s="1202">
        <v>1</v>
      </c>
      <c r="Y158" s="1202">
        <v>1</v>
      </c>
      <c r="Z158" s="1202"/>
      <c r="AA158" s="1202"/>
      <c r="AB158" s="1202"/>
      <c r="AC158" s="1202"/>
      <c r="AD158" s="1202"/>
      <c r="AE158" s="1202"/>
      <c r="AF158" s="1202"/>
      <c r="AG158" s="1202"/>
      <c r="AK158" s="1166"/>
      <c r="BB158" s="1193"/>
    </row>
    <row r="159" spans="1:57" s="1177" customFormat="1" outlineLevel="1" x14ac:dyDescent="0.25">
      <c r="A159" s="1197"/>
      <c r="B159" s="2118"/>
      <c r="C159" s="1194"/>
      <c r="D159" s="2956"/>
      <c r="E159" s="574" t="s">
        <v>1689</v>
      </c>
      <c r="F159" s="1233">
        <v>1</v>
      </c>
      <c r="G159" s="1381"/>
      <c r="H159" s="1542"/>
      <c r="I159" s="1197"/>
      <c r="J159" s="1197"/>
      <c r="K159" s="1197"/>
      <c r="L159" s="1197"/>
      <c r="M159" s="1197"/>
      <c r="N159" s="1197"/>
      <c r="O159" s="1197"/>
      <c r="P159" s="1197"/>
      <c r="Q159" s="1197"/>
      <c r="R159" s="1197"/>
      <c r="S159" s="1197"/>
      <c r="T159" s="1197"/>
      <c r="U159" s="1197"/>
      <c r="V159" s="2958"/>
      <c r="W159" s="1202">
        <v>1</v>
      </c>
      <c r="X159" s="1202">
        <v>1</v>
      </c>
      <c r="Y159" s="1202">
        <v>1</v>
      </c>
      <c r="Z159" s="1202"/>
      <c r="AA159" s="1202"/>
      <c r="AB159" s="1202"/>
      <c r="AC159" s="1202"/>
      <c r="AD159" s="1202"/>
      <c r="AE159" s="1202"/>
      <c r="AF159" s="1202"/>
      <c r="AG159" s="1202"/>
      <c r="AK159" s="1166"/>
      <c r="BB159" s="1193"/>
    </row>
    <row r="160" spans="1:57" s="1177" customFormat="1" outlineLevel="1" x14ac:dyDescent="0.25">
      <c r="A160" s="1197"/>
      <c r="B160" s="2136"/>
      <c r="C160" s="1194"/>
      <c r="D160" s="2956"/>
      <c r="E160" s="574" t="s">
        <v>1691</v>
      </c>
      <c r="F160" s="1233">
        <v>0</v>
      </c>
      <c r="G160" s="1381"/>
      <c r="H160" s="1542"/>
      <c r="I160" s="1197"/>
      <c r="J160" s="1197"/>
      <c r="K160" s="1197"/>
      <c r="L160" s="1197"/>
      <c r="M160" s="1197"/>
      <c r="N160" s="1197"/>
      <c r="O160" s="1197"/>
      <c r="P160" s="1197"/>
      <c r="Q160" s="1197"/>
      <c r="R160" s="1197"/>
      <c r="S160" s="1197"/>
      <c r="T160" s="1197"/>
      <c r="U160" s="1197"/>
      <c r="V160" s="2958"/>
      <c r="W160" s="1202">
        <v>0</v>
      </c>
      <c r="X160" s="1202">
        <v>0</v>
      </c>
      <c r="Y160" s="1202">
        <v>0</v>
      </c>
      <c r="Z160" s="1202"/>
      <c r="AA160" s="1202"/>
      <c r="AB160" s="1202"/>
      <c r="AC160" s="1202"/>
      <c r="AD160" s="1202"/>
      <c r="AE160" s="1202"/>
      <c r="AF160" s="1202"/>
      <c r="AG160" s="1202"/>
      <c r="AK160" s="1166"/>
      <c r="BB160" s="1193"/>
    </row>
    <row r="161" spans="1:54" s="1177" customFormat="1" outlineLevel="1" x14ac:dyDescent="0.25">
      <c r="A161" s="1197"/>
      <c r="B161" s="2136"/>
      <c r="C161" s="1194"/>
      <c r="D161" s="2956"/>
      <c r="E161" s="574" t="s">
        <v>1693</v>
      </c>
      <c r="F161" s="1233">
        <v>1</v>
      </c>
      <c r="G161" s="1381"/>
      <c r="H161" s="1542"/>
      <c r="I161" s="1197"/>
      <c r="J161" s="1197"/>
      <c r="K161" s="1197"/>
      <c r="L161" s="1197"/>
      <c r="M161" s="1197"/>
      <c r="N161" s="1197"/>
      <c r="O161" s="1197"/>
      <c r="P161" s="1197"/>
      <c r="Q161" s="1197"/>
      <c r="R161" s="1197"/>
      <c r="S161" s="1197"/>
      <c r="T161" s="1197"/>
      <c r="U161" s="1197"/>
      <c r="V161" s="2958"/>
      <c r="W161" s="1202">
        <v>1</v>
      </c>
      <c r="X161" s="1202">
        <v>1</v>
      </c>
      <c r="Y161" s="1202">
        <v>1</v>
      </c>
      <c r="Z161" s="1202"/>
      <c r="AA161" s="1202"/>
      <c r="AB161" s="1202"/>
      <c r="AC161" s="1202"/>
      <c r="AD161" s="1202"/>
      <c r="AE161" s="1202"/>
      <c r="AF161" s="1202"/>
      <c r="AG161" s="1202"/>
      <c r="AK161" s="1166"/>
      <c r="BB161" s="1193"/>
    </row>
    <row r="162" spans="1:54" s="1177" customFormat="1" outlineLevel="1" x14ac:dyDescent="0.25">
      <c r="A162" s="1197"/>
      <c r="B162" s="2136"/>
      <c r="C162" s="1194"/>
      <c r="D162" s="2956"/>
      <c r="E162" s="574" t="s">
        <v>1695</v>
      </c>
      <c r="F162" s="1233">
        <v>1</v>
      </c>
      <c r="G162" s="1381"/>
      <c r="H162" s="1542"/>
      <c r="I162" s="1197"/>
      <c r="J162" s="1197"/>
      <c r="K162" s="1197"/>
      <c r="L162" s="1197"/>
      <c r="M162" s="1197"/>
      <c r="N162" s="1197"/>
      <c r="O162" s="1197"/>
      <c r="P162" s="1197"/>
      <c r="Q162" s="1197"/>
      <c r="R162" s="1197"/>
      <c r="S162" s="1197"/>
      <c r="T162" s="1197"/>
      <c r="U162" s="1197"/>
      <c r="V162" s="2958"/>
      <c r="W162" s="1202">
        <v>1</v>
      </c>
      <c r="X162" s="1202">
        <v>1</v>
      </c>
      <c r="Y162" s="1202">
        <v>1</v>
      </c>
      <c r="Z162" s="1202"/>
      <c r="AA162" s="1202"/>
      <c r="AB162" s="1202"/>
      <c r="AC162" s="1202"/>
      <c r="AD162" s="1202"/>
      <c r="AE162" s="1202"/>
      <c r="AF162" s="1202"/>
      <c r="AG162" s="1202"/>
      <c r="AK162" s="1166"/>
      <c r="BB162" s="1193"/>
    </row>
    <row r="163" spans="1:54" s="1177" customFormat="1" outlineLevel="1" x14ac:dyDescent="0.25">
      <c r="A163" s="1197"/>
      <c r="B163" s="2136"/>
      <c r="C163" s="1194"/>
      <c r="D163" s="2956"/>
      <c r="E163" s="583" t="s">
        <v>1697</v>
      </c>
      <c r="F163" s="1233">
        <v>0</v>
      </c>
      <c r="G163" s="1381"/>
      <c r="H163" s="1542"/>
      <c r="I163" s="1197"/>
      <c r="J163" s="1197"/>
      <c r="K163" s="1197"/>
      <c r="L163" s="1197"/>
      <c r="M163" s="1197"/>
      <c r="N163" s="1197"/>
      <c r="O163" s="1197"/>
      <c r="P163" s="1197"/>
      <c r="Q163" s="1197"/>
      <c r="R163" s="1197"/>
      <c r="S163" s="1197"/>
      <c r="T163" s="1197"/>
      <c r="U163" s="1197"/>
      <c r="V163" s="2958"/>
      <c r="W163" s="1202">
        <v>0</v>
      </c>
      <c r="X163" s="1202">
        <v>0</v>
      </c>
      <c r="Y163" s="1202">
        <v>0</v>
      </c>
      <c r="Z163" s="1202"/>
      <c r="AA163" s="1202"/>
      <c r="AB163" s="1202"/>
      <c r="AC163" s="1202"/>
      <c r="AD163" s="1202"/>
      <c r="AE163" s="1202"/>
      <c r="AF163" s="1202"/>
      <c r="AG163" s="1202"/>
      <c r="AK163" s="1166"/>
      <c r="BB163" s="1193"/>
    </row>
    <row r="164" spans="1:54" s="1177" customFormat="1" outlineLevel="1" x14ac:dyDescent="0.25">
      <c r="A164" s="1197"/>
      <c r="B164" s="2136"/>
      <c r="C164" s="1194"/>
      <c r="D164" s="2956"/>
      <c r="E164" s="574" t="s">
        <v>1699</v>
      </c>
      <c r="F164" s="1233">
        <v>1</v>
      </c>
      <c r="G164" s="1381"/>
      <c r="H164" s="1542"/>
      <c r="I164" s="1197"/>
      <c r="J164" s="1197"/>
      <c r="K164" s="1197"/>
      <c r="L164" s="1197"/>
      <c r="M164" s="1197"/>
      <c r="N164" s="1197"/>
      <c r="O164" s="1197"/>
      <c r="P164" s="1197"/>
      <c r="Q164" s="1197"/>
      <c r="R164" s="1197"/>
      <c r="S164" s="1197"/>
      <c r="T164" s="1197"/>
      <c r="U164" s="1197"/>
      <c r="V164" s="2958"/>
      <c r="W164" s="1202">
        <v>1</v>
      </c>
      <c r="X164" s="1202">
        <v>1</v>
      </c>
      <c r="Y164" s="1202">
        <v>1</v>
      </c>
      <c r="Z164" s="1202"/>
      <c r="AA164" s="1202"/>
      <c r="AB164" s="1202"/>
      <c r="AC164" s="1202"/>
      <c r="AD164" s="1202"/>
      <c r="AE164" s="1202"/>
      <c r="AF164" s="1202"/>
      <c r="AG164" s="1202"/>
      <c r="AK164" s="1166"/>
      <c r="BB164" s="1193"/>
    </row>
    <row r="165" spans="1:54" s="1177" customFormat="1" outlineLevel="1" x14ac:dyDescent="0.25">
      <c r="A165" s="1197"/>
      <c r="B165" s="2136"/>
      <c r="C165" s="1194"/>
      <c r="D165" s="2956"/>
      <c r="E165" s="574" t="s">
        <v>1701</v>
      </c>
      <c r="F165" s="1233">
        <v>1</v>
      </c>
      <c r="G165" s="1381"/>
      <c r="H165" s="1542"/>
      <c r="I165" s="1197"/>
      <c r="J165" s="1197"/>
      <c r="K165" s="1197"/>
      <c r="L165" s="1197"/>
      <c r="M165" s="1197"/>
      <c r="N165" s="1197"/>
      <c r="O165" s="1197"/>
      <c r="P165" s="1197"/>
      <c r="Q165" s="1197"/>
      <c r="R165" s="1197"/>
      <c r="S165" s="1197"/>
      <c r="T165" s="1197"/>
      <c r="U165" s="1197"/>
      <c r="V165" s="2958"/>
      <c r="W165" s="1202">
        <v>1</v>
      </c>
      <c r="X165" s="1202">
        <v>1</v>
      </c>
      <c r="Y165" s="1202">
        <v>1</v>
      </c>
      <c r="Z165" s="1202"/>
      <c r="AA165" s="1202"/>
      <c r="AB165" s="1202"/>
      <c r="AC165" s="1202"/>
      <c r="AD165" s="1202"/>
      <c r="AE165" s="1202"/>
      <c r="AF165" s="1202"/>
      <c r="AG165" s="1202"/>
      <c r="AK165" s="1166"/>
      <c r="BB165" s="1193"/>
    </row>
    <row r="166" spans="1:54" s="1177" customFormat="1" outlineLevel="1" x14ac:dyDescent="0.25">
      <c r="A166" s="1197"/>
      <c r="B166" s="2136"/>
      <c r="C166" s="1194"/>
      <c r="D166" s="2956"/>
      <c r="E166" s="2146" t="s">
        <v>1703</v>
      </c>
      <c r="F166" s="1233">
        <v>0</v>
      </c>
      <c r="G166" s="1381"/>
      <c r="H166" s="1542"/>
      <c r="I166" s="1197"/>
      <c r="J166" s="1197"/>
      <c r="K166" s="1197"/>
      <c r="L166" s="1197"/>
      <c r="M166" s="1197"/>
      <c r="N166" s="1197"/>
      <c r="O166" s="1197"/>
      <c r="P166" s="1197"/>
      <c r="Q166" s="1197"/>
      <c r="R166" s="1197"/>
      <c r="S166" s="1197"/>
      <c r="T166" s="1197"/>
      <c r="U166" s="1197"/>
      <c r="V166" s="2958"/>
      <c r="W166" s="1202">
        <v>0</v>
      </c>
      <c r="X166" s="1202">
        <v>0</v>
      </c>
      <c r="Y166" s="1202">
        <v>0</v>
      </c>
      <c r="Z166" s="1202"/>
      <c r="AA166" s="1202"/>
      <c r="AB166" s="1202"/>
      <c r="AC166" s="1202"/>
      <c r="AD166" s="1202"/>
      <c r="AE166" s="1202"/>
      <c r="AF166" s="1202"/>
      <c r="AG166" s="1202"/>
      <c r="AK166" s="1166"/>
      <c r="BB166" s="1193"/>
    </row>
    <row r="167" spans="1:54" s="1177" customFormat="1" outlineLevel="1" x14ac:dyDescent="0.25">
      <c r="A167" s="1197"/>
      <c r="B167" s="2136"/>
      <c r="C167" s="1194"/>
      <c r="D167" s="2956"/>
      <c r="E167" s="574" t="s">
        <v>1705</v>
      </c>
      <c r="F167" s="1233">
        <v>1</v>
      </c>
      <c r="G167" s="1381"/>
      <c r="H167" s="1542"/>
      <c r="I167" s="1197"/>
      <c r="J167" s="1197"/>
      <c r="K167" s="1197"/>
      <c r="L167" s="1197"/>
      <c r="M167" s="1197"/>
      <c r="N167" s="1197"/>
      <c r="O167" s="1197"/>
      <c r="P167" s="1197"/>
      <c r="Q167" s="1197"/>
      <c r="R167" s="1197"/>
      <c r="S167" s="1197"/>
      <c r="T167" s="1197"/>
      <c r="U167" s="1197"/>
      <c r="V167" s="2958"/>
      <c r="W167" s="1202">
        <v>1</v>
      </c>
      <c r="X167" s="1202">
        <v>1</v>
      </c>
      <c r="Y167" s="1202">
        <v>1</v>
      </c>
      <c r="Z167" s="1202"/>
      <c r="AA167" s="1202"/>
      <c r="AB167" s="1202"/>
      <c r="AC167" s="1202"/>
      <c r="AD167" s="1202"/>
      <c r="AE167" s="1202"/>
      <c r="AF167" s="1202"/>
      <c r="AG167" s="1202"/>
      <c r="AK167" s="1166"/>
      <c r="BB167" s="1193"/>
    </row>
    <row r="168" spans="1:54" s="1177" customFormat="1" outlineLevel="1" x14ac:dyDescent="0.25">
      <c r="A168" s="1197"/>
      <c r="B168" s="2118"/>
      <c r="C168" s="1194"/>
      <c r="D168" s="2956"/>
      <c r="E168" s="574" t="s">
        <v>1707</v>
      </c>
      <c r="F168" s="1233">
        <v>1</v>
      </c>
      <c r="G168" s="1381"/>
      <c r="H168" s="1542"/>
      <c r="I168" s="1197"/>
      <c r="J168" s="1197"/>
      <c r="K168" s="1197"/>
      <c r="L168" s="1197"/>
      <c r="M168" s="1197"/>
      <c r="N168" s="1197"/>
      <c r="O168" s="1197"/>
      <c r="P168" s="1197"/>
      <c r="Q168" s="1197"/>
      <c r="R168" s="1197"/>
      <c r="S168" s="1197"/>
      <c r="T168" s="1197"/>
      <c r="U168" s="1197"/>
      <c r="V168" s="2958"/>
      <c r="W168" s="1202">
        <v>1</v>
      </c>
      <c r="X168" s="1202">
        <v>1</v>
      </c>
      <c r="Y168" s="1202">
        <v>1</v>
      </c>
      <c r="Z168" s="1202"/>
      <c r="AA168" s="1202"/>
      <c r="AB168" s="1202"/>
      <c r="AC168" s="1202"/>
      <c r="AD168" s="1202"/>
      <c r="AE168" s="1202"/>
      <c r="AF168" s="1202"/>
      <c r="AG168" s="1202"/>
      <c r="AK168" s="1166"/>
      <c r="BB168" s="1193"/>
    </row>
    <row r="169" spans="1:54" s="1177" customFormat="1" outlineLevel="1" x14ac:dyDescent="0.25">
      <c r="A169" s="1197"/>
      <c r="B169" s="2118"/>
      <c r="C169" s="1194"/>
      <c r="D169" s="2956"/>
      <c r="E169" s="583" t="s">
        <v>1709</v>
      </c>
      <c r="F169" s="1233">
        <v>0</v>
      </c>
      <c r="G169" s="1381"/>
      <c r="H169" s="1542"/>
      <c r="I169" s="1197"/>
      <c r="J169" s="1197"/>
      <c r="K169" s="1197"/>
      <c r="L169" s="1197"/>
      <c r="M169" s="1197"/>
      <c r="N169" s="1197"/>
      <c r="O169" s="1197"/>
      <c r="P169" s="1197"/>
      <c r="Q169" s="1197"/>
      <c r="R169" s="1197"/>
      <c r="S169" s="1197"/>
      <c r="T169" s="1197"/>
      <c r="U169" s="1197"/>
      <c r="V169" s="2958"/>
      <c r="W169" s="1202">
        <v>0</v>
      </c>
      <c r="X169" s="1202">
        <v>0</v>
      </c>
      <c r="Y169" s="1202">
        <v>0</v>
      </c>
      <c r="Z169" s="1202"/>
      <c r="AA169" s="1202"/>
      <c r="AB169" s="1202"/>
      <c r="AC169" s="1202"/>
      <c r="AD169" s="1202"/>
      <c r="AE169" s="1202"/>
      <c r="AF169" s="1202"/>
      <c r="AG169" s="1202"/>
      <c r="AK169" s="1166"/>
      <c r="BB169" s="1193"/>
    </row>
    <row r="170" spans="1:54" s="1177" customFormat="1" outlineLevel="1" x14ac:dyDescent="0.25">
      <c r="A170" s="1197"/>
      <c r="B170" s="2118"/>
      <c r="C170" s="1194"/>
      <c r="D170" s="2956"/>
      <c r="E170" s="574" t="s">
        <v>1711</v>
      </c>
      <c r="F170" s="1233">
        <v>1</v>
      </c>
      <c r="G170" s="1381"/>
      <c r="H170" s="1542"/>
      <c r="I170" s="1197"/>
      <c r="J170" s="1197"/>
      <c r="K170" s="1197"/>
      <c r="L170" s="1197"/>
      <c r="M170" s="1197"/>
      <c r="N170" s="1197"/>
      <c r="O170" s="1197"/>
      <c r="P170" s="1197"/>
      <c r="Q170" s="1197"/>
      <c r="R170" s="1197"/>
      <c r="S170" s="1197"/>
      <c r="T170" s="1197"/>
      <c r="U170" s="1197"/>
      <c r="V170" s="2958"/>
      <c r="W170" s="1202">
        <v>1</v>
      </c>
      <c r="X170" s="1202">
        <v>1</v>
      </c>
      <c r="Y170" s="1202">
        <v>1</v>
      </c>
      <c r="Z170" s="1202"/>
      <c r="AA170" s="1202"/>
      <c r="AB170" s="1202"/>
      <c r="AC170" s="1202"/>
      <c r="AD170" s="1202"/>
      <c r="AE170" s="1202"/>
      <c r="AF170" s="1202"/>
      <c r="AG170" s="1202"/>
      <c r="AK170" s="1166"/>
      <c r="BB170" s="1193"/>
    </row>
    <row r="171" spans="1:54" s="1177" customFormat="1" outlineLevel="1" x14ac:dyDescent="0.25">
      <c r="A171" s="1197"/>
      <c r="B171" s="2136"/>
      <c r="C171" s="1194"/>
      <c r="D171" s="2956"/>
      <c r="E171" s="574" t="s">
        <v>1713</v>
      </c>
      <c r="F171" s="1233">
        <v>1</v>
      </c>
      <c r="G171" s="1381"/>
      <c r="H171" s="1542"/>
      <c r="I171" s="1197"/>
      <c r="J171" s="1197"/>
      <c r="K171" s="1197"/>
      <c r="L171" s="1197"/>
      <c r="M171" s="1197"/>
      <c r="N171" s="1197"/>
      <c r="O171" s="1197"/>
      <c r="P171" s="1197"/>
      <c r="Q171" s="1197"/>
      <c r="R171" s="1197"/>
      <c r="S171" s="1197"/>
      <c r="T171" s="1197"/>
      <c r="U171" s="1197"/>
      <c r="V171" s="2958"/>
      <c r="W171" s="1202">
        <v>1</v>
      </c>
      <c r="X171" s="1202">
        <v>1</v>
      </c>
      <c r="Y171" s="1202">
        <v>1</v>
      </c>
      <c r="Z171" s="1202"/>
      <c r="AA171" s="1202"/>
      <c r="AB171" s="1202"/>
      <c r="AC171" s="1202"/>
      <c r="AD171" s="1202"/>
      <c r="AE171" s="1202"/>
      <c r="AF171" s="1202"/>
      <c r="AG171" s="1202"/>
      <c r="AK171" s="1166"/>
      <c r="BB171" s="1193"/>
    </row>
    <row r="172" spans="1:54" s="1177" customFormat="1" outlineLevel="1" x14ac:dyDescent="0.25">
      <c r="A172" s="1197"/>
      <c r="B172" s="2136"/>
      <c r="C172" s="1194"/>
      <c r="D172" s="2956"/>
      <c r="E172" s="2146" t="s">
        <v>1715</v>
      </c>
      <c r="F172" s="1233">
        <v>0</v>
      </c>
      <c r="G172" s="1381"/>
      <c r="H172" s="1542"/>
      <c r="I172" s="1197"/>
      <c r="J172" s="1197"/>
      <c r="K172" s="1197"/>
      <c r="L172" s="1197"/>
      <c r="M172" s="1197"/>
      <c r="N172" s="1197"/>
      <c r="O172" s="1197"/>
      <c r="P172" s="1197"/>
      <c r="Q172" s="1197"/>
      <c r="R172" s="1197"/>
      <c r="S172" s="1197"/>
      <c r="T172" s="1197"/>
      <c r="U172" s="1197"/>
      <c r="V172" s="2958"/>
      <c r="W172" s="1202">
        <v>0</v>
      </c>
      <c r="X172" s="1202">
        <v>0</v>
      </c>
      <c r="Y172" s="1202">
        <v>0</v>
      </c>
      <c r="Z172" s="1202"/>
      <c r="AA172" s="1202"/>
      <c r="AB172" s="1202"/>
      <c r="AC172" s="1202"/>
      <c r="AD172" s="1202"/>
      <c r="AE172" s="1202"/>
      <c r="AF172" s="1202"/>
      <c r="AG172" s="1202"/>
      <c r="AK172" s="1166"/>
      <c r="BB172" s="1193"/>
    </row>
    <row r="173" spans="1:54" s="1177" customFormat="1" outlineLevel="1" x14ac:dyDescent="0.25">
      <c r="A173" s="1197"/>
      <c r="B173" s="2136"/>
      <c r="C173" s="1194"/>
      <c r="D173" s="2956"/>
      <c r="E173" s="574" t="s">
        <v>1717</v>
      </c>
      <c r="F173" s="1233">
        <v>1</v>
      </c>
      <c r="G173" s="1381"/>
      <c r="H173" s="1542"/>
      <c r="I173" s="1197"/>
      <c r="J173" s="1197"/>
      <c r="K173" s="1197"/>
      <c r="L173" s="1197"/>
      <c r="M173" s="1197"/>
      <c r="N173" s="1197"/>
      <c r="O173" s="1197"/>
      <c r="P173" s="1197"/>
      <c r="Q173" s="1197"/>
      <c r="R173" s="1197"/>
      <c r="S173" s="1197"/>
      <c r="T173" s="1197"/>
      <c r="U173" s="1197"/>
      <c r="V173" s="2958"/>
      <c r="W173" s="1202">
        <v>1</v>
      </c>
      <c r="X173" s="1202">
        <v>1</v>
      </c>
      <c r="Y173" s="1202">
        <v>1</v>
      </c>
      <c r="Z173" s="1202"/>
      <c r="AA173" s="1202"/>
      <c r="AB173" s="1202"/>
      <c r="AC173" s="1202"/>
      <c r="AD173" s="1202"/>
      <c r="AE173" s="1202"/>
      <c r="AF173" s="1202"/>
      <c r="AG173" s="1202"/>
      <c r="AK173" s="1166"/>
      <c r="BB173" s="1193"/>
    </row>
    <row r="174" spans="1:54" s="1177" customFormat="1" outlineLevel="1" x14ac:dyDescent="0.25">
      <c r="A174" s="1197"/>
      <c r="B174" s="2136"/>
      <c r="C174" s="1194"/>
      <c r="D174" s="2956"/>
      <c r="E174" s="574" t="s">
        <v>1719</v>
      </c>
      <c r="F174" s="1233">
        <v>1</v>
      </c>
      <c r="G174" s="1381"/>
      <c r="H174" s="1542"/>
      <c r="I174" s="1197"/>
      <c r="J174" s="1197"/>
      <c r="K174" s="1197"/>
      <c r="L174" s="1197"/>
      <c r="M174" s="1197"/>
      <c r="N174" s="1197"/>
      <c r="O174" s="1197"/>
      <c r="P174" s="1197"/>
      <c r="Q174" s="1197"/>
      <c r="R174" s="1197"/>
      <c r="S174" s="1197"/>
      <c r="T174" s="1197"/>
      <c r="U174" s="1197"/>
      <c r="V174" s="2958"/>
      <c r="W174" s="1202">
        <v>1</v>
      </c>
      <c r="X174" s="1202">
        <v>1</v>
      </c>
      <c r="Y174" s="1202">
        <v>1</v>
      </c>
      <c r="Z174" s="1202"/>
      <c r="AA174" s="1202"/>
      <c r="AB174" s="1202"/>
      <c r="AC174" s="1202"/>
      <c r="AD174" s="1202"/>
      <c r="AE174" s="1202"/>
      <c r="AF174" s="1202"/>
      <c r="AG174" s="1202"/>
      <c r="AK174" s="1166"/>
      <c r="BB174" s="1193"/>
    </row>
    <row r="175" spans="1:54" s="1177" customFormat="1" outlineLevel="1" x14ac:dyDescent="0.25">
      <c r="A175" s="1197"/>
      <c r="B175" s="2136"/>
      <c r="C175" s="1194"/>
      <c r="D175" s="2956"/>
      <c r="E175" s="583" t="s">
        <v>1721</v>
      </c>
      <c r="F175" s="1233">
        <v>0</v>
      </c>
      <c r="G175" s="1381"/>
      <c r="H175" s="1542"/>
      <c r="I175" s="1197"/>
      <c r="J175" s="1197"/>
      <c r="K175" s="1197"/>
      <c r="L175" s="1197"/>
      <c r="M175" s="1197"/>
      <c r="N175" s="1197"/>
      <c r="O175" s="1197"/>
      <c r="P175" s="1197"/>
      <c r="Q175" s="1197"/>
      <c r="R175" s="1197"/>
      <c r="S175" s="1197"/>
      <c r="T175" s="1197"/>
      <c r="U175" s="1197"/>
      <c r="V175" s="2958"/>
      <c r="W175" s="1202">
        <v>0</v>
      </c>
      <c r="X175" s="1202">
        <v>0</v>
      </c>
      <c r="Y175" s="1202">
        <v>0</v>
      </c>
      <c r="Z175" s="1202"/>
      <c r="AA175" s="1202"/>
      <c r="AB175" s="1202"/>
      <c r="AC175" s="1202"/>
      <c r="AD175" s="1202"/>
      <c r="AE175" s="1202"/>
      <c r="AF175" s="1202"/>
      <c r="AG175" s="1202"/>
      <c r="AK175" s="1166"/>
      <c r="BB175" s="1193"/>
    </row>
    <row r="176" spans="1:54" s="1177" customFormat="1" outlineLevel="1" x14ac:dyDescent="0.25">
      <c r="A176" s="1197"/>
      <c r="B176" s="2136"/>
      <c r="C176" s="1194"/>
      <c r="D176" s="2956"/>
      <c r="E176" s="574" t="s">
        <v>1723</v>
      </c>
      <c r="F176" s="1233">
        <v>1</v>
      </c>
      <c r="G176" s="1381"/>
      <c r="H176" s="1542"/>
      <c r="I176" s="1197"/>
      <c r="J176" s="1197"/>
      <c r="K176" s="1197"/>
      <c r="L176" s="1197"/>
      <c r="M176" s="1197"/>
      <c r="N176" s="1197"/>
      <c r="O176" s="1197"/>
      <c r="P176" s="1197"/>
      <c r="Q176" s="1197"/>
      <c r="R176" s="1197"/>
      <c r="S176" s="1197"/>
      <c r="T176" s="1197"/>
      <c r="U176" s="1197"/>
      <c r="V176" s="2958"/>
      <c r="W176" s="1202">
        <v>1</v>
      </c>
      <c r="X176" s="1202">
        <v>1</v>
      </c>
      <c r="Y176" s="1202">
        <v>1</v>
      </c>
      <c r="Z176" s="1202"/>
      <c r="AA176" s="1202"/>
      <c r="AB176" s="1202"/>
      <c r="AC176" s="1202"/>
      <c r="AD176" s="1202"/>
      <c r="AE176" s="1202"/>
      <c r="AF176" s="1202"/>
      <c r="AG176" s="1202"/>
      <c r="AK176" s="1166"/>
      <c r="BB176" s="1193"/>
    </row>
    <row r="177" spans="1:54" s="1177" customFormat="1" outlineLevel="1" x14ac:dyDescent="0.25">
      <c r="A177" s="1197"/>
      <c r="B177" s="2136"/>
      <c r="C177" s="1194"/>
      <c r="D177" s="2956"/>
      <c r="E177" s="583" t="s">
        <v>1725</v>
      </c>
      <c r="F177" s="1233">
        <v>1</v>
      </c>
      <c r="G177" s="1381"/>
      <c r="H177" s="1542"/>
      <c r="I177" s="1197"/>
      <c r="J177" s="1197"/>
      <c r="K177" s="1197"/>
      <c r="L177" s="1197"/>
      <c r="M177" s="1197"/>
      <c r="N177" s="1197"/>
      <c r="O177" s="1197"/>
      <c r="P177" s="1197"/>
      <c r="Q177" s="1197"/>
      <c r="R177" s="1197"/>
      <c r="S177" s="1197"/>
      <c r="T177" s="1197"/>
      <c r="U177" s="1197"/>
      <c r="V177" s="2958"/>
      <c r="W177" s="1202">
        <v>1</v>
      </c>
      <c r="X177" s="1202">
        <v>1</v>
      </c>
      <c r="Y177" s="1202">
        <v>1</v>
      </c>
      <c r="Z177" s="1202"/>
      <c r="AA177" s="1202"/>
      <c r="AB177" s="1202"/>
      <c r="AC177" s="1202"/>
      <c r="AD177" s="1202"/>
      <c r="AE177" s="1202"/>
      <c r="AF177" s="1202"/>
      <c r="AG177" s="1202"/>
      <c r="AK177" s="1166"/>
      <c r="BB177" s="1193"/>
    </row>
    <row r="178" spans="1:54" s="1177" customFormat="1" outlineLevel="1" x14ac:dyDescent="0.25">
      <c r="A178" s="1197"/>
      <c r="B178" s="2136"/>
      <c r="C178" s="1194"/>
      <c r="D178" s="2956"/>
      <c r="E178" s="574" t="s">
        <v>1727</v>
      </c>
      <c r="F178" s="1233">
        <v>0</v>
      </c>
      <c r="G178" s="1381"/>
      <c r="H178" s="1542"/>
      <c r="I178" s="1197"/>
      <c r="J178" s="1197"/>
      <c r="K178" s="1197"/>
      <c r="L178" s="1197"/>
      <c r="M178" s="1197"/>
      <c r="N178" s="1197"/>
      <c r="O178" s="1197"/>
      <c r="P178" s="1197"/>
      <c r="Q178" s="1197"/>
      <c r="R178" s="1197"/>
      <c r="S178" s="1197"/>
      <c r="T178" s="1197"/>
      <c r="U178" s="1197"/>
      <c r="V178" s="2958"/>
      <c r="W178" s="1202">
        <v>0</v>
      </c>
      <c r="X178" s="1202">
        <v>0</v>
      </c>
      <c r="Y178" s="1202">
        <v>0</v>
      </c>
      <c r="Z178" s="1202"/>
      <c r="AA178" s="1202"/>
      <c r="AB178" s="1202"/>
      <c r="AC178" s="1202"/>
      <c r="AD178" s="1202"/>
      <c r="AE178" s="1202"/>
      <c r="AF178" s="1202"/>
      <c r="AG178" s="1202"/>
      <c r="AK178" s="1166"/>
      <c r="BB178" s="1193"/>
    </row>
    <row r="179" spans="1:54" s="1177" customFormat="1" outlineLevel="1" x14ac:dyDescent="0.25">
      <c r="A179" s="1197"/>
      <c r="B179" s="2136"/>
      <c r="C179" s="1194"/>
      <c r="D179" s="2956"/>
      <c r="E179" s="574" t="s">
        <v>1729</v>
      </c>
      <c r="F179" s="1233">
        <v>1</v>
      </c>
      <c r="G179" s="1381"/>
      <c r="H179" s="1542"/>
      <c r="I179" s="1197"/>
      <c r="J179" s="1197"/>
      <c r="K179" s="1197"/>
      <c r="L179" s="1197"/>
      <c r="M179" s="1197"/>
      <c r="N179" s="1197"/>
      <c r="O179" s="1197"/>
      <c r="P179" s="1197"/>
      <c r="Q179" s="1197"/>
      <c r="R179" s="1197"/>
      <c r="S179" s="1197"/>
      <c r="T179" s="1197"/>
      <c r="U179" s="1197"/>
      <c r="V179" s="2958"/>
      <c r="W179" s="1202">
        <v>1</v>
      </c>
      <c r="X179" s="1202">
        <v>1</v>
      </c>
      <c r="Y179" s="1202">
        <v>1</v>
      </c>
      <c r="Z179" s="1202"/>
      <c r="AA179" s="1202"/>
      <c r="AB179" s="1202"/>
      <c r="AC179" s="1202"/>
      <c r="AD179" s="1202"/>
      <c r="AE179" s="1202"/>
      <c r="AF179" s="1202"/>
      <c r="AG179" s="1202"/>
      <c r="AK179" s="1166"/>
      <c r="BB179" s="1193"/>
    </row>
    <row r="180" spans="1:54" s="1177" customFormat="1" outlineLevel="1" x14ac:dyDescent="0.25">
      <c r="A180" s="1197"/>
      <c r="B180" s="2136"/>
      <c r="C180" s="1194"/>
      <c r="D180" s="2956"/>
      <c r="E180" s="574" t="s">
        <v>1731</v>
      </c>
      <c r="F180" s="1233">
        <v>1</v>
      </c>
      <c r="G180" s="1381"/>
      <c r="H180" s="1542"/>
      <c r="I180" s="1197"/>
      <c r="J180" s="1197"/>
      <c r="K180" s="1197"/>
      <c r="L180" s="1197"/>
      <c r="M180" s="1197"/>
      <c r="N180" s="1197"/>
      <c r="O180" s="1197"/>
      <c r="P180" s="1197"/>
      <c r="Q180" s="1197"/>
      <c r="R180" s="1197"/>
      <c r="S180" s="1197"/>
      <c r="T180" s="1197"/>
      <c r="U180" s="1197"/>
      <c r="V180" s="2958"/>
      <c r="W180" s="1202">
        <v>1</v>
      </c>
      <c r="X180" s="1202">
        <v>1</v>
      </c>
      <c r="Y180" s="1202">
        <v>1</v>
      </c>
      <c r="Z180" s="1202"/>
      <c r="AA180" s="1202"/>
      <c r="AB180" s="1202"/>
      <c r="AC180" s="1202"/>
      <c r="AD180" s="1202"/>
      <c r="AE180" s="1202"/>
      <c r="AF180" s="1202"/>
      <c r="AG180" s="1202"/>
      <c r="AK180" s="1166"/>
      <c r="BB180" s="1193"/>
    </row>
    <row r="181" spans="1:54" s="1177" customFormat="1" outlineLevel="1" x14ac:dyDescent="0.25">
      <c r="A181" s="1197"/>
      <c r="B181" s="2136"/>
      <c r="C181" s="1194"/>
      <c r="D181" s="2956"/>
      <c r="E181" s="583" t="s">
        <v>1733</v>
      </c>
      <c r="F181" s="1233">
        <v>0</v>
      </c>
      <c r="G181" s="1381"/>
      <c r="H181" s="1542"/>
      <c r="I181" s="1197"/>
      <c r="J181" s="1197"/>
      <c r="K181" s="1197"/>
      <c r="L181" s="1197"/>
      <c r="M181" s="1197"/>
      <c r="N181" s="1197"/>
      <c r="O181" s="1197"/>
      <c r="P181" s="1197"/>
      <c r="Q181" s="1197"/>
      <c r="R181" s="1197"/>
      <c r="S181" s="1197"/>
      <c r="T181" s="1197"/>
      <c r="U181" s="1197"/>
      <c r="V181" s="2958"/>
      <c r="W181" s="1202">
        <v>0</v>
      </c>
      <c r="X181" s="1202">
        <v>0</v>
      </c>
      <c r="Y181" s="1202">
        <v>0</v>
      </c>
      <c r="Z181" s="1202"/>
      <c r="AA181" s="1202"/>
      <c r="AB181" s="1202"/>
      <c r="AC181" s="1202"/>
      <c r="AD181" s="1202"/>
      <c r="AE181" s="1202"/>
      <c r="AF181" s="1202"/>
      <c r="AG181" s="1202"/>
      <c r="AK181" s="1166"/>
      <c r="BB181" s="1193"/>
    </row>
    <row r="182" spans="1:54" s="1177" customFormat="1" outlineLevel="1" x14ac:dyDescent="0.25">
      <c r="A182" s="1197"/>
      <c r="B182" s="2136"/>
      <c r="C182" s="1194"/>
      <c r="D182" s="2956"/>
      <c r="E182" s="574" t="s">
        <v>1735</v>
      </c>
      <c r="F182" s="1233">
        <v>1</v>
      </c>
      <c r="G182" s="1381"/>
      <c r="H182" s="1542"/>
      <c r="I182" s="1197"/>
      <c r="J182" s="1197"/>
      <c r="K182" s="1197"/>
      <c r="L182" s="1197"/>
      <c r="M182" s="1197"/>
      <c r="N182" s="1197"/>
      <c r="O182" s="1197"/>
      <c r="P182" s="1197"/>
      <c r="Q182" s="1197"/>
      <c r="R182" s="1197"/>
      <c r="S182" s="1197"/>
      <c r="T182" s="1197"/>
      <c r="U182" s="1197"/>
      <c r="V182" s="2958"/>
      <c r="W182" s="1202">
        <v>1</v>
      </c>
      <c r="X182" s="1202">
        <v>1</v>
      </c>
      <c r="Y182" s="1202">
        <v>1</v>
      </c>
      <c r="Z182" s="1202"/>
      <c r="AA182" s="1202"/>
      <c r="AB182" s="1202"/>
      <c r="AC182" s="1202"/>
      <c r="AD182" s="1202"/>
      <c r="AE182" s="1202"/>
      <c r="AF182" s="1202"/>
      <c r="AG182" s="1202"/>
      <c r="AK182" s="1166"/>
      <c r="BB182" s="1193"/>
    </row>
    <row r="183" spans="1:54" s="1177" customFormat="1" outlineLevel="1" x14ac:dyDescent="0.25">
      <c r="A183" s="1197"/>
      <c r="B183" s="2136"/>
      <c r="C183" s="1194"/>
      <c r="D183" s="2956"/>
      <c r="E183" s="583" t="s">
        <v>1737</v>
      </c>
      <c r="F183" s="1233">
        <v>1</v>
      </c>
      <c r="G183" s="1381"/>
      <c r="H183" s="1542"/>
      <c r="I183" s="1197"/>
      <c r="J183" s="1197"/>
      <c r="K183" s="1197"/>
      <c r="L183" s="1197"/>
      <c r="M183" s="1197"/>
      <c r="N183" s="1197"/>
      <c r="O183" s="1197"/>
      <c r="P183" s="1197"/>
      <c r="Q183" s="1197"/>
      <c r="R183" s="1197"/>
      <c r="S183" s="1197"/>
      <c r="T183" s="1197"/>
      <c r="U183" s="1197"/>
      <c r="V183" s="2958"/>
      <c r="W183" s="1202">
        <v>1</v>
      </c>
      <c r="X183" s="1202">
        <v>1</v>
      </c>
      <c r="Y183" s="1202">
        <v>1</v>
      </c>
      <c r="Z183" s="1202"/>
      <c r="AA183" s="1202"/>
      <c r="AB183" s="1202"/>
      <c r="AC183" s="1202"/>
      <c r="AD183" s="1202"/>
      <c r="AE183" s="1202"/>
      <c r="AF183" s="1202"/>
      <c r="AG183" s="1202"/>
      <c r="AK183" s="1166"/>
      <c r="BB183" s="1193"/>
    </row>
    <row r="184" spans="1:54" s="1177" customFormat="1" outlineLevel="1" x14ac:dyDescent="0.25">
      <c r="A184" s="1197"/>
      <c r="B184" s="2136"/>
      <c r="C184" s="1194"/>
      <c r="D184" s="2956"/>
      <c r="E184" s="574" t="s">
        <v>1739</v>
      </c>
      <c r="F184" s="1233">
        <v>0</v>
      </c>
      <c r="G184" s="1381"/>
      <c r="H184" s="1542"/>
      <c r="I184" s="1197"/>
      <c r="J184" s="1197"/>
      <c r="K184" s="1197"/>
      <c r="L184" s="1197"/>
      <c r="M184" s="1197"/>
      <c r="N184" s="1197"/>
      <c r="O184" s="1197"/>
      <c r="P184" s="1197"/>
      <c r="Q184" s="1197"/>
      <c r="R184" s="1197"/>
      <c r="S184" s="1197"/>
      <c r="T184" s="1197"/>
      <c r="U184" s="1197"/>
      <c r="V184" s="2965"/>
      <c r="W184" s="1202">
        <v>0</v>
      </c>
      <c r="X184" s="1202">
        <v>0</v>
      </c>
      <c r="Y184" s="1202">
        <v>0</v>
      </c>
      <c r="Z184" s="1202"/>
      <c r="AA184" s="1202"/>
      <c r="AB184" s="1202"/>
      <c r="AC184" s="1202"/>
      <c r="AD184" s="1202"/>
      <c r="AE184" s="1202"/>
      <c r="AF184" s="1202"/>
      <c r="AG184" s="1202"/>
      <c r="AK184" s="1166"/>
      <c r="BB184" s="1193"/>
    </row>
    <row r="185" spans="1:54" s="1177" customFormat="1" ht="17.25" customHeight="1" outlineLevel="1" x14ac:dyDescent="0.25">
      <c r="A185" s="1197"/>
      <c r="B185" s="2118"/>
      <c r="C185" s="1194"/>
      <c r="D185" s="2955" t="s">
        <v>2311</v>
      </c>
      <c r="E185" s="574" t="s">
        <v>1681</v>
      </c>
      <c r="F185" s="1541">
        <v>11</v>
      </c>
      <c r="G185" s="1381"/>
      <c r="H185" s="1542" t="s">
        <v>1740</v>
      </c>
      <c r="I185" s="1197"/>
      <c r="J185" s="1197"/>
      <c r="K185" s="1197"/>
      <c r="L185" s="1197"/>
      <c r="M185" s="1197"/>
      <c r="N185" s="1197"/>
      <c r="O185" s="1197"/>
      <c r="P185" s="1197"/>
      <c r="Q185" s="1197"/>
      <c r="R185" s="1197"/>
      <c r="S185" s="1197"/>
      <c r="T185" s="1197"/>
      <c r="U185" s="1197"/>
      <c r="V185" s="2957" t="str">
        <f>D185</f>
        <v>Rold</v>
      </c>
      <c r="W185" s="1188">
        <v>11</v>
      </c>
      <c r="X185" s="1188">
        <v>11</v>
      </c>
      <c r="Y185" s="1188">
        <v>11</v>
      </c>
      <c r="Z185" s="1188"/>
      <c r="AA185" s="1188"/>
      <c r="AB185" s="1188"/>
      <c r="AC185" s="1188"/>
      <c r="AD185" s="1188"/>
      <c r="AE185" s="1188"/>
      <c r="AF185" s="1188"/>
      <c r="AG185" s="1188"/>
      <c r="AK185" s="1166"/>
      <c r="BB185" s="1193"/>
    </row>
    <row r="186" spans="1:54" s="1177" customFormat="1" outlineLevel="1" x14ac:dyDescent="0.25">
      <c r="A186" s="1197"/>
      <c r="B186" s="2118"/>
      <c r="C186" s="1194"/>
      <c r="D186" s="2956"/>
      <c r="E186" s="574" t="s">
        <v>1683</v>
      </c>
      <c r="F186" s="1541">
        <v>11</v>
      </c>
      <c r="G186" s="1381"/>
      <c r="H186" s="1542" t="s">
        <v>1740</v>
      </c>
      <c r="I186" s="1197"/>
      <c r="J186" s="1197"/>
      <c r="K186" s="1197"/>
      <c r="L186" s="1197"/>
      <c r="M186" s="1197"/>
      <c r="N186" s="1197"/>
      <c r="O186" s="1197"/>
      <c r="P186" s="1197"/>
      <c r="Q186" s="1197"/>
      <c r="R186" s="1197"/>
      <c r="S186" s="1197"/>
      <c r="T186" s="1197"/>
      <c r="U186" s="1197"/>
      <c r="V186" s="2958"/>
      <c r="W186" s="1188">
        <v>11</v>
      </c>
      <c r="X186" s="1188">
        <v>11</v>
      </c>
      <c r="Y186" s="1188">
        <v>11</v>
      </c>
      <c r="Z186" s="1188"/>
      <c r="AA186" s="1188"/>
      <c r="AB186" s="1188"/>
      <c r="AC186" s="1188"/>
      <c r="AD186" s="1188"/>
      <c r="AE186" s="1188"/>
      <c r="AF186" s="1188"/>
      <c r="AG186" s="1188"/>
      <c r="AK186" s="1166"/>
      <c r="BB186" s="1193"/>
    </row>
    <row r="187" spans="1:54" s="1177" customFormat="1" outlineLevel="1" x14ac:dyDescent="0.25">
      <c r="A187" s="1197"/>
      <c r="B187" s="2118"/>
      <c r="C187" s="1194"/>
      <c r="D187" s="2956"/>
      <c r="E187" s="574" t="s">
        <v>1685</v>
      </c>
      <c r="F187" s="1541">
        <v>11</v>
      </c>
      <c r="G187" s="1381"/>
      <c r="H187" s="1542" t="s">
        <v>1740</v>
      </c>
      <c r="I187" s="1197"/>
      <c r="J187" s="1197"/>
      <c r="K187" s="1197"/>
      <c r="L187" s="1197"/>
      <c r="M187" s="1197"/>
      <c r="N187" s="1197"/>
      <c r="O187" s="1197"/>
      <c r="P187" s="1197"/>
      <c r="Q187" s="1197"/>
      <c r="R187" s="1197"/>
      <c r="S187" s="1197"/>
      <c r="T187" s="1197"/>
      <c r="U187" s="1197"/>
      <c r="V187" s="2958"/>
      <c r="W187" s="1188">
        <v>11</v>
      </c>
      <c r="X187" s="1188">
        <v>11</v>
      </c>
      <c r="Y187" s="1188">
        <v>11</v>
      </c>
      <c r="Z187" s="1188"/>
      <c r="AA187" s="1188"/>
      <c r="AB187" s="1188"/>
      <c r="AC187" s="1188"/>
      <c r="AD187" s="1188"/>
      <c r="AE187" s="1188"/>
      <c r="AF187" s="1188"/>
      <c r="AG187" s="1188"/>
      <c r="AK187" s="1166"/>
      <c r="BB187" s="1193"/>
    </row>
    <row r="188" spans="1:54" s="1177" customFormat="1" outlineLevel="1" x14ac:dyDescent="0.25">
      <c r="A188" s="1197"/>
      <c r="B188" s="2118"/>
      <c r="C188" s="1194"/>
      <c r="D188" s="2956"/>
      <c r="E188" s="574" t="s">
        <v>1687</v>
      </c>
      <c r="F188" s="1541">
        <v>11</v>
      </c>
      <c r="G188" s="1381"/>
      <c r="H188" s="1542" t="s">
        <v>1740</v>
      </c>
      <c r="I188" s="1197"/>
      <c r="J188" s="1197"/>
      <c r="K188" s="1197"/>
      <c r="L188" s="1197"/>
      <c r="M188" s="1197"/>
      <c r="N188" s="1197"/>
      <c r="O188" s="1197"/>
      <c r="P188" s="1197"/>
      <c r="Q188" s="1197"/>
      <c r="R188" s="1197"/>
      <c r="S188" s="1197"/>
      <c r="T188" s="1197"/>
      <c r="U188" s="1197"/>
      <c r="V188" s="2958"/>
      <c r="W188" s="1188">
        <v>11</v>
      </c>
      <c r="X188" s="1188">
        <v>11</v>
      </c>
      <c r="Y188" s="1188">
        <v>11</v>
      </c>
      <c r="Z188" s="1188"/>
      <c r="AA188" s="1188"/>
      <c r="AB188" s="1188"/>
      <c r="AC188" s="1188"/>
      <c r="AD188" s="1188"/>
      <c r="AE188" s="1188"/>
      <c r="AF188" s="1188"/>
      <c r="AG188" s="1188"/>
      <c r="AK188" s="1166"/>
      <c r="BB188" s="1193"/>
    </row>
    <row r="189" spans="1:54" s="1177" customFormat="1" outlineLevel="1" x14ac:dyDescent="0.25">
      <c r="A189" s="1197"/>
      <c r="B189" s="2118"/>
      <c r="C189" s="1194"/>
      <c r="D189" s="2956"/>
      <c r="E189" s="574" t="s">
        <v>1689</v>
      </c>
      <c r="F189" s="1541">
        <v>11</v>
      </c>
      <c r="G189" s="1381"/>
      <c r="H189" s="1542" t="s">
        <v>1740</v>
      </c>
      <c r="I189" s="1197"/>
      <c r="J189" s="1197"/>
      <c r="K189" s="1197"/>
      <c r="L189" s="1197"/>
      <c r="M189" s="1197"/>
      <c r="N189" s="1197"/>
      <c r="O189" s="1197"/>
      <c r="P189" s="1197"/>
      <c r="Q189" s="1197"/>
      <c r="R189" s="1197"/>
      <c r="S189" s="1197"/>
      <c r="T189" s="1197"/>
      <c r="U189" s="1197"/>
      <c r="V189" s="2958"/>
      <c r="W189" s="1188">
        <v>11</v>
      </c>
      <c r="X189" s="1188">
        <v>11</v>
      </c>
      <c r="Y189" s="1188">
        <v>11</v>
      </c>
      <c r="Z189" s="1188"/>
      <c r="AA189" s="1188"/>
      <c r="AB189" s="1188"/>
      <c r="AC189" s="1188"/>
      <c r="AD189" s="1188"/>
      <c r="AE189" s="1188"/>
      <c r="AF189" s="1188"/>
      <c r="AG189" s="1188"/>
      <c r="AK189" s="1166"/>
      <c r="BB189" s="1193"/>
    </row>
    <row r="190" spans="1:54" s="1177" customFormat="1" outlineLevel="1" x14ac:dyDescent="0.25">
      <c r="A190" s="1197"/>
      <c r="B190" s="2136"/>
      <c r="C190" s="1194"/>
      <c r="D190" s="2956"/>
      <c r="E190" s="574" t="s">
        <v>1691</v>
      </c>
      <c r="F190" s="1541">
        <v>11</v>
      </c>
      <c r="G190" s="1381"/>
      <c r="H190" s="1542" t="s">
        <v>1740</v>
      </c>
      <c r="I190" s="1197"/>
      <c r="J190" s="1197"/>
      <c r="K190" s="1197"/>
      <c r="L190" s="1197"/>
      <c r="M190" s="1197"/>
      <c r="N190" s="1197"/>
      <c r="O190" s="1197"/>
      <c r="P190" s="1197"/>
      <c r="Q190" s="1197"/>
      <c r="R190" s="1197"/>
      <c r="S190" s="1197"/>
      <c r="T190" s="1197"/>
      <c r="U190" s="1197"/>
      <c r="V190" s="2958"/>
      <c r="W190" s="1188">
        <v>11</v>
      </c>
      <c r="X190" s="1188">
        <v>11</v>
      </c>
      <c r="Y190" s="1188">
        <v>11</v>
      </c>
      <c r="Z190" s="1188"/>
      <c r="AA190" s="1188"/>
      <c r="AB190" s="1188"/>
      <c r="AC190" s="1188"/>
      <c r="AD190" s="1188"/>
      <c r="AE190" s="1188"/>
      <c r="AF190" s="1188"/>
      <c r="AG190" s="1188"/>
      <c r="AK190" s="1166"/>
      <c r="BB190" s="1193"/>
    </row>
    <row r="191" spans="1:54" s="1177" customFormat="1" outlineLevel="1" x14ac:dyDescent="0.25">
      <c r="A191" s="1197"/>
      <c r="B191" s="2136"/>
      <c r="C191" s="1194"/>
      <c r="D191" s="2956"/>
      <c r="E191" s="574" t="s">
        <v>1693</v>
      </c>
      <c r="F191" s="1541">
        <v>5</v>
      </c>
      <c r="G191" s="1381"/>
      <c r="H191" s="1542" t="s">
        <v>1740</v>
      </c>
      <c r="I191" s="1197"/>
      <c r="J191" s="1197"/>
      <c r="K191" s="1197"/>
      <c r="L191" s="1197"/>
      <c r="M191" s="1197"/>
      <c r="N191" s="1197"/>
      <c r="O191" s="1197"/>
      <c r="P191" s="1197"/>
      <c r="Q191" s="1197"/>
      <c r="R191" s="1197"/>
      <c r="S191" s="1197"/>
      <c r="T191" s="1197"/>
      <c r="U191" s="1197"/>
      <c r="V191" s="2958"/>
      <c r="W191" s="1188">
        <v>5</v>
      </c>
      <c r="X191" s="1188">
        <v>5</v>
      </c>
      <c r="Y191" s="1188">
        <v>5</v>
      </c>
      <c r="Z191" s="1188"/>
      <c r="AA191" s="1188"/>
      <c r="AB191" s="1188"/>
      <c r="AC191" s="1188"/>
      <c r="AD191" s="1188"/>
      <c r="AE191" s="1188"/>
      <c r="AF191" s="1188"/>
      <c r="AG191" s="1188"/>
      <c r="AK191" s="1166"/>
      <c r="BB191" s="1193"/>
    </row>
    <row r="192" spans="1:54" s="1177" customFormat="1" outlineLevel="1" x14ac:dyDescent="0.25">
      <c r="A192" s="1197"/>
      <c r="B192" s="2136"/>
      <c r="C192" s="1194"/>
      <c r="D192" s="2956"/>
      <c r="E192" s="574" t="s">
        <v>1695</v>
      </c>
      <c r="F192" s="1541">
        <v>5</v>
      </c>
      <c r="G192" s="1381"/>
      <c r="H192" s="1542" t="s">
        <v>1740</v>
      </c>
      <c r="I192" s="1197"/>
      <c r="J192" s="1197"/>
      <c r="K192" s="1197"/>
      <c r="L192" s="1197"/>
      <c r="M192" s="1197"/>
      <c r="N192" s="1197"/>
      <c r="O192" s="1197"/>
      <c r="P192" s="1197"/>
      <c r="Q192" s="1197"/>
      <c r="R192" s="1197"/>
      <c r="S192" s="1197"/>
      <c r="T192" s="1197"/>
      <c r="U192" s="1197"/>
      <c r="V192" s="2958"/>
      <c r="W192" s="1188">
        <v>5</v>
      </c>
      <c r="X192" s="1188">
        <v>5</v>
      </c>
      <c r="Y192" s="1188">
        <v>5</v>
      </c>
      <c r="Z192" s="1188"/>
      <c r="AA192" s="1188"/>
      <c r="AB192" s="1188"/>
      <c r="AC192" s="1188"/>
      <c r="AD192" s="1188"/>
      <c r="AE192" s="1188"/>
      <c r="AF192" s="1188"/>
      <c r="AG192" s="1188"/>
      <c r="AK192" s="1166"/>
      <c r="BB192" s="1193"/>
    </row>
    <row r="193" spans="1:54" s="1177" customFormat="1" outlineLevel="1" x14ac:dyDescent="0.25">
      <c r="A193" s="1197"/>
      <c r="B193" s="2136"/>
      <c r="C193" s="1194"/>
      <c r="D193" s="2956"/>
      <c r="E193" s="583" t="s">
        <v>1697</v>
      </c>
      <c r="F193" s="1541">
        <v>5</v>
      </c>
      <c r="G193" s="1381"/>
      <c r="H193" s="1542" t="s">
        <v>1740</v>
      </c>
      <c r="I193" s="1197"/>
      <c r="J193" s="1197"/>
      <c r="K193" s="1197"/>
      <c r="L193" s="1197"/>
      <c r="M193" s="1197"/>
      <c r="N193" s="1197"/>
      <c r="O193" s="1197"/>
      <c r="P193" s="1197"/>
      <c r="Q193" s="1197"/>
      <c r="R193" s="1197"/>
      <c r="S193" s="1197"/>
      <c r="T193" s="1197"/>
      <c r="U193" s="1197"/>
      <c r="V193" s="2958"/>
      <c r="W193" s="1188">
        <v>5</v>
      </c>
      <c r="X193" s="1188">
        <v>5</v>
      </c>
      <c r="Y193" s="1188">
        <v>5</v>
      </c>
      <c r="Z193" s="1188"/>
      <c r="AA193" s="1188"/>
      <c r="AB193" s="1188"/>
      <c r="AC193" s="1188"/>
      <c r="AD193" s="1188"/>
      <c r="AE193" s="1188"/>
      <c r="AF193" s="1188"/>
      <c r="AG193" s="1188"/>
      <c r="AK193" s="1166"/>
      <c r="BB193" s="1193"/>
    </row>
    <row r="194" spans="1:54" s="1177" customFormat="1" outlineLevel="1" x14ac:dyDescent="0.25">
      <c r="A194" s="1197"/>
      <c r="B194" s="2136"/>
      <c r="C194" s="1194"/>
      <c r="D194" s="2956"/>
      <c r="E194" s="574" t="s">
        <v>1699</v>
      </c>
      <c r="F194" s="1541">
        <v>5</v>
      </c>
      <c r="G194" s="1381"/>
      <c r="H194" s="1542" t="s">
        <v>1740</v>
      </c>
      <c r="I194" s="1197"/>
      <c r="J194" s="1197"/>
      <c r="K194" s="1197"/>
      <c r="L194" s="1197"/>
      <c r="M194" s="1197"/>
      <c r="N194" s="1197"/>
      <c r="O194" s="1197"/>
      <c r="P194" s="1197"/>
      <c r="Q194" s="1197"/>
      <c r="R194" s="1197"/>
      <c r="S194" s="1197"/>
      <c r="T194" s="1197"/>
      <c r="U194" s="1197"/>
      <c r="V194" s="2958"/>
      <c r="W194" s="1188">
        <v>5</v>
      </c>
      <c r="X194" s="1188">
        <v>5</v>
      </c>
      <c r="Y194" s="1188">
        <v>5</v>
      </c>
      <c r="Z194" s="1188"/>
      <c r="AA194" s="1188"/>
      <c r="AB194" s="1188"/>
      <c r="AC194" s="1188"/>
      <c r="AD194" s="1188"/>
      <c r="AE194" s="1188"/>
      <c r="AF194" s="1188"/>
      <c r="AG194" s="1188"/>
      <c r="AK194" s="1166"/>
      <c r="BB194" s="1193"/>
    </row>
    <row r="195" spans="1:54" s="1177" customFormat="1" outlineLevel="1" x14ac:dyDescent="0.25">
      <c r="A195" s="1197"/>
      <c r="B195" s="2136"/>
      <c r="C195" s="1194"/>
      <c r="D195" s="2956"/>
      <c r="E195" s="574" t="s">
        <v>1701</v>
      </c>
      <c r="F195" s="1541">
        <v>5</v>
      </c>
      <c r="G195" s="1381"/>
      <c r="H195" s="1542" t="s">
        <v>1740</v>
      </c>
      <c r="I195" s="1197"/>
      <c r="J195" s="1197"/>
      <c r="K195" s="1197"/>
      <c r="L195" s="1197"/>
      <c r="M195" s="1197"/>
      <c r="N195" s="1197"/>
      <c r="O195" s="1197"/>
      <c r="P195" s="1197"/>
      <c r="Q195" s="1197"/>
      <c r="R195" s="1197"/>
      <c r="S195" s="1197"/>
      <c r="T195" s="1197"/>
      <c r="U195" s="1197"/>
      <c r="V195" s="2958"/>
      <c r="W195" s="1188">
        <v>5</v>
      </c>
      <c r="X195" s="1188">
        <v>5</v>
      </c>
      <c r="Y195" s="1188">
        <v>5</v>
      </c>
      <c r="Z195" s="1188"/>
      <c r="AA195" s="1188"/>
      <c r="AB195" s="1188"/>
      <c r="AC195" s="1188"/>
      <c r="AD195" s="1188"/>
      <c r="AE195" s="1188"/>
      <c r="AF195" s="1188"/>
      <c r="AG195" s="1188"/>
      <c r="AK195" s="1166"/>
      <c r="BB195" s="1193"/>
    </row>
    <row r="196" spans="1:54" s="1177" customFormat="1" outlineLevel="1" x14ac:dyDescent="0.25">
      <c r="A196" s="1197"/>
      <c r="B196" s="2136"/>
      <c r="C196" s="1194"/>
      <c r="D196" s="2956"/>
      <c r="E196" s="2146" t="s">
        <v>1703</v>
      </c>
      <c r="F196" s="1541">
        <v>5</v>
      </c>
      <c r="G196" s="1381"/>
      <c r="H196" s="1542" t="s">
        <v>1740</v>
      </c>
      <c r="I196" s="1197"/>
      <c r="J196" s="1197"/>
      <c r="K196" s="1197"/>
      <c r="L196" s="1197"/>
      <c r="M196" s="1197"/>
      <c r="N196" s="1197"/>
      <c r="O196" s="1197"/>
      <c r="P196" s="1197"/>
      <c r="Q196" s="1197"/>
      <c r="R196" s="1197"/>
      <c r="S196" s="1197"/>
      <c r="T196" s="1197"/>
      <c r="U196" s="1197"/>
      <c r="V196" s="2958"/>
      <c r="W196" s="1188">
        <v>5</v>
      </c>
      <c r="X196" s="1188">
        <v>5</v>
      </c>
      <c r="Y196" s="1188">
        <v>5</v>
      </c>
      <c r="Z196" s="1188"/>
      <c r="AA196" s="1188"/>
      <c r="AB196" s="1188"/>
      <c r="AC196" s="1188"/>
      <c r="AD196" s="1188"/>
      <c r="AE196" s="1188"/>
      <c r="AF196" s="1188"/>
      <c r="AG196" s="1188"/>
      <c r="AK196" s="1166"/>
      <c r="BB196" s="1193"/>
    </row>
    <row r="197" spans="1:54" s="1177" customFormat="1" outlineLevel="1" x14ac:dyDescent="0.25">
      <c r="A197" s="1197"/>
      <c r="B197" s="2136"/>
      <c r="C197" s="1194"/>
      <c r="D197" s="2956"/>
      <c r="E197" s="574" t="s">
        <v>1705</v>
      </c>
      <c r="F197" s="1541">
        <v>5</v>
      </c>
      <c r="G197" s="1381"/>
      <c r="H197" s="1542" t="s">
        <v>1740</v>
      </c>
      <c r="I197" s="1197"/>
      <c r="J197" s="1197"/>
      <c r="K197" s="1197"/>
      <c r="L197" s="1197"/>
      <c r="M197" s="1197"/>
      <c r="N197" s="1197"/>
      <c r="O197" s="1197"/>
      <c r="P197" s="1197"/>
      <c r="Q197" s="1197"/>
      <c r="R197" s="1197"/>
      <c r="S197" s="1197"/>
      <c r="T197" s="1197"/>
      <c r="U197" s="1197"/>
      <c r="V197" s="2958"/>
      <c r="W197" s="1188">
        <v>5</v>
      </c>
      <c r="X197" s="1188">
        <v>5</v>
      </c>
      <c r="Y197" s="1188">
        <v>5</v>
      </c>
      <c r="Z197" s="1188"/>
      <c r="AA197" s="1188"/>
      <c r="AB197" s="1188"/>
      <c r="AC197" s="1188"/>
      <c r="AD197" s="1188"/>
      <c r="AE197" s="1188"/>
      <c r="AF197" s="1188"/>
      <c r="AG197" s="1188"/>
      <c r="AK197" s="1166"/>
      <c r="BB197" s="1193"/>
    </row>
    <row r="198" spans="1:54" s="1177" customFormat="1" outlineLevel="1" x14ac:dyDescent="0.25">
      <c r="A198" s="1197"/>
      <c r="B198" s="2118"/>
      <c r="C198" s="1194"/>
      <c r="D198" s="2956"/>
      <c r="E198" s="574" t="s">
        <v>1707</v>
      </c>
      <c r="F198" s="1541">
        <v>5</v>
      </c>
      <c r="G198" s="1381"/>
      <c r="H198" s="1542" t="s">
        <v>1740</v>
      </c>
      <c r="I198" s="1197"/>
      <c r="J198" s="1197"/>
      <c r="K198" s="1197"/>
      <c r="L198" s="1197"/>
      <c r="M198" s="1197"/>
      <c r="N198" s="1197"/>
      <c r="O198" s="1197"/>
      <c r="P198" s="1197"/>
      <c r="Q198" s="1197"/>
      <c r="R198" s="1197"/>
      <c r="S198" s="1197"/>
      <c r="T198" s="1197"/>
      <c r="U198" s="1197"/>
      <c r="V198" s="2958"/>
      <c r="W198" s="1188">
        <v>5</v>
      </c>
      <c r="X198" s="1188">
        <v>5</v>
      </c>
      <c r="Y198" s="1188">
        <v>5</v>
      </c>
      <c r="Z198" s="1188"/>
      <c r="AA198" s="1188"/>
      <c r="AB198" s="1188"/>
      <c r="AC198" s="1188"/>
      <c r="AD198" s="1188"/>
      <c r="AE198" s="1188"/>
      <c r="AF198" s="1188"/>
      <c r="AG198" s="1188"/>
      <c r="AK198" s="1166"/>
      <c r="BB198" s="1193"/>
    </row>
    <row r="199" spans="1:54" s="1177" customFormat="1" outlineLevel="1" x14ac:dyDescent="0.25">
      <c r="A199" s="1197"/>
      <c r="B199" s="2118"/>
      <c r="C199" s="1194"/>
      <c r="D199" s="2956"/>
      <c r="E199" s="583" t="s">
        <v>1709</v>
      </c>
      <c r="F199" s="1541">
        <v>5</v>
      </c>
      <c r="G199" s="1381"/>
      <c r="H199" s="1542" t="s">
        <v>1740</v>
      </c>
      <c r="I199" s="1197"/>
      <c r="J199" s="1197"/>
      <c r="K199" s="1197"/>
      <c r="L199" s="1197"/>
      <c r="M199" s="1197"/>
      <c r="N199" s="1197"/>
      <c r="O199" s="1197"/>
      <c r="P199" s="1197"/>
      <c r="Q199" s="1197"/>
      <c r="R199" s="1197"/>
      <c r="S199" s="1197"/>
      <c r="T199" s="1197"/>
      <c r="U199" s="1197"/>
      <c r="V199" s="2958"/>
      <c r="W199" s="1188">
        <v>5</v>
      </c>
      <c r="X199" s="1188">
        <v>5</v>
      </c>
      <c r="Y199" s="1188">
        <v>5</v>
      </c>
      <c r="Z199" s="1188"/>
      <c r="AA199" s="1188"/>
      <c r="AB199" s="1188"/>
      <c r="AC199" s="1188"/>
      <c r="AD199" s="1188"/>
      <c r="AE199" s="1188"/>
      <c r="AF199" s="1188"/>
      <c r="AG199" s="1188"/>
      <c r="AK199" s="1166"/>
      <c r="BB199" s="1193"/>
    </row>
    <row r="200" spans="1:54" s="1177" customFormat="1" outlineLevel="1" x14ac:dyDescent="0.25">
      <c r="A200" s="1197"/>
      <c r="B200" s="2118"/>
      <c r="C200" s="1194"/>
      <c r="D200" s="2956"/>
      <c r="E200" s="574" t="s">
        <v>1711</v>
      </c>
      <c r="F200" s="1541">
        <v>5</v>
      </c>
      <c r="G200" s="1381"/>
      <c r="H200" s="1542" t="s">
        <v>1740</v>
      </c>
      <c r="I200" s="1197"/>
      <c r="J200" s="1197"/>
      <c r="K200" s="1197"/>
      <c r="L200" s="1197"/>
      <c r="M200" s="1197"/>
      <c r="N200" s="1197"/>
      <c r="O200" s="1197"/>
      <c r="P200" s="1197"/>
      <c r="Q200" s="1197"/>
      <c r="R200" s="1197"/>
      <c r="S200" s="1197"/>
      <c r="T200" s="1197"/>
      <c r="U200" s="1197"/>
      <c r="V200" s="2958"/>
      <c r="W200" s="1188">
        <v>5</v>
      </c>
      <c r="X200" s="1188">
        <v>5</v>
      </c>
      <c r="Y200" s="1188">
        <v>5</v>
      </c>
      <c r="Z200" s="1188"/>
      <c r="AA200" s="1188"/>
      <c r="AB200" s="1188"/>
      <c r="AC200" s="1188"/>
      <c r="AD200" s="1188"/>
      <c r="AE200" s="1188"/>
      <c r="AF200" s="1188"/>
      <c r="AG200" s="1188"/>
      <c r="AK200" s="1166"/>
      <c r="BB200" s="1193"/>
    </row>
    <row r="201" spans="1:54" s="1177" customFormat="1" outlineLevel="1" x14ac:dyDescent="0.25">
      <c r="A201" s="1197"/>
      <c r="B201" s="2136"/>
      <c r="C201" s="1194"/>
      <c r="D201" s="2956"/>
      <c r="E201" s="574" t="s">
        <v>1713</v>
      </c>
      <c r="F201" s="1541">
        <v>5</v>
      </c>
      <c r="G201" s="1381"/>
      <c r="H201" s="1542" t="s">
        <v>1740</v>
      </c>
      <c r="I201" s="1197"/>
      <c r="J201" s="1197"/>
      <c r="K201" s="1197"/>
      <c r="L201" s="1197"/>
      <c r="M201" s="1197"/>
      <c r="N201" s="1197"/>
      <c r="O201" s="1197"/>
      <c r="P201" s="1197"/>
      <c r="Q201" s="1197"/>
      <c r="R201" s="1197"/>
      <c r="S201" s="1197"/>
      <c r="T201" s="1197"/>
      <c r="U201" s="1197"/>
      <c r="V201" s="2958"/>
      <c r="W201" s="1188">
        <v>5</v>
      </c>
      <c r="X201" s="1188">
        <v>5</v>
      </c>
      <c r="Y201" s="1188">
        <v>5</v>
      </c>
      <c r="Z201" s="1188"/>
      <c r="AA201" s="1188"/>
      <c r="AB201" s="1188"/>
      <c r="AC201" s="1188"/>
      <c r="AD201" s="1188"/>
      <c r="AE201" s="1188"/>
      <c r="AF201" s="1188"/>
      <c r="AG201" s="1188"/>
      <c r="AK201" s="1166"/>
      <c r="BB201" s="1193"/>
    </row>
    <row r="202" spans="1:54" s="1177" customFormat="1" outlineLevel="1" x14ac:dyDescent="0.25">
      <c r="A202" s="1197"/>
      <c r="B202" s="2136"/>
      <c r="C202" s="1194"/>
      <c r="D202" s="2956"/>
      <c r="E202" s="2146" t="s">
        <v>1715</v>
      </c>
      <c r="F202" s="1541">
        <v>5</v>
      </c>
      <c r="G202" s="1381"/>
      <c r="H202" s="1542" t="s">
        <v>1740</v>
      </c>
      <c r="I202" s="1197"/>
      <c r="J202" s="1197"/>
      <c r="K202" s="1197"/>
      <c r="L202" s="1197"/>
      <c r="M202" s="1197"/>
      <c r="N202" s="1197"/>
      <c r="O202" s="1197"/>
      <c r="P202" s="1197"/>
      <c r="Q202" s="1197"/>
      <c r="R202" s="1197"/>
      <c r="S202" s="1197"/>
      <c r="T202" s="1197"/>
      <c r="U202" s="1197"/>
      <c r="V202" s="2958"/>
      <c r="W202" s="1188">
        <v>5</v>
      </c>
      <c r="X202" s="1188">
        <v>5</v>
      </c>
      <c r="Y202" s="1188">
        <v>5</v>
      </c>
      <c r="Z202" s="1188"/>
      <c r="AA202" s="1188"/>
      <c r="AB202" s="1188"/>
      <c r="AC202" s="1188"/>
      <c r="AD202" s="1188"/>
      <c r="AE202" s="1188"/>
      <c r="AF202" s="1188"/>
      <c r="AG202" s="1188"/>
      <c r="AK202" s="1166"/>
      <c r="BB202" s="1193"/>
    </row>
    <row r="203" spans="1:54" s="1177" customFormat="1" outlineLevel="1" x14ac:dyDescent="0.25">
      <c r="A203" s="1197"/>
      <c r="B203" s="2136"/>
      <c r="C203" s="1194"/>
      <c r="D203" s="2956"/>
      <c r="E203" s="574" t="s">
        <v>1717</v>
      </c>
      <c r="F203" s="1541">
        <v>5</v>
      </c>
      <c r="G203" s="1381"/>
      <c r="H203" s="1542" t="s">
        <v>1740</v>
      </c>
      <c r="I203" s="1197"/>
      <c r="J203" s="1197"/>
      <c r="K203" s="1197"/>
      <c r="L203" s="1197"/>
      <c r="M203" s="1197"/>
      <c r="N203" s="1197"/>
      <c r="O203" s="1197"/>
      <c r="P203" s="1197"/>
      <c r="Q203" s="1197"/>
      <c r="R203" s="1197"/>
      <c r="S203" s="1197"/>
      <c r="T203" s="1197"/>
      <c r="U203" s="1197"/>
      <c r="V203" s="2958"/>
      <c r="W203" s="1188">
        <v>5</v>
      </c>
      <c r="X203" s="1188">
        <v>5</v>
      </c>
      <c r="Y203" s="1188">
        <v>5</v>
      </c>
      <c r="Z203" s="1188"/>
      <c r="AA203" s="1188"/>
      <c r="AB203" s="1188"/>
      <c r="AC203" s="1188"/>
      <c r="AD203" s="1188"/>
      <c r="AE203" s="1188"/>
      <c r="AF203" s="1188"/>
      <c r="AG203" s="1188"/>
      <c r="AK203" s="1166"/>
      <c r="BB203" s="1193"/>
    </row>
    <row r="204" spans="1:54" s="1177" customFormat="1" outlineLevel="1" x14ac:dyDescent="0.25">
      <c r="A204" s="1197"/>
      <c r="B204" s="2136"/>
      <c r="C204" s="1194"/>
      <c r="D204" s="2956"/>
      <c r="E204" s="574" t="s">
        <v>1719</v>
      </c>
      <c r="F204" s="1541">
        <v>5</v>
      </c>
      <c r="G204" s="1381"/>
      <c r="H204" s="1542" t="s">
        <v>1740</v>
      </c>
      <c r="I204" s="1197"/>
      <c r="J204" s="1197"/>
      <c r="K204" s="1197"/>
      <c r="L204" s="1197"/>
      <c r="M204" s="1197"/>
      <c r="N204" s="1197"/>
      <c r="O204" s="1197"/>
      <c r="P204" s="1197"/>
      <c r="Q204" s="1197"/>
      <c r="R204" s="1197"/>
      <c r="S204" s="1197"/>
      <c r="T204" s="1197"/>
      <c r="U204" s="1197"/>
      <c r="V204" s="2958"/>
      <c r="W204" s="1188">
        <v>5</v>
      </c>
      <c r="X204" s="1188">
        <v>5</v>
      </c>
      <c r="Y204" s="1188">
        <v>5</v>
      </c>
      <c r="Z204" s="1188"/>
      <c r="AA204" s="1188"/>
      <c r="AB204" s="1188"/>
      <c r="AC204" s="1188"/>
      <c r="AD204" s="1188"/>
      <c r="AE204" s="1188"/>
      <c r="AF204" s="1188"/>
      <c r="AG204" s="1188"/>
      <c r="AK204" s="1166"/>
      <c r="BB204" s="1193"/>
    </row>
    <row r="205" spans="1:54" s="1177" customFormat="1" outlineLevel="1" x14ac:dyDescent="0.25">
      <c r="A205" s="1197"/>
      <c r="B205" s="2136"/>
      <c r="C205" s="1194"/>
      <c r="D205" s="2956"/>
      <c r="E205" s="583" t="s">
        <v>1721</v>
      </c>
      <c r="F205" s="1541">
        <v>5</v>
      </c>
      <c r="G205" s="1381"/>
      <c r="H205" s="1542" t="s">
        <v>1740</v>
      </c>
      <c r="I205" s="1197"/>
      <c r="J205" s="1197"/>
      <c r="K205" s="1197"/>
      <c r="L205" s="1197"/>
      <c r="M205" s="1197"/>
      <c r="N205" s="1197"/>
      <c r="O205" s="1197"/>
      <c r="P205" s="1197"/>
      <c r="Q205" s="1197"/>
      <c r="R205" s="1197"/>
      <c r="S205" s="1197"/>
      <c r="T205" s="1197"/>
      <c r="U205" s="1197"/>
      <c r="V205" s="2958"/>
      <c r="W205" s="1188">
        <v>5</v>
      </c>
      <c r="X205" s="1188">
        <v>5</v>
      </c>
      <c r="Y205" s="1188">
        <v>5</v>
      </c>
      <c r="Z205" s="1188"/>
      <c r="AA205" s="1188"/>
      <c r="AB205" s="1188"/>
      <c r="AC205" s="1188"/>
      <c r="AD205" s="1188"/>
      <c r="AE205" s="1188"/>
      <c r="AF205" s="1188"/>
      <c r="AG205" s="1188"/>
      <c r="AK205" s="1166"/>
      <c r="BB205" s="1193"/>
    </row>
    <row r="206" spans="1:54" s="1177" customFormat="1" outlineLevel="1" x14ac:dyDescent="0.25">
      <c r="A206" s="1197"/>
      <c r="B206" s="2136"/>
      <c r="C206" s="1194"/>
      <c r="D206" s="2956"/>
      <c r="E206" s="574" t="s">
        <v>1723</v>
      </c>
      <c r="F206" s="1541">
        <v>5</v>
      </c>
      <c r="G206" s="1381"/>
      <c r="H206" s="1542" t="s">
        <v>1740</v>
      </c>
      <c r="I206" s="1197"/>
      <c r="J206" s="1197"/>
      <c r="K206" s="1197"/>
      <c r="L206" s="1197"/>
      <c r="M206" s="1197"/>
      <c r="N206" s="1197"/>
      <c r="O206" s="1197"/>
      <c r="P206" s="1197"/>
      <c r="Q206" s="1197"/>
      <c r="R206" s="1197"/>
      <c r="S206" s="1197"/>
      <c r="T206" s="1197"/>
      <c r="U206" s="1197"/>
      <c r="V206" s="2958"/>
      <c r="W206" s="1188">
        <v>5</v>
      </c>
      <c r="X206" s="1188">
        <v>5</v>
      </c>
      <c r="Y206" s="1188">
        <v>5</v>
      </c>
      <c r="Z206" s="1188"/>
      <c r="AA206" s="1188"/>
      <c r="AB206" s="1188"/>
      <c r="AC206" s="1188"/>
      <c r="AD206" s="1188"/>
      <c r="AE206" s="1188"/>
      <c r="AF206" s="1188"/>
      <c r="AG206" s="1188"/>
      <c r="AK206" s="1166"/>
      <c r="BB206" s="1193"/>
    </row>
    <row r="207" spans="1:54" s="1177" customFormat="1" outlineLevel="1" x14ac:dyDescent="0.25">
      <c r="A207" s="1197"/>
      <c r="B207" s="2136"/>
      <c r="C207" s="1194"/>
      <c r="D207" s="2956"/>
      <c r="E207" s="583" t="s">
        <v>1725</v>
      </c>
      <c r="F207" s="1541">
        <v>5</v>
      </c>
      <c r="G207" s="1381"/>
      <c r="H207" s="1542" t="s">
        <v>1740</v>
      </c>
      <c r="I207" s="1197"/>
      <c r="J207" s="1197"/>
      <c r="K207" s="1197"/>
      <c r="L207" s="1197"/>
      <c r="M207" s="1197"/>
      <c r="N207" s="1197"/>
      <c r="O207" s="1197"/>
      <c r="P207" s="1197"/>
      <c r="Q207" s="1197"/>
      <c r="R207" s="1197"/>
      <c r="S207" s="1197"/>
      <c r="T207" s="1197"/>
      <c r="U207" s="1197"/>
      <c r="V207" s="2958"/>
      <c r="W207" s="1188">
        <v>5</v>
      </c>
      <c r="X207" s="1188">
        <v>5</v>
      </c>
      <c r="Y207" s="1188">
        <v>5</v>
      </c>
      <c r="Z207" s="1188"/>
      <c r="AA207" s="1188"/>
      <c r="AB207" s="1188"/>
      <c r="AC207" s="1188"/>
      <c r="AD207" s="1188"/>
      <c r="AE207" s="1188"/>
      <c r="AF207" s="1188"/>
      <c r="AG207" s="1188"/>
      <c r="AK207" s="1166"/>
      <c r="BB207" s="1193"/>
    </row>
    <row r="208" spans="1:54" s="1177" customFormat="1" outlineLevel="1" x14ac:dyDescent="0.25">
      <c r="A208" s="1197"/>
      <c r="B208" s="2136"/>
      <c r="C208" s="1194"/>
      <c r="D208" s="2956"/>
      <c r="E208" s="574" t="s">
        <v>1727</v>
      </c>
      <c r="F208" s="1541">
        <v>5</v>
      </c>
      <c r="G208" s="1381"/>
      <c r="H208" s="1542" t="s">
        <v>1740</v>
      </c>
      <c r="I208" s="1197"/>
      <c r="J208" s="1197"/>
      <c r="K208" s="1197"/>
      <c r="L208" s="1197"/>
      <c r="M208" s="1197"/>
      <c r="N208" s="1197"/>
      <c r="O208" s="1197"/>
      <c r="P208" s="1197"/>
      <c r="Q208" s="1197"/>
      <c r="R208" s="1197"/>
      <c r="S208" s="1197"/>
      <c r="T208" s="1197"/>
      <c r="U208" s="1197"/>
      <c r="V208" s="2958"/>
      <c r="W208" s="1188">
        <v>5</v>
      </c>
      <c r="X208" s="1188">
        <v>5</v>
      </c>
      <c r="Y208" s="1188">
        <v>5</v>
      </c>
      <c r="Z208" s="1188"/>
      <c r="AA208" s="1188"/>
      <c r="AB208" s="1188"/>
      <c r="AC208" s="1188"/>
      <c r="AD208" s="1188"/>
      <c r="AE208" s="1188"/>
      <c r="AF208" s="1188"/>
      <c r="AG208" s="1188"/>
      <c r="AK208" s="1166"/>
      <c r="BB208" s="1193"/>
    </row>
    <row r="209" spans="1:54" s="1177" customFormat="1" outlineLevel="1" x14ac:dyDescent="0.25">
      <c r="A209" s="1197"/>
      <c r="B209" s="2136"/>
      <c r="C209" s="1194"/>
      <c r="D209" s="2956"/>
      <c r="E209" s="574" t="s">
        <v>1729</v>
      </c>
      <c r="F209" s="1541">
        <v>5</v>
      </c>
      <c r="G209" s="1381"/>
      <c r="H209" s="1542" t="s">
        <v>1740</v>
      </c>
      <c r="I209" s="1197"/>
      <c r="J209" s="1197"/>
      <c r="K209" s="1197"/>
      <c r="L209" s="1197"/>
      <c r="M209" s="1197"/>
      <c r="N209" s="1197"/>
      <c r="O209" s="1197"/>
      <c r="P209" s="1197"/>
      <c r="Q209" s="1197"/>
      <c r="R209" s="1197"/>
      <c r="S209" s="1197"/>
      <c r="T209" s="1197"/>
      <c r="U209" s="1197"/>
      <c r="V209" s="2958"/>
      <c r="W209" s="1188">
        <v>5</v>
      </c>
      <c r="X209" s="1188">
        <v>5</v>
      </c>
      <c r="Y209" s="1188">
        <v>5</v>
      </c>
      <c r="Z209" s="1188"/>
      <c r="AA209" s="1188"/>
      <c r="AB209" s="1188"/>
      <c r="AC209" s="1188"/>
      <c r="AD209" s="1188"/>
      <c r="AE209" s="1188"/>
      <c r="AF209" s="1188"/>
      <c r="AG209" s="1188"/>
      <c r="AK209" s="1166"/>
      <c r="BB209" s="1193"/>
    </row>
    <row r="210" spans="1:54" s="1177" customFormat="1" outlineLevel="1" x14ac:dyDescent="0.25">
      <c r="A210" s="1197"/>
      <c r="B210" s="2136"/>
      <c r="C210" s="1194"/>
      <c r="D210" s="2956"/>
      <c r="E210" s="574" t="s">
        <v>1731</v>
      </c>
      <c r="F210" s="1541">
        <v>5</v>
      </c>
      <c r="G210" s="1381"/>
      <c r="H210" s="1542" t="s">
        <v>1740</v>
      </c>
      <c r="I210" s="1197"/>
      <c r="J210" s="1197"/>
      <c r="K210" s="1197"/>
      <c r="L210" s="1197"/>
      <c r="M210" s="1197"/>
      <c r="N210" s="1197"/>
      <c r="O210" s="1197"/>
      <c r="P210" s="1197"/>
      <c r="Q210" s="1197"/>
      <c r="R210" s="1197"/>
      <c r="S210" s="1197"/>
      <c r="T210" s="1197"/>
      <c r="U210" s="1197"/>
      <c r="V210" s="2958"/>
      <c r="W210" s="1188">
        <v>5</v>
      </c>
      <c r="X210" s="1188">
        <v>5</v>
      </c>
      <c r="Y210" s="1188">
        <v>5</v>
      </c>
      <c r="Z210" s="1188"/>
      <c r="AA210" s="1188"/>
      <c r="AB210" s="1188"/>
      <c r="AC210" s="1188"/>
      <c r="AD210" s="1188"/>
      <c r="AE210" s="1188"/>
      <c r="AF210" s="1188"/>
      <c r="AG210" s="1188"/>
      <c r="AK210" s="1166"/>
      <c r="BB210" s="1193"/>
    </row>
    <row r="211" spans="1:54" s="1177" customFormat="1" outlineLevel="1" x14ac:dyDescent="0.25">
      <c r="A211" s="1197"/>
      <c r="B211" s="2136"/>
      <c r="C211" s="1194"/>
      <c r="D211" s="2956"/>
      <c r="E211" s="583" t="s">
        <v>1733</v>
      </c>
      <c r="F211" s="1541">
        <v>5</v>
      </c>
      <c r="G211" s="1381"/>
      <c r="H211" s="1542" t="s">
        <v>1740</v>
      </c>
      <c r="I211" s="1197"/>
      <c r="J211" s="1197"/>
      <c r="K211" s="1197"/>
      <c r="L211" s="1197"/>
      <c r="M211" s="1197"/>
      <c r="N211" s="1197"/>
      <c r="O211" s="1197"/>
      <c r="P211" s="1197"/>
      <c r="Q211" s="1197"/>
      <c r="R211" s="1197"/>
      <c r="S211" s="1197"/>
      <c r="T211" s="1197"/>
      <c r="U211" s="1197"/>
      <c r="V211" s="2958"/>
      <c r="W211" s="1188">
        <v>5</v>
      </c>
      <c r="X211" s="1188">
        <v>5</v>
      </c>
      <c r="Y211" s="1188">
        <v>5</v>
      </c>
      <c r="Z211" s="1188"/>
      <c r="AA211" s="1188"/>
      <c r="AB211" s="1188"/>
      <c r="AC211" s="1188"/>
      <c r="AD211" s="1188"/>
      <c r="AE211" s="1188"/>
      <c r="AF211" s="1188"/>
      <c r="AG211" s="1188"/>
      <c r="AK211" s="1166"/>
      <c r="BB211" s="1193"/>
    </row>
    <row r="212" spans="1:54" s="1177" customFormat="1" outlineLevel="1" x14ac:dyDescent="0.25">
      <c r="A212" s="1197"/>
      <c r="B212" s="2136"/>
      <c r="C212" s="1194"/>
      <c r="D212" s="2956"/>
      <c r="E212" s="574" t="s">
        <v>1735</v>
      </c>
      <c r="F212" s="1541">
        <v>5</v>
      </c>
      <c r="G212" s="1381"/>
      <c r="H212" s="1542" t="s">
        <v>1740</v>
      </c>
      <c r="I212" s="1197"/>
      <c r="J212" s="1197"/>
      <c r="K212" s="1197"/>
      <c r="L212" s="1197"/>
      <c r="M212" s="1197"/>
      <c r="N212" s="1197"/>
      <c r="O212" s="1197"/>
      <c r="P212" s="1197"/>
      <c r="Q212" s="1197"/>
      <c r="R212" s="1197"/>
      <c r="S212" s="1197"/>
      <c r="T212" s="1197"/>
      <c r="U212" s="1197"/>
      <c r="V212" s="2958"/>
      <c r="W212" s="1188">
        <v>5</v>
      </c>
      <c r="X212" s="1188">
        <v>5</v>
      </c>
      <c r="Y212" s="1188">
        <v>5</v>
      </c>
      <c r="Z212" s="1188"/>
      <c r="AA212" s="1188"/>
      <c r="AB212" s="1188"/>
      <c r="AC212" s="1188"/>
      <c r="AD212" s="1188"/>
      <c r="AE212" s="1188"/>
      <c r="AF212" s="1188"/>
      <c r="AG212" s="1188"/>
      <c r="AK212" s="1166"/>
      <c r="BB212" s="1193"/>
    </row>
    <row r="213" spans="1:54" s="1177" customFormat="1" outlineLevel="1" x14ac:dyDescent="0.25">
      <c r="A213" s="1197"/>
      <c r="B213" s="2136"/>
      <c r="C213" s="1194"/>
      <c r="D213" s="2956"/>
      <c r="E213" s="583" t="s">
        <v>1737</v>
      </c>
      <c r="F213" s="1541">
        <v>5</v>
      </c>
      <c r="G213" s="1381"/>
      <c r="H213" s="1542" t="s">
        <v>1740</v>
      </c>
      <c r="I213" s="1197"/>
      <c r="J213" s="1197"/>
      <c r="K213" s="1197"/>
      <c r="L213" s="1197"/>
      <c r="M213" s="1197"/>
      <c r="N213" s="1197"/>
      <c r="O213" s="1197"/>
      <c r="P213" s="1197"/>
      <c r="Q213" s="1197"/>
      <c r="R213" s="1197"/>
      <c r="S213" s="1197"/>
      <c r="T213" s="1197"/>
      <c r="U213" s="1197"/>
      <c r="V213" s="2958"/>
      <c r="W213" s="1188">
        <v>5</v>
      </c>
      <c r="X213" s="1188">
        <v>5</v>
      </c>
      <c r="Y213" s="1188">
        <v>5</v>
      </c>
      <c r="Z213" s="1188"/>
      <c r="AA213" s="1188"/>
      <c r="AB213" s="1188"/>
      <c r="AC213" s="1188"/>
      <c r="AD213" s="1188"/>
      <c r="AE213" s="1188"/>
      <c r="AF213" s="1188"/>
      <c r="AG213" s="1188"/>
      <c r="AK213" s="1166"/>
      <c r="BB213" s="1193"/>
    </row>
    <row r="214" spans="1:54" s="1177" customFormat="1" outlineLevel="1" x14ac:dyDescent="0.25">
      <c r="A214" s="1197"/>
      <c r="B214" s="2136"/>
      <c r="C214" s="1194"/>
      <c r="D214" s="2956"/>
      <c r="E214" s="574" t="s">
        <v>1739</v>
      </c>
      <c r="F214" s="1541">
        <v>5</v>
      </c>
      <c r="G214" s="1381"/>
      <c r="H214" s="1542" t="s">
        <v>1740</v>
      </c>
      <c r="I214" s="1197"/>
      <c r="J214" s="1197"/>
      <c r="K214" s="1197"/>
      <c r="L214" s="1197"/>
      <c r="M214" s="1197"/>
      <c r="N214" s="1197"/>
      <c r="O214" s="1197"/>
      <c r="P214" s="1197"/>
      <c r="Q214" s="1197"/>
      <c r="R214" s="1197"/>
      <c r="S214" s="1197"/>
      <c r="T214" s="1197"/>
      <c r="U214" s="1197"/>
      <c r="V214" s="2965"/>
      <c r="W214" s="1188">
        <v>5</v>
      </c>
      <c r="X214" s="1188">
        <v>5</v>
      </c>
      <c r="Y214" s="1188">
        <v>5</v>
      </c>
      <c r="Z214" s="1188"/>
      <c r="AA214" s="1188"/>
      <c r="AB214" s="1188"/>
      <c r="AC214" s="1188"/>
      <c r="AD214" s="1188"/>
      <c r="AE214" s="1188"/>
      <c r="AF214" s="1188"/>
      <c r="AG214" s="1188"/>
      <c r="AK214" s="1166"/>
      <c r="BB214" s="1193"/>
    </row>
    <row r="215" spans="1:54" s="1177" customFormat="1" ht="17.25" customHeight="1" outlineLevel="1" x14ac:dyDescent="0.25">
      <c r="A215" s="1197"/>
      <c r="B215" s="2118"/>
      <c r="C215" s="1194"/>
      <c r="D215" s="2955" t="s">
        <v>2312</v>
      </c>
      <c r="E215" s="574" t="s">
        <v>1681</v>
      </c>
      <c r="F215" s="1541">
        <v>49</v>
      </c>
      <c r="G215" s="1381"/>
      <c r="H215" s="1542" t="s">
        <v>1740</v>
      </c>
      <c r="I215" s="1197"/>
      <c r="J215" s="1197"/>
      <c r="K215" s="1197"/>
      <c r="L215" s="1197"/>
      <c r="M215" s="1197"/>
      <c r="N215" s="1197"/>
      <c r="O215" s="1197"/>
      <c r="P215" s="1197"/>
      <c r="Q215" s="1197"/>
      <c r="R215" s="1197"/>
      <c r="S215" s="1197"/>
      <c r="T215" s="1197"/>
      <c r="U215" s="1197"/>
      <c r="V215" s="2957" t="str">
        <f>D215</f>
        <v>RAttic</v>
      </c>
      <c r="W215" s="1188">
        <v>49</v>
      </c>
      <c r="X215" s="1188">
        <v>49</v>
      </c>
      <c r="Y215" s="1188">
        <v>49</v>
      </c>
      <c r="Z215" s="1188"/>
      <c r="AA215" s="1188"/>
      <c r="AB215" s="1188"/>
      <c r="AC215" s="1188"/>
      <c r="AD215" s="1188"/>
      <c r="AE215" s="1188"/>
      <c r="AF215" s="1188"/>
      <c r="AG215" s="1188"/>
      <c r="AK215" s="1166"/>
      <c r="BB215" s="1193"/>
    </row>
    <row r="216" spans="1:54" s="1177" customFormat="1" outlineLevel="1" x14ac:dyDescent="0.25">
      <c r="A216" s="1197"/>
      <c r="B216" s="2118"/>
      <c r="C216" s="1194"/>
      <c r="D216" s="2956"/>
      <c r="E216" s="574" t="s">
        <v>1683</v>
      </c>
      <c r="F216" s="1541">
        <v>49</v>
      </c>
      <c r="G216" s="1381"/>
      <c r="H216" s="1542" t="s">
        <v>1740</v>
      </c>
      <c r="I216" s="1197"/>
      <c r="J216" s="1197"/>
      <c r="K216" s="1197"/>
      <c r="L216" s="1197"/>
      <c r="M216" s="1197"/>
      <c r="N216" s="1197"/>
      <c r="O216" s="1197"/>
      <c r="P216" s="1197"/>
      <c r="Q216" s="1197"/>
      <c r="R216" s="1197"/>
      <c r="S216" s="1197"/>
      <c r="T216" s="1197"/>
      <c r="U216" s="1197"/>
      <c r="V216" s="2958"/>
      <c r="W216" s="1188">
        <v>49</v>
      </c>
      <c r="X216" s="1188">
        <v>49</v>
      </c>
      <c r="Y216" s="1188">
        <v>49</v>
      </c>
      <c r="Z216" s="1188"/>
      <c r="AA216" s="1188"/>
      <c r="AB216" s="1188"/>
      <c r="AC216" s="1188"/>
      <c r="AD216" s="1188"/>
      <c r="AE216" s="1188"/>
      <c r="AF216" s="1188"/>
      <c r="AG216" s="1188"/>
      <c r="AK216" s="1166"/>
      <c r="BB216" s="1193"/>
    </row>
    <row r="217" spans="1:54" s="1177" customFormat="1" outlineLevel="1" x14ac:dyDescent="0.25">
      <c r="A217" s="1197"/>
      <c r="B217" s="2118"/>
      <c r="C217" s="1194"/>
      <c r="D217" s="2956"/>
      <c r="E217" s="574" t="s">
        <v>1685</v>
      </c>
      <c r="F217" s="1541">
        <v>49</v>
      </c>
      <c r="G217" s="1381"/>
      <c r="H217" s="1542" t="s">
        <v>1740</v>
      </c>
      <c r="I217" s="1197"/>
      <c r="J217" s="1197"/>
      <c r="K217" s="1197"/>
      <c r="L217" s="1197"/>
      <c r="M217" s="1197"/>
      <c r="N217" s="1197"/>
      <c r="O217" s="1197"/>
      <c r="P217" s="1197"/>
      <c r="Q217" s="1197"/>
      <c r="R217" s="1197"/>
      <c r="S217" s="1197"/>
      <c r="T217" s="1197"/>
      <c r="U217" s="1197"/>
      <c r="V217" s="2958"/>
      <c r="W217" s="1188">
        <v>49</v>
      </c>
      <c r="X217" s="1188">
        <v>49</v>
      </c>
      <c r="Y217" s="1188">
        <v>49</v>
      </c>
      <c r="Z217" s="1188"/>
      <c r="AA217" s="1188"/>
      <c r="AB217" s="1188"/>
      <c r="AC217" s="1188"/>
      <c r="AD217" s="1188"/>
      <c r="AE217" s="1188"/>
      <c r="AF217" s="1188"/>
      <c r="AG217" s="1188"/>
      <c r="AK217" s="1166"/>
      <c r="BB217" s="1193"/>
    </row>
    <row r="218" spans="1:54" s="1177" customFormat="1" outlineLevel="1" x14ac:dyDescent="0.25">
      <c r="A218" s="1197"/>
      <c r="B218" s="2118"/>
      <c r="C218" s="1194"/>
      <c r="D218" s="2956"/>
      <c r="E218" s="574" t="s">
        <v>1687</v>
      </c>
      <c r="F218" s="1541">
        <v>49</v>
      </c>
      <c r="G218" s="1381"/>
      <c r="H218" s="1542" t="s">
        <v>1740</v>
      </c>
      <c r="I218" s="1197"/>
      <c r="J218" s="1197"/>
      <c r="K218" s="1197"/>
      <c r="L218" s="1197"/>
      <c r="M218" s="1197"/>
      <c r="N218" s="1197"/>
      <c r="O218" s="1197"/>
      <c r="P218" s="1197"/>
      <c r="Q218" s="1197"/>
      <c r="R218" s="1197"/>
      <c r="S218" s="1197"/>
      <c r="T218" s="1197"/>
      <c r="U218" s="1197"/>
      <c r="V218" s="2958"/>
      <c r="W218" s="1188">
        <v>49</v>
      </c>
      <c r="X218" s="1188">
        <v>49</v>
      </c>
      <c r="Y218" s="1188">
        <v>49</v>
      </c>
      <c r="Z218" s="1188"/>
      <c r="AA218" s="1188"/>
      <c r="AB218" s="1188"/>
      <c r="AC218" s="1188"/>
      <c r="AD218" s="1188"/>
      <c r="AE218" s="1188"/>
      <c r="AF218" s="1188"/>
      <c r="AG218" s="1188"/>
      <c r="AK218" s="1166"/>
      <c r="BB218" s="1193"/>
    </row>
    <row r="219" spans="1:54" s="1177" customFormat="1" outlineLevel="1" x14ac:dyDescent="0.25">
      <c r="A219" s="1197"/>
      <c r="B219" s="2118"/>
      <c r="C219" s="1194"/>
      <c r="D219" s="2956"/>
      <c r="E219" s="574" t="s">
        <v>1689</v>
      </c>
      <c r="F219" s="1541">
        <v>49</v>
      </c>
      <c r="G219" s="1381"/>
      <c r="H219" s="1542" t="s">
        <v>1740</v>
      </c>
      <c r="I219" s="1197"/>
      <c r="J219" s="1197"/>
      <c r="K219" s="1197"/>
      <c r="L219" s="1197"/>
      <c r="M219" s="1197"/>
      <c r="N219" s="1197"/>
      <c r="O219" s="1197"/>
      <c r="P219" s="1197"/>
      <c r="Q219" s="1197"/>
      <c r="R219" s="1197"/>
      <c r="S219" s="1197"/>
      <c r="T219" s="1197"/>
      <c r="U219" s="1197"/>
      <c r="V219" s="2958"/>
      <c r="W219" s="1188">
        <v>49</v>
      </c>
      <c r="X219" s="1188">
        <v>49</v>
      </c>
      <c r="Y219" s="1188">
        <v>49</v>
      </c>
      <c r="Z219" s="1188"/>
      <c r="AA219" s="1188"/>
      <c r="AB219" s="1188"/>
      <c r="AC219" s="1188"/>
      <c r="AD219" s="1188"/>
      <c r="AE219" s="1188"/>
      <c r="AF219" s="1188"/>
      <c r="AG219" s="1188"/>
      <c r="AK219" s="1166"/>
      <c r="BB219" s="1193"/>
    </row>
    <row r="220" spans="1:54" s="1177" customFormat="1" outlineLevel="1" x14ac:dyDescent="0.25">
      <c r="A220" s="1197"/>
      <c r="B220" s="2136"/>
      <c r="C220" s="1194"/>
      <c r="D220" s="2956"/>
      <c r="E220" s="574" t="s">
        <v>1691</v>
      </c>
      <c r="F220" s="1541">
        <v>49</v>
      </c>
      <c r="G220" s="1381"/>
      <c r="H220" s="1542" t="s">
        <v>1740</v>
      </c>
      <c r="I220" s="1197"/>
      <c r="J220" s="1197"/>
      <c r="K220" s="1197"/>
      <c r="L220" s="1197"/>
      <c r="M220" s="1197"/>
      <c r="N220" s="1197"/>
      <c r="O220" s="1197"/>
      <c r="P220" s="1197"/>
      <c r="Q220" s="1197"/>
      <c r="R220" s="1197"/>
      <c r="S220" s="1197"/>
      <c r="T220" s="1197"/>
      <c r="U220" s="1197"/>
      <c r="V220" s="2958"/>
      <c r="W220" s="1188">
        <v>49</v>
      </c>
      <c r="X220" s="1188">
        <v>49</v>
      </c>
      <c r="Y220" s="1188">
        <v>49</v>
      </c>
      <c r="Z220" s="1188"/>
      <c r="AA220" s="1188"/>
      <c r="AB220" s="1188"/>
      <c r="AC220" s="1188"/>
      <c r="AD220" s="1188"/>
      <c r="AE220" s="1188"/>
      <c r="AF220" s="1188"/>
      <c r="AG220" s="1188"/>
      <c r="AK220" s="1166"/>
      <c r="BB220" s="1193"/>
    </row>
    <row r="221" spans="1:54" s="1177" customFormat="1" outlineLevel="1" x14ac:dyDescent="0.25">
      <c r="A221" s="1197"/>
      <c r="B221" s="2136"/>
      <c r="C221" s="1194"/>
      <c r="D221" s="2956"/>
      <c r="E221" s="574" t="s">
        <v>1693</v>
      </c>
      <c r="F221" s="1541">
        <v>30</v>
      </c>
      <c r="G221" s="1381"/>
      <c r="H221" s="1542" t="s">
        <v>1740</v>
      </c>
      <c r="I221" s="1197"/>
      <c r="J221" s="1197"/>
      <c r="K221" s="1197"/>
      <c r="L221" s="1197"/>
      <c r="M221" s="1197"/>
      <c r="N221" s="1197"/>
      <c r="O221" s="1197"/>
      <c r="P221" s="1197"/>
      <c r="Q221" s="1197"/>
      <c r="R221" s="1197"/>
      <c r="S221" s="1197"/>
      <c r="T221" s="1197"/>
      <c r="U221" s="1197"/>
      <c r="V221" s="2958"/>
      <c r="W221" s="1188">
        <v>30</v>
      </c>
      <c r="X221" s="1188">
        <v>30</v>
      </c>
      <c r="Y221" s="1188">
        <v>30</v>
      </c>
      <c r="Z221" s="1188"/>
      <c r="AA221" s="1188"/>
      <c r="AB221" s="1188"/>
      <c r="AC221" s="1188"/>
      <c r="AD221" s="1188"/>
      <c r="AE221" s="1188"/>
      <c r="AF221" s="1188"/>
      <c r="AG221" s="1188"/>
      <c r="AK221" s="1166"/>
      <c r="BB221" s="1193"/>
    </row>
    <row r="222" spans="1:54" s="1177" customFormat="1" outlineLevel="1" x14ac:dyDescent="0.25">
      <c r="A222" s="1197"/>
      <c r="B222" s="2136"/>
      <c r="C222" s="1194"/>
      <c r="D222" s="2956"/>
      <c r="E222" s="574" t="s">
        <v>1695</v>
      </c>
      <c r="F222" s="1541">
        <v>30</v>
      </c>
      <c r="G222" s="1381"/>
      <c r="H222" s="1542" t="s">
        <v>1740</v>
      </c>
      <c r="I222" s="1197"/>
      <c r="J222" s="1197"/>
      <c r="K222" s="1197"/>
      <c r="L222" s="1197"/>
      <c r="M222" s="1197"/>
      <c r="N222" s="1197"/>
      <c r="O222" s="1197"/>
      <c r="P222" s="1197"/>
      <c r="Q222" s="1197"/>
      <c r="R222" s="1197"/>
      <c r="S222" s="1197"/>
      <c r="T222" s="1197"/>
      <c r="U222" s="1197"/>
      <c r="V222" s="2958"/>
      <c r="W222" s="1188">
        <v>30</v>
      </c>
      <c r="X222" s="1188">
        <v>30</v>
      </c>
      <c r="Y222" s="1188">
        <v>30</v>
      </c>
      <c r="Z222" s="1188"/>
      <c r="AA222" s="1188"/>
      <c r="AB222" s="1188"/>
      <c r="AC222" s="1188"/>
      <c r="AD222" s="1188"/>
      <c r="AE222" s="1188"/>
      <c r="AF222" s="1188"/>
      <c r="AG222" s="1188"/>
      <c r="AK222" s="1166"/>
      <c r="BB222" s="1193"/>
    </row>
    <row r="223" spans="1:54" s="1177" customFormat="1" outlineLevel="1" x14ac:dyDescent="0.25">
      <c r="A223" s="1197"/>
      <c r="B223" s="2136"/>
      <c r="C223" s="1194"/>
      <c r="D223" s="2956"/>
      <c r="E223" s="583" t="s">
        <v>1697</v>
      </c>
      <c r="F223" s="1541">
        <v>30</v>
      </c>
      <c r="G223" s="1381"/>
      <c r="H223" s="1542" t="s">
        <v>1740</v>
      </c>
      <c r="I223" s="1197"/>
      <c r="J223" s="1197"/>
      <c r="K223" s="1197"/>
      <c r="L223" s="1197"/>
      <c r="M223" s="1197"/>
      <c r="N223" s="1197"/>
      <c r="O223" s="1197"/>
      <c r="P223" s="1197"/>
      <c r="Q223" s="1197"/>
      <c r="R223" s="1197"/>
      <c r="S223" s="1197"/>
      <c r="T223" s="1197"/>
      <c r="U223" s="1197"/>
      <c r="V223" s="2958"/>
      <c r="W223" s="1188">
        <v>30</v>
      </c>
      <c r="X223" s="1188">
        <v>30</v>
      </c>
      <c r="Y223" s="1188">
        <v>30</v>
      </c>
      <c r="Z223" s="1188"/>
      <c r="AA223" s="1188"/>
      <c r="AB223" s="1188"/>
      <c r="AC223" s="1188"/>
      <c r="AD223" s="1188"/>
      <c r="AE223" s="1188"/>
      <c r="AF223" s="1188"/>
      <c r="AG223" s="1188"/>
      <c r="AK223" s="1166"/>
      <c r="BB223" s="1193"/>
    </row>
    <row r="224" spans="1:54" s="1177" customFormat="1" outlineLevel="1" x14ac:dyDescent="0.25">
      <c r="A224" s="1197"/>
      <c r="B224" s="2136"/>
      <c r="C224" s="1194"/>
      <c r="D224" s="2956"/>
      <c r="E224" s="574" t="s">
        <v>1699</v>
      </c>
      <c r="F224" s="1541">
        <v>30</v>
      </c>
      <c r="G224" s="1381"/>
      <c r="H224" s="1542" t="s">
        <v>1740</v>
      </c>
      <c r="I224" s="1197"/>
      <c r="J224" s="1197"/>
      <c r="K224" s="1197"/>
      <c r="L224" s="1197"/>
      <c r="M224" s="1197"/>
      <c r="N224" s="1197"/>
      <c r="O224" s="1197"/>
      <c r="P224" s="1197"/>
      <c r="Q224" s="1197"/>
      <c r="R224" s="1197"/>
      <c r="S224" s="1197"/>
      <c r="T224" s="1197"/>
      <c r="U224" s="1197"/>
      <c r="V224" s="2958"/>
      <c r="W224" s="1188">
        <v>30</v>
      </c>
      <c r="X224" s="1188">
        <v>30</v>
      </c>
      <c r="Y224" s="1188">
        <v>30</v>
      </c>
      <c r="Z224" s="1188"/>
      <c r="AA224" s="1188"/>
      <c r="AB224" s="1188"/>
      <c r="AC224" s="1188"/>
      <c r="AD224" s="1188"/>
      <c r="AE224" s="1188"/>
      <c r="AF224" s="1188"/>
      <c r="AG224" s="1188"/>
      <c r="AK224" s="1166"/>
      <c r="BB224" s="1193"/>
    </row>
    <row r="225" spans="1:54" s="1177" customFormat="1" outlineLevel="1" x14ac:dyDescent="0.25">
      <c r="A225" s="1197"/>
      <c r="B225" s="2136"/>
      <c r="C225" s="1194"/>
      <c r="D225" s="2956"/>
      <c r="E225" s="574" t="s">
        <v>1701</v>
      </c>
      <c r="F225" s="1541">
        <v>30</v>
      </c>
      <c r="G225" s="1381"/>
      <c r="H225" s="1542" t="s">
        <v>1740</v>
      </c>
      <c r="I225" s="1197"/>
      <c r="J225" s="1197"/>
      <c r="K225" s="1197"/>
      <c r="L225" s="1197"/>
      <c r="M225" s="1197"/>
      <c r="N225" s="1197"/>
      <c r="O225" s="1197"/>
      <c r="P225" s="1197"/>
      <c r="Q225" s="1197"/>
      <c r="R225" s="1197"/>
      <c r="S225" s="1197"/>
      <c r="T225" s="1197"/>
      <c r="U225" s="1197"/>
      <c r="V225" s="2958"/>
      <c r="W225" s="1188">
        <v>30</v>
      </c>
      <c r="X225" s="1188">
        <v>30</v>
      </c>
      <c r="Y225" s="1188">
        <v>30</v>
      </c>
      <c r="Z225" s="1188"/>
      <c r="AA225" s="1188"/>
      <c r="AB225" s="1188"/>
      <c r="AC225" s="1188"/>
      <c r="AD225" s="1188"/>
      <c r="AE225" s="1188"/>
      <c r="AF225" s="1188"/>
      <c r="AG225" s="1188"/>
      <c r="AK225" s="1166"/>
      <c r="BB225" s="1193"/>
    </row>
    <row r="226" spans="1:54" s="1177" customFormat="1" outlineLevel="1" x14ac:dyDescent="0.25">
      <c r="A226" s="1197"/>
      <c r="B226" s="2136"/>
      <c r="C226" s="1194"/>
      <c r="D226" s="2956"/>
      <c r="E226" s="2146" t="s">
        <v>1703</v>
      </c>
      <c r="F226" s="1541">
        <v>30</v>
      </c>
      <c r="G226" s="1381"/>
      <c r="H226" s="1542" t="s">
        <v>1740</v>
      </c>
      <c r="I226" s="1197"/>
      <c r="J226" s="1197"/>
      <c r="K226" s="1197"/>
      <c r="L226" s="1197"/>
      <c r="M226" s="1197"/>
      <c r="N226" s="1197"/>
      <c r="O226" s="1197"/>
      <c r="P226" s="1197"/>
      <c r="Q226" s="1197"/>
      <c r="R226" s="1197"/>
      <c r="S226" s="1197"/>
      <c r="T226" s="1197"/>
      <c r="U226" s="1197"/>
      <c r="V226" s="2958"/>
      <c r="W226" s="1188">
        <v>30</v>
      </c>
      <c r="X226" s="1188">
        <v>30</v>
      </c>
      <c r="Y226" s="1188">
        <v>30</v>
      </c>
      <c r="Z226" s="1188"/>
      <c r="AA226" s="1188"/>
      <c r="AB226" s="1188"/>
      <c r="AC226" s="1188"/>
      <c r="AD226" s="1188"/>
      <c r="AE226" s="1188"/>
      <c r="AF226" s="1188"/>
      <c r="AG226" s="1188"/>
      <c r="AK226" s="1166"/>
      <c r="BB226" s="1193"/>
    </row>
    <row r="227" spans="1:54" s="1177" customFormat="1" outlineLevel="1" x14ac:dyDescent="0.25">
      <c r="A227" s="1197"/>
      <c r="B227" s="2136"/>
      <c r="C227" s="1194"/>
      <c r="D227" s="2956"/>
      <c r="E227" s="574" t="s">
        <v>1705</v>
      </c>
      <c r="F227" s="1541">
        <v>38</v>
      </c>
      <c r="G227" s="1381"/>
      <c r="H227" s="1542" t="s">
        <v>1740</v>
      </c>
      <c r="I227" s="1197"/>
      <c r="J227" s="1197"/>
      <c r="K227" s="1197"/>
      <c r="L227" s="1197"/>
      <c r="M227" s="1197"/>
      <c r="N227" s="1197"/>
      <c r="O227" s="1197"/>
      <c r="P227" s="1197"/>
      <c r="Q227" s="1197"/>
      <c r="R227" s="1197"/>
      <c r="S227" s="1197"/>
      <c r="T227" s="1197"/>
      <c r="U227" s="1197"/>
      <c r="V227" s="2958"/>
      <c r="W227" s="1188">
        <v>38</v>
      </c>
      <c r="X227" s="1188">
        <v>38</v>
      </c>
      <c r="Y227" s="1188">
        <v>38</v>
      </c>
      <c r="Z227" s="1188"/>
      <c r="AA227" s="1188"/>
      <c r="AB227" s="1188"/>
      <c r="AC227" s="1188"/>
      <c r="AD227" s="1188"/>
      <c r="AE227" s="1188"/>
      <c r="AF227" s="1188"/>
      <c r="AG227" s="1188"/>
      <c r="AK227" s="1166"/>
      <c r="BB227" s="1193"/>
    </row>
    <row r="228" spans="1:54" s="1177" customFormat="1" outlineLevel="1" x14ac:dyDescent="0.25">
      <c r="A228" s="1197"/>
      <c r="B228" s="2118"/>
      <c r="C228" s="1194"/>
      <c r="D228" s="2956"/>
      <c r="E228" s="574" t="s">
        <v>1707</v>
      </c>
      <c r="F228" s="1541">
        <v>38</v>
      </c>
      <c r="G228" s="1381"/>
      <c r="H228" s="1542" t="s">
        <v>1740</v>
      </c>
      <c r="I228" s="1197"/>
      <c r="J228" s="1197"/>
      <c r="K228" s="1197"/>
      <c r="L228" s="1197"/>
      <c r="M228" s="1197"/>
      <c r="N228" s="1197"/>
      <c r="O228" s="1197"/>
      <c r="P228" s="1197"/>
      <c r="Q228" s="1197"/>
      <c r="R228" s="1197"/>
      <c r="S228" s="1197"/>
      <c r="T228" s="1197"/>
      <c r="U228" s="1197"/>
      <c r="V228" s="2958"/>
      <c r="W228" s="1188">
        <v>38</v>
      </c>
      <c r="X228" s="1188">
        <v>38</v>
      </c>
      <c r="Y228" s="1188">
        <v>38</v>
      </c>
      <c r="Z228" s="1188"/>
      <c r="AA228" s="1188"/>
      <c r="AB228" s="1188"/>
      <c r="AC228" s="1188"/>
      <c r="AD228" s="1188"/>
      <c r="AE228" s="1188"/>
      <c r="AF228" s="1188"/>
      <c r="AG228" s="1188"/>
      <c r="AK228" s="1166"/>
      <c r="BB228" s="1193"/>
    </row>
    <row r="229" spans="1:54" s="1177" customFormat="1" outlineLevel="1" x14ac:dyDescent="0.25">
      <c r="A229" s="1197"/>
      <c r="B229" s="2118"/>
      <c r="C229" s="1194"/>
      <c r="D229" s="2956"/>
      <c r="E229" s="583" t="s">
        <v>1709</v>
      </c>
      <c r="F229" s="1541">
        <v>38</v>
      </c>
      <c r="G229" s="1381"/>
      <c r="H229" s="1542" t="s">
        <v>1740</v>
      </c>
      <c r="I229" s="1197"/>
      <c r="J229" s="1197"/>
      <c r="K229" s="1197"/>
      <c r="L229" s="1197"/>
      <c r="M229" s="1197"/>
      <c r="N229" s="1197"/>
      <c r="O229" s="1197"/>
      <c r="P229" s="1197"/>
      <c r="Q229" s="1197"/>
      <c r="R229" s="1197"/>
      <c r="S229" s="1197"/>
      <c r="T229" s="1197"/>
      <c r="U229" s="1197"/>
      <c r="V229" s="2958"/>
      <c r="W229" s="1188">
        <v>38</v>
      </c>
      <c r="X229" s="1188">
        <v>38</v>
      </c>
      <c r="Y229" s="1188">
        <v>38</v>
      </c>
      <c r="Z229" s="1188"/>
      <c r="AA229" s="1188"/>
      <c r="AB229" s="1188"/>
      <c r="AC229" s="1188"/>
      <c r="AD229" s="1188"/>
      <c r="AE229" s="1188"/>
      <c r="AF229" s="1188"/>
      <c r="AG229" s="1188"/>
      <c r="AK229" s="1166"/>
      <c r="BB229" s="1193"/>
    </row>
    <row r="230" spans="1:54" s="1177" customFormat="1" outlineLevel="1" x14ac:dyDescent="0.25">
      <c r="A230" s="1197"/>
      <c r="B230" s="2118"/>
      <c r="C230" s="1194"/>
      <c r="D230" s="2956"/>
      <c r="E230" s="574" t="s">
        <v>1711</v>
      </c>
      <c r="F230" s="1541">
        <v>38</v>
      </c>
      <c r="G230" s="1381"/>
      <c r="H230" s="1542" t="s">
        <v>1740</v>
      </c>
      <c r="I230" s="1197"/>
      <c r="J230" s="1197"/>
      <c r="K230" s="1197"/>
      <c r="L230" s="1197"/>
      <c r="M230" s="1197"/>
      <c r="N230" s="1197"/>
      <c r="O230" s="1197"/>
      <c r="P230" s="1197"/>
      <c r="Q230" s="1197"/>
      <c r="R230" s="1197"/>
      <c r="S230" s="1197"/>
      <c r="T230" s="1197"/>
      <c r="U230" s="1197"/>
      <c r="V230" s="2958"/>
      <c r="W230" s="1188">
        <v>38</v>
      </c>
      <c r="X230" s="1188">
        <v>38</v>
      </c>
      <c r="Y230" s="1188">
        <v>38</v>
      </c>
      <c r="Z230" s="1188"/>
      <c r="AA230" s="1188"/>
      <c r="AB230" s="1188"/>
      <c r="AC230" s="1188"/>
      <c r="AD230" s="1188"/>
      <c r="AE230" s="1188"/>
      <c r="AF230" s="1188"/>
      <c r="AG230" s="1188"/>
      <c r="AK230" s="1166"/>
      <c r="BB230" s="1193"/>
    </row>
    <row r="231" spans="1:54" s="1177" customFormat="1" outlineLevel="1" x14ac:dyDescent="0.25">
      <c r="A231" s="1197"/>
      <c r="B231" s="2136"/>
      <c r="C231" s="1194"/>
      <c r="D231" s="2956"/>
      <c r="E231" s="574" t="s">
        <v>1713</v>
      </c>
      <c r="F231" s="1541">
        <v>38</v>
      </c>
      <c r="G231" s="1381"/>
      <c r="H231" s="1542" t="s">
        <v>1740</v>
      </c>
      <c r="I231" s="1197"/>
      <c r="J231" s="1197"/>
      <c r="K231" s="1197"/>
      <c r="L231" s="1197"/>
      <c r="M231" s="1197"/>
      <c r="N231" s="1197"/>
      <c r="O231" s="1197"/>
      <c r="P231" s="1197"/>
      <c r="Q231" s="1197"/>
      <c r="R231" s="1197"/>
      <c r="S231" s="1197"/>
      <c r="T231" s="1197"/>
      <c r="U231" s="1197"/>
      <c r="V231" s="2958"/>
      <c r="W231" s="1188">
        <v>38</v>
      </c>
      <c r="X231" s="1188">
        <v>38</v>
      </c>
      <c r="Y231" s="1188">
        <v>38</v>
      </c>
      <c r="Z231" s="1188"/>
      <c r="AA231" s="1188"/>
      <c r="AB231" s="1188"/>
      <c r="AC231" s="1188"/>
      <c r="AD231" s="1188"/>
      <c r="AE231" s="1188"/>
      <c r="AF231" s="1188"/>
      <c r="AG231" s="1188"/>
      <c r="AK231" s="1166"/>
      <c r="BB231" s="1193"/>
    </row>
    <row r="232" spans="1:54" s="1177" customFormat="1" outlineLevel="1" x14ac:dyDescent="0.25">
      <c r="A232" s="1197"/>
      <c r="B232" s="2136"/>
      <c r="C232" s="1194"/>
      <c r="D232" s="2956"/>
      <c r="E232" s="2146" t="s">
        <v>1715</v>
      </c>
      <c r="F232" s="1541">
        <v>38</v>
      </c>
      <c r="G232" s="1381"/>
      <c r="H232" s="1542" t="s">
        <v>1740</v>
      </c>
      <c r="I232" s="1197"/>
      <c r="J232" s="1197"/>
      <c r="K232" s="1197"/>
      <c r="L232" s="1197"/>
      <c r="M232" s="1197"/>
      <c r="N232" s="1197"/>
      <c r="O232" s="1197"/>
      <c r="P232" s="1197"/>
      <c r="Q232" s="1197"/>
      <c r="R232" s="1197"/>
      <c r="S232" s="1197"/>
      <c r="T232" s="1197"/>
      <c r="U232" s="1197"/>
      <c r="V232" s="2958"/>
      <c r="W232" s="1188">
        <v>38</v>
      </c>
      <c r="X232" s="1188">
        <v>38</v>
      </c>
      <c r="Y232" s="1188">
        <v>38</v>
      </c>
      <c r="Z232" s="1188"/>
      <c r="AA232" s="1188"/>
      <c r="AB232" s="1188"/>
      <c r="AC232" s="1188"/>
      <c r="AD232" s="1188"/>
      <c r="AE232" s="1188"/>
      <c r="AF232" s="1188"/>
      <c r="AG232" s="1188"/>
      <c r="AK232" s="1166"/>
      <c r="BB232" s="1193"/>
    </row>
    <row r="233" spans="1:54" s="1177" customFormat="1" outlineLevel="1" x14ac:dyDescent="0.25">
      <c r="A233" s="1197"/>
      <c r="B233" s="2136"/>
      <c r="C233" s="1194"/>
      <c r="D233" s="2956"/>
      <c r="E233" s="574" t="s">
        <v>1717</v>
      </c>
      <c r="F233" s="1541">
        <v>49</v>
      </c>
      <c r="G233" s="1381"/>
      <c r="H233" s="1542" t="s">
        <v>1740</v>
      </c>
      <c r="I233" s="1197"/>
      <c r="J233" s="1197"/>
      <c r="K233" s="1197"/>
      <c r="L233" s="1197"/>
      <c r="M233" s="1197"/>
      <c r="N233" s="1197"/>
      <c r="O233" s="1197"/>
      <c r="P233" s="1197"/>
      <c r="Q233" s="1197"/>
      <c r="R233" s="1197"/>
      <c r="S233" s="1197"/>
      <c r="T233" s="1197"/>
      <c r="U233" s="1197"/>
      <c r="V233" s="2958"/>
      <c r="W233" s="1188">
        <v>49</v>
      </c>
      <c r="X233" s="1188">
        <v>49</v>
      </c>
      <c r="Y233" s="1188">
        <v>49</v>
      </c>
      <c r="Z233" s="1188"/>
      <c r="AA233" s="1188"/>
      <c r="AB233" s="1188"/>
      <c r="AC233" s="1188"/>
      <c r="AD233" s="1188"/>
      <c r="AE233" s="1188"/>
      <c r="AF233" s="1188"/>
      <c r="AG233" s="1188"/>
      <c r="AK233" s="1166"/>
      <c r="BB233" s="1193"/>
    </row>
    <row r="234" spans="1:54" s="1177" customFormat="1" outlineLevel="1" x14ac:dyDescent="0.25">
      <c r="A234" s="1197"/>
      <c r="B234" s="2136"/>
      <c r="C234" s="1194"/>
      <c r="D234" s="2956"/>
      <c r="E234" s="574" t="s">
        <v>1719</v>
      </c>
      <c r="F234" s="1541">
        <v>49</v>
      </c>
      <c r="G234" s="1381"/>
      <c r="H234" s="1542" t="s">
        <v>1740</v>
      </c>
      <c r="I234" s="1197"/>
      <c r="J234" s="1197"/>
      <c r="K234" s="1197"/>
      <c r="L234" s="1197"/>
      <c r="M234" s="1197"/>
      <c r="N234" s="1197"/>
      <c r="O234" s="1197"/>
      <c r="P234" s="1197"/>
      <c r="Q234" s="1197"/>
      <c r="R234" s="1197"/>
      <c r="S234" s="1197"/>
      <c r="T234" s="1197"/>
      <c r="U234" s="1197"/>
      <c r="V234" s="2958"/>
      <c r="W234" s="1188">
        <v>49</v>
      </c>
      <c r="X234" s="1188">
        <v>49</v>
      </c>
      <c r="Y234" s="1188">
        <v>49</v>
      </c>
      <c r="Z234" s="1188"/>
      <c r="AA234" s="1188"/>
      <c r="AB234" s="1188"/>
      <c r="AC234" s="1188"/>
      <c r="AD234" s="1188"/>
      <c r="AE234" s="1188"/>
      <c r="AF234" s="1188"/>
      <c r="AG234" s="1188"/>
      <c r="AK234" s="1166"/>
      <c r="BB234" s="1193"/>
    </row>
    <row r="235" spans="1:54" s="1177" customFormat="1" outlineLevel="1" x14ac:dyDescent="0.25">
      <c r="A235" s="1197"/>
      <c r="B235" s="2136"/>
      <c r="C235" s="1194"/>
      <c r="D235" s="2956"/>
      <c r="E235" s="583" t="s">
        <v>1721</v>
      </c>
      <c r="F235" s="1541">
        <v>49</v>
      </c>
      <c r="G235" s="1381"/>
      <c r="H235" s="1542" t="s">
        <v>1740</v>
      </c>
      <c r="I235" s="1197"/>
      <c r="J235" s="1197"/>
      <c r="K235" s="1197"/>
      <c r="L235" s="1197"/>
      <c r="M235" s="1197"/>
      <c r="N235" s="1197"/>
      <c r="O235" s="1197"/>
      <c r="P235" s="1197"/>
      <c r="Q235" s="1197"/>
      <c r="R235" s="1197"/>
      <c r="S235" s="1197"/>
      <c r="T235" s="1197"/>
      <c r="U235" s="1197"/>
      <c r="V235" s="2958"/>
      <c r="W235" s="1188">
        <v>49</v>
      </c>
      <c r="X235" s="1188">
        <v>49</v>
      </c>
      <c r="Y235" s="1188">
        <v>49</v>
      </c>
      <c r="Z235" s="1188"/>
      <c r="AA235" s="1188"/>
      <c r="AB235" s="1188"/>
      <c r="AC235" s="1188"/>
      <c r="AD235" s="1188"/>
      <c r="AE235" s="1188"/>
      <c r="AF235" s="1188"/>
      <c r="AG235" s="1188"/>
      <c r="AK235" s="1166"/>
      <c r="BB235" s="1193"/>
    </row>
    <row r="236" spans="1:54" s="1177" customFormat="1" outlineLevel="1" x14ac:dyDescent="0.25">
      <c r="A236" s="1197"/>
      <c r="B236" s="2136"/>
      <c r="C236" s="1194"/>
      <c r="D236" s="2956"/>
      <c r="E236" s="574" t="s">
        <v>1723</v>
      </c>
      <c r="F236" s="1541">
        <v>49</v>
      </c>
      <c r="G236" s="1381"/>
      <c r="H236" s="1542" t="s">
        <v>1740</v>
      </c>
      <c r="I236" s="1197"/>
      <c r="J236" s="1197"/>
      <c r="K236" s="1197"/>
      <c r="L236" s="1197"/>
      <c r="M236" s="1197"/>
      <c r="N236" s="1197"/>
      <c r="O236" s="1197"/>
      <c r="P236" s="1197"/>
      <c r="Q236" s="1197"/>
      <c r="R236" s="1197"/>
      <c r="S236" s="1197"/>
      <c r="T236" s="1197"/>
      <c r="U236" s="1197"/>
      <c r="V236" s="2958"/>
      <c r="W236" s="1188">
        <v>49</v>
      </c>
      <c r="X236" s="1188">
        <v>49</v>
      </c>
      <c r="Y236" s="1188">
        <v>49</v>
      </c>
      <c r="Z236" s="1188"/>
      <c r="AA236" s="1188"/>
      <c r="AB236" s="1188"/>
      <c r="AC236" s="1188"/>
      <c r="AD236" s="1188"/>
      <c r="AE236" s="1188"/>
      <c r="AF236" s="1188"/>
      <c r="AG236" s="1188"/>
      <c r="AK236" s="1166"/>
      <c r="BB236" s="1193"/>
    </row>
    <row r="237" spans="1:54" s="1177" customFormat="1" outlineLevel="1" x14ac:dyDescent="0.25">
      <c r="A237" s="1197"/>
      <c r="B237" s="2136"/>
      <c r="C237" s="1194"/>
      <c r="D237" s="2956"/>
      <c r="E237" s="583" t="s">
        <v>1725</v>
      </c>
      <c r="F237" s="1541">
        <v>49</v>
      </c>
      <c r="G237" s="1381"/>
      <c r="H237" s="1542" t="s">
        <v>1740</v>
      </c>
      <c r="I237" s="1197"/>
      <c r="J237" s="1197"/>
      <c r="K237" s="1197"/>
      <c r="L237" s="1197"/>
      <c r="M237" s="1197"/>
      <c r="N237" s="1197"/>
      <c r="O237" s="1197"/>
      <c r="P237" s="1197"/>
      <c r="Q237" s="1197"/>
      <c r="R237" s="1197"/>
      <c r="S237" s="1197"/>
      <c r="T237" s="1197"/>
      <c r="U237" s="1197"/>
      <c r="V237" s="2958"/>
      <c r="W237" s="1188">
        <v>49</v>
      </c>
      <c r="X237" s="1188">
        <v>49</v>
      </c>
      <c r="Y237" s="1188">
        <v>49</v>
      </c>
      <c r="Z237" s="1188"/>
      <c r="AA237" s="1188"/>
      <c r="AB237" s="1188"/>
      <c r="AC237" s="1188"/>
      <c r="AD237" s="1188"/>
      <c r="AE237" s="1188"/>
      <c r="AF237" s="1188"/>
      <c r="AG237" s="1188"/>
      <c r="AK237" s="1166"/>
      <c r="BB237" s="1193"/>
    </row>
    <row r="238" spans="1:54" s="1177" customFormat="1" outlineLevel="1" x14ac:dyDescent="0.25">
      <c r="A238" s="1197"/>
      <c r="B238" s="2136"/>
      <c r="C238" s="1194"/>
      <c r="D238" s="2956"/>
      <c r="E238" s="574" t="s">
        <v>1727</v>
      </c>
      <c r="F238" s="1541">
        <v>49</v>
      </c>
      <c r="G238" s="1381"/>
      <c r="H238" s="1542" t="s">
        <v>1740</v>
      </c>
      <c r="I238" s="1197"/>
      <c r="J238" s="1197"/>
      <c r="K238" s="1197"/>
      <c r="L238" s="1197"/>
      <c r="M238" s="1197"/>
      <c r="N238" s="1197"/>
      <c r="O238" s="1197"/>
      <c r="P238" s="1197"/>
      <c r="Q238" s="1197"/>
      <c r="R238" s="1197"/>
      <c r="S238" s="1197"/>
      <c r="T238" s="1197"/>
      <c r="U238" s="1197"/>
      <c r="V238" s="2958"/>
      <c r="W238" s="1188">
        <v>49</v>
      </c>
      <c r="X238" s="1188">
        <v>49</v>
      </c>
      <c r="Y238" s="1188">
        <v>49</v>
      </c>
      <c r="Z238" s="1188"/>
      <c r="AA238" s="1188"/>
      <c r="AB238" s="1188"/>
      <c r="AC238" s="1188"/>
      <c r="AD238" s="1188"/>
      <c r="AE238" s="1188"/>
      <c r="AF238" s="1188"/>
      <c r="AG238" s="1188"/>
      <c r="AK238" s="1166"/>
      <c r="BB238" s="1193"/>
    </row>
    <row r="239" spans="1:54" s="1177" customFormat="1" outlineLevel="1" x14ac:dyDescent="0.25">
      <c r="A239" s="1197"/>
      <c r="B239" s="2136"/>
      <c r="C239" s="1194"/>
      <c r="D239" s="2956"/>
      <c r="E239" s="574" t="s">
        <v>1729</v>
      </c>
      <c r="F239" s="1541">
        <v>60</v>
      </c>
      <c r="G239" s="1381"/>
      <c r="H239" s="1542" t="s">
        <v>1740</v>
      </c>
      <c r="I239" s="1197"/>
      <c r="J239" s="1197"/>
      <c r="K239" s="1197"/>
      <c r="L239" s="1197"/>
      <c r="M239" s="1197"/>
      <c r="N239" s="1197"/>
      <c r="O239" s="1197"/>
      <c r="P239" s="1197"/>
      <c r="Q239" s="1197"/>
      <c r="R239" s="1197"/>
      <c r="S239" s="1197"/>
      <c r="T239" s="1197"/>
      <c r="U239" s="1197"/>
      <c r="V239" s="2958"/>
      <c r="W239" s="1188">
        <v>60</v>
      </c>
      <c r="X239" s="1188">
        <v>60</v>
      </c>
      <c r="Y239" s="1188">
        <v>60</v>
      </c>
      <c r="Z239" s="1188"/>
      <c r="AA239" s="1188"/>
      <c r="AB239" s="1188"/>
      <c r="AC239" s="1188"/>
      <c r="AD239" s="1188"/>
      <c r="AE239" s="1188"/>
      <c r="AF239" s="1188"/>
      <c r="AG239" s="1188"/>
      <c r="AK239" s="1166"/>
      <c r="BB239" s="1193"/>
    </row>
    <row r="240" spans="1:54" s="1177" customFormat="1" outlineLevel="1" x14ac:dyDescent="0.25">
      <c r="A240" s="1197"/>
      <c r="B240" s="2136"/>
      <c r="C240" s="1194"/>
      <c r="D240" s="2956"/>
      <c r="E240" s="574" t="s">
        <v>1731</v>
      </c>
      <c r="F240" s="1541">
        <v>60</v>
      </c>
      <c r="G240" s="1381"/>
      <c r="H240" s="1542" t="s">
        <v>1740</v>
      </c>
      <c r="I240" s="1197"/>
      <c r="J240" s="1197"/>
      <c r="K240" s="1197"/>
      <c r="L240" s="1197"/>
      <c r="M240" s="1197"/>
      <c r="N240" s="1197"/>
      <c r="O240" s="1197"/>
      <c r="P240" s="1197"/>
      <c r="Q240" s="1197"/>
      <c r="R240" s="1197"/>
      <c r="S240" s="1197"/>
      <c r="T240" s="1197"/>
      <c r="U240" s="1197"/>
      <c r="V240" s="2958"/>
      <c r="W240" s="1188">
        <v>60</v>
      </c>
      <c r="X240" s="1188">
        <v>60</v>
      </c>
      <c r="Y240" s="1188">
        <v>60</v>
      </c>
      <c r="Z240" s="1188"/>
      <c r="AA240" s="1188"/>
      <c r="AB240" s="1188"/>
      <c r="AC240" s="1188"/>
      <c r="AD240" s="1188"/>
      <c r="AE240" s="1188"/>
      <c r="AF240" s="1188"/>
      <c r="AG240" s="1188"/>
      <c r="AK240" s="1166"/>
      <c r="BB240" s="1193"/>
    </row>
    <row r="241" spans="1:54" s="1177" customFormat="1" outlineLevel="1" x14ac:dyDescent="0.25">
      <c r="A241" s="1197"/>
      <c r="B241" s="2136"/>
      <c r="C241" s="1194"/>
      <c r="D241" s="2956"/>
      <c r="E241" s="583" t="s">
        <v>1733</v>
      </c>
      <c r="F241" s="1541">
        <v>60</v>
      </c>
      <c r="G241" s="1381"/>
      <c r="H241" s="1542" t="s">
        <v>1740</v>
      </c>
      <c r="I241" s="1197"/>
      <c r="J241" s="1197"/>
      <c r="K241" s="1197"/>
      <c r="L241" s="1197"/>
      <c r="M241" s="1197"/>
      <c r="N241" s="1197"/>
      <c r="O241" s="1197"/>
      <c r="P241" s="1197"/>
      <c r="Q241" s="1197"/>
      <c r="R241" s="1197"/>
      <c r="S241" s="1197"/>
      <c r="T241" s="1197"/>
      <c r="U241" s="1197"/>
      <c r="V241" s="2958"/>
      <c r="W241" s="1188">
        <v>60</v>
      </c>
      <c r="X241" s="1188">
        <v>60</v>
      </c>
      <c r="Y241" s="1188">
        <v>60</v>
      </c>
      <c r="Z241" s="1188"/>
      <c r="AA241" s="1188"/>
      <c r="AB241" s="1188"/>
      <c r="AC241" s="1188"/>
      <c r="AD241" s="1188"/>
      <c r="AE241" s="1188"/>
      <c r="AF241" s="1188"/>
      <c r="AG241" s="1188"/>
      <c r="AK241" s="1166"/>
      <c r="BB241" s="1193"/>
    </row>
    <row r="242" spans="1:54" s="1177" customFormat="1" outlineLevel="1" x14ac:dyDescent="0.25">
      <c r="A242" s="1197"/>
      <c r="B242" s="2136"/>
      <c r="C242" s="1194"/>
      <c r="D242" s="2956"/>
      <c r="E242" s="574" t="s">
        <v>1735</v>
      </c>
      <c r="F242" s="1541">
        <v>60</v>
      </c>
      <c r="G242" s="1381"/>
      <c r="H242" s="1542" t="s">
        <v>1740</v>
      </c>
      <c r="I242" s="1197"/>
      <c r="J242" s="1197"/>
      <c r="K242" s="1197"/>
      <c r="L242" s="1197"/>
      <c r="M242" s="1197"/>
      <c r="N242" s="1197"/>
      <c r="O242" s="1197"/>
      <c r="P242" s="1197"/>
      <c r="Q242" s="1197"/>
      <c r="R242" s="1197"/>
      <c r="S242" s="1197"/>
      <c r="T242" s="1197"/>
      <c r="U242" s="1197"/>
      <c r="V242" s="2958"/>
      <c r="W242" s="1188">
        <v>60</v>
      </c>
      <c r="X242" s="1188">
        <v>60</v>
      </c>
      <c r="Y242" s="1188">
        <v>60</v>
      </c>
      <c r="Z242" s="1188"/>
      <c r="AA242" s="1188"/>
      <c r="AB242" s="1188"/>
      <c r="AC242" s="1188"/>
      <c r="AD242" s="1188"/>
      <c r="AE242" s="1188"/>
      <c r="AF242" s="1188"/>
      <c r="AG242" s="1188"/>
      <c r="AK242" s="1166"/>
      <c r="BB242" s="1193"/>
    </row>
    <row r="243" spans="1:54" s="1177" customFormat="1" outlineLevel="1" x14ac:dyDescent="0.25">
      <c r="A243" s="1197"/>
      <c r="B243" s="2136"/>
      <c r="C243" s="1194"/>
      <c r="D243" s="2956"/>
      <c r="E243" s="583" t="s">
        <v>1737</v>
      </c>
      <c r="F243" s="1541">
        <v>60</v>
      </c>
      <c r="G243" s="1381"/>
      <c r="H243" s="1542" t="s">
        <v>1740</v>
      </c>
      <c r="I243" s="1197"/>
      <c r="J243" s="1197"/>
      <c r="K243" s="1197"/>
      <c r="L243" s="1197"/>
      <c r="M243" s="1197"/>
      <c r="N243" s="1197"/>
      <c r="O243" s="1197"/>
      <c r="P243" s="1197"/>
      <c r="Q243" s="1197"/>
      <c r="R243" s="1197"/>
      <c r="S243" s="1197"/>
      <c r="T243" s="1197"/>
      <c r="U243" s="1197"/>
      <c r="V243" s="2958"/>
      <c r="W243" s="1188">
        <v>60</v>
      </c>
      <c r="X243" s="1188">
        <v>60</v>
      </c>
      <c r="Y243" s="1188">
        <v>60</v>
      </c>
      <c r="Z243" s="1188"/>
      <c r="AA243" s="1188"/>
      <c r="AB243" s="1188"/>
      <c r="AC243" s="1188"/>
      <c r="AD243" s="1188"/>
      <c r="AE243" s="1188"/>
      <c r="AF243" s="1188"/>
      <c r="AG243" s="1188"/>
      <c r="AK243" s="1166"/>
      <c r="BB243" s="1193"/>
    </row>
    <row r="244" spans="1:54" s="1177" customFormat="1" outlineLevel="1" x14ac:dyDescent="0.25">
      <c r="A244" s="1197"/>
      <c r="B244" s="2136"/>
      <c r="C244" s="1194"/>
      <c r="D244" s="2956"/>
      <c r="E244" s="574" t="s">
        <v>1739</v>
      </c>
      <c r="F244" s="1541">
        <v>60</v>
      </c>
      <c r="G244" s="1381"/>
      <c r="H244" s="1542" t="s">
        <v>1740</v>
      </c>
      <c r="I244" s="1197"/>
      <c r="J244" s="1197"/>
      <c r="K244" s="1197"/>
      <c r="L244" s="1197"/>
      <c r="M244" s="1197"/>
      <c r="N244" s="1197"/>
      <c r="O244" s="1197"/>
      <c r="P244" s="1197"/>
      <c r="Q244" s="1197"/>
      <c r="R244" s="1197"/>
      <c r="S244" s="1197"/>
      <c r="T244" s="1197"/>
      <c r="U244" s="1197"/>
      <c r="V244" s="2965"/>
      <c r="W244" s="1188">
        <v>60</v>
      </c>
      <c r="X244" s="1188">
        <v>60</v>
      </c>
      <c r="Y244" s="1188">
        <v>60</v>
      </c>
      <c r="Z244" s="1188"/>
      <c r="AA244" s="1188"/>
      <c r="AB244" s="1188"/>
      <c r="AC244" s="1188"/>
      <c r="AD244" s="1188"/>
      <c r="AE244" s="1188"/>
      <c r="AF244" s="1188"/>
      <c r="AG244" s="1188"/>
      <c r="AK244" s="1166"/>
      <c r="BB244" s="1193"/>
    </row>
    <row r="245" spans="1:54" s="1177" customFormat="1" ht="17.25" customHeight="1" outlineLevel="1" x14ac:dyDescent="0.25">
      <c r="A245" s="1197"/>
      <c r="B245" s="2118"/>
      <c r="C245" s="1194"/>
      <c r="D245" s="2955" t="s">
        <v>2313</v>
      </c>
      <c r="E245" s="574" t="s">
        <v>1681</v>
      </c>
      <c r="F245" s="1228">
        <v>1</v>
      </c>
      <c r="G245" s="1381" t="s">
        <v>1741</v>
      </c>
      <c r="H245" s="1542" t="s">
        <v>1742</v>
      </c>
      <c r="I245" s="1197"/>
      <c r="J245" s="1197"/>
      <c r="K245" s="1197"/>
      <c r="L245" s="1197"/>
      <c r="M245" s="1197"/>
      <c r="N245" s="1197"/>
      <c r="O245" s="1197"/>
      <c r="P245" s="1197"/>
      <c r="Q245" s="1197"/>
      <c r="R245" s="1197"/>
      <c r="S245" s="1197"/>
      <c r="T245" s="1197"/>
      <c r="U245" s="1197"/>
      <c r="V245" s="2957" t="str">
        <f>D245</f>
        <v>AAttic</v>
      </c>
      <c r="W245" s="1188">
        <f>0.65*1347</f>
        <v>875.55000000000007</v>
      </c>
      <c r="X245" s="1188">
        <v>875.55000000000007</v>
      </c>
      <c r="Y245" s="843">
        <v>1</v>
      </c>
      <c r="Z245" s="1188"/>
      <c r="AA245" s="1188"/>
      <c r="AB245" s="1188"/>
      <c r="AC245" s="1188"/>
      <c r="AD245" s="1188"/>
      <c r="AE245" s="1188"/>
      <c r="AF245" s="1188"/>
      <c r="AG245" s="1188"/>
      <c r="AK245" s="1166"/>
      <c r="BB245" s="1193"/>
    </row>
    <row r="246" spans="1:54" s="1177" customFormat="1" outlineLevel="1" x14ac:dyDescent="0.25">
      <c r="A246" s="1197"/>
      <c r="B246" s="1205"/>
      <c r="C246" s="1194"/>
      <c r="D246" s="2956"/>
      <c r="E246" s="574" t="s">
        <v>1683</v>
      </c>
      <c r="F246" s="1228">
        <v>1</v>
      </c>
      <c r="G246" s="1381" t="s">
        <v>1741</v>
      </c>
      <c r="H246" s="1542" t="s">
        <v>1742</v>
      </c>
      <c r="I246" s="1197"/>
      <c r="J246" s="1197"/>
      <c r="K246" s="1197"/>
      <c r="L246" s="1197"/>
      <c r="M246" s="1197"/>
      <c r="N246" s="1197"/>
      <c r="O246" s="1197"/>
      <c r="P246" s="1197"/>
      <c r="Q246" s="1197"/>
      <c r="R246" s="1197"/>
      <c r="S246" s="1197"/>
      <c r="T246" s="1197"/>
      <c r="U246" s="1197"/>
      <c r="V246" s="2958"/>
      <c r="W246" s="1188">
        <f>0.65*1347</f>
        <v>875.55000000000007</v>
      </c>
      <c r="X246" s="1188">
        <v>875.55000000000007</v>
      </c>
      <c r="Y246" s="843">
        <v>1</v>
      </c>
      <c r="Z246" s="1188"/>
      <c r="AA246" s="1188"/>
      <c r="AB246" s="1188"/>
      <c r="AC246" s="1188"/>
      <c r="AD246" s="1188"/>
      <c r="AE246" s="1188"/>
      <c r="AF246" s="1188"/>
      <c r="AG246" s="1188"/>
      <c r="AK246" s="1166"/>
      <c r="BB246" s="1193"/>
    </row>
    <row r="247" spans="1:54" s="1177" customFormat="1" outlineLevel="1" x14ac:dyDescent="0.25">
      <c r="A247" s="1197"/>
      <c r="B247" s="1205"/>
      <c r="C247" s="1194"/>
      <c r="D247" s="2956"/>
      <c r="E247" s="574" t="s">
        <v>1685</v>
      </c>
      <c r="F247" s="1228">
        <v>1</v>
      </c>
      <c r="G247" s="1381" t="s">
        <v>1741</v>
      </c>
      <c r="H247" s="1542" t="s">
        <v>1742</v>
      </c>
      <c r="I247" s="1197"/>
      <c r="J247" s="1197"/>
      <c r="K247" s="1197"/>
      <c r="L247" s="1197"/>
      <c r="M247" s="1197"/>
      <c r="N247" s="1197"/>
      <c r="O247" s="1197"/>
      <c r="P247" s="1197"/>
      <c r="Q247" s="1197"/>
      <c r="R247" s="1197"/>
      <c r="S247" s="1197"/>
      <c r="T247" s="1197"/>
      <c r="U247" s="1197"/>
      <c r="V247" s="2958"/>
      <c r="W247" s="1188">
        <f>0.65*1347</f>
        <v>875.55000000000007</v>
      </c>
      <c r="X247" s="1188">
        <v>875.55000000000007</v>
      </c>
      <c r="Y247" s="843">
        <v>1</v>
      </c>
      <c r="Z247" s="1188"/>
      <c r="AA247" s="1188"/>
      <c r="AB247" s="1188"/>
      <c r="AC247" s="1188"/>
      <c r="AD247" s="1188"/>
      <c r="AE247" s="1188"/>
      <c r="AF247" s="1188"/>
      <c r="AG247" s="1188"/>
      <c r="AK247" s="1166"/>
      <c r="BB247" s="1193"/>
    </row>
    <row r="248" spans="1:54" s="1177" customFormat="1" outlineLevel="1" x14ac:dyDescent="0.25">
      <c r="A248" s="1197"/>
      <c r="B248" s="1205"/>
      <c r="C248" s="1194"/>
      <c r="D248" s="2956"/>
      <c r="E248" s="574" t="s">
        <v>1687</v>
      </c>
      <c r="F248" s="1228">
        <v>1</v>
      </c>
      <c r="G248" s="1381" t="s">
        <v>1741</v>
      </c>
      <c r="H248" s="1542" t="s">
        <v>1743</v>
      </c>
      <c r="I248" s="1197"/>
      <c r="J248" s="1197"/>
      <c r="K248" s="1197"/>
      <c r="L248" s="1197"/>
      <c r="M248" s="1197"/>
      <c r="N248" s="1197"/>
      <c r="O248" s="1197"/>
      <c r="P248" s="1197"/>
      <c r="Q248" s="1197"/>
      <c r="R248" s="1197"/>
      <c r="S248" s="1197"/>
      <c r="T248" s="1197"/>
      <c r="U248" s="1197"/>
      <c r="V248" s="2958"/>
      <c r="W248" s="1188">
        <v>1347</v>
      </c>
      <c r="X248" s="1188">
        <v>1347</v>
      </c>
      <c r="Y248" s="843">
        <v>1</v>
      </c>
      <c r="Z248" s="1188"/>
      <c r="AA248" s="1188"/>
      <c r="AB248" s="1188"/>
      <c r="AC248" s="1188"/>
      <c r="AD248" s="1188"/>
      <c r="AE248" s="1188"/>
      <c r="AF248" s="1188"/>
      <c r="AG248" s="1188"/>
      <c r="AK248" s="1166"/>
      <c r="BB248" s="1193"/>
    </row>
    <row r="249" spans="1:54" s="1177" customFormat="1" outlineLevel="1" x14ac:dyDescent="0.25">
      <c r="A249" s="1197"/>
      <c r="B249" s="1205"/>
      <c r="C249" s="1194"/>
      <c r="D249" s="2956"/>
      <c r="E249" s="574" t="s">
        <v>1689</v>
      </c>
      <c r="F249" s="1228">
        <v>1</v>
      </c>
      <c r="G249" s="1381" t="s">
        <v>1741</v>
      </c>
      <c r="H249" s="1542" t="s">
        <v>1743</v>
      </c>
      <c r="I249" s="1197"/>
      <c r="J249" s="1197"/>
      <c r="K249" s="1197"/>
      <c r="L249" s="1197"/>
      <c r="M249" s="1197"/>
      <c r="N249" s="1197"/>
      <c r="O249" s="1197"/>
      <c r="P249" s="1197"/>
      <c r="Q249" s="1197"/>
      <c r="R249" s="1197"/>
      <c r="S249" s="1197"/>
      <c r="T249" s="1197"/>
      <c r="U249" s="1197"/>
      <c r="V249" s="2958"/>
      <c r="W249" s="1188">
        <v>1347</v>
      </c>
      <c r="X249" s="1188">
        <v>1347</v>
      </c>
      <c r="Y249" s="843">
        <v>1</v>
      </c>
      <c r="Z249" s="1188"/>
      <c r="AA249" s="1188"/>
      <c r="AB249" s="1188"/>
      <c r="AC249" s="1188"/>
      <c r="AD249" s="1188"/>
      <c r="AE249" s="1188"/>
      <c r="AF249" s="1188"/>
      <c r="AG249" s="1188"/>
      <c r="AK249" s="1166"/>
      <c r="BB249" s="1193"/>
    </row>
    <row r="250" spans="1:54" s="1177" customFormat="1" outlineLevel="1" x14ac:dyDescent="0.25">
      <c r="A250" s="1197"/>
      <c r="B250" s="1205"/>
      <c r="C250" s="1194"/>
      <c r="D250" s="2956"/>
      <c r="E250" s="574" t="s">
        <v>1691</v>
      </c>
      <c r="F250" s="1228">
        <v>1</v>
      </c>
      <c r="G250" s="1381" t="s">
        <v>1741</v>
      </c>
      <c r="H250" s="1542" t="s">
        <v>1743</v>
      </c>
      <c r="I250" s="1197"/>
      <c r="J250" s="1197"/>
      <c r="K250" s="1197"/>
      <c r="L250" s="1197"/>
      <c r="M250" s="1197"/>
      <c r="N250" s="1197"/>
      <c r="O250" s="1197"/>
      <c r="P250" s="1197"/>
      <c r="Q250" s="1197"/>
      <c r="R250" s="1197"/>
      <c r="S250" s="1197"/>
      <c r="T250" s="1197"/>
      <c r="U250" s="1197"/>
      <c r="V250" s="2958"/>
      <c r="W250" s="1188">
        <v>1347</v>
      </c>
      <c r="X250" s="1188">
        <v>1347</v>
      </c>
      <c r="Y250" s="843">
        <v>1</v>
      </c>
      <c r="Z250" s="1188"/>
      <c r="AA250" s="1188"/>
      <c r="AB250" s="1188"/>
      <c r="AC250" s="1188"/>
      <c r="AD250" s="1188"/>
      <c r="AE250" s="1188"/>
      <c r="AF250" s="1188"/>
      <c r="AG250" s="1188"/>
      <c r="AK250" s="1166"/>
      <c r="BB250" s="1193"/>
    </row>
    <row r="251" spans="1:54" s="1177" customFormat="1" outlineLevel="1" x14ac:dyDescent="0.25">
      <c r="A251" s="1197"/>
      <c r="B251" s="1205"/>
      <c r="C251" s="1194"/>
      <c r="D251" s="2956"/>
      <c r="E251" s="574" t="s">
        <v>1693</v>
      </c>
      <c r="F251" s="1228">
        <v>1</v>
      </c>
      <c r="G251" s="1381" t="s">
        <v>1741</v>
      </c>
      <c r="H251" s="1542" t="s">
        <v>1744</v>
      </c>
      <c r="I251" s="1197"/>
      <c r="J251" s="1197"/>
      <c r="K251" s="1197"/>
      <c r="L251" s="1197"/>
      <c r="M251" s="1197"/>
      <c r="N251" s="1197"/>
      <c r="O251" s="1197"/>
      <c r="P251" s="1197"/>
      <c r="Q251" s="1197"/>
      <c r="R251" s="1197"/>
      <c r="S251" s="1197"/>
      <c r="T251" s="1197"/>
      <c r="U251" s="1197"/>
      <c r="V251" s="2958"/>
      <c r="W251" s="1188">
        <f>0.65*1106</f>
        <v>718.9</v>
      </c>
      <c r="X251" s="1188">
        <v>718.9</v>
      </c>
      <c r="Y251" s="843">
        <v>1</v>
      </c>
      <c r="Z251" s="1188"/>
      <c r="AA251" s="1188"/>
      <c r="AB251" s="1188"/>
      <c r="AC251" s="1188"/>
      <c r="AD251" s="1188"/>
      <c r="AE251" s="1188"/>
      <c r="AF251" s="1188"/>
      <c r="AG251" s="1188"/>
      <c r="AK251" s="1166"/>
      <c r="BB251" s="1193"/>
    </row>
    <row r="252" spans="1:54" s="1177" customFormat="1" outlineLevel="1" x14ac:dyDescent="0.25">
      <c r="A252" s="1197"/>
      <c r="B252" s="1205"/>
      <c r="C252" s="1194"/>
      <c r="D252" s="2956"/>
      <c r="E252" s="574" t="s">
        <v>1695</v>
      </c>
      <c r="F252" s="1228">
        <v>1</v>
      </c>
      <c r="G252" s="1381" t="s">
        <v>1741</v>
      </c>
      <c r="H252" s="1542" t="s">
        <v>1744</v>
      </c>
      <c r="I252" s="1197"/>
      <c r="J252" s="1197"/>
      <c r="K252" s="1197"/>
      <c r="L252" s="1197"/>
      <c r="M252" s="1197"/>
      <c r="N252" s="1197"/>
      <c r="O252" s="1197"/>
      <c r="P252" s="1197"/>
      <c r="Q252" s="1197"/>
      <c r="R252" s="1197"/>
      <c r="S252" s="1197"/>
      <c r="T252" s="1197"/>
      <c r="U252" s="1197"/>
      <c r="V252" s="2958"/>
      <c r="W252" s="1188">
        <f>0.65*1106</f>
        <v>718.9</v>
      </c>
      <c r="X252" s="1188">
        <v>718.9</v>
      </c>
      <c r="Y252" s="843">
        <v>1</v>
      </c>
      <c r="Z252" s="1188"/>
      <c r="AA252" s="1188"/>
      <c r="AB252" s="1188"/>
      <c r="AC252" s="1188"/>
      <c r="AD252" s="1188"/>
      <c r="AE252" s="1188"/>
      <c r="AF252" s="1188"/>
      <c r="AG252" s="1188"/>
      <c r="AK252" s="1166"/>
      <c r="BB252" s="1193"/>
    </row>
    <row r="253" spans="1:54" s="1177" customFormat="1" outlineLevel="1" x14ac:dyDescent="0.25">
      <c r="A253" s="1197"/>
      <c r="B253" s="1205"/>
      <c r="C253" s="1194"/>
      <c r="D253" s="2956"/>
      <c r="E253" s="583" t="s">
        <v>1697</v>
      </c>
      <c r="F253" s="1228">
        <v>1</v>
      </c>
      <c r="G253" s="1381" t="s">
        <v>1741</v>
      </c>
      <c r="H253" s="1542" t="s">
        <v>1744</v>
      </c>
      <c r="I253" s="1197"/>
      <c r="J253" s="1197"/>
      <c r="K253" s="1197"/>
      <c r="L253" s="1197"/>
      <c r="M253" s="1197"/>
      <c r="N253" s="1197"/>
      <c r="O253" s="1197"/>
      <c r="P253" s="1197"/>
      <c r="Q253" s="1197"/>
      <c r="R253" s="1197"/>
      <c r="S253" s="1197"/>
      <c r="T253" s="1197"/>
      <c r="U253" s="1197"/>
      <c r="V253" s="2958"/>
      <c r="W253" s="1188">
        <f>0.65*1106</f>
        <v>718.9</v>
      </c>
      <c r="X253" s="1188">
        <v>718.9</v>
      </c>
      <c r="Y253" s="843">
        <v>1</v>
      </c>
      <c r="Z253" s="1188"/>
      <c r="AA253" s="1188"/>
      <c r="AB253" s="1188"/>
      <c r="AC253" s="1188"/>
      <c r="AD253" s="1188"/>
      <c r="AE253" s="1188"/>
      <c r="AF253" s="1188"/>
      <c r="AG253" s="1188"/>
      <c r="AK253" s="1166"/>
      <c r="BB253" s="1193"/>
    </row>
    <row r="254" spans="1:54" s="1177" customFormat="1" outlineLevel="1" x14ac:dyDescent="0.25">
      <c r="A254" s="1197"/>
      <c r="B254" s="1205"/>
      <c r="C254" s="1194"/>
      <c r="D254" s="2956"/>
      <c r="E254" s="574" t="s">
        <v>1699</v>
      </c>
      <c r="F254" s="1228">
        <v>1</v>
      </c>
      <c r="G254" s="1381" t="s">
        <v>1741</v>
      </c>
      <c r="H254" s="1542" t="s">
        <v>1745</v>
      </c>
      <c r="I254" s="1197"/>
      <c r="J254" s="1197"/>
      <c r="K254" s="1197"/>
      <c r="L254" s="1197"/>
      <c r="M254" s="1197"/>
      <c r="N254" s="1197"/>
      <c r="O254" s="1197"/>
      <c r="P254" s="1197"/>
      <c r="Q254" s="1197"/>
      <c r="R254" s="1197"/>
      <c r="S254" s="1197"/>
      <c r="T254" s="1197"/>
      <c r="U254" s="1197"/>
      <c r="V254" s="2958"/>
      <c r="W254" s="1188">
        <v>1106</v>
      </c>
      <c r="X254" s="1188">
        <v>1106</v>
      </c>
      <c r="Y254" s="843">
        <v>1</v>
      </c>
      <c r="Z254" s="1188"/>
      <c r="AA254" s="1188"/>
      <c r="AB254" s="1188"/>
      <c r="AC254" s="1188"/>
      <c r="AD254" s="1188"/>
      <c r="AE254" s="1188"/>
      <c r="AF254" s="1188"/>
      <c r="AG254" s="1188"/>
      <c r="AK254" s="1166"/>
      <c r="BB254" s="1193"/>
    </row>
    <row r="255" spans="1:54" s="1177" customFormat="1" outlineLevel="1" x14ac:dyDescent="0.25">
      <c r="A255" s="1197"/>
      <c r="B255" s="1205"/>
      <c r="C255" s="1194"/>
      <c r="D255" s="2956"/>
      <c r="E255" s="574" t="s">
        <v>1701</v>
      </c>
      <c r="F255" s="1228">
        <v>1</v>
      </c>
      <c r="G255" s="1381" t="s">
        <v>1741</v>
      </c>
      <c r="H255" s="1542" t="s">
        <v>1745</v>
      </c>
      <c r="I255" s="1197"/>
      <c r="J255" s="1197"/>
      <c r="K255" s="1197"/>
      <c r="L255" s="1197"/>
      <c r="M255" s="1197"/>
      <c r="N255" s="1197"/>
      <c r="O255" s="1197"/>
      <c r="P255" s="1197"/>
      <c r="Q255" s="1197"/>
      <c r="R255" s="1197"/>
      <c r="S255" s="1197"/>
      <c r="T255" s="1197"/>
      <c r="U255" s="1197"/>
      <c r="V255" s="2958"/>
      <c r="W255" s="1188">
        <v>1106</v>
      </c>
      <c r="X255" s="1188">
        <v>1106</v>
      </c>
      <c r="Y255" s="843">
        <v>1</v>
      </c>
      <c r="Z255" s="1188"/>
      <c r="AA255" s="1188"/>
      <c r="AB255" s="1188"/>
      <c r="AC255" s="1188"/>
      <c r="AD255" s="1188"/>
      <c r="AE255" s="1188"/>
      <c r="AF255" s="1188"/>
      <c r="AG255" s="1188"/>
      <c r="AK255" s="1166"/>
      <c r="BB255" s="1193"/>
    </row>
    <row r="256" spans="1:54" s="1177" customFormat="1" outlineLevel="1" x14ac:dyDescent="0.25">
      <c r="A256" s="1197"/>
      <c r="B256" s="1205"/>
      <c r="C256" s="1194"/>
      <c r="D256" s="2956"/>
      <c r="E256" s="2146" t="s">
        <v>1703</v>
      </c>
      <c r="F256" s="1228">
        <v>1</v>
      </c>
      <c r="G256" s="1381" t="s">
        <v>1741</v>
      </c>
      <c r="H256" s="1542" t="s">
        <v>1745</v>
      </c>
      <c r="I256" s="1197"/>
      <c r="J256" s="1197"/>
      <c r="K256" s="1197"/>
      <c r="L256" s="1197"/>
      <c r="M256" s="1197"/>
      <c r="N256" s="1197"/>
      <c r="O256" s="1197"/>
      <c r="P256" s="1197"/>
      <c r="Q256" s="1197"/>
      <c r="R256" s="1197"/>
      <c r="S256" s="1197"/>
      <c r="T256" s="1197"/>
      <c r="U256" s="1197"/>
      <c r="V256" s="2958"/>
      <c r="W256" s="1188">
        <v>1106</v>
      </c>
      <c r="X256" s="1188">
        <v>1106</v>
      </c>
      <c r="Y256" s="843">
        <v>1</v>
      </c>
      <c r="Z256" s="1188"/>
      <c r="AA256" s="1188"/>
      <c r="AB256" s="1188"/>
      <c r="AC256" s="1188"/>
      <c r="AD256" s="1188"/>
      <c r="AE256" s="1188"/>
      <c r="AF256" s="1188"/>
      <c r="AG256" s="1188"/>
      <c r="AK256" s="1166"/>
      <c r="BB256" s="1193"/>
    </row>
    <row r="257" spans="1:54" s="1177" customFormat="1" outlineLevel="1" x14ac:dyDescent="0.25">
      <c r="A257" s="1197"/>
      <c r="B257" s="1205"/>
      <c r="C257" s="1194"/>
      <c r="D257" s="2956"/>
      <c r="E257" s="574" t="s">
        <v>1705</v>
      </c>
      <c r="F257" s="1228">
        <v>1</v>
      </c>
      <c r="G257" s="1381" t="s">
        <v>1746</v>
      </c>
      <c r="H257" s="1542" t="s">
        <v>1744</v>
      </c>
      <c r="I257" s="1197"/>
      <c r="J257" s="1197"/>
      <c r="K257" s="1197"/>
      <c r="L257" s="1197"/>
      <c r="M257" s="1197"/>
      <c r="N257" s="1197"/>
      <c r="O257" s="1197"/>
      <c r="P257" s="1197"/>
      <c r="Q257" s="1197"/>
      <c r="R257" s="1197"/>
      <c r="S257" s="1197"/>
      <c r="T257" s="1197"/>
      <c r="U257" s="1197"/>
      <c r="V257" s="2958"/>
      <c r="W257" s="1188">
        <f>0.65*1106</f>
        <v>718.9</v>
      </c>
      <c r="X257" s="1188">
        <v>718.9</v>
      </c>
      <c r="Y257" s="843">
        <v>1</v>
      </c>
      <c r="Z257" s="1188"/>
      <c r="AA257" s="1188"/>
      <c r="AB257" s="1188"/>
      <c r="AC257" s="1188"/>
      <c r="AD257" s="1188"/>
      <c r="AE257" s="1188"/>
      <c r="AF257" s="1188"/>
      <c r="AG257" s="1188"/>
      <c r="AK257" s="1166"/>
      <c r="BB257" s="1193"/>
    </row>
    <row r="258" spans="1:54" s="1177" customFormat="1" outlineLevel="1" x14ac:dyDescent="0.25">
      <c r="A258" s="1197"/>
      <c r="B258" s="1205"/>
      <c r="C258" s="1194"/>
      <c r="D258" s="2956"/>
      <c r="E258" s="574" t="s">
        <v>1707</v>
      </c>
      <c r="F258" s="1228">
        <v>1</v>
      </c>
      <c r="G258" s="1381" t="s">
        <v>1746</v>
      </c>
      <c r="H258" s="1542" t="s">
        <v>1744</v>
      </c>
      <c r="I258" s="1197"/>
      <c r="J258" s="1197"/>
      <c r="K258" s="1197"/>
      <c r="L258" s="1197"/>
      <c r="M258" s="1197"/>
      <c r="N258" s="1197"/>
      <c r="O258" s="1197"/>
      <c r="P258" s="1197"/>
      <c r="Q258" s="1197"/>
      <c r="R258" s="1197"/>
      <c r="S258" s="1197"/>
      <c r="T258" s="1197"/>
      <c r="U258" s="1197"/>
      <c r="V258" s="2958"/>
      <c r="W258" s="1188">
        <f>0.65*1106</f>
        <v>718.9</v>
      </c>
      <c r="X258" s="1188">
        <v>718.9</v>
      </c>
      <c r="Y258" s="843">
        <v>1</v>
      </c>
      <c r="Z258" s="1188"/>
      <c r="AA258" s="1188"/>
      <c r="AB258" s="1188"/>
      <c r="AC258" s="1188"/>
      <c r="AD258" s="1188"/>
      <c r="AE258" s="1188"/>
      <c r="AF258" s="1188"/>
      <c r="AG258" s="1188"/>
      <c r="AK258" s="1166"/>
      <c r="BB258" s="1193"/>
    </row>
    <row r="259" spans="1:54" s="1177" customFormat="1" outlineLevel="1" x14ac:dyDescent="0.25">
      <c r="A259" s="1197"/>
      <c r="B259" s="1205"/>
      <c r="C259" s="1194"/>
      <c r="D259" s="2956"/>
      <c r="E259" s="583" t="s">
        <v>1709</v>
      </c>
      <c r="F259" s="1228">
        <v>1</v>
      </c>
      <c r="G259" s="1381" t="s">
        <v>1746</v>
      </c>
      <c r="H259" s="1542" t="s">
        <v>1744</v>
      </c>
      <c r="I259" s="1197"/>
      <c r="J259" s="1197"/>
      <c r="K259" s="1197"/>
      <c r="L259" s="1197"/>
      <c r="M259" s="1197"/>
      <c r="N259" s="1197"/>
      <c r="O259" s="1197"/>
      <c r="P259" s="1197"/>
      <c r="Q259" s="1197"/>
      <c r="R259" s="1197"/>
      <c r="S259" s="1197"/>
      <c r="T259" s="1197"/>
      <c r="U259" s="1197"/>
      <c r="V259" s="2958"/>
      <c r="W259" s="1188">
        <f>0.65*1106</f>
        <v>718.9</v>
      </c>
      <c r="X259" s="1188">
        <v>718.9</v>
      </c>
      <c r="Y259" s="843">
        <v>1</v>
      </c>
      <c r="Z259" s="1188"/>
      <c r="AA259" s="1188"/>
      <c r="AB259" s="1188"/>
      <c r="AC259" s="1188"/>
      <c r="AD259" s="1188"/>
      <c r="AE259" s="1188"/>
      <c r="AF259" s="1188"/>
      <c r="AG259" s="1188"/>
      <c r="AK259" s="1166"/>
      <c r="BB259" s="1193"/>
    </row>
    <row r="260" spans="1:54" s="1177" customFormat="1" outlineLevel="1" x14ac:dyDescent="0.25">
      <c r="A260" s="1197"/>
      <c r="B260" s="1205"/>
      <c r="C260" s="1194"/>
      <c r="D260" s="2956"/>
      <c r="E260" s="574" t="s">
        <v>1711</v>
      </c>
      <c r="F260" s="1228">
        <v>1</v>
      </c>
      <c r="G260" s="1381" t="s">
        <v>1746</v>
      </c>
      <c r="H260" s="1542" t="s">
        <v>1745</v>
      </c>
      <c r="I260" s="1197"/>
      <c r="J260" s="1197"/>
      <c r="K260" s="1197"/>
      <c r="L260" s="1197"/>
      <c r="M260" s="1197"/>
      <c r="N260" s="1197"/>
      <c r="O260" s="1197"/>
      <c r="P260" s="1197"/>
      <c r="Q260" s="1197"/>
      <c r="R260" s="1197"/>
      <c r="S260" s="1197"/>
      <c r="T260" s="1197"/>
      <c r="U260" s="1197"/>
      <c r="V260" s="2958"/>
      <c r="W260" s="1188">
        <v>1106</v>
      </c>
      <c r="X260" s="1188">
        <v>1106</v>
      </c>
      <c r="Y260" s="843">
        <v>1</v>
      </c>
      <c r="Z260" s="1188"/>
      <c r="AA260" s="1188"/>
      <c r="AB260" s="1188"/>
      <c r="AC260" s="1188"/>
      <c r="AD260" s="1188"/>
      <c r="AE260" s="1188"/>
      <c r="AF260" s="1188"/>
      <c r="AG260" s="1188"/>
      <c r="AK260" s="1166"/>
      <c r="BB260" s="1193"/>
    </row>
    <row r="261" spans="1:54" s="1177" customFormat="1" outlineLevel="1" x14ac:dyDescent="0.25">
      <c r="A261" s="1197"/>
      <c r="B261" s="1205"/>
      <c r="C261" s="1194"/>
      <c r="D261" s="2956"/>
      <c r="E261" s="574" t="s">
        <v>1713</v>
      </c>
      <c r="F261" s="1228">
        <v>1</v>
      </c>
      <c r="G261" s="1381" t="s">
        <v>1746</v>
      </c>
      <c r="H261" s="1542" t="s">
        <v>1745</v>
      </c>
      <c r="I261" s="1197"/>
      <c r="J261" s="1197"/>
      <c r="K261" s="1197"/>
      <c r="L261" s="1197"/>
      <c r="M261" s="1197"/>
      <c r="N261" s="1197"/>
      <c r="O261" s="1197"/>
      <c r="P261" s="1197"/>
      <c r="Q261" s="1197"/>
      <c r="R261" s="1197"/>
      <c r="S261" s="1197"/>
      <c r="T261" s="1197"/>
      <c r="U261" s="1197"/>
      <c r="V261" s="2958"/>
      <c r="W261" s="1188">
        <v>1106</v>
      </c>
      <c r="X261" s="1188">
        <v>1106</v>
      </c>
      <c r="Y261" s="843">
        <v>1</v>
      </c>
      <c r="Z261" s="1188"/>
      <c r="AA261" s="1188"/>
      <c r="AB261" s="1188"/>
      <c r="AC261" s="1188"/>
      <c r="AD261" s="1188"/>
      <c r="AE261" s="1188"/>
      <c r="AF261" s="1188"/>
      <c r="AG261" s="1188"/>
      <c r="AK261" s="1166"/>
      <c r="BB261" s="1193"/>
    </row>
    <row r="262" spans="1:54" s="1177" customFormat="1" outlineLevel="1" x14ac:dyDescent="0.25">
      <c r="A262" s="1197"/>
      <c r="B262" s="1205"/>
      <c r="C262" s="1194"/>
      <c r="D262" s="2956"/>
      <c r="E262" s="2146" t="s">
        <v>1715</v>
      </c>
      <c r="F262" s="1228">
        <v>1</v>
      </c>
      <c r="G262" s="1381" t="s">
        <v>1746</v>
      </c>
      <c r="H262" s="1542" t="s">
        <v>1745</v>
      </c>
      <c r="I262" s="1197"/>
      <c r="J262" s="1197"/>
      <c r="K262" s="1197"/>
      <c r="L262" s="1197"/>
      <c r="M262" s="1197"/>
      <c r="N262" s="1197"/>
      <c r="O262" s="1197"/>
      <c r="P262" s="1197"/>
      <c r="Q262" s="1197"/>
      <c r="R262" s="1197"/>
      <c r="S262" s="1197"/>
      <c r="T262" s="1197"/>
      <c r="U262" s="1197"/>
      <c r="V262" s="2958"/>
      <c r="W262" s="1188">
        <v>1106</v>
      </c>
      <c r="X262" s="1188">
        <v>1106</v>
      </c>
      <c r="Y262" s="843">
        <v>1</v>
      </c>
      <c r="Z262" s="1188"/>
      <c r="AA262" s="1188"/>
      <c r="AB262" s="1188"/>
      <c r="AC262" s="1188"/>
      <c r="AD262" s="1188"/>
      <c r="AE262" s="1188"/>
      <c r="AF262" s="1188"/>
      <c r="AG262" s="1188"/>
      <c r="AK262" s="1166"/>
      <c r="BB262" s="1193"/>
    </row>
    <row r="263" spans="1:54" s="1177" customFormat="1" outlineLevel="1" x14ac:dyDescent="0.25">
      <c r="A263" s="1197"/>
      <c r="B263" s="1205"/>
      <c r="C263" s="1194"/>
      <c r="D263" s="2956"/>
      <c r="E263" s="574" t="s">
        <v>1717</v>
      </c>
      <c r="F263" s="1228">
        <v>1</v>
      </c>
      <c r="G263" s="1381" t="s">
        <v>1746</v>
      </c>
      <c r="H263" s="1542" t="s">
        <v>1744</v>
      </c>
      <c r="I263" s="1197"/>
      <c r="J263" s="1197"/>
      <c r="K263" s="1197"/>
      <c r="L263" s="1197"/>
      <c r="M263" s="1197"/>
      <c r="N263" s="1197"/>
      <c r="O263" s="1197"/>
      <c r="P263" s="1197"/>
      <c r="Q263" s="1197"/>
      <c r="R263" s="1197"/>
      <c r="S263" s="1197"/>
      <c r="T263" s="1197"/>
      <c r="U263" s="1197"/>
      <c r="V263" s="2958"/>
      <c r="W263" s="1188">
        <f>0.65*1106</f>
        <v>718.9</v>
      </c>
      <c r="X263" s="1188">
        <v>718.9</v>
      </c>
      <c r="Y263" s="843">
        <v>1</v>
      </c>
      <c r="Z263" s="1188"/>
      <c r="AA263" s="1188"/>
      <c r="AB263" s="1188"/>
      <c r="AC263" s="1188"/>
      <c r="AD263" s="1188"/>
      <c r="AE263" s="1188"/>
      <c r="AF263" s="1188"/>
      <c r="AG263" s="1188"/>
      <c r="AK263" s="1166"/>
      <c r="BB263" s="1193"/>
    </row>
    <row r="264" spans="1:54" s="1177" customFormat="1" outlineLevel="1" x14ac:dyDescent="0.25">
      <c r="A264" s="1197"/>
      <c r="B264" s="1205"/>
      <c r="C264" s="1194"/>
      <c r="D264" s="2956"/>
      <c r="E264" s="574" t="s">
        <v>1719</v>
      </c>
      <c r="F264" s="1228">
        <v>1</v>
      </c>
      <c r="G264" s="1381" t="s">
        <v>1746</v>
      </c>
      <c r="H264" s="1542" t="s">
        <v>1744</v>
      </c>
      <c r="I264" s="1197"/>
      <c r="J264" s="1197"/>
      <c r="K264" s="1197"/>
      <c r="L264" s="1197"/>
      <c r="M264" s="1197"/>
      <c r="N264" s="1197"/>
      <c r="O264" s="1197"/>
      <c r="P264" s="1197"/>
      <c r="Q264" s="1197"/>
      <c r="R264" s="1197"/>
      <c r="S264" s="1197"/>
      <c r="T264" s="1197"/>
      <c r="U264" s="1197"/>
      <c r="V264" s="2958"/>
      <c r="W264" s="1188">
        <f>0.65*1106</f>
        <v>718.9</v>
      </c>
      <c r="X264" s="1188">
        <v>718.9</v>
      </c>
      <c r="Y264" s="843">
        <v>1</v>
      </c>
      <c r="Z264" s="1188"/>
      <c r="AA264" s="1188"/>
      <c r="AB264" s="1188"/>
      <c r="AC264" s="1188"/>
      <c r="AD264" s="1188"/>
      <c r="AE264" s="1188"/>
      <c r="AF264" s="1188"/>
      <c r="AG264" s="1188"/>
      <c r="AK264" s="1166"/>
      <c r="BB264" s="1193"/>
    </row>
    <row r="265" spans="1:54" s="1177" customFormat="1" outlineLevel="1" x14ac:dyDescent="0.25">
      <c r="A265" s="1197"/>
      <c r="B265" s="1205"/>
      <c r="C265" s="1194"/>
      <c r="D265" s="2956"/>
      <c r="E265" s="583" t="s">
        <v>1721</v>
      </c>
      <c r="F265" s="1228">
        <v>1</v>
      </c>
      <c r="G265" s="1381" t="s">
        <v>1746</v>
      </c>
      <c r="H265" s="1542" t="s">
        <v>1744</v>
      </c>
      <c r="I265" s="1197"/>
      <c r="J265" s="1197"/>
      <c r="K265" s="1197"/>
      <c r="L265" s="1197"/>
      <c r="M265" s="1197"/>
      <c r="N265" s="1197"/>
      <c r="O265" s="1197"/>
      <c r="P265" s="1197"/>
      <c r="Q265" s="1197"/>
      <c r="R265" s="1197"/>
      <c r="S265" s="1197"/>
      <c r="T265" s="1197"/>
      <c r="U265" s="1197"/>
      <c r="V265" s="2958"/>
      <c r="W265" s="1188">
        <f>0.65*1106</f>
        <v>718.9</v>
      </c>
      <c r="X265" s="1188">
        <v>718.9</v>
      </c>
      <c r="Y265" s="843">
        <v>1</v>
      </c>
      <c r="Z265" s="1188"/>
      <c r="AA265" s="1188"/>
      <c r="AB265" s="1188"/>
      <c r="AC265" s="1188"/>
      <c r="AD265" s="1188"/>
      <c r="AE265" s="1188"/>
      <c r="AF265" s="1188"/>
      <c r="AG265" s="1188"/>
      <c r="AK265" s="1166"/>
      <c r="BB265" s="1193"/>
    </row>
    <row r="266" spans="1:54" s="1177" customFormat="1" outlineLevel="1" x14ac:dyDescent="0.25">
      <c r="A266" s="1197"/>
      <c r="B266" s="1205"/>
      <c r="C266" s="1194"/>
      <c r="D266" s="2956"/>
      <c r="E266" s="574" t="s">
        <v>1723</v>
      </c>
      <c r="F266" s="1228">
        <v>1</v>
      </c>
      <c r="G266" s="1381" t="s">
        <v>1746</v>
      </c>
      <c r="H266" s="1542" t="s">
        <v>1745</v>
      </c>
      <c r="I266" s="1197"/>
      <c r="J266" s="1197"/>
      <c r="K266" s="1197"/>
      <c r="L266" s="1197"/>
      <c r="M266" s="1197"/>
      <c r="N266" s="1197"/>
      <c r="O266" s="1197"/>
      <c r="P266" s="1197"/>
      <c r="Q266" s="1197"/>
      <c r="R266" s="1197"/>
      <c r="S266" s="1197"/>
      <c r="T266" s="1197"/>
      <c r="U266" s="1197"/>
      <c r="V266" s="2958"/>
      <c r="W266" s="1188">
        <v>1106</v>
      </c>
      <c r="X266" s="1188">
        <v>1106</v>
      </c>
      <c r="Y266" s="843">
        <v>1</v>
      </c>
      <c r="Z266" s="1188"/>
      <c r="AA266" s="1188"/>
      <c r="AB266" s="1188"/>
      <c r="AC266" s="1188"/>
      <c r="AD266" s="1188"/>
      <c r="AE266" s="1188"/>
      <c r="AF266" s="1188"/>
      <c r="AG266" s="1188"/>
      <c r="AK266" s="1166"/>
      <c r="BB266" s="1193"/>
    </row>
    <row r="267" spans="1:54" s="1177" customFormat="1" outlineLevel="1" x14ac:dyDescent="0.25">
      <c r="A267" s="1197"/>
      <c r="B267" s="1205"/>
      <c r="C267" s="1194"/>
      <c r="D267" s="2956"/>
      <c r="E267" s="583" t="s">
        <v>1725</v>
      </c>
      <c r="F267" s="1228">
        <v>1</v>
      </c>
      <c r="G267" s="1381" t="s">
        <v>1746</v>
      </c>
      <c r="H267" s="1542" t="s">
        <v>1745</v>
      </c>
      <c r="I267" s="1197"/>
      <c r="J267" s="1197"/>
      <c r="K267" s="1197"/>
      <c r="L267" s="1197"/>
      <c r="M267" s="1197"/>
      <c r="N267" s="1197"/>
      <c r="O267" s="1197"/>
      <c r="P267" s="1197"/>
      <c r="Q267" s="1197"/>
      <c r="R267" s="1197"/>
      <c r="S267" s="1197"/>
      <c r="T267" s="1197"/>
      <c r="U267" s="1197"/>
      <c r="V267" s="2958"/>
      <c r="W267" s="1188">
        <v>1106</v>
      </c>
      <c r="X267" s="1188">
        <v>1106</v>
      </c>
      <c r="Y267" s="843">
        <v>1</v>
      </c>
      <c r="Z267" s="1188"/>
      <c r="AA267" s="1188"/>
      <c r="AB267" s="1188"/>
      <c r="AC267" s="1188"/>
      <c r="AD267" s="1188"/>
      <c r="AE267" s="1188"/>
      <c r="AF267" s="1188"/>
      <c r="AG267" s="1188"/>
      <c r="AK267" s="1166"/>
      <c r="BB267" s="1193"/>
    </row>
    <row r="268" spans="1:54" s="1177" customFormat="1" outlineLevel="1" x14ac:dyDescent="0.25">
      <c r="A268" s="1197"/>
      <c r="B268" s="1205"/>
      <c r="C268" s="1194"/>
      <c r="D268" s="2956"/>
      <c r="E268" s="574" t="s">
        <v>1727</v>
      </c>
      <c r="F268" s="1228">
        <v>1</v>
      </c>
      <c r="G268" s="1381" t="s">
        <v>1746</v>
      </c>
      <c r="H268" s="1542" t="s">
        <v>1745</v>
      </c>
      <c r="I268" s="1197"/>
      <c r="J268" s="1197"/>
      <c r="K268" s="1197"/>
      <c r="L268" s="1197"/>
      <c r="M268" s="1197"/>
      <c r="N268" s="1197"/>
      <c r="O268" s="1197"/>
      <c r="P268" s="1197"/>
      <c r="Q268" s="1197"/>
      <c r="R268" s="1197"/>
      <c r="S268" s="1197"/>
      <c r="T268" s="1197"/>
      <c r="U268" s="1197"/>
      <c r="V268" s="2958"/>
      <c r="W268" s="1188">
        <v>1106</v>
      </c>
      <c r="X268" s="1188">
        <v>1106</v>
      </c>
      <c r="Y268" s="843">
        <v>1</v>
      </c>
      <c r="Z268" s="1188"/>
      <c r="AA268" s="1188"/>
      <c r="AB268" s="1188"/>
      <c r="AC268" s="1188"/>
      <c r="AD268" s="1188"/>
      <c r="AE268" s="1188"/>
      <c r="AF268" s="1188"/>
      <c r="AG268" s="1188"/>
      <c r="AK268" s="1166"/>
      <c r="BB268" s="1193"/>
    </row>
    <row r="269" spans="1:54" s="1177" customFormat="1" outlineLevel="1" x14ac:dyDescent="0.25">
      <c r="A269" s="1197"/>
      <c r="B269" s="1205"/>
      <c r="C269" s="1194"/>
      <c r="D269" s="2956"/>
      <c r="E269" s="574" t="s">
        <v>1729</v>
      </c>
      <c r="F269" s="1228">
        <v>1</v>
      </c>
      <c r="G269" s="1381" t="s">
        <v>1746</v>
      </c>
      <c r="H269" s="1542" t="s">
        <v>1744</v>
      </c>
      <c r="I269" s="1197"/>
      <c r="J269" s="1197"/>
      <c r="K269" s="1197"/>
      <c r="L269" s="1197"/>
      <c r="M269" s="1197"/>
      <c r="N269" s="1197"/>
      <c r="O269" s="1197"/>
      <c r="P269" s="1197"/>
      <c r="Q269" s="1197"/>
      <c r="R269" s="1197"/>
      <c r="S269" s="1197"/>
      <c r="T269" s="1197"/>
      <c r="U269" s="1197"/>
      <c r="V269" s="2958"/>
      <c r="W269" s="1188">
        <f>0.65*1106</f>
        <v>718.9</v>
      </c>
      <c r="X269" s="1188">
        <v>718.9</v>
      </c>
      <c r="Y269" s="843">
        <v>1</v>
      </c>
      <c r="Z269" s="1188"/>
      <c r="AA269" s="1188"/>
      <c r="AB269" s="1188"/>
      <c r="AC269" s="1188"/>
      <c r="AD269" s="1188"/>
      <c r="AE269" s="1188"/>
      <c r="AF269" s="1188"/>
      <c r="AG269" s="1188"/>
      <c r="AK269" s="1166"/>
      <c r="BB269" s="1193"/>
    </row>
    <row r="270" spans="1:54" s="1177" customFormat="1" outlineLevel="1" x14ac:dyDescent="0.25">
      <c r="A270" s="1197"/>
      <c r="B270" s="1205"/>
      <c r="C270" s="1194"/>
      <c r="D270" s="2956"/>
      <c r="E270" s="574" t="s">
        <v>1731</v>
      </c>
      <c r="F270" s="1228">
        <v>1</v>
      </c>
      <c r="G270" s="1381" t="s">
        <v>1746</v>
      </c>
      <c r="H270" s="1542" t="s">
        <v>1744</v>
      </c>
      <c r="I270" s="1197"/>
      <c r="J270" s="1197"/>
      <c r="K270" s="1197"/>
      <c r="L270" s="1197"/>
      <c r="M270" s="1197"/>
      <c r="N270" s="1197"/>
      <c r="O270" s="1197"/>
      <c r="P270" s="1197"/>
      <c r="Q270" s="1197"/>
      <c r="R270" s="1197"/>
      <c r="S270" s="1197"/>
      <c r="T270" s="1197"/>
      <c r="U270" s="1197"/>
      <c r="V270" s="2958"/>
      <c r="W270" s="1188">
        <f>0.65*1106</f>
        <v>718.9</v>
      </c>
      <c r="X270" s="1188">
        <v>718.9</v>
      </c>
      <c r="Y270" s="843">
        <v>1</v>
      </c>
      <c r="Z270" s="1188"/>
      <c r="AA270" s="1188"/>
      <c r="AB270" s="1188"/>
      <c r="AC270" s="1188"/>
      <c r="AD270" s="1188"/>
      <c r="AE270" s="1188"/>
      <c r="AF270" s="1188"/>
      <c r="AG270" s="1188"/>
      <c r="AK270" s="1166"/>
      <c r="BB270" s="1193"/>
    </row>
    <row r="271" spans="1:54" s="1177" customFormat="1" outlineLevel="1" x14ac:dyDescent="0.25">
      <c r="A271" s="1197"/>
      <c r="B271" s="1205"/>
      <c r="C271" s="1194"/>
      <c r="D271" s="2956"/>
      <c r="E271" s="583" t="s">
        <v>1733</v>
      </c>
      <c r="F271" s="1228">
        <v>1</v>
      </c>
      <c r="G271" s="1381" t="s">
        <v>1746</v>
      </c>
      <c r="H271" s="1542" t="s">
        <v>1744</v>
      </c>
      <c r="I271" s="1197"/>
      <c r="J271" s="1197"/>
      <c r="K271" s="1197"/>
      <c r="L271" s="1197"/>
      <c r="M271" s="1197"/>
      <c r="N271" s="1197"/>
      <c r="O271" s="1197"/>
      <c r="P271" s="1197"/>
      <c r="Q271" s="1197"/>
      <c r="R271" s="1197"/>
      <c r="S271" s="1197"/>
      <c r="T271" s="1197"/>
      <c r="U271" s="1197"/>
      <c r="V271" s="2958"/>
      <c r="W271" s="1188">
        <f>0.65*1106</f>
        <v>718.9</v>
      </c>
      <c r="X271" s="1188">
        <v>718.9</v>
      </c>
      <c r="Y271" s="843">
        <v>1</v>
      </c>
      <c r="Z271" s="1188"/>
      <c r="AA271" s="1188"/>
      <c r="AB271" s="1188"/>
      <c r="AC271" s="1188"/>
      <c r="AD271" s="1188"/>
      <c r="AE271" s="1188"/>
      <c r="AF271" s="1188"/>
      <c r="AG271" s="1188"/>
      <c r="AK271" s="1166"/>
      <c r="BB271" s="1193"/>
    </row>
    <row r="272" spans="1:54" s="1177" customFormat="1" outlineLevel="1" x14ac:dyDescent="0.25">
      <c r="A272" s="1197"/>
      <c r="B272" s="1205"/>
      <c r="C272" s="1194"/>
      <c r="D272" s="2956"/>
      <c r="E272" s="574" t="s">
        <v>1735</v>
      </c>
      <c r="F272" s="1228">
        <v>1</v>
      </c>
      <c r="G272" s="1381" t="s">
        <v>1746</v>
      </c>
      <c r="H272" s="1542" t="s">
        <v>1745</v>
      </c>
      <c r="I272" s="1197"/>
      <c r="J272" s="1197"/>
      <c r="K272" s="1197"/>
      <c r="L272" s="1197"/>
      <c r="M272" s="1197"/>
      <c r="N272" s="1197"/>
      <c r="O272" s="1197"/>
      <c r="P272" s="1197"/>
      <c r="Q272" s="1197"/>
      <c r="R272" s="1197"/>
      <c r="S272" s="1197"/>
      <c r="T272" s="1197"/>
      <c r="U272" s="1197"/>
      <c r="V272" s="2958"/>
      <c r="W272" s="1188">
        <v>1106</v>
      </c>
      <c r="X272" s="1188">
        <v>1106</v>
      </c>
      <c r="Y272" s="843">
        <v>1</v>
      </c>
      <c r="Z272" s="1188"/>
      <c r="AA272" s="1188"/>
      <c r="AB272" s="1188"/>
      <c r="AC272" s="1188"/>
      <c r="AD272" s="1188"/>
      <c r="AE272" s="1188"/>
      <c r="AF272" s="1188"/>
      <c r="AG272" s="1188"/>
      <c r="AK272" s="1166"/>
      <c r="BB272" s="1193"/>
    </row>
    <row r="273" spans="1:54" s="1177" customFormat="1" outlineLevel="1" x14ac:dyDescent="0.25">
      <c r="A273" s="1197"/>
      <c r="B273" s="1205"/>
      <c r="C273" s="1194"/>
      <c r="D273" s="2956"/>
      <c r="E273" s="583" t="s">
        <v>1737</v>
      </c>
      <c r="F273" s="1228">
        <v>1</v>
      </c>
      <c r="G273" s="1381" t="s">
        <v>1746</v>
      </c>
      <c r="H273" s="1542" t="s">
        <v>1745</v>
      </c>
      <c r="I273" s="1197"/>
      <c r="J273" s="1197"/>
      <c r="K273" s="1197"/>
      <c r="L273" s="1197"/>
      <c r="M273" s="1197"/>
      <c r="N273" s="1197"/>
      <c r="O273" s="1197"/>
      <c r="P273" s="1197"/>
      <c r="Q273" s="1197"/>
      <c r="R273" s="1197"/>
      <c r="S273" s="1197"/>
      <c r="T273" s="1197"/>
      <c r="U273" s="1197"/>
      <c r="V273" s="2958"/>
      <c r="W273" s="1188">
        <v>1106</v>
      </c>
      <c r="X273" s="1188">
        <v>1106</v>
      </c>
      <c r="Y273" s="843">
        <v>1</v>
      </c>
      <c r="Z273" s="1188"/>
      <c r="AA273" s="1188"/>
      <c r="AB273" s="1188"/>
      <c r="AC273" s="1188"/>
      <c r="AD273" s="1188"/>
      <c r="AE273" s="1188"/>
      <c r="AF273" s="1188"/>
      <c r="AG273" s="1188"/>
      <c r="AK273" s="1166"/>
      <c r="BB273" s="1193"/>
    </row>
    <row r="274" spans="1:54" s="1177" customFormat="1" outlineLevel="1" x14ac:dyDescent="0.25">
      <c r="A274" s="1197"/>
      <c r="B274" s="1205"/>
      <c r="C274" s="1194"/>
      <c r="D274" s="2956"/>
      <c r="E274" s="574" t="s">
        <v>1739</v>
      </c>
      <c r="F274" s="1228">
        <v>1</v>
      </c>
      <c r="G274" s="1381" t="s">
        <v>1746</v>
      </c>
      <c r="H274" s="1542" t="s">
        <v>1745</v>
      </c>
      <c r="I274" s="1197"/>
      <c r="J274" s="1197"/>
      <c r="K274" s="1197"/>
      <c r="L274" s="1197"/>
      <c r="M274" s="1197"/>
      <c r="N274" s="1197"/>
      <c r="O274" s="1197"/>
      <c r="P274" s="1197"/>
      <c r="Q274" s="1197"/>
      <c r="R274" s="1197"/>
      <c r="S274" s="1197"/>
      <c r="T274" s="1197"/>
      <c r="U274" s="1197"/>
      <c r="V274" s="2965"/>
      <c r="W274" s="1188">
        <v>1106</v>
      </c>
      <c r="X274" s="1188">
        <v>1106</v>
      </c>
      <c r="Y274" s="843">
        <v>1</v>
      </c>
      <c r="Z274" s="1188"/>
      <c r="AA274" s="1188"/>
      <c r="AB274" s="1188"/>
      <c r="AC274" s="1188"/>
      <c r="AD274" s="1188"/>
      <c r="AE274" s="1188"/>
      <c r="AF274" s="1188"/>
      <c r="AG274" s="1188"/>
      <c r="AK274" s="1166"/>
      <c r="BB274" s="1193"/>
    </row>
    <row r="275" spans="1:54" s="1177" customFormat="1" ht="18" outlineLevel="1" x14ac:dyDescent="0.25">
      <c r="A275" s="1197"/>
      <c r="B275" s="1205"/>
      <c r="C275" s="1194"/>
      <c r="D275" s="1709" t="s">
        <v>2316</v>
      </c>
      <c r="E275" s="574" t="s">
        <v>637</v>
      </c>
      <c r="F275" s="1233">
        <v>7.0000000000000007E-2</v>
      </c>
      <c r="G275" s="1381" t="s">
        <v>1747</v>
      </c>
      <c r="H275" s="1542"/>
      <c r="I275" s="1205"/>
      <c r="J275" s="1205"/>
      <c r="K275" s="1205"/>
      <c r="L275" s="1205"/>
      <c r="M275" s="1205"/>
      <c r="N275" s="1205"/>
      <c r="O275" s="1205"/>
      <c r="P275" s="1205"/>
      <c r="Q275" s="1205"/>
      <c r="R275" s="1205"/>
      <c r="S275" s="1197"/>
      <c r="T275" s="1197"/>
      <c r="U275" s="1197"/>
      <c r="V275" s="1204" t="str">
        <f>D275</f>
        <v>Framing FactorAttic</v>
      </c>
      <c r="W275" s="1202">
        <v>7.0000000000000007E-2</v>
      </c>
      <c r="X275" s="1202">
        <v>7.0000000000000007E-2</v>
      </c>
      <c r="Y275" s="1202">
        <v>7.0000000000000007E-2</v>
      </c>
      <c r="Z275" s="1202"/>
      <c r="AA275" s="1202"/>
      <c r="AB275" s="1202"/>
      <c r="AC275" s="1202"/>
      <c r="AD275" s="1202"/>
      <c r="AE275" s="1202"/>
      <c r="AF275" s="1202"/>
      <c r="AG275" s="1202"/>
      <c r="AK275" s="1166"/>
      <c r="BB275" s="1193"/>
    </row>
    <row r="276" spans="1:54" s="1177" customFormat="1" outlineLevel="1" x14ac:dyDescent="0.25">
      <c r="A276" s="1197"/>
      <c r="B276" s="1205"/>
      <c r="C276" s="1194"/>
      <c r="D276" s="1709" t="s">
        <v>1748</v>
      </c>
      <c r="E276" s="574" t="s">
        <v>637</v>
      </c>
      <c r="F276" s="1541">
        <v>4486</v>
      </c>
      <c r="G276" s="1381" t="s">
        <v>791</v>
      </c>
      <c r="H276" s="1542" t="s">
        <v>1749</v>
      </c>
      <c r="I276" s="1205"/>
      <c r="J276" s="1205"/>
      <c r="K276" s="1205"/>
      <c r="L276" s="1205"/>
      <c r="M276" s="1205"/>
      <c r="N276" s="1205"/>
      <c r="O276" s="1205"/>
      <c r="P276" s="1205"/>
      <c r="Q276" s="1205"/>
      <c r="R276" s="1205"/>
      <c r="S276" s="1197"/>
      <c r="T276" s="1197"/>
      <c r="U276" s="1197"/>
      <c r="V276" s="1204" t="str">
        <f>D276</f>
        <v>HDD</v>
      </c>
      <c r="W276" s="1188">
        <v>4486</v>
      </c>
      <c r="X276" s="1188">
        <v>4486</v>
      </c>
      <c r="Y276" s="1188">
        <v>4486</v>
      </c>
      <c r="Z276" s="1188"/>
      <c r="AA276" s="1188"/>
      <c r="AB276" s="1188"/>
      <c r="AC276" s="1188"/>
      <c r="AD276" s="1188"/>
      <c r="AE276" s="1188"/>
      <c r="AF276" s="1188"/>
      <c r="AG276" s="1188"/>
      <c r="AK276" s="1166"/>
      <c r="BB276" s="1193"/>
    </row>
    <row r="277" spans="1:54" s="1177" customFormat="1" ht="18" outlineLevel="1" x14ac:dyDescent="0.25">
      <c r="A277" s="1197"/>
      <c r="B277" s="1205"/>
      <c r="C277" s="1194"/>
      <c r="D277" s="1709" t="s">
        <v>2317</v>
      </c>
      <c r="E277" s="574" t="s">
        <v>637</v>
      </c>
      <c r="F277" s="1233">
        <v>0.74</v>
      </c>
      <c r="G277" s="1381" t="s">
        <v>767</v>
      </c>
      <c r="H277" s="1542"/>
      <c r="I277" s="1205"/>
      <c r="J277" s="1205"/>
      <c r="K277" s="1205"/>
      <c r="L277" s="1205"/>
      <c r="M277" s="1205"/>
      <c r="N277" s="1205"/>
      <c r="O277" s="1205"/>
      <c r="P277" s="1205"/>
      <c r="Q277" s="1205"/>
      <c r="R277" s="1205"/>
      <c r="S277" s="1197"/>
      <c r="T277" s="1197"/>
      <c r="U277" s="1197"/>
      <c r="V277" s="1204" t="str">
        <f>D277</f>
        <v>AdjAttic</v>
      </c>
      <c r="W277" s="1202">
        <v>0.74</v>
      </c>
      <c r="X277" s="1202">
        <v>0.74</v>
      </c>
      <c r="Y277" s="1202">
        <v>0.74</v>
      </c>
      <c r="Z277" s="1202"/>
      <c r="AA277" s="1202"/>
      <c r="AB277" s="1202"/>
      <c r="AC277" s="1202"/>
      <c r="AD277" s="1202"/>
      <c r="AE277" s="1202"/>
      <c r="AF277" s="1202"/>
      <c r="AG277" s="1202"/>
      <c r="AK277" s="1166"/>
      <c r="BB277" s="1193"/>
    </row>
    <row r="278" spans="1:54" s="1177" customFormat="1" outlineLevel="1" x14ac:dyDescent="0.25">
      <c r="A278" s="1197"/>
      <c r="B278" s="1205"/>
      <c r="C278" s="1194"/>
      <c r="D278" s="2955" t="s">
        <v>1750</v>
      </c>
      <c r="E278" s="574" t="s">
        <v>1681</v>
      </c>
      <c r="F278" s="1228">
        <v>1</v>
      </c>
      <c r="G278" s="1381" t="s">
        <v>767</v>
      </c>
      <c r="H278" s="2970" t="s">
        <v>770</v>
      </c>
      <c r="I278" s="1205"/>
      <c r="J278" s="1205"/>
      <c r="K278" s="1205"/>
      <c r="L278" s="1205"/>
      <c r="M278" s="1205"/>
      <c r="N278" s="1205"/>
      <c r="O278" s="1205"/>
      <c r="P278" s="1205"/>
      <c r="Q278" s="1205"/>
      <c r="R278" s="1205"/>
      <c r="S278" s="1197"/>
      <c r="T278" s="1197"/>
      <c r="U278" s="1197"/>
      <c r="V278" s="2957" t="str">
        <f>D278</f>
        <v>ƞheat</v>
      </c>
      <c r="W278" s="1206">
        <v>1</v>
      </c>
      <c r="X278" s="1206">
        <v>1</v>
      </c>
      <c r="Y278" s="1206">
        <v>1</v>
      </c>
      <c r="Z278" s="1206"/>
      <c r="AA278" s="1206"/>
      <c r="AB278" s="1206"/>
      <c r="AC278" s="1206"/>
      <c r="AD278" s="1206"/>
      <c r="AE278" s="1206"/>
      <c r="AF278" s="1206"/>
      <c r="AG278" s="1206"/>
      <c r="AK278" s="1166"/>
      <c r="BB278" s="1193"/>
    </row>
    <row r="279" spans="1:54" s="1177" customFormat="1" outlineLevel="1" x14ac:dyDescent="0.25">
      <c r="A279" s="1197"/>
      <c r="B279" s="1205"/>
      <c r="C279" s="1194"/>
      <c r="D279" s="2956"/>
      <c r="E279" s="574" t="s">
        <v>1683</v>
      </c>
      <c r="F279" s="1228">
        <f>7/3.412*0.85</f>
        <v>1.7438452520515826</v>
      </c>
      <c r="G279" s="1381" t="s">
        <v>767</v>
      </c>
      <c r="H279" s="2857"/>
      <c r="I279" s="1205"/>
      <c r="J279" s="1205"/>
      <c r="K279" s="1205"/>
      <c r="L279" s="1205"/>
      <c r="M279" s="1205"/>
      <c r="N279" s="1205"/>
      <c r="O279" s="1205"/>
      <c r="P279" s="1205"/>
      <c r="Q279" s="1205"/>
      <c r="R279" s="1205"/>
      <c r="S279" s="1197"/>
      <c r="T279" s="1197"/>
      <c r="U279" s="1197"/>
      <c r="V279" s="2958"/>
      <c r="W279" s="1206">
        <f>7/3.412*0.85</f>
        <v>1.7438452520515826</v>
      </c>
      <c r="X279" s="1206">
        <v>1.7438452520515826</v>
      </c>
      <c r="Y279" s="1206">
        <v>1.7438452520515826</v>
      </c>
      <c r="Z279" s="1206"/>
      <c r="AA279" s="1206"/>
      <c r="AB279" s="1206"/>
      <c r="AC279" s="1206"/>
      <c r="AD279" s="1206"/>
      <c r="AE279" s="1206"/>
      <c r="AF279" s="1206"/>
      <c r="AG279" s="1206"/>
      <c r="AK279" s="1166"/>
      <c r="BB279" s="1193"/>
    </row>
    <row r="280" spans="1:54" s="1177" customFormat="1" outlineLevel="1" x14ac:dyDescent="0.25">
      <c r="A280" s="1197"/>
      <c r="B280" s="1205"/>
      <c r="C280" s="1194"/>
      <c r="D280" s="2956"/>
      <c r="E280" s="574" t="s">
        <v>1685</v>
      </c>
      <c r="F280" s="1231">
        <v>0.71</v>
      </c>
      <c r="G280" s="1381" t="s">
        <v>767</v>
      </c>
      <c r="H280" s="2857"/>
      <c r="I280" s="1205"/>
      <c r="J280" s="1205"/>
      <c r="K280" s="1205"/>
      <c r="L280" s="1205"/>
      <c r="M280" s="1205"/>
      <c r="N280" s="1205"/>
      <c r="O280" s="1205"/>
      <c r="P280" s="1205"/>
      <c r="Q280" s="1205"/>
      <c r="R280" s="1205"/>
      <c r="S280" s="1197"/>
      <c r="T280" s="1197"/>
      <c r="U280" s="1197"/>
      <c r="V280" s="2958"/>
      <c r="W280" s="1207">
        <v>0.71</v>
      </c>
      <c r="X280" s="1207">
        <v>0.71</v>
      </c>
      <c r="Y280" s="1207">
        <v>0.71</v>
      </c>
      <c r="Z280" s="1207"/>
      <c r="AA280" s="1207"/>
      <c r="AB280" s="1207"/>
      <c r="AC280" s="1207"/>
      <c r="AD280" s="1207"/>
      <c r="AE280" s="1207"/>
      <c r="AF280" s="1207"/>
      <c r="AG280" s="1207"/>
      <c r="AK280" s="1166"/>
      <c r="BB280" s="1193"/>
    </row>
    <row r="281" spans="1:54" s="1177" customFormat="1" outlineLevel="1" x14ac:dyDescent="0.25">
      <c r="A281" s="1197"/>
      <c r="B281" s="1205"/>
      <c r="C281" s="1194"/>
      <c r="D281" s="2956"/>
      <c r="E281" s="574" t="s">
        <v>1687</v>
      </c>
      <c r="F281" s="1228">
        <v>1</v>
      </c>
      <c r="G281" s="1381" t="s">
        <v>767</v>
      </c>
      <c r="H281" s="2857"/>
      <c r="I281" s="1205"/>
      <c r="J281" s="1205"/>
      <c r="K281" s="1205"/>
      <c r="L281" s="1205"/>
      <c r="M281" s="1205"/>
      <c r="N281" s="1205"/>
      <c r="O281" s="1205"/>
      <c r="P281" s="1205"/>
      <c r="Q281" s="1205"/>
      <c r="R281" s="1205"/>
      <c r="S281" s="1197"/>
      <c r="T281" s="1197"/>
      <c r="U281" s="1197"/>
      <c r="V281" s="2958"/>
      <c r="W281" s="1206">
        <v>1</v>
      </c>
      <c r="X281" s="1206">
        <v>1</v>
      </c>
      <c r="Y281" s="1206">
        <v>1</v>
      </c>
      <c r="Z281" s="1206"/>
      <c r="AA281" s="1206"/>
      <c r="AB281" s="1206"/>
      <c r="AC281" s="1206"/>
      <c r="AD281" s="1206"/>
      <c r="AE281" s="1206"/>
      <c r="AF281" s="1206"/>
      <c r="AG281" s="1206"/>
      <c r="AK281" s="1166"/>
      <c r="BB281" s="1193"/>
    </row>
    <row r="282" spans="1:54" s="1177" customFormat="1" outlineLevel="1" x14ac:dyDescent="0.25">
      <c r="A282" s="1197"/>
      <c r="B282" s="1205"/>
      <c r="C282" s="1194"/>
      <c r="D282" s="2956"/>
      <c r="E282" s="574" t="s">
        <v>1689</v>
      </c>
      <c r="F282" s="1228">
        <f>7/3.412*0.85</f>
        <v>1.7438452520515826</v>
      </c>
      <c r="G282" s="1381" t="s">
        <v>767</v>
      </c>
      <c r="H282" s="2857"/>
      <c r="I282" s="1205"/>
      <c r="J282" s="1205"/>
      <c r="K282" s="1205"/>
      <c r="L282" s="1205"/>
      <c r="M282" s="1205"/>
      <c r="N282" s="1205"/>
      <c r="O282" s="1205"/>
      <c r="P282" s="1205"/>
      <c r="Q282" s="1205"/>
      <c r="R282" s="1205"/>
      <c r="S282" s="1197"/>
      <c r="T282" s="1197"/>
      <c r="U282" s="1197"/>
      <c r="V282" s="2958"/>
      <c r="W282" s="1206">
        <f>7/3.412*0.85</f>
        <v>1.7438452520515826</v>
      </c>
      <c r="X282" s="1206">
        <v>1.7438452520515826</v>
      </c>
      <c r="Y282" s="1206">
        <v>1.7438452520515826</v>
      </c>
      <c r="Z282" s="1206"/>
      <c r="AA282" s="1206"/>
      <c r="AB282" s="1206"/>
      <c r="AC282" s="1206"/>
      <c r="AD282" s="1206"/>
      <c r="AE282" s="1206"/>
      <c r="AF282" s="1206"/>
      <c r="AG282" s="1206"/>
      <c r="AK282" s="1166"/>
      <c r="BB282" s="1193"/>
    </row>
    <row r="283" spans="1:54" s="1177" customFormat="1" outlineLevel="1" x14ac:dyDescent="0.25">
      <c r="A283" s="1197"/>
      <c r="B283" s="1205"/>
      <c r="C283" s="1194"/>
      <c r="D283" s="2956"/>
      <c r="E283" s="574" t="s">
        <v>1691</v>
      </c>
      <c r="F283" s="1231">
        <v>0.71</v>
      </c>
      <c r="G283" s="1381" t="s">
        <v>767</v>
      </c>
      <c r="H283" s="2857"/>
      <c r="I283" s="1205"/>
      <c r="J283" s="1205"/>
      <c r="K283" s="1205"/>
      <c r="L283" s="1205"/>
      <c r="M283" s="1205"/>
      <c r="N283" s="1205"/>
      <c r="O283" s="1205"/>
      <c r="P283" s="1205"/>
      <c r="Q283" s="1205"/>
      <c r="R283" s="1205"/>
      <c r="S283" s="1197"/>
      <c r="T283" s="1197"/>
      <c r="U283" s="1197"/>
      <c r="V283" s="2958"/>
      <c r="W283" s="1207">
        <v>0.71</v>
      </c>
      <c r="X283" s="1207">
        <v>0.71</v>
      </c>
      <c r="Y283" s="1207">
        <v>0.71</v>
      </c>
      <c r="Z283" s="1207"/>
      <c r="AA283" s="1207"/>
      <c r="AB283" s="1207"/>
      <c r="AC283" s="1207"/>
      <c r="AD283" s="1207"/>
      <c r="AE283" s="1207"/>
      <c r="AF283" s="1207"/>
      <c r="AG283" s="1207"/>
      <c r="AK283" s="1166"/>
      <c r="BB283" s="1193"/>
    </row>
    <row r="284" spans="1:54" s="1177" customFormat="1" outlineLevel="1" x14ac:dyDescent="0.25">
      <c r="A284" s="1197"/>
      <c r="B284" s="1205"/>
      <c r="C284" s="1194"/>
      <c r="D284" s="2956"/>
      <c r="E284" s="574" t="s">
        <v>1693</v>
      </c>
      <c r="F284" s="1228">
        <v>1</v>
      </c>
      <c r="G284" s="1381" t="s">
        <v>767</v>
      </c>
      <c r="H284" s="2857"/>
      <c r="I284" s="1205"/>
      <c r="J284" s="1205"/>
      <c r="K284" s="1205"/>
      <c r="L284" s="1205"/>
      <c r="M284" s="1205"/>
      <c r="N284" s="1205"/>
      <c r="O284" s="1205"/>
      <c r="P284" s="1205"/>
      <c r="Q284" s="1205"/>
      <c r="R284" s="1205"/>
      <c r="S284" s="1197"/>
      <c r="T284" s="1197"/>
      <c r="U284" s="1197"/>
      <c r="V284" s="2958"/>
      <c r="W284" s="1206">
        <v>1</v>
      </c>
      <c r="X284" s="1206">
        <v>1</v>
      </c>
      <c r="Y284" s="1206">
        <v>1</v>
      </c>
      <c r="Z284" s="1206"/>
      <c r="AA284" s="1206"/>
      <c r="AB284" s="1206"/>
      <c r="AC284" s="1206"/>
      <c r="AD284" s="1206"/>
      <c r="AE284" s="1206"/>
      <c r="AF284" s="1206"/>
      <c r="AG284" s="1206"/>
      <c r="AK284" s="1166"/>
      <c r="BB284" s="1193"/>
    </row>
    <row r="285" spans="1:54" s="1177" customFormat="1" outlineLevel="1" x14ac:dyDescent="0.25">
      <c r="A285" s="1197"/>
      <c r="B285" s="1205"/>
      <c r="C285" s="1194"/>
      <c r="D285" s="2956"/>
      <c r="E285" s="574" t="s">
        <v>1695</v>
      </c>
      <c r="F285" s="1228">
        <f>7/3.412*0.85</f>
        <v>1.7438452520515826</v>
      </c>
      <c r="G285" s="1381" t="s">
        <v>767</v>
      </c>
      <c r="H285" s="2857"/>
      <c r="I285" s="1205"/>
      <c r="J285" s="1205"/>
      <c r="K285" s="1205"/>
      <c r="L285" s="1205"/>
      <c r="M285" s="1205"/>
      <c r="N285" s="1205"/>
      <c r="O285" s="1205"/>
      <c r="P285" s="1205"/>
      <c r="Q285" s="1205"/>
      <c r="R285" s="1205"/>
      <c r="S285" s="1197"/>
      <c r="T285" s="1197"/>
      <c r="U285" s="1197"/>
      <c r="V285" s="2958"/>
      <c r="W285" s="1206">
        <f>7/3.412*0.85</f>
        <v>1.7438452520515826</v>
      </c>
      <c r="X285" s="1206">
        <v>1.7438452520515826</v>
      </c>
      <c r="Y285" s="1206">
        <v>1.7438452520515826</v>
      </c>
      <c r="Z285" s="1206"/>
      <c r="AA285" s="1206"/>
      <c r="AB285" s="1206"/>
      <c r="AC285" s="1206"/>
      <c r="AD285" s="1206"/>
      <c r="AE285" s="1206"/>
      <c r="AF285" s="1206"/>
      <c r="AG285" s="1206"/>
      <c r="AK285" s="1166"/>
      <c r="BB285" s="1193"/>
    </row>
    <row r="286" spans="1:54" s="1177" customFormat="1" outlineLevel="1" x14ac:dyDescent="0.25">
      <c r="A286" s="1197"/>
      <c r="B286" s="1205"/>
      <c r="C286" s="1194"/>
      <c r="D286" s="2956"/>
      <c r="E286" s="583" t="s">
        <v>1697</v>
      </c>
      <c r="F286" s="1231">
        <v>0.71</v>
      </c>
      <c r="G286" s="1381" t="s">
        <v>767</v>
      </c>
      <c r="H286" s="2857"/>
      <c r="I286" s="1205"/>
      <c r="J286" s="1205"/>
      <c r="K286" s="1205"/>
      <c r="L286" s="1205"/>
      <c r="M286" s="1205"/>
      <c r="N286" s="1205"/>
      <c r="O286" s="1205"/>
      <c r="P286" s="1205"/>
      <c r="Q286" s="1205"/>
      <c r="R286" s="1205"/>
      <c r="S286" s="1197"/>
      <c r="T286" s="1197"/>
      <c r="U286" s="1197"/>
      <c r="V286" s="2958"/>
      <c r="W286" s="1207">
        <v>0.71</v>
      </c>
      <c r="X286" s="1207">
        <v>0.71</v>
      </c>
      <c r="Y286" s="1207">
        <v>0.71</v>
      </c>
      <c r="Z286" s="1207"/>
      <c r="AA286" s="1207"/>
      <c r="AB286" s="1207"/>
      <c r="AC286" s="1207"/>
      <c r="AD286" s="1207"/>
      <c r="AE286" s="1207"/>
      <c r="AF286" s="1207"/>
      <c r="AG286" s="1207"/>
      <c r="AK286" s="1166"/>
      <c r="BB286" s="1193"/>
    </row>
    <row r="287" spans="1:54" s="1177" customFormat="1" outlineLevel="1" x14ac:dyDescent="0.25">
      <c r="A287" s="1197"/>
      <c r="B287" s="1205"/>
      <c r="C287" s="1194"/>
      <c r="D287" s="2956"/>
      <c r="E287" s="574" t="s">
        <v>1699</v>
      </c>
      <c r="F287" s="1228">
        <v>1</v>
      </c>
      <c r="G287" s="1381" t="s">
        <v>767</v>
      </c>
      <c r="H287" s="2857"/>
      <c r="I287" s="1205"/>
      <c r="J287" s="1205"/>
      <c r="K287" s="1205"/>
      <c r="L287" s="1205"/>
      <c r="M287" s="1205"/>
      <c r="N287" s="1205"/>
      <c r="O287" s="1205"/>
      <c r="P287" s="1205"/>
      <c r="Q287" s="1205"/>
      <c r="R287" s="1205"/>
      <c r="S287" s="1197"/>
      <c r="T287" s="1197"/>
      <c r="U287" s="1197"/>
      <c r="V287" s="2958"/>
      <c r="W287" s="1206">
        <v>1</v>
      </c>
      <c r="X287" s="1206">
        <v>1</v>
      </c>
      <c r="Y287" s="1206">
        <v>1</v>
      </c>
      <c r="Z287" s="1206"/>
      <c r="AA287" s="1206"/>
      <c r="AB287" s="1206"/>
      <c r="AC287" s="1206"/>
      <c r="AD287" s="1206"/>
      <c r="AE287" s="1206"/>
      <c r="AF287" s="1206"/>
      <c r="AG287" s="1206"/>
      <c r="AK287" s="1166"/>
      <c r="BB287" s="1193"/>
    </row>
    <row r="288" spans="1:54" s="1177" customFormat="1" outlineLevel="1" x14ac:dyDescent="0.25">
      <c r="A288" s="1197"/>
      <c r="B288" s="1205"/>
      <c r="C288" s="1194"/>
      <c r="D288" s="2956"/>
      <c r="E288" s="574" t="s">
        <v>1701</v>
      </c>
      <c r="F288" s="1228">
        <f>7/3.412*0.85</f>
        <v>1.7438452520515826</v>
      </c>
      <c r="G288" s="1381" t="s">
        <v>767</v>
      </c>
      <c r="H288" s="2857"/>
      <c r="I288" s="1205"/>
      <c r="J288" s="1205"/>
      <c r="K288" s="1205"/>
      <c r="L288" s="1205"/>
      <c r="M288" s="1205"/>
      <c r="N288" s="1205"/>
      <c r="O288" s="1205"/>
      <c r="P288" s="1205"/>
      <c r="Q288" s="1205"/>
      <c r="R288" s="1205"/>
      <c r="S288" s="1197"/>
      <c r="T288" s="1197"/>
      <c r="U288" s="1197"/>
      <c r="V288" s="2958"/>
      <c r="W288" s="1206">
        <f>7/3.412*0.85</f>
        <v>1.7438452520515826</v>
      </c>
      <c r="X288" s="1206">
        <v>1.7438452520515826</v>
      </c>
      <c r="Y288" s="1206">
        <v>1.7438452520515826</v>
      </c>
      <c r="Z288" s="1206"/>
      <c r="AA288" s="1206"/>
      <c r="AB288" s="1206"/>
      <c r="AC288" s="1206"/>
      <c r="AD288" s="1206"/>
      <c r="AE288" s="1206"/>
      <c r="AF288" s="1206"/>
      <c r="AG288" s="1206"/>
      <c r="AK288" s="1166"/>
      <c r="BB288" s="1193"/>
    </row>
    <row r="289" spans="1:54" s="1177" customFormat="1" outlineLevel="1" x14ac:dyDescent="0.25">
      <c r="A289" s="1197"/>
      <c r="B289" s="1205"/>
      <c r="C289" s="1194"/>
      <c r="D289" s="2956"/>
      <c r="E289" s="2146" t="s">
        <v>1703</v>
      </c>
      <c r="F289" s="1231">
        <v>0.71</v>
      </c>
      <c r="G289" s="1381" t="s">
        <v>767</v>
      </c>
      <c r="H289" s="2857"/>
      <c r="I289" s="1205"/>
      <c r="J289" s="1205"/>
      <c r="K289" s="1205"/>
      <c r="L289" s="1205"/>
      <c r="M289" s="1205"/>
      <c r="N289" s="1205"/>
      <c r="O289" s="1205"/>
      <c r="P289" s="1205"/>
      <c r="Q289" s="1205"/>
      <c r="R289" s="1205"/>
      <c r="S289" s="1197"/>
      <c r="T289" s="1197"/>
      <c r="U289" s="1197"/>
      <c r="V289" s="2958"/>
      <c r="W289" s="1207">
        <v>0.71</v>
      </c>
      <c r="X289" s="1207">
        <v>0.71</v>
      </c>
      <c r="Y289" s="1207">
        <v>0.71</v>
      </c>
      <c r="Z289" s="1207"/>
      <c r="AA289" s="1207"/>
      <c r="AB289" s="1207"/>
      <c r="AC289" s="1207"/>
      <c r="AD289" s="1207"/>
      <c r="AE289" s="1207"/>
      <c r="AF289" s="1207"/>
      <c r="AG289" s="1207"/>
      <c r="AK289" s="1166"/>
      <c r="BB289" s="1193"/>
    </row>
    <row r="290" spans="1:54" s="1177" customFormat="1" outlineLevel="1" x14ac:dyDescent="0.25">
      <c r="A290" s="1197"/>
      <c r="B290" s="1205"/>
      <c r="C290" s="1194"/>
      <c r="D290" s="2956"/>
      <c r="E290" s="574" t="s">
        <v>1705</v>
      </c>
      <c r="F290" s="1228">
        <v>1</v>
      </c>
      <c r="G290" s="1381" t="s">
        <v>767</v>
      </c>
      <c r="H290" s="2857"/>
      <c r="I290" s="1205"/>
      <c r="J290" s="1205"/>
      <c r="K290" s="1205"/>
      <c r="L290" s="1205"/>
      <c r="M290" s="1205"/>
      <c r="N290" s="1205"/>
      <c r="O290" s="1205"/>
      <c r="P290" s="1205"/>
      <c r="Q290" s="1205"/>
      <c r="R290" s="1205"/>
      <c r="S290" s="1197"/>
      <c r="T290" s="1197"/>
      <c r="U290" s="1197"/>
      <c r="V290" s="2958"/>
      <c r="W290" s="1206">
        <v>1</v>
      </c>
      <c r="X290" s="1206">
        <v>1</v>
      </c>
      <c r="Y290" s="1206">
        <v>1</v>
      </c>
      <c r="Z290" s="1206"/>
      <c r="AA290" s="1206"/>
      <c r="AB290" s="1206"/>
      <c r="AC290" s="1206"/>
      <c r="AD290" s="1206"/>
      <c r="AE290" s="1206"/>
      <c r="AF290" s="1206"/>
      <c r="AG290" s="1206"/>
      <c r="AK290" s="1166"/>
      <c r="BB290" s="1193"/>
    </row>
    <row r="291" spans="1:54" s="1177" customFormat="1" outlineLevel="1" x14ac:dyDescent="0.25">
      <c r="A291" s="1197"/>
      <c r="B291" s="1205"/>
      <c r="C291" s="1194"/>
      <c r="D291" s="2956"/>
      <c r="E291" s="574" t="s">
        <v>1707</v>
      </c>
      <c r="F291" s="1228">
        <f>7/3.412*0.85</f>
        <v>1.7438452520515826</v>
      </c>
      <c r="G291" s="1381" t="s">
        <v>767</v>
      </c>
      <c r="H291" s="2857"/>
      <c r="I291" s="1205"/>
      <c r="J291" s="1205"/>
      <c r="K291" s="1205"/>
      <c r="L291" s="1205"/>
      <c r="M291" s="1205"/>
      <c r="N291" s="1205"/>
      <c r="O291" s="1205"/>
      <c r="P291" s="1205"/>
      <c r="Q291" s="1205"/>
      <c r="R291" s="1205"/>
      <c r="S291" s="1197"/>
      <c r="T291" s="1197"/>
      <c r="U291" s="1197"/>
      <c r="V291" s="2958"/>
      <c r="W291" s="1206">
        <f>7/3.412*0.85</f>
        <v>1.7438452520515826</v>
      </c>
      <c r="X291" s="1206">
        <v>1.7438452520515826</v>
      </c>
      <c r="Y291" s="1206">
        <v>1.7438452520515826</v>
      </c>
      <c r="Z291" s="1206"/>
      <c r="AA291" s="1206"/>
      <c r="AB291" s="1206"/>
      <c r="AC291" s="1206"/>
      <c r="AD291" s="1206"/>
      <c r="AE291" s="1206"/>
      <c r="AF291" s="1206"/>
      <c r="AG291" s="1206"/>
      <c r="AK291" s="1166"/>
      <c r="BB291" s="1193"/>
    </row>
    <row r="292" spans="1:54" s="1177" customFormat="1" outlineLevel="1" x14ac:dyDescent="0.25">
      <c r="A292" s="1197"/>
      <c r="B292" s="1205"/>
      <c r="C292" s="1194"/>
      <c r="D292" s="2956"/>
      <c r="E292" s="583" t="s">
        <v>1709</v>
      </c>
      <c r="F292" s="1231">
        <v>0.71</v>
      </c>
      <c r="G292" s="1381" t="s">
        <v>767</v>
      </c>
      <c r="H292" s="2857"/>
      <c r="I292" s="1205"/>
      <c r="J292" s="1205"/>
      <c r="K292" s="1205"/>
      <c r="L292" s="1205"/>
      <c r="M292" s="1205"/>
      <c r="N292" s="1205"/>
      <c r="O292" s="1205"/>
      <c r="P292" s="1205"/>
      <c r="Q292" s="1205"/>
      <c r="R292" s="1205"/>
      <c r="S292" s="1197"/>
      <c r="T292" s="1197"/>
      <c r="U292" s="1197"/>
      <c r="V292" s="2958"/>
      <c r="W292" s="1207">
        <v>0.71</v>
      </c>
      <c r="X292" s="1207">
        <v>0.71</v>
      </c>
      <c r="Y292" s="1207">
        <v>0.71</v>
      </c>
      <c r="Z292" s="1207"/>
      <c r="AA292" s="1207"/>
      <c r="AB292" s="1207"/>
      <c r="AC292" s="1207"/>
      <c r="AD292" s="1207"/>
      <c r="AE292" s="1207"/>
      <c r="AF292" s="1207"/>
      <c r="AG292" s="1207"/>
      <c r="AK292" s="1166"/>
      <c r="BB292" s="1193"/>
    </row>
    <row r="293" spans="1:54" s="1177" customFormat="1" outlineLevel="1" x14ac:dyDescent="0.25">
      <c r="A293" s="1197"/>
      <c r="B293" s="1205"/>
      <c r="C293" s="1194"/>
      <c r="D293" s="2956"/>
      <c r="E293" s="574" t="s">
        <v>1711</v>
      </c>
      <c r="F293" s="1228">
        <v>1</v>
      </c>
      <c r="G293" s="1381" t="s">
        <v>767</v>
      </c>
      <c r="H293" s="2857"/>
      <c r="I293" s="1205"/>
      <c r="J293" s="1205"/>
      <c r="K293" s="1205"/>
      <c r="L293" s="1205"/>
      <c r="M293" s="1205"/>
      <c r="N293" s="1205"/>
      <c r="O293" s="1205"/>
      <c r="P293" s="1205"/>
      <c r="Q293" s="1205"/>
      <c r="R293" s="1205"/>
      <c r="S293" s="1197"/>
      <c r="T293" s="1197"/>
      <c r="U293" s="1197"/>
      <c r="V293" s="2958"/>
      <c r="W293" s="1206">
        <v>1</v>
      </c>
      <c r="X293" s="1206">
        <v>1</v>
      </c>
      <c r="Y293" s="1206">
        <v>1</v>
      </c>
      <c r="Z293" s="1206"/>
      <c r="AA293" s="1206"/>
      <c r="AB293" s="1206"/>
      <c r="AC293" s="1206"/>
      <c r="AD293" s="1206"/>
      <c r="AE293" s="1206"/>
      <c r="AF293" s="1206"/>
      <c r="AG293" s="1206"/>
      <c r="AK293" s="1166"/>
      <c r="BB293" s="1193"/>
    </row>
    <row r="294" spans="1:54" s="1177" customFormat="1" outlineLevel="1" x14ac:dyDescent="0.25">
      <c r="A294" s="1197"/>
      <c r="B294" s="1205"/>
      <c r="C294" s="1194"/>
      <c r="D294" s="2956"/>
      <c r="E294" s="574" t="s">
        <v>1713</v>
      </c>
      <c r="F294" s="1228">
        <f>7/3.412*0.85</f>
        <v>1.7438452520515826</v>
      </c>
      <c r="G294" s="1381" t="s">
        <v>767</v>
      </c>
      <c r="H294" s="2857"/>
      <c r="I294" s="1205"/>
      <c r="J294" s="1205"/>
      <c r="K294" s="1205"/>
      <c r="L294" s="1205"/>
      <c r="M294" s="1205"/>
      <c r="N294" s="1205"/>
      <c r="O294" s="1205"/>
      <c r="P294" s="1205"/>
      <c r="Q294" s="1205"/>
      <c r="R294" s="1205"/>
      <c r="S294" s="1197"/>
      <c r="T294" s="1197"/>
      <c r="U294" s="1197"/>
      <c r="V294" s="2958"/>
      <c r="W294" s="1206">
        <f>7/3.412*0.85</f>
        <v>1.7438452520515826</v>
      </c>
      <c r="X294" s="1206">
        <v>1.7438452520515826</v>
      </c>
      <c r="Y294" s="1206">
        <v>1.7438452520515826</v>
      </c>
      <c r="Z294" s="1206"/>
      <c r="AA294" s="1206"/>
      <c r="AB294" s="1206"/>
      <c r="AC294" s="1206"/>
      <c r="AD294" s="1206"/>
      <c r="AE294" s="1206"/>
      <c r="AF294" s="1206"/>
      <c r="AG294" s="1206"/>
      <c r="AK294" s="1166"/>
      <c r="BB294" s="1193"/>
    </row>
    <row r="295" spans="1:54" s="1177" customFormat="1" outlineLevel="1" x14ac:dyDescent="0.25">
      <c r="A295" s="1197"/>
      <c r="B295" s="1205"/>
      <c r="C295" s="1194"/>
      <c r="D295" s="2956"/>
      <c r="E295" s="2146" t="s">
        <v>1715</v>
      </c>
      <c r="F295" s="1231">
        <v>0.71</v>
      </c>
      <c r="G295" s="1381" t="s">
        <v>767</v>
      </c>
      <c r="H295" s="2857"/>
      <c r="I295" s="1205"/>
      <c r="J295" s="1205"/>
      <c r="K295" s="1205"/>
      <c r="L295" s="1205"/>
      <c r="M295" s="1205"/>
      <c r="N295" s="1205"/>
      <c r="O295" s="1205"/>
      <c r="P295" s="1205"/>
      <c r="Q295" s="1205"/>
      <c r="R295" s="1205"/>
      <c r="S295" s="1197"/>
      <c r="T295" s="1197"/>
      <c r="U295" s="1197"/>
      <c r="V295" s="2958"/>
      <c r="W295" s="1207">
        <v>0.71</v>
      </c>
      <c r="X295" s="1207">
        <v>0.71</v>
      </c>
      <c r="Y295" s="1207">
        <v>0.71</v>
      </c>
      <c r="Z295" s="1207"/>
      <c r="AA295" s="1207"/>
      <c r="AB295" s="1207"/>
      <c r="AC295" s="1207"/>
      <c r="AD295" s="1207"/>
      <c r="AE295" s="1207"/>
      <c r="AF295" s="1207"/>
      <c r="AG295" s="1207"/>
      <c r="AK295" s="1166"/>
      <c r="BB295" s="1193"/>
    </row>
    <row r="296" spans="1:54" s="1177" customFormat="1" outlineLevel="1" x14ac:dyDescent="0.25">
      <c r="A296" s="1197"/>
      <c r="B296" s="1205"/>
      <c r="C296" s="1194"/>
      <c r="D296" s="2956"/>
      <c r="E296" s="574" t="s">
        <v>1717</v>
      </c>
      <c r="F296" s="1228">
        <v>1</v>
      </c>
      <c r="G296" s="1381" t="s">
        <v>767</v>
      </c>
      <c r="H296" s="2857"/>
      <c r="I296" s="1205"/>
      <c r="J296" s="1205"/>
      <c r="K296" s="1205"/>
      <c r="L296" s="1205"/>
      <c r="M296" s="1205"/>
      <c r="N296" s="1205"/>
      <c r="O296" s="1205"/>
      <c r="P296" s="1205"/>
      <c r="Q296" s="1205"/>
      <c r="R296" s="1205"/>
      <c r="S296" s="1197"/>
      <c r="T296" s="1197"/>
      <c r="U296" s="1197"/>
      <c r="V296" s="2958"/>
      <c r="W296" s="1206">
        <v>1</v>
      </c>
      <c r="X296" s="1206">
        <v>1</v>
      </c>
      <c r="Y296" s="1206">
        <v>1</v>
      </c>
      <c r="Z296" s="1206"/>
      <c r="AA296" s="1206"/>
      <c r="AB296" s="1206"/>
      <c r="AC296" s="1206"/>
      <c r="AD296" s="1206"/>
      <c r="AE296" s="1206"/>
      <c r="AF296" s="1206"/>
      <c r="AG296" s="1206"/>
      <c r="AK296" s="1166"/>
      <c r="BB296" s="1193"/>
    </row>
    <row r="297" spans="1:54" s="1177" customFormat="1" outlineLevel="1" x14ac:dyDescent="0.25">
      <c r="A297" s="1197"/>
      <c r="B297" s="1205"/>
      <c r="C297" s="1194"/>
      <c r="D297" s="2956"/>
      <c r="E297" s="574" t="s">
        <v>1719</v>
      </c>
      <c r="F297" s="1228">
        <f>7/3.412*0.85</f>
        <v>1.7438452520515826</v>
      </c>
      <c r="G297" s="1381" t="s">
        <v>767</v>
      </c>
      <c r="H297" s="2857"/>
      <c r="I297" s="1205"/>
      <c r="J297" s="1205"/>
      <c r="K297" s="1205"/>
      <c r="L297" s="1205"/>
      <c r="M297" s="1205"/>
      <c r="N297" s="1205"/>
      <c r="O297" s="1205"/>
      <c r="P297" s="1205"/>
      <c r="Q297" s="1205"/>
      <c r="R297" s="1205"/>
      <c r="S297" s="1197"/>
      <c r="T297" s="1197"/>
      <c r="U297" s="1197"/>
      <c r="V297" s="2958"/>
      <c r="W297" s="1206">
        <f>7/3.412*0.85</f>
        <v>1.7438452520515826</v>
      </c>
      <c r="X297" s="1206">
        <v>1.7438452520515826</v>
      </c>
      <c r="Y297" s="1206">
        <v>1.7438452520515826</v>
      </c>
      <c r="Z297" s="1206"/>
      <c r="AA297" s="1206"/>
      <c r="AB297" s="1206"/>
      <c r="AC297" s="1206"/>
      <c r="AD297" s="1206"/>
      <c r="AE297" s="1206"/>
      <c r="AF297" s="1206"/>
      <c r="AG297" s="1206"/>
      <c r="AK297" s="1166"/>
      <c r="BB297" s="1193"/>
    </row>
    <row r="298" spans="1:54" s="1177" customFormat="1" outlineLevel="1" x14ac:dyDescent="0.25">
      <c r="A298" s="1197"/>
      <c r="B298" s="1205"/>
      <c r="C298" s="1194"/>
      <c r="D298" s="2956"/>
      <c r="E298" s="583" t="s">
        <v>1721</v>
      </c>
      <c r="F298" s="1231">
        <v>0.71</v>
      </c>
      <c r="G298" s="1381" t="s">
        <v>767</v>
      </c>
      <c r="H298" s="2857"/>
      <c r="I298" s="1205"/>
      <c r="J298" s="1205"/>
      <c r="K298" s="1205"/>
      <c r="L298" s="1205"/>
      <c r="M298" s="1205"/>
      <c r="N298" s="1205"/>
      <c r="O298" s="1205"/>
      <c r="P298" s="1205"/>
      <c r="Q298" s="1205"/>
      <c r="R298" s="1205"/>
      <c r="S298" s="1197"/>
      <c r="T298" s="1197"/>
      <c r="U298" s="1197"/>
      <c r="V298" s="2958"/>
      <c r="W298" s="1207">
        <v>0.71</v>
      </c>
      <c r="X298" s="1207">
        <v>0.71</v>
      </c>
      <c r="Y298" s="1207">
        <v>0.71</v>
      </c>
      <c r="Z298" s="1207"/>
      <c r="AA298" s="1207"/>
      <c r="AB298" s="1207"/>
      <c r="AC298" s="1207"/>
      <c r="AD298" s="1207"/>
      <c r="AE298" s="1207"/>
      <c r="AF298" s="1207"/>
      <c r="AG298" s="1207"/>
      <c r="AK298" s="1166"/>
      <c r="BB298" s="1193"/>
    </row>
    <row r="299" spans="1:54" s="1177" customFormat="1" outlineLevel="1" x14ac:dyDescent="0.25">
      <c r="A299" s="1197"/>
      <c r="B299" s="1205"/>
      <c r="C299" s="1194"/>
      <c r="D299" s="2956"/>
      <c r="E299" s="574" t="s">
        <v>1723</v>
      </c>
      <c r="F299" s="1228">
        <v>1</v>
      </c>
      <c r="G299" s="1381" t="s">
        <v>767</v>
      </c>
      <c r="H299" s="2857"/>
      <c r="I299" s="1205"/>
      <c r="J299" s="1205"/>
      <c r="K299" s="1205"/>
      <c r="L299" s="1205"/>
      <c r="M299" s="1205"/>
      <c r="N299" s="1205"/>
      <c r="O299" s="1205"/>
      <c r="P299" s="1205"/>
      <c r="Q299" s="1205"/>
      <c r="R299" s="1205"/>
      <c r="S299" s="1197"/>
      <c r="T299" s="1197"/>
      <c r="U299" s="1197"/>
      <c r="V299" s="2958"/>
      <c r="W299" s="1206">
        <v>1</v>
      </c>
      <c r="X299" s="1206">
        <v>1</v>
      </c>
      <c r="Y299" s="1206">
        <v>1</v>
      </c>
      <c r="Z299" s="1206"/>
      <c r="AA299" s="1206"/>
      <c r="AB299" s="1206"/>
      <c r="AC299" s="1206"/>
      <c r="AD299" s="1206"/>
      <c r="AE299" s="1206"/>
      <c r="AF299" s="1206"/>
      <c r="AG299" s="1206"/>
      <c r="AK299" s="1166"/>
      <c r="BB299" s="1193"/>
    </row>
    <row r="300" spans="1:54" s="1177" customFormat="1" outlineLevel="1" x14ac:dyDescent="0.25">
      <c r="A300" s="1197"/>
      <c r="B300" s="1205"/>
      <c r="C300" s="1194"/>
      <c r="D300" s="2956"/>
      <c r="E300" s="583" t="s">
        <v>1725</v>
      </c>
      <c r="F300" s="1228">
        <f>7/3.412*0.85</f>
        <v>1.7438452520515826</v>
      </c>
      <c r="G300" s="1381" t="s">
        <v>767</v>
      </c>
      <c r="H300" s="2857"/>
      <c r="I300" s="1205"/>
      <c r="J300" s="1205"/>
      <c r="K300" s="1205"/>
      <c r="L300" s="1205"/>
      <c r="M300" s="1205"/>
      <c r="N300" s="1205"/>
      <c r="O300" s="1205"/>
      <c r="P300" s="1205"/>
      <c r="Q300" s="1205"/>
      <c r="R300" s="1205"/>
      <c r="S300" s="1197"/>
      <c r="T300" s="1197"/>
      <c r="U300" s="1197"/>
      <c r="V300" s="2958"/>
      <c r="W300" s="1206">
        <f>7/3.412*0.85</f>
        <v>1.7438452520515826</v>
      </c>
      <c r="X300" s="1206">
        <v>1.7438452520515826</v>
      </c>
      <c r="Y300" s="1206">
        <v>1.7438452520515826</v>
      </c>
      <c r="Z300" s="1206"/>
      <c r="AA300" s="1206"/>
      <c r="AB300" s="1206"/>
      <c r="AC300" s="1206"/>
      <c r="AD300" s="1206"/>
      <c r="AE300" s="1206"/>
      <c r="AF300" s="1206"/>
      <c r="AG300" s="1206"/>
      <c r="AK300" s="1166"/>
      <c r="BB300" s="1193"/>
    </row>
    <row r="301" spans="1:54" s="1177" customFormat="1" outlineLevel="1" x14ac:dyDescent="0.25">
      <c r="A301" s="1197"/>
      <c r="B301" s="1205"/>
      <c r="C301" s="1194"/>
      <c r="D301" s="2956"/>
      <c r="E301" s="574" t="s">
        <v>1727</v>
      </c>
      <c r="F301" s="1231">
        <v>0.71</v>
      </c>
      <c r="G301" s="1381" t="s">
        <v>767</v>
      </c>
      <c r="H301" s="2857"/>
      <c r="I301" s="1205"/>
      <c r="J301" s="1205"/>
      <c r="K301" s="1205"/>
      <c r="L301" s="1205"/>
      <c r="M301" s="1205"/>
      <c r="N301" s="1205"/>
      <c r="O301" s="1205"/>
      <c r="P301" s="1205"/>
      <c r="Q301" s="1205"/>
      <c r="R301" s="1205"/>
      <c r="S301" s="1197"/>
      <c r="T301" s="1197"/>
      <c r="U301" s="1197"/>
      <c r="V301" s="2958"/>
      <c r="W301" s="1207">
        <v>0.71</v>
      </c>
      <c r="X301" s="1207">
        <v>0.71</v>
      </c>
      <c r="Y301" s="1207">
        <v>0.71</v>
      </c>
      <c r="Z301" s="1207"/>
      <c r="AA301" s="1207"/>
      <c r="AB301" s="1207"/>
      <c r="AC301" s="1207"/>
      <c r="AD301" s="1207"/>
      <c r="AE301" s="1207"/>
      <c r="AF301" s="1207"/>
      <c r="AG301" s="1207"/>
      <c r="AK301" s="1166"/>
      <c r="BB301" s="1193"/>
    </row>
    <row r="302" spans="1:54" s="1177" customFormat="1" outlineLevel="1" x14ac:dyDescent="0.25">
      <c r="A302" s="1197"/>
      <c r="B302" s="1205"/>
      <c r="C302" s="1194"/>
      <c r="D302" s="2956"/>
      <c r="E302" s="574" t="s">
        <v>1729</v>
      </c>
      <c r="F302" s="1228">
        <v>1</v>
      </c>
      <c r="G302" s="1381" t="s">
        <v>767</v>
      </c>
      <c r="H302" s="2857"/>
      <c r="I302" s="1205"/>
      <c r="J302" s="1205"/>
      <c r="K302" s="1205"/>
      <c r="L302" s="1205"/>
      <c r="M302" s="1205"/>
      <c r="N302" s="1205"/>
      <c r="O302" s="1205"/>
      <c r="P302" s="1205"/>
      <c r="Q302" s="1205"/>
      <c r="R302" s="1205"/>
      <c r="S302" s="1197"/>
      <c r="T302" s="1197"/>
      <c r="U302" s="1197"/>
      <c r="V302" s="2958"/>
      <c r="W302" s="1206">
        <v>1</v>
      </c>
      <c r="X302" s="1206">
        <v>1</v>
      </c>
      <c r="Y302" s="1206">
        <v>1</v>
      </c>
      <c r="Z302" s="1206"/>
      <c r="AA302" s="1206"/>
      <c r="AB302" s="1206"/>
      <c r="AC302" s="1206"/>
      <c r="AD302" s="1206"/>
      <c r="AE302" s="1206"/>
      <c r="AF302" s="1206"/>
      <c r="AG302" s="1206"/>
      <c r="AK302" s="1166"/>
      <c r="BB302" s="1193"/>
    </row>
    <row r="303" spans="1:54" s="1177" customFormat="1" outlineLevel="1" x14ac:dyDescent="0.25">
      <c r="A303" s="1197"/>
      <c r="B303" s="1205"/>
      <c r="C303" s="1194"/>
      <c r="D303" s="2956"/>
      <c r="E303" s="574" t="s">
        <v>1731</v>
      </c>
      <c r="F303" s="1228">
        <f>7/3.412*0.85</f>
        <v>1.7438452520515826</v>
      </c>
      <c r="G303" s="1381" t="s">
        <v>767</v>
      </c>
      <c r="H303" s="2857"/>
      <c r="I303" s="1205"/>
      <c r="J303" s="1205"/>
      <c r="K303" s="1205"/>
      <c r="L303" s="1205"/>
      <c r="M303" s="1205"/>
      <c r="N303" s="1205"/>
      <c r="O303" s="1205"/>
      <c r="P303" s="1205"/>
      <c r="Q303" s="1205"/>
      <c r="R303" s="1205"/>
      <c r="S303" s="1197"/>
      <c r="T303" s="1197"/>
      <c r="U303" s="1197"/>
      <c r="V303" s="2958"/>
      <c r="W303" s="1206">
        <f>7/3.412*0.85</f>
        <v>1.7438452520515826</v>
      </c>
      <c r="X303" s="1206">
        <v>1.7438452520515826</v>
      </c>
      <c r="Y303" s="1206">
        <v>1.7438452520515826</v>
      </c>
      <c r="Z303" s="1206"/>
      <c r="AA303" s="1206"/>
      <c r="AB303" s="1206"/>
      <c r="AC303" s="1206"/>
      <c r="AD303" s="1206"/>
      <c r="AE303" s="1206"/>
      <c r="AF303" s="1206"/>
      <c r="AG303" s="1206"/>
      <c r="AK303" s="1166"/>
      <c r="BB303" s="1193"/>
    </row>
    <row r="304" spans="1:54" s="1177" customFormat="1" outlineLevel="1" x14ac:dyDescent="0.25">
      <c r="A304" s="1197"/>
      <c r="B304" s="1205"/>
      <c r="C304" s="1194"/>
      <c r="D304" s="2956"/>
      <c r="E304" s="583" t="s">
        <v>1733</v>
      </c>
      <c r="F304" s="1231">
        <v>0.71</v>
      </c>
      <c r="G304" s="1381" t="s">
        <v>767</v>
      </c>
      <c r="H304" s="2857"/>
      <c r="I304" s="1205"/>
      <c r="J304" s="1205"/>
      <c r="K304" s="1205"/>
      <c r="L304" s="1205"/>
      <c r="M304" s="1205"/>
      <c r="N304" s="1205"/>
      <c r="O304" s="1205"/>
      <c r="P304" s="1205"/>
      <c r="Q304" s="1205"/>
      <c r="R304" s="1205"/>
      <c r="S304" s="1197"/>
      <c r="T304" s="1197"/>
      <c r="U304" s="1197"/>
      <c r="V304" s="2958"/>
      <c r="W304" s="1207">
        <v>0.71</v>
      </c>
      <c r="X304" s="1207">
        <v>0.71</v>
      </c>
      <c r="Y304" s="1207">
        <v>0.71</v>
      </c>
      <c r="Z304" s="1207"/>
      <c r="AA304" s="1207"/>
      <c r="AB304" s="1207"/>
      <c r="AC304" s="1207"/>
      <c r="AD304" s="1207"/>
      <c r="AE304" s="1207"/>
      <c r="AF304" s="1207"/>
      <c r="AG304" s="1207"/>
      <c r="AK304" s="1166"/>
      <c r="BB304" s="1193"/>
    </row>
    <row r="305" spans="1:54" s="1177" customFormat="1" outlineLevel="1" x14ac:dyDescent="0.25">
      <c r="A305" s="1197"/>
      <c r="B305" s="1205"/>
      <c r="C305" s="1194"/>
      <c r="D305" s="2956"/>
      <c r="E305" s="574" t="s">
        <v>1735</v>
      </c>
      <c r="F305" s="1228">
        <v>1</v>
      </c>
      <c r="G305" s="1381" t="s">
        <v>767</v>
      </c>
      <c r="H305" s="2857"/>
      <c r="I305" s="1205"/>
      <c r="J305" s="1205"/>
      <c r="K305" s="1205"/>
      <c r="L305" s="1205"/>
      <c r="M305" s="1205"/>
      <c r="N305" s="1205"/>
      <c r="O305" s="1205"/>
      <c r="P305" s="1205"/>
      <c r="Q305" s="1205"/>
      <c r="R305" s="1205"/>
      <c r="S305" s="1197"/>
      <c r="T305" s="1197"/>
      <c r="U305" s="1197"/>
      <c r="V305" s="2958"/>
      <c r="W305" s="1206">
        <v>1</v>
      </c>
      <c r="X305" s="1206">
        <v>1</v>
      </c>
      <c r="Y305" s="1206">
        <v>1</v>
      </c>
      <c r="Z305" s="1206"/>
      <c r="AA305" s="1206"/>
      <c r="AB305" s="1206"/>
      <c r="AC305" s="1206"/>
      <c r="AD305" s="1206"/>
      <c r="AE305" s="1206"/>
      <c r="AF305" s="1206"/>
      <c r="AG305" s="1206"/>
      <c r="AK305" s="1166"/>
      <c r="BB305" s="1193"/>
    </row>
    <row r="306" spans="1:54" s="1177" customFormat="1" outlineLevel="1" x14ac:dyDescent="0.25">
      <c r="A306" s="1197"/>
      <c r="B306" s="1205"/>
      <c r="C306" s="1194"/>
      <c r="D306" s="2956"/>
      <c r="E306" s="583" t="s">
        <v>1737</v>
      </c>
      <c r="F306" s="1228">
        <f>7/3.412*0.85</f>
        <v>1.7438452520515826</v>
      </c>
      <c r="G306" s="1381" t="s">
        <v>767</v>
      </c>
      <c r="H306" s="2857"/>
      <c r="I306" s="1205"/>
      <c r="J306" s="1205"/>
      <c r="K306" s="1205"/>
      <c r="L306" s="1205"/>
      <c r="M306" s="1205"/>
      <c r="N306" s="1205"/>
      <c r="O306" s="1205"/>
      <c r="P306" s="1205"/>
      <c r="Q306" s="1205"/>
      <c r="R306" s="1205"/>
      <c r="S306" s="1197"/>
      <c r="T306" s="1197"/>
      <c r="U306" s="1197"/>
      <c r="V306" s="2958"/>
      <c r="W306" s="1206">
        <f>7/3.412*0.85</f>
        <v>1.7438452520515826</v>
      </c>
      <c r="X306" s="1206">
        <v>1.7438452520515826</v>
      </c>
      <c r="Y306" s="1206">
        <v>1.7438452520515826</v>
      </c>
      <c r="Z306" s="1206"/>
      <c r="AA306" s="1206"/>
      <c r="AB306" s="1206"/>
      <c r="AC306" s="1206"/>
      <c r="AD306" s="1206"/>
      <c r="AE306" s="1206"/>
      <c r="AF306" s="1206"/>
      <c r="AG306" s="1206"/>
      <c r="AK306" s="1166"/>
      <c r="BB306" s="1193"/>
    </row>
    <row r="307" spans="1:54" s="1177" customFormat="1" outlineLevel="1" x14ac:dyDescent="0.25">
      <c r="A307" s="1197"/>
      <c r="B307" s="1205"/>
      <c r="C307" s="1194"/>
      <c r="D307" s="2956"/>
      <c r="E307" s="574" t="s">
        <v>1739</v>
      </c>
      <c r="F307" s="1231">
        <v>0.71</v>
      </c>
      <c r="G307" s="1381" t="s">
        <v>767</v>
      </c>
      <c r="H307" s="2976"/>
      <c r="I307" s="1205"/>
      <c r="J307" s="1205"/>
      <c r="K307" s="1205"/>
      <c r="L307" s="1205"/>
      <c r="M307" s="1205"/>
      <c r="N307" s="1205"/>
      <c r="O307" s="1205"/>
      <c r="P307" s="1205"/>
      <c r="Q307" s="1205"/>
      <c r="R307" s="1205"/>
      <c r="S307" s="1197"/>
      <c r="T307" s="1197"/>
      <c r="U307" s="1197"/>
      <c r="V307" s="2965"/>
      <c r="W307" s="1207">
        <v>0.71</v>
      </c>
      <c r="X307" s="1207">
        <v>0.71</v>
      </c>
      <c r="Y307" s="1207">
        <v>0.71</v>
      </c>
      <c r="Z307" s="1207"/>
      <c r="AA307" s="1207"/>
      <c r="AB307" s="1207"/>
      <c r="AC307" s="1207"/>
      <c r="AD307" s="1207"/>
      <c r="AE307" s="1207"/>
      <c r="AF307" s="1207"/>
      <c r="AG307" s="1207"/>
      <c r="AK307" s="1166"/>
      <c r="BB307" s="1193"/>
    </row>
    <row r="308" spans="1:54" s="1177" customFormat="1" outlineLevel="1" x14ac:dyDescent="0.25">
      <c r="A308" s="1197"/>
      <c r="B308" s="1205"/>
      <c r="C308" s="1194"/>
      <c r="D308" s="2980" t="s">
        <v>784</v>
      </c>
      <c r="E308" s="574" t="s">
        <v>1681</v>
      </c>
      <c r="F308" s="1228">
        <f t="shared" ref="F308:F337" si="40">(1-F155)*(1/(F185+5)-1/(F215+5))*F245*(1-F$275)*F$276*24*F$277/(100000*F278)</f>
        <v>0</v>
      </c>
      <c r="G308" s="1381" t="s">
        <v>785</v>
      </c>
      <c r="H308" s="1542"/>
      <c r="I308" s="1205"/>
      <c r="J308" s="1205"/>
      <c r="K308" s="1205"/>
      <c r="L308" s="1205"/>
      <c r="M308" s="1205"/>
      <c r="N308" s="1205"/>
      <c r="O308" s="1205"/>
      <c r="P308" s="1205"/>
      <c r="Q308" s="1205"/>
      <c r="R308" s="1205"/>
      <c r="S308" s="1197"/>
      <c r="T308" s="1197"/>
      <c r="U308" s="1197"/>
      <c r="V308" s="2957" t="str">
        <f>D308</f>
        <v>∆Therms</v>
      </c>
      <c r="W308" s="1206">
        <f t="shared" ref="W308:W337" si="41">(1-W155)*(1/(W185+5)-1/(W215+5))*W245*(1-W$275)*W$276*24*W$277/(100000*W278)</f>
        <v>0</v>
      </c>
      <c r="X308" s="1206">
        <v>0</v>
      </c>
      <c r="Y308" s="1206">
        <v>0</v>
      </c>
      <c r="Z308" s="1206"/>
      <c r="AA308" s="1206"/>
      <c r="AB308" s="1206"/>
      <c r="AC308" s="1206"/>
      <c r="AD308" s="1206"/>
      <c r="AE308" s="1206"/>
      <c r="AF308" s="1206"/>
      <c r="AG308" s="1206"/>
      <c r="AK308" s="1166"/>
      <c r="BB308" s="1193"/>
    </row>
    <row r="309" spans="1:54" s="1177" customFormat="1" outlineLevel="1" x14ac:dyDescent="0.25">
      <c r="A309" s="1197"/>
      <c r="B309" s="1205"/>
      <c r="C309" s="1194"/>
      <c r="D309" s="2981"/>
      <c r="E309" s="574" t="s">
        <v>1683</v>
      </c>
      <c r="F309" s="1228">
        <f t="shared" si="40"/>
        <v>0</v>
      </c>
      <c r="G309" s="1381" t="s">
        <v>785</v>
      </c>
      <c r="H309" s="1542"/>
      <c r="I309" s="1205"/>
      <c r="J309" s="1205"/>
      <c r="K309" s="1205"/>
      <c r="L309" s="1205"/>
      <c r="M309" s="1205"/>
      <c r="N309" s="1205"/>
      <c r="O309" s="1205"/>
      <c r="P309" s="1205"/>
      <c r="Q309" s="1205"/>
      <c r="R309" s="1205"/>
      <c r="S309" s="1197"/>
      <c r="T309" s="1197"/>
      <c r="U309" s="1197"/>
      <c r="V309" s="2958"/>
      <c r="W309" s="1206">
        <f t="shared" si="41"/>
        <v>0</v>
      </c>
      <c r="X309" s="1206">
        <v>0</v>
      </c>
      <c r="Y309" s="1206">
        <v>0</v>
      </c>
      <c r="Z309" s="1206"/>
      <c r="AA309" s="1206"/>
      <c r="AB309" s="1206"/>
      <c r="AC309" s="1206"/>
      <c r="AD309" s="1206"/>
      <c r="AE309" s="1206"/>
      <c r="AF309" s="1206"/>
      <c r="AG309" s="1206"/>
      <c r="AK309" s="1166"/>
      <c r="BB309" s="1193"/>
    </row>
    <row r="310" spans="1:54" s="1177" customFormat="1" outlineLevel="1" x14ac:dyDescent="0.25">
      <c r="A310" s="1197"/>
      <c r="B310" s="1205"/>
      <c r="C310" s="1194"/>
      <c r="D310" s="2981"/>
      <c r="E310" s="574" t="s">
        <v>1685</v>
      </c>
      <c r="F310" s="1228">
        <f t="shared" si="40"/>
        <v>4.5898308920187786E-2</v>
      </c>
      <c r="G310" s="1381" t="s">
        <v>785</v>
      </c>
      <c r="H310" s="1542"/>
      <c r="I310" s="1205"/>
      <c r="J310" s="1205"/>
      <c r="K310" s="1205"/>
      <c r="L310" s="1205"/>
      <c r="M310" s="1205"/>
      <c r="N310" s="1205"/>
      <c r="O310" s="1205"/>
      <c r="P310" s="1205"/>
      <c r="Q310" s="1205"/>
      <c r="R310" s="1205"/>
      <c r="S310" s="1197"/>
      <c r="T310" s="1197"/>
      <c r="U310" s="1197"/>
      <c r="V310" s="2958"/>
      <c r="W310" s="1206">
        <f t="shared" si="41"/>
        <v>40.186264375070415</v>
      </c>
      <c r="X310" s="1206">
        <v>40.186264375070415</v>
      </c>
      <c r="Y310" s="1206">
        <v>4.5898308920187786E-2</v>
      </c>
      <c r="Z310" s="1206"/>
      <c r="AA310" s="1206"/>
      <c r="AB310" s="1206"/>
      <c r="AC310" s="1206"/>
      <c r="AD310" s="1206"/>
      <c r="AE310" s="1206"/>
      <c r="AF310" s="1206"/>
      <c r="AG310" s="1206"/>
      <c r="AK310" s="1166"/>
      <c r="BB310" s="1193"/>
    </row>
    <row r="311" spans="1:54" s="1177" customFormat="1" outlineLevel="1" x14ac:dyDescent="0.25">
      <c r="A311" s="1197"/>
      <c r="B311" s="1205"/>
      <c r="C311" s="1194"/>
      <c r="D311" s="2981"/>
      <c r="E311" s="574" t="s">
        <v>1687</v>
      </c>
      <c r="F311" s="1228">
        <f t="shared" si="40"/>
        <v>0</v>
      </c>
      <c r="G311" s="1381" t="s">
        <v>785</v>
      </c>
      <c r="H311" s="1542"/>
      <c r="I311" s="1205"/>
      <c r="J311" s="1205"/>
      <c r="K311" s="1205"/>
      <c r="L311" s="1205"/>
      <c r="M311" s="1205"/>
      <c r="N311" s="1205"/>
      <c r="O311" s="1205"/>
      <c r="P311" s="1205"/>
      <c r="Q311" s="1205"/>
      <c r="R311" s="1205"/>
      <c r="S311" s="1197"/>
      <c r="T311" s="1197"/>
      <c r="U311" s="1197"/>
      <c r="V311" s="2958"/>
      <c r="W311" s="1206">
        <f t="shared" si="41"/>
        <v>0</v>
      </c>
      <c r="X311" s="1206">
        <v>0</v>
      </c>
      <c r="Y311" s="1206">
        <v>0</v>
      </c>
      <c r="Z311" s="1206"/>
      <c r="AA311" s="1206"/>
      <c r="AB311" s="1206"/>
      <c r="AC311" s="1206"/>
      <c r="AD311" s="1206"/>
      <c r="AE311" s="1206"/>
      <c r="AF311" s="1206"/>
      <c r="AG311" s="1206"/>
      <c r="AK311" s="1166"/>
      <c r="BB311" s="1193"/>
    </row>
    <row r="312" spans="1:54" s="1177" customFormat="1" outlineLevel="1" x14ac:dyDescent="0.25">
      <c r="A312" s="1197"/>
      <c r="B312" s="1205"/>
      <c r="C312" s="1194"/>
      <c r="D312" s="2981"/>
      <c r="E312" s="574" t="s">
        <v>1689</v>
      </c>
      <c r="F312" s="1228">
        <f t="shared" si="40"/>
        <v>0</v>
      </c>
      <c r="G312" s="1381" t="s">
        <v>785</v>
      </c>
      <c r="H312" s="1542"/>
      <c r="I312" s="1205"/>
      <c r="J312" s="1205"/>
      <c r="K312" s="1205"/>
      <c r="L312" s="1205"/>
      <c r="M312" s="1205"/>
      <c r="N312" s="1205"/>
      <c r="O312" s="1205"/>
      <c r="P312" s="1205"/>
      <c r="Q312" s="1205"/>
      <c r="R312" s="1205"/>
      <c r="S312" s="1197"/>
      <c r="T312" s="1197"/>
      <c r="U312" s="1197"/>
      <c r="V312" s="2958"/>
      <c r="W312" s="1206">
        <f t="shared" si="41"/>
        <v>0</v>
      </c>
      <c r="X312" s="1206">
        <v>0</v>
      </c>
      <c r="Y312" s="1206">
        <v>0</v>
      </c>
      <c r="Z312" s="1206"/>
      <c r="AA312" s="1206"/>
      <c r="AB312" s="1206"/>
      <c r="AC312" s="1206"/>
      <c r="AD312" s="1206"/>
      <c r="AE312" s="1206"/>
      <c r="AF312" s="1206"/>
      <c r="AG312" s="1206"/>
      <c r="AK312" s="1166"/>
      <c r="BB312" s="1193"/>
    </row>
    <row r="313" spans="1:54" s="1177" customFormat="1" outlineLevel="1" x14ac:dyDescent="0.25">
      <c r="A313" s="1197"/>
      <c r="B313" s="1205"/>
      <c r="C313" s="1194"/>
      <c r="D313" s="2981"/>
      <c r="E313" s="574" t="s">
        <v>1691</v>
      </c>
      <c r="F313" s="1228">
        <f t="shared" si="40"/>
        <v>4.5898308920187786E-2</v>
      </c>
      <c r="G313" s="1381" t="s">
        <v>785</v>
      </c>
      <c r="H313" s="1542"/>
      <c r="I313" s="1205"/>
      <c r="J313" s="1205"/>
      <c r="K313" s="1205"/>
      <c r="L313" s="1205"/>
      <c r="M313" s="1205"/>
      <c r="N313" s="1205"/>
      <c r="O313" s="1205"/>
      <c r="P313" s="1205"/>
      <c r="Q313" s="1205"/>
      <c r="R313" s="1205"/>
      <c r="S313" s="1197"/>
      <c r="T313" s="1197"/>
      <c r="U313" s="1197"/>
      <c r="V313" s="2958"/>
      <c r="W313" s="1206">
        <f t="shared" si="41"/>
        <v>61.825022115492956</v>
      </c>
      <c r="X313" s="1206">
        <v>61.825022115492956</v>
      </c>
      <c r="Y313" s="1206">
        <v>4.5898308920187786E-2</v>
      </c>
      <c r="Z313" s="1206"/>
      <c r="AA313" s="1206"/>
      <c r="AB313" s="1206"/>
      <c r="AC313" s="1206"/>
      <c r="AD313" s="1206"/>
      <c r="AE313" s="1206"/>
      <c r="AF313" s="1206"/>
      <c r="AG313" s="1206"/>
      <c r="AK313" s="1166"/>
      <c r="BB313" s="1193"/>
    </row>
    <row r="314" spans="1:54" s="1177" customFormat="1" outlineLevel="1" x14ac:dyDescent="0.25">
      <c r="A314" s="1197"/>
      <c r="B314" s="1205"/>
      <c r="C314" s="1194"/>
      <c r="D314" s="2981"/>
      <c r="E314" s="574" t="s">
        <v>1693</v>
      </c>
      <c r="F314" s="1228">
        <f t="shared" si="40"/>
        <v>0</v>
      </c>
      <c r="G314" s="1381" t="s">
        <v>785</v>
      </c>
      <c r="H314" s="1542"/>
      <c r="I314" s="1205"/>
      <c r="J314" s="1205"/>
      <c r="K314" s="1205"/>
      <c r="L314" s="1205"/>
      <c r="M314" s="1205"/>
      <c r="N314" s="1205"/>
      <c r="O314" s="1205"/>
      <c r="P314" s="1205"/>
      <c r="Q314" s="1205"/>
      <c r="R314" s="1205"/>
      <c r="S314" s="1197"/>
      <c r="T314" s="1197"/>
      <c r="U314" s="1197"/>
      <c r="V314" s="2958"/>
      <c r="W314" s="1206">
        <f t="shared" si="41"/>
        <v>0</v>
      </c>
      <c r="X314" s="1206">
        <v>0</v>
      </c>
      <c r="Y314" s="1206">
        <v>0</v>
      </c>
      <c r="Z314" s="1206"/>
      <c r="AA314" s="1206"/>
      <c r="AB314" s="1206"/>
      <c r="AC314" s="1206"/>
      <c r="AD314" s="1206"/>
      <c r="AE314" s="1206"/>
      <c r="AF314" s="1206"/>
      <c r="AG314" s="1206"/>
      <c r="AK314" s="1166"/>
      <c r="BB314" s="1193"/>
    </row>
    <row r="315" spans="1:54" s="1177" customFormat="1" outlineLevel="1" x14ac:dyDescent="0.25">
      <c r="A315" s="1197"/>
      <c r="B315" s="1205"/>
      <c r="C315" s="1194"/>
      <c r="D315" s="2981"/>
      <c r="E315" s="574" t="s">
        <v>1695</v>
      </c>
      <c r="F315" s="1228">
        <f t="shared" si="40"/>
        <v>0</v>
      </c>
      <c r="G315" s="1381" t="s">
        <v>785</v>
      </c>
      <c r="H315" s="1542"/>
      <c r="I315" s="1205"/>
      <c r="J315" s="1205"/>
      <c r="K315" s="1205"/>
      <c r="L315" s="1205"/>
      <c r="M315" s="1205"/>
      <c r="N315" s="1205"/>
      <c r="O315" s="1205"/>
      <c r="P315" s="1205"/>
      <c r="Q315" s="1205"/>
      <c r="R315" s="1205"/>
      <c r="S315" s="1197"/>
      <c r="T315" s="1197"/>
      <c r="U315" s="1197"/>
      <c r="V315" s="2958"/>
      <c r="W315" s="1206">
        <f t="shared" si="41"/>
        <v>0</v>
      </c>
      <c r="X315" s="1206">
        <v>0</v>
      </c>
      <c r="Y315" s="1206">
        <v>0</v>
      </c>
      <c r="Z315" s="1206"/>
      <c r="AA315" s="1206"/>
      <c r="AB315" s="1206"/>
      <c r="AC315" s="1206"/>
      <c r="AD315" s="1206"/>
      <c r="AE315" s="1206"/>
      <c r="AF315" s="1206"/>
      <c r="AG315" s="1206"/>
      <c r="AK315" s="1166"/>
      <c r="BB315" s="1193"/>
    </row>
    <row r="316" spans="1:54" s="1177" customFormat="1" outlineLevel="1" x14ac:dyDescent="0.25">
      <c r="A316" s="1197"/>
      <c r="B316" s="1205"/>
      <c r="C316" s="1194"/>
      <c r="D316" s="2981"/>
      <c r="E316" s="583" t="s">
        <v>1697</v>
      </c>
      <c r="F316" s="1228">
        <f t="shared" si="40"/>
        <v>7.4541614486921537E-2</v>
      </c>
      <c r="G316" s="1381" t="s">
        <v>785</v>
      </c>
      <c r="H316" s="1542"/>
      <c r="I316" s="1205"/>
      <c r="J316" s="1205"/>
      <c r="K316" s="1205"/>
      <c r="L316" s="1205"/>
      <c r="M316" s="1205"/>
      <c r="N316" s="1205"/>
      <c r="O316" s="1205"/>
      <c r="P316" s="1205"/>
      <c r="Q316" s="1205"/>
      <c r="R316" s="1205"/>
      <c r="S316" s="1197"/>
      <c r="T316" s="1197"/>
      <c r="U316" s="1197"/>
      <c r="V316" s="2958"/>
      <c r="W316" s="1206">
        <f t="shared" si="41"/>
        <v>53.587966654647893</v>
      </c>
      <c r="X316" s="1206">
        <v>53.587966654647893</v>
      </c>
      <c r="Y316" s="1206">
        <v>7.4541614486921537E-2</v>
      </c>
      <c r="Z316" s="1206"/>
      <c r="AA316" s="1206"/>
      <c r="AB316" s="1206"/>
      <c r="AC316" s="1206"/>
      <c r="AD316" s="1206"/>
      <c r="AE316" s="1206"/>
      <c r="AF316" s="1206"/>
      <c r="AG316" s="1206"/>
      <c r="AK316" s="1166"/>
      <c r="BB316" s="1193"/>
    </row>
    <row r="317" spans="1:54" s="1177" customFormat="1" outlineLevel="1" x14ac:dyDescent="0.25">
      <c r="A317" s="1197"/>
      <c r="B317" s="1205"/>
      <c r="C317" s="1194"/>
      <c r="D317" s="2981"/>
      <c r="E317" s="574" t="s">
        <v>1699</v>
      </c>
      <c r="F317" s="1228">
        <f t="shared" si="40"/>
        <v>0</v>
      </c>
      <c r="G317" s="1381" t="s">
        <v>785</v>
      </c>
      <c r="H317" s="1542"/>
      <c r="I317" s="1205"/>
      <c r="J317" s="1205"/>
      <c r="K317" s="1205"/>
      <c r="L317" s="1205"/>
      <c r="M317" s="1205"/>
      <c r="N317" s="1205"/>
      <c r="O317" s="1205"/>
      <c r="P317" s="1205"/>
      <c r="Q317" s="1205"/>
      <c r="R317" s="1205"/>
      <c r="S317" s="1197"/>
      <c r="T317" s="1197"/>
      <c r="U317" s="1197"/>
      <c r="V317" s="2958"/>
      <c r="W317" s="1206">
        <f t="shared" si="41"/>
        <v>0</v>
      </c>
      <c r="X317" s="1206">
        <v>0</v>
      </c>
      <c r="Y317" s="1206">
        <v>0</v>
      </c>
      <c r="Z317" s="1206"/>
      <c r="AA317" s="1206"/>
      <c r="AB317" s="1206"/>
      <c r="AC317" s="1206"/>
      <c r="AD317" s="1206"/>
      <c r="AE317" s="1206"/>
      <c r="AF317" s="1206"/>
      <c r="AG317" s="1206"/>
      <c r="AK317" s="1166"/>
      <c r="BB317" s="1193"/>
    </row>
    <row r="318" spans="1:54" s="1177" customFormat="1" outlineLevel="1" x14ac:dyDescent="0.25">
      <c r="A318" s="1197"/>
      <c r="B318" s="1205"/>
      <c r="C318" s="1194"/>
      <c r="D318" s="2981"/>
      <c r="E318" s="574" t="s">
        <v>1701</v>
      </c>
      <c r="F318" s="1228">
        <f t="shared" si="40"/>
        <v>0</v>
      </c>
      <c r="G318" s="1381" t="s">
        <v>785</v>
      </c>
      <c r="H318" s="1542"/>
      <c r="I318" s="1205"/>
      <c r="J318" s="1205"/>
      <c r="K318" s="1205"/>
      <c r="L318" s="1205"/>
      <c r="M318" s="1205"/>
      <c r="N318" s="1205"/>
      <c r="O318" s="1205"/>
      <c r="P318" s="1205"/>
      <c r="Q318" s="1205"/>
      <c r="R318" s="1205"/>
      <c r="S318" s="1197"/>
      <c r="T318" s="1197"/>
      <c r="U318" s="1197"/>
      <c r="V318" s="2958"/>
      <c r="W318" s="1206">
        <f t="shared" si="41"/>
        <v>0</v>
      </c>
      <c r="X318" s="1206">
        <v>0</v>
      </c>
      <c r="Y318" s="1206">
        <v>0</v>
      </c>
      <c r="Z318" s="1206"/>
      <c r="AA318" s="1206"/>
      <c r="AB318" s="1206"/>
      <c r="AC318" s="1206"/>
      <c r="AD318" s="1206"/>
      <c r="AE318" s="1206"/>
      <c r="AF318" s="1206"/>
      <c r="AG318" s="1206"/>
      <c r="AK318" s="1166"/>
      <c r="BB318" s="1193"/>
    </row>
    <row r="319" spans="1:54" s="1177" customFormat="1" outlineLevel="1" x14ac:dyDescent="0.25">
      <c r="A319" s="1197"/>
      <c r="B319" s="1205"/>
      <c r="C319" s="1194"/>
      <c r="D319" s="2981"/>
      <c r="E319" s="2146" t="s">
        <v>1703</v>
      </c>
      <c r="F319" s="1228">
        <f t="shared" si="40"/>
        <v>7.4541614486921537E-2</v>
      </c>
      <c r="G319" s="1381" t="s">
        <v>785</v>
      </c>
      <c r="H319" s="1542"/>
      <c r="I319" s="1205"/>
      <c r="J319" s="1205"/>
      <c r="K319" s="1205"/>
      <c r="L319" s="1205"/>
      <c r="M319" s="1205"/>
      <c r="N319" s="1205"/>
      <c r="O319" s="1205"/>
      <c r="P319" s="1205"/>
      <c r="Q319" s="1205"/>
      <c r="R319" s="1205"/>
      <c r="S319" s="1197"/>
      <c r="T319" s="1197"/>
      <c r="U319" s="1197"/>
      <c r="V319" s="2958"/>
      <c r="W319" s="1206">
        <f t="shared" si="41"/>
        <v>82.443025622535217</v>
      </c>
      <c r="X319" s="1206">
        <v>82.443025622535217</v>
      </c>
      <c r="Y319" s="1206">
        <v>7.4541614486921537E-2</v>
      </c>
      <c r="Z319" s="1206"/>
      <c r="AA319" s="1206"/>
      <c r="AB319" s="1206"/>
      <c r="AC319" s="1206"/>
      <c r="AD319" s="1206"/>
      <c r="AE319" s="1206"/>
      <c r="AF319" s="1206"/>
      <c r="AG319" s="1206"/>
      <c r="AK319" s="1166"/>
      <c r="BB319" s="1193"/>
    </row>
    <row r="320" spans="1:54" s="1177" customFormat="1" outlineLevel="1" x14ac:dyDescent="0.25">
      <c r="A320" s="1197"/>
      <c r="B320" s="1205"/>
      <c r="C320" s="1194"/>
      <c r="D320" s="2981"/>
      <c r="E320" s="574" t="s">
        <v>1705</v>
      </c>
      <c r="F320" s="1228">
        <f t="shared" si="40"/>
        <v>0</v>
      </c>
      <c r="G320" s="1381" t="s">
        <v>785</v>
      </c>
      <c r="H320" s="1542"/>
      <c r="I320" s="1205"/>
      <c r="J320" s="1205"/>
      <c r="K320" s="1205"/>
      <c r="L320" s="1205"/>
      <c r="M320" s="1205"/>
      <c r="N320" s="1205"/>
      <c r="O320" s="1205"/>
      <c r="P320" s="1205"/>
      <c r="Q320" s="1205"/>
      <c r="R320" s="1205"/>
      <c r="S320" s="1197"/>
      <c r="T320" s="1197"/>
      <c r="U320" s="1197"/>
      <c r="V320" s="2958"/>
      <c r="W320" s="1206">
        <f t="shared" si="41"/>
        <v>0</v>
      </c>
      <c r="X320" s="1206">
        <v>0</v>
      </c>
      <c r="Y320" s="1206">
        <v>0</v>
      </c>
      <c r="Z320" s="1206"/>
      <c r="AA320" s="1206"/>
      <c r="AB320" s="1206"/>
      <c r="AC320" s="1206"/>
      <c r="AD320" s="1206"/>
      <c r="AE320" s="1206"/>
      <c r="AF320" s="1206"/>
      <c r="AG320" s="1206"/>
      <c r="AK320" s="1166"/>
      <c r="BB320" s="1193"/>
    </row>
    <row r="321" spans="1:54" s="1177" customFormat="1" outlineLevel="1" x14ac:dyDescent="0.25">
      <c r="A321" s="1197"/>
      <c r="B321" s="1205"/>
      <c r="C321" s="1194"/>
      <c r="D321" s="2981"/>
      <c r="E321" s="574" t="s">
        <v>1707</v>
      </c>
      <c r="F321" s="1228">
        <f t="shared" si="40"/>
        <v>0</v>
      </c>
      <c r="G321" s="1381" t="s">
        <v>785</v>
      </c>
      <c r="H321" s="1542"/>
      <c r="I321" s="1205"/>
      <c r="J321" s="1205"/>
      <c r="K321" s="1205"/>
      <c r="L321" s="1205"/>
      <c r="M321" s="1205"/>
      <c r="N321" s="1205"/>
      <c r="O321" s="1205"/>
      <c r="P321" s="1205"/>
      <c r="Q321" s="1205"/>
      <c r="R321" s="1205"/>
      <c r="S321" s="1197"/>
      <c r="T321" s="1197"/>
      <c r="U321" s="1197"/>
      <c r="V321" s="2958"/>
      <c r="W321" s="1206">
        <f t="shared" si="41"/>
        <v>0</v>
      </c>
      <c r="X321" s="1206">
        <v>0</v>
      </c>
      <c r="Y321" s="1206">
        <v>0</v>
      </c>
      <c r="Z321" s="1206"/>
      <c r="AA321" s="1206"/>
      <c r="AB321" s="1206"/>
      <c r="AC321" s="1206"/>
      <c r="AD321" s="1206"/>
      <c r="AE321" s="1206"/>
      <c r="AF321" s="1206"/>
      <c r="AG321" s="1206"/>
      <c r="AK321" s="1166"/>
      <c r="BB321" s="1193"/>
    </row>
    <row r="322" spans="1:54" s="1177" customFormat="1" outlineLevel="1" x14ac:dyDescent="0.25">
      <c r="A322" s="1197"/>
      <c r="B322" s="1205"/>
      <c r="C322" s="1194"/>
      <c r="D322" s="2981"/>
      <c r="E322" s="583" t="s">
        <v>1709</v>
      </c>
      <c r="F322" s="1228">
        <f t="shared" si="40"/>
        <v>8.0088897425483141E-2</v>
      </c>
      <c r="G322" s="1381" t="s">
        <v>785</v>
      </c>
      <c r="H322" s="1542"/>
      <c r="I322" s="1205"/>
      <c r="J322" s="1205"/>
      <c r="K322" s="1205"/>
      <c r="L322" s="1205"/>
      <c r="M322" s="1205"/>
      <c r="N322" s="1205"/>
      <c r="O322" s="1205"/>
      <c r="P322" s="1205"/>
      <c r="Q322" s="1205"/>
      <c r="R322" s="1205"/>
      <c r="S322" s="1197"/>
      <c r="T322" s="1197"/>
      <c r="U322" s="1197"/>
      <c r="V322" s="2958"/>
      <c r="W322" s="1206">
        <f t="shared" si="41"/>
        <v>57.57590835917982</v>
      </c>
      <c r="X322" s="1206">
        <v>57.57590835917982</v>
      </c>
      <c r="Y322" s="1206">
        <v>8.0088897425483141E-2</v>
      </c>
      <c r="Z322" s="1206"/>
      <c r="AA322" s="1206"/>
      <c r="AB322" s="1206"/>
      <c r="AC322" s="1206"/>
      <c r="AD322" s="1206"/>
      <c r="AE322" s="1206"/>
      <c r="AF322" s="1206"/>
      <c r="AG322" s="1206"/>
      <c r="AK322" s="1166"/>
      <c r="BB322" s="1193"/>
    </row>
    <row r="323" spans="1:54" s="1177" customFormat="1" outlineLevel="1" x14ac:dyDescent="0.25">
      <c r="A323" s="1197"/>
      <c r="B323" s="1205"/>
      <c r="C323" s="1194"/>
      <c r="D323" s="2981"/>
      <c r="E323" s="574" t="s">
        <v>1711</v>
      </c>
      <c r="F323" s="1228">
        <f t="shared" si="40"/>
        <v>0</v>
      </c>
      <c r="G323" s="1381" t="s">
        <v>785</v>
      </c>
      <c r="H323" s="1542"/>
      <c r="I323" s="1205"/>
      <c r="J323" s="1205"/>
      <c r="K323" s="1205"/>
      <c r="L323" s="1205"/>
      <c r="M323" s="1205"/>
      <c r="N323" s="1205"/>
      <c r="O323" s="1205"/>
      <c r="P323" s="1205"/>
      <c r="Q323" s="1205"/>
      <c r="R323" s="1205"/>
      <c r="S323" s="1197"/>
      <c r="T323" s="1197"/>
      <c r="U323" s="1197"/>
      <c r="V323" s="2958"/>
      <c r="W323" s="1206">
        <f t="shared" si="41"/>
        <v>0</v>
      </c>
      <c r="X323" s="1206">
        <v>0</v>
      </c>
      <c r="Y323" s="1206">
        <v>0</v>
      </c>
      <c r="Z323" s="1206"/>
      <c r="AA323" s="1206"/>
      <c r="AB323" s="1206"/>
      <c r="AC323" s="1206"/>
      <c r="AD323" s="1206"/>
      <c r="AE323" s="1206"/>
      <c r="AF323" s="1206"/>
      <c r="AG323" s="1206"/>
      <c r="AK323" s="1166"/>
      <c r="BB323" s="1193"/>
    </row>
    <row r="324" spans="1:54" s="1177" customFormat="1" outlineLevel="1" x14ac:dyDescent="0.25">
      <c r="A324" s="1197"/>
      <c r="B324" s="1205"/>
      <c r="C324" s="1194"/>
      <c r="D324" s="2981"/>
      <c r="E324" s="574" t="s">
        <v>1713</v>
      </c>
      <c r="F324" s="1228">
        <f t="shared" si="40"/>
        <v>0</v>
      </c>
      <c r="G324" s="1381" t="s">
        <v>785</v>
      </c>
      <c r="H324" s="1542"/>
      <c r="I324" s="1205"/>
      <c r="J324" s="1205"/>
      <c r="K324" s="1205"/>
      <c r="L324" s="1205"/>
      <c r="M324" s="1205"/>
      <c r="N324" s="1205"/>
      <c r="O324" s="1205"/>
      <c r="P324" s="1205"/>
      <c r="Q324" s="1205"/>
      <c r="R324" s="1205"/>
      <c r="S324" s="1197"/>
      <c r="T324" s="1197"/>
      <c r="U324" s="1197"/>
      <c r="V324" s="2958"/>
      <c r="W324" s="1206">
        <f t="shared" si="41"/>
        <v>0</v>
      </c>
      <c r="X324" s="1206">
        <v>0</v>
      </c>
      <c r="Y324" s="1206">
        <v>0</v>
      </c>
      <c r="Z324" s="1206"/>
      <c r="AA324" s="1206"/>
      <c r="AB324" s="1206"/>
      <c r="AC324" s="1206"/>
      <c r="AD324" s="1206"/>
      <c r="AE324" s="1206"/>
      <c r="AF324" s="1206"/>
      <c r="AG324" s="1206"/>
      <c r="AK324" s="1166"/>
      <c r="BB324" s="1193"/>
    </row>
    <row r="325" spans="1:54" s="1177" customFormat="1" outlineLevel="1" x14ac:dyDescent="0.25">
      <c r="A325" s="1197"/>
      <c r="B325" s="1205"/>
      <c r="C325" s="1194"/>
      <c r="D325" s="2981"/>
      <c r="E325" s="2146" t="s">
        <v>1715</v>
      </c>
      <c r="F325" s="1228">
        <f t="shared" si="40"/>
        <v>8.0088897425483141E-2</v>
      </c>
      <c r="G325" s="1381" t="s">
        <v>785</v>
      </c>
      <c r="H325" s="1542"/>
      <c r="I325" s="1205"/>
      <c r="J325" s="1205"/>
      <c r="K325" s="1205"/>
      <c r="L325" s="1205"/>
      <c r="M325" s="1205"/>
      <c r="N325" s="1205"/>
      <c r="O325" s="1205"/>
      <c r="P325" s="1205"/>
      <c r="Q325" s="1205"/>
      <c r="R325" s="1205"/>
      <c r="S325" s="1197"/>
      <c r="T325" s="1197"/>
      <c r="U325" s="1197"/>
      <c r="V325" s="2958"/>
      <c r="W325" s="1206">
        <f t="shared" si="41"/>
        <v>88.578320552584344</v>
      </c>
      <c r="X325" s="1206">
        <v>88.578320552584344</v>
      </c>
      <c r="Y325" s="1206">
        <v>8.0088897425483141E-2</v>
      </c>
      <c r="Z325" s="1206"/>
      <c r="AA325" s="1206"/>
      <c r="AB325" s="1206"/>
      <c r="AC325" s="1206"/>
      <c r="AD325" s="1206"/>
      <c r="AE325" s="1206"/>
      <c r="AF325" s="1206"/>
      <c r="AG325" s="1206"/>
      <c r="AK325" s="1166"/>
      <c r="BB325" s="1193"/>
    </row>
    <row r="326" spans="1:54" s="1177" customFormat="1" outlineLevel="1" x14ac:dyDescent="0.25">
      <c r="A326" s="1197"/>
      <c r="B326" s="1205"/>
      <c r="C326" s="1194"/>
      <c r="D326" s="2981"/>
      <c r="E326" s="574" t="s">
        <v>1717</v>
      </c>
      <c r="F326" s="1228">
        <f t="shared" si="40"/>
        <v>0</v>
      </c>
      <c r="G326" s="1381" t="s">
        <v>785</v>
      </c>
      <c r="H326" s="1542"/>
      <c r="I326" s="1205"/>
      <c r="J326" s="1205"/>
      <c r="K326" s="1205"/>
      <c r="L326" s="1205"/>
      <c r="M326" s="1205"/>
      <c r="N326" s="1205"/>
      <c r="O326" s="1205"/>
      <c r="P326" s="1205"/>
      <c r="Q326" s="1205"/>
      <c r="R326" s="1205"/>
      <c r="S326" s="1197"/>
      <c r="T326" s="1197"/>
      <c r="U326" s="1197"/>
      <c r="V326" s="2958"/>
      <c r="W326" s="1206">
        <f t="shared" si="41"/>
        <v>0</v>
      </c>
      <c r="X326" s="1206">
        <v>0</v>
      </c>
      <c r="Y326" s="1206">
        <v>0</v>
      </c>
      <c r="Z326" s="1206"/>
      <c r="AA326" s="1206"/>
      <c r="AB326" s="1206"/>
      <c r="AC326" s="1206"/>
      <c r="AD326" s="1206"/>
      <c r="AE326" s="1206"/>
      <c r="AF326" s="1206"/>
      <c r="AG326" s="1206"/>
      <c r="AK326" s="1166"/>
      <c r="BB326" s="1193"/>
    </row>
    <row r="327" spans="1:54" s="1177" customFormat="1" outlineLevel="1" x14ac:dyDescent="0.25">
      <c r="A327" s="1197"/>
      <c r="B327" s="1205"/>
      <c r="C327" s="1194"/>
      <c r="D327" s="2981"/>
      <c r="E327" s="574" t="s">
        <v>1719</v>
      </c>
      <c r="F327" s="1228">
        <f t="shared" si="40"/>
        <v>0</v>
      </c>
      <c r="G327" s="1381" t="s">
        <v>785</v>
      </c>
      <c r="H327" s="1542"/>
      <c r="I327" s="1205"/>
      <c r="J327" s="1205"/>
      <c r="K327" s="1205"/>
      <c r="L327" s="1205"/>
      <c r="M327" s="1205"/>
      <c r="N327" s="1205"/>
      <c r="O327" s="1205"/>
      <c r="P327" s="1205"/>
      <c r="Q327" s="1205"/>
      <c r="R327" s="1205"/>
      <c r="S327" s="1197"/>
      <c r="T327" s="1197"/>
      <c r="U327" s="1197"/>
      <c r="V327" s="2958"/>
      <c r="W327" s="1206">
        <f t="shared" si="41"/>
        <v>0</v>
      </c>
      <c r="X327" s="1206">
        <v>0</v>
      </c>
      <c r="Y327" s="1206">
        <v>0</v>
      </c>
      <c r="Z327" s="1206"/>
      <c r="AA327" s="1206"/>
      <c r="AB327" s="1206"/>
      <c r="AC327" s="1206"/>
      <c r="AD327" s="1206"/>
      <c r="AE327" s="1206"/>
      <c r="AF327" s="1206"/>
      <c r="AG327" s="1206"/>
      <c r="AK327" s="1166"/>
      <c r="BB327" s="1193"/>
    </row>
    <row r="328" spans="1:54" s="1177" customFormat="1" outlineLevel="1" x14ac:dyDescent="0.25">
      <c r="A328" s="1197"/>
      <c r="B328" s="1205"/>
      <c r="C328" s="1194"/>
      <c r="D328" s="2981"/>
      <c r="E328" s="583" t="s">
        <v>1721</v>
      </c>
      <c r="F328" s="1228">
        <f t="shared" si="40"/>
        <v>8.5032656525821607E-2</v>
      </c>
      <c r="G328" s="1381" t="s">
        <v>785</v>
      </c>
      <c r="H328" s="1542"/>
      <c r="I328" s="1205"/>
      <c r="J328" s="1205"/>
      <c r="K328" s="1205"/>
      <c r="L328" s="1205"/>
      <c r="M328" s="1205"/>
      <c r="N328" s="1205"/>
      <c r="O328" s="1205"/>
      <c r="P328" s="1205"/>
      <c r="Q328" s="1205"/>
      <c r="R328" s="1205"/>
      <c r="S328" s="1197"/>
      <c r="T328" s="1197"/>
      <c r="U328" s="1197"/>
      <c r="V328" s="2958"/>
      <c r="W328" s="1206">
        <f t="shared" si="41"/>
        <v>61.129976776413137</v>
      </c>
      <c r="X328" s="1206">
        <v>61.129976776413137</v>
      </c>
      <c r="Y328" s="1206">
        <v>8.5032656525821607E-2</v>
      </c>
      <c r="Z328" s="1206"/>
      <c r="AA328" s="1206"/>
      <c r="AB328" s="1206"/>
      <c r="AC328" s="1206"/>
      <c r="AD328" s="1206"/>
      <c r="AE328" s="1206"/>
      <c r="AF328" s="1206"/>
      <c r="AG328" s="1206"/>
      <c r="AK328" s="1166"/>
      <c r="BB328" s="1193"/>
    </row>
    <row r="329" spans="1:54" s="1177" customFormat="1" outlineLevel="1" x14ac:dyDescent="0.25">
      <c r="A329" s="1197"/>
      <c r="B329" s="1205"/>
      <c r="C329" s="1194"/>
      <c r="D329" s="2981"/>
      <c r="E329" s="574" t="s">
        <v>1723</v>
      </c>
      <c r="F329" s="1228">
        <f t="shared" si="40"/>
        <v>0</v>
      </c>
      <c r="G329" s="1381" t="s">
        <v>785</v>
      </c>
      <c r="H329" s="1542"/>
      <c r="I329" s="1205"/>
      <c r="J329" s="1205"/>
      <c r="K329" s="1205"/>
      <c r="L329" s="1205"/>
      <c r="M329" s="1205"/>
      <c r="N329" s="1205"/>
      <c r="O329" s="1205"/>
      <c r="P329" s="1205"/>
      <c r="Q329" s="1205"/>
      <c r="R329" s="1205"/>
      <c r="S329" s="1197"/>
      <c r="T329" s="1197"/>
      <c r="U329" s="1197"/>
      <c r="V329" s="2958"/>
      <c r="W329" s="1206">
        <f t="shared" si="41"/>
        <v>0</v>
      </c>
      <c r="X329" s="1206">
        <v>0</v>
      </c>
      <c r="Y329" s="1206">
        <v>0</v>
      </c>
      <c r="Z329" s="1206"/>
      <c r="AA329" s="1206"/>
      <c r="AB329" s="1206"/>
      <c r="AC329" s="1206"/>
      <c r="AD329" s="1206"/>
      <c r="AE329" s="1206"/>
      <c r="AF329" s="1206"/>
      <c r="AG329" s="1206"/>
      <c r="AK329" s="1166"/>
      <c r="BB329" s="1193"/>
    </row>
    <row r="330" spans="1:54" s="1177" customFormat="1" outlineLevel="1" x14ac:dyDescent="0.25">
      <c r="A330" s="1197"/>
      <c r="B330" s="1205"/>
      <c r="C330" s="1194"/>
      <c r="D330" s="2981"/>
      <c r="E330" s="583" t="s">
        <v>1725</v>
      </c>
      <c r="F330" s="1228">
        <f t="shared" si="40"/>
        <v>0</v>
      </c>
      <c r="G330" s="1381" t="s">
        <v>785</v>
      </c>
      <c r="H330" s="1542"/>
      <c r="I330" s="1205"/>
      <c r="J330" s="1205"/>
      <c r="K330" s="1205"/>
      <c r="L330" s="1205"/>
      <c r="M330" s="1205"/>
      <c r="N330" s="1205"/>
      <c r="O330" s="1205"/>
      <c r="P330" s="1205"/>
      <c r="Q330" s="1205"/>
      <c r="R330" s="1205"/>
      <c r="S330" s="1197"/>
      <c r="T330" s="1197"/>
      <c r="U330" s="1197"/>
      <c r="V330" s="2958"/>
      <c r="W330" s="1206">
        <f t="shared" si="41"/>
        <v>0</v>
      </c>
      <c r="X330" s="1206">
        <v>0</v>
      </c>
      <c r="Y330" s="1206">
        <v>0</v>
      </c>
      <c r="Z330" s="1206"/>
      <c r="AA330" s="1206"/>
      <c r="AB330" s="1206"/>
      <c r="AC330" s="1206"/>
      <c r="AD330" s="1206"/>
      <c r="AE330" s="1206"/>
      <c r="AF330" s="1206"/>
      <c r="AG330" s="1206"/>
      <c r="AK330" s="1166"/>
      <c r="BB330" s="1193"/>
    </row>
    <row r="331" spans="1:54" s="1177" customFormat="1" outlineLevel="1" x14ac:dyDescent="0.25">
      <c r="A331" s="1197"/>
      <c r="B331" s="1205"/>
      <c r="C331" s="1194"/>
      <c r="D331" s="2981"/>
      <c r="E331" s="574" t="s">
        <v>1727</v>
      </c>
      <c r="F331" s="1228">
        <f t="shared" si="40"/>
        <v>8.5032656525821607E-2</v>
      </c>
      <c r="G331" s="1381" t="s">
        <v>785</v>
      </c>
      <c r="H331" s="1542"/>
      <c r="I331" s="1205"/>
      <c r="J331" s="1205"/>
      <c r="K331" s="1205"/>
      <c r="L331" s="1205"/>
      <c r="M331" s="1205"/>
      <c r="N331" s="1205"/>
      <c r="O331" s="1205"/>
      <c r="P331" s="1205"/>
      <c r="Q331" s="1205"/>
      <c r="R331" s="1205"/>
      <c r="S331" s="1197"/>
      <c r="T331" s="1197"/>
      <c r="U331" s="1197"/>
      <c r="V331" s="2958"/>
      <c r="W331" s="1206">
        <f t="shared" si="41"/>
        <v>94.046118117558692</v>
      </c>
      <c r="X331" s="1206">
        <v>94.046118117558692</v>
      </c>
      <c r="Y331" s="1206">
        <v>8.5032656525821607E-2</v>
      </c>
      <c r="Z331" s="1206"/>
      <c r="AA331" s="1206"/>
      <c r="AB331" s="1206"/>
      <c r="AC331" s="1206"/>
      <c r="AD331" s="1206"/>
      <c r="AE331" s="1206"/>
      <c r="AF331" s="1206"/>
      <c r="AG331" s="1206"/>
      <c r="AK331" s="1166"/>
      <c r="BB331" s="1193"/>
    </row>
    <row r="332" spans="1:54" s="1177" customFormat="1" outlineLevel="1" x14ac:dyDescent="0.25">
      <c r="A332" s="1197"/>
      <c r="B332" s="1205"/>
      <c r="C332" s="1194"/>
      <c r="D332" s="2981"/>
      <c r="E332" s="574" t="s">
        <v>1729</v>
      </c>
      <c r="F332" s="1228">
        <f t="shared" si="40"/>
        <v>0</v>
      </c>
      <c r="G332" s="1381" t="s">
        <v>785</v>
      </c>
      <c r="H332" s="1542"/>
      <c r="I332" s="1205"/>
      <c r="J332" s="1205"/>
      <c r="K332" s="1205"/>
      <c r="L332" s="1205"/>
      <c r="M332" s="1205"/>
      <c r="N332" s="1205"/>
      <c r="O332" s="1205"/>
      <c r="P332" s="1205"/>
      <c r="Q332" s="1205"/>
      <c r="R332" s="1205"/>
      <c r="S332" s="1197"/>
      <c r="T332" s="1197"/>
      <c r="U332" s="1197"/>
      <c r="V332" s="2958"/>
      <c r="W332" s="1206">
        <f t="shared" si="41"/>
        <v>0</v>
      </c>
      <c r="X332" s="1206">
        <v>0</v>
      </c>
      <c r="Y332" s="1206">
        <v>0</v>
      </c>
      <c r="Z332" s="1206"/>
      <c r="AA332" s="1206"/>
      <c r="AB332" s="1206"/>
      <c r="AC332" s="1206"/>
      <c r="AD332" s="1206"/>
      <c r="AE332" s="1206"/>
      <c r="AF332" s="1206"/>
      <c r="AG332" s="1206"/>
      <c r="AK332" s="1166"/>
      <c r="BB332" s="1193"/>
    </row>
    <row r="333" spans="1:54" s="1177" customFormat="1" outlineLevel="1" x14ac:dyDescent="0.25">
      <c r="A333" s="1197"/>
      <c r="B333" s="1205"/>
      <c r="C333" s="1194"/>
      <c r="D333" s="2981"/>
      <c r="E333" s="574" t="s">
        <v>1731</v>
      </c>
      <c r="F333" s="1228">
        <f t="shared" si="40"/>
        <v>0</v>
      </c>
      <c r="G333" s="1381" t="s">
        <v>785</v>
      </c>
      <c r="H333" s="1542"/>
      <c r="I333" s="1205"/>
      <c r="J333" s="1205"/>
      <c r="K333" s="1205"/>
      <c r="L333" s="1205"/>
      <c r="M333" s="1205"/>
      <c r="N333" s="1205"/>
      <c r="O333" s="1205"/>
      <c r="P333" s="1205"/>
      <c r="Q333" s="1205"/>
      <c r="R333" s="1205"/>
      <c r="S333" s="1197"/>
      <c r="T333" s="1197"/>
      <c r="U333" s="1197"/>
      <c r="V333" s="2958"/>
      <c r="W333" s="1206">
        <f t="shared" si="41"/>
        <v>0</v>
      </c>
      <c r="X333" s="1206">
        <v>0</v>
      </c>
      <c r="Y333" s="1206">
        <v>0</v>
      </c>
      <c r="Z333" s="1206"/>
      <c r="AA333" s="1206"/>
      <c r="AB333" s="1206"/>
      <c r="AC333" s="1206"/>
      <c r="AD333" s="1206"/>
      <c r="AE333" s="1206"/>
      <c r="AF333" s="1206"/>
      <c r="AG333" s="1206"/>
      <c r="AK333" s="1166"/>
      <c r="BB333" s="1193"/>
    </row>
    <row r="334" spans="1:54" s="1177" customFormat="1" outlineLevel="1" x14ac:dyDescent="0.25">
      <c r="A334" s="1197"/>
      <c r="B334" s="1205"/>
      <c r="C334" s="1194"/>
      <c r="D334" s="2981"/>
      <c r="E334" s="583" t="s">
        <v>1733</v>
      </c>
      <c r="F334" s="1228">
        <f t="shared" si="40"/>
        <v>8.8303143315276264E-2</v>
      </c>
      <c r="G334" s="1381" t="s">
        <v>785</v>
      </c>
      <c r="H334" s="1542"/>
      <c r="I334" s="1205"/>
      <c r="J334" s="1205"/>
      <c r="K334" s="1205"/>
      <c r="L334" s="1205"/>
      <c r="M334" s="1205"/>
      <c r="N334" s="1205"/>
      <c r="O334" s="1205"/>
      <c r="P334" s="1205"/>
      <c r="Q334" s="1205"/>
      <c r="R334" s="1205"/>
      <c r="S334" s="1197"/>
      <c r="T334" s="1197"/>
      <c r="U334" s="1197"/>
      <c r="V334" s="2958"/>
      <c r="W334" s="1206">
        <f t="shared" si="41"/>
        <v>63.481129729352105</v>
      </c>
      <c r="X334" s="1206">
        <v>63.481129729352105</v>
      </c>
      <c r="Y334" s="1206">
        <v>8.8303143315276264E-2</v>
      </c>
      <c r="Z334" s="1206"/>
      <c r="AA334" s="1206"/>
      <c r="AB334" s="1206"/>
      <c r="AC334" s="1206"/>
      <c r="AD334" s="1206"/>
      <c r="AE334" s="1206"/>
      <c r="AF334" s="1206"/>
      <c r="AG334" s="1206"/>
      <c r="AK334" s="1166"/>
      <c r="BB334" s="1193"/>
    </row>
    <row r="335" spans="1:54" s="1177" customFormat="1" outlineLevel="1" x14ac:dyDescent="0.25">
      <c r="A335" s="1197"/>
      <c r="B335" s="1205"/>
      <c r="C335" s="1194"/>
      <c r="D335" s="2981"/>
      <c r="E335" s="574" t="s">
        <v>1735</v>
      </c>
      <c r="F335" s="1228">
        <f t="shared" si="40"/>
        <v>0</v>
      </c>
      <c r="G335" s="1381" t="s">
        <v>785</v>
      </c>
      <c r="H335" s="1542"/>
      <c r="I335" s="1205"/>
      <c r="J335" s="1205"/>
      <c r="K335" s="1205"/>
      <c r="L335" s="1205"/>
      <c r="M335" s="1205"/>
      <c r="N335" s="1205"/>
      <c r="O335" s="1205"/>
      <c r="P335" s="1205"/>
      <c r="Q335" s="1205"/>
      <c r="R335" s="1205"/>
      <c r="S335" s="1197"/>
      <c r="T335" s="1197"/>
      <c r="U335" s="1197"/>
      <c r="V335" s="2958"/>
      <c r="W335" s="1206">
        <f t="shared" si="41"/>
        <v>0</v>
      </c>
      <c r="X335" s="1206">
        <v>0</v>
      </c>
      <c r="Y335" s="1206">
        <v>0</v>
      </c>
      <c r="Z335" s="1206"/>
      <c r="AA335" s="1206"/>
      <c r="AB335" s="1206"/>
      <c r="AC335" s="1206"/>
      <c r="AD335" s="1206"/>
      <c r="AE335" s="1206"/>
      <c r="AF335" s="1206"/>
      <c r="AG335" s="1206"/>
      <c r="AK335" s="1166"/>
      <c r="BB335" s="1193"/>
    </row>
    <row r="336" spans="1:54" s="1177" customFormat="1" outlineLevel="1" x14ac:dyDescent="0.25">
      <c r="A336" s="1197"/>
      <c r="B336" s="1205"/>
      <c r="C336" s="1194"/>
      <c r="D336" s="2981"/>
      <c r="E336" s="583" t="s">
        <v>1737</v>
      </c>
      <c r="F336" s="1228">
        <f t="shared" si="40"/>
        <v>0</v>
      </c>
      <c r="G336" s="1381" t="s">
        <v>785</v>
      </c>
      <c r="H336" s="1542"/>
      <c r="I336" s="1205"/>
      <c r="J336" s="1205"/>
      <c r="K336" s="1205"/>
      <c r="L336" s="1205"/>
      <c r="M336" s="1205"/>
      <c r="N336" s="1205"/>
      <c r="O336" s="1205"/>
      <c r="P336" s="1205"/>
      <c r="Q336" s="1205"/>
      <c r="R336" s="1205"/>
      <c r="S336" s="1197"/>
      <c r="T336" s="1197"/>
      <c r="U336" s="1197"/>
      <c r="V336" s="2958"/>
      <c r="W336" s="1206">
        <f t="shared" si="41"/>
        <v>0</v>
      </c>
      <c r="X336" s="1206">
        <v>0</v>
      </c>
      <c r="Y336" s="1206">
        <v>0</v>
      </c>
      <c r="Z336" s="1206"/>
      <c r="AA336" s="1206"/>
      <c r="AB336" s="1206"/>
      <c r="AC336" s="1206"/>
      <c r="AD336" s="1206"/>
      <c r="AE336" s="1206"/>
      <c r="AF336" s="1206"/>
      <c r="AG336" s="1206"/>
      <c r="AK336" s="1166"/>
      <c r="BB336" s="1193"/>
    </row>
    <row r="337" spans="1:54" s="1177" customFormat="1" outlineLevel="1" x14ac:dyDescent="0.25">
      <c r="A337" s="1197"/>
      <c r="B337" s="1205"/>
      <c r="C337" s="1194"/>
      <c r="D337" s="2981"/>
      <c r="E337" s="574" t="s">
        <v>1739</v>
      </c>
      <c r="F337" s="1228">
        <f t="shared" si="40"/>
        <v>8.8303143315276264E-2</v>
      </c>
      <c r="G337" s="1381" t="s">
        <v>785</v>
      </c>
      <c r="H337" s="1542"/>
      <c r="I337" s="1205"/>
      <c r="J337" s="1205"/>
      <c r="K337" s="1205"/>
      <c r="L337" s="1205"/>
      <c r="M337" s="1205"/>
      <c r="N337" s="1205"/>
      <c r="O337" s="1205"/>
      <c r="P337" s="1205"/>
      <c r="Q337" s="1205"/>
      <c r="R337" s="1205"/>
      <c r="S337" s="1197"/>
      <c r="T337" s="1197"/>
      <c r="U337" s="1197"/>
      <c r="V337" s="2965"/>
      <c r="W337" s="1206">
        <f t="shared" si="41"/>
        <v>97.663276506695567</v>
      </c>
      <c r="X337" s="1206">
        <v>97.663276506695567</v>
      </c>
      <c r="Y337" s="1206">
        <v>8.8303143315276264E-2</v>
      </c>
      <c r="Z337" s="1206"/>
      <c r="AA337" s="1206"/>
      <c r="AB337" s="1206"/>
      <c r="AC337" s="1206"/>
      <c r="AD337" s="1206"/>
      <c r="AE337" s="1206"/>
      <c r="AF337" s="1206"/>
      <c r="AG337" s="1206"/>
      <c r="AK337" s="1166"/>
      <c r="BB337" s="1193"/>
    </row>
    <row r="338" spans="1:54" s="1177" customFormat="1" outlineLevel="1" x14ac:dyDescent="0.25">
      <c r="A338" s="1197"/>
      <c r="B338" s="1205"/>
      <c r="C338" s="1194"/>
      <c r="D338" s="1709" t="s">
        <v>786</v>
      </c>
      <c r="E338" s="574" t="s">
        <v>637</v>
      </c>
      <c r="F338" s="1231">
        <v>3.1399999999999997E-2</v>
      </c>
      <c r="G338" s="1381" t="s">
        <v>767</v>
      </c>
      <c r="H338" s="1542"/>
      <c r="I338" s="1205"/>
      <c r="J338" s="1205"/>
      <c r="K338" s="1205"/>
      <c r="L338" s="1205"/>
      <c r="M338" s="1205"/>
      <c r="N338" s="1205"/>
      <c r="O338" s="1205"/>
      <c r="P338" s="1205"/>
      <c r="Q338" s="1205"/>
      <c r="R338" s="1205"/>
      <c r="S338" s="1197"/>
      <c r="T338" s="1197"/>
      <c r="U338" s="1197"/>
      <c r="V338" s="1204" t="str">
        <f>D338</f>
        <v>Fe</v>
      </c>
      <c r="W338" s="1207">
        <v>3.1399999999999997E-2</v>
      </c>
      <c r="X338" s="1207">
        <v>3.1399999999999997E-2</v>
      </c>
      <c r="Y338" s="1207">
        <v>3.1399999999999997E-2</v>
      </c>
      <c r="Z338" s="1207"/>
      <c r="AA338" s="1207"/>
      <c r="AB338" s="1207"/>
      <c r="AC338" s="1207"/>
      <c r="AD338" s="1207"/>
      <c r="AE338" s="1207"/>
      <c r="AF338" s="1207"/>
      <c r="AG338" s="1207"/>
      <c r="AK338" s="1166"/>
      <c r="BB338" s="1193"/>
    </row>
    <row r="339" spans="1:54" s="1177" customFormat="1" outlineLevel="1" x14ac:dyDescent="0.25">
      <c r="A339" s="1197"/>
      <c r="B339" s="1205"/>
      <c r="C339" s="1194"/>
      <c r="D339" s="1709" t="s">
        <v>1751</v>
      </c>
      <c r="E339" s="574" t="s">
        <v>637</v>
      </c>
      <c r="F339" s="1541">
        <v>1646</v>
      </c>
      <c r="G339" s="1381" t="s">
        <v>791</v>
      </c>
      <c r="H339" s="1542" t="s">
        <v>1752</v>
      </c>
      <c r="I339" s="1205"/>
      <c r="J339" s="1205"/>
      <c r="K339" s="1205"/>
      <c r="L339" s="1205"/>
      <c r="M339" s="1205"/>
      <c r="N339" s="1205"/>
      <c r="O339" s="1205"/>
      <c r="P339" s="1205"/>
      <c r="Q339" s="1205"/>
      <c r="R339" s="1205"/>
      <c r="S339" s="1197"/>
      <c r="T339" s="1197"/>
      <c r="U339" s="1197"/>
      <c r="V339" s="1204" t="str">
        <f>D339</f>
        <v>CDD</v>
      </c>
      <c r="W339" s="1188">
        <v>1646</v>
      </c>
      <c r="X339" s="1188">
        <v>1646</v>
      </c>
      <c r="Y339" s="1188">
        <v>1646</v>
      </c>
      <c r="Z339" s="1188"/>
      <c r="AA339" s="1188"/>
      <c r="AB339" s="1188"/>
      <c r="AC339" s="1188"/>
      <c r="AD339" s="1188"/>
      <c r="AE339" s="1188"/>
      <c r="AF339" s="1188"/>
      <c r="AG339" s="1188"/>
      <c r="AK339" s="1166"/>
      <c r="BB339" s="1193"/>
    </row>
    <row r="340" spans="1:54" s="1177" customFormat="1" outlineLevel="1" x14ac:dyDescent="0.25">
      <c r="A340" s="1197"/>
      <c r="B340" s="1205"/>
      <c r="C340" s="1194"/>
      <c r="D340" s="1709" t="s">
        <v>1753</v>
      </c>
      <c r="E340" s="574" t="s">
        <v>637</v>
      </c>
      <c r="F340" s="1233">
        <v>0.75</v>
      </c>
      <c r="G340" s="1381" t="s">
        <v>767</v>
      </c>
      <c r="H340" s="1542"/>
      <c r="I340" s="1205"/>
      <c r="J340" s="1205"/>
      <c r="K340" s="1205"/>
      <c r="L340" s="1205"/>
      <c r="M340" s="1205"/>
      <c r="N340" s="1205"/>
      <c r="O340" s="1205"/>
      <c r="P340" s="1205"/>
      <c r="Q340" s="1205"/>
      <c r="R340" s="1205"/>
      <c r="S340" s="1197"/>
      <c r="T340" s="1197"/>
      <c r="U340" s="1197"/>
      <c r="V340" s="1204" t="str">
        <f>D340</f>
        <v>DUA</v>
      </c>
      <c r="W340" s="1202">
        <v>0.75</v>
      </c>
      <c r="X340" s="1202">
        <v>0.75</v>
      </c>
      <c r="Y340" s="1202">
        <v>0.75</v>
      </c>
      <c r="Z340" s="1202"/>
      <c r="AA340" s="1202"/>
      <c r="AB340" s="1202"/>
      <c r="AC340" s="1202"/>
      <c r="AD340" s="1202"/>
      <c r="AE340" s="1202"/>
      <c r="AF340" s="1202"/>
      <c r="AG340" s="1202"/>
      <c r="AK340" s="1166"/>
      <c r="BB340" s="1193"/>
    </row>
    <row r="341" spans="1:54" s="1177" customFormat="1" outlineLevel="1" x14ac:dyDescent="0.25">
      <c r="A341" s="1197"/>
      <c r="B341" s="1205"/>
      <c r="C341" s="1194"/>
      <c r="D341" s="2955" t="s">
        <v>1754</v>
      </c>
      <c r="E341" s="574" t="s">
        <v>1681</v>
      </c>
      <c r="F341" s="1233">
        <v>0.91</v>
      </c>
      <c r="G341" s="1381" t="s">
        <v>767</v>
      </c>
      <c r="H341" s="1542" t="s">
        <v>1755</v>
      </c>
      <c r="I341" s="1205"/>
      <c r="J341" s="1205"/>
      <c r="K341" s="1205"/>
      <c r="L341" s="1205"/>
      <c r="M341" s="1205"/>
      <c r="N341" s="1205"/>
      <c r="O341" s="1205"/>
      <c r="P341" s="1205"/>
      <c r="Q341" s="1205"/>
      <c r="R341" s="1205"/>
      <c r="S341" s="1197"/>
      <c r="T341" s="1197"/>
      <c r="U341" s="1197"/>
      <c r="V341" s="2957" t="str">
        <f>D341</f>
        <v>%cool</v>
      </c>
      <c r="W341" s="1202">
        <v>0.91</v>
      </c>
      <c r="X341" s="1202">
        <v>0.91</v>
      </c>
      <c r="Y341" s="1202">
        <v>0.91</v>
      </c>
      <c r="Z341" s="1202"/>
      <c r="AA341" s="1202"/>
      <c r="AB341" s="1202"/>
      <c r="AC341" s="1202"/>
      <c r="AD341" s="1202"/>
      <c r="AE341" s="1202"/>
      <c r="AF341" s="1202"/>
      <c r="AG341" s="1202"/>
      <c r="AK341" s="1166"/>
      <c r="BB341" s="1193"/>
    </row>
    <row r="342" spans="1:54" s="1177" customFormat="1" outlineLevel="1" x14ac:dyDescent="0.25">
      <c r="A342" s="1197"/>
      <c r="B342" s="1205"/>
      <c r="C342" s="1194"/>
      <c r="D342" s="2956"/>
      <c r="E342" s="574" t="s">
        <v>1683</v>
      </c>
      <c r="F342" s="1233">
        <v>1</v>
      </c>
      <c r="G342" s="1381" t="s">
        <v>767</v>
      </c>
      <c r="H342" s="1542" t="s">
        <v>1756</v>
      </c>
      <c r="I342" s="1205"/>
      <c r="J342" s="1205"/>
      <c r="K342" s="1205"/>
      <c r="L342" s="1205"/>
      <c r="M342" s="1205"/>
      <c r="N342" s="1205"/>
      <c r="O342" s="1205"/>
      <c r="P342" s="1205"/>
      <c r="Q342" s="1205"/>
      <c r="R342" s="1205"/>
      <c r="S342" s="1197"/>
      <c r="T342" s="1197"/>
      <c r="U342" s="1197"/>
      <c r="V342" s="2958"/>
      <c r="W342" s="1202">
        <v>1</v>
      </c>
      <c r="X342" s="1202">
        <v>1</v>
      </c>
      <c r="Y342" s="1202">
        <v>1</v>
      </c>
      <c r="Z342" s="1202"/>
      <c r="AA342" s="1202"/>
      <c r="AB342" s="1202"/>
      <c r="AC342" s="1202"/>
      <c r="AD342" s="1202"/>
      <c r="AE342" s="1202"/>
      <c r="AF342" s="1202"/>
      <c r="AG342" s="1202"/>
      <c r="AK342" s="1166"/>
      <c r="BB342" s="1193"/>
    </row>
    <row r="343" spans="1:54" s="1177" customFormat="1" outlineLevel="1" x14ac:dyDescent="0.25">
      <c r="A343" s="1197"/>
      <c r="B343" s="1205"/>
      <c r="C343" s="1194"/>
      <c r="D343" s="2956"/>
      <c r="E343" s="574" t="s">
        <v>1685</v>
      </c>
      <c r="F343" s="1233">
        <v>0.91</v>
      </c>
      <c r="G343" s="1381" t="s">
        <v>767</v>
      </c>
      <c r="H343" s="1542" t="s">
        <v>1755</v>
      </c>
      <c r="I343" s="1205"/>
      <c r="J343" s="1205"/>
      <c r="K343" s="1205"/>
      <c r="L343" s="1205"/>
      <c r="M343" s="1205"/>
      <c r="N343" s="1205"/>
      <c r="O343" s="1205"/>
      <c r="P343" s="1205"/>
      <c r="Q343" s="1205"/>
      <c r="R343" s="1205"/>
      <c r="S343" s="1197"/>
      <c r="T343" s="1197"/>
      <c r="U343" s="1197"/>
      <c r="V343" s="2958"/>
      <c r="W343" s="1202">
        <v>0.91</v>
      </c>
      <c r="X343" s="1202">
        <v>0.91</v>
      </c>
      <c r="Y343" s="1202">
        <v>0.91</v>
      </c>
      <c r="Z343" s="1202"/>
      <c r="AA343" s="1202"/>
      <c r="AB343" s="1202"/>
      <c r="AC343" s="1202"/>
      <c r="AD343" s="1202"/>
      <c r="AE343" s="1202"/>
      <c r="AF343" s="1202"/>
      <c r="AG343" s="1202"/>
      <c r="AK343" s="1166"/>
      <c r="BB343" s="1193"/>
    </row>
    <row r="344" spans="1:54" s="1177" customFormat="1" outlineLevel="1" x14ac:dyDescent="0.25">
      <c r="A344" s="1197"/>
      <c r="B344" s="1205"/>
      <c r="C344" s="1194"/>
      <c r="D344" s="2956"/>
      <c r="E344" s="574" t="s">
        <v>1687</v>
      </c>
      <c r="F344" s="1233">
        <v>0.91</v>
      </c>
      <c r="G344" s="1381" t="s">
        <v>767</v>
      </c>
      <c r="H344" s="1542" t="s">
        <v>1755</v>
      </c>
      <c r="I344" s="1205"/>
      <c r="J344" s="1205"/>
      <c r="K344" s="1205"/>
      <c r="L344" s="1205"/>
      <c r="M344" s="1205"/>
      <c r="N344" s="1205"/>
      <c r="O344" s="1205"/>
      <c r="P344" s="1205"/>
      <c r="Q344" s="1205"/>
      <c r="R344" s="1205"/>
      <c r="S344" s="1197"/>
      <c r="T344" s="1197"/>
      <c r="U344" s="1197"/>
      <c r="V344" s="2958"/>
      <c r="W344" s="1202">
        <v>0.91</v>
      </c>
      <c r="X344" s="1202">
        <v>0.91</v>
      </c>
      <c r="Y344" s="1202">
        <v>0.91</v>
      </c>
      <c r="Z344" s="1202"/>
      <c r="AA344" s="1202"/>
      <c r="AB344" s="1202"/>
      <c r="AC344" s="1202"/>
      <c r="AD344" s="1202"/>
      <c r="AE344" s="1202"/>
      <c r="AF344" s="1202"/>
      <c r="AG344" s="1202"/>
      <c r="AK344" s="1166"/>
      <c r="BB344" s="1193"/>
    </row>
    <row r="345" spans="1:54" s="1177" customFormat="1" outlineLevel="1" x14ac:dyDescent="0.25">
      <c r="A345" s="1197"/>
      <c r="B345" s="1205"/>
      <c r="C345" s="1194"/>
      <c r="D345" s="2956"/>
      <c r="E345" s="574" t="s">
        <v>1689</v>
      </c>
      <c r="F345" s="1233">
        <v>1</v>
      </c>
      <c r="G345" s="1381" t="s">
        <v>767</v>
      </c>
      <c r="H345" s="1542" t="s">
        <v>1756</v>
      </c>
      <c r="I345" s="1205"/>
      <c r="J345" s="1205"/>
      <c r="K345" s="1205"/>
      <c r="L345" s="1205"/>
      <c r="M345" s="1205"/>
      <c r="N345" s="1205"/>
      <c r="O345" s="1205"/>
      <c r="P345" s="1205"/>
      <c r="Q345" s="1205"/>
      <c r="R345" s="1205"/>
      <c r="S345" s="1197"/>
      <c r="T345" s="1197"/>
      <c r="U345" s="1197"/>
      <c r="V345" s="2958"/>
      <c r="W345" s="1202">
        <v>1</v>
      </c>
      <c r="X345" s="1202">
        <v>1</v>
      </c>
      <c r="Y345" s="1202">
        <v>1</v>
      </c>
      <c r="Z345" s="1202"/>
      <c r="AA345" s="1202"/>
      <c r="AB345" s="1202"/>
      <c r="AC345" s="1202"/>
      <c r="AD345" s="1202"/>
      <c r="AE345" s="1202"/>
      <c r="AF345" s="1202"/>
      <c r="AG345" s="1202"/>
      <c r="AK345" s="1166"/>
      <c r="BB345" s="1193"/>
    </row>
    <row r="346" spans="1:54" s="1177" customFormat="1" outlineLevel="1" x14ac:dyDescent="0.25">
      <c r="A346" s="1197"/>
      <c r="B346" s="1205"/>
      <c r="C346" s="1194"/>
      <c r="D346" s="2956"/>
      <c r="E346" s="574" t="s">
        <v>1691</v>
      </c>
      <c r="F346" s="1233">
        <v>0.91</v>
      </c>
      <c r="G346" s="1381" t="s">
        <v>767</v>
      </c>
      <c r="H346" s="1542" t="s">
        <v>1755</v>
      </c>
      <c r="I346" s="1205"/>
      <c r="J346" s="1205"/>
      <c r="K346" s="1205"/>
      <c r="L346" s="1205"/>
      <c r="M346" s="1205"/>
      <c r="N346" s="1205"/>
      <c r="O346" s="1205"/>
      <c r="P346" s="1205"/>
      <c r="Q346" s="1205"/>
      <c r="R346" s="1205"/>
      <c r="S346" s="1197"/>
      <c r="T346" s="1197"/>
      <c r="U346" s="1197"/>
      <c r="V346" s="2958"/>
      <c r="W346" s="1202">
        <v>0.91</v>
      </c>
      <c r="X346" s="1202">
        <v>0.91</v>
      </c>
      <c r="Y346" s="1202">
        <v>0.91</v>
      </c>
      <c r="Z346" s="1202"/>
      <c r="AA346" s="1202"/>
      <c r="AB346" s="1202"/>
      <c r="AC346" s="1202"/>
      <c r="AD346" s="1202"/>
      <c r="AE346" s="1202"/>
      <c r="AF346" s="1202"/>
      <c r="AG346" s="1202"/>
      <c r="AK346" s="1166"/>
      <c r="BB346" s="1193"/>
    </row>
    <row r="347" spans="1:54" s="1177" customFormat="1" outlineLevel="1" x14ac:dyDescent="0.25">
      <c r="A347" s="1197"/>
      <c r="B347" s="1205"/>
      <c r="C347" s="1194"/>
      <c r="D347" s="2956"/>
      <c r="E347" s="574" t="s">
        <v>1693</v>
      </c>
      <c r="F347" s="1233">
        <v>0.91</v>
      </c>
      <c r="G347" s="1381" t="s">
        <v>767</v>
      </c>
      <c r="H347" s="1542" t="s">
        <v>1755</v>
      </c>
      <c r="I347" s="1205"/>
      <c r="J347" s="1205"/>
      <c r="K347" s="1205"/>
      <c r="L347" s="1205"/>
      <c r="M347" s="1205"/>
      <c r="N347" s="1205"/>
      <c r="O347" s="1205"/>
      <c r="P347" s="1205"/>
      <c r="Q347" s="1205"/>
      <c r="R347" s="1205"/>
      <c r="S347" s="1197"/>
      <c r="T347" s="1197"/>
      <c r="U347" s="1197"/>
      <c r="V347" s="2958"/>
      <c r="W347" s="1202">
        <v>0.91</v>
      </c>
      <c r="X347" s="1202">
        <v>0.91</v>
      </c>
      <c r="Y347" s="1202">
        <v>0.91</v>
      </c>
      <c r="Z347" s="1202"/>
      <c r="AA347" s="1202"/>
      <c r="AB347" s="1202"/>
      <c r="AC347" s="1202"/>
      <c r="AD347" s="1202"/>
      <c r="AE347" s="1202"/>
      <c r="AF347" s="1202"/>
      <c r="AG347" s="1202"/>
      <c r="AK347" s="1166"/>
      <c r="BB347" s="1193"/>
    </row>
    <row r="348" spans="1:54" s="1177" customFormat="1" outlineLevel="1" x14ac:dyDescent="0.25">
      <c r="A348" s="1197"/>
      <c r="B348" s="1205"/>
      <c r="C348" s="1194"/>
      <c r="D348" s="2956"/>
      <c r="E348" s="574" t="s">
        <v>1695</v>
      </c>
      <c r="F348" s="1233">
        <v>1</v>
      </c>
      <c r="G348" s="1381" t="s">
        <v>767</v>
      </c>
      <c r="H348" s="1542" t="s">
        <v>1756</v>
      </c>
      <c r="I348" s="1205"/>
      <c r="J348" s="1205"/>
      <c r="K348" s="1205"/>
      <c r="L348" s="1205"/>
      <c r="M348" s="1205"/>
      <c r="N348" s="1205"/>
      <c r="O348" s="1205"/>
      <c r="P348" s="1205"/>
      <c r="Q348" s="1205"/>
      <c r="R348" s="1205"/>
      <c r="S348" s="1197"/>
      <c r="T348" s="1197"/>
      <c r="U348" s="1197"/>
      <c r="V348" s="2958"/>
      <c r="W348" s="1202">
        <v>1</v>
      </c>
      <c r="X348" s="1202">
        <v>1</v>
      </c>
      <c r="Y348" s="1202">
        <v>1</v>
      </c>
      <c r="Z348" s="1202"/>
      <c r="AA348" s="1202"/>
      <c r="AB348" s="1202"/>
      <c r="AC348" s="1202"/>
      <c r="AD348" s="1202"/>
      <c r="AE348" s="1202"/>
      <c r="AF348" s="1202"/>
      <c r="AG348" s="1202"/>
      <c r="AK348" s="1166"/>
      <c r="BB348" s="1193"/>
    </row>
    <row r="349" spans="1:54" s="1177" customFormat="1" outlineLevel="1" x14ac:dyDescent="0.25">
      <c r="A349" s="1197"/>
      <c r="B349" s="1205"/>
      <c r="C349" s="1194"/>
      <c r="D349" s="2956"/>
      <c r="E349" s="583" t="s">
        <v>1697</v>
      </c>
      <c r="F349" s="1233">
        <v>0.91</v>
      </c>
      <c r="G349" s="1381" t="s">
        <v>767</v>
      </c>
      <c r="H349" s="1542" t="s">
        <v>1755</v>
      </c>
      <c r="I349" s="1205"/>
      <c r="J349" s="1205"/>
      <c r="K349" s="1205"/>
      <c r="L349" s="1205"/>
      <c r="M349" s="1205"/>
      <c r="N349" s="1205"/>
      <c r="O349" s="1205"/>
      <c r="P349" s="1205"/>
      <c r="Q349" s="1205"/>
      <c r="R349" s="1205"/>
      <c r="S349" s="1197"/>
      <c r="T349" s="1197"/>
      <c r="U349" s="1197"/>
      <c r="V349" s="2958"/>
      <c r="W349" s="1202">
        <v>0.91</v>
      </c>
      <c r="X349" s="1202">
        <v>0.91</v>
      </c>
      <c r="Y349" s="1202">
        <v>0.91</v>
      </c>
      <c r="Z349" s="1202"/>
      <c r="AA349" s="1202"/>
      <c r="AB349" s="1202"/>
      <c r="AC349" s="1202"/>
      <c r="AD349" s="1202"/>
      <c r="AE349" s="1202"/>
      <c r="AF349" s="1202"/>
      <c r="AG349" s="1202"/>
      <c r="AK349" s="1166"/>
      <c r="BB349" s="1193"/>
    </row>
    <row r="350" spans="1:54" s="1177" customFormat="1" outlineLevel="1" x14ac:dyDescent="0.25">
      <c r="A350" s="1197"/>
      <c r="B350" s="1205"/>
      <c r="C350" s="1194"/>
      <c r="D350" s="2956"/>
      <c r="E350" s="574" t="s">
        <v>1699</v>
      </c>
      <c r="F350" s="1233">
        <v>0.91</v>
      </c>
      <c r="G350" s="1381" t="s">
        <v>767</v>
      </c>
      <c r="H350" s="1542" t="s">
        <v>1755</v>
      </c>
      <c r="I350" s="1205"/>
      <c r="J350" s="1205"/>
      <c r="K350" s="1205"/>
      <c r="L350" s="1205"/>
      <c r="M350" s="1205"/>
      <c r="N350" s="1205"/>
      <c r="O350" s="1205"/>
      <c r="P350" s="1205"/>
      <c r="Q350" s="1205"/>
      <c r="R350" s="1205"/>
      <c r="S350" s="1197"/>
      <c r="T350" s="1197"/>
      <c r="U350" s="1197"/>
      <c r="V350" s="2958"/>
      <c r="W350" s="1202">
        <v>0.91</v>
      </c>
      <c r="X350" s="1202">
        <v>0.91</v>
      </c>
      <c r="Y350" s="1202">
        <v>0.91</v>
      </c>
      <c r="Z350" s="1202"/>
      <c r="AA350" s="1202"/>
      <c r="AB350" s="1202"/>
      <c r="AC350" s="1202"/>
      <c r="AD350" s="1202"/>
      <c r="AE350" s="1202"/>
      <c r="AF350" s="1202"/>
      <c r="AG350" s="1202"/>
      <c r="AK350" s="1166"/>
      <c r="BB350" s="1193"/>
    </row>
    <row r="351" spans="1:54" s="1177" customFormat="1" outlineLevel="1" x14ac:dyDescent="0.25">
      <c r="A351" s="1197"/>
      <c r="B351" s="1205"/>
      <c r="C351" s="1194"/>
      <c r="D351" s="2956"/>
      <c r="E351" s="574" t="s">
        <v>1701</v>
      </c>
      <c r="F351" s="1233">
        <v>1</v>
      </c>
      <c r="G351" s="1381" t="s">
        <v>767</v>
      </c>
      <c r="H351" s="1542" t="s">
        <v>1756</v>
      </c>
      <c r="I351" s="1205"/>
      <c r="J351" s="1205"/>
      <c r="K351" s="1205"/>
      <c r="L351" s="1205"/>
      <c r="M351" s="1205"/>
      <c r="N351" s="1205"/>
      <c r="O351" s="1205"/>
      <c r="P351" s="1205"/>
      <c r="Q351" s="1205"/>
      <c r="R351" s="1205"/>
      <c r="S351" s="1197"/>
      <c r="T351" s="1197"/>
      <c r="U351" s="1197"/>
      <c r="V351" s="2958"/>
      <c r="W351" s="1202">
        <v>1</v>
      </c>
      <c r="X351" s="1202">
        <v>1</v>
      </c>
      <c r="Y351" s="1202">
        <v>1</v>
      </c>
      <c r="Z351" s="1202"/>
      <c r="AA351" s="1202"/>
      <c r="AB351" s="1202"/>
      <c r="AC351" s="1202"/>
      <c r="AD351" s="1202"/>
      <c r="AE351" s="1202"/>
      <c r="AF351" s="1202"/>
      <c r="AG351" s="1202"/>
      <c r="AK351" s="1166"/>
      <c r="BB351" s="1193"/>
    </row>
    <row r="352" spans="1:54" s="1177" customFormat="1" outlineLevel="1" x14ac:dyDescent="0.25">
      <c r="A352" s="1197"/>
      <c r="B352" s="1205"/>
      <c r="C352" s="1194"/>
      <c r="D352" s="2956"/>
      <c r="E352" s="2146" t="s">
        <v>1703</v>
      </c>
      <c r="F352" s="1233">
        <v>0.91</v>
      </c>
      <c r="G352" s="1381" t="s">
        <v>767</v>
      </c>
      <c r="H352" s="1542" t="s">
        <v>1755</v>
      </c>
      <c r="I352" s="1205"/>
      <c r="J352" s="1205"/>
      <c r="K352" s="1205"/>
      <c r="L352" s="1205"/>
      <c r="M352" s="1205"/>
      <c r="N352" s="1205"/>
      <c r="O352" s="1205"/>
      <c r="P352" s="1205"/>
      <c r="Q352" s="1205"/>
      <c r="R352" s="1205"/>
      <c r="S352" s="1197"/>
      <c r="T352" s="1197"/>
      <c r="U352" s="1197"/>
      <c r="V352" s="2958"/>
      <c r="W352" s="1202">
        <v>0.91</v>
      </c>
      <c r="X352" s="1202">
        <v>0.91</v>
      </c>
      <c r="Y352" s="1202">
        <v>0.91</v>
      </c>
      <c r="Z352" s="1202"/>
      <c r="AA352" s="1202"/>
      <c r="AB352" s="1202"/>
      <c r="AC352" s="1202"/>
      <c r="AD352" s="1202"/>
      <c r="AE352" s="1202"/>
      <c r="AF352" s="1202"/>
      <c r="AG352" s="1202"/>
      <c r="AK352" s="1166"/>
      <c r="BB352" s="1193"/>
    </row>
    <row r="353" spans="1:54" s="1177" customFormat="1" outlineLevel="1" x14ac:dyDescent="0.25">
      <c r="A353" s="1197"/>
      <c r="B353" s="1205"/>
      <c r="C353" s="1194"/>
      <c r="D353" s="2956"/>
      <c r="E353" s="574" t="s">
        <v>1705</v>
      </c>
      <c r="F353" s="1233">
        <v>0.91</v>
      </c>
      <c r="G353" s="1381" t="s">
        <v>767</v>
      </c>
      <c r="H353" s="1542" t="s">
        <v>1755</v>
      </c>
      <c r="I353" s="1205"/>
      <c r="J353" s="1205"/>
      <c r="K353" s="1205"/>
      <c r="L353" s="1205"/>
      <c r="M353" s="1205"/>
      <c r="N353" s="1205"/>
      <c r="O353" s="1205"/>
      <c r="P353" s="1205"/>
      <c r="Q353" s="1205"/>
      <c r="R353" s="1205"/>
      <c r="S353" s="1197"/>
      <c r="T353" s="1197"/>
      <c r="U353" s="1197"/>
      <c r="V353" s="2958"/>
      <c r="W353" s="1202">
        <v>0.91</v>
      </c>
      <c r="X353" s="1202">
        <v>0.91</v>
      </c>
      <c r="Y353" s="1202">
        <v>0.91</v>
      </c>
      <c r="Z353" s="1202"/>
      <c r="AA353" s="1202"/>
      <c r="AB353" s="1202"/>
      <c r="AC353" s="1202"/>
      <c r="AD353" s="1202"/>
      <c r="AE353" s="1202"/>
      <c r="AF353" s="1202"/>
      <c r="AG353" s="1202"/>
      <c r="AK353" s="1166"/>
      <c r="BB353" s="1193"/>
    </row>
    <row r="354" spans="1:54" s="1177" customFormat="1" outlineLevel="1" x14ac:dyDescent="0.25">
      <c r="A354" s="1197"/>
      <c r="B354" s="1205"/>
      <c r="C354" s="1194"/>
      <c r="D354" s="2956"/>
      <c r="E354" s="574" t="s">
        <v>1707</v>
      </c>
      <c r="F354" s="1233">
        <v>1</v>
      </c>
      <c r="G354" s="1381" t="s">
        <v>767</v>
      </c>
      <c r="H354" s="1542" t="s">
        <v>1756</v>
      </c>
      <c r="I354" s="1205"/>
      <c r="J354" s="1205"/>
      <c r="K354" s="1205"/>
      <c r="L354" s="1205"/>
      <c r="M354" s="1205"/>
      <c r="N354" s="1205"/>
      <c r="O354" s="1205"/>
      <c r="P354" s="1205"/>
      <c r="Q354" s="1205"/>
      <c r="R354" s="1205"/>
      <c r="S354" s="1197"/>
      <c r="T354" s="1197"/>
      <c r="U354" s="1197"/>
      <c r="V354" s="2958"/>
      <c r="W354" s="1202">
        <v>1</v>
      </c>
      <c r="X354" s="1202">
        <v>1</v>
      </c>
      <c r="Y354" s="1202">
        <v>1</v>
      </c>
      <c r="Z354" s="1202"/>
      <c r="AA354" s="1202"/>
      <c r="AB354" s="1202"/>
      <c r="AC354" s="1202"/>
      <c r="AD354" s="1202"/>
      <c r="AE354" s="1202"/>
      <c r="AF354" s="1202"/>
      <c r="AG354" s="1202"/>
      <c r="AK354" s="1166"/>
      <c r="BB354" s="1193"/>
    </row>
    <row r="355" spans="1:54" s="1177" customFormat="1" outlineLevel="1" x14ac:dyDescent="0.25">
      <c r="A355" s="1197"/>
      <c r="B355" s="1205"/>
      <c r="C355" s="1194"/>
      <c r="D355" s="2956"/>
      <c r="E355" s="583" t="s">
        <v>1709</v>
      </c>
      <c r="F355" s="1233">
        <v>0.91</v>
      </c>
      <c r="G355" s="1381" t="s">
        <v>767</v>
      </c>
      <c r="H355" s="1542" t="s">
        <v>1755</v>
      </c>
      <c r="I355" s="1205"/>
      <c r="J355" s="1205"/>
      <c r="K355" s="1205"/>
      <c r="L355" s="1205"/>
      <c r="M355" s="1205"/>
      <c r="N355" s="1205"/>
      <c r="O355" s="1205"/>
      <c r="P355" s="1205"/>
      <c r="Q355" s="1205"/>
      <c r="R355" s="1205"/>
      <c r="S355" s="1197"/>
      <c r="T355" s="1197"/>
      <c r="U355" s="1197"/>
      <c r="V355" s="2958"/>
      <c r="W355" s="1202">
        <v>0.91</v>
      </c>
      <c r="X355" s="1202">
        <v>0.91</v>
      </c>
      <c r="Y355" s="1202">
        <v>0.91</v>
      </c>
      <c r="Z355" s="1202"/>
      <c r="AA355" s="1202"/>
      <c r="AB355" s="1202"/>
      <c r="AC355" s="1202"/>
      <c r="AD355" s="1202"/>
      <c r="AE355" s="1202"/>
      <c r="AF355" s="1202"/>
      <c r="AG355" s="1202"/>
      <c r="AK355" s="1166"/>
      <c r="BB355" s="1193"/>
    </row>
    <row r="356" spans="1:54" s="1177" customFormat="1" outlineLevel="1" x14ac:dyDescent="0.25">
      <c r="A356" s="1197"/>
      <c r="B356" s="1205"/>
      <c r="C356" s="1194"/>
      <c r="D356" s="2956"/>
      <c r="E356" s="574" t="s">
        <v>1711</v>
      </c>
      <c r="F356" s="1233">
        <v>0.91</v>
      </c>
      <c r="G356" s="1381" t="s">
        <v>767</v>
      </c>
      <c r="H356" s="1542" t="s">
        <v>1755</v>
      </c>
      <c r="I356" s="1205"/>
      <c r="J356" s="1205"/>
      <c r="K356" s="1205"/>
      <c r="L356" s="1205"/>
      <c r="M356" s="1205"/>
      <c r="N356" s="1205"/>
      <c r="O356" s="1205"/>
      <c r="P356" s="1205"/>
      <c r="Q356" s="1205"/>
      <c r="R356" s="1205"/>
      <c r="S356" s="1197"/>
      <c r="T356" s="1197"/>
      <c r="U356" s="1197"/>
      <c r="V356" s="2958"/>
      <c r="W356" s="1202">
        <v>0.91</v>
      </c>
      <c r="X356" s="1202">
        <v>0.91</v>
      </c>
      <c r="Y356" s="1202">
        <v>0.91</v>
      </c>
      <c r="Z356" s="1202"/>
      <c r="AA356" s="1202"/>
      <c r="AB356" s="1202"/>
      <c r="AC356" s="1202"/>
      <c r="AD356" s="1202"/>
      <c r="AE356" s="1202"/>
      <c r="AF356" s="1202"/>
      <c r="AG356" s="1202"/>
      <c r="AK356" s="1166"/>
      <c r="BB356" s="1193"/>
    </row>
    <row r="357" spans="1:54" s="1177" customFormat="1" outlineLevel="1" x14ac:dyDescent="0.25">
      <c r="A357" s="1197"/>
      <c r="B357" s="1205"/>
      <c r="C357" s="1194"/>
      <c r="D357" s="2956"/>
      <c r="E357" s="574" t="s">
        <v>1713</v>
      </c>
      <c r="F357" s="1233">
        <v>1</v>
      </c>
      <c r="G357" s="1381" t="s">
        <v>767</v>
      </c>
      <c r="H357" s="1542" t="s">
        <v>1756</v>
      </c>
      <c r="I357" s="1205"/>
      <c r="J357" s="1205"/>
      <c r="K357" s="1205"/>
      <c r="L357" s="1205"/>
      <c r="M357" s="1205"/>
      <c r="N357" s="1205"/>
      <c r="O357" s="1205"/>
      <c r="P357" s="1205"/>
      <c r="Q357" s="1205"/>
      <c r="R357" s="1205"/>
      <c r="S357" s="1197"/>
      <c r="T357" s="1197"/>
      <c r="U357" s="1197"/>
      <c r="V357" s="2958"/>
      <c r="W357" s="1202">
        <v>1</v>
      </c>
      <c r="X357" s="1202">
        <v>1</v>
      </c>
      <c r="Y357" s="1202">
        <v>1</v>
      </c>
      <c r="Z357" s="1202"/>
      <c r="AA357" s="1202"/>
      <c r="AB357" s="1202"/>
      <c r="AC357" s="1202"/>
      <c r="AD357" s="1202"/>
      <c r="AE357" s="1202"/>
      <c r="AF357" s="1202"/>
      <c r="AG357" s="1202"/>
      <c r="AK357" s="1166"/>
      <c r="BB357" s="1193"/>
    </row>
    <row r="358" spans="1:54" s="1177" customFormat="1" outlineLevel="1" x14ac:dyDescent="0.25">
      <c r="A358" s="1197"/>
      <c r="B358" s="1205"/>
      <c r="C358" s="1194"/>
      <c r="D358" s="2956"/>
      <c r="E358" s="2146" t="s">
        <v>1715</v>
      </c>
      <c r="F358" s="1233">
        <v>0.91</v>
      </c>
      <c r="G358" s="1381" t="s">
        <v>767</v>
      </c>
      <c r="H358" s="1542" t="s">
        <v>1755</v>
      </c>
      <c r="I358" s="1205"/>
      <c r="J358" s="1205"/>
      <c r="K358" s="1205"/>
      <c r="L358" s="1205"/>
      <c r="M358" s="1205"/>
      <c r="N358" s="1205"/>
      <c r="O358" s="1205"/>
      <c r="P358" s="1205"/>
      <c r="Q358" s="1205"/>
      <c r="R358" s="1205"/>
      <c r="S358" s="1197"/>
      <c r="T358" s="1197"/>
      <c r="U358" s="1197"/>
      <c r="V358" s="2958"/>
      <c r="W358" s="1202">
        <v>0.91</v>
      </c>
      <c r="X358" s="1202">
        <v>0.91</v>
      </c>
      <c r="Y358" s="1202">
        <v>0.91</v>
      </c>
      <c r="Z358" s="1202"/>
      <c r="AA358" s="1202"/>
      <c r="AB358" s="1202"/>
      <c r="AC358" s="1202"/>
      <c r="AD358" s="1202"/>
      <c r="AE358" s="1202"/>
      <c r="AF358" s="1202"/>
      <c r="AG358" s="1202"/>
      <c r="AK358" s="1166"/>
      <c r="BB358" s="1193"/>
    </row>
    <row r="359" spans="1:54" s="1177" customFormat="1" outlineLevel="1" x14ac:dyDescent="0.25">
      <c r="A359" s="1197"/>
      <c r="B359" s="1205"/>
      <c r="C359" s="1194"/>
      <c r="D359" s="2956"/>
      <c r="E359" s="574" t="s">
        <v>1717</v>
      </c>
      <c r="F359" s="1233">
        <v>0.91</v>
      </c>
      <c r="G359" s="1381" t="s">
        <v>767</v>
      </c>
      <c r="H359" s="1542" t="s">
        <v>1755</v>
      </c>
      <c r="I359" s="1205"/>
      <c r="J359" s="1205"/>
      <c r="K359" s="1205"/>
      <c r="L359" s="1205"/>
      <c r="M359" s="1205"/>
      <c r="N359" s="1205"/>
      <c r="O359" s="1205"/>
      <c r="P359" s="1205"/>
      <c r="Q359" s="1205"/>
      <c r="R359" s="1205"/>
      <c r="S359" s="1197"/>
      <c r="T359" s="1197"/>
      <c r="U359" s="1197"/>
      <c r="V359" s="2958"/>
      <c r="W359" s="1202">
        <v>0.91</v>
      </c>
      <c r="X359" s="1202">
        <v>0.91</v>
      </c>
      <c r="Y359" s="1202">
        <v>0.91</v>
      </c>
      <c r="Z359" s="1202"/>
      <c r="AA359" s="1202"/>
      <c r="AB359" s="1202"/>
      <c r="AC359" s="1202"/>
      <c r="AD359" s="1202"/>
      <c r="AE359" s="1202"/>
      <c r="AF359" s="1202"/>
      <c r="AG359" s="1202"/>
      <c r="AK359" s="1166"/>
      <c r="BB359" s="1193"/>
    </row>
    <row r="360" spans="1:54" s="1177" customFormat="1" outlineLevel="1" x14ac:dyDescent="0.25">
      <c r="A360" s="1197"/>
      <c r="B360" s="1205"/>
      <c r="C360" s="1194"/>
      <c r="D360" s="2956"/>
      <c r="E360" s="574" t="s">
        <v>1719</v>
      </c>
      <c r="F360" s="1233">
        <v>1</v>
      </c>
      <c r="G360" s="1381" t="s">
        <v>767</v>
      </c>
      <c r="H360" s="1542" t="s">
        <v>1756</v>
      </c>
      <c r="I360" s="1205"/>
      <c r="J360" s="1205"/>
      <c r="K360" s="1205"/>
      <c r="L360" s="1205"/>
      <c r="M360" s="1205"/>
      <c r="N360" s="1205"/>
      <c r="O360" s="1205"/>
      <c r="P360" s="1205"/>
      <c r="Q360" s="1205"/>
      <c r="R360" s="1205"/>
      <c r="S360" s="1197"/>
      <c r="T360" s="1197"/>
      <c r="U360" s="1197"/>
      <c r="V360" s="2958"/>
      <c r="W360" s="1202">
        <v>1</v>
      </c>
      <c r="X360" s="1202">
        <v>1</v>
      </c>
      <c r="Y360" s="1202">
        <v>1</v>
      </c>
      <c r="Z360" s="1202"/>
      <c r="AA360" s="1202"/>
      <c r="AB360" s="1202"/>
      <c r="AC360" s="1202"/>
      <c r="AD360" s="1202"/>
      <c r="AE360" s="1202"/>
      <c r="AF360" s="1202"/>
      <c r="AG360" s="1202"/>
      <c r="AK360" s="1166"/>
      <c r="BB360" s="1193"/>
    </row>
    <row r="361" spans="1:54" s="1177" customFormat="1" outlineLevel="1" x14ac:dyDescent="0.25">
      <c r="A361" s="1197"/>
      <c r="B361" s="1205"/>
      <c r="C361" s="1194"/>
      <c r="D361" s="2956"/>
      <c r="E361" s="583" t="s">
        <v>1721</v>
      </c>
      <c r="F361" s="1233">
        <v>0.91</v>
      </c>
      <c r="G361" s="1381" t="s">
        <v>767</v>
      </c>
      <c r="H361" s="1542" t="s">
        <v>1755</v>
      </c>
      <c r="I361" s="1205"/>
      <c r="J361" s="1205"/>
      <c r="K361" s="1205"/>
      <c r="L361" s="1205"/>
      <c r="M361" s="1205"/>
      <c r="N361" s="1205"/>
      <c r="O361" s="1205"/>
      <c r="P361" s="1205"/>
      <c r="Q361" s="1205"/>
      <c r="R361" s="1205"/>
      <c r="S361" s="1197"/>
      <c r="T361" s="1197"/>
      <c r="U361" s="1197"/>
      <c r="V361" s="2958"/>
      <c r="W361" s="1202">
        <v>0.91</v>
      </c>
      <c r="X361" s="1202">
        <v>0.91</v>
      </c>
      <c r="Y361" s="1202">
        <v>0.91</v>
      </c>
      <c r="Z361" s="1202"/>
      <c r="AA361" s="1202"/>
      <c r="AB361" s="1202"/>
      <c r="AC361" s="1202"/>
      <c r="AD361" s="1202"/>
      <c r="AE361" s="1202"/>
      <c r="AF361" s="1202"/>
      <c r="AG361" s="1202"/>
      <c r="AK361" s="1166"/>
      <c r="BB361" s="1193"/>
    </row>
    <row r="362" spans="1:54" s="1177" customFormat="1" outlineLevel="1" x14ac:dyDescent="0.25">
      <c r="A362" s="1197"/>
      <c r="B362" s="1205"/>
      <c r="C362" s="1194"/>
      <c r="D362" s="2956"/>
      <c r="E362" s="574" t="s">
        <v>1723</v>
      </c>
      <c r="F362" s="1233">
        <v>0.91</v>
      </c>
      <c r="G362" s="1381" t="s">
        <v>767</v>
      </c>
      <c r="H362" s="1542" t="s">
        <v>1755</v>
      </c>
      <c r="I362" s="1205"/>
      <c r="J362" s="1205"/>
      <c r="K362" s="1205"/>
      <c r="L362" s="1205"/>
      <c r="M362" s="1205"/>
      <c r="N362" s="1205"/>
      <c r="O362" s="1205"/>
      <c r="P362" s="1205"/>
      <c r="Q362" s="1205"/>
      <c r="R362" s="1205"/>
      <c r="S362" s="1197"/>
      <c r="T362" s="1197"/>
      <c r="U362" s="1197"/>
      <c r="V362" s="2958"/>
      <c r="W362" s="1202">
        <v>0.91</v>
      </c>
      <c r="X362" s="1202">
        <v>0.91</v>
      </c>
      <c r="Y362" s="1202">
        <v>0.91</v>
      </c>
      <c r="Z362" s="1202"/>
      <c r="AA362" s="1202"/>
      <c r="AB362" s="1202"/>
      <c r="AC362" s="1202"/>
      <c r="AD362" s="1202"/>
      <c r="AE362" s="1202"/>
      <c r="AF362" s="1202"/>
      <c r="AG362" s="1202"/>
      <c r="AK362" s="1166"/>
      <c r="BB362" s="1193"/>
    </row>
    <row r="363" spans="1:54" s="1177" customFormat="1" outlineLevel="1" x14ac:dyDescent="0.25">
      <c r="A363" s="1197"/>
      <c r="B363" s="1205"/>
      <c r="C363" s="1194"/>
      <c r="D363" s="2956"/>
      <c r="E363" s="583" t="s">
        <v>1725</v>
      </c>
      <c r="F363" s="1233">
        <v>1</v>
      </c>
      <c r="G363" s="1381" t="s">
        <v>767</v>
      </c>
      <c r="H363" s="1542" t="s">
        <v>1756</v>
      </c>
      <c r="I363" s="1205"/>
      <c r="J363" s="1205"/>
      <c r="K363" s="1205"/>
      <c r="L363" s="1205"/>
      <c r="M363" s="1205"/>
      <c r="N363" s="1205"/>
      <c r="O363" s="1205"/>
      <c r="P363" s="1205"/>
      <c r="Q363" s="1205"/>
      <c r="R363" s="1205"/>
      <c r="S363" s="1197"/>
      <c r="T363" s="1197"/>
      <c r="U363" s="1197"/>
      <c r="V363" s="2958"/>
      <c r="W363" s="1202">
        <v>1</v>
      </c>
      <c r="X363" s="1202">
        <v>1</v>
      </c>
      <c r="Y363" s="1202">
        <v>1</v>
      </c>
      <c r="Z363" s="1202"/>
      <c r="AA363" s="1202"/>
      <c r="AB363" s="1202"/>
      <c r="AC363" s="1202"/>
      <c r="AD363" s="1202"/>
      <c r="AE363" s="1202"/>
      <c r="AF363" s="1202"/>
      <c r="AG363" s="1202"/>
      <c r="AK363" s="1166"/>
      <c r="BB363" s="1193"/>
    </row>
    <row r="364" spans="1:54" s="1177" customFormat="1" outlineLevel="1" x14ac:dyDescent="0.25">
      <c r="A364" s="1197"/>
      <c r="B364" s="1205"/>
      <c r="C364" s="1194"/>
      <c r="D364" s="2956"/>
      <c r="E364" s="574" t="s">
        <v>1727</v>
      </c>
      <c r="F364" s="1233">
        <v>0.91</v>
      </c>
      <c r="G364" s="1381" t="s">
        <v>767</v>
      </c>
      <c r="H364" s="1542" t="s">
        <v>1755</v>
      </c>
      <c r="I364" s="1205"/>
      <c r="J364" s="1205"/>
      <c r="K364" s="1205"/>
      <c r="L364" s="1205"/>
      <c r="M364" s="1205"/>
      <c r="N364" s="1205"/>
      <c r="O364" s="1205"/>
      <c r="P364" s="1205"/>
      <c r="Q364" s="1205"/>
      <c r="R364" s="1205"/>
      <c r="S364" s="1197"/>
      <c r="T364" s="1197"/>
      <c r="U364" s="1197"/>
      <c r="V364" s="2958"/>
      <c r="W364" s="1202">
        <v>0.91</v>
      </c>
      <c r="X364" s="1202">
        <v>0.91</v>
      </c>
      <c r="Y364" s="1202">
        <v>0.91</v>
      </c>
      <c r="Z364" s="1202"/>
      <c r="AA364" s="1202"/>
      <c r="AB364" s="1202"/>
      <c r="AC364" s="1202"/>
      <c r="AD364" s="1202"/>
      <c r="AE364" s="1202"/>
      <c r="AF364" s="1202"/>
      <c r="AG364" s="1202"/>
      <c r="AK364" s="1166"/>
      <c r="BB364" s="1193"/>
    </row>
    <row r="365" spans="1:54" s="1177" customFormat="1" outlineLevel="1" x14ac:dyDescent="0.25">
      <c r="A365" s="1197"/>
      <c r="B365" s="1205"/>
      <c r="C365" s="1194"/>
      <c r="D365" s="2956"/>
      <c r="E365" s="574" t="s">
        <v>1729</v>
      </c>
      <c r="F365" s="1233">
        <v>0.91</v>
      </c>
      <c r="G365" s="1381" t="s">
        <v>767</v>
      </c>
      <c r="H365" s="1542" t="s">
        <v>1755</v>
      </c>
      <c r="I365" s="1205"/>
      <c r="J365" s="1205"/>
      <c r="K365" s="1205"/>
      <c r="L365" s="1205"/>
      <c r="M365" s="1205"/>
      <c r="N365" s="1205"/>
      <c r="O365" s="1205"/>
      <c r="P365" s="1205"/>
      <c r="Q365" s="1205"/>
      <c r="R365" s="1205"/>
      <c r="S365" s="1197"/>
      <c r="T365" s="1197"/>
      <c r="U365" s="1197"/>
      <c r="V365" s="2958"/>
      <c r="W365" s="1202">
        <v>0.91</v>
      </c>
      <c r="X365" s="1202">
        <v>0.91</v>
      </c>
      <c r="Y365" s="1202">
        <v>0.91</v>
      </c>
      <c r="Z365" s="1202"/>
      <c r="AA365" s="1202"/>
      <c r="AB365" s="1202"/>
      <c r="AC365" s="1202"/>
      <c r="AD365" s="1202"/>
      <c r="AE365" s="1202"/>
      <c r="AF365" s="1202"/>
      <c r="AG365" s="1202"/>
      <c r="AK365" s="1166"/>
      <c r="BB365" s="1193"/>
    </row>
    <row r="366" spans="1:54" s="1177" customFormat="1" outlineLevel="1" x14ac:dyDescent="0.25">
      <c r="A366" s="1197"/>
      <c r="B366" s="1205"/>
      <c r="C366" s="1194"/>
      <c r="D366" s="2956"/>
      <c r="E366" s="574" t="s">
        <v>1731</v>
      </c>
      <c r="F366" s="1233">
        <v>1</v>
      </c>
      <c r="G366" s="1381" t="s">
        <v>767</v>
      </c>
      <c r="H366" s="1542" t="s">
        <v>1756</v>
      </c>
      <c r="I366" s="1205"/>
      <c r="J366" s="1205"/>
      <c r="K366" s="1205"/>
      <c r="L366" s="1205"/>
      <c r="M366" s="1205"/>
      <c r="N366" s="1205"/>
      <c r="O366" s="1205"/>
      <c r="P366" s="1205"/>
      <c r="Q366" s="1205"/>
      <c r="R366" s="1205"/>
      <c r="S366" s="1197"/>
      <c r="T366" s="1197"/>
      <c r="U366" s="1197"/>
      <c r="V366" s="2958"/>
      <c r="W366" s="1202">
        <v>1</v>
      </c>
      <c r="X366" s="1202">
        <v>1</v>
      </c>
      <c r="Y366" s="1202">
        <v>1</v>
      </c>
      <c r="Z366" s="1202"/>
      <c r="AA366" s="1202"/>
      <c r="AB366" s="1202"/>
      <c r="AC366" s="1202"/>
      <c r="AD366" s="1202"/>
      <c r="AE366" s="1202"/>
      <c r="AF366" s="1202"/>
      <c r="AG366" s="1202"/>
      <c r="AK366" s="1166"/>
      <c r="BB366" s="1193"/>
    </row>
    <row r="367" spans="1:54" s="1177" customFormat="1" outlineLevel="1" x14ac:dyDescent="0.25">
      <c r="A367" s="1197"/>
      <c r="B367" s="1205"/>
      <c r="C367" s="1194"/>
      <c r="D367" s="2956"/>
      <c r="E367" s="583" t="s">
        <v>1733</v>
      </c>
      <c r="F367" s="1233">
        <v>0.91</v>
      </c>
      <c r="G367" s="1381" t="s">
        <v>767</v>
      </c>
      <c r="H367" s="1542" t="s">
        <v>1755</v>
      </c>
      <c r="I367" s="1205"/>
      <c r="J367" s="1205"/>
      <c r="K367" s="1205"/>
      <c r="L367" s="1205"/>
      <c r="M367" s="1205"/>
      <c r="N367" s="1205"/>
      <c r="O367" s="1205"/>
      <c r="P367" s="1205"/>
      <c r="Q367" s="1205"/>
      <c r="R367" s="1205"/>
      <c r="S367" s="1197"/>
      <c r="T367" s="1197"/>
      <c r="U367" s="1197"/>
      <c r="V367" s="2958"/>
      <c r="W367" s="1202">
        <v>0.91</v>
      </c>
      <c r="X367" s="1202">
        <v>0.91</v>
      </c>
      <c r="Y367" s="1202">
        <v>0.91</v>
      </c>
      <c r="Z367" s="1202"/>
      <c r="AA367" s="1202"/>
      <c r="AB367" s="1202"/>
      <c r="AC367" s="1202"/>
      <c r="AD367" s="1202"/>
      <c r="AE367" s="1202"/>
      <c r="AF367" s="1202"/>
      <c r="AG367" s="1202"/>
      <c r="AK367" s="1166"/>
      <c r="BB367" s="1193"/>
    </row>
    <row r="368" spans="1:54" s="1177" customFormat="1" outlineLevel="1" x14ac:dyDescent="0.25">
      <c r="A368" s="1197"/>
      <c r="B368" s="1205"/>
      <c r="C368" s="1194"/>
      <c r="D368" s="2956"/>
      <c r="E368" s="574" t="s">
        <v>1735</v>
      </c>
      <c r="F368" s="1233">
        <v>0.91</v>
      </c>
      <c r="G368" s="1381" t="s">
        <v>767</v>
      </c>
      <c r="H368" s="1542" t="s">
        <v>1755</v>
      </c>
      <c r="I368" s="1205"/>
      <c r="J368" s="1205"/>
      <c r="K368" s="1205"/>
      <c r="L368" s="1205"/>
      <c r="M368" s="1205"/>
      <c r="N368" s="1205"/>
      <c r="O368" s="1205"/>
      <c r="P368" s="1205"/>
      <c r="Q368" s="1205"/>
      <c r="R368" s="1205"/>
      <c r="S368" s="1197"/>
      <c r="T368" s="1197"/>
      <c r="U368" s="1197"/>
      <c r="V368" s="2958"/>
      <c r="W368" s="1202">
        <v>0.91</v>
      </c>
      <c r="X368" s="1202">
        <v>0.91</v>
      </c>
      <c r="Y368" s="1202">
        <v>0.91</v>
      </c>
      <c r="Z368" s="1202"/>
      <c r="AA368" s="1202"/>
      <c r="AB368" s="1202"/>
      <c r="AC368" s="1202"/>
      <c r="AD368" s="1202"/>
      <c r="AE368" s="1202"/>
      <c r="AF368" s="1202"/>
      <c r="AG368" s="1202"/>
      <c r="AK368" s="1166"/>
      <c r="BB368" s="1193"/>
    </row>
    <row r="369" spans="1:54" s="1177" customFormat="1" outlineLevel="1" x14ac:dyDescent="0.25">
      <c r="A369" s="1197"/>
      <c r="B369" s="1205"/>
      <c r="C369" s="1194"/>
      <c r="D369" s="2956"/>
      <c r="E369" s="583" t="s">
        <v>1737</v>
      </c>
      <c r="F369" s="1233">
        <v>1</v>
      </c>
      <c r="G369" s="1381" t="s">
        <v>767</v>
      </c>
      <c r="H369" s="1542" t="s">
        <v>1756</v>
      </c>
      <c r="I369" s="1205"/>
      <c r="J369" s="1205"/>
      <c r="K369" s="1205"/>
      <c r="L369" s="1205"/>
      <c r="M369" s="1205"/>
      <c r="N369" s="1205"/>
      <c r="O369" s="1205"/>
      <c r="P369" s="1205"/>
      <c r="Q369" s="1205"/>
      <c r="R369" s="1205"/>
      <c r="S369" s="1197"/>
      <c r="T369" s="1197"/>
      <c r="U369" s="1197"/>
      <c r="V369" s="2958"/>
      <c r="W369" s="1202">
        <v>1</v>
      </c>
      <c r="X369" s="1202">
        <v>1</v>
      </c>
      <c r="Y369" s="1202">
        <v>1</v>
      </c>
      <c r="Z369" s="1202"/>
      <c r="AA369" s="1202"/>
      <c r="AB369" s="1202"/>
      <c r="AC369" s="1202"/>
      <c r="AD369" s="1202"/>
      <c r="AE369" s="1202"/>
      <c r="AF369" s="1202"/>
      <c r="AG369" s="1202"/>
      <c r="AK369" s="1166"/>
      <c r="BB369" s="1193"/>
    </row>
    <row r="370" spans="1:54" s="1177" customFormat="1" outlineLevel="1" x14ac:dyDescent="0.25">
      <c r="A370" s="1197"/>
      <c r="B370" s="1205"/>
      <c r="C370" s="1194"/>
      <c r="D370" s="2956"/>
      <c r="E370" s="574" t="s">
        <v>1739</v>
      </c>
      <c r="F370" s="1233">
        <v>0.91</v>
      </c>
      <c r="G370" s="1381" t="s">
        <v>767</v>
      </c>
      <c r="H370" s="1542" t="s">
        <v>1755</v>
      </c>
      <c r="I370" s="1205"/>
      <c r="J370" s="1205"/>
      <c r="K370" s="1205"/>
      <c r="L370" s="1205"/>
      <c r="M370" s="1205"/>
      <c r="N370" s="1205"/>
      <c r="O370" s="1205"/>
      <c r="P370" s="1205"/>
      <c r="Q370" s="1205"/>
      <c r="R370" s="1205"/>
      <c r="S370" s="1197"/>
      <c r="T370" s="1197"/>
      <c r="U370" s="1197"/>
      <c r="V370" s="2965"/>
      <c r="W370" s="1202">
        <v>0.91</v>
      </c>
      <c r="X370" s="1202">
        <v>0.91</v>
      </c>
      <c r="Y370" s="1202">
        <v>0.91</v>
      </c>
      <c r="Z370" s="1202"/>
      <c r="AA370" s="1202"/>
      <c r="AB370" s="1202"/>
      <c r="AC370" s="1202"/>
      <c r="AD370" s="1202"/>
      <c r="AE370" s="1202"/>
      <c r="AF370" s="1202"/>
      <c r="AG370" s="1202"/>
      <c r="AK370" s="1166"/>
      <c r="BB370" s="1193"/>
    </row>
    <row r="371" spans="1:54" s="1177" customFormat="1" outlineLevel="1" x14ac:dyDescent="0.25">
      <c r="A371" s="1197"/>
      <c r="B371" s="1205"/>
      <c r="C371" s="1194"/>
      <c r="D371" s="2955" t="s">
        <v>1757</v>
      </c>
      <c r="E371" s="574" t="s">
        <v>1681</v>
      </c>
      <c r="F371" s="1541">
        <v>11</v>
      </c>
      <c r="G371" s="1542" t="s">
        <v>1758</v>
      </c>
      <c r="H371" s="1542"/>
      <c r="I371" s="1205"/>
      <c r="J371" s="1205"/>
      <c r="K371" s="1205"/>
      <c r="L371" s="1205"/>
      <c r="M371" s="1205"/>
      <c r="N371" s="1205"/>
      <c r="O371" s="1205"/>
      <c r="P371" s="1205"/>
      <c r="Q371" s="1205"/>
      <c r="R371" s="1205"/>
      <c r="S371" s="1197"/>
      <c r="T371" s="1197"/>
      <c r="U371" s="1197"/>
      <c r="V371" s="2957" t="str">
        <f>D371</f>
        <v>ƞcool</v>
      </c>
      <c r="W371" s="1188">
        <v>11</v>
      </c>
      <c r="X371" s="1188">
        <v>11</v>
      </c>
      <c r="Y371" s="1188">
        <v>11</v>
      </c>
      <c r="Z371" s="1188"/>
      <c r="AA371" s="1188"/>
      <c r="AB371" s="1188"/>
      <c r="AC371" s="1188"/>
      <c r="AD371" s="1188"/>
      <c r="AE371" s="1188"/>
      <c r="AF371" s="1188"/>
      <c r="AG371" s="1188"/>
      <c r="AK371" s="1166"/>
      <c r="BB371" s="1193"/>
    </row>
    <row r="372" spans="1:54" s="1177" customFormat="1" outlineLevel="1" x14ac:dyDescent="0.25">
      <c r="A372" s="1197"/>
      <c r="B372" s="1205"/>
      <c r="C372" s="1194"/>
      <c r="D372" s="2956"/>
      <c r="E372" s="574" t="s">
        <v>1683</v>
      </c>
      <c r="F372" s="1541">
        <v>11</v>
      </c>
      <c r="G372" s="1542" t="s">
        <v>1741</v>
      </c>
      <c r="H372" s="2970" t="s">
        <v>770</v>
      </c>
      <c r="I372" s="1205"/>
      <c r="J372" s="1205"/>
      <c r="K372" s="1205"/>
      <c r="L372" s="1205"/>
      <c r="M372" s="1205"/>
      <c r="N372" s="1205"/>
      <c r="O372" s="1205"/>
      <c r="P372" s="1205"/>
      <c r="Q372" s="1205"/>
      <c r="R372" s="1205"/>
      <c r="S372" s="1197"/>
      <c r="T372" s="1197"/>
      <c r="U372" s="1197"/>
      <c r="V372" s="2958"/>
      <c r="W372" s="1188">
        <v>11</v>
      </c>
      <c r="X372" s="1188">
        <v>11</v>
      </c>
      <c r="Y372" s="1188">
        <v>11</v>
      </c>
      <c r="Z372" s="1188"/>
      <c r="AA372" s="1188"/>
      <c r="AB372" s="1188"/>
      <c r="AC372" s="1188"/>
      <c r="AD372" s="1188"/>
      <c r="AE372" s="1188"/>
      <c r="AF372" s="1188"/>
      <c r="AG372" s="1188"/>
      <c r="AK372" s="1166"/>
      <c r="BB372" s="1193"/>
    </row>
    <row r="373" spans="1:54" s="1177" customFormat="1" outlineLevel="1" x14ac:dyDescent="0.25">
      <c r="A373" s="1197"/>
      <c r="B373" s="1205"/>
      <c r="C373" s="1194"/>
      <c r="D373" s="2956"/>
      <c r="E373" s="574" t="s">
        <v>1685</v>
      </c>
      <c r="F373" s="1541">
        <v>11</v>
      </c>
      <c r="G373" s="1542" t="s">
        <v>1741</v>
      </c>
      <c r="H373" s="2857"/>
      <c r="I373" s="1205"/>
      <c r="J373" s="1205"/>
      <c r="K373" s="1205"/>
      <c r="L373" s="1205"/>
      <c r="M373" s="1205"/>
      <c r="N373" s="1205"/>
      <c r="O373" s="1205"/>
      <c r="P373" s="1205"/>
      <c r="Q373" s="1205"/>
      <c r="R373" s="1205"/>
      <c r="S373" s="1197"/>
      <c r="T373" s="1197"/>
      <c r="U373" s="1197"/>
      <c r="V373" s="2958"/>
      <c r="W373" s="1188">
        <v>11</v>
      </c>
      <c r="X373" s="1188">
        <v>11</v>
      </c>
      <c r="Y373" s="1188">
        <v>11</v>
      </c>
      <c r="Z373" s="1188"/>
      <c r="AA373" s="1188"/>
      <c r="AB373" s="1188"/>
      <c r="AC373" s="1188"/>
      <c r="AD373" s="1188"/>
      <c r="AE373" s="1188"/>
      <c r="AF373" s="1188"/>
      <c r="AG373" s="1188"/>
      <c r="AK373" s="1166"/>
      <c r="BB373" s="1193"/>
    </row>
    <row r="374" spans="1:54" s="1177" customFormat="1" outlineLevel="1" x14ac:dyDescent="0.25">
      <c r="A374" s="1197"/>
      <c r="B374" s="1205"/>
      <c r="C374" s="1194"/>
      <c r="D374" s="2956"/>
      <c r="E374" s="574" t="s">
        <v>1687</v>
      </c>
      <c r="F374" s="1541">
        <v>11</v>
      </c>
      <c r="G374" s="1542" t="s">
        <v>1741</v>
      </c>
      <c r="H374" s="2857"/>
      <c r="I374" s="1205"/>
      <c r="J374" s="1205"/>
      <c r="K374" s="1205"/>
      <c r="L374" s="1205"/>
      <c r="M374" s="1205"/>
      <c r="N374" s="1205"/>
      <c r="O374" s="1205"/>
      <c r="P374" s="1205"/>
      <c r="Q374" s="1205"/>
      <c r="R374" s="1205"/>
      <c r="S374" s="1197"/>
      <c r="T374" s="1197"/>
      <c r="U374" s="1197"/>
      <c r="V374" s="2958"/>
      <c r="W374" s="1188">
        <v>11</v>
      </c>
      <c r="X374" s="1188">
        <v>11</v>
      </c>
      <c r="Y374" s="1188">
        <v>11</v>
      </c>
      <c r="Z374" s="1188"/>
      <c r="AA374" s="1188"/>
      <c r="AB374" s="1188"/>
      <c r="AC374" s="1188"/>
      <c r="AD374" s="1188"/>
      <c r="AE374" s="1188"/>
      <c r="AF374" s="1188"/>
      <c r="AG374" s="1188"/>
      <c r="AK374" s="1166"/>
      <c r="BB374" s="1193"/>
    </row>
    <row r="375" spans="1:54" s="1177" customFormat="1" outlineLevel="1" x14ac:dyDescent="0.25">
      <c r="A375" s="1197"/>
      <c r="B375" s="1205"/>
      <c r="C375" s="1194"/>
      <c r="D375" s="2956"/>
      <c r="E375" s="574" t="s">
        <v>1689</v>
      </c>
      <c r="F375" s="1541">
        <v>11</v>
      </c>
      <c r="G375" s="1542" t="s">
        <v>1741</v>
      </c>
      <c r="H375" s="2857"/>
      <c r="I375" s="1205"/>
      <c r="J375" s="1205"/>
      <c r="K375" s="1205"/>
      <c r="L375" s="1205"/>
      <c r="M375" s="1205"/>
      <c r="N375" s="1205"/>
      <c r="O375" s="1205"/>
      <c r="P375" s="1205"/>
      <c r="Q375" s="1205"/>
      <c r="R375" s="1205"/>
      <c r="S375" s="1197"/>
      <c r="T375" s="1197"/>
      <c r="U375" s="1197"/>
      <c r="V375" s="2958"/>
      <c r="W375" s="1188">
        <v>11</v>
      </c>
      <c r="X375" s="1188">
        <v>11</v>
      </c>
      <c r="Y375" s="1188">
        <v>11</v>
      </c>
      <c r="Z375" s="1188"/>
      <c r="AA375" s="1188"/>
      <c r="AB375" s="1188"/>
      <c r="AC375" s="1188"/>
      <c r="AD375" s="1188"/>
      <c r="AE375" s="1188"/>
      <c r="AF375" s="1188"/>
      <c r="AG375" s="1188"/>
      <c r="AK375" s="1166"/>
      <c r="BB375" s="1193"/>
    </row>
    <row r="376" spans="1:54" s="1177" customFormat="1" outlineLevel="1" x14ac:dyDescent="0.25">
      <c r="A376" s="1197"/>
      <c r="B376" s="1205"/>
      <c r="C376" s="1194"/>
      <c r="D376" s="2956"/>
      <c r="E376" s="574" t="s">
        <v>1691</v>
      </c>
      <c r="F376" s="1541">
        <v>11</v>
      </c>
      <c r="G376" s="1542" t="s">
        <v>1741</v>
      </c>
      <c r="H376" s="2857"/>
      <c r="I376" s="1205"/>
      <c r="J376" s="1205"/>
      <c r="K376" s="1205"/>
      <c r="L376" s="1205"/>
      <c r="M376" s="1205"/>
      <c r="N376" s="1205"/>
      <c r="O376" s="1205"/>
      <c r="P376" s="1205"/>
      <c r="Q376" s="1205"/>
      <c r="R376" s="1205"/>
      <c r="S376" s="1197"/>
      <c r="T376" s="1197"/>
      <c r="U376" s="1197"/>
      <c r="V376" s="2958"/>
      <c r="W376" s="1188">
        <v>11</v>
      </c>
      <c r="X376" s="1188">
        <v>11</v>
      </c>
      <c r="Y376" s="1188">
        <v>11</v>
      </c>
      <c r="Z376" s="1188"/>
      <c r="AA376" s="1188"/>
      <c r="AB376" s="1188"/>
      <c r="AC376" s="1188"/>
      <c r="AD376" s="1188"/>
      <c r="AE376" s="1188"/>
      <c r="AF376" s="1188"/>
      <c r="AG376" s="1188"/>
      <c r="AK376" s="1166"/>
      <c r="BB376" s="1193"/>
    </row>
    <row r="377" spans="1:54" s="1177" customFormat="1" outlineLevel="1" x14ac:dyDescent="0.25">
      <c r="A377" s="1197"/>
      <c r="B377" s="1205"/>
      <c r="C377" s="1194"/>
      <c r="D377" s="2956"/>
      <c r="E377" s="574" t="s">
        <v>1693</v>
      </c>
      <c r="F377" s="1541">
        <v>11</v>
      </c>
      <c r="G377" s="1542" t="s">
        <v>1741</v>
      </c>
      <c r="H377" s="2857"/>
      <c r="I377" s="1205"/>
      <c r="J377" s="1205"/>
      <c r="K377" s="1205"/>
      <c r="L377" s="1205"/>
      <c r="M377" s="1205"/>
      <c r="N377" s="1205"/>
      <c r="O377" s="1205"/>
      <c r="P377" s="1205"/>
      <c r="Q377" s="1205"/>
      <c r="R377" s="1205"/>
      <c r="S377" s="1197"/>
      <c r="T377" s="1197"/>
      <c r="U377" s="1197"/>
      <c r="V377" s="2958"/>
      <c r="W377" s="1188">
        <v>11</v>
      </c>
      <c r="X377" s="1188">
        <v>11</v>
      </c>
      <c r="Y377" s="1188">
        <v>11</v>
      </c>
      <c r="Z377" s="1188"/>
      <c r="AA377" s="1188"/>
      <c r="AB377" s="1188"/>
      <c r="AC377" s="1188"/>
      <c r="AD377" s="1188"/>
      <c r="AE377" s="1188"/>
      <c r="AF377" s="1188"/>
      <c r="AG377" s="1188"/>
      <c r="AK377" s="1166"/>
      <c r="BB377" s="1193"/>
    </row>
    <row r="378" spans="1:54" s="1177" customFormat="1" outlineLevel="1" x14ac:dyDescent="0.25">
      <c r="A378" s="1197"/>
      <c r="B378" s="1205"/>
      <c r="C378" s="1194"/>
      <c r="D378" s="2956"/>
      <c r="E378" s="574" t="s">
        <v>1695</v>
      </c>
      <c r="F378" s="1541">
        <v>11</v>
      </c>
      <c r="G378" s="1542" t="s">
        <v>1741</v>
      </c>
      <c r="H378" s="2857"/>
      <c r="I378" s="1205"/>
      <c r="J378" s="1205"/>
      <c r="K378" s="1205"/>
      <c r="L378" s="1205"/>
      <c r="M378" s="1205"/>
      <c r="N378" s="1205"/>
      <c r="O378" s="1205"/>
      <c r="P378" s="1205"/>
      <c r="Q378" s="1205"/>
      <c r="R378" s="1205"/>
      <c r="S378" s="1197"/>
      <c r="T378" s="1197"/>
      <c r="U378" s="1197"/>
      <c r="V378" s="2958"/>
      <c r="W378" s="1188">
        <v>11</v>
      </c>
      <c r="X378" s="1188">
        <v>11</v>
      </c>
      <c r="Y378" s="1188">
        <v>11</v>
      </c>
      <c r="Z378" s="1188"/>
      <c r="AA378" s="1188"/>
      <c r="AB378" s="1188"/>
      <c r="AC378" s="1188"/>
      <c r="AD378" s="1188"/>
      <c r="AE378" s="1188"/>
      <c r="AF378" s="1188"/>
      <c r="AG378" s="1188"/>
      <c r="AK378" s="1166"/>
      <c r="BB378" s="1193"/>
    </row>
    <row r="379" spans="1:54" s="1177" customFormat="1" outlineLevel="1" x14ac:dyDescent="0.25">
      <c r="A379" s="1197"/>
      <c r="B379" s="1205"/>
      <c r="C379" s="1194"/>
      <c r="D379" s="2956"/>
      <c r="E379" s="583" t="s">
        <v>1697</v>
      </c>
      <c r="F379" s="1541">
        <v>11</v>
      </c>
      <c r="G379" s="1542" t="s">
        <v>1741</v>
      </c>
      <c r="H379" s="2857"/>
      <c r="I379" s="1205"/>
      <c r="J379" s="1205"/>
      <c r="K379" s="1205"/>
      <c r="L379" s="1205"/>
      <c r="M379" s="1205"/>
      <c r="N379" s="1205"/>
      <c r="O379" s="1205"/>
      <c r="P379" s="1205"/>
      <c r="Q379" s="1205"/>
      <c r="R379" s="1205"/>
      <c r="S379" s="1197"/>
      <c r="T379" s="1197"/>
      <c r="U379" s="1197"/>
      <c r="V379" s="2958"/>
      <c r="W379" s="1188">
        <v>11</v>
      </c>
      <c r="X379" s="1188">
        <v>11</v>
      </c>
      <c r="Y379" s="1188">
        <v>11</v>
      </c>
      <c r="Z379" s="1188"/>
      <c r="AA379" s="1188"/>
      <c r="AB379" s="1188"/>
      <c r="AC379" s="1188"/>
      <c r="AD379" s="1188"/>
      <c r="AE379" s="1188"/>
      <c r="AF379" s="1188"/>
      <c r="AG379" s="1188"/>
      <c r="AK379" s="1166"/>
      <c r="BB379" s="1193"/>
    </row>
    <row r="380" spans="1:54" s="1177" customFormat="1" outlineLevel="1" x14ac:dyDescent="0.25">
      <c r="A380" s="1197"/>
      <c r="B380" s="1205"/>
      <c r="C380" s="1194"/>
      <c r="D380" s="2956"/>
      <c r="E380" s="574" t="s">
        <v>1699</v>
      </c>
      <c r="F380" s="1541">
        <v>11</v>
      </c>
      <c r="G380" s="1542" t="s">
        <v>1741</v>
      </c>
      <c r="H380" s="2857"/>
      <c r="I380" s="1205"/>
      <c r="J380" s="1205"/>
      <c r="K380" s="1205"/>
      <c r="L380" s="1205"/>
      <c r="M380" s="1205"/>
      <c r="N380" s="1205"/>
      <c r="O380" s="1205"/>
      <c r="P380" s="1205"/>
      <c r="Q380" s="1205"/>
      <c r="R380" s="1205"/>
      <c r="S380" s="1197"/>
      <c r="T380" s="1197"/>
      <c r="U380" s="1197"/>
      <c r="V380" s="2958"/>
      <c r="W380" s="1188">
        <v>11</v>
      </c>
      <c r="X380" s="1188">
        <v>11</v>
      </c>
      <c r="Y380" s="1188">
        <v>11</v>
      </c>
      <c r="Z380" s="1188"/>
      <c r="AA380" s="1188"/>
      <c r="AB380" s="1188"/>
      <c r="AC380" s="1188"/>
      <c r="AD380" s="1188"/>
      <c r="AE380" s="1188"/>
      <c r="AF380" s="1188"/>
      <c r="AG380" s="1188"/>
      <c r="AK380" s="1166"/>
      <c r="BB380" s="1193"/>
    </row>
    <row r="381" spans="1:54" s="1177" customFormat="1" outlineLevel="1" x14ac:dyDescent="0.25">
      <c r="A381" s="1197"/>
      <c r="B381" s="1205"/>
      <c r="C381" s="1194"/>
      <c r="D381" s="2956"/>
      <c r="E381" s="574" t="s">
        <v>1701</v>
      </c>
      <c r="F381" s="1541">
        <v>11</v>
      </c>
      <c r="G381" s="1542" t="s">
        <v>1741</v>
      </c>
      <c r="H381" s="2857"/>
      <c r="I381" s="1205"/>
      <c r="J381" s="1205"/>
      <c r="K381" s="1205"/>
      <c r="L381" s="1205"/>
      <c r="M381" s="1205"/>
      <c r="N381" s="1205"/>
      <c r="O381" s="1205"/>
      <c r="P381" s="1205"/>
      <c r="Q381" s="1205"/>
      <c r="R381" s="1205"/>
      <c r="S381" s="1197"/>
      <c r="T381" s="1197"/>
      <c r="U381" s="1197"/>
      <c r="V381" s="2958"/>
      <c r="W381" s="1188">
        <v>11</v>
      </c>
      <c r="X381" s="1188">
        <v>11</v>
      </c>
      <c r="Y381" s="1188">
        <v>11</v>
      </c>
      <c r="Z381" s="1188"/>
      <c r="AA381" s="1188"/>
      <c r="AB381" s="1188"/>
      <c r="AC381" s="1188"/>
      <c r="AD381" s="1188"/>
      <c r="AE381" s="1188"/>
      <c r="AF381" s="1188"/>
      <c r="AG381" s="1188"/>
      <c r="AK381" s="1166"/>
      <c r="BB381" s="1193"/>
    </row>
    <row r="382" spans="1:54" s="1177" customFormat="1" outlineLevel="1" x14ac:dyDescent="0.25">
      <c r="A382" s="1197"/>
      <c r="B382" s="1205"/>
      <c r="C382" s="1194"/>
      <c r="D382" s="2956"/>
      <c r="E382" s="2146" t="s">
        <v>1703</v>
      </c>
      <c r="F382" s="1541">
        <v>11</v>
      </c>
      <c r="G382" s="1542" t="s">
        <v>1741</v>
      </c>
      <c r="H382" s="2857"/>
      <c r="I382" s="1205"/>
      <c r="J382" s="1205"/>
      <c r="K382" s="1205"/>
      <c r="L382" s="1205"/>
      <c r="M382" s="1205"/>
      <c r="N382" s="1205"/>
      <c r="O382" s="1205"/>
      <c r="P382" s="1205"/>
      <c r="Q382" s="1205"/>
      <c r="R382" s="1205"/>
      <c r="S382" s="1197"/>
      <c r="T382" s="1197"/>
      <c r="U382" s="1197"/>
      <c r="V382" s="2958"/>
      <c r="W382" s="1188">
        <v>11</v>
      </c>
      <c r="X382" s="1188">
        <v>11</v>
      </c>
      <c r="Y382" s="1188">
        <v>11</v>
      </c>
      <c r="Z382" s="1188"/>
      <c r="AA382" s="1188"/>
      <c r="AB382" s="1188"/>
      <c r="AC382" s="1188"/>
      <c r="AD382" s="1188"/>
      <c r="AE382" s="1188"/>
      <c r="AF382" s="1188"/>
      <c r="AG382" s="1188"/>
      <c r="AK382" s="1166"/>
      <c r="BB382" s="1193"/>
    </row>
    <row r="383" spans="1:54" s="1177" customFormat="1" outlineLevel="1" x14ac:dyDescent="0.25">
      <c r="A383" s="1197"/>
      <c r="B383" s="1205"/>
      <c r="C383" s="1194"/>
      <c r="D383" s="2956"/>
      <c r="E383" s="574" t="s">
        <v>1705</v>
      </c>
      <c r="F383" s="1541">
        <v>11</v>
      </c>
      <c r="G383" s="1542" t="s">
        <v>1741</v>
      </c>
      <c r="H383" s="2857"/>
      <c r="I383" s="1205"/>
      <c r="J383" s="1205"/>
      <c r="K383" s="1205"/>
      <c r="L383" s="1205"/>
      <c r="M383" s="1205"/>
      <c r="N383" s="1205"/>
      <c r="O383" s="1205"/>
      <c r="P383" s="1205"/>
      <c r="Q383" s="1205"/>
      <c r="R383" s="1205"/>
      <c r="S383" s="1197"/>
      <c r="T383" s="1197"/>
      <c r="U383" s="1197"/>
      <c r="V383" s="2958"/>
      <c r="W383" s="1188">
        <v>11</v>
      </c>
      <c r="X383" s="1188">
        <v>11</v>
      </c>
      <c r="Y383" s="1188">
        <v>11</v>
      </c>
      <c r="Z383" s="1188"/>
      <c r="AA383" s="1188"/>
      <c r="AB383" s="1188"/>
      <c r="AC383" s="1188"/>
      <c r="AD383" s="1188"/>
      <c r="AE383" s="1188"/>
      <c r="AF383" s="1188"/>
      <c r="AG383" s="1188"/>
      <c r="AK383" s="1166"/>
      <c r="BB383" s="1193"/>
    </row>
    <row r="384" spans="1:54" s="1177" customFormat="1" outlineLevel="1" x14ac:dyDescent="0.25">
      <c r="A384" s="1197"/>
      <c r="B384" s="1205"/>
      <c r="C384" s="1194"/>
      <c r="D384" s="2956"/>
      <c r="E384" s="574" t="s">
        <v>1707</v>
      </c>
      <c r="F384" s="1541">
        <v>11</v>
      </c>
      <c r="G384" s="1542" t="s">
        <v>1741</v>
      </c>
      <c r="H384" s="2857"/>
      <c r="I384" s="1205"/>
      <c r="J384" s="1205"/>
      <c r="K384" s="1205"/>
      <c r="L384" s="1205"/>
      <c r="M384" s="1205"/>
      <c r="N384" s="1205"/>
      <c r="O384" s="1205"/>
      <c r="P384" s="1205"/>
      <c r="Q384" s="1205"/>
      <c r="R384" s="1205"/>
      <c r="S384" s="1197"/>
      <c r="T384" s="1197"/>
      <c r="U384" s="1197"/>
      <c r="V384" s="2958"/>
      <c r="W384" s="1188">
        <v>11</v>
      </c>
      <c r="X384" s="1188">
        <v>11</v>
      </c>
      <c r="Y384" s="1188">
        <v>11</v>
      </c>
      <c r="Z384" s="1188"/>
      <c r="AA384" s="1188"/>
      <c r="AB384" s="1188"/>
      <c r="AC384" s="1188"/>
      <c r="AD384" s="1188"/>
      <c r="AE384" s="1188"/>
      <c r="AF384" s="1188"/>
      <c r="AG384" s="1188"/>
      <c r="AK384" s="1166"/>
      <c r="BB384" s="1193"/>
    </row>
    <row r="385" spans="1:54" s="1177" customFormat="1" outlineLevel="1" x14ac:dyDescent="0.25">
      <c r="A385" s="1197"/>
      <c r="B385" s="1205"/>
      <c r="C385" s="1194"/>
      <c r="D385" s="2956"/>
      <c r="E385" s="583" t="s">
        <v>1709</v>
      </c>
      <c r="F385" s="1541">
        <v>11</v>
      </c>
      <c r="G385" s="1542" t="s">
        <v>1741</v>
      </c>
      <c r="H385" s="2857"/>
      <c r="I385" s="1205"/>
      <c r="J385" s="1205"/>
      <c r="K385" s="1205"/>
      <c r="L385" s="1205"/>
      <c r="M385" s="1205"/>
      <c r="N385" s="1205"/>
      <c r="O385" s="1205"/>
      <c r="P385" s="1205"/>
      <c r="Q385" s="1205"/>
      <c r="R385" s="1205"/>
      <c r="S385" s="1197"/>
      <c r="T385" s="1197"/>
      <c r="U385" s="1197"/>
      <c r="V385" s="2958"/>
      <c r="W385" s="1188">
        <v>11</v>
      </c>
      <c r="X385" s="1188">
        <v>11</v>
      </c>
      <c r="Y385" s="1188">
        <v>11</v>
      </c>
      <c r="Z385" s="1188"/>
      <c r="AA385" s="1188"/>
      <c r="AB385" s="1188"/>
      <c r="AC385" s="1188"/>
      <c r="AD385" s="1188"/>
      <c r="AE385" s="1188"/>
      <c r="AF385" s="1188"/>
      <c r="AG385" s="1188"/>
      <c r="AK385" s="1166"/>
      <c r="BB385" s="1193"/>
    </row>
    <row r="386" spans="1:54" s="1177" customFormat="1" outlineLevel="1" x14ac:dyDescent="0.25">
      <c r="A386" s="1197"/>
      <c r="B386" s="1205"/>
      <c r="C386" s="1194"/>
      <c r="D386" s="2956"/>
      <c r="E386" s="583" t="s">
        <v>1711</v>
      </c>
      <c r="F386" s="1541">
        <v>11</v>
      </c>
      <c r="G386" s="1542" t="s">
        <v>1741</v>
      </c>
      <c r="H386" s="2857"/>
      <c r="I386" s="1205"/>
      <c r="J386" s="1205"/>
      <c r="K386" s="1205"/>
      <c r="L386" s="1205"/>
      <c r="M386" s="1205"/>
      <c r="N386" s="1205"/>
      <c r="O386" s="1205"/>
      <c r="P386" s="1205"/>
      <c r="Q386" s="1205"/>
      <c r="R386" s="1205"/>
      <c r="S386" s="1197"/>
      <c r="T386" s="1197"/>
      <c r="U386" s="1197"/>
      <c r="V386" s="2958"/>
      <c r="W386" s="1188">
        <v>11</v>
      </c>
      <c r="X386" s="1188">
        <v>11</v>
      </c>
      <c r="Y386" s="1188">
        <v>11</v>
      </c>
      <c r="Z386" s="1188"/>
      <c r="AA386" s="1188"/>
      <c r="AB386" s="1188"/>
      <c r="AC386" s="1188"/>
      <c r="AD386" s="1188"/>
      <c r="AE386" s="1188"/>
      <c r="AF386" s="1188"/>
      <c r="AG386" s="1188"/>
      <c r="AK386" s="1166"/>
      <c r="BB386" s="1193"/>
    </row>
    <row r="387" spans="1:54" s="1177" customFormat="1" outlineLevel="1" x14ac:dyDescent="0.25">
      <c r="A387" s="1197"/>
      <c r="B387" s="1205"/>
      <c r="C387" s="1194"/>
      <c r="D387" s="2968"/>
      <c r="E387" s="574" t="s">
        <v>1713</v>
      </c>
      <c r="F387" s="2147">
        <v>11</v>
      </c>
      <c r="G387" s="1542" t="s">
        <v>1741</v>
      </c>
      <c r="H387" s="2857"/>
      <c r="I387" s="1205"/>
      <c r="J387" s="1205"/>
      <c r="K387" s="1205"/>
      <c r="L387" s="1205"/>
      <c r="M387" s="1205"/>
      <c r="N387" s="1205"/>
      <c r="O387" s="1205"/>
      <c r="P387" s="1205"/>
      <c r="Q387" s="1205"/>
      <c r="R387" s="1205"/>
      <c r="S387" s="1197"/>
      <c r="T387" s="1197"/>
      <c r="U387" s="1197"/>
      <c r="V387" s="2958"/>
      <c r="W387" s="1208">
        <v>11</v>
      </c>
      <c r="X387" s="1208">
        <v>11</v>
      </c>
      <c r="Y387" s="1208">
        <v>11</v>
      </c>
      <c r="Z387" s="1208"/>
      <c r="AA387" s="1208"/>
      <c r="AB387" s="1208"/>
      <c r="AC387" s="1208"/>
      <c r="AD387" s="1208"/>
      <c r="AE387" s="1208"/>
      <c r="AF387" s="1208"/>
      <c r="AG387" s="1208"/>
      <c r="AK387" s="1166"/>
      <c r="BB387" s="1193"/>
    </row>
    <row r="388" spans="1:54" s="1177" customFormat="1" outlineLevel="1" x14ac:dyDescent="0.25">
      <c r="A388" s="1197"/>
      <c r="B388" s="1205"/>
      <c r="C388" s="1194"/>
      <c r="D388" s="2956"/>
      <c r="E388" s="2146" t="s">
        <v>1715</v>
      </c>
      <c r="F388" s="2148">
        <v>11</v>
      </c>
      <c r="G388" s="1542" t="s">
        <v>1741</v>
      </c>
      <c r="H388" s="2857"/>
      <c r="I388" s="1205"/>
      <c r="J388" s="1205"/>
      <c r="K388" s="1205"/>
      <c r="L388" s="1205"/>
      <c r="M388" s="1205"/>
      <c r="N388" s="1205"/>
      <c r="O388" s="1205"/>
      <c r="P388" s="1205"/>
      <c r="Q388" s="1205"/>
      <c r="R388" s="1205"/>
      <c r="S388" s="1197"/>
      <c r="T388" s="1197"/>
      <c r="U388" s="1197"/>
      <c r="V388" s="2958"/>
      <c r="W388" s="1209">
        <v>11</v>
      </c>
      <c r="X388" s="1209">
        <v>11</v>
      </c>
      <c r="Y388" s="1209">
        <v>11</v>
      </c>
      <c r="Z388" s="1209"/>
      <c r="AA388" s="1209"/>
      <c r="AB388" s="1209"/>
      <c r="AC388" s="1209"/>
      <c r="AD388" s="1209"/>
      <c r="AE388" s="1209"/>
      <c r="AF388" s="1209"/>
      <c r="AG388" s="1209"/>
      <c r="AK388" s="1166"/>
      <c r="BB388" s="1193"/>
    </row>
    <row r="389" spans="1:54" s="1177" customFormat="1" outlineLevel="1" x14ac:dyDescent="0.25">
      <c r="A389" s="1197"/>
      <c r="B389" s="1205"/>
      <c r="C389" s="1194"/>
      <c r="D389" s="2956"/>
      <c r="E389" s="574" t="s">
        <v>1717</v>
      </c>
      <c r="F389" s="2148">
        <v>11</v>
      </c>
      <c r="G389" s="1542" t="s">
        <v>1741</v>
      </c>
      <c r="H389" s="2857"/>
      <c r="I389" s="1205"/>
      <c r="J389" s="1205"/>
      <c r="K389" s="1205"/>
      <c r="L389" s="1205"/>
      <c r="M389" s="1205"/>
      <c r="N389" s="1205"/>
      <c r="O389" s="1205"/>
      <c r="P389" s="1205"/>
      <c r="Q389" s="1205"/>
      <c r="R389" s="1205"/>
      <c r="S389" s="1197"/>
      <c r="T389" s="1197"/>
      <c r="U389" s="1197"/>
      <c r="V389" s="2958"/>
      <c r="W389" s="1209">
        <v>11</v>
      </c>
      <c r="X389" s="1209">
        <v>11</v>
      </c>
      <c r="Y389" s="1209">
        <v>11</v>
      </c>
      <c r="Z389" s="1209"/>
      <c r="AA389" s="1209"/>
      <c r="AB389" s="1209"/>
      <c r="AC389" s="1209"/>
      <c r="AD389" s="1209"/>
      <c r="AE389" s="1209"/>
      <c r="AF389" s="1209"/>
      <c r="AG389" s="1209"/>
      <c r="AK389" s="1166"/>
      <c r="BB389" s="1193"/>
    </row>
    <row r="390" spans="1:54" s="1177" customFormat="1" outlineLevel="1" x14ac:dyDescent="0.25">
      <c r="A390" s="1197"/>
      <c r="B390" s="1205"/>
      <c r="C390" s="1194"/>
      <c r="D390" s="2956"/>
      <c r="E390" s="574" t="s">
        <v>1719</v>
      </c>
      <c r="F390" s="2148">
        <v>11</v>
      </c>
      <c r="G390" s="1542" t="s">
        <v>1741</v>
      </c>
      <c r="H390" s="2857"/>
      <c r="I390" s="1205"/>
      <c r="J390" s="1205"/>
      <c r="K390" s="1205"/>
      <c r="L390" s="1205"/>
      <c r="M390" s="1205"/>
      <c r="N390" s="1205"/>
      <c r="O390" s="1205"/>
      <c r="P390" s="1205"/>
      <c r="Q390" s="1205"/>
      <c r="R390" s="1205"/>
      <c r="S390" s="1197"/>
      <c r="T390" s="1197"/>
      <c r="U390" s="1197"/>
      <c r="V390" s="2958"/>
      <c r="W390" s="1209">
        <v>11</v>
      </c>
      <c r="X390" s="1209">
        <v>11</v>
      </c>
      <c r="Y390" s="1209">
        <v>11</v>
      </c>
      <c r="Z390" s="1209"/>
      <c r="AA390" s="1209"/>
      <c r="AB390" s="1209"/>
      <c r="AC390" s="1209"/>
      <c r="AD390" s="1209"/>
      <c r="AE390" s="1209"/>
      <c r="AF390" s="1209"/>
      <c r="AG390" s="1209"/>
      <c r="AK390" s="1166"/>
      <c r="BB390" s="1193"/>
    </row>
    <row r="391" spans="1:54" s="1177" customFormat="1" outlineLevel="1" x14ac:dyDescent="0.25">
      <c r="A391" s="1197"/>
      <c r="B391" s="1205"/>
      <c r="C391" s="1194"/>
      <c r="D391" s="2956"/>
      <c r="E391" s="583" t="s">
        <v>1721</v>
      </c>
      <c r="F391" s="2148">
        <v>11</v>
      </c>
      <c r="G391" s="1542" t="s">
        <v>1741</v>
      </c>
      <c r="H391" s="2857"/>
      <c r="I391" s="1205"/>
      <c r="J391" s="1205"/>
      <c r="K391" s="1205"/>
      <c r="L391" s="1205"/>
      <c r="M391" s="1205"/>
      <c r="N391" s="1205"/>
      <c r="O391" s="1205"/>
      <c r="P391" s="1205"/>
      <c r="Q391" s="1205"/>
      <c r="R391" s="1205"/>
      <c r="S391" s="1197"/>
      <c r="T391" s="1197"/>
      <c r="U391" s="1197"/>
      <c r="V391" s="2958"/>
      <c r="W391" s="1209">
        <v>11</v>
      </c>
      <c r="X391" s="1209">
        <v>11</v>
      </c>
      <c r="Y391" s="1209">
        <v>11</v>
      </c>
      <c r="Z391" s="1209"/>
      <c r="AA391" s="1209"/>
      <c r="AB391" s="1209"/>
      <c r="AC391" s="1209"/>
      <c r="AD391" s="1209"/>
      <c r="AE391" s="1209"/>
      <c r="AF391" s="1209"/>
      <c r="AG391" s="1209"/>
      <c r="AK391" s="1166"/>
      <c r="BB391" s="1193"/>
    </row>
    <row r="392" spans="1:54" s="1177" customFormat="1" outlineLevel="1" x14ac:dyDescent="0.25">
      <c r="A392" s="1197"/>
      <c r="B392" s="1205"/>
      <c r="C392" s="1194"/>
      <c r="D392" s="2956"/>
      <c r="E392" s="574" t="s">
        <v>1723</v>
      </c>
      <c r="F392" s="2148">
        <v>11</v>
      </c>
      <c r="G392" s="1542" t="s">
        <v>1741</v>
      </c>
      <c r="H392" s="2857"/>
      <c r="I392" s="1205"/>
      <c r="J392" s="1205"/>
      <c r="K392" s="1205"/>
      <c r="L392" s="1205"/>
      <c r="M392" s="1205"/>
      <c r="N392" s="1205"/>
      <c r="O392" s="1205"/>
      <c r="P392" s="1205"/>
      <c r="Q392" s="1205"/>
      <c r="R392" s="1205"/>
      <c r="S392" s="1197"/>
      <c r="T392" s="1197"/>
      <c r="U392" s="1197"/>
      <c r="V392" s="2958"/>
      <c r="W392" s="1209">
        <v>11</v>
      </c>
      <c r="X392" s="1209">
        <v>11</v>
      </c>
      <c r="Y392" s="1209">
        <v>11</v>
      </c>
      <c r="Z392" s="1209"/>
      <c r="AA392" s="1209"/>
      <c r="AB392" s="1209"/>
      <c r="AC392" s="1209"/>
      <c r="AD392" s="1209"/>
      <c r="AE392" s="1209"/>
      <c r="AF392" s="1209"/>
      <c r="AG392" s="1209"/>
      <c r="AK392" s="1166"/>
      <c r="BB392" s="1193"/>
    </row>
    <row r="393" spans="1:54" s="1177" customFormat="1" outlineLevel="1" x14ac:dyDescent="0.25">
      <c r="A393" s="1197"/>
      <c r="B393" s="1205"/>
      <c r="C393" s="1194"/>
      <c r="D393" s="2956"/>
      <c r="E393" s="583" t="s">
        <v>1725</v>
      </c>
      <c r="F393" s="2148">
        <v>11</v>
      </c>
      <c r="G393" s="1542" t="s">
        <v>1741</v>
      </c>
      <c r="H393" s="2857"/>
      <c r="I393" s="1205"/>
      <c r="J393" s="1205"/>
      <c r="K393" s="1205"/>
      <c r="L393" s="1205"/>
      <c r="M393" s="1205"/>
      <c r="N393" s="1205"/>
      <c r="O393" s="1205"/>
      <c r="P393" s="1205"/>
      <c r="Q393" s="1205"/>
      <c r="R393" s="1205"/>
      <c r="S393" s="1197"/>
      <c r="T393" s="1197"/>
      <c r="U393" s="1197"/>
      <c r="V393" s="2958"/>
      <c r="W393" s="1209">
        <v>11</v>
      </c>
      <c r="X393" s="1209">
        <v>11</v>
      </c>
      <c r="Y393" s="1209">
        <v>11</v>
      </c>
      <c r="Z393" s="1209"/>
      <c r="AA393" s="1209"/>
      <c r="AB393" s="1209"/>
      <c r="AC393" s="1209"/>
      <c r="AD393" s="1209"/>
      <c r="AE393" s="1209"/>
      <c r="AF393" s="1209"/>
      <c r="AG393" s="1209"/>
      <c r="AK393" s="1166"/>
      <c r="BB393" s="1193"/>
    </row>
    <row r="394" spans="1:54" s="1177" customFormat="1" outlineLevel="1" x14ac:dyDescent="0.25">
      <c r="A394" s="1197"/>
      <c r="B394" s="1205"/>
      <c r="C394" s="1194"/>
      <c r="D394" s="2956"/>
      <c r="E394" s="574" t="s">
        <v>1727</v>
      </c>
      <c r="F394" s="2148">
        <v>11</v>
      </c>
      <c r="G394" s="1542" t="s">
        <v>1741</v>
      </c>
      <c r="H394" s="2857"/>
      <c r="I394" s="1205"/>
      <c r="J394" s="1205"/>
      <c r="K394" s="1205"/>
      <c r="L394" s="1205"/>
      <c r="M394" s="1205"/>
      <c r="N394" s="1205"/>
      <c r="O394" s="1205"/>
      <c r="P394" s="1205"/>
      <c r="Q394" s="1205"/>
      <c r="R394" s="1205"/>
      <c r="S394" s="1197"/>
      <c r="T394" s="1197"/>
      <c r="U394" s="1197"/>
      <c r="V394" s="2958"/>
      <c r="W394" s="1209">
        <v>11</v>
      </c>
      <c r="X394" s="1209">
        <v>11</v>
      </c>
      <c r="Y394" s="1209">
        <v>11</v>
      </c>
      <c r="Z394" s="1209"/>
      <c r="AA394" s="1209"/>
      <c r="AB394" s="1209"/>
      <c r="AC394" s="1209"/>
      <c r="AD394" s="1209"/>
      <c r="AE394" s="1209"/>
      <c r="AF394" s="1209"/>
      <c r="AG394" s="1209"/>
      <c r="AK394" s="1166"/>
      <c r="BB394" s="1193"/>
    </row>
    <row r="395" spans="1:54" s="1177" customFormat="1" outlineLevel="1" x14ac:dyDescent="0.25">
      <c r="A395" s="1197"/>
      <c r="B395" s="1205"/>
      <c r="C395" s="1194"/>
      <c r="D395" s="2956"/>
      <c r="E395" s="574" t="s">
        <v>1729</v>
      </c>
      <c r="F395" s="2148">
        <v>11</v>
      </c>
      <c r="G395" s="1542" t="s">
        <v>1741</v>
      </c>
      <c r="H395" s="2857"/>
      <c r="I395" s="1205"/>
      <c r="J395" s="1205"/>
      <c r="K395" s="1205"/>
      <c r="L395" s="1205"/>
      <c r="M395" s="1205"/>
      <c r="N395" s="1205"/>
      <c r="O395" s="1205"/>
      <c r="P395" s="1205"/>
      <c r="Q395" s="1205"/>
      <c r="R395" s="1205"/>
      <c r="S395" s="1197"/>
      <c r="T395" s="1197"/>
      <c r="U395" s="1197"/>
      <c r="V395" s="2958"/>
      <c r="W395" s="1209">
        <v>11</v>
      </c>
      <c r="X395" s="1209">
        <v>11</v>
      </c>
      <c r="Y395" s="1209">
        <v>11</v>
      </c>
      <c r="Z395" s="1209"/>
      <c r="AA395" s="1209"/>
      <c r="AB395" s="1209"/>
      <c r="AC395" s="1209"/>
      <c r="AD395" s="1209"/>
      <c r="AE395" s="1209"/>
      <c r="AF395" s="1209"/>
      <c r="AG395" s="1209"/>
      <c r="AK395" s="1166"/>
      <c r="BB395" s="1193"/>
    </row>
    <row r="396" spans="1:54" s="1177" customFormat="1" outlineLevel="1" x14ac:dyDescent="0.25">
      <c r="A396" s="1197"/>
      <c r="B396" s="1205"/>
      <c r="C396" s="1194"/>
      <c r="D396" s="2956"/>
      <c r="E396" s="574" t="s">
        <v>1731</v>
      </c>
      <c r="F396" s="2148">
        <v>11</v>
      </c>
      <c r="G396" s="1542" t="s">
        <v>1741</v>
      </c>
      <c r="H396" s="2857"/>
      <c r="I396" s="1205"/>
      <c r="J396" s="1205"/>
      <c r="K396" s="1205"/>
      <c r="L396" s="1205"/>
      <c r="M396" s="1205"/>
      <c r="N396" s="1205"/>
      <c r="O396" s="1205"/>
      <c r="P396" s="1205"/>
      <c r="Q396" s="1205"/>
      <c r="R396" s="1205"/>
      <c r="S396" s="1197"/>
      <c r="T396" s="1197"/>
      <c r="U396" s="1197"/>
      <c r="V396" s="2958"/>
      <c r="W396" s="1209">
        <v>11</v>
      </c>
      <c r="X396" s="1209">
        <v>11</v>
      </c>
      <c r="Y396" s="1209">
        <v>11</v>
      </c>
      <c r="Z396" s="1209"/>
      <c r="AA396" s="1209"/>
      <c r="AB396" s="1209"/>
      <c r="AC396" s="1209"/>
      <c r="AD396" s="1209"/>
      <c r="AE396" s="1209"/>
      <c r="AF396" s="1209"/>
      <c r="AG396" s="1209"/>
      <c r="AK396" s="1166"/>
      <c r="BB396" s="1193"/>
    </row>
    <row r="397" spans="1:54" s="1177" customFormat="1" outlineLevel="1" x14ac:dyDescent="0.25">
      <c r="A397" s="1197"/>
      <c r="B397" s="1205"/>
      <c r="C397" s="1194"/>
      <c r="D397" s="2956"/>
      <c r="E397" s="583" t="s">
        <v>1733</v>
      </c>
      <c r="F397" s="2148">
        <v>11</v>
      </c>
      <c r="G397" s="1542" t="s">
        <v>1741</v>
      </c>
      <c r="H397" s="2857"/>
      <c r="I397" s="1205"/>
      <c r="J397" s="1205"/>
      <c r="K397" s="1205"/>
      <c r="L397" s="1205"/>
      <c r="M397" s="1205"/>
      <c r="N397" s="1205"/>
      <c r="O397" s="1205"/>
      <c r="P397" s="1205"/>
      <c r="Q397" s="1205"/>
      <c r="R397" s="1205"/>
      <c r="S397" s="1197"/>
      <c r="T397" s="1197"/>
      <c r="U397" s="1197"/>
      <c r="V397" s="2958"/>
      <c r="W397" s="1209">
        <v>11</v>
      </c>
      <c r="X397" s="1209">
        <v>11</v>
      </c>
      <c r="Y397" s="1209">
        <v>11</v>
      </c>
      <c r="Z397" s="1209"/>
      <c r="AA397" s="1209"/>
      <c r="AB397" s="1209"/>
      <c r="AC397" s="1209"/>
      <c r="AD397" s="1209"/>
      <c r="AE397" s="1209"/>
      <c r="AF397" s="1209"/>
      <c r="AG397" s="1209"/>
      <c r="AK397" s="1166"/>
      <c r="BB397" s="1193"/>
    </row>
    <row r="398" spans="1:54" s="1177" customFormat="1" outlineLevel="1" x14ac:dyDescent="0.25">
      <c r="A398" s="1197"/>
      <c r="B398" s="1205"/>
      <c r="C398" s="1194"/>
      <c r="D398" s="2956"/>
      <c r="E398" s="574" t="s">
        <v>1735</v>
      </c>
      <c r="F398" s="2148">
        <v>11</v>
      </c>
      <c r="G398" s="1542" t="s">
        <v>1741</v>
      </c>
      <c r="H398" s="2857"/>
      <c r="I398" s="1205"/>
      <c r="J398" s="1205"/>
      <c r="K398" s="1205"/>
      <c r="L398" s="1205"/>
      <c r="M398" s="1205"/>
      <c r="N398" s="1205"/>
      <c r="O398" s="1205"/>
      <c r="P398" s="1205"/>
      <c r="Q398" s="1205"/>
      <c r="R398" s="1205"/>
      <c r="S398" s="1197"/>
      <c r="T398" s="1197"/>
      <c r="U398" s="1197"/>
      <c r="V398" s="2958"/>
      <c r="W398" s="1209">
        <v>11</v>
      </c>
      <c r="X398" s="1209">
        <v>11</v>
      </c>
      <c r="Y398" s="1209">
        <v>11</v>
      </c>
      <c r="Z398" s="1209"/>
      <c r="AA398" s="1209"/>
      <c r="AB398" s="1209"/>
      <c r="AC398" s="1209"/>
      <c r="AD398" s="1209"/>
      <c r="AE398" s="1209"/>
      <c r="AF398" s="1209"/>
      <c r="AG398" s="1209"/>
      <c r="AK398" s="1166"/>
      <c r="BB398" s="1193"/>
    </row>
    <row r="399" spans="1:54" s="1177" customFormat="1" outlineLevel="1" x14ac:dyDescent="0.25">
      <c r="A399" s="1197"/>
      <c r="B399" s="1205"/>
      <c r="C399" s="1194"/>
      <c r="D399" s="2956"/>
      <c r="E399" s="583" t="s">
        <v>1737</v>
      </c>
      <c r="F399" s="2148">
        <v>11</v>
      </c>
      <c r="G399" s="1542" t="s">
        <v>1741</v>
      </c>
      <c r="H399" s="2857"/>
      <c r="I399" s="1205"/>
      <c r="J399" s="1205"/>
      <c r="K399" s="1205"/>
      <c r="L399" s="1205"/>
      <c r="M399" s="1205"/>
      <c r="N399" s="1205"/>
      <c r="O399" s="1205"/>
      <c r="P399" s="1205"/>
      <c r="Q399" s="1205"/>
      <c r="R399" s="1205"/>
      <c r="S399" s="1197"/>
      <c r="T399" s="1197"/>
      <c r="U399" s="1197"/>
      <c r="V399" s="2958"/>
      <c r="W399" s="1209">
        <v>11</v>
      </c>
      <c r="X399" s="1209">
        <v>11</v>
      </c>
      <c r="Y399" s="1209">
        <v>11</v>
      </c>
      <c r="Z399" s="1209"/>
      <c r="AA399" s="1209"/>
      <c r="AB399" s="1209"/>
      <c r="AC399" s="1209"/>
      <c r="AD399" s="1209"/>
      <c r="AE399" s="1209"/>
      <c r="AF399" s="1209"/>
      <c r="AG399" s="1209"/>
      <c r="AK399" s="1166"/>
      <c r="BB399" s="1193"/>
    </row>
    <row r="400" spans="1:54" s="1177" customFormat="1" outlineLevel="1" x14ac:dyDescent="0.25">
      <c r="A400" s="1197"/>
      <c r="B400" s="1205"/>
      <c r="C400" s="1194"/>
      <c r="D400" s="2969"/>
      <c r="E400" s="574" t="s">
        <v>1739</v>
      </c>
      <c r="F400" s="1541">
        <v>11</v>
      </c>
      <c r="G400" s="1542" t="s">
        <v>1741</v>
      </c>
      <c r="H400" s="2939"/>
      <c r="I400" s="1205"/>
      <c r="J400" s="1205"/>
      <c r="K400" s="1205"/>
      <c r="L400" s="1205"/>
      <c r="M400" s="1205"/>
      <c r="N400" s="1205"/>
      <c r="O400" s="1205"/>
      <c r="P400" s="1205"/>
      <c r="Q400" s="1205"/>
      <c r="R400" s="1205"/>
      <c r="S400" s="1197"/>
      <c r="T400" s="1197"/>
      <c r="U400" s="1197"/>
      <c r="V400" s="2965"/>
      <c r="W400" s="1188">
        <v>11</v>
      </c>
      <c r="X400" s="1188">
        <v>11</v>
      </c>
      <c r="Y400" s="1188">
        <v>11</v>
      </c>
      <c r="Z400" s="1188"/>
      <c r="AA400" s="1188"/>
      <c r="AB400" s="1188"/>
      <c r="AC400" s="1188"/>
      <c r="AD400" s="1188"/>
      <c r="AE400" s="1188"/>
      <c r="AF400" s="1188"/>
      <c r="AG400" s="1188"/>
      <c r="AK400" s="1166"/>
      <c r="BB400" s="1193"/>
    </row>
    <row r="401" spans="1:54" s="1177" customFormat="1" outlineLevel="1" x14ac:dyDescent="0.25">
      <c r="A401" s="1197"/>
      <c r="B401" s="1205"/>
      <c r="C401" s="1194"/>
      <c r="D401" s="2149" t="str">
        <f>D38</f>
        <v>EUL</v>
      </c>
      <c r="E401" s="1278" t="s">
        <v>637</v>
      </c>
      <c r="F401" s="1282">
        <v>25</v>
      </c>
      <c r="G401" s="1679"/>
      <c r="H401" s="1279"/>
      <c r="I401" s="588"/>
      <c r="J401" s="1205"/>
      <c r="K401" s="1205"/>
      <c r="L401" s="1205"/>
      <c r="M401" s="1205"/>
      <c r="N401" s="1205"/>
      <c r="O401" s="1205"/>
      <c r="P401" s="1205"/>
      <c r="Q401" s="1205"/>
      <c r="R401" s="1205"/>
      <c r="S401" s="1197"/>
      <c r="T401" s="1197"/>
      <c r="U401" s="1197"/>
      <c r="V401" s="1211" t="str">
        <f>D401</f>
        <v>EUL</v>
      </c>
      <c r="W401" s="1212">
        <v>25</v>
      </c>
      <c r="X401" s="1212">
        <v>25</v>
      </c>
      <c r="Y401" s="1212">
        <v>25</v>
      </c>
      <c r="Z401" s="1212"/>
      <c r="AA401" s="1212"/>
      <c r="AB401" s="1212"/>
      <c r="AC401" s="1212"/>
      <c r="AD401" s="1212"/>
      <c r="AE401" s="1212"/>
      <c r="AF401" s="1212"/>
      <c r="AG401" s="1212"/>
      <c r="AK401" s="1166"/>
      <c r="BB401" s="1193"/>
    </row>
    <row r="402" spans="1:54" s="1177" customFormat="1" outlineLevel="1" x14ac:dyDescent="0.25">
      <c r="A402" s="1197"/>
      <c r="B402" s="1205"/>
      <c r="C402" s="1194"/>
      <c r="D402" s="2971" t="str">
        <f>D103</f>
        <v>Inc. Cost</v>
      </c>
      <c r="E402" s="1278" t="s">
        <v>1681</v>
      </c>
      <c r="F402" s="610">
        <f>1860.46/(1347*0.65)</f>
        <v>2.1249043458397576</v>
      </c>
      <c r="G402" s="2966" t="s">
        <v>1676</v>
      </c>
      <c r="H402" s="1542" t="s">
        <v>1742</v>
      </c>
      <c r="I402" s="588">
        <f>0.65*1347</f>
        <v>875.55000000000007</v>
      </c>
      <c r="J402" s="1205"/>
      <c r="K402" s="1205"/>
      <c r="L402" s="1205"/>
      <c r="M402" s="1205"/>
      <c r="N402" s="1205"/>
      <c r="O402" s="1205"/>
      <c r="P402" s="1205"/>
      <c r="Q402" s="1205"/>
      <c r="R402" s="1205"/>
      <c r="S402" s="1197"/>
      <c r="T402" s="1197"/>
      <c r="U402" s="1197"/>
      <c r="V402" s="2977" t="str">
        <f>D402</f>
        <v>Inc. Cost</v>
      </c>
      <c r="W402" s="1214">
        <v>1860.46</v>
      </c>
      <c r="X402" s="1214">
        <v>1860.46</v>
      </c>
      <c r="Y402" s="906">
        <v>2.1249043458397576</v>
      </c>
      <c r="Z402" s="1214"/>
      <c r="AA402" s="1214"/>
      <c r="AB402" s="1214"/>
      <c r="AC402" s="1214"/>
      <c r="AD402" s="1214"/>
      <c r="AE402" s="1214"/>
      <c r="AF402" s="1214"/>
      <c r="AG402" s="1214"/>
      <c r="AK402" s="1166"/>
      <c r="BB402" s="1193"/>
    </row>
    <row r="403" spans="1:54" s="1177" customFormat="1" outlineLevel="1" x14ac:dyDescent="0.25">
      <c r="A403" s="1197"/>
      <c r="B403" s="1205"/>
      <c r="C403" s="1194"/>
      <c r="D403" s="2972"/>
      <c r="E403" s="1278" t="s">
        <v>1683</v>
      </c>
      <c r="F403" s="610">
        <f>1860.46/(1347*0.65)</f>
        <v>2.1249043458397576</v>
      </c>
      <c r="G403" s="2676"/>
      <c r="H403" s="1542" t="s">
        <v>1742</v>
      </c>
      <c r="I403" s="588">
        <f>0.65*1347</f>
        <v>875.55000000000007</v>
      </c>
      <c r="J403" s="1205"/>
      <c r="K403" s="1205"/>
      <c r="L403" s="1205"/>
      <c r="M403" s="1205"/>
      <c r="N403" s="1205"/>
      <c r="O403" s="1205"/>
      <c r="P403" s="1205"/>
      <c r="Q403" s="1205"/>
      <c r="R403" s="1205"/>
      <c r="S403" s="1197"/>
      <c r="T403" s="1197"/>
      <c r="U403" s="1197"/>
      <c r="V403" s="2978"/>
      <c r="W403" s="1214">
        <v>1860.46</v>
      </c>
      <c r="X403" s="1214">
        <v>1860.46</v>
      </c>
      <c r="Y403" s="906">
        <v>2.1249043458397576</v>
      </c>
      <c r="Z403" s="1214"/>
      <c r="AA403" s="1214"/>
      <c r="AB403" s="1214"/>
      <c r="AC403" s="1214"/>
      <c r="AD403" s="1214"/>
      <c r="AE403" s="1214"/>
      <c r="AF403" s="1214"/>
      <c r="AG403" s="1214"/>
      <c r="AK403" s="1166"/>
      <c r="BB403" s="1193"/>
    </row>
    <row r="404" spans="1:54" s="1177" customFormat="1" outlineLevel="1" x14ac:dyDescent="0.25">
      <c r="A404" s="1197"/>
      <c r="B404" s="1205"/>
      <c r="C404" s="1194"/>
      <c r="D404" s="2972"/>
      <c r="E404" s="1278" t="s">
        <v>1685</v>
      </c>
      <c r="F404" s="610">
        <f t="shared" ref="F404" si="42">1860.46/(1347*0.65)</f>
        <v>2.1249043458397576</v>
      </c>
      <c r="G404" s="2676"/>
      <c r="H404" s="1542" t="s">
        <v>1742</v>
      </c>
      <c r="I404" s="588">
        <f>0.65*1347</f>
        <v>875.55000000000007</v>
      </c>
      <c r="J404" s="1205"/>
      <c r="K404" s="1205"/>
      <c r="L404" s="1205"/>
      <c r="M404" s="1205"/>
      <c r="N404" s="1205"/>
      <c r="O404" s="1205"/>
      <c r="P404" s="1205"/>
      <c r="Q404" s="1205"/>
      <c r="R404" s="1205"/>
      <c r="S404" s="1197"/>
      <c r="T404" s="1197"/>
      <c r="U404" s="1197"/>
      <c r="V404" s="2978"/>
      <c r="W404" s="1214">
        <v>1860.46</v>
      </c>
      <c r="X404" s="1214">
        <v>1860.46</v>
      </c>
      <c r="Y404" s="906">
        <v>2.1249043458397576</v>
      </c>
      <c r="Z404" s="1214"/>
      <c r="AA404" s="1214"/>
      <c r="AB404" s="1214"/>
      <c r="AC404" s="1214"/>
      <c r="AD404" s="1214"/>
      <c r="AE404" s="1214"/>
      <c r="AF404" s="1214"/>
      <c r="AG404" s="1214"/>
      <c r="AK404" s="1166"/>
      <c r="BB404" s="1193"/>
    </row>
    <row r="405" spans="1:54" s="1177" customFormat="1" outlineLevel="1" x14ac:dyDescent="0.25">
      <c r="A405" s="1197"/>
      <c r="B405" s="1205"/>
      <c r="C405" s="1194"/>
      <c r="D405" s="2972"/>
      <c r="E405" s="1278" t="s">
        <v>1687</v>
      </c>
      <c r="F405" s="610">
        <f>2862.25/1347</f>
        <v>2.1249072011878249</v>
      </c>
      <c r="G405" s="2676"/>
      <c r="H405" s="1542" t="s">
        <v>1743</v>
      </c>
      <c r="I405" s="588">
        <v>1347</v>
      </c>
      <c r="J405" s="1205"/>
      <c r="K405" s="1205"/>
      <c r="L405" s="1205"/>
      <c r="M405" s="1205"/>
      <c r="N405" s="1205"/>
      <c r="O405" s="1205"/>
      <c r="P405" s="1205"/>
      <c r="Q405" s="1205"/>
      <c r="R405" s="1205"/>
      <c r="S405" s="1197"/>
      <c r="T405" s="1197"/>
      <c r="U405" s="1197"/>
      <c r="V405" s="2978"/>
      <c r="W405" s="1214">
        <v>2862.25</v>
      </c>
      <c r="X405" s="1214">
        <v>2862.25</v>
      </c>
      <c r="Y405" s="906">
        <v>2.1249072011878249</v>
      </c>
      <c r="Z405" s="1214"/>
      <c r="AA405" s="1214"/>
      <c r="AB405" s="1214"/>
      <c r="AC405" s="1214"/>
      <c r="AD405" s="1214"/>
      <c r="AE405" s="1214"/>
      <c r="AF405" s="1214"/>
      <c r="AG405" s="1214"/>
      <c r="AK405" s="1166"/>
      <c r="BB405" s="1193"/>
    </row>
    <row r="406" spans="1:54" s="1177" customFormat="1" outlineLevel="1" x14ac:dyDescent="0.25">
      <c r="A406" s="1197"/>
      <c r="B406" s="1205"/>
      <c r="C406" s="1194"/>
      <c r="D406" s="2972"/>
      <c r="E406" s="1278" t="s">
        <v>1689</v>
      </c>
      <c r="F406" s="610">
        <f t="shared" ref="F406:F407" si="43">2862.25/1347</f>
        <v>2.1249072011878249</v>
      </c>
      <c r="G406" s="2676"/>
      <c r="H406" s="1542" t="s">
        <v>1743</v>
      </c>
      <c r="I406" s="588">
        <v>1347</v>
      </c>
      <c r="J406" s="1205"/>
      <c r="K406" s="1205"/>
      <c r="L406" s="1205"/>
      <c r="M406" s="1205"/>
      <c r="N406" s="1205"/>
      <c r="O406" s="1205"/>
      <c r="P406" s="1205"/>
      <c r="Q406" s="1205"/>
      <c r="R406" s="1205"/>
      <c r="S406" s="1197"/>
      <c r="T406" s="1197"/>
      <c r="U406" s="1197"/>
      <c r="V406" s="2978"/>
      <c r="W406" s="1214">
        <v>2862.25</v>
      </c>
      <c r="X406" s="1214">
        <v>2862.25</v>
      </c>
      <c r="Y406" s="906">
        <v>2.1249072011878249</v>
      </c>
      <c r="Z406" s="1214"/>
      <c r="AA406" s="1214"/>
      <c r="AB406" s="1214"/>
      <c r="AC406" s="1214"/>
      <c r="AD406" s="1214"/>
      <c r="AE406" s="1214"/>
      <c r="AF406" s="1214"/>
      <c r="AG406" s="1214"/>
      <c r="AK406" s="1166"/>
      <c r="BB406" s="1193"/>
    </row>
    <row r="407" spans="1:54" s="1177" customFormat="1" outlineLevel="1" x14ac:dyDescent="0.25">
      <c r="A407" s="1197"/>
      <c r="B407" s="1205"/>
      <c r="C407" s="1194"/>
      <c r="D407" s="2972"/>
      <c r="E407" s="1278" t="s">
        <v>1691</v>
      </c>
      <c r="F407" s="610">
        <f t="shared" si="43"/>
        <v>2.1249072011878249</v>
      </c>
      <c r="G407" s="2676"/>
      <c r="H407" s="1542" t="s">
        <v>1743</v>
      </c>
      <c r="I407" s="588">
        <v>1347</v>
      </c>
      <c r="J407" s="1205"/>
      <c r="K407" s="1205"/>
      <c r="L407" s="1205"/>
      <c r="M407" s="1205"/>
      <c r="N407" s="1205"/>
      <c r="O407" s="1205"/>
      <c r="P407" s="1205"/>
      <c r="Q407" s="1205"/>
      <c r="R407" s="1205"/>
      <c r="S407" s="1197"/>
      <c r="T407" s="1197"/>
      <c r="U407" s="1197"/>
      <c r="V407" s="2978"/>
      <c r="W407" s="1214">
        <v>2862.25</v>
      </c>
      <c r="X407" s="1214">
        <v>2862.25</v>
      </c>
      <c r="Y407" s="906">
        <v>2.1249072011878249</v>
      </c>
      <c r="Z407" s="1214"/>
      <c r="AA407" s="1214"/>
      <c r="AB407" s="1214"/>
      <c r="AC407" s="1214"/>
      <c r="AD407" s="1214"/>
      <c r="AE407" s="1214"/>
      <c r="AF407" s="1214"/>
      <c r="AG407" s="1214"/>
      <c r="AK407" s="1166"/>
      <c r="BB407" s="1193"/>
    </row>
    <row r="408" spans="1:54" s="1177" customFormat="1" outlineLevel="1" x14ac:dyDescent="0.25">
      <c r="A408" s="1197"/>
      <c r="B408" s="1205"/>
      <c r="C408" s="1194"/>
      <c r="D408" s="2972"/>
      <c r="E408" s="1278" t="s">
        <v>1693</v>
      </c>
      <c r="F408" s="610">
        <f>836.16/(1106*0.65)</f>
        <v>1.1631103074141049</v>
      </c>
      <c r="G408" s="2676"/>
      <c r="H408" s="1542" t="s">
        <v>1744</v>
      </c>
      <c r="I408" s="588">
        <f>0.65*1106</f>
        <v>718.9</v>
      </c>
      <c r="J408" s="1205"/>
      <c r="K408" s="1205"/>
      <c r="L408" s="1205"/>
      <c r="M408" s="1205"/>
      <c r="N408" s="1205"/>
      <c r="O408" s="1205"/>
      <c r="P408" s="1205"/>
      <c r="Q408" s="1205"/>
      <c r="R408" s="1205"/>
      <c r="S408" s="1197"/>
      <c r="T408" s="1197"/>
      <c r="U408" s="1197"/>
      <c r="V408" s="2978"/>
      <c r="W408" s="1214">
        <v>836.16</v>
      </c>
      <c r="X408" s="1214">
        <v>836.16</v>
      </c>
      <c r="Y408" s="906">
        <v>1.1631103074141049</v>
      </c>
      <c r="Z408" s="1214"/>
      <c r="AA408" s="1214"/>
      <c r="AB408" s="1214"/>
      <c r="AC408" s="1214"/>
      <c r="AD408" s="1214"/>
      <c r="AE408" s="1214"/>
      <c r="AF408" s="1214"/>
      <c r="AG408" s="1214"/>
      <c r="AK408" s="1166"/>
      <c r="BB408" s="1193"/>
    </row>
    <row r="409" spans="1:54" s="1177" customFormat="1" outlineLevel="1" x14ac:dyDescent="0.25">
      <c r="A409" s="1197"/>
      <c r="B409" s="1205"/>
      <c r="C409" s="1194"/>
      <c r="D409" s="2972"/>
      <c r="E409" s="1278" t="s">
        <v>1695</v>
      </c>
      <c r="F409" s="610">
        <f t="shared" ref="F409:F410" si="44">836.16/(1106*0.65)</f>
        <v>1.1631103074141049</v>
      </c>
      <c r="G409" s="2676"/>
      <c r="H409" s="1542" t="s">
        <v>1744</v>
      </c>
      <c r="I409" s="588">
        <f>0.65*1106</f>
        <v>718.9</v>
      </c>
      <c r="J409" s="1205"/>
      <c r="K409" s="1205"/>
      <c r="L409" s="1205"/>
      <c r="M409" s="1205"/>
      <c r="N409" s="1205"/>
      <c r="O409" s="1205"/>
      <c r="P409" s="1205"/>
      <c r="Q409" s="1205"/>
      <c r="R409" s="1205"/>
      <c r="S409" s="1197"/>
      <c r="T409" s="1197"/>
      <c r="U409" s="1197"/>
      <c r="V409" s="2978"/>
      <c r="W409" s="1214">
        <v>836.16</v>
      </c>
      <c r="X409" s="1214">
        <v>836.16</v>
      </c>
      <c r="Y409" s="906">
        <v>1.1631103074141049</v>
      </c>
      <c r="Z409" s="1214"/>
      <c r="AA409" s="1214"/>
      <c r="AB409" s="1214"/>
      <c r="AC409" s="1214"/>
      <c r="AD409" s="1214"/>
      <c r="AE409" s="1214"/>
      <c r="AF409" s="1214"/>
      <c r="AG409" s="1214"/>
      <c r="AK409" s="1166"/>
      <c r="BB409" s="1193"/>
    </row>
    <row r="410" spans="1:54" s="1177" customFormat="1" outlineLevel="1" x14ac:dyDescent="0.25">
      <c r="A410" s="1197"/>
      <c r="B410" s="1205"/>
      <c r="C410" s="1194"/>
      <c r="D410" s="2972"/>
      <c r="E410" s="2150" t="s">
        <v>1697</v>
      </c>
      <c r="F410" s="610">
        <f t="shared" si="44"/>
        <v>1.1631103074141049</v>
      </c>
      <c r="G410" s="2975"/>
      <c r="H410" s="1542" t="s">
        <v>1744</v>
      </c>
      <c r="I410" s="588">
        <f>0.65*1106</f>
        <v>718.9</v>
      </c>
      <c r="J410" s="1205"/>
      <c r="K410" s="1205"/>
      <c r="L410" s="1205"/>
      <c r="M410" s="1205"/>
      <c r="N410" s="1205"/>
      <c r="O410" s="1205"/>
      <c r="P410" s="1205"/>
      <c r="Q410" s="1205"/>
      <c r="R410" s="1205"/>
      <c r="S410" s="1197"/>
      <c r="T410" s="1197"/>
      <c r="U410" s="1197"/>
      <c r="V410" s="2978"/>
      <c r="W410" s="1214">
        <v>836.16</v>
      </c>
      <c r="X410" s="1214">
        <v>836.16</v>
      </c>
      <c r="Y410" s="906">
        <v>1.1631103074141049</v>
      </c>
      <c r="Z410" s="1214"/>
      <c r="AA410" s="1214"/>
      <c r="AB410" s="1214"/>
      <c r="AC410" s="1214"/>
      <c r="AD410" s="1214"/>
      <c r="AE410" s="1214"/>
      <c r="AF410" s="1214"/>
      <c r="AG410" s="1214"/>
      <c r="AK410" s="1166"/>
      <c r="BB410" s="1193"/>
    </row>
    <row r="411" spans="1:54" s="1177" customFormat="1" outlineLevel="1" x14ac:dyDescent="0.25">
      <c r="A411" s="1197"/>
      <c r="B411" s="1205"/>
      <c r="C411" s="1194"/>
      <c r="D411" s="2972"/>
      <c r="E411" s="1278" t="s">
        <v>1699</v>
      </c>
      <c r="F411" s="610">
        <f>1286.39/1106</f>
        <v>1.1631012658227848</v>
      </c>
      <c r="G411" s="2975"/>
      <c r="H411" s="1542" t="s">
        <v>1745</v>
      </c>
      <c r="I411" s="588">
        <v>1106</v>
      </c>
      <c r="J411" s="1205"/>
      <c r="K411" s="1205"/>
      <c r="L411" s="1205"/>
      <c r="M411" s="1205"/>
      <c r="N411" s="1205"/>
      <c r="O411" s="1205"/>
      <c r="P411" s="1205"/>
      <c r="Q411" s="1205"/>
      <c r="R411" s="1205"/>
      <c r="S411" s="1197"/>
      <c r="T411" s="1197"/>
      <c r="U411" s="1197"/>
      <c r="V411" s="2978"/>
      <c r="W411" s="1214">
        <v>1286.3900000000001</v>
      </c>
      <c r="X411" s="1214">
        <v>1286.3900000000001</v>
      </c>
      <c r="Y411" s="906">
        <v>1.1631012658227848</v>
      </c>
      <c r="Z411" s="1214"/>
      <c r="AA411" s="1214"/>
      <c r="AB411" s="1214"/>
      <c r="AC411" s="1214"/>
      <c r="AD411" s="1214"/>
      <c r="AE411" s="1214"/>
      <c r="AF411" s="1214"/>
      <c r="AG411" s="1214"/>
      <c r="AK411" s="1166"/>
      <c r="BB411" s="1193"/>
    </row>
    <row r="412" spans="1:54" s="1177" customFormat="1" outlineLevel="1" x14ac:dyDescent="0.25">
      <c r="A412" s="1197"/>
      <c r="B412" s="1205"/>
      <c r="C412" s="1194"/>
      <c r="D412" s="2972"/>
      <c r="E412" s="1278" t="s">
        <v>1701</v>
      </c>
      <c r="F412" s="610">
        <f t="shared" ref="F412:F413" si="45">1286.39/1106</f>
        <v>1.1631012658227848</v>
      </c>
      <c r="G412" s="2975"/>
      <c r="H412" s="1542" t="s">
        <v>1745</v>
      </c>
      <c r="I412" s="588">
        <v>1106</v>
      </c>
      <c r="J412" s="1205"/>
      <c r="K412" s="1205"/>
      <c r="L412" s="1205"/>
      <c r="M412" s="1205"/>
      <c r="N412" s="1205"/>
      <c r="O412" s="1205"/>
      <c r="P412" s="1205"/>
      <c r="Q412" s="1205"/>
      <c r="R412" s="1205"/>
      <c r="S412" s="1197"/>
      <c r="T412" s="1197"/>
      <c r="U412" s="1197"/>
      <c r="V412" s="2978"/>
      <c r="W412" s="1214">
        <v>1286.3900000000001</v>
      </c>
      <c r="X412" s="1214">
        <v>1286.3900000000001</v>
      </c>
      <c r="Y412" s="906">
        <v>1.1631012658227848</v>
      </c>
      <c r="Z412" s="1214"/>
      <c r="AA412" s="1214"/>
      <c r="AB412" s="1214"/>
      <c r="AC412" s="1214"/>
      <c r="AD412" s="1214"/>
      <c r="AE412" s="1214"/>
      <c r="AF412" s="1214"/>
      <c r="AG412" s="1214"/>
      <c r="AK412" s="1166"/>
      <c r="BB412" s="1193"/>
    </row>
    <row r="413" spans="1:54" s="1177" customFormat="1" outlineLevel="1" x14ac:dyDescent="0.25">
      <c r="A413" s="1197"/>
      <c r="B413" s="1205"/>
      <c r="C413" s="1194"/>
      <c r="D413" s="2972"/>
      <c r="E413" s="2151" t="s">
        <v>1703</v>
      </c>
      <c r="F413" s="610">
        <f t="shared" si="45"/>
        <v>1.1631012658227848</v>
      </c>
      <c r="G413" s="2975"/>
      <c r="H413" s="1542" t="s">
        <v>1745</v>
      </c>
      <c r="I413" s="588">
        <v>1106</v>
      </c>
      <c r="J413" s="1205"/>
      <c r="K413" s="1205"/>
      <c r="L413" s="1205"/>
      <c r="M413" s="1205"/>
      <c r="N413" s="1205"/>
      <c r="O413" s="1205"/>
      <c r="P413" s="1205"/>
      <c r="Q413" s="1205"/>
      <c r="R413" s="1205"/>
      <c r="S413" s="1197"/>
      <c r="T413" s="1197"/>
      <c r="U413" s="1197"/>
      <c r="V413" s="2978"/>
      <c r="W413" s="1214">
        <v>1286.3900000000001</v>
      </c>
      <c r="X413" s="1214">
        <v>1286.3900000000001</v>
      </c>
      <c r="Y413" s="906">
        <v>1.1631012658227848</v>
      </c>
      <c r="Z413" s="1214"/>
      <c r="AA413" s="1214"/>
      <c r="AB413" s="1214"/>
      <c r="AC413" s="1214"/>
      <c r="AD413" s="1214"/>
      <c r="AE413" s="1214"/>
      <c r="AF413" s="1214"/>
      <c r="AG413" s="1214"/>
      <c r="AK413" s="1166"/>
      <c r="BB413" s="1193"/>
    </row>
    <row r="414" spans="1:54" s="1177" customFormat="1" outlineLevel="1" x14ac:dyDescent="0.25">
      <c r="A414" s="1197"/>
      <c r="B414" s="1205"/>
      <c r="C414" s="1194"/>
      <c r="D414" s="2972"/>
      <c r="E414" s="1278" t="s">
        <v>1705</v>
      </c>
      <c r="F414" s="610">
        <f>1208.5/(1106*0.65)</f>
        <v>1.6810404785088331</v>
      </c>
      <c r="G414" s="2975"/>
      <c r="H414" s="1542" t="s">
        <v>1744</v>
      </c>
      <c r="I414" s="588">
        <f>0.65*1106</f>
        <v>718.9</v>
      </c>
      <c r="J414" s="1205"/>
      <c r="K414" s="1205"/>
      <c r="L414" s="1205"/>
      <c r="M414" s="1205"/>
      <c r="N414" s="1205"/>
      <c r="O414" s="1205"/>
      <c r="P414" s="1205"/>
      <c r="Q414" s="1205"/>
      <c r="R414" s="1205"/>
      <c r="S414" s="1197"/>
      <c r="T414" s="1197"/>
      <c r="U414" s="1197"/>
      <c r="V414" s="2978"/>
      <c r="W414" s="1214">
        <v>1208.5</v>
      </c>
      <c r="X414" s="1214">
        <v>1208.5</v>
      </c>
      <c r="Y414" s="906">
        <v>1.6810404785088331</v>
      </c>
      <c r="Z414" s="1214"/>
      <c r="AA414" s="1214"/>
      <c r="AB414" s="1214"/>
      <c r="AC414" s="1214"/>
      <c r="AD414" s="1214"/>
      <c r="AE414" s="1214"/>
      <c r="AF414" s="1214"/>
      <c r="AG414" s="1214"/>
      <c r="AK414" s="1166"/>
      <c r="BB414" s="1193"/>
    </row>
    <row r="415" spans="1:54" s="1177" customFormat="1" outlineLevel="1" x14ac:dyDescent="0.25">
      <c r="A415" s="1197"/>
      <c r="B415" s="1205"/>
      <c r="C415" s="1194"/>
      <c r="D415" s="2972"/>
      <c r="E415" s="1278" t="s">
        <v>1707</v>
      </c>
      <c r="F415" s="610">
        <f t="shared" ref="F415:F416" si="46">1208.5/(1106*0.65)</f>
        <v>1.6810404785088331</v>
      </c>
      <c r="G415" s="2975"/>
      <c r="H415" s="1542" t="s">
        <v>1744</v>
      </c>
      <c r="I415" s="588">
        <f>0.65*1106</f>
        <v>718.9</v>
      </c>
      <c r="J415" s="1205"/>
      <c r="K415" s="1205"/>
      <c r="L415" s="1205"/>
      <c r="M415" s="1205"/>
      <c r="N415" s="1205"/>
      <c r="O415" s="1205"/>
      <c r="P415" s="1205"/>
      <c r="Q415" s="1205"/>
      <c r="R415" s="1205"/>
      <c r="S415" s="1197"/>
      <c r="T415" s="1197"/>
      <c r="U415" s="1197"/>
      <c r="V415" s="2978"/>
      <c r="W415" s="1214">
        <v>1208.5</v>
      </c>
      <c r="X415" s="1214">
        <v>1208.5</v>
      </c>
      <c r="Y415" s="906">
        <v>1.6810404785088331</v>
      </c>
      <c r="Z415" s="1214"/>
      <c r="AA415" s="1214"/>
      <c r="AB415" s="1214"/>
      <c r="AC415" s="1214"/>
      <c r="AD415" s="1214"/>
      <c r="AE415" s="1214"/>
      <c r="AF415" s="1214"/>
      <c r="AG415" s="1214"/>
      <c r="AK415" s="1166"/>
      <c r="BB415" s="1193"/>
    </row>
    <row r="416" spans="1:54" s="1177" customFormat="1" outlineLevel="1" x14ac:dyDescent="0.25">
      <c r="A416" s="1197"/>
      <c r="B416" s="1205"/>
      <c r="C416" s="1194"/>
      <c r="D416" s="2972"/>
      <c r="E416" s="2150" t="s">
        <v>1709</v>
      </c>
      <c r="F416" s="610">
        <f t="shared" si="46"/>
        <v>1.6810404785088331</v>
      </c>
      <c r="G416" s="2975"/>
      <c r="H416" s="1542" t="s">
        <v>1744</v>
      </c>
      <c r="I416" s="588">
        <f>0.65*1106</f>
        <v>718.9</v>
      </c>
      <c r="J416" s="1205"/>
      <c r="K416" s="1205"/>
      <c r="L416" s="1205"/>
      <c r="M416" s="1205"/>
      <c r="N416" s="1205"/>
      <c r="O416" s="1205"/>
      <c r="P416" s="1205"/>
      <c r="Q416" s="1205"/>
      <c r="R416" s="1205"/>
      <c r="S416" s="1197"/>
      <c r="T416" s="1197"/>
      <c r="U416" s="1197"/>
      <c r="V416" s="2978"/>
      <c r="W416" s="1214">
        <v>1208.5</v>
      </c>
      <c r="X416" s="1214">
        <v>1208.5</v>
      </c>
      <c r="Y416" s="906">
        <v>1.6810404785088331</v>
      </c>
      <c r="Z416" s="1214"/>
      <c r="AA416" s="1214"/>
      <c r="AB416" s="1214"/>
      <c r="AC416" s="1214"/>
      <c r="AD416" s="1214"/>
      <c r="AE416" s="1214"/>
      <c r="AF416" s="1214"/>
      <c r="AG416" s="1214"/>
      <c r="AK416" s="1166"/>
      <c r="BB416" s="1193"/>
    </row>
    <row r="417" spans="1:54" s="1177" customFormat="1" outlineLevel="1" x14ac:dyDescent="0.25">
      <c r="A417" s="1197"/>
      <c r="B417" s="1205"/>
      <c r="C417" s="1194"/>
      <c r="D417" s="2972"/>
      <c r="E417" s="2150" t="s">
        <v>1711</v>
      </c>
      <c r="F417" s="610">
        <f>1859.23/1106</f>
        <v>1.6810397830018082</v>
      </c>
      <c r="G417" s="2975"/>
      <c r="H417" s="1542" t="s">
        <v>1745</v>
      </c>
      <c r="I417" s="588">
        <v>1106</v>
      </c>
      <c r="J417" s="1205"/>
      <c r="K417" s="1205"/>
      <c r="L417" s="1205"/>
      <c r="M417" s="1205"/>
      <c r="N417" s="1205"/>
      <c r="O417" s="1205"/>
      <c r="P417" s="1205"/>
      <c r="Q417" s="1205"/>
      <c r="R417" s="1205"/>
      <c r="S417" s="1197"/>
      <c r="T417" s="1197"/>
      <c r="U417" s="1197"/>
      <c r="V417" s="2978"/>
      <c r="W417" s="1214">
        <v>1859.23</v>
      </c>
      <c r="X417" s="1214">
        <v>1859.23</v>
      </c>
      <c r="Y417" s="906">
        <v>1.6810397830018082</v>
      </c>
      <c r="Z417" s="1214"/>
      <c r="AA417" s="1214"/>
      <c r="AB417" s="1214"/>
      <c r="AC417" s="1214"/>
      <c r="AD417" s="1214"/>
      <c r="AE417" s="1214"/>
      <c r="AF417" s="1214"/>
      <c r="AG417" s="1214"/>
      <c r="AK417" s="1166"/>
      <c r="BB417" s="1193"/>
    </row>
    <row r="418" spans="1:54" s="1177" customFormat="1" outlineLevel="1" x14ac:dyDescent="0.25">
      <c r="A418" s="1197"/>
      <c r="B418" s="1205"/>
      <c r="C418" s="1194"/>
      <c r="D418" s="2973"/>
      <c r="E418" s="1278" t="s">
        <v>1713</v>
      </c>
      <c r="F418" s="610">
        <f t="shared" ref="F418:F419" si="47">1859.23/1106</f>
        <v>1.6810397830018082</v>
      </c>
      <c r="G418" s="2975"/>
      <c r="H418" s="1542" t="s">
        <v>1745</v>
      </c>
      <c r="I418" s="588">
        <v>1106</v>
      </c>
      <c r="J418" s="1205"/>
      <c r="K418" s="1205"/>
      <c r="L418" s="1205"/>
      <c r="M418" s="1205"/>
      <c r="N418" s="1205"/>
      <c r="O418" s="1205"/>
      <c r="P418" s="1205"/>
      <c r="Q418" s="1205"/>
      <c r="R418" s="1205"/>
      <c r="S418" s="1197"/>
      <c r="T418" s="1197"/>
      <c r="U418" s="1197"/>
      <c r="V418" s="2978"/>
      <c r="W418" s="1214">
        <v>1859.23</v>
      </c>
      <c r="X418" s="1214">
        <v>1859.23</v>
      </c>
      <c r="Y418" s="906">
        <v>1.6810397830018082</v>
      </c>
      <c r="Z418" s="1214"/>
      <c r="AA418" s="1214"/>
      <c r="AB418" s="1214"/>
      <c r="AC418" s="1214"/>
      <c r="AD418" s="1214"/>
      <c r="AE418" s="1214"/>
      <c r="AF418" s="1214"/>
      <c r="AG418" s="1214"/>
      <c r="AK418" s="1166"/>
      <c r="BB418" s="1193"/>
    </row>
    <row r="419" spans="1:54" s="1177" customFormat="1" outlineLevel="1" x14ac:dyDescent="0.25">
      <c r="A419" s="1197"/>
      <c r="B419" s="1205"/>
      <c r="C419" s="1194"/>
      <c r="D419" s="2972"/>
      <c r="E419" s="2151" t="s">
        <v>1715</v>
      </c>
      <c r="F419" s="610">
        <f t="shared" si="47"/>
        <v>1.6810397830018082</v>
      </c>
      <c r="G419" s="2975"/>
      <c r="H419" s="1542" t="s">
        <v>1745</v>
      </c>
      <c r="I419" s="588">
        <v>1106</v>
      </c>
      <c r="J419" s="1205"/>
      <c r="K419" s="1205"/>
      <c r="L419" s="1205"/>
      <c r="M419" s="1205"/>
      <c r="N419" s="1205"/>
      <c r="O419" s="1205"/>
      <c r="P419" s="1205"/>
      <c r="Q419" s="1205"/>
      <c r="R419" s="1205"/>
      <c r="S419" s="1197"/>
      <c r="T419" s="1197"/>
      <c r="U419" s="1197"/>
      <c r="V419" s="2978"/>
      <c r="W419" s="1214">
        <v>1859.23</v>
      </c>
      <c r="X419" s="1214">
        <v>1859.23</v>
      </c>
      <c r="Y419" s="906">
        <v>1.6810397830018082</v>
      </c>
      <c r="Z419" s="1214"/>
      <c r="AA419" s="1214"/>
      <c r="AB419" s="1214"/>
      <c r="AC419" s="1214"/>
      <c r="AD419" s="1214"/>
      <c r="AE419" s="1214"/>
      <c r="AF419" s="1214"/>
      <c r="AG419" s="1214"/>
      <c r="AK419" s="1166"/>
      <c r="BB419" s="1193"/>
    </row>
    <row r="420" spans="1:54" s="1177" customFormat="1" outlineLevel="1" x14ac:dyDescent="0.25">
      <c r="A420" s="1197"/>
      <c r="B420" s="1205"/>
      <c r="C420" s="1194"/>
      <c r="D420" s="2972"/>
      <c r="E420" s="1278" t="s">
        <v>1717</v>
      </c>
      <c r="F420" s="610">
        <f>1846.68/(1106*0.65)</f>
        <v>2.568757824454027</v>
      </c>
      <c r="G420" s="2975"/>
      <c r="H420" s="1542" t="s">
        <v>1744</v>
      </c>
      <c r="I420" s="588">
        <f>0.65*1106</f>
        <v>718.9</v>
      </c>
      <c r="J420" s="1205"/>
      <c r="K420" s="1205"/>
      <c r="L420" s="1205"/>
      <c r="M420" s="1205"/>
      <c r="N420" s="1205"/>
      <c r="O420" s="1205"/>
      <c r="P420" s="1205"/>
      <c r="Q420" s="1205"/>
      <c r="R420" s="1205"/>
      <c r="S420" s="1197"/>
      <c r="T420" s="1197"/>
      <c r="U420" s="1197"/>
      <c r="V420" s="2978"/>
      <c r="W420" s="1214">
        <v>1846.68</v>
      </c>
      <c r="X420" s="1214">
        <v>1846.68</v>
      </c>
      <c r="Y420" s="906">
        <v>2.568757824454027</v>
      </c>
      <c r="Z420" s="1214"/>
      <c r="AA420" s="1214"/>
      <c r="AB420" s="1214"/>
      <c r="AC420" s="1214"/>
      <c r="AD420" s="1214"/>
      <c r="AE420" s="1214"/>
      <c r="AF420" s="1214"/>
      <c r="AG420" s="1214"/>
      <c r="AK420" s="1166"/>
      <c r="BB420" s="1193"/>
    </row>
    <row r="421" spans="1:54" s="1177" customFormat="1" outlineLevel="1" x14ac:dyDescent="0.25">
      <c r="A421" s="1197"/>
      <c r="B421" s="1205"/>
      <c r="C421" s="1194"/>
      <c r="D421" s="2972"/>
      <c r="E421" s="1278" t="s">
        <v>1719</v>
      </c>
      <c r="F421" s="610">
        <f t="shared" ref="F421:F422" si="48">1846.68/(1106*0.65)</f>
        <v>2.568757824454027</v>
      </c>
      <c r="G421" s="2975"/>
      <c r="H421" s="1542" t="s">
        <v>1744</v>
      </c>
      <c r="I421" s="588">
        <f>0.65*1106</f>
        <v>718.9</v>
      </c>
      <c r="J421" s="1205"/>
      <c r="K421" s="1205"/>
      <c r="L421" s="1205"/>
      <c r="M421" s="1205"/>
      <c r="N421" s="1205"/>
      <c r="O421" s="1205"/>
      <c r="P421" s="1205"/>
      <c r="Q421" s="1205"/>
      <c r="R421" s="1205"/>
      <c r="S421" s="1197"/>
      <c r="T421" s="1197"/>
      <c r="U421" s="1197"/>
      <c r="V421" s="2978"/>
      <c r="W421" s="1214">
        <v>1846.68</v>
      </c>
      <c r="X421" s="1214">
        <v>1846.68</v>
      </c>
      <c r="Y421" s="906">
        <v>2.568757824454027</v>
      </c>
      <c r="Z421" s="1214"/>
      <c r="AA421" s="1214"/>
      <c r="AB421" s="1214"/>
      <c r="AC421" s="1214"/>
      <c r="AD421" s="1214"/>
      <c r="AE421" s="1214"/>
      <c r="AF421" s="1214"/>
      <c r="AG421" s="1214"/>
      <c r="AK421" s="1166"/>
      <c r="BB421" s="1193"/>
    </row>
    <row r="422" spans="1:54" s="1177" customFormat="1" outlineLevel="1" x14ac:dyDescent="0.25">
      <c r="A422" s="1197"/>
      <c r="B422" s="1205"/>
      <c r="C422" s="1194"/>
      <c r="D422" s="2972"/>
      <c r="E422" s="2150" t="s">
        <v>1721</v>
      </c>
      <c r="F422" s="610">
        <f t="shared" si="48"/>
        <v>2.568757824454027</v>
      </c>
      <c r="G422" s="2975"/>
      <c r="H422" s="1542" t="s">
        <v>1744</v>
      </c>
      <c r="I422" s="588">
        <f>0.65*1106</f>
        <v>718.9</v>
      </c>
      <c r="J422" s="1205"/>
      <c r="K422" s="1205"/>
      <c r="L422" s="1205"/>
      <c r="M422" s="1205"/>
      <c r="N422" s="1205"/>
      <c r="O422" s="1205"/>
      <c r="P422" s="1205"/>
      <c r="Q422" s="1205"/>
      <c r="R422" s="1205"/>
      <c r="S422" s="1197"/>
      <c r="T422" s="1197"/>
      <c r="U422" s="1197"/>
      <c r="V422" s="2978"/>
      <c r="W422" s="1214">
        <v>1846.68</v>
      </c>
      <c r="X422" s="1214">
        <v>1846.68</v>
      </c>
      <c r="Y422" s="906">
        <v>2.568757824454027</v>
      </c>
      <c r="Z422" s="1214"/>
      <c r="AA422" s="1214"/>
      <c r="AB422" s="1214"/>
      <c r="AC422" s="1214"/>
      <c r="AD422" s="1214"/>
      <c r="AE422" s="1214"/>
      <c r="AF422" s="1214"/>
      <c r="AG422" s="1214"/>
      <c r="AK422" s="1166"/>
      <c r="BB422" s="1193"/>
    </row>
    <row r="423" spans="1:54" s="1177" customFormat="1" outlineLevel="1" x14ac:dyDescent="0.25">
      <c r="A423" s="1197"/>
      <c r="B423" s="1205"/>
      <c r="C423" s="1194"/>
      <c r="D423" s="2972"/>
      <c r="E423" s="1278" t="s">
        <v>1723</v>
      </c>
      <c r="F423" s="610">
        <f>2841.04/1106</f>
        <v>2.5687522603978299</v>
      </c>
      <c r="G423" s="2975"/>
      <c r="H423" s="1542" t="s">
        <v>1745</v>
      </c>
      <c r="I423" s="588">
        <v>1106</v>
      </c>
      <c r="J423" s="1205"/>
      <c r="K423" s="1205"/>
      <c r="L423" s="1205"/>
      <c r="M423" s="1205"/>
      <c r="N423" s="1205"/>
      <c r="O423" s="1205"/>
      <c r="P423" s="1205"/>
      <c r="Q423" s="1205"/>
      <c r="R423" s="1205"/>
      <c r="S423" s="1197"/>
      <c r="T423" s="1197"/>
      <c r="U423" s="1197"/>
      <c r="V423" s="2978"/>
      <c r="W423" s="1214">
        <v>2841.04</v>
      </c>
      <c r="X423" s="1214">
        <v>2841.04</v>
      </c>
      <c r="Y423" s="906">
        <v>2.5687522603978299</v>
      </c>
      <c r="Z423" s="1214"/>
      <c r="AA423" s="1214"/>
      <c r="AB423" s="1214"/>
      <c r="AC423" s="1214"/>
      <c r="AD423" s="1214"/>
      <c r="AE423" s="1214"/>
      <c r="AF423" s="1214"/>
      <c r="AG423" s="1214"/>
      <c r="AK423" s="1166"/>
      <c r="BB423" s="1193"/>
    </row>
    <row r="424" spans="1:54" s="1177" customFormat="1" outlineLevel="1" x14ac:dyDescent="0.25">
      <c r="A424" s="1197"/>
      <c r="B424" s="1205"/>
      <c r="C424" s="1194"/>
      <c r="D424" s="2972"/>
      <c r="E424" s="2150" t="s">
        <v>1725</v>
      </c>
      <c r="F424" s="610">
        <f t="shared" ref="F424:F425" si="49">2841.04/1106</f>
        <v>2.5687522603978299</v>
      </c>
      <c r="G424" s="2975"/>
      <c r="H424" s="1542" t="s">
        <v>1745</v>
      </c>
      <c r="I424" s="588">
        <v>1106</v>
      </c>
      <c r="J424" s="1205"/>
      <c r="K424" s="1205"/>
      <c r="L424" s="1205"/>
      <c r="M424" s="1205"/>
      <c r="N424" s="1205"/>
      <c r="O424" s="1205"/>
      <c r="P424" s="1205"/>
      <c r="Q424" s="1205"/>
      <c r="R424" s="1205"/>
      <c r="S424" s="1197"/>
      <c r="T424" s="1197"/>
      <c r="U424" s="1197"/>
      <c r="V424" s="2978"/>
      <c r="W424" s="1214">
        <v>2841.04</v>
      </c>
      <c r="X424" s="1214">
        <v>2841.04</v>
      </c>
      <c r="Y424" s="906">
        <v>2.5687522603978299</v>
      </c>
      <c r="Z424" s="1214"/>
      <c r="AA424" s="1214"/>
      <c r="AB424" s="1214"/>
      <c r="AC424" s="1214"/>
      <c r="AD424" s="1214"/>
      <c r="AE424" s="1214"/>
      <c r="AF424" s="1214"/>
      <c r="AG424" s="1214"/>
      <c r="AK424" s="1166"/>
      <c r="BB424" s="1193"/>
    </row>
    <row r="425" spans="1:54" s="1177" customFormat="1" outlineLevel="1" x14ac:dyDescent="0.25">
      <c r="A425" s="1197"/>
      <c r="B425" s="1205"/>
      <c r="C425" s="1194"/>
      <c r="D425" s="2972"/>
      <c r="E425" s="1278" t="s">
        <v>1727</v>
      </c>
      <c r="F425" s="610">
        <f t="shared" si="49"/>
        <v>2.5687522603978299</v>
      </c>
      <c r="G425" s="2975"/>
      <c r="H425" s="1542" t="s">
        <v>1745</v>
      </c>
      <c r="I425" s="588">
        <v>1106</v>
      </c>
      <c r="J425" s="1205"/>
      <c r="K425" s="1205"/>
      <c r="L425" s="1205"/>
      <c r="M425" s="1205"/>
      <c r="N425" s="1205"/>
      <c r="O425" s="1205"/>
      <c r="P425" s="1205"/>
      <c r="Q425" s="1205"/>
      <c r="R425" s="1205"/>
      <c r="S425" s="1197"/>
      <c r="T425" s="1197"/>
      <c r="U425" s="1197"/>
      <c r="V425" s="2978"/>
      <c r="W425" s="1214">
        <v>2841.04</v>
      </c>
      <c r="X425" s="1214">
        <v>2841.04</v>
      </c>
      <c r="Y425" s="906">
        <v>2.5687522603978299</v>
      </c>
      <c r="Z425" s="1214"/>
      <c r="AA425" s="1214"/>
      <c r="AB425" s="1214"/>
      <c r="AC425" s="1214"/>
      <c r="AD425" s="1214"/>
      <c r="AE425" s="1214"/>
      <c r="AF425" s="1214"/>
      <c r="AG425" s="1214"/>
      <c r="AK425" s="1166"/>
      <c r="BB425" s="1193"/>
    </row>
    <row r="426" spans="1:54" s="1177" customFormat="1" outlineLevel="1" x14ac:dyDescent="0.25">
      <c r="A426" s="1197"/>
      <c r="B426" s="1205"/>
      <c r="C426" s="1194"/>
      <c r="D426" s="2972"/>
      <c r="E426" s="1278" t="s">
        <v>1729</v>
      </c>
      <c r="F426" s="610">
        <f>2461.73/(1106*0.65)</f>
        <v>3.424301015440256</v>
      </c>
      <c r="G426" s="2975"/>
      <c r="H426" s="1542" t="s">
        <v>1744</v>
      </c>
      <c r="I426" s="588">
        <f>0.65*1106</f>
        <v>718.9</v>
      </c>
      <c r="J426" s="1205"/>
      <c r="K426" s="1205"/>
      <c r="L426" s="1205"/>
      <c r="M426" s="1205"/>
      <c r="N426" s="1205"/>
      <c r="O426" s="1205"/>
      <c r="P426" s="1205"/>
      <c r="Q426" s="1205"/>
      <c r="R426" s="1205"/>
      <c r="S426" s="1197"/>
      <c r="T426" s="1197"/>
      <c r="U426" s="1197"/>
      <c r="V426" s="2978"/>
      <c r="W426" s="1214">
        <v>2461.73</v>
      </c>
      <c r="X426" s="1214">
        <v>2461.73</v>
      </c>
      <c r="Y426" s="906">
        <v>3.424301015440256</v>
      </c>
      <c r="Z426" s="1214"/>
      <c r="AA426" s="1214"/>
      <c r="AB426" s="1214"/>
      <c r="AC426" s="1214"/>
      <c r="AD426" s="1214"/>
      <c r="AE426" s="1214"/>
      <c r="AF426" s="1214"/>
      <c r="AG426" s="1214"/>
      <c r="AK426" s="1166"/>
      <c r="BB426" s="1193"/>
    </row>
    <row r="427" spans="1:54" s="1177" customFormat="1" outlineLevel="1" x14ac:dyDescent="0.25">
      <c r="A427" s="1197"/>
      <c r="B427" s="1205"/>
      <c r="C427" s="1194"/>
      <c r="D427" s="2972"/>
      <c r="E427" s="1278" t="s">
        <v>1731</v>
      </c>
      <c r="F427" s="610">
        <f t="shared" ref="F427:F428" si="50">2461.73/(1106*0.65)</f>
        <v>3.424301015440256</v>
      </c>
      <c r="G427" s="2975"/>
      <c r="H427" s="1542" t="s">
        <v>1744</v>
      </c>
      <c r="I427" s="588">
        <f>0.65*1106</f>
        <v>718.9</v>
      </c>
      <c r="J427" s="1205"/>
      <c r="K427" s="1205"/>
      <c r="L427" s="1205"/>
      <c r="M427" s="1205"/>
      <c r="N427" s="1205"/>
      <c r="O427" s="1205"/>
      <c r="P427" s="1205"/>
      <c r="Q427" s="1205"/>
      <c r="R427" s="1205"/>
      <c r="S427" s="1197"/>
      <c r="T427" s="1197"/>
      <c r="U427" s="1197"/>
      <c r="V427" s="2978"/>
      <c r="W427" s="1214">
        <v>2461.73</v>
      </c>
      <c r="X427" s="1214">
        <v>2461.73</v>
      </c>
      <c r="Y427" s="906">
        <v>3.424301015440256</v>
      </c>
      <c r="Z427" s="1214"/>
      <c r="AA427" s="1214"/>
      <c r="AB427" s="1214"/>
      <c r="AC427" s="1214"/>
      <c r="AD427" s="1214"/>
      <c r="AE427" s="1214"/>
      <c r="AF427" s="1214"/>
      <c r="AG427" s="1214"/>
      <c r="AK427" s="1166"/>
      <c r="BB427" s="1193"/>
    </row>
    <row r="428" spans="1:54" s="1177" customFormat="1" outlineLevel="1" x14ac:dyDescent="0.25">
      <c r="A428" s="1197"/>
      <c r="B428" s="1205"/>
      <c r="C428" s="1194"/>
      <c r="D428" s="2972"/>
      <c r="E428" s="2150" t="s">
        <v>1733</v>
      </c>
      <c r="F428" s="610">
        <f t="shared" si="50"/>
        <v>3.424301015440256</v>
      </c>
      <c r="G428" s="2975"/>
      <c r="H428" s="1542" t="s">
        <v>1744</v>
      </c>
      <c r="I428" s="588">
        <f>0.65*1106</f>
        <v>718.9</v>
      </c>
      <c r="J428" s="1205"/>
      <c r="K428" s="1205"/>
      <c r="L428" s="1205"/>
      <c r="M428" s="1205"/>
      <c r="N428" s="1205"/>
      <c r="O428" s="1205"/>
      <c r="P428" s="1205"/>
      <c r="Q428" s="1205"/>
      <c r="R428" s="1205"/>
      <c r="S428" s="1197"/>
      <c r="T428" s="1197"/>
      <c r="U428" s="1197"/>
      <c r="V428" s="2978"/>
      <c r="W428" s="1214">
        <v>2461.73</v>
      </c>
      <c r="X428" s="1214">
        <v>2461.73</v>
      </c>
      <c r="Y428" s="906">
        <v>3.424301015440256</v>
      </c>
      <c r="Z428" s="1214"/>
      <c r="AA428" s="1214"/>
      <c r="AB428" s="1214"/>
      <c r="AC428" s="1214"/>
      <c r="AD428" s="1214"/>
      <c r="AE428" s="1214"/>
      <c r="AF428" s="1214"/>
      <c r="AG428" s="1214"/>
      <c r="AK428" s="1166"/>
      <c r="BB428" s="1193"/>
    </row>
    <row r="429" spans="1:54" s="1177" customFormat="1" outlineLevel="1" x14ac:dyDescent="0.25">
      <c r="A429" s="1197"/>
      <c r="B429" s="1205"/>
      <c r="C429" s="1194"/>
      <c r="D429" s="2972"/>
      <c r="E429" s="1278" t="s">
        <v>1735</v>
      </c>
      <c r="F429" s="610">
        <f>3787.28/1106</f>
        <v>3.4243037974683546</v>
      </c>
      <c r="G429" s="2975"/>
      <c r="H429" s="1542" t="s">
        <v>1745</v>
      </c>
      <c r="I429" s="588">
        <v>1106</v>
      </c>
      <c r="J429" s="1205"/>
      <c r="K429" s="1205"/>
      <c r="L429" s="1205"/>
      <c r="M429" s="1205"/>
      <c r="N429" s="1205"/>
      <c r="O429" s="1205"/>
      <c r="P429" s="1205"/>
      <c r="Q429" s="1205"/>
      <c r="R429" s="1205"/>
      <c r="S429" s="1197"/>
      <c r="T429" s="1197"/>
      <c r="U429" s="1197"/>
      <c r="V429" s="2978"/>
      <c r="W429" s="1214">
        <v>3787.28</v>
      </c>
      <c r="X429" s="1214">
        <v>3787.28</v>
      </c>
      <c r="Y429" s="906">
        <v>3.4243037974683546</v>
      </c>
      <c r="Z429" s="1214"/>
      <c r="AA429" s="1214"/>
      <c r="AB429" s="1214"/>
      <c r="AC429" s="1214"/>
      <c r="AD429" s="1214"/>
      <c r="AE429" s="1214"/>
      <c r="AF429" s="1214"/>
      <c r="AG429" s="1214"/>
      <c r="AK429" s="1166"/>
      <c r="BB429" s="1193"/>
    </row>
    <row r="430" spans="1:54" s="1177" customFormat="1" outlineLevel="1" x14ac:dyDescent="0.25">
      <c r="A430" s="1197"/>
      <c r="B430" s="1205"/>
      <c r="C430" s="1194"/>
      <c r="D430" s="2972"/>
      <c r="E430" s="2150" t="s">
        <v>1737</v>
      </c>
      <c r="F430" s="610">
        <f t="shared" ref="F430:F431" si="51">3787.28/1106</f>
        <v>3.4243037974683546</v>
      </c>
      <c r="G430" s="2975"/>
      <c r="H430" s="1542" t="s">
        <v>1745</v>
      </c>
      <c r="I430" s="588">
        <v>1106</v>
      </c>
      <c r="J430" s="1205"/>
      <c r="K430" s="1205"/>
      <c r="L430" s="1205"/>
      <c r="M430" s="1205"/>
      <c r="N430" s="1205"/>
      <c r="O430" s="1205"/>
      <c r="P430" s="1205"/>
      <c r="Q430" s="1205"/>
      <c r="R430" s="1205"/>
      <c r="S430" s="1197"/>
      <c r="T430" s="1197"/>
      <c r="U430" s="1197"/>
      <c r="V430" s="2978"/>
      <c r="W430" s="1214">
        <v>3787.28</v>
      </c>
      <c r="X430" s="1214">
        <v>3787.28</v>
      </c>
      <c r="Y430" s="906">
        <v>3.4243037974683546</v>
      </c>
      <c r="Z430" s="1214"/>
      <c r="AA430" s="1214"/>
      <c r="AB430" s="1214"/>
      <c r="AC430" s="1214"/>
      <c r="AD430" s="1214"/>
      <c r="AE430" s="1214"/>
      <c r="AF430" s="1214"/>
      <c r="AG430" s="1214"/>
      <c r="AK430" s="1166"/>
      <c r="BB430" s="1193"/>
    </row>
    <row r="431" spans="1:54" s="1177" customFormat="1" outlineLevel="1" x14ac:dyDescent="0.25">
      <c r="A431" s="1197"/>
      <c r="B431" s="1205"/>
      <c r="C431" s="1194"/>
      <c r="D431" s="2974"/>
      <c r="E431" s="1278" t="s">
        <v>1739</v>
      </c>
      <c r="F431" s="610">
        <f t="shared" si="51"/>
        <v>3.4243037974683546</v>
      </c>
      <c r="G431" s="2976"/>
      <c r="H431" s="1542" t="s">
        <v>1745</v>
      </c>
      <c r="I431" s="588">
        <v>1106</v>
      </c>
      <c r="J431" s="1205"/>
      <c r="K431" s="1205"/>
      <c r="L431" s="1205"/>
      <c r="M431" s="1205"/>
      <c r="N431" s="1205"/>
      <c r="O431" s="1205"/>
      <c r="P431" s="1205"/>
      <c r="Q431" s="1205"/>
      <c r="R431" s="1205"/>
      <c r="S431" s="1197"/>
      <c r="T431" s="1197"/>
      <c r="U431" s="1197"/>
      <c r="V431" s="2979"/>
      <c r="W431" s="1214">
        <v>3787.28</v>
      </c>
      <c r="X431" s="1214">
        <v>3787.28</v>
      </c>
      <c r="Y431" s="906">
        <v>3.4243037974683546</v>
      </c>
      <c r="Z431" s="1214"/>
      <c r="AA431" s="1214"/>
      <c r="AB431" s="1214"/>
      <c r="AC431" s="1214"/>
      <c r="AD431" s="1214"/>
      <c r="AE431" s="1214"/>
      <c r="AF431" s="1214"/>
      <c r="AG431" s="1214"/>
      <c r="AK431" s="1166"/>
      <c r="BB431" s="1193"/>
    </row>
    <row r="432" spans="1:54" x14ac:dyDescent="0.25">
      <c r="B432" s="1580"/>
      <c r="C432" s="329"/>
      <c r="Y432" s="1983" t="s">
        <v>1677</v>
      </c>
      <c r="AK432" s="1166"/>
    </row>
    <row r="433" spans="2:57" x14ac:dyDescent="0.25">
      <c r="B433" s="1580"/>
      <c r="C433" s="329"/>
      <c r="AK433" s="1166"/>
    </row>
    <row r="434" spans="2:57" x14ac:dyDescent="0.25">
      <c r="B434" s="2639" t="s">
        <v>1759</v>
      </c>
      <c r="C434" s="2640"/>
      <c r="D434" s="2640"/>
      <c r="E434" s="2640"/>
      <c r="F434" s="2640"/>
      <c r="G434" s="2640"/>
      <c r="H434" s="2640"/>
      <c r="I434" s="2641"/>
      <c r="J434" s="2641"/>
      <c r="K434" s="2641"/>
      <c r="L434" s="2641"/>
      <c r="M434" s="2641"/>
      <c r="N434" s="2641"/>
      <c r="O434" s="2641"/>
      <c r="P434" s="2641"/>
      <c r="Q434" s="2641"/>
      <c r="R434" s="2642"/>
      <c r="V434" s="2639" t="str">
        <f>B434</f>
        <v>Floor Insulation</v>
      </c>
      <c r="W434" s="2640"/>
      <c r="X434" s="2640"/>
      <c r="Y434" s="2640"/>
      <c r="Z434" s="2640"/>
      <c r="AA434" s="2640"/>
      <c r="AB434" s="2640"/>
      <c r="AC434" s="2615"/>
      <c r="AD434" s="2615"/>
      <c r="AE434" s="2615"/>
      <c r="AF434" s="2615"/>
      <c r="AG434" s="2615"/>
      <c r="AH434" s="2615"/>
      <c r="AI434" s="2616"/>
      <c r="AK434" s="1166"/>
    </row>
    <row r="435" spans="2:57" x14ac:dyDescent="0.25">
      <c r="B435" s="2118"/>
      <c r="C435" s="1194"/>
      <c r="D435" s="2130"/>
      <c r="E435" s="2573" t="s">
        <v>3546</v>
      </c>
      <c r="F435" s="1195"/>
      <c r="G435" s="1195"/>
      <c r="H435" s="1195"/>
      <c r="I435" s="1195"/>
      <c r="J435" s="1195"/>
      <c r="K435" s="1195"/>
      <c r="L435" s="2131"/>
      <c r="M435" s="1197"/>
      <c r="N435" s="1197"/>
      <c r="O435" s="1197"/>
      <c r="AK435" s="1166"/>
    </row>
    <row r="436" spans="2:57" ht="30" x14ac:dyDescent="0.25">
      <c r="B436" s="2118"/>
      <c r="C436" s="1641" t="s">
        <v>17</v>
      </c>
      <c r="D436" s="1641" t="s">
        <v>662</v>
      </c>
      <c r="E436" s="1641" t="s">
        <v>19</v>
      </c>
      <c r="F436" s="1641" t="s">
        <v>20</v>
      </c>
      <c r="G436" s="1641" t="s">
        <v>21</v>
      </c>
      <c r="H436" s="1641" t="s">
        <v>22</v>
      </c>
      <c r="I436" s="1641" t="s">
        <v>936</v>
      </c>
      <c r="J436" s="1641" t="s">
        <v>937</v>
      </c>
      <c r="K436" s="1641" t="s">
        <v>23</v>
      </c>
      <c r="L436" s="1646" t="s">
        <v>24</v>
      </c>
      <c r="M436" s="1641" t="s">
        <v>25</v>
      </c>
      <c r="N436" s="1641" t="s">
        <v>1760</v>
      </c>
      <c r="O436" s="1197"/>
      <c r="P436" s="1197"/>
      <c r="Q436" s="1197"/>
      <c r="R436" s="1197"/>
      <c r="V436" s="55" t="s">
        <v>27</v>
      </c>
      <c r="W436" s="56">
        <f>W$6</f>
        <v>43252</v>
      </c>
      <c r="X436" s="56">
        <f t="shared" ref="X436:AG436" si="52">X$6</f>
        <v>43465</v>
      </c>
      <c r="Y436" s="500">
        <f t="shared" si="52"/>
        <v>43800</v>
      </c>
      <c r="Z436" s="56">
        <f t="shared" si="52"/>
        <v>43862</v>
      </c>
      <c r="AA436" s="56" t="str">
        <f t="shared" si="52"/>
        <v>-</v>
      </c>
      <c r="AB436" s="56" t="str">
        <f t="shared" si="52"/>
        <v>-</v>
      </c>
      <c r="AC436" s="56" t="str">
        <f t="shared" si="52"/>
        <v>-</v>
      </c>
      <c r="AD436" s="56" t="str">
        <f t="shared" si="52"/>
        <v>-</v>
      </c>
      <c r="AE436" s="56" t="str">
        <f t="shared" si="52"/>
        <v>-</v>
      </c>
      <c r="AF436" s="56" t="str">
        <f t="shared" si="52"/>
        <v>-</v>
      </c>
      <c r="AG436" s="56" t="str">
        <f t="shared" si="52"/>
        <v>-</v>
      </c>
      <c r="AK436" s="1166"/>
      <c r="BB436" s="57" t="str">
        <f>$BB$6</f>
        <v>TRC (2020)</v>
      </c>
      <c r="BC436" s="103" t="str">
        <f>$BC$6</f>
        <v>Benefit Lookup</v>
      </c>
      <c r="BD436" s="883" t="str">
        <f>$BD$6</f>
        <v>Benefits (2019 $)</v>
      </c>
      <c r="BE436" s="334" t="str">
        <f>$BE$6</f>
        <v>Incremental Cost (2019 $)</v>
      </c>
    </row>
    <row r="437" spans="2:57" x14ac:dyDescent="0.25">
      <c r="B437" s="2118"/>
      <c r="C437" s="1543" t="s">
        <v>1761</v>
      </c>
      <c r="D437" s="2485" t="s">
        <v>1610</v>
      </c>
      <c r="E437" s="574" t="s">
        <v>3543</v>
      </c>
      <c r="F437" s="788">
        <f t="shared" ref="F437:F439" si="53">ROUND(I437+J437,2)</f>
        <v>2.4500000000000002</v>
      </c>
      <c r="G437" s="1927" t="s">
        <v>1653</v>
      </c>
      <c r="H437" s="239">
        <f>VLOOKUP(G437,'CP FACTORS'!$A$3:$B$38, 2, FALSE)</f>
        <v>4.6608050000000002E-4</v>
      </c>
      <c r="I437" s="1928">
        <f>(1/F$451-1/F$453)*F$454*(1-F$455)*F456*24*F$459/(F460*3412)</f>
        <v>2.2122733692848771</v>
      </c>
      <c r="J437" s="1928">
        <f>(1/$F$451-1/$F$453)*$F$454*(1-$F$455)*F463*24*$F$466/($F$467*1000)</f>
        <v>0.23319970909090906</v>
      </c>
      <c r="K437" s="1178">
        <f t="shared" ref="K437" si="54">ROUND(H437*F437,6)</f>
        <v>1.142E-3</v>
      </c>
      <c r="L437" s="1647">
        <f>$F$468</f>
        <v>25</v>
      </c>
      <c r="M437" s="1648">
        <f>$F$469</f>
        <v>0.67966666666666664</v>
      </c>
      <c r="N437" s="1276">
        <f>$F$454</f>
        <v>1</v>
      </c>
      <c r="O437" s="1197"/>
      <c r="P437" s="1197"/>
      <c r="Q437" s="1197"/>
      <c r="R437" s="1197"/>
      <c r="V437" s="245" t="str">
        <f>$F$51</f>
        <v>kWh Annual Savings</v>
      </c>
      <c r="W437" s="340">
        <v>2641.1109246458486</v>
      </c>
      <c r="X437" s="579">
        <v>2641.1109246458486</v>
      </c>
      <c r="Y437" s="1168">
        <v>2.4500000000000002</v>
      </c>
      <c r="Z437" s="245"/>
      <c r="AA437" s="245"/>
      <c r="AB437" s="245"/>
      <c r="AC437" s="245"/>
      <c r="AD437" s="245"/>
      <c r="AE437" s="245"/>
      <c r="AF437" s="245"/>
      <c r="AG437" s="245"/>
      <c r="AH437" s="1160"/>
      <c r="AI437" s="1160"/>
      <c r="AK437" s="1166"/>
      <c r="BB437" s="120">
        <f t="shared" ref="BB437" si="55">(BD437)/(BE437)</f>
        <v>5.3158369630085787</v>
      </c>
      <c r="BC437" s="69" t="str">
        <f t="shared" ref="BC437" si="56">CONCATENATE(G437," ",L437," Year EUL")</f>
        <v>Building Shell RES 25 Year EUL</v>
      </c>
      <c r="BD437" s="251">
        <f>(INDEX('Avoided Cost Benefits'!$C$4:$C$857,MATCH(BC437,'Avoided Cost Benefits'!$A$4:$A$857,0)))*F437</f>
        <v>3.410096450393107</v>
      </c>
      <c r="BE437" s="122">
        <f t="shared" ref="BE437" si="57">M437/(1.0595^(2020-2019))</f>
        <v>0.64149756174296046</v>
      </c>
    </row>
    <row r="438" spans="2:57" x14ac:dyDescent="0.25">
      <c r="B438" s="2118"/>
      <c r="C438" s="1543" t="s">
        <v>1762</v>
      </c>
      <c r="D438" s="2485" t="s">
        <v>1610</v>
      </c>
      <c r="E438" s="574" t="s">
        <v>3544</v>
      </c>
      <c r="F438" s="788">
        <f t="shared" si="53"/>
        <v>1.42</v>
      </c>
      <c r="G438" s="1927" t="s">
        <v>1653</v>
      </c>
      <c r="H438" s="239">
        <f>VLOOKUP(G438,'CP FACTORS'!$A$3:$B$38, 2, FALSE)</f>
        <v>4.6608050000000002E-4</v>
      </c>
      <c r="I438" s="1928">
        <f t="shared" ref="I438" si="58">(1/F$451-1/F$453)*F$454*(1-F$455)*F457*24*F$459/(F461*3412)</f>
        <v>1.1851464478311842</v>
      </c>
      <c r="J438" s="1928">
        <f>(1/$F$451-1/$F$453)*$F$454*(1-$F$455)*F464*24*$F$466/($F$467*1000)</f>
        <v>0.23319970909090906</v>
      </c>
      <c r="K438" s="1178">
        <f>ROUND(H438*F438,6)</f>
        <v>6.6200000000000005E-4</v>
      </c>
      <c r="L438" s="1647">
        <f t="shared" ref="L438:L442" si="59">$F$468</f>
        <v>25</v>
      </c>
      <c r="M438" s="1648">
        <f t="shared" ref="M438:M442" si="60">$F$469</f>
        <v>0.67966666666666664</v>
      </c>
      <c r="N438" s="1276">
        <f t="shared" ref="N438:N442" si="61">$F$454</f>
        <v>1</v>
      </c>
      <c r="O438" s="1197"/>
      <c r="P438" s="1197"/>
      <c r="Q438" s="1197"/>
      <c r="R438" s="1197"/>
      <c r="V438" s="245" t="str">
        <f t="shared" ref="V438:V442" si="62">$F$51</f>
        <v>kWh Annual Savings</v>
      </c>
      <c r="W438" s="340"/>
      <c r="X438" s="579"/>
      <c r="Y438" s="1168">
        <v>1.42</v>
      </c>
      <c r="Z438" s="245"/>
      <c r="AA438" s="245"/>
      <c r="AB438" s="245"/>
      <c r="AC438" s="245"/>
      <c r="AD438" s="245"/>
      <c r="AE438" s="245"/>
      <c r="AF438" s="245"/>
      <c r="AG438" s="245"/>
      <c r="AH438" s="1160"/>
      <c r="AI438" s="1160"/>
      <c r="AK438" s="1166"/>
      <c r="BB438" s="2542">
        <f t="shared" ref="BB438:BB440" si="63">(BD438)/(BE438)</f>
        <v>3.0810157091723185</v>
      </c>
      <c r="BC438" s="2478" t="str">
        <f t="shared" ref="BC438:BC440" si="64">CONCATENATE(G438," ",L438," Year EUL")</f>
        <v>Building Shell RES 25 Year EUL</v>
      </c>
      <c r="BD438" s="2540">
        <f>(INDEX('Avoided Cost Benefits'!$C$4:$C$857,MATCH(BC438,'Avoided Cost Benefits'!$A$4:$A$857,0)))*F438</f>
        <v>1.9764640651258005</v>
      </c>
      <c r="BE438" s="2541">
        <f t="shared" ref="BE438:BE440" si="65">M438/(1.0595^(2020-2019))</f>
        <v>0.64149756174296046</v>
      </c>
    </row>
    <row r="439" spans="2:57" x14ac:dyDescent="0.25">
      <c r="B439" s="2118"/>
      <c r="C439" s="1543" t="s">
        <v>1763</v>
      </c>
      <c r="D439" s="2485" t="s">
        <v>1610</v>
      </c>
      <c r="E439" s="574" t="s">
        <v>3545</v>
      </c>
      <c r="F439" s="788">
        <f t="shared" si="53"/>
        <v>0.23</v>
      </c>
      <c r="G439" s="1927" t="s">
        <v>1653</v>
      </c>
      <c r="H439" s="239">
        <f>VLOOKUP(G439,'CP FACTORS'!$A$3:$B$38, 2, FALSE)</f>
        <v>4.6608050000000002E-4</v>
      </c>
      <c r="I439" s="1244">
        <f>(1/F$451-1/F$453)*F$454*(1-F$455)*F458*24*F$459/(F462*3412)</f>
        <v>0</v>
      </c>
      <c r="J439" s="1928">
        <f>(1/$F$451-1/$F$453)*$F$454*(1-$F$455)*F465*24*$F$466/($F$467*1000)</f>
        <v>0.23319970909090906</v>
      </c>
      <c r="K439" s="1178">
        <f t="shared" ref="K439:K440" si="66">ROUND(H439*F439,6)</f>
        <v>1.07E-4</v>
      </c>
      <c r="L439" s="1647">
        <f t="shared" si="59"/>
        <v>25</v>
      </c>
      <c r="M439" s="1648">
        <f t="shared" si="60"/>
        <v>0.67966666666666664</v>
      </c>
      <c r="N439" s="1276">
        <f t="shared" si="61"/>
        <v>1</v>
      </c>
      <c r="O439" s="1197"/>
      <c r="P439" s="1197"/>
      <c r="Q439" s="1197"/>
      <c r="R439" s="1197"/>
      <c r="V439" s="245" t="str">
        <f t="shared" si="62"/>
        <v>kWh Annual Savings</v>
      </c>
      <c r="W439" s="340"/>
      <c r="X439" s="579"/>
      <c r="Y439" s="1168">
        <v>0.23</v>
      </c>
      <c r="Z439" s="245"/>
      <c r="AA439" s="245"/>
      <c r="AB439" s="245"/>
      <c r="AC439" s="245"/>
      <c r="AD439" s="245"/>
      <c r="AE439" s="245"/>
      <c r="AF439" s="245"/>
      <c r="AG439" s="245"/>
      <c r="AH439" s="1160"/>
      <c r="AI439" s="1160"/>
      <c r="AK439" s="1166"/>
      <c r="BB439" s="2542">
        <f t="shared" si="63"/>
        <v>0.49903775571100939</v>
      </c>
      <c r="BC439" s="2478" t="str">
        <f t="shared" si="64"/>
        <v>Building Shell RES 25 Year EUL</v>
      </c>
      <c r="BD439" s="2540">
        <f>(INDEX('Avoided Cost Benefits'!$C$4:$C$857,MATCH(BC439,'Avoided Cost Benefits'!$A$4:$A$857,0)))*F439</f>
        <v>0.32013150350629166</v>
      </c>
      <c r="BE439" s="2541">
        <f t="shared" si="65"/>
        <v>0.64149756174296046</v>
      </c>
    </row>
    <row r="440" spans="2:57" x14ac:dyDescent="0.25">
      <c r="B440" s="2118"/>
      <c r="C440" s="2483" t="s">
        <v>3503</v>
      </c>
      <c r="D440" s="2485" t="s">
        <v>1610</v>
      </c>
      <c r="E440" s="2484" t="s">
        <v>3540</v>
      </c>
      <c r="F440" s="896">
        <f>ROUND(I440+J440,2)</f>
        <v>0.22</v>
      </c>
      <c r="G440" s="2485" t="s">
        <v>1653</v>
      </c>
      <c r="H440" s="2486">
        <f>VLOOKUP(G440,'CP FACTORS'!$A$3:$B$38, 2, FALSE)</f>
        <v>4.6608050000000002E-4</v>
      </c>
      <c r="I440" s="2491">
        <f>(1/F$452-1/F$453)*F$454*(1-F$455)*F456*24*F$459/(F460*3412)</f>
        <v>0.1973869528633678</v>
      </c>
      <c r="J440" s="2491">
        <f>(1/$F$452-1/$F$453)*$F$454*(1-$F$455)*F463*24*$F$466/($F$467*1000)</f>
        <v>2.080691320754716E-2</v>
      </c>
      <c r="K440" s="2488">
        <f t="shared" si="66"/>
        <v>1.03E-4</v>
      </c>
      <c r="L440" s="2489">
        <f>$F$468</f>
        <v>25</v>
      </c>
      <c r="M440" s="740">
        <f>$F$469</f>
        <v>0.67966666666666664</v>
      </c>
      <c r="N440" s="2487">
        <f>$F$454</f>
        <v>1</v>
      </c>
      <c r="O440" s="1197"/>
      <c r="P440" s="1197"/>
      <c r="Q440" s="1197"/>
      <c r="R440" s="1197"/>
      <c r="V440" s="245" t="str">
        <f>$F$51</f>
        <v>kWh Annual Savings</v>
      </c>
      <c r="W440" s="340"/>
      <c r="X440" s="579"/>
      <c r="Y440" s="1168"/>
      <c r="Z440" s="144">
        <v>0.22</v>
      </c>
      <c r="AA440" s="245"/>
      <c r="AB440" s="245"/>
      <c r="AC440" s="245"/>
      <c r="AD440" s="245"/>
      <c r="AE440" s="245"/>
      <c r="AF440" s="245"/>
      <c r="AG440" s="245"/>
      <c r="AH440" s="1160"/>
      <c r="AI440" s="1160"/>
      <c r="AK440" s="1166"/>
      <c r="BB440" s="120">
        <f t="shared" si="63"/>
        <v>0.47734046198444374</v>
      </c>
      <c r="BC440" s="2478" t="str">
        <f t="shared" si="64"/>
        <v>Building Shell RES 25 Year EUL</v>
      </c>
      <c r="BD440" s="251">
        <f>(INDEX('Avoided Cost Benefits'!$C$4:$C$857,MATCH(BC440,'Avoided Cost Benefits'!$A$4:$A$857,0)))*F440</f>
        <v>0.30621274248427899</v>
      </c>
      <c r="BE440" s="122">
        <f t="shared" si="65"/>
        <v>0.64149756174296046</v>
      </c>
    </row>
    <row r="441" spans="2:57" x14ac:dyDescent="0.25">
      <c r="B441" s="2118"/>
      <c r="C441" s="2483" t="s">
        <v>3504</v>
      </c>
      <c r="D441" s="2485" t="s">
        <v>1610</v>
      </c>
      <c r="E441" s="2484" t="s">
        <v>3541</v>
      </c>
      <c r="F441" s="896">
        <f t="shared" ref="F441:F442" si="67">ROUND(I441+J441,2)</f>
        <v>0.13</v>
      </c>
      <c r="G441" s="2485" t="s">
        <v>1653</v>
      </c>
      <c r="H441" s="2486">
        <f>VLOOKUP(G441,'CP FACTORS'!$A$3:$B$38, 2, FALSE)</f>
        <v>4.6608050000000002E-4</v>
      </c>
      <c r="I441" s="2491">
        <f t="shared" ref="I441:I442" si="68">(1/F$452-1/F$453)*F$454*(1-F$455)*F457*24*F$459/(F461*3412)</f>
        <v>0.10574301046251848</v>
      </c>
      <c r="J441" s="2491">
        <f t="shared" ref="J441:J442" si="69">(1/$F$452-1/$F$453)*$F$454*(1-$F$455)*F464*24*$F$466/($F$467*1000)</f>
        <v>2.080691320754716E-2</v>
      </c>
      <c r="K441" s="2488">
        <f>ROUND(H441*F441,6)</f>
        <v>6.0999999999999999E-5</v>
      </c>
      <c r="L441" s="2489">
        <f t="shared" si="59"/>
        <v>25</v>
      </c>
      <c r="M441" s="740">
        <f t="shared" si="60"/>
        <v>0.67966666666666664</v>
      </c>
      <c r="N441" s="2487">
        <f t="shared" si="61"/>
        <v>1</v>
      </c>
      <c r="O441" s="1197"/>
      <c r="P441" s="1197"/>
      <c r="Q441" s="1197"/>
      <c r="R441" s="1197"/>
      <c r="V441" s="245" t="str">
        <f t="shared" si="62"/>
        <v>kWh Annual Savings</v>
      </c>
      <c r="W441" s="340"/>
      <c r="X441" s="579"/>
      <c r="Y441" s="1168"/>
      <c r="Z441" s="144">
        <v>0.13</v>
      </c>
      <c r="AA441" s="245"/>
      <c r="AB441" s="245"/>
      <c r="AC441" s="245"/>
      <c r="AD441" s="245"/>
      <c r="AE441" s="245"/>
      <c r="AF441" s="245"/>
      <c r="AG441" s="245"/>
      <c r="AH441" s="1160"/>
      <c r="AI441" s="1160"/>
      <c r="AK441" s="1166"/>
      <c r="BB441" s="2539">
        <f t="shared" ref="BB441:BB442" si="70">(BD441)/(BE441)</f>
        <v>0.28206481844535308</v>
      </c>
      <c r="BC441" s="2478" t="str">
        <f t="shared" ref="BC441:BC442" si="71">CONCATENATE(G441," ",L441," Year EUL")</f>
        <v>Building Shell RES 25 Year EUL</v>
      </c>
      <c r="BD441" s="2540">
        <f>(INDEX('Avoided Cost Benefits'!$C$4:$C$857,MATCH(BC441,'Avoided Cost Benefits'!$A$4:$A$857,0)))*F441</f>
        <v>0.18094389328616484</v>
      </c>
      <c r="BE441" s="2541">
        <f t="shared" ref="BE441:BE442" si="72">M441/(1.0595^(2020-2019))</f>
        <v>0.64149756174296046</v>
      </c>
    </row>
    <row r="442" spans="2:57" x14ac:dyDescent="0.25">
      <c r="B442" s="2118"/>
      <c r="C442" s="2483" t="s">
        <v>3505</v>
      </c>
      <c r="D442" s="2485" t="s">
        <v>1610</v>
      </c>
      <c r="E442" s="2484" t="s">
        <v>3542</v>
      </c>
      <c r="F442" s="896">
        <f t="shared" si="67"/>
        <v>0.02</v>
      </c>
      <c r="G442" s="2485" t="s">
        <v>1653</v>
      </c>
      <c r="H442" s="2486">
        <f>VLOOKUP(G442,'CP FACTORS'!$A$3:$B$38, 2, FALSE)</f>
        <v>4.6608050000000002E-4</v>
      </c>
      <c r="I442" s="2491">
        <f t="shared" si="68"/>
        <v>0</v>
      </c>
      <c r="J442" s="2491">
        <f t="shared" si="69"/>
        <v>2.080691320754716E-2</v>
      </c>
      <c r="K442" s="2488">
        <f t="shared" ref="K442" si="73">ROUND(H442*F442,6)</f>
        <v>9.0000000000000002E-6</v>
      </c>
      <c r="L442" s="2489">
        <f t="shared" si="59"/>
        <v>25</v>
      </c>
      <c r="M442" s="740">
        <f t="shared" si="60"/>
        <v>0.67966666666666664</v>
      </c>
      <c r="N442" s="2487">
        <f t="shared" si="61"/>
        <v>1</v>
      </c>
      <c r="O442" s="1197"/>
      <c r="P442" s="1197"/>
      <c r="Q442" s="1197"/>
      <c r="R442" s="1197"/>
      <c r="V442" s="245" t="str">
        <f t="shared" si="62"/>
        <v>kWh Annual Savings</v>
      </c>
      <c r="W442" s="340"/>
      <c r="X442" s="579"/>
      <c r="Y442" s="1168"/>
      <c r="Z442" s="144">
        <v>0.02</v>
      </c>
      <c r="AA442" s="245"/>
      <c r="AB442" s="245"/>
      <c r="AC442" s="245"/>
      <c r="AD442" s="245"/>
      <c r="AE442" s="245"/>
      <c r="AF442" s="245"/>
      <c r="AG442" s="245"/>
      <c r="AH442" s="1160"/>
      <c r="AI442" s="1160"/>
      <c r="AK442" s="1166"/>
      <c r="BB442" s="2539">
        <f t="shared" si="70"/>
        <v>4.3394587453131246E-2</v>
      </c>
      <c r="BC442" s="2478" t="str">
        <f t="shared" si="71"/>
        <v>Building Shell RES 25 Year EUL</v>
      </c>
      <c r="BD442" s="2540">
        <f>(INDEX('Avoided Cost Benefits'!$C$4:$C$857,MATCH(BC442,'Avoided Cost Benefits'!$A$4:$A$857,0)))*F442</f>
        <v>2.783752204402536E-2</v>
      </c>
      <c r="BE442" s="2541">
        <f t="shared" si="72"/>
        <v>0.64149756174296046</v>
      </c>
    </row>
    <row r="443" spans="2:57" outlineLevel="1" x14ac:dyDescent="0.25">
      <c r="B443" s="2118"/>
      <c r="C443" s="1194"/>
      <c r="D443" s="590"/>
      <c r="E443" s="590"/>
      <c r="F443" s="1938"/>
      <c r="G443" s="1197"/>
      <c r="H443" s="1197"/>
      <c r="I443" s="1197"/>
      <c r="J443" s="1197"/>
      <c r="K443" s="1197"/>
      <c r="L443" s="1197"/>
      <c r="M443" s="1197"/>
      <c r="N443" s="1197"/>
      <c r="O443" s="1197"/>
      <c r="P443" s="1197"/>
      <c r="Q443" s="1197"/>
      <c r="R443" s="1197"/>
      <c r="AK443" s="1166"/>
    </row>
    <row r="444" spans="2:57" outlineLevel="1" x14ac:dyDescent="0.25">
      <c r="B444" s="2118"/>
      <c r="C444" s="1194"/>
      <c r="D444" s="259" t="s">
        <v>617</v>
      </c>
      <c r="E444" s="590"/>
      <c r="F444" s="1938"/>
      <c r="G444" s="1197"/>
      <c r="H444" s="1197"/>
      <c r="I444" s="1197"/>
      <c r="J444" s="1197"/>
      <c r="K444" s="1197"/>
      <c r="L444" s="1197"/>
      <c r="M444" s="1197"/>
      <c r="N444" s="1197"/>
      <c r="O444" s="1197"/>
      <c r="AK444" s="1166"/>
    </row>
    <row r="445" spans="2:57" ht="18" customHeight="1" outlineLevel="1" x14ac:dyDescent="0.25">
      <c r="B445" s="2118"/>
      <c r="C445" s="1199"/>
      <c r="D445" s="2985"/>
      <c r="E445" s="2985"/>
      <c r="F445" s="2985"/>
      <c r="G445" s="2985"/>
      <c r="H445" s="1215"/>
      <c r="I445" s="1215"/>
      <c r="J445" s="1215"/>
      <c r="K445" s="1215"/>
      <c r="L445" s="1215"/>
      <c r="M445" s="1197"/>
      <c r="N445" s="1197"/>
      <c r="O445" s="1197"/>
      <c r="AK445" s="1166"/>
    </row>
    <row r="446" spans="2:57" outlineLevel="1" x14ac:dyDescent="0.25">
      <c r="B446" s="2118"/>
      <c r="C446" s="1200"/>
      <c r="D446" s="2985"/>
      <c r="E446" s="2985"/>
      <c r="F446" s="2985"/>
      <c r="G446" s="2985"/>
      <c r="H446" s="1215"/>
      <c r="I446" s="1215"/>
      <c r="J446" s="1215"/>
      <c r="K446" s="1215"/>
      <c r="L446" s="1215"/>
      <c r="M446" s="1197"/>
      <c r="N446" s="1197"/>
      <c r="O446" s="1197"/>
      <c r="AK446" s="1166"/>
    </row>
    <row r="447" spans="2:57" outlineLevel="1" x14ac:dyDescent="0.25">
      <c r="B447" s="2118"/>
      <c r="C447" s="1200"/>
      <c r="D447" s="2985"/>
      <c r="E447" s="2985"/>
      <c r="F447" s="2985"/>
      <c r="G447" s="2985"/>
      <c r="H447" s="1215"/>
      <c r="I447" s="1215"/>
      <c r="J447" s="1215"/>
      <c r="K447" s="1215"/>
      <c r="L447" s="1215"/>
      <c r="M447" s="1197"/>
      <c r="N447" s="1197"/>
      <c r="O447" s="1197"/>
      <c r="AK447" s="1166"/>
    </row>
    <row r="448" spans="2:57" ht="15" customHeight="1" outlineLevel="1" x14ac:dyDescent="0.25">
      <c r="B448" s="2118"/>
      <c r="C448" s="1201"/>
      <c r="D448" s="2985"/>
      <c r="E448" s="2985"/>
      <c r="F448" s="2985"/>
      <c r="G448" s="2985"/>
      <c r="H448" s="1215"/>
      <c r="I448" s="1215"/>
      <c r="J448" s="1215"/>
      <c r="K448" s="1215"/>
      <c r="L448" s="1215"/>
      <c r="M448" s="1197"/>
      <c r="N448" s="1197"/>
      <c r="O448" s="1197"/>
      <c r="AK448" s="1166"/>
    </row>
    <row r="449" spans="2:37" outlineLevel="1" x14ac:dyDescent="0.25">
      <c r="B449" s="2118"/>
      <c r="C449" s="1194"/>
      <c r="D449" s="590"/>
      <c r="E449" s="590"/>
      <c r="F449" s="1197"/>
      <c r="G449" s="1197"/>
      <c r="H449" s="1197"/>
      <c r="I449" s="1197"/>
      <c r="J449" s="1197"/>
      <c r="K449" s="1197"/>
      <c r="L449" s="1197"/>
      <c r="M449" s="1197"/>
      <c r="N449" s="1197"/>
      <c r="O449" s="1197"/>
      <c r="AK449" s="1166"/>
    </row>
    <row r="450" spans="2:37" outlineLevel="1" x14ac:dyDescent="0.25">
      <c r="B450" s="2118"/>
      <c r="C450" s="1194"/>
      <c r="D450" s="1701" t="s">
        <v>618</v>
      </c>
      <c r="E450" s="1701" t="s">
        <v>619</v>
      </c>
      <c r="F450" s="1641" t="s">
        <v>620</v>
      </c>
      <c r="G450" s="1641" t="s">
        <v>670</v>
      </c>
      <c r="H450" s="1641" t="s">
        <v>766</v>
      </c>
      <c r="I450" s="1197"/>
      <c r="J450" s="1197"/>
      <c r="K450" s="1197"/>
      <c r="L450" s="1197"/>
      <c r="M450" s="1197"/>
      <c r="N450" s="1197"/>
      <c r="O450" s="1197"/>
      <c r="V450" s="55" t="s">
        <v>27</v>
      </c>
      <c r="W450" s="56">
        <f>W$6</f>
        <v>43252</v>
      </c>
      <c r="X450" s="56">
        <f t="shared" ref="X450:AG450" si="74">X$6</f>
        <v>43465</v>
      </c>
      <c r="Y450" s="500">
        <f t="shared" si="74"/>
        <v>43800</v>
      </c>
      <c r="Z450" s="56">
        <f t="shared" si="74"/>
        <v>43862</v>
      </c>
      <c r="AA450" s="56" t="str">
        <f t="shared" si="74"/>
        <v>-</v>
      </c>
      <c r="AB450" s="56" t="str">
        <f t="shared" si="74"/>
        <v>-</v>
      </c>
      <c r="AC450" s="56" t="str">
        <f t="shared" si="74"/>
        <v>-</v>
      </c>
      <c r="AD450" s="56" t="str">
        <f t="shared" si="74"/>
        <v>-</v>
      </c>
      <c r="AE450" s="56" t="str">
        <f t="shared" si="74"/>
        <v>-</v>
      </c>
      <c r="AF450" s="56" t="str">
        <f t="shared" si="74"/>
        <v>-</v>
      </c>
      <c r="AG450" s="56" t="str">
        <f t="shared" si="74"/>
        <v>-</v>
      </c>
      <c r="AK450" s="1166"/>
    </row>
    <row r="451" spans="2:37" outlineLevel="1" x14ac:dyDescent="0.25">
      <c r="B451" s="2118"/>
      <c r="C451" s="1194"/>
      <c r="D451" s="2955" t="s">
        <v>2311</v>
      </c>
      <c r="E451" s="2484" t="s">
        <v>3468</v>
      </c>
      <c r="F451" s="1228">
        <v>3.96</v>
      </c>
      <c r="G451" s="2490" t="s">
        <v>3470</v>
      </c>
      <c r="H451" s="1542"/>
      <c r="I451" s="1197"/>
      <c r="J451" s="1197"/>
      <c r="K451" s="1197"/>
      <c r="L451" s="1197"/>
      <c r="M451" s="1197"/>
      <c r="N451" s="1197"/>
      <c r="O451" s="1197"/>
      <c r="V451" s="2957" t="str">
        <f>D451</f>
        <v>Rold</v>
      </c>
      <c r="W451" s="1206">
        <v>3.96</v>
      </c>
      <c r="X451" s="1206">
        <v>3.96</v>
      </c>
      <c r="Y451" s="1206">
        <v>3.96</v>
      </c>
      <c r="Z451" s="1228">
        <v>3.96</v>
      </c>
      <c r="AA451" s="1206"/>
      <c r="AB451" s="1206"/>
      <c r="AC451" s="1206"/>
      <c r="AD451" s="1206"/>
      <c r="AE451" s="1206"/>
      <c r="AF451" s="1206"/>
      <c r="AG451" s="1206"/>
      <c r="AK451" s="1166"/>
    </row>
    <row r="452" spans="2:37" outlineLevel="1" x14ac:dyDescent="0.25">
      <c r="B452" s="2118"/>
      <c r="C452" s="1194"/>
      <c r="D452" s="2684"/>
      <c r="E452" s="2484" t="s">
        <v>3469</v>
      </c>
      <c r="F452" s="1203">
        <f>F451+13</f>
        <v>16.96</v>
      </c>
      <c r="G452" s="2490" t="s">
        <v>3471</v>
      </c>
      <c r="H452" s="1542"/>
      <c r="I452" s="1197"/>
      <c r="J452" s="1197"/>
      <c r="K452" s="1197"/>
      <c r="L452" s="1197"/>
      <c r="M452" s="1197"/>
      <c r="N452" s="1197"/>
      <c r="O452" s="1197"/>
      <c r="V452" s="2684"/>
      <c r="W452" s="1206"/>
      <c r="X452" s="1206"/>
      <c r="Y452" s="1203"/>
      <c r="Z452" s="1203">
        <f>Z451+13</f>
        <v>16.96</v>
      </c>
      <c r="AA452" s="1206"/>
      <c r="AB452" s="1206"/>
      <c r="AC452" s="1206"/>
      <c r="AD452" s="1206"/>
      <c r="AE452" s="1206"/>
      <c r="AF452" s="1206"/>
      <c r="AG452" s="1206"/>
      <c r="AK452" s="1166"/>
    </row>
    <row r="453" spans="2:37" ht="18" outlineLevel="1" x14ac:dyDescent="0.25">
      <c r="B453" s="2118"/>
      <c r="C453" s="1194"/>
      <c r="D453" s="1710" t="s">
        <v>3369</v>
      </c>
      <c r="E453" s="574" t="s">
        <v>1764</v>
      </c>
      <c r="F453" s="1541">
        <v>25</v>
      </c>
      <c r="G453" s="1381"/>
      <c r="H453" s="1542"/>
      <c r="I453" s="1197"/>
      <c r="J453" s="1197"/>
      <c r="K453" s="1197"/>
      <c r="L453" s="1197"/>
      <c r="M453" s="1197"/>
      <c r="N453" s="1197"/>
      <c r="O453" s="1197"/>
      <c r="V453" s="1216" t="str">
        <f t="shared" ref="V453:V467" si="75">D453</f>
        <v>Radded</v>
      </c>
      <c r="W453" s="1188">
        <v>25</v>
      </c>
      <c r="X453" s="1188">
        <v>25</v>
      </c>
      <c r="Y453" s="1188">
        <v>25</v>
      </c>
      <c r="Z453" s="1541">
        <v>25</v>
      </c>
      <c r="AA453" s="1188"/>
      <c r="AB453" s="1188"/>
      <c r="AC453" s="1188"/>
      <c r="AD453" s="1188"/>
      <c r="AE453" s="1188"/>
      <c r="AF453" s="1188"/>
      <c r="AG453" s="1188"/>
      <c r="AK453" s="1166"/>
    </row>
    <row r="454" spans="2:37" ht="45" outlineLevel="1" x14ac:dyDescent="0.25">
      <c r="B454" s="1205"/>
      <c r="C454" s="1194"/>
      <c r="D454" s="1709" t="s">
        <v>3370</v>
      </c>
      <c r="E454" s="574" t="s">
        <v>1764</v>
      </c>
      <c r="F454" s="1541">
        <v>1</v>
      </c>
      <c r="G454" s="1381"/>
      <c r="H454" s="1381" t="s">
        <v>3371</v>
      </c>
      <c r="I454" s="1205"/>
      <c r="J454" s="1205"/>
      <c r="K454" s="1205"/>
      <c r="L454" s="1205"/>
      <c r="M454" s="1205"/>
      <c r="N454" s="1205"/>
      <c r="O454" s="1205"/>
      <c r="P454" s="1339"/>
      <c r="Q454" s="1339"/>
      <c r="R454" s="1339"/>
      <c r="V454" s="1204" t="str">
        <f t="shared" si="75"/>
        <v>AFloor</v>
      </c>
      <c r="W454" s="1188">
        <f>72*15</f>
        <v>1080</v>
      </c>
      <c r="X454" s="1188">
        <v>1080</v>
      </c>
      <c r="Y454" s="843">
        <v>1</v>
      </c>
      <c r="Z454" s="845">
        <v>1</v>
      </c>
      <c r="AA454" s="1188"/>
      <c r="AB454" s="1188"/>
      <c r="AC454" s="1188"/>
      <c r="AD454" s="1188"/>
      <c r="AE454" s="1188"/>
      <c r="AF454" s="1188"/>
      <c r="AG454" s="1188"/>
      <c r="AK454" s="1166"/>
    </row>
    <row r="455" spans="2:37" ht="18" outlineLevel="1" x14ac:dyDescent="0.25">
      <c r="B455" s="1205"/>
      <c r="C455" s="1194"/>
      <c r="D455" s="1709" t="s">
        <v>3372</v>
      </c>
      <c r="E455" s="574" t="s">
        <v>1764</v>
      </c>
      <c r="F455" s="1233">
        <v>0.12</v>
      </c>
      <c r="G455" s="1381"/>
      <c r="H455" s="1542"/>
      <c r="I455" s="1205"/>
      <c r="J455" s="2152"/>
      <c r="K455" s="1205"/>
      <c r="L455" s="1205"/>
      <c r="M455" s="1205"/>
      <c r="N455" s="1205"/>
      <c r="O455" s="1205"/>
      <c r="P455" s="1339"/>
      <c r="Q455" s="1339"/>
      <c r="R455" s="1339"/>
      <c r="V455" s="1204" t="str">
        <f t="shared" si="75"/>
        <v>Framing FactorFloor</v>
      </c>
      <c r="W455" s="1202">
        <v>0.12</v>
      </c>
      <c r="X455" s="1202">
        <v>0.12</v>
      </c>
      <c r="Y455" s="1202">
        <v>0.12</v>
      </c>
      <c r="Z455" s="1233">
        <v>0.12</v>
      </c>
      <c r="AA455" s="1202"/>
      <c r="AB455" s="1202"/>
      <c r="AC455" s="1202"/>
      <c r="AD455" s="1202"/>
      <c r="AE455" s="1202"/>
      <c r="AF455" s="1202"/>
      <c r="AG455" s="1202"/>
      <c r="AK455" s="1166"/>
    </row>
    <row r="456" spans="2:37" outlineLevel="1" x14ac:dyDescent="0.25">
      <c r="B456" s="1205"/>
      <c r="C456" s="1194"/>
      <c r="D456" s="2955" t="s">
        <v>1748</v>
      </c>
      <c r="E456" s="574" t="str">
        <f>E437</f>
        <v>Floor Insulation R25 (R-3.96 base) MH electric furnace/baseboard and electric cooling</v>
      </c>
      <c r="F456" s="1541">
        <v>1911</v>
      </c>
      <c r="G456" s="2982" t="s">
        <v>791</v>
      </c>
      <c r="H456" s="2984" t="s">
        <v>1765</v>
      </c>
      <c r="I456" s="1205"/>
      <c r="J456" s="1205"/>
      <c r="K456" s="1205"/>
      <c r="L456" s="1205"/>
      <c r="M456" s="1205"/>
      <c r="N456" s="1205"/>
      <c r="O456" s="1205"/>
      <c r="P456" s="1339"/>
      <c r="Q456" s="1339"/>
      <c r="R456" s="1339"/>
      <c r="V456" s="2957" t="str">
        <f t="shared" si="75"/>
        <v>HDD</v>
      </c>
      <c r="W456" s="1188">
        <v>1911</v>
      </c>
      <c r="X456" s="1188">
        <v>1911</v>
      </c>
      <c r="Y456" s="1188">
        <v>1911</v>
      </c>
      <c r="Z456" s="1541">
        <v>1911</v>
      </c>
      <c r="AA456" s="1188"/>
      <c r="AB456" s="1188"/>
      <c r="AC456" s="1188"/>
      <c r="AD456" s="1188"/>
      <c r="AE456" s="1188"/>
      <c r="AF456" s="1188"/>
      <c r="AG456" s="1188"/>
      <c r="AK456" s="1166"/>
    </row>
    <row r="457" spans="2:37" outlineLevel="1" x14ac:dyDescent="0.25">
      <c r="B457" s="1205"/>
      <c r="C457" s="1194"/>
      <c r="D457" s="2956"/>
      <c r="E457" s="574" t="str">
        <f>E438</f>
        <v>Floor Insulation R25 (R-3.96 base) MH heat pump and electric cooling</v>
      </c>
      <c r="F457" s="1541">
        <f>F456</f>
        <v>1911</v>
      </c>
      <c r="G457" s="2686"/>
      <c r="H457" s="2976"/>
      <c r="I457" s="1205"/>
      <c r="J457" s="1205"/>
      <c r="K457" s="1205"/>
      <c r="L457" s="1205"/>
      <c r="M457" s="1205"/>
      <c r="N457" s="1205"/>
      <c r="O457" s="1205"/>
      <c r="P457" s="1339"/>
      <c r="Q457" s="1339"/>
      <c r="R457" s="1339"/>
      <c r="V457" s="2958"/>
      <c r="W457" s="1188"/>
      <c r="X457" s="1188"/>
      <c r="Y457" s="1217">
        <v>1911</v>
      </c>
      <c r="Z457" s="1541">
        <v>1911</v>
      </c>
      <c r="AA457" s="1188"/>
      <c r="AB457" s="1188"/>
      <c r="AC457" s="1188"/>
      <c r="AD457" s="1188"/>
      <c r="AE457" s="1188"/>
      <c r="AF457" s="1188"/>
      <c r="AG457" s="1188"/>
      <c r="AK457" s="1166"/>
    </row>
    <row r="458" spans="2:37" outlineLevel="1" x14ac:dyDescent="0.25">
      <c r="B458" s="1205"/>
      <c r="C458" s="1194"/>
      <c r="D458" s="2969"/>
      <c r="E458" s="574" t="str">
        <f>E439</f>
        <v>Floor Insulation R25 (R-3.96 base) MH gas furnace/baseboard and electric cooling</v>
      </c>
      <c r="F458" s="1541">
        <v>0</v>
      </c>
      <c r="G458" s="1381"/>
      <c r="H458" s="1542"/>
      <c r="I458" s="1205"/>
      <c r="J458" s="1205"/>
      <c r="K458" s="1205"/>
      <c r="L458" s="1205"/>
      <c r="M458" s="1205"/>
      <c r="N458" s="1205"/>
      <c r="O458" s="1205"/>
      <c r="P458" s="1339"/>
      <c r="Q458" s="1339"/>
      <c r="R458" s="1339"/>
      <c r="V458" s="2965"/>
      <c r="W458" s="1188"/>
      <c r="X458" s="1188"/>
      <c r="Y458" s="1217">
        <v>0</v>
      </c>
      <c r="Z458" s="1541">
        <v>0</v>
      </c>
      <c r="AA458" s="1188"/>
      <c r="AB458" s="1188"/>
      <c r="AC458" s="1188"/>
      <c r="AD458" s="1188"/>
      <c r="AE458" s="1188"/>
      <c r="AF458" s="1188"/>
      <c r="AG458" s="1188"/>
      <c r="AK458" s="1166"/>
    </row>
    <row r="459" spans="2:37" ht="18" outlineLevel="1" x14ac:dyDescent="0.25">
      <c r="B459" s="1205"/>
      <c r="C459" s="1194"/>
      <c r="D459" s="1709" t="s">
        <v>3373</v>
      </c>
      <c r="E459" s="574" t="s">
        <v>1764</v>
      </c>
      <c r="F459" s="1233">
        <v>0.88</v>
      </c>
      <c r="G459" s="1381" t="s">
        <v>767</v>
      </c>
      <c r="H459" s="1542"/>
      <c r="I459" s="2153"/>
      <c r="J459" s="1205"/>
      <c r="K459" s="1205"/>
      <c r="L459" s="1205"/>
      <c r="M459" s="1205"/>
      <c r="N459" s="1205"/>
      <c r="O459" s="1205"/>
      <c r="P459" s="1339"/>
      <c r="Q459" s="1339"/>
      <c r="R459" s="1339"/>
      <c r="V459" s="1204" t="str">
        <f t="shared" si="75"/>
        <v>AdjFloor</v>
      </c>
      <c r="W459" s="1202">
        <v>0.88</v>
      </c>
      <c r="X459" s="1202">
        <v>0.88</v>
      </c>
      <c r="Y459" s="1202">
        <v>0.88</v>
      </c>
      <c r="Z459" s="1233">
        <v>0.88</v>
      </c>
      <c r="AA459" s="1202"/>
      <c r="AB459" s="1202"/>
      <c r="AC459" s="1202"/>
      <c r="AD459" s="1202"/>
      <c r="AE459" s="1202"/>
      <c r="AF459" s="1202"/>
      <c r="AG459" s="1202"/>
      <c r="AK459" s="1166"/>
    </row>
    <row r="460" spans="2:37" outlineLevel="1" x14ac:dyDescent="0.25">
      <c r="B460" s="1205"/>
      <c r="C460" s="1194"/>
      <c r="D460" s="2955" t="s">
        <v>1750</v>
      </c>
      <c r="E460" s="574" t="str">
        <f>E437</f>
        <v>Floor Insulation R25 (R-3.96 base) MH electric furnace/baseboard and electric cooling</v>
      </c>
      <c r="F460" s="1228">
        <v>1</v>
      </c>
      <c r="G460" s="1381" t="s">
        <v>767</v>
      </c>
      <c r="H460" s="2982" t="s">
        <v>770</v>
      </c>
      <c r="I460" s="1205"/>
      <c r="J460" s="1205"/>
      <c r="K460" s="1205"/>
      <c r="L460" s="1205"/>
      <c r="M460" s="1205"/>
      <c r="N460" s="1205"/>
      <c r="O460" s="1205"/>
      <c r="P460" s="1339"/>
      <c r="Q460" s="1339"/>
      <c r="R460" s="1339"/>
      <c r="V460" s="2957" t="str">
        <f t="shared" si="75"/>
        <v>ƞheat</v>
      </c>
      <c r="W460" s="1206">
        <v>1</v>
      </c>
      <c r="X460" s="1206">
        <v>1</v>
      </c>
      <c r="Y460" s="1206">
        <v>1</v>
      </c>
      <c r="Z460" s="1228">
        <v>1</v>
      </c>
      <c r="AA460" s="1206"/>
      <c r="AB460" s="1206"/>
      <c r="AC460" s="1206"/>
      <c r="AD460" s="1206"/>
      <c r="AE460" s="1206"/>
      <c r="AF460" s="1206"/>
      <c r="AG460" s="1206"/>
      <c r="AK460" s="1166"/>
    </row>
    <row r="461" spans="2:37" outlineLevel="1" x14ac:dyDescent="0.25">
      <c r="B461" s="1205"/>
      <c r="C461" s="1194"/>
      <c r="D461" s="2956"/>
      <c r="E461" s="574" t="str">
        <f>E438</f>
        <v>Floor Insulation R25 (R-3.96 base) MH heat pump and electric cooling</v>
      </c>
      <c r="F461" s="1376">
        <f>AVERAGE(1.7,1.9,2)</f>
        <v>1.8666666666666665</v>
      </c>
      <c r="G461" s="856" t="s">
        <v>1766</v>
      </c>
      <c r="H461" s="2983"/>
      <c r="I461" s="1205"/>
      <c r="J461" s="1205"/>
      <c r="K461" s="1205"/>
      <c r="L461" s="1205"/>
      <c r="M461" s="1205"/>
      <c r="N461" s="1205"/>
      <c r="O461" s="1205"/>
      <c r="P461" s="1339"/>
      <c r="Q461" s="1339"/>
      <c r="R461" s="1339"/>
      <c r="V461" s="2958"/>
      <c r="W461" s="1206"/>
      <c r="X461" s="1206"/>
      <c r="Y461" s="1221">
        <v>1.8666666666666665</v>
      </c>
      <c r="Z461" s="1376">
        <v>1.8666666666666665</v>
      </c>
      <c r="AA461" s="1206"/>
      <c r="AB461" s="1206"/>
      <c r="AC461" s="1206"/>
      <c r="AD461" s="1206"/>
      <c r="AE461" s="1206"/>
      <c r="AF461" s="1206"/>
      <c r="AG461" s="1206"/>
      <c r="AK461" s="1166"/>
    </row>
    <row r="462" spans="2:37" outlineLevel="1" x14ac:dyDescent="0.25">
      <c r="B462" s="1205"/>
      <c r="C462" s="1194"/>
      <c r="D462" s="2969"/>
      <c r="E462" s="574" t="str">
        <f>E439</f>
        <v>Floor Insulation R25 (R-3.96 base) MH gas furnace/baseboard and electric cooling</v>
      </c>
      <c r="F462" s="1228">
        <v>1.0000000000000001E-17</v>
      </c>
      <c r="G462" s="1381"/>
      <c r="H462" s="2686"/>
      <c r="I462" s="1205"/>
      <c r="J462" s="1205"/>
      <c r="K462" s="1205"/>
      <c r="L462" s="1205"/>
      <c r="M462" s="1205"/>
      <c r="N462" s="1205"/>
      <c r="O462" s="1205"/>
      <c r="P462" s="1339"/>
      <c r="Q462" s="1339"/>
      <c r="R462" s="1339"/>
      <c r="V462" s="2965"/>
      <c r="W462" s="1206"/>
      <c r="X462" s="1206"/>
      <c r="Y462" s="1203">
        <v>1.0000000000000001E-17</v>
      </c>
      <c r="Z462" s="1228">
        <v>1.0000000000000001E-17</v>
      </c>
      <c r="AA462" s="1206"/>
      <c r="AB462" s="1206"/>
      <c r="AC462" s="1206"/>
      <c r="AD462" s="1206"/>
      <c r="AE462" s="1206"/>
      <c r="AF462" s="1206"/>
      <c r="AG462" s="1206"/>
      <c r="AK462" s="1166"/>
    </row>
    <row r="463" spans="2:37" outlineLevel="1" x14ac:dyDescent="0.25">
      <c r="B463" s="1205"/>
      <c r="C463" s="1194"/>
      <c r="D463" s="2955" t="s">
        <v>1751</v>
      </c>
      <c r="E463" s="574" t="str">
        <f>E437</f>
        <v>Floor Insulation R25 (R-3.96 base) MH electric furnace/baseboard and electric cooling</v>
      </c>
      <c r="F463" s="1541">
        <v>762</v>
      </c>
      <c r="G463" s="2984" t="s">
        <v>791</v>
      </c>
      <c r="H463" s="2984" t="s">
        <v>1767</v>
      </c>
      <c r="I463" s="1205"/>
      <c r="J463" s="1205"/>
      <c r="K463" s="1205"/>
      <c r="L463" s="1205"/>
      <c r="M463" s="1205"/>
      <c r="N463" s="1205"/>
      <c r="O463" s="1205"/>
      <c r="P463" s="1339"/>
      <c r="Q463" s="1339"/>
      <c r="R463" s="1339"/>
      <c r="V463" s="2957" t="str">
        <f t="shared" si="75"/>
        <v>CDD</v>
      </c>
      <c r="W463" s="1188">
        <v>762</v>
      </c>
      <c r="X463" s="1188">
        <v>762</v>
      </c>
      <c r="Y463" s="1188">
        <v>762</v>
      </c>
      <c r="Z463" s="1541">
        <v>762</v>
      </c>
      <c r="AA463" s="1188"/>
      <c r="AB463" s="1188"/>
      <c r="AC463" s="1188"/>
      <c r="AD463" s="1188"/>
      <c r="AE463" s="1188"/>
      <c r="AF463" s="1188"/>
      <c r="AG463" s="1188"/>
      <c r="AK463" s="1166"/>
    </row>
    <row r="464" spans="2:37" outlineLevel="1" x14ac:dyDescent="0.25">
      <c r="B464" s="1205"/>
      <c r="C464" s="1194"/>
      <c r="D464" s="2956"/>
      <c r="E464" s="574" t="str">
        <f>E438</f>
        <v>Floor Insulation R25 (R-3.96 base) MH heat pump and electric cooling</v>
      </c>
      <c r="F464" s="1541">
        <v>762</v>
      </c>
      <c r="G464" s="2975"/>
      <c r="H464" s="2975"/>
      <c r="I464" s="1205"/>
      <c r="J464" s="1205"/>
      <c r="K464" s="1205"/>
      <c r="L464" s="1205"/>
      <c r="M464" s="1205"/>
      <c r="N464" s="1205"/>
      <c r="O464" s="1205"/>
      <c r="P464" s="1339"/>
      <c r="Q464" s="1339"/>
      <c r="R464" s="1339"/>
      <c r="V464" s="2958"/>
      <c r="W464" s="1188"/>
      <c r="X464" s="1188"/>
      <c r="Y464" s="1217">
        <v>762</v>
      </c>
      <c r="Z464" s="1541">
        <v>762</v>
      </c>
      <c r="AA464" s="1188"/>
      <c r="AB464" s="1188"/>
      <c r="AC464" s="1188"/>
      <c r="AD464" s="1188"/>
      <c r="AE464" s="1188"/>
      <c r="AF464" s="1188"/>
      <c r="AG464" s="1188"/>
      <c r="AK464" s="1166"/>
    </row>
    <row r="465" spans="2:57" outlineLevel="1" x14ac:dyDescent="0.25">
      <c r="B465" s="1205"/>
      <c r="C465" s="1194"/>
      <c r="D465" s="2969"/>
      <c r="E465" s="574" t="str">
        <f>E439</f>
        <v>Floor Insulation R25 (R-3.96 base) MH gas furnace/baseboard and electric cooling</v>
      </c>
      <c r="F465" s="1541">
        <v>762</v>
      </c>
      <c r="G465" s="2976"/>
      <c r="H465" s="2976"/>
      <c r="I465" s="1205"/>
      <c r="J465" s="1205"/>
      <c r="K465" s="1205"/>
      <c r="L465" s="1205"/>
      <c r="M465" s="1205"/>
      <c r="N465" s="1205"/>
      <c r="O465" s="1205"/>
      <c r="P465" s="1339"/>
      <c r="Q465" s="1339"/>
      <c r="R465" s="1339"/>
      <c r="V465" s="2965"/>
      <c r="W465" s="1188"/>
      <c r="X465" s="1188"/>
      <c r="Y465" s="1217">
        <v>762</v>
      </c>
      <c r="Z465" s="1541">
        <v>762</v>
      </c>
      <c r="AA465" s="1188"/>
      <c r="AB465" s="1188"/>
      <c r="AC465" s="1188"/>
      <c r="AD465" s="1188"/>
      <c r="AE465" s="1188"/>
      <c r="AF465" s="1188"/>
      <c r="AG465" s="1188"/>
      <c r="AK465" s="1166"/>
    </row>
    <row r="466" spans="2:57" outlineLevel="1" x14ac:dyDescent="0.25">
      <c r="B466" s="1205"/>
      <c r="C466" s="1194"/>
      <c r="D466" s="1696" t="s">
        <v>1753</v>
      </c>
      <c r="E466" s="1278" t="s">
        <v>1764</v>
      </c>
      <c r="F466" s="649">
        <v>0.75</v>
      </c>
      <c r="G466" s="1679" t="s">
        <v>767</v>
      </c>
      <c r="H466" s="1279"/>
      <c r="I466" s="1205"/>
      <c r="J466" s="1205"/>
      <c r="K466" s="1205"/>
      <c r="L466" s="1205"/>
      <c r="M466" s="1205"/>
      <c r="N466" s="1205"/>
      <c r="O466" s="1205"/>
      <c r="P466" s="1339"/>
      <c r="Q466" s="1339"/>
      <c r="R466" s="1339"/>
      <c r="V466" s="1222" t="str">
        <f t="shared" si="75"/>
        <v>DUA</v>
      </c>
      <c r="W466" s="1202">
        <v>0.75</v>
      </c>
      <c r="X466" s="1202">
        <v>0.75</v>
      </c>
      <c r="Y466" s="1223">
        <v>0.75</v>
      </c>
      <c r="Z466" s="649">
        <v>0.75</v>
      </c>
      <c r="AA466" s="1202"/>
      <c r="AB466" s="1202"/>
      <c r="AC466" s="1202"/>
      <c r="AD466" s="1202"/>
      <c r="AE466" s="1202"/>
      <c r="AF466" s="1202"/>
      <c r="AG466" s="1202"/>
      <c r="AK466" s="1166"/>
    </row>
    <row r="467" spans="2:57" ht="60" outlineLevel="1" x14ac:dyDescent="0.25">
      <c r="B467" s="1205"/>
      <c r="C467" s="1194"/>
      <c r="D467" s="1696" t="s">
        <v>1757</v>
      </c>
      <c r="E467" s="1278" t="s">
        <v>1764</v>
      </c>
      <c r="F467" s="1280">
        <v>11</v>
      </c>
      <c r="G467" s="1279" t="s">
        <v>1768</v>
      </c>
      <c r="H467" s="1381" t="s">
        <v>770</v>
      </c>
      <c r="I467" s="1205"/>
      <c r="J467" s="1205"/>
      <c r="K467" s="1205"/>
      <c r="L467" s="1205"/>
      <c r="M467" s="1205"/>
      <c r="N467" s="1205"/>
      <c r="O467" s="1205"/>
      <c r="P467" s="1339"/>
      <c r="Q467" s="1339"/>
      <c r="R467" s="1339"/>
      <c r="V467" s="1222" t="str">
        <f t="shared" si="75"/>
        <v>ƞcool</v>
      </c>
      <c r="W467" s="1188">
        <v>11</v>
      </c>
      <c r="X467" s="1188">
        <v>11</v>
      </c>
      <c r="Y467" s="1224">
        <v>11</v>
      </c>
      <c r="Z467" s="1280">
        <v>11</v>
      </c>
      <c r="AA467" s="1188"/>
      <c r="AB467" s="1188"/>
      <c r="AC467" s="1188"/>
      <c r="AD467" s="1188"/>
      <c r="AE467" s="1188"/>
      <c r="AF467" s="1188"/>
      <c r="AG467" s="1188"/>
      <c r="AK467" s="1166"/>
    </row>
    <row r="468" spans="2:57" outlineLevel="1" x14ac:dyDescent="0.25">
      <c r="B468" s="1205"/>
      <c r="C468" s="1194"/>
      <c r="D468" s="537" t="str">
        <f>L436</f>
        <v>EUL</v>
      </c>
      <c r="E468" s="2154" t="str">
        <f>E38</f>
        <v>Effective Useful Life</v>
      </c>
      <c r="F468" s="1282">
        <v>25</v>
      </c>
      <c r="G468" s="1679"/>
      <c r="H468" s="1279"/>
      <c r="I468" s="1205"/>
      <c r="J468" s="1205"/>
      <c r="K468" s="1205"/>
      <c r="L468" s="1205"/>
      <c r="M468" s="1205"/>
      <c r="N468" s="1205"/>
      <c r="O468" s="1205"/>
      <c r="P468" s="1339"/>
      <c r="Q468" s="1339"/>
      <c r="R468" s="1339"/>
      <c r="V468" s="1225" t="str">
        <f>D468</f>
        <v>EUL</v>
      </c>
      <c r="W468" s="1212">
        <v>25</v>
      </c>
      <c r="X468" s="1212">
        <v>25</v>
      </c>
      <c r="Y468" s="1210">
        <v>25</v>
      </c>
      <c r="Z468" s="1282">
        <v>25</v>
      </c>
      <c r="AA468" s="1188"/>
      <c r="AB468" s="1188"/>
      <c r="AC468" s="1188"/>
      <c r="AD468" s="1188"/>
      <c r="AE468" s="1188"/>
      <c r="AF468" s="1188"/>
      <c r="AG468" s="1188"/>
      <c r="AK468" s="1166"/>
    </row>
    <row r="469" spans="2:57" ht="45" outlineLevel="1" x14ac:dyDescent="0.25">
      <c r="B469" s="1205"/>
      <c r="C469" s="1194"/>
      <c r="D469" s="537" t="str">
        <f>M436</f>
        <v>Inc. Cost</v>
      </c>
      <c r="E469" s="2154" t="str">
        <f>E39</f>
        <v>Incremental Cost</v>
      </c>
      <c r="F469" s="1648">
        <f>734.04/1080</f>
        <v>0.67966666666666664</v>
      </c>
      <c r="G469" s="1679"/>
      <c r="H469" s="1381" t="s">
        <v>3371</v>
      </c>
      <c r="I469" s="1205"/>
      <c r="J469" s="1205"/>
      <c r="K469" s="1205"/>
      <c r="L469" s="1205"/>
      <c r="M469" s="1205"/>
      <c r="N469" s="1205"/>
      <c r="O469" s="1205"/>
      <c r="P469" s="1339"/>
      <c r="Q469" s="1339"/>
      <c r="R469" s="1339"/>
      <c r="V469" s="1225" t="str">
        <f>D469</f>
        <v>Inc. Cost</v>
      </c>
      <c r="W469" s="1214">
        <v>734.04</v>
      </c>
      <c r="X469" s="1214">
        <v>734.04</v>
      </c>
      <c r="Y469" s="740">
        <v>0.67966666666666664</v>
      </c>
      <c r="Z469" s="2574">
        <v>0.67966666666666664</v>
      </c>
      <c r="AA469" s="1188"/>
      <c r="AB469" s="1188"/>
      <c r="AC469" s="1188"/>
      <c r="AD469" s="1188"/>
      <c r="AE469" s="1188"/>
      <c r="AF469" s="1188"/>
      <c r="AG469" s="1188"/>
      <c r="AK469" s="1166"/>
    </row>
    <row r="470" spans="2:57" x14ac:dyDescent="0.25">
      <c r="B470" s="2118"/>
      <c r="C470" s="1194"/>
      <c r="D470" s="590"/>
      <c r="E470" s="590"/>
      <c r="F470" s="1197"/>
      <c r="G470" s="1197"/>
      <c r="H470" s="1197"/>
      <c r="I470" s="1197"/>
      <c r="J470" s="1197"/>
      <c r="K470" s="1197"/>
      <c r="L470" s="1197"/>
      <c r="M470" s="1197"/>
      <c r="N470" s="1197"/>
      <c r="O470" s="1197"/>
      <c r="Y470" s="1983" t="s">
        <v>1677</v>
      </c>
      <c r="AK470" s="1166"/>
    </row>
    <row r="471" spans="2:57" x14ac:dyDescent="0.25">
      <c r="B471" s="1197"/>
      <c r="C471" s="1226"/>
      <c r="D471" s="590"/>
      <c r="E471" s="590"/>
      <c r="F471" s="1197"/>
      <c r="G471" s="1197"/>
      <c r="H471" s="1197"/>
      <c r="I471" s="1197"/>
      <c r="J471" s="1197"/>
      <c r="K471" s="1197"/>
      <c r="L471" s="1197"/>
      <c r="M471" s="1197"/>
      <c r="N471" s="1197"/>
      <c r="O471" s="1197"/>
      <c r="AK471" s="1166"/>
    </row>
    <row r="472" spans="2:57" x14ac:dyDescent="0.25">
      <c r="B472" s="2639" t="s">
        <v>935</v>
      </c>
      <c r="C472" s="2640"/>
      <c r="D472" s="2640"/>
      <c r="E472" s="2640"/>
      <c r="F472" s="2640"/>
      <c r="G472" s="2640"/>
      <c r="H472" s="2640"/>
      <c r="I472" s="2641"/>
      <c r="J472" s="2641"/>
      <c r="K472" s="2641"/>
      <c r="L472" s="2641"/>
      <c r="M472" s="2641"/>
      <c r="N472" s="2641"/>
      <c r="O472" s="2641"/>
      <c r="P472" s="2641"/>
      <c r="Q472" s="2641"/>
      <c r="R472" s="2642"/>
      <c r="V472" s="2639" t="str">
        <f>B472</f>
        <v>Dirty Filter Alarm</v>
      </c>
      <c r="W472" s="2640"/>
      <c r="X472" s="2640"/>
      <c r="Y472" s="2640"/>
      <c r="Z472" s="2640"/>
      <c r="AA472" s="2640"/>
      <c r="AB472" s="2640"/>
      <c r="AC472" s="2615"/>
      <c r="AD472" s="2615"/>
      <c r="AE472" s="2615"/>
      <c r="AF472" s="2615"/>
      <c r="AG472" s="2615"/>
      <c r="AH472" s="2615"/>
      <c r="AI472" s="2616"/>
      <c r="AK472" s="1166"/>
    </row>
    <row r="473" spans="2:57" x14ac:dyDescent="0.25">
      <c r="B473" s="1580"/>
      <c r="C473" s="329"/>
      <c r="D473" s="456" t="s">
        <v>1608</v>
      </c>
      <c r="E473" s="573"/>
      <c r="F473" s="330"/>
      <c r="G473" s="330"/>
      <c r="H473" s="330"/>
      <c r="I473" s="330"/>
      <c r="J473" s="330"/>
      <c r="K473" s="330"/>
      <c r="L473" s="1902"/>
      <c r="AK473" s="1166"/>
    </row>
    <row r="474" spans="2:57" ht="30" x14ac:dyDescent="0.25">
      <c r="B474" s="1580"/>
      <c r="C474" s="1641" t="s">
        <v>17</v>
      </c>
      <c r="D474" s="1641" t="s">
        <v>662</v>
      </c>
      <c r="E474" s="1641" t="s">
        <v>19</v>
      </c>
      <c r="F474" s="1641" t="s">
        <v>20</v>
      </c>
      <c r="G474" s="1641" t="s">
        <v>21</v>
      </c>
      <c r="H474" s="1641" t="s">
        <v>22</v>
      </c>
      <c r="I474" s="1641" t="s">
        <v>936</v>
      </c>
      <c r="J474" s="1641" t="s">
        <v>937</v>
      </c>
      <c r="K474" s="1641" t="s">
        <v>23</v>
      </c>
      <c r="L474" s="1646" t="s">
        <v>24</v>
      </c>
      <c r="M474" s="1641" t="s">
        <v>25</v>
      </c>
      <c r="N474" s="1641" t="s">
        <v>26</v>
      </c>
      <c r="V474" s="55" t="s">
        <v>27</v>
      </c>
      <c r="W474" s="56">
        <f>W$6</f>
        <v>43252</v>
      </c>
      <c r="X474" s="56">
        <f t="shared" ref="X474:AG474" si="76">X$6</f>
        <v>43465</v>
      </c>
      <c r="Y474" s="500">
        <f t="shared" si="76"/>
        <v>43800</v>
      </c>
      <c r="Z474" s="56">
        <f t="shared" si="76"/>
        <v>43862</v>
      </c>
      <c r="AA474" s="56" t="str">
        <f t="shared" si="76"/>
        <v>-</v>
      </c>
      <c r="AB474" s="56" t="str">
        <f t="shared" si="76"/>
        <v>-</v>
      </c>
      <c r="AC474" s="56" t="str">
        <f t="shared" si="76"/>
        <v>-</v>
      </c>
      <c r="AD474" s="56" t="str">
        <f t="shared" si="76"/>
        <v>-</v>
      </c>
      <c r="AE474" s="56" t="str">
        <f t="shared" si="76"/>
        <v>-</v>
      </c>
      <c r="AF474" s="56" t="str">
        <f t="shared" si="76"/>
        <v>-</v>
      </c>
      <c r="AG474" s="56" t="str">
        <f t="shared" si="76"/>
        <v>-</v>
      </c>
      <c r="AK474" s="1166"/>
      <c r="BB474" s="57" t="str">
        <f>$BB$6</f>
        <v>TRC (2020)</v>
      </c>
      <c r="BC474" s="103" t="str">
        <f>$BC$6</f>
        <v>Benefit Lookup</v>
      </c>
      <c r="BD474" s="883" t="str">
        <f>$BD$6</f>
        <v>Benefits (2019 $)</v>
      </c>
      <c r="BE474" s="334" t="str">
        <f>$BE$6</f>
        <v>Incremental Cost (2019 $)</v>
      </c>
    </row>
    <row r="475" spans="2:57" x14ac:dyDescent="0.25">
      <c r="B475" s="1580"/>
      <c r="C475" s="1927" t="s">
        <v>1769</v>
      </c>
      <c r="D475" s="1927" t="s">
        <v>1613</v>
      </c>
      <c r="E475" s="574" t="s">
        <v>1770</v>
      </c>
      <c r="F475" s="788">
        <f t="shared" ref="F475:F476" si="77">ROUND(I475+J475,2)</f>
        <v>102.68</v>
      </c>
      <c r="G475" s="1927" t="s">
        <v>941</v>
      </c>
      <c r="H475" s="239">
        <f>VLOOKUP(G475,'CP FACTORS'!$A$3:$B$38, 2, FALSE)</f>
        <v>4.6608050000000002E-4</v>
      </c>
      <c r="I475" s="1276">
        <f>F$485*F$486*F$487*F$489*F490*F491</f>
        <v>64.952579999999998</v>
      </c>
      <c r="J475" s="1276">
        <f>F$492*F$486*F$493*F$489*F490*F491</f>
        <v>37.7298075</v>
      </c>
      <c r="K475" s="1178">
        <f>ROUND(H475*F475,6)</f>
        <v>4.7856999999999997E-2</v>
      </c>
      <c r="L475" s="1647">
        <f>F496</f>
        <v>14</v>
      </c>
      <c r="M475" s="1648">
        <f>F497</f>
        <v>5</v>
      </c>
      <c r="N475" s="1927" t="s">
        <v>37</v>
      </c>
      <c r="P475" s="333"/>
      <c r="Q475" s="333"/>
      <c r="R475" s="1894"/>
      <c r="V475" s="245" t="str">
        <f>F474</f>
        <v>kWh Annual Savings</v>
      </c>
      <c r="W475" s="246">
        <v>168.50624999999999</v>
      </c>
      <c r="X475" s="1165">
        <v>141.0499999999999</v>
      </c>
      <c r="Y475" s="896">
        <v>102.68</v>
      </c>
      <c r="Z475" s="896"/>
      <c r="AA475" s="245"/>
      <c r="AB475" s="245"/>
      <c r="AC475" s="245"/>
      <c r="AD475" s="245"/>
      <c r="AE475" s="245"/>
      <c r="AF475" s="245"/>
      <c r="AG475" s="245"/>
      <c r="AH475" s="248"/>
      <c r="AK475" s="1166"/>
      <c r="BB475" s="68">
        <f t="shared" ref="BB475:BB476" si="78">(BD475)/(BE475)</f>
        <v>19.319216314838293</v>
      </c>
      <c r="BC475" s="69" t="str">
        <f t="shared" ref="BC475:BC476" si="79">CONCATENATE(G475," ",L475," Year EUL")</f>
        <v>HVAC RES 14 Year EUL</v>
      </c>
      <c r="BD475" s="162">
        <f>(INDEX('Avoided Cost Benefits'!$C$4:$C$857,MATCH(BC475,'Avoided Cost Benefits'!$A$4:$A$857,0)))*F475</f>
        <v>91.171384213488864</v>
      </c>
      <c r="BE475" s="70">
        <f t="shared" ref="BE475:BE476" si="80">M475/(1.0595^(2020-2019))</f>
        <v>4.7192071731949028</v>
      </c>
    </row>
    <row r="476" spans="2:57" x14ac:dyDescent="0.25">
      <c r="B476" s="1580"/>
      <c r="C476" s="1927" t="s">
        <v>1771</v>
      </c>
      <c r="D476" s="1927" t="s">
        <v>1616</v>
      </c>
      <c r="E476" s="458" t="str">
        <f>CONCATENATE(E475,"_CompE")</f>
        <v>Dirty Filter Alarm_MFLI_CompE</v>
      </c>
      <c r="F476" s="788">
        <f t="shared" si="77"/>
        <v>49.58</v>
      </c>
      <c r="G476" s="1927" t="s">
        <v>941</v>
      </c>
      <c r="H476" s="239">
        <f>VLOOKUP(G476,'CP FACTORS'!$A$3:$B$38, 2, FALSE)</f>
        <v>4.6608050000000002E-4</v>
      </c>
      <c r="I476" s="1276">
        <f>F$485*F$486*F$488*F$489*F491*F492</f>
        <v>22.142924999999998</v>
      </c>
      <c r="J476" s="1276">
        <f>F$492*F$486*F$494*F$489*F491*F492</f>
        <v>27.439859999999999</v>
      </c>
      <c r="K476" s="1178">
        <f t="shared" ref="K476" si="81">ROUND(H476*F476,6)</f>
        <v>2.3108E-2</v>
      </c>
      <c r="L476" s="1647">
        <f>F496</f>
        <v>14</v>
      </c>
      <c r="M476" s="1648">
        <f>M475</f>
        <v>5</v>
      </c>
      <c r="N476" s="1927" t="s">
        <v>37</v>
      </c>
      <c r="P476" s="333"/>
      <c r="Q476" s="333"/>
      <c r="R476" s="1894"/>
      <c r="V476" s="245" t="str">
        <f>V475</f>
        <v>kWh Annual Savings</v>
      </c>
      <c r="W476" s="246"/>
      <c r="X476" s="1165"/>
      <c r="Y476" s="896">
        <v>49.58</v>
      </c>
      <c r="Z476" s="896"/>
      <c r="AA476" s="245"/>
      <c r="AB476" s="245"/>
      <c r="AC476" s="245"/>
      <c r="AD476" s="245"/>
      <c r="AE476" s="245"/>
      <c r="AF476" s="245"/>
      <c r="AG476" s="245"/>
      <c r="AH476" s="248"/>
      <c r="AK476" s="1166"/>
      <c r="BB476" s="75">
        <f t="shared" si="78"/>
        <v>9.3284645976790266</v>
      </c>
      <c r="BC476" s="73" t="str">
        <f t="shared" si="79"/>
        <v>HVAC RES 14 Year EUL</v>
      </c>
      <c r="BD476" s="170">
        <f>(INDEX('Avoided Cost Benefits'!$C$4:$C$857,MATCH(BC476,'Avoided Cost Benefits'!$A$4:$A$857,0)))*F476</f>
        <v>44.022957044261567</v>
      </c>
      <c r="BE476" s="76">
        <f t="shared" si="80"/>
        <v>4.7192071731949028</v>
      </c>
    </row>
    <row r="477" spans="2:57" outlineLevel="1" x14ac:dyDescent="0.25">
      <c r="B477" s="1580"/>
      <c r="C477" s="329"/>
      <c r="F477" s="354"/>
      <c r="V477"/>
      <c r="W477"/>
      <c r="X477"/>
      <c r="Y477" s="148"/>
      <c r="Z477"/>
      <c r="AA477"/>
      <c r="AB477"/>
      <c r="AC477"/>
      <c r="AD477"/>
      <c r="AE477"/>
      <c r="AF477"/>
      <c r="AG477"/>
      <c r="AK477" s="1166"/>
    </row>
    <row r="478" spans="2:57" outlineLevel="1" x14ac:dyDescent="0.25">
      <c r="B478" s="1580"/>
      <c r="C478" s="329"/>
      <c r="D478" s="259" t="s">
        <v>617</v>
      </c>
      <c r="F478" s="354"/>
      <c r="V478"/>
      <c r="W478"/>
      <c r="X478"/>
      <c r="Y478" s="148"/>
      <c r="Z478"/>
      <c r="AA478"/>
      <c r="AB478"/>
      <c r="AC478"/>
      <c r="AD478"/>
      <c r="AE478"/>
      <c r="AF478"/>
      <c r="AG478"/>
      <c r="AK478" s="1166"/>
    </row>
    <row r="479" spans="2:57" outlineLevel="1" x14ac:dyDescent="0.25">
      <c r="B479" s="1580"/>
      <c r="C479" s="329"/>
      <c r="F479" s="354"/>
      <c r="V479"/>
      <c r="W479"/>
      <c r="X479"/>
      <c r="Y479" s="148"/>
      <c r="Z479"/>
      <c r="AA479"/>
      <c r="AB479"/>
      <c r="AC479"/>
      <c r="AD479"/>
      <c r="AE479"/>
      <c r="AF479"/>
      <c r="AG479"/>
      <c r="AK479" s="1166"/>
    </row>
    <row r="480" spans="2:57" outlineLevel="1" x14ac:dyDescent="0.25">
      <c r="B480" s="1580"/>
      <c r="C480" s="329"/>
      <c r="F480" s="354"/>
      <c r="V480"/>
      <c r="W480"/>
      <c r="X480"/>
      <c r="Y480" s="148"/>
      <c r="Z480"/>
      <c r="AA480"/>
      <c r="AB480"/>
      <c r="AC480"/>
      <c r="AD480"/>
      <c r="AE480"/>
      <c r="AF480"/>
      <c r="AG480"/>
      <c r="AK480" s="1166"/>
    </row>
    <row r="481" spans="1:54" outlineLevel="1" x14ac:dyDescent="0.25">
      <c r="B481" s="1580"/>
      <c r="C481" s="329"/>
      <c r="F481" s="354"/>
      <c r="V481"/>
      <c r="W481"/>
      <c r="X481"/>
      <c r="Y481" s="148"/>
      <c r="Z481"/>
      <c r="AA481"/>
      <c r="AB481"/>
      <c r="AC481"/>
      <c r="AD481"/>
      <c r="AE481"/>
      <c r="AF481"/>
      <c r="AG481"/>
      <c r="AK481" s="1166"/>
    </row>
    <row r="482" spans="1:54" outlineLevel="1" x14ac:dyDescent="0.25">
      <c r="B482" s="1580"/>
      <c r="C482" s="329"/>
      <c r="F482" s="354"/>
      <c r="V482"/>
      <c r="W482"/>
      <c r="X482"/>
      <c r="Y482" s="148"/>
      <c r="Z482"/>
      <c r="AA482"/>
      <c r="AB482"/>
      <c r="AC482"/>
      <c r="AD482"/>
      <c r="AE482"/>
      <c r="AF482"/>
      <c r="AG482"/>
      <c r="AK482" s="1166"/>
    </row>
    <row r="483" spans="1:54" outlineLevel="1" x14ac:dyDescent="0.25">
      <c r="B483" s="1580"/>
      <c r="C483" s="329"/>
      <c r="V483"/>
      <c r="W483"/>
      <c r="X483"/>
      <c r="Y483" s="148"/>
      <c r="Z483"/>
      <c r="AA483"/>
      <c r="AB483"/>
      <c r="AC483"/>
      <c r="AD483"/>
      <c r="AE483"/>
      <c r="AF483"/>
      <c r="AG483"/>
      <c r="AK483" s="1166"/>
    </row>
    <row r="484" spans="1:54" outlineLevel="1" x14ac:dyDescent="0.25">
      <c r="B484" s="1580"/>
      <c r="C484" s="329"/>
      <c r="D484" s="1701" t="s">
        <v>618</v>
      </c>
      <c r="E484" s="1701" t="s">
        <v>619</v>
      </c>
      <c r="F484" s="1641" t="s">
        <v>620</v>
      </c>
      <c r="G484" s="1641" t="s">
        <v>670</v>
      </c>
      <c r="H484" s="1641" t="s">
        <v>766</v>
      </c>
      <c r="V484" s="55" t="s">
        <v>27</v>
      </c>
      <c r="W484" s="56">
        <f>W$6</f>
        <v>43252</v>
      </c>
      <c r="X484" s="56">
        <f t="shared" ref="X484:AG484" si="82">X$6</f>
        <v>43465</v>
      </c>
      <c r="Y484" s="500">
        <f t="shared" si="82"/>
        <v>43800</v>
      </c>
      <c r="Z484" s="56">
        <f t="shared" si="82"/>
        <v>43862</v>
      </c>
      <c r="AA484" s="56" t="str">
        <f t="shared" si="82"/>
        <v>-</v>
      </c>
      <c r="AB484" s="56" t="str">
        <f t="shared" si="82"/>
        <v>-</v>
      </c>
      <c r="AC484" s="56" t="str">
        <f t="shared" si="82"/>
        <v>-</v>
      </c>
      <c r="AD484" s="56" t="str">
        <f t="shared" si="82"/>
        <v>-</v>
      </c>
      <c r="AE484" s="56" t="str">
        <f t="shared" si="82"/>
        <v>-</v>
      </c>
      <c r="AF484" s="56" t="str">
        <f t="shared" si="82"/>
        <v>-</v>
      </c>
      <c r="AG484" s="56" t="str">
        <f t="shared" si="82"/>
        <v>-</v>
      </c>
      <c r="AK484" s="1166"/>
    </row>
    <row r="485" spans="1:54" ht="30" outlineLevel="1" x14ac:dyDescent="0.25">
      <c r="B485" s="1580"/>
      <c r="C485" s="329"/>
      <c r="D485" s="1227" t="s">
        <v>945</v>
      </c>
      <c r="E485" s="1670" t="s">
        <v>1770</v>
      </c>
      <c r="F485" s="811">
        <v>1</v>
      </c>
      <c r="G485" s="1232" t="s">
        <v>1282</v>
      </c>
      <c r="H485" s="856"/>
      <c r="P485" s="333"/>
      <c r="Q485" s="333"/>
      <c r="R485" s="333"/>
      <c r="S485" s="333"/>
      <c r="T485" s="333"/>
      <c r="U485" s="333"/>
      <c r="V485" s="1222" t="s">
        <v>945</v>
      </c>
      <c r="W485" s="1223">
        <v>0.95</v>
      </c>
      <c r="X485" s="810">
        <v>1</v>
      </c>
      <c r="Y485" s="810">
        <v>1</v>
      </c>
      <c r="Z485" s="1202"/>
      <c r="AA485" s="1202"/>
      <c r="AB485" s="1202"/>
      <c r="AC485" s="1202"/>
      <c r="AD485" s="1202"/>
      <c r="AE485" s="1202"/>
      <c r="AF485" s="1202"/>
      <c r="AG485" s="1202"/>
      <c r="AK485" s="1166"/>
    </row>
    <row r="486" spans="1:54" ht="30" outlineLevel="1" x14ac:dyDescent="0.25">
      <c r="B486" s="1580"/>
      <c r="C486" s="329"/>
      <c r="D486" s="1227" t="s">
        <v>23</v>
      </c>
      <c r="E486" s="1670" t="s">
        <v>1770</v>
      </c>
      <c r="F486" s="1228">
        <v>0.5</v>
      </c>
      <c r="G486" s="1232" t="s">
        <v>1282</v>
      </c>
      <c r="H486" s="856"/>
      <c r="P486" s="333"/>
      <c r="Q486" s="333"/>
      <c r="R486" s="333"/>
      <c r="S486" s="333"/>
      <c r="T486" s="333"/>
      <c r="U486" s="333"/>
      <c r="V486" s="1222" t="s">
        <v>23</v>
      </c>
      <c r="W486" s="1229">
        <v>0.5</v>
      </c>
      <c r="X486" s="1229">
        <v>0.5</v>
      </c>
      <c r="Y486" s="1206">
        <v>0.5</v>
      </c>
      <c r="Z486" s="1206"/>
      <c r="AA486" s="1206"/>
      <c r="AB486" s="1206"/>
      <c r="AC486" s="1206"/>
      <c r="AD486" s="1206"/>
      <c r="AE486" s="1206"/>
      <c r="AF486" s="1206"/>
      <c r="AG486" s="1206"/>
      <c r="AK486" s="1166"/>
    </row>
    <row r="487" spans="1:54" ht="30" outlineLevel="1" x14ac:dyDescent="0.25">
      <c r="B487" s="1580"/>
      <c r="C487" s="329"/>
      <c r="D487" s="2988" t="s">
        <v>1772</v>
      </c>
      <c r="E487" s="1670" t="s">
        <v>1770</v>
      </c>
      <c r="F487" s="1236">
        <v>1496</v>
      </c>
      <c r="G487" s="2155" t="s">
        <v>953</v>
      </c>
      <c r="H487" s="856"/>
      <c r="P487" s="333"/>
      <c r="Q487" s="333"/>
      <c r="R487" s="333"/>
      <c r="S487" s="333"/>
      <c r="T487" s="333"/>
      <c r="U487" s="333"/>
      <c r="V487" s="2989" t="s">
        <v>1773</v>
      </c>
      <c r="W487" s="1224">
        <v>1496</v>
      </c>
      <c r="X487" s="1217">
        <v>2009</v>
      </c>
      <c r="Y487" s="1217">
        <v>1496</v>
      </c>
      <c r="Z487" s="1206"/>
      <c r="AA487" s="1188"/>
      <c r="AB487" s="1188"/>
      <c r="AC487" s="1188"/>
      <c r="AD487" s="1188"/>
      <c r="AE487" s="1188"/>
      <c r="AF487" s="1188"/>
      <c r="AG487" s="1188"/>
      <c r="AK487" s="1166"/>
    </row>
    <row r="488" spans="1:54" ht="30" outlineLevel="1" x14ac:dyDescent="0.25">
      <c r="B488" s="1580"/>
      <c r="C488" s="329"/>
      <c r="D488" s="2683"/>
      <c r="E488" s="1670" t="str">
        <f>E476</f>
        <v>Dirty Filter Alarm_MFLI_CompE</v>
      </c>
      <c r="F488" s="1236">
        <v>510</v>
      </c>
      <c r="G488" s="2155" t="s">
        <v>953</v>
      </c>
      <c r="H488" s="856"/>
      <c r="P488" s="333"/>
      <c r="Q488" s="333"/>
      <c r="R488" s="333"/>
      <c r="S488" s="333"/>
      <c r="T488" s="333"/>
      <c r="U488" s="333"/>
      <c r="V488" s="2684"/>
      <c r="W488" s="1224"/>
      <c r="X488" s="1217"/>
      <c r="Y488" s="1217">
        <v>510</v>
      </c>
      <c r="Z488" s="1206"/>
      <c r="AA488" s="1188"/>
      <c r="AB488" s="1188"/>
      <c r="AC488" s="1188"/>
      <c r="AD488" s="1188"/>
      <c r="AE488" s="1188"/>
      <c r="AF488" s="1188"/>
      <c r="AG488" s="1188"/>
      <c r="AK488" s="1166"/>
    </row>
    <row r="489" spans="1:54" outlineLevel="1" x14ac:dyDescent="0.25">
      <c r="B489" s="1580"/>
      <c r="C489" s="329"/>
      <c r="D489" s="1670" t="s">
        <v>954</v>
      </c>
      <c r="E489" s="1670" t="s">
        <v>1770</v>
      </c>
      <c r="F489" s="1231">
        <v>0.15</v>
      </c>
      <c r="G489" s="1232" t="s">
        <v>767</v>
      </c>
      <c r="H489" s="856"/>
      <c r="P489" s="333"/>
      <c r="Q489" s="333"/>
      <c r="R489" s="333"/>
      <c r="S489" s="333"/>
      <c r="T489" s="333"/>
      <c r="U489" s="333"/>
      <c r="V489" s="1213" t="s">
        <v>954</v>
      </c>
      <c r="W489" s="1223">
        <v>0.15</v>
      </c>
      <c r="X489" s="1202">
        <v>0.15</v>
      </c>
      <c r="Y489" s="1207">
        <v>0.15</v>
      </c>
      <c r="Z489" s="1206"/>
      <c r="AA489" s="1202"/>
      <c r="AB489" s="1202"/>
      <c r="AC489" s="1202"/>
      <c r="AD489" s="1202"/>
      <c r="AE489" s="1202"/>
      <c r="AF489" s="1202"/>
      <c r="AG489" s="1202"/>
      <c r="AK489" s="1166"/>
    </row>
    <row r="490" spans="1:54" outlineLevel="1" x14ac:dyDescent="0.25">
      <c r="B490" s="1580"/>
      <c r="C490" s="329"/>
      <c r="D490" s="1698" t="s">
        <v>956</v>
      </c>
      <c r="E490" s="1670" t="s">
        <v>1770</v>
      </c>
      <c r="F490" s="1233">
        <v>1</v>
      </c>
      <c r="G490" s="1232" t="s">
        <v>767</v>
      </c>
      <c r="H490" s="856"/>
      <c r="P490" s="333"/>
      <c r="Q490" s="333"/>
      <c r="R490" s="333"/>
      <c r="S490" s="333"/>
      <c r="T490" s="333"/>
      <c r="U490" s="333"/>
      <c r="V490" s="1234" t="s">
        <v>956</v>
      </c>
      <c r="W490" s="1223">
        <v>1</v>
      </c>
      <c r="X490" s="1202">
        <v>1</v>
      </c>
      <c r="Y490" s="1202">
        <v>1</v>
      </c>
      <c r="Z490" s="1206"/>
      <c r="AA490" s="1202"/>
      <c r="AB490" s="1202"/>
      <c r="AC490" s="1202"/>
      <c r="AD490" s="1202"/>
      <c r="AE490" s="1202"/>
      <c r="AF490" s="1202"/>
      <c r="AG490" s="1202"/>
      <c r="AK490" s="1166"/>
    </row>
    <row r="491" spans="1:54" ht="30" outlineLevel="1" x14ac:dyDescent="0.25">
      <c r="B491" s="1580"/>
      <c r="C491" s="329"/>
      <c r="D491" s="1698" t="s">
        <v>82</v>
      </c>
      <c r="E491" s="1670" t="s">
        <v>1770</v>
      </c>
      <c r="F491" s="1231">
        <v>0.57889999999999997</v>
      </c>
      <c r="G491" s="1232" t="s">
        <v>1282</v>
      </c>
      <c r="H491" s="856" t="s">
        <v>1774</v>
      </c>
      <c r="P491" s="333"/>
      <c r="Q491" s="333"/>
      <c r="R491" s="333"/>
      <c r="S491" s="333"/>
      <c r="T491" s="333"/>
      <c r="U491" s="333"/>
      <c r="V491" s="1234" t="s">
        <v>82</v>
      </c>
      <c r="W491" s="1223">
        <v>1</v>
      </c>
      <c r="X491" s="1235">
        <v>0.58333333333333304</v>
      </c>
      <c r="Y491" s="1235">
        <v>0.57889999999999997</v>
      </c>
      <c r="Z491" s="1206"/>
      <c r="AA491" s="1202"/>
      <c r="AB491" s="1202"/>
      <c r="AC491" s="1202"/>
      <c r="AD491" s="1202"/>
      <c r="AE491" s="1202"/>
      <c r="AF491" s="1202"/>
      <c r="AG491" s="1202"/>
      <c r="AK491" s="1166"/>
    </row>
    <row r="492" spans="1:54" ht="30" outlineLevel="1" x14ac:dyDescent="0.25">
      <c r="B492" s="1580"/>
      <c r="C492" s="329"/>
      <c r="D492" s="1227" t="s">
        <v>788</v>
      </c>
      <c r="E492" s="1670" t="s">
        <v>1770</v>
      </c>
      <c r="F492" s="811">
        <v>1</v>
      </c>
      <c r="G492" s="1232" t="s">
        <v>1282</v>
      </c>
      <c r="H492" s="856"/>
      <c r="P492" s="333"/>
      <c r="Q492" s="333"/>
      <c r="R492" s="333"/>
      <c r="S492" s="333"/>
      <c r="T492" s="333"/>
      <c r="U492" s="333"/>
      <c r="V492" s="1222" t="s">
        <v>788</v>
      </c>
      <c r="W492" s="1223">
        <v>0.95</v>
      </c>
      <c r="X492" s="810">
        <v>1</v>
      </c>
      <c r="Y492" s="810">
        <v>1</v>
      </c>
      <c r="Z492" s="1206"/>
      <c r="AA492" s="1202"/>
      <c r="AB492" s="1202"/>
      <c r="AC492" s="1202"/>
      <c r="AD492" s="1202"/>
      <c r="AE492" s="1202"/>
      <c r="AF492" s="1202"/>
      <c r="AG492" s="1202"/>
      <c r="AK492" s="1166"/>
    </row>
    <row r="493" spans="1:54" ht="30" outlineLevel="1" x14ac:dyDescent="0.25">
      <c r="B493" s="1580"/>
      <c r="C493" s="329"/>
      <c r="D493" s="2988" t="s">
        <v>1775</v>
      </c>
      <c r="E493" s="1670" t="s">
        <v>1770</v>
      </c>
      <c r="F493" s="1236">
        <v>869</v>
      </c>
      <c r="G493" s="1232" t="s">
        <v>1282</v>
      </c>
      <c r="H493" s="856"/>
      <c r="V493" s="2957" t="s">
        <v>1776</v>
      </c>
      <c r="W493" s="1188">
        <v>869</v>
      </c>
      <c r="X493" s="1230">
        <v>1215</v>
      </c>
      <c r="Y493" s="1230">
        <v>869</v>
      </c>
      <c r="Z493" s="1206"/>
      <c r="AA493" s="1188"/>
      <c r="AB493" s="1188"/>
      <c r="AC493" s="1188"/>
      <c r="AD493" s="1188"/>
      <c r="AE493" s="1188"/>
      <c r="AF493" s="1188"/>
      <c r="AG493" s="1188"/>
      <c r="AK493" s="1166"/>
    </row>
    <row r="494" spans="1:54" ht="30" outlineLevel="1" x14ac:dyDescent="0.25">
      <c r="B494" s="1580"/>
      <c r="C494" s="329"/>
      <c r="D494" s="2683"/>
      <c r="E494" s="1670" t="str">
        <f>E476</f>
        <v>Dirty Filter Alarm_MFLI_CompE</v>
      </c>
      <c r="F494" s="1236">
        <v>632</v>
      </c>
      <c r="G494" s="1232" t="s">
        <v>953</v>
      </c>
      <c r="H494" s="856"/>
      <c r="V494" s="2684"/>
      <c r="W494" s="1188"/>
      <c r="X494" s="1230"/>
      <c r="Y494" s="1230">
        <v>632</v>
      </c>
      <c r="Z494" s="1206"/>
      <c r="AA494" s="1188"/>
      <c r="AB494" s="1188"/>
      <c r="AC494" s="1188"/>
      <c r="AD494" s="1188"/>
      <c r="AE494" s="1188"/>
      <c r="AF494" s="1188"/>
      <c r="AG494" s="1188"/>
      <c r="AK494" s="1166"/>
    </row>
    <row r="495" spans="1:54" customFormat="1" ht="30" outlineLevel="1" x14ac:dyDescent="0.25">
      <c r="A495" s="177"/>
      <c r="B495" s="1580"/>
      <c r="C495" s="1237"/>
      <c r="D495" s="1707" t="s">
        <v>963</v>
      </c>
      <c r="E495" s="1706" t="s">
        <v>964</v>
      </c>
      <c r="F495" s="608" t="s">
        <v>965</v>
      </c>
      <c r="G495" s="1232" t="s">
        <v>1282</v>
      </c>
      <c r="H495" s="1238"/>
      <c r="I495" s="355"/>
      <c r="J495" s="355"/>
      <c r="K495" s="355"/>
      <c r="L495" s="355"/>
      <c r="M495" s="1494"/>
      <c r="N495" s="355"/>
      <c r="O495" s="355"/>
      <c r="P495" s="355"/>
      <c r="Q495" s="355"/>
      <c r="R495" s="177"/>
      <c r="S495" s="177"/>
      <c r="T495" s="177"/>
      <c r="U495" s="177"/>
      <c r="V495" s="1239" t="str">
        <f>D495</f>
        <v>P</v>
      </c>
      <c r="W495" s="608" t="s">
        <v>965</v>
      </c>
      <c r="X495" s="608" t="s">
        <v>965</v>
      </c>
      <c r="Y495" s="608" t="s">
        <v>965</v>
      </c>
      <c r="Z495" s="1206"/>
      <c r="AA495" s="608"/>
      <c r="AB495" s="608"/>
      <c r="AC495" s="608"/>
      <c r="AD495" s="608"/>
      <c r="AE495" s="608"/>
      <c r="AF495" s="608"/>
      <c r="AG495" s="608"/>
      <c r="BB495" s="1240"/>
    </row>
    <row r="496" spans="1:54" outlineLevel="1" x14ac:dyDescent="0.25">
      <c r="B496" s="1205"/>
      <c r="C496" s="1194"/>
      <c r="D496" s="1241" t="str">
        <f>D468</f>
        <v>EUL</v>
      </c>
      <c r="E496" s="1241" t="str">
        <f>E468</f>
        <v>Effective Useful Life</v>
      </c>
      <c r="F496" s="1242">
        <v>14</v>
      </c>
      <c r="G496" s="1232"/>
      <c r="H496" s="856"/>
      <c r="I496" s="1205"/>
      <c r="J496" s="1205"/>
      <c r="K496" s="1205"/>
      <c r="L496" s="1205"/>
      <c r="M496" s="1205"/>
      <c r="N496" s="1205"/>
      <c r="O496" s="1205"/>
      <c r="P496" s="1339"/>
      <c r="Q496" s="1339"/>
      <c r="R496" s="1339"/>
      <c r="V496" s="1204" t="str">
        <f>D496</f>
        <v>EUL</v>
      </c>
      <c r="W496" s="1212">
        <v>14</v>
      </c>
      <c r="X496" s="1212">
        <v>14</v>
      </c>
      <c r="Y496" s="1212">
        <v>14</v>
      </c>
      <c r="Z496" s="1188"/>
      <c r="AA496" s="1188"/>
      <c r="AB496" s="1188"/>
      <c r="AC496" s="1188"/>
      <c r="AD496" s="1188"/>
      <c r="AE496" s="1188"/>
      <c r="AF496" s="1188"/>
      <c r="AG496" s="1188"/>
      <c r="AK496" s="1166"/>
    </row>
    <row r="497" spans="1:57" outlineLevel="1" x14ac:dyDescent="0.25">
      <c r="B497" s="1205"/>
      <c r="C497" s="1194"/>
      <c r="D497" s="1241" t="str">
        <f>D469</f>
        <v>Inc. Cost</v>
      </c>
      <c r="E497" s="1241" t="str">
        <f>E469</f>
        <v>Incremental Cost</v>
      </c>
      <c r="F497" s="610">
        <v>5</v>
      </c>
      <c r="G497" s="1232"/>
      <c r="H497" s="856"/>
      <c r="I497" s="1205"/>
      <c r="J497" s="1205"/>
      <c r="K497" s="1205"/>
      <c r="L497" s="1205"/>
      <c r="M497" s="1205"/>
      <c r="N497" s="1205"/>
      <c r="O497" s="1205"/>
      <c r="P497" s="1339"/>
      <c r="Q497" s="1339"/>
      <c r="R497" s="1339"/>
      <c r="V497" s="1204" t="str">
        <f>D497</f>
        <v>Inc. Cost</v>
      </c>
      <c r="W497" s="1214">
        <v>5</v>
      </c>
      <c r="X497" s="1214">
        <v>5</v>
      </c>
      <c r="Y497" s="1214">
        <v>5</v>
      </c>
      <c r="Z497" s="1188"/>
      <c r="AA497" s="1188"/>
      <c r="AB497" s="1188"/>
      <c r="AC497" s="1188"/>
      <c r="AD497" s="1188"/>
      <c r="AE497" s="1188"/>
      <c r="AF497" s="1188"/>
      <c r="AG497" s="1188"/>
      <c r="AK497" s="1166"/>
    </row>
    <row r="498" spans="1:57" x14ac:dyDescent="0.25">
      <c r="AK498" s="1166"/>
    </row>
    <row r="499" spans="1:57" s="1177" customFormat="1" x14ac:dyDescent="0.25">
      <c r="A499" s="1197"/>
      <c r="B499" s="2639" t="s">
        <v>1777</v>
      </c>
      <c r="C499" s="2640"/>
      <c r="D499" s="2640"/>
      <c r="E499" s="2640"/>
      <c r="F499" s="2640"/>
      <c r="G499" s="2640"/>
      <c r="H499" s="2640"/>
      <c r="I499" s="2641"/>
      <c r="J499" s="2641"/>
      <c r="K499" s="2641"/>
      <c r="L499" s="2641"/>
      <c r="M499" s="2641"/>
      <c r="N499" s="2641"/>
      <c r="O499" s="2641"/>
      <c r="P499" s="2641"/>
      <c r="Q499" s="2641"/>
      <c r="R499" s="2642"/>
      <c r="S499" s="1197"/>
      <c r="T499" s="1197"/>
      <c r="U499" s="1197"/>
      <c r="V499" s="2639" t="str">
        <f>B499</f>
        <v>Duct Insulation</v>
      </c>
      <c r="W499" s="2640"/>
      <c r="X499" s="2640"/>
      <c r="Y499" s="2640"/>
      <c r="Z499" s="2640"/>
      <c r="AA499" s="2640"/>
      <c r="AB499" s="2640"/>
      <c r="AC499" s="2615"/>
      <c r="AD499" s="2615"/>
      <c r="AE499" s="2615"/>
      <c r="AF499" s="2615"/>
      <c r="AG499" s="2615"/>
      <c r="AH499" s="2615"/>
      <c r="AI499" s="2616"/>
      <c r="AK499" s="1166"/>
      <c r="BB499" s="1193"/>
    </row>
    <row r="500" spans="1:57" s="1177" customFormat="1" ht="15" customHeight="1" x14ac:dyDescent="0.25">
      <c r="A500" s="1197"/>
      <c r="B500" s="1197"/>
      <c r="C500" s="1226"/>
      <c r="D500" s="590"/>
      <c r="E500" s="590"/>
      <c r="F500" s="1197"/>
      <c r="G500" s="1197"/>
      <c r="H500" s="1197"/>
      <c r="I500" s="1197"/>
      <c r="J500" s="1197"/>
      <c r="K500" s="1197"/>
      <c r="L500" s="1197"/>
      <c r="M500" s="1197"/>
      <c r="N500" s="1197"/>
      <c r="O500" s="1197"/>
      <c r="P500" s="1197"/>
      <c r="Q500" s="1197"/>
      <c r="R500" s="1197"/>
      <c r="S500" s="1197"/>
      <c r="T500" s="1197"/>
      <c r="U500" s="1197"/>
      <c r="V500" s="328"/>
      <c r="W500" s="328"/>
      <c r="X500" s="328"/>
      <c r="Y500" s="833"/>
      <c r="Z500" s="328"/>
      <c r="AA500" s="328"/>
      <c r="AB500" s="328"/>
      <c r="AC500" s="328"/>
      <c r="AD500" s="328"/>
      <c r="AE500" s="328"/>
      <c r="AF500" s="328"/>
      <c r="AG500" s="328"/>
      <c r="AH500" s="328"/>
      <c r="AI500" s="328"/>
      <c r="AK500" s="1166"/>
      <c r="BB500" s="1193"/>
    </row>
    <row r="501" spans="1:57" s="1177" customFormat="1" ht="45" x14ac:dyDescent="0.25">
      <c r="A501" s="1197"/>
      <c r="B501" s="1205"/>
      <c r="C501" s="1641" t="s">
        <v>17</v>
      </c>
      <c r="D501" s="1641" t="s">
        <v>662</v>
      </c>
      <c r="E501" s="1701" t="s">
        <v>19</v>
      </c>
      <c r="F501" s="1641" t="s">
        <v>1778</v>
      </c>
      <c r="G501" s="1641" t="s">
        <v>21</v>
      </c>
      <c r="H501" s="1641" t="s">
        <v>22</v>
      </c>
      <c r="I501" s="1641" t="s">
        <v>1779</v>
      </c>
      <c r="J501" s="1641" t="s">
        <v>1780</v>
      </c>
      <c r="K501" s="1641" t="s">
        <v>1781</v>
      </c>
      <c r="L501" s="1641" t="s">
        <v>23</v>
      </c>
      <c r="M501" s="1641" t="s">
        <v>24</v>
      </c>
      <c r="N501" s="1641" t="s">
        <v>568</v>
      </c>
      <c r="O501" s="1641" t="s">
        <v>1782</v>
      </c>
      <c r="P501" s="1197"/>
      <c r="Q501" s="1197"/>
      <c r="R501" s="1197"/>
      <c r="S501" s="1197"/>
      <c r="T501" s="1197"/>
      <c r="U501" s="1197"/>
      <c r="V501" s="55" t="s">
        <v>27</v>
      </c>
      <c r="W501" s="56">
        <f>W$6</f>
        <v>43252</v>
      </c>
      <c r="X501" s="56">
        <f t="shared" ref="X501:AG501" si="83">X$6</f>
        <v>43465</v>
      </c>
      <c r="Y501" s="500">
        <f t="shared" si="83"/>
        <v>43800</v>
      </c>
      <c r="Z501" s="56">
        <f t="shared" si="83"/>
        <v>43862</v>
      </c>
      <c r="AA501" s="56" t="str">
        <f t="shared" si="83"/>
        <v>-</v>
      </c>
      <c r="AB501" s="56" t="str">
        <f t="shared" si="83"/>
        <v>-</v>
      </c>
      <c r="AC501" s="56" t="str">
        <f t="shared" si="83"/>
        <v>-</v>
      </c>
      <c r="AD501" s="56" t="str">
        <f t="shared" si="83"/>
        <v>-</v>
      </c>
      <c r="AE501" s="56" t="str">
        <f t="shared" si="83"/>
        <v>-</v>
      </c>
      <c r="AF501" s="56" t="str">
        <f t="shared" si="83"/>
        <v>-</v>
      </c>
      <c r="AG501" s="56" t="str">
        <f t="shared" si="83"/>
        <v>-</v>
      </c>
      <c r="AH501" s="328"/>
      <c r="AI501" s="328"/>
      <c r="AK501" s="1166"/>
      <c r="BB501" s="57" t="str">
        <f>$BB$6</f>
        <v>TRC (2020)</v>
      </c>
      <c r="BC501" s="103" t="str">
        <f>$BC$6</f>
        <v>Benefit Lookup</v>
      </c>
      <c r="BD501" s="883" t="str">
        <f>$BD$6</f>
        <v>Benefits (2019 $)</v>
      </c>
      <c r="BE501" s="334" t="str">
        <f>$BE$6</f>
        <v>Incremental Cost (2019 $)</v>
      </c>
    </row>
    <row r="502" spans="1:57" s="1177" customFormat="1" ht="15" customHeight="1" x14ac:dyDescent="0.25">
      <c r="A502" s="1197"/>
      <c r="B502" s="1205"/>
      <c r="C502" s="1672" t="s">
        <v>1783</v>
      </c>
      <c r="D502" s="2479" t="s">
        <v>1610</v>
      </c>
      <c r="E502" s="1670" t="s">
        <v>1784</v>
      </c>
      <c r="F502" s="1244">
        <f>ROUND((I502+J502)*G533*G534*G535,2)</f>
        <v>29.13</v>
      </c>
      <c r="G502" s="1672" t="s">
        <v>941</v>
      </c>
      <c r="H502" s="239">
        <f>VLOOKUP(G502,'CP FACTORS'!$A$3:$B$38, 2, FALSE)</f>
        <v>4.6608050000000002E-4</v>
      </c>
      <c r="I502" s="608">
        <f>(1/G517-1/G518)*G519*G521*G522/(G523*G524)</f>
        <v>1.5815800000000002</v>
      </c>
      <c r="J502" s="608">
        <f>(1/G517-1/G518)*G519*G525*G526/(G527*G528)</f>
        <v>27.545779601406799</v>
      </c>
      <c r="K502" s="1244">
        <v>0</v>
      </c>
      <c r="L502" s="2156">
        <f>ROUND(H502*F502,6)</f>
        <v>1.3577000000000001E-2</v>
      </c>
      <c r="M502" s="608">
        <f>$G$536</f>
        <v>20</v>
      </c>
      <c r="N502" s="610">
        <f>$G$537</f>
        <v>4.2205065958870298</v>
      </c>
      <c r="O502" s="608">
        <v>1</v>
      </c>
      <c r="P502" s="1197"/>
      <c r="Q502" s="1197"/>
      <c r="R502" s="1197"/>
      <c r="S502" s="1197"/>
      <c r="T502" s="1197"/>
      <c r="U502" s="1197"/>
      <c r="V502" s="245" t="str">
        <f>$F$501</f>
        <v>kWh
Annual Savings</v>
      </c>
      <c r="W502" s="340">
        <v>1436.5606215435027</v>
      </c>
      <c r="X502" s="1245">
        <v>1436.5606215435027</v>
      </c>
      <c r="Y502" s="1246">
        <v>29.13</v>
      </c>
      <c r="Z502" s="144"/>
      <c r="AA502" s="245"/>
      <c r="AB502" s="245"/>
      <c r="AC502" s="245"/>
      <c r="AD502" s="245"/>
      <c r="AE502" s="245"/>
      <c r="AF502" s="245"/>
      <c r="AG502" s="245"/>
      <c r="AH502" s="328"/>
      <c r="AI502" s="328"/>
      <c r="AK502" s="1166"/>
      <c r="BB502" s="68">
        <f t="shared" ref="BB502:BB504" si="84">(BD502)/(BE502)</f>
        <v>8.704896824384484</v>
      </c>
      <c r="BC502" s="69" t="str">
        <f>CONCATENATE(G502," ",M502," Year EUL")</f>
        <v>HVAC RES 20 Year EUL</v>
      </c>
      <c r="BD502" s="162">
        <f>(INDEX('Avoided Cost Benefits'!$C$4:$C$857,MATCH(BC502,'Avoided Cost Benefits'!$A$4:$A$857,0)))*F502</f>
        <v>34.675860749250376</v>
      </c>
      <c r="BE502" s="70">
        <f>N502/(1.0595^(2020-2019))</f>
        <v>3.9834890003652945</v>
      </c>
    </row>
    <row r="503" spans="1:57" s="1177" customFormat="1" ht="15" customHeight="1" x14ac:dyDescent="0.25">
      <c r="A503" s="1197"/>
      <c r="B503" s="1205"/>
      <c r="C503" s="1672" t="s">
        <v>1785</v>
      </c>
      <c r="D503" s="2479" t="s">
        <v>1610</v>
      </c>
      <c r="E503" s="1670" t="s">
        <v>1786</v>
      </c>
      <c r="F503" s="1244">
        <f>ROUND((I503+J503)*G533*G534*G535,2)</f>
        <v>29.13</v>
      </c>
      <c r="G503" s="1672" t="s">
        <v>941</v>
      </c>
      <c r="H503" s="239">
        <f>VLOOKUP(G503,'CP FACTORS'!$A$3:$B$38, 2, FALSE)</f>
        <v>4.6608050000000002E-4</v>
      </c>
      <c r="I503" s="608">
        <f>(1/G517-1/G518)*G520*G521*G522/(G523*G524)</f>
        <v>1.5815800000000002</v>
      </c>
      <c r="J503" s="608">
        <f>(1/G517-1/G518)*G520*G525*G526/(G527*G528)</f>
        <v>27.545779601406799</v>
      </c>
      <c r="K503" s="1244">
        <v>0</v>
      </c>
      <c r="L503" s="2156">
        <f t="shared" ref="L503:L504" si="85">ROUND(H503*F503,6)</f>
        <v>1.3577000000000001E-2</v>
      </c>
      <c r="M503" s="608">
        <f>$G$536</f>
        <v>20</v>
      </c>
      <c r="N503" s="610">
        <f>$G$537</f>
        <v>4.2205065958870298</v>
      </c>
      <c r="O503" s="608">
        <v>1</v>
      </c>
      <c r="P503" s="1197"/>
      <c r="Q503" s="1197"/>
      <c r="R503" s="1197"/>
      <c r="S503" s="1197"/>
      <c r="T503" s="1197"/>
      <c r="U503" s="1197"/>
      <c r="V503" s="245" t="str">
        <f>$F$501</f>
        <v>kWh
Annual Savings</v>
      </c>
      <c r="W503" s="340">
        <v>1267.6448744421125</v>
      </c>
      <c r="X503" s="1245">
        <v>1267.6448744421125</v>
      </c>
      <c r="Y503" s="1246">
        <v>29.13</v>
      </c>
      <c r="Z503" s="144"/>
      <c r="AA503" s="245"/>
      <c r="AB503" s="245"/>
      <c r="AC503" s="245"/>
      <c r="AD503" s="245"/>
      <c r="AE503" s="245"/>
      <c r="AF503" s="245"/>
      <c r="AG503" s="245"/>
      <c r="AK503" s="1166"/>
      <c r="BB503" s="72">
        <f t="shared" si="84"/>
        <v>8.704896824384484</v>
      </c>
      <c r="BC503" s="73" t="str">
        <f t="shared" ref="BC503:BC504" si="86">CONCATENATE(G503," ",M503," Year EUL")</f>
        <v>HVAC RES 20 Year EUL</v>
      </c>
      <c r="BD503" s="165">
        <f>(INDEX('Avoided Cost Benefits'!$C$4:$C$857,MATCH(BC503,'Avoided Cost Benefits'!$A$4:$A$857,0)))*F503</f>
        <v>34.675860749250376</v>
      </c>
      <c r="BE503" s="74">
        <f t="shared" ref="BE503:BE504" si="87">N503/(1.0595^(2020-2019))</f>
        <v>3.9834890003652945</v>
      </c>
    </row>
    <row r="504" spans="1:57" s="1177" customFormat="1" x14ac:dyDescent="0.25">
      <c r="A504" s="1197"/>
      <c r="B504" s="1205"/>
      <c r="C504" s="1672" t="s">
        <v>1787</v>
      </c>
      <c r="D504" s="2479" t="s">
        <v>1610</v>
      </c>
      <c r="E504" s="1670" t="s">
        <v>1788</v>
      </c>
      <c r="F504" s="1244">
        <f>ROUND((I504+J504)*G533*G534*G535,2)</f>
        <v>2.69</v>
      </c>
      <c r="G504" s="1672" t="s">
        <v>941</v>
      </c>
      <c r="H504" s="239">
        <f>VLOOKUP(G504,'CP FACTORS'!$A$3:$B$38, 2, FALSE)</f>
        <v>4.6608050000000002E-4</v>
      </c>
      <c r="I504" s="608">
        <f>(1/G517-1/G518)*G519*G521*G522/(G523*G524)</f>
        <v>1.5815800000000002</v>
      </c>
      <c r="J504" s="608">
        <f>K504*G529*G530</f>
        <v>1.1085792785128203</v>
      </c>
      <c r="K504" s="1244">
        <f>(1/G517-1/G518)*G519*G525*G526/(100000*G532)</f>
        <v>1.204951282051282</v>
      </c>
      <c r="L504" s="2156">
        <f t="shared" si="85"/>
        <v>1.2539999999999999E-3</v>
      </c>
      <c r="M504" s="608">
        <f>$G$536</f>
        <v>20</v>
      </c>
      <c r="N504" s="610">
        <f>$G$537</f>
        <v>4.2205065958870298</v>
      </c>
      <c r="O504" s="608">
        <v>1</v>
      </c>
      <c r="P504" s="1197"/>
      <c r="Q504" s="1197"/>
      <c r="R504" s="1197"/>
      <c r="S504" s="1197"/>
      <c r="T504" s="1197"/>
      <c r="U504" s="1197"/>
      <c r="V504" s="245" t="str">
        <f>$F$501</f>
        <v>kWh
Annual Savings</v>
      </c>
      <c r="W504" s="340">
        <v>114.3457559964678</v>
      </c>
      <c r="X504" s="1245">
        <v>114.3457559964678</v>
      </c>
      <c r="Y504" s="1246">
        <v>2.69</v>
      </c>
      <c r="Z504" s="144"/>
      <c r="AA504" s="245"/>
      <c r="AB504" s="245"/>
      <c r="AC504" s="245"/>
      <c r="AD504" s="245"/>
      <c r="AE504" s="245"/>
      <c r="AF504" s="245"/>
      <c r="AG504" s="245"/>
      <c r="AK504" s="1166"/>
      <c r="BB504" s="75">
        <f t="shared" si="84"/>
        <v>0.80385075377941162</v>
      </c>
      <c r="BC504" s="73" t="str">
        <f t="shared" si="86"/>
        <v>HVAC RES 20 Year EUL</v>
      </c>
      <c r="BD504" s="170">
        <f>(INDEX('Avoided Cost Benefits'!$C$4:$C$857,MATCH(BC504,'Avoided Cost Benefits'!$A$4:$A$857,0)))*F504</f>
        <v>3.2021306356156369</v>
      </c>
      <c r="BE504" s="76">
        <f t="shared" si="87"/>
        <v>3.9834890003652945</v>
      </c>
    </row>
    <row r="505" spans="1:57" s="1177" customFormat="1" ht="15" customHeight="1" outlineLevel="1" x14ac:dyDescent="0.25">
      <c r="A505" s="1197"/>
      <c r="B505" s="1205"/>
      <c r="C505" s="1194"/>
      <c r="D505" s="2157"/>
      <c r="E505" s="2157"/>
      <c r="F505" s="1248"/>
      <c r="G505" s="1248"/>
      <c r="H505" s="1248"/>
      <c r="I505" s="1248" t="s">
        <v>1789</v>
      </c>
      <c r="J505" s="1248"/>
      <c r="K505" s="1248"/>
      <c r="L505" s="1248"/>
      <c r="M505" s="1197"/>
      <c r="N505" s="1197"/>
      <c r="O505" s="1197"/>
      <c r="P505" s="1197"/>
      <c r="Q505" s="1197"/>
      <c r="R505" s="1197"/>
      <c r="S505" s="1197"/>
      <c r="T505" s="1197"/>
      <c r="U505" s="1197"/>
      <c r="Y505" s="1983" t="s">
        <v>1677</v>
      </c>
      <c r="AK505" s="1166"/>
      <c r="BB505" s="1193"/>
    </row>
    <row r="506" spans="1:57" s="1177" customFormat="1" ht="15" customHeight="1" outlineLevel="1" x14ac:dyDescent="0.25">
      <c r="A506" s="1197"/>
      <c r="B506" s="1205"/>
      <c r="C506" s="1194"/>
      <c r="D506" s="259" t="s">
        <v>617</v>
      </c>
      <c r="E506" s="2158"/>
      <c r="F506" s="1249"/>
      <c r="G506" s="1249"/>
      <c r="H506" s="1249"/>
      <c r="I506" s="1249"/>
      <c r="J506" s="1249"/>
      <c r="K506" s="1249"/>
      <c r="L506" s="1248"/>
      <c r="M506" s="1197"/>
      <c r="N506" s="1197"/>
      <c r="O506" s="1197"/>
      <c r="P506" s="1197"/>
      <c r="Q506" s="1197"/>
      <c r="R506" s="1197"/>
      <c r="S506" s="1197"/>
      <c r="T506" s="1197"/>
      <c r="U506" s="1197"/>
      <c r="Y506" s="1198"/>
      <c r="AK506" s="1166"/>
      <c r="BB506" s="1193"/>
    </row>
    <row r="507" spans="1:57" s="1177" customFormat="1" ht="15" customHeight="1" outlineLevel="1" x14ac:dyDescent="0.25">
      <c r="A507" s="1197"/>
      <c r="B507" s="1205"/>
      <c r="C507" s="1194"/>
      <c r="D507" s="2158"/>
      <c r="E507" s="2158"/>
      <c r="F507" s="1249"/>
      <c r="G507" s="1249"/>
      <c r="H507" s="1249"/>
      <c r="I507" s="1249"/>
      <c r="J507" s="1249"/>
      <c r="K507" s="1249"/>
      <c r="L507" s="1248"/>
      <c r="M507" s="1197"/>
      <c r="N507" s="1197"/>
      <c r="O507" s="1197"/>
      <c r="P507" s="1197"/>
      <c r="Q507" s="1197"/>
      <c r="R507" s="1197"/>
      <c r="S507" s="1197"/>
      <c r="T507" s="1197"/>
      <c r="U507" s="1197"/>
      <c r="Y507" s="1198"/>
      <c r="AK507" s="1166"/>
      <c r="BB507" s="1193"/>
    </row>
    <row r="508" spans="1:57" s="1177" customFormat="1" ht="27.75" customHeight="1" outlineLevel="1" x14ac:dyDescent="0.25">
      <c r="A508" s="1197"/>
      <c r="B508" s="1205"/>
      <c r="C508" s="1194"/>
      <c r="D508" s="2158"/>
      <c r="E508" s="2158"/>
      <c r="F508" s="1249"/>
      <c r="G508" s="1249"/>
      <c r="H508" s="1249"/>
      <c r="I508" s="1249"/>
      <c r="J508" s="1249"/>
      <c r="K508" s="1249"/>
      <c r="L508" s="1248"/>
      <c r="M508" s="1197"/>
      <c r="N508" s="1197"/>
      <c r="O508" s="1197"/>
      <c r="P508" s="1197"/>
      <c r="Q508" s="1197"/>
      <c r="R508" s="1197"/>
      <c r="S508" s="1197"/>
      <c r="T508" s="1197"/>
      <c r="U508" s="1197"/>
      <c r="Y508" s="1198"/>
      <c r="AK508" s="1166"/>
      <c r="BB508" s="1193"/>
    </row>
    <row r="509" spans="1:57" s="1177" customFormat="1" ht="15" customHeight="1" outlineLevel="1" x14ac:dyDescent="0.25">
      <c r="A509" s="1197"/>
      <c r="B509" s="1205"/>
      <c r="C509" s="1194"/>
      <c r="D509" s="2158"/>
      <c r="E509" s="2158"/>
      <c r="F509" s="1249"/>
      <c r="G509" s="1249"/>
      <c r="H509" s="1249"/>
      <c r="I509" s="1249"/>
      <c r="J509" s="1249"/>
      <c r="K509" s="1249"/>
      <c r="L509" s="1248"/>
      <c r="M509" s="1197"/>
      <c r="N509" s="1197"/>
      <c r="O509" s="1197"/>
      <c r="P509" s="1197"/>
      <c r="Q509" s="1197"/>
      <c r="R509" s="1197"/>
      <c r="S509" s="1197"/>
      <c r="T509" s="1197"/>
      <c r="U509" s="1197"/>
      <c r="Y509" s="1198"/>
      <c r="AK509" s="1166"/>
      <c r="BB509" s="1193"/>
    </row>
    <row r="510" spans="1:57" s="1177" customFormat="1" ht="15" customHeight="1" outlineLevel="1" x14ac:dyDescent="0.25">
      <c r="A510" s="1197"/>
      <c r="B510" s="1205"/>
      <c r="C510" s="1194"/>
      <c r="D510" s="2158"/>
      <c r="E510" s="2158"/>
      <c r="F510" s="1249"/>
      <c r="G510" s="1249"/>
      <c r="H510" s="1249"/>
      <c r="I510" s="1249"/>
      <c r="J510" s="1249"/>
      <c r="K510" s="1249"/>
      <c r="L510" s="1248"/>
      <c r="M510" s="1197"/>
      <c r="N510" s="1197"/>
      <c r="O510" s="1197"/>
      <c r="P510" s="1197"/>
      <c r="Q510" s="1197"/>
      <c r="R510" s="1197"/>
      <c r="S510" s="1197"/>
      <c r="T510" s="1197"/>
      <c r="U510" s="1197"/>
      <c r="Y510" s="1198"/>
      <c r="AK510" s="1166"/>
      <c r="BB510" s="1193"/>
    </row>
    <row r="511" spans="1:57" s="1177" customFormat="1" ht="15" customHeight="1" outlineLevel="1" x14ac:dyDescent="0.25">
      <c r="A511" s="1197"/>
      <c r="B511" s="1205"/>
      <c r="C511" s="1194"/>
      <c r="D511" s="2158"/>
      <c r="E511" s="2157"/>
      <c r="F511" s="1249"/>
      <c r="G511" s="2159" t="s">
        <v>1790</v>
      </c>
      <c r="H511" s="1249"/>
      <c r="I511" s="1249"/>
      <c r="J511" s="1249"/>
      <c r="K511" s="1249"/>
      <c r="L511" s="1248"/>
      <c r="M511" s="1197"/>
      <c r="N511" s="1197"/>
      <c r="O511" s="1197"/>
      <c r="P511" s="1197"/>
      <c r="Q511" s="1197"/>
      <c r="R511" s="1197"/>
      <c r="S511" s="1197"/>
      <c r="T511" s="1197"/>
      <c r="U511" s="1197"/>
      <c r="Y511" s="1198"/>
      <c r="AK511" s="1166"/>
      <c r="BB511" s="1193"/>
    </row>
    <row r="512" spans="1:57" s="1177" customFormat="1" ht="15" customHeight="1" outlineLevel="1" x14ac:dyDescent="0.25">
      <c r="A512" s="1197"/>
      <c r="B512" s="1205"/>
      <c r="C512" s="1194"/>
      <c r="D512" s="2158" t="s">
        <v>1791</v>
      </c>
      <c r="E512" s="2158"/>
      <c r="F512" s="1249"/>
      <c r="G512" s="1249"/>
      <c r="H512" s="785"/>
      <c r="I512" s="1249"/>
      <c r="J512" s="1249"/>
      <c r="K512" s="1249"/>
      <c r="L512" s="1248"/>
      <c r="M512" s="1197"/>
      <c r="N512" s="1197"/>
      <c r="O512" s="1197"/>
      <c r="P512" s="1197"/>
      <c r="Q512" s="1197"/>
      <c r="R512" s="1197"/>
      <c r="S512" s="1197"/>
      <c r="T512" s="1197"/>
      <c r="U512" s="1197"/>
      <c r="Y512" s="1198"/>
      <c r="AK512" s="1166"/>
      <c r="BB512" s="1193"/>
    </row>
    <row r="513" spans="1:54" s="1177" customFormat="1" ht="15" customHeight="1" outlineLevel="1" x14ac:dyDescent="0.25">
      <c r="A513" s="1197"/>
      <c r="B513" s="1205"/>
      <c r="C513" s="1194"/>
      <c r="D513" s="2158"/>
      <c r="E513" s="1099"/>
      <c r="F513" s="1249"/>
      <c r="G513" s="1249"/>
      <c r="H513" s="1249"/>
      <c r="I513" s="1249"/>
      <c r="J513" s="1249"/>
      <c r="K513" s="1249"/>
      <c r="L513" s="1248"/>
      <c r="M513" s="1197"/>
      <c r="N513" s="1197"/>
      <c r="O513" s="1197"/>
      <c r="P513" s="1197"/>
      <c r="Q513" s="1197"/>
      <c r="R513" s="1197"/>
      <c r="S513" s="1197"/>
      <c r="T513" s="1197"/>
      <c r="U513" s="1197"/>
      <c r="Y513" s="1198"/>
      <c r="AK513" s="1166"/>
      <c r="BB513" s="1193"/>
    </row>
    <row r="514" spans="1:54" s="1177" customFormat="1" ht="15" customHeight="1" outlineLevel="1" x14ac:dyDescent="0.25">
      <c r="A514" s="1197"/>
      <c r="B514" s="1205"/>
      <c r="C514" s="1194"/>
      <c r="D514" s="2158"/>
      <c r="E514" s="2158"/>
      <c r="F514" s="1249"/>
      <c r="G514" s="1249"/>
      <c r="H514" s="1249"/>
      <c r="I514" s="1249"/>
      <c r="J514" s="1249"/>
      <c r="K514" s="1249"/>
      <c r="L514" s="1248"/>
      <c r="M514" s="1197"/>
      <c r="N514" s="1197"/>
      <c r="O514" s="1197"/>
      <c r="P514" s="1197"/>
      <c r="Q514" s="1197"/>
      <c r="R514" s="1197"/>
      <c r="S514" s="1197"/>
      <c r="T514" s="1197"/>
      <c r="U514" s="1197"/>
      <c r="Y514" s="1198"/>
      <c r="AK514" s="1166"/>
      <c r="BB514" s="1193"/>
    </row>
    <row r="515" spans="1:54" s="1177" customFormat="1" ht="15" customHeight="1" outlineLevel="1" x14ac:dyDescent="0.25">
      <c r="A515" s="1197"/>
      <c r="B515" s="1205"/>
      <c r="C515" s="1194"/>
      <c r="D515" s="2157"/>
      <c r="E515" s="2157"/>
      <c r="F515" s="1248"/>
      <c r="G515" s="1248"/>
      <c r="H515" s="1248"/>
      <c r="I515" s="1248"/>
      <c r="J515" s="1248"/>
      <c r="K515" s="1248"/>
      <c r="L515" s="1248"/>
      <c r="M515" s="1197"/>
      <c r="N515" s="1197"/>
      <c r="O515" s="1197"/>
      <c r="P515" s="1197"/>
      <c r="Q515" s="1197"/>
      <c r="R515" s="1197"/>
      <c r="S515" s="1197"/>
      <c r="T515" s="1197"/>
      <c r="U515" s="1197"/>
      <c r="Y515" s="1198"/>
      <c r="AK515" s="1166"/>
      <c r="BB515" s="1193"/>
    </row>
    <row r="516" spans="1:54" s="1177" customFormat="1" ht="15" customHeight="1" outlineLevel="1" x14ac:dyDescent="0.25">
      <c r="A516" s="1197"/>
      <c r="B516" s="1205"/>
      <c r="C516" s="1194"/>
      <c r="D516" s="1701" t="s">
        <v>618</v>
      </c>
      <c r="E516" s="1701" t="s">
        <v>619</v>
      </c>
      <c r="F516" s="1641" t="s">
        <v>669</v>
      </c>
      <c r="G516" s="1641" t="s">
        <v>620</v>
      </c>
      <c r="H516" s="2669" t="s">
        <v>670</v>
      </c>
      <c r="I516" s="2722"/>
      <c r="J516" s="2669" t="s">
        <v>621</v>
      </c>
      <c r="K516" s="2669"/>
      <c r="L516" s="2669"/>
      <c r="M516" s="1197"/>
      <c r="N516" s="1197"/>
      <c r="O516" s="1197"/>
      <c r="P516" s="1197"/>
      <c r="Q516" s="1197"/>
      <c r="R516" s="1197"/>
      <c r="S516" s="1197"/>
      <c r="T516" s="1197"/>
      <c r="U516" s="1197"/>
      <c r="V516" s="55" t="s">
        <v>27</v>
      </c>
      <c r="W516" s="56">
        <f>W$6</f>
        <v>43252</v>
      </c>
      <c r="X516" s="56">
        <f t="shared" ref="X516:AG516" si="88">X$6</f>
        <v>43465</v>
      </c>
      <c r="Y516" s="500">
        <f t="shared" si="88"/>
        <v>43800</v>
      </c>
      <c r="Z516" s="56">
        <f t="shared" si="88"/>
        <v>43862</v>
      </c>
      <c r="AA516" s="56" t="str">
        <f t="shared" si="88"/>
        <v>-</v>
      </c>
      <c r="AB516" s="56" t="str">
        <f t="shared" si="88"/>
        <v>-</v>
      </c>
      <c r="AC516" s="56" t="str">
        <f t="shared" si="88"/>
        <v>-</v>
      </c>
      <c r="AD516" s="56" t="str">
        <f t="shared" si="88"/>
        <v>-</v>
      </c>
      <c r="AE516" s="56" t="str">
        <f t="shared" si="88"/>
        <v>-</v>
      </c>
      <c r="AF516" s="56" t="str">
        <f t="shared" si="88"/>
        <v>-</v>
      </c>
      <c r="AG516" s="56" t="str">
        <f t="shared" si="88"/>
        <v>-</v>
      </c>
      <c r="AK516" s="1166"/>
      <c r="BB516" s="1193"/>
    </row>
    <row r="517" spans="1:54" s="1177" customFormat="1" ht="47.25" customHeight="1" outlineLevel="1" x14ac:dyDescent="0.25">
      <c r="A517" s="1197"/>
      <c r="B517" s="1205"/>
      <c r="C517" s="1194"/>
      <c r="D517" s="1713" t="s">
        <v>3374</v>
      </c>
      <c r="E517" s="1689" t="s">
        <v>1792</v>
      </c>
      <c r="F517" s="2160"/>
      <c r="G517" s="2161">
        <v>4</v>
      </c>
      <c r="H517" s="2986" t="s">
        <v>1793</v>
      </c>
      <c r="I517" s="2987"/>
      <c r="J517" s="2986"/>
      <c r="K517" s="2986"/>
      <c r="L517" s="2986"/>
      <c r="M517" s="1197"/>
      <c r="N517" s="1197"/>
      <c r="O517" s="1197"/>
      <c r="P517" s="1197"/>
      <c r="Q517" s="1197"/>
      <c r="R517" s="1197"/>
      <c r="S517" s="1197"/>
      <c r="T517" s="1197"/>
      <c r="U517" s="1197"/>
      <c r="V517" s="1211" t="str">
        <f>D517</f>
        <v>Rexisting</v>
      </c>
      <c r="W517" s="1251">
        <v>4</v>
      </c>
      <c r="X517" s="1251">
        <v>4</v>
      </c>
      <c r="Y517" s="1251">
        <v>4</v>
      </c>
      <c r="Z517" s="1251"/>
      <c r="AA517" s="1251"/>
      <c r="AB517" s="1251"/>
      <c r="AC517" s="1251"/>
      <c r="AD517" s="1251"/>
      <c r="AE517" s="1251"/>
      <c r="AF517" s="1251"/>
      <c r="AG517" s="1251"/>
      <c r="AK517" s="1166"/>
      <c r="BB517" s="1193"/>
    </row>
    <row r="518" spans="1:54" s="1177" customFormat="1" ht="46.5" customHeight="1" outlineLevel="1" x14ac:dyDescent="0.25">
      <c r="A518" s="1197"/>
      <c r="B518" s="1205"/>
      <c r="C518" s="1194"/>
      <c r="D518" s="1713" t="s">
        <v>3375</v>
      </c>
      <c r="E518" s="1689" t="s">
        <v>1794</v>
      </c>
      <c r="F518" s="2160"/>
      <c r="G518" s="2161">
        <v>8</v>
      </c>
      <c r="H518" s="2986" t="s">
        <v>1795</v>
      </c>
      <c r="I518" s="2987"/>
      <c r="J518" s="2986"/>
      <c r="K518" s="2986"/>
      <c r="L518" s="2986"/>
      <c r="M518" s="1197"/>
      <c r="N518" s="1197"/>
      <c r="O518" s="1197"/>
      <c r="P518" s="1197"/>
      <c r="Q518" s="1197"/>
      <c r="R518" s="1197"/>
      <c r="S518" s="1197"/>
      <c r="T518" s="1197"/>
      <c r="U518" s="1197"/>
      <c r="V518" s="1211" t="str">
        <f t="shared" ref="V518:V535" si="89">D518</f>
        <v>Rnew</v>
      </c>
      <c r="W518" s="1251">
        <v>8</v>
      </c>
      <c r="X518" s="1251">
        <v>8</v>
      </c>
      <c r="Y518" s="1251">
        <v>8</v>
      </c>
      <c r="Z518" s="1251"/>
      <c r="AA518" s="1251"/>
      <c r="AB518" s="1251"/>
      <c r="AC518" s="1251"/>
      <c r="AD518" s="1251"/>
      <c r="AE518" s="1251"/>
      <c r="AF518" s="1251"/>
      <c r="AG518" s="1251"/>
      <c r="AK518" s="1166"/>
      <c r="BB518" s="1193"/>
    </row>
    <row r="519" spans="1:54" s="1177" customFormat="1" ht="30" customHeight="1" outlineLevel="1" x14ac:dyDescent="0.25">
      <c r="A519" s="1197"/>
      <c r="B519" s="1197"/>
      <c r="C519" s="1194"/>
      <c r="D519" s="2997" t="s">
        <v>1796</v>
      </c>
      <c r="E519" s="2931" t="s">
        <v>1797</v>
      </c>
      <c r="F519" s="1685" t="s">
        <v>1798</v>
      </c>
      <c r="G519" s="2162">
        <f>SQRT(F$78)*((12+30+12+30)/12)</f>
        <v>7</v>
      </c>
      <c r="H519" s="2999" t="s">
        <v>1799</v>
      </c>
      <c r="I519" s="3000"/>
      <c r="J519" s="2986"/>
      <c r="K519" s="2986"/>
      <c r="L519" s="2986"/>
      <c r="M519" s="1197"/>
      <c r="N519" s="1197"/>
      <c r="O519" s="1197"/>
      <c r="P519" s="1197"/>
      <c r="Q519" s="1197"/>
      <c r="R519" s="1197"/>
      <c r="S519" s="1197"/>
      <c r="T519" s="1197"/>
      <c r="U519" s="1197"/>
      <c r="V519" s="1241" t="str">
        <f>F519</f>
        <v xml:space="preserve">Area - Single Family </v>
      </c>
      <c r="W519" s="1252">
        <f>SQRT(W$78)*((12+30+12+30)/12)</f>
        <v>260.69714229350501</v>
      </c>
      <c r="X519" s="1252">
        <f>SQRT(X$78)*((12+30+12+30)/12)</f>
        <v>260.69714229350501</v>
      </c>
      <c r="Y519" s="1252">
        <f>SQRT(Y$78)*((12+30+12+30)/12)</f>
        <v>7</v>
      </c>
      <c r="Z519" s="1252"/>
      <c r="AA519" s="1252"/>
      <c r="AB519" s="1252"/>
      <c r="AC519" s="1252"/>
      <c r="AD519" s="1252"/>
      <c r="AE519" s="1252"/>
      <c r="AF519" s="1252"/>
      <c r="AG519" s="1252"/>
      <c r="AK519" s="1166"/>
      <c r="BB519" s="1193"/>
    </row>
    <row r="520" spans="1:54" s="1177" customFormat="1" ht="27.75" customHeight="1" outlineLevel="1" x14ac:dyDescent="0.25">
      <c r="A520" s="1197"/>
      <c r="B520" s="1197"/>
      <c r="C520" s="1194"/>
      <c r="D520" s="2998"/>
      <c r="E520" s="2932"/>
      <c r="F520" s="1685" t="s">
        <v>1800</v>
      </c>
      <c r="G520" s="2163">
        <f>SQRT(F$81)*((12+30+12+30)/12)</f>
        <v>7</v>
      </c>
      <c r="H520" s="2986" t="s">
        <v>1799</v>
      </c>
      <c r="I520" s="2986"/>
      <c r="J520" s="3001"/>
      <c r="K520" s="2986"/>
      <c r="L520" s="2986"/>
      <c r="M520" s="1197"/>
      <c r="N520" s="1197"/>
      <c r="O520" s="1197"/>
      <c r="P520" s="1197"/>
      <c r="Q520" s="1197"/>
      <c r="R520" s="1197"/>
      <c r="S520" s="1197"/>
      <c r="T520" s="1197"/>
      <c r="U520" s="1197"/>
      <c r="V520" s="1241" t="str">
        <f>F520</f>
        <v>Area - Mobile Home</v>
      </c>
      <c r="W520" s="1253">
        <f>SQRT(W$81)*((12+30+12+30)/12)</f>
        <v>230.04347415216975</v>
      </c>
      <c r="X520" s="1253">
        <f>SQRT(X$81)*((12+30+12+30)/12)</f>
        <v>230.04347415216975</v>
      </c>
      <c r="Y520" s="1253">
        <f>SQRT(Y$81)*((12+30+12+30)/12)</f>
        <v>7</v>
      </c>
      <c r="Z520" s="1253"/>
      <c r="AA520" s="1253"/>
      <c r="AB520" s="1253"/>
      <c r="AC520" s="1253"/>
      <c r="AD520" s="1253"/>
      <c r="AE520" s="1253"/>
      <c r="AF520" s="1253"/>
      <c r="AG520" s="1252"/>
      <c r="AK520" s="1166"/>
      <c r="BB520" s="1193"/>
    </row>
    <row r="521" spans="1:54" s="1177" customFormat="1" ht="214.5" customHeight="1" outlineLevel="1" x14ac:dyDescent="0.25">
      <c r="A521" s="1197"/>
      <c r="B521" s="1197"/>
      <c r="C521" s="1194"/>
      <c r="D521" s="2164" t="s">
        <v>533</v>
      </c>
      <c r="E521" s="1685" t="s">
        <v>1801</v>
      </c>
      <c r="F521" s="1685"/>
      <c r="G521" s="2165">
        <v>869</v>
      </c>
      <c r="H521" s="2990" t="s">
        <v>3376</v>
      </c>
      <c r="I521" s="2991"/>
      <c r="J521" s="2992" t="s">
        <v>1802</v>
      </c>
      <c r="K521" s="2992"/>
      <c r="L521" s="2992"/>
      <c r="M521" s="2166"/>
      <c r="N521" s="1197"/>
      <c r="O521" s="1197"/>
      <c r="P521" s="1197"/>
      <c r="Q521" s="1197"/>
      <c r="R521" s="1197"/>
      <c r="S521" s="1197"/>
      <c r="T521" s="1197"/>
      <c r="U521" s="1197"/>
      <c r="V521" s="1211" t="str">
        <f t="shared" si="89"/>
        <v>EFLHcool</v>
      </c>
      <c r="W521" s="289">
        <v>869</v>
      </c>
      <c r="X521" s="289">
        <v>869</v>
      </c>
      <c r="Y521" s="289">
        <v>869</v>
      </c>
      <c r="Z521" s="1253"/>
      <c r="AA521" s="289"/>
      <c r="AB521" s="289"/>
      <c r="AC521" s="289"/>
      <c r="AD521" s="289"/>
      <c r="AE521" s="289"/>
      <c r="AF521" s="289"/>
      <c r="AG521" s="289"/>
      <c r="AK521" s="1166"/>
      <c r="BB521" s="1193"/>
    </row>
    <row r="522" spans="1:54" s="1177" customFormat="1" ht="257.25" customHeight="1" outlineLevel="1" x14ac:dyDescent="0.25">
      <c r="A522" s="1197"/>
      <c r="B522" s="1197"/>
      <c r="C522" s="1194"/>
      <c r="D522" s="2164" t="s">
        <v>3377</v>
      </c>
      <c r="E522" s="1685" t="s">
        <v>1803</v>
      </c>
      <c r="F522" s="1685"/>
      <c r="G522" s="2165">
        <v>20.8</v>
      </c>
      <c r="H522" s="2993" t="s">
        <v>1804</v>
      </c>
      <c r="I522" s="2994"/>
      <c r="J522" s="2995" t="s">
        <v>1802</v>
      </c>
      <c r="K522" s="2995"/>
      <c r="L522" s="2995"/>
      <c r="M522" s="2166"/>
      <c r="N522" s="1197"/>
      <c r="O522" s="1197"/>
      <c r="P522" s="1197"/>
      <c r="Q522" s="1197"/>
      <c r="R522" s="1197"/>
      <c r="S522" s="1197"/>
      <c r="T522" s="1197"/>
      <c r="U522" s="1197"/>
      <c r="V522" s="1211" t="str">
        <f t="shared" si="89"/>
        <v>ΔTAVG, cooling</v>
      </c>
      <c r="W522" s="289">
        <v>20.8</v>
      </c>
      <c r="X522" s="289">
        <v>20.8</v>
      </c>
      <c r="Y522" s="289">
        <v>20.8</v>
      </c>
      <c r="Z522" s="289"/>
      <c r="AA522" s="289"/>
      <c r="AB522" s="289"/>
      <c r="AC522" s="289"/>
      <c r="AD522" s="289"/>
      <c r="AE522" s="289"/>
      <c r="AF522" s="289"/>
      <c r="AG522" s="289"/>
      <c r="AK522" s="1166"/>
      <c r="BB522" s="1193"/>
    </row>
    <row r="523" spans="1:54" s="1177" customFormat="1" ht="30" customHeight="1" outlineLevel="1" x14ac:dyDescent="0.25">
      <c r="A523" s="1197"/>
      <c r="B523" s="1197"/>
      <c r="C523" s="1194"/>
      <c r="D523" s="2164">
        <v>1000</v>
      </c>
      <c r="E523" s="1685" t="s">
        <v>1647</v>
      </c>
      <c r="F523" s="1685"/>
      <c r="G523" s="2165">
        <v>1000</v>
      </c>
      <c r="H523" s="2699" t="s">
        <v>1648</v>
      </c>
      <c r="I523" s="2996"/>
      <c r="J523" s="2995" t="s">
        <v>1802</v>
      </c>
      <c r="K523" s="2995"/>
      <c r="L523" s="2995"/>
      <c r="M523" s="2166"/>
      <c r="N523" s="1197"/>
      <c r="O523" s="1197"/>
      <c r="P523" s="1197"/>
      <c r="Q523" s="1197"/>
      <c r="R523" s="1197"/>
      <c r="S523" s="1197"/>
      <c r="T523" s="1197"/>
      <c r="U523" s="1197"/>
      <c r="V523" s="1211">
        <f t="shared" si="89"/>
        <v>1000</v>
      </c>
      <c r="W523" s="289">
        <v>1000</v>
      </c>
      <c r="X523" s="289">
        <v>1000</v>
      </c>
      <c r="Y523" s="289">
        <v>1000</v>
      </c>
      <c r="Z523" s="289"/>
      <c r="AA523" s="289"/>
      <c r="AB523" s="289"/>
      <c r="AC523" s="289"/>
      <c r="AD523" s="289"/>
      <c r="AE523" s="289"/>
      <c r="AF523" s="289"/>
      <c r="AG523" s="289"/>
      <c r="AK523" s="1166"/>
      <c r="BB523" s="1193"/>
    </row>
    <row r="524" spans="1:54" s="1177" customFormat="1" ht="45" customHeight="1" outlineLevel="1" x14ac:dyDescent="0.25">
      <c r="A524" s="1197"/>
      <c r="B524" s="1197"/>
      <c r="C524" s="1194"/>
      <c r="D524" s="2164" t="s">
        <v>800</v>
      </c>
      <c r="E524" s="1685" t="s">
        <v>1805</v>
      </c>
      <c r="F524" s="1685"/>
      <c r="G524" s="2165">
        <v>10</v>
      </c>
      <c r="H524" s="2993" t="s">
        <v>1806</v>
      </c>
      <c r="I524" s="2994"/>
      <c r="J524" s="2995" t="s">
        <v>1807</v>
      </c>
      <c r="K524" s="2995"/>
      <c r="L524" s="2995"/>
      <c r="M524" s="2166"/>
      <c r="N524" s="1197"/>
      <c r="O524" s="1197"/>
      <c r="P524" s="1197"/>
      <c r="Q524" s="1197"/>
      <c r="R524" s="1197"/>
      <c r="S524" s="1197"/>
      <c r="T524" s="1197"/>
      <c r="U524" s="1197"/>
      <c r="V524" s="1211" t="str">
        <f t="shared" si="89"/>
        <v>SEER</v>
      </c>
      <c r="W524" s="289">
        <v>10</v>
      </c>
      <c r="X524" s="289">
        <v>10</v>
      </c>
      <c r="Y524" s="289">
        <v>10</v>
      </c>
      <c r="Z524" s="289"/>
      <c r="AA524" s="289"/>
      <c r="AB524" s="289"/>
      <c r="AC524" s="289"/>
      <c r="AD524" s="289"/>
      <c r="AE524" s="289"/>
      <c r="AF524" s="289"/>
      <c r="AG524" s="289"/>
      <c r="AK524" s="1166"/>
      <c r="BB524" s="1193"/>
    </row>
    <row r="525" spans="1:54" s="1177" customFormat="1" ht="325.5" customHeight="1" outlineLevel="1" x14ac:dyDescent="0.25">
      <c r="A525" s="1197"/>
      <c r="B525" s="1197"/>
      <c r="C525" s="1194"/>
      <c r="D525" s="2164" t="s">
        <v>534</v>
      </c>
      <c r="E525" s="1685" t="s">
        <v>1382</v>
      </c>
      <c r="F525" s="1685"/>
      <c r="G525" s="2165">
        <v>1496</v>
      </c>
      <c r="H525" s="2990" t="s">
        <v>3376</v>
      </c>
      <c r="I525" s="2991"/>
      <c r="J525" s="2992" t="s">
        <v>1802</v>
      </c>
      <c r="K525" s="2992"/>
      <c r="L525" s="2992"/>
      <c r="M525" s="2166"/>
      <c r="N525" s="1197"/>
      <c r="O525" s="1197"/>
      <c r="P525" s="1197"/>
      <c r="Q525" s="1197"/>
      <c r="R525" s="1197"/>
      <c r="S525" s="1197"/>
      <c r="T525" s="1197"/>
      <c r="U525" s="1197"/>
      <c r="V525" s="1211" t="str">
        <f t="shared" si="89"/>
        <v>EFLHheat</v>
      </c>
      <c r="W525" s="289">
        <v>2009</v>
      </c>
      <c r="X525" s="289">
        <v>2009</v>
      </c>
      <c r="Y525" s="1255">
        <v>1496</v>
      </c>
      <c r="Z525" s="289"/>
      <c r="AA525" s="289"/>
      <c r="AB525" s="289"/>
      <c r="AC525" s="289"/>
      <c r="AD525" s="289"/>
      <c r="AE525" s="289"/>
      <c r="AF525" s="289"/>
      <c r="AG525" s="289"/>
      <c r="AK525" s="1166"/>
      <c r="BB525" s="1193"/>
    </row>
    <row r="526" spans="1:54" s="1177" customFormat="1" ht="189.75" customHeight="1" outlineLevel="1" x14ac:dyDescent="0.25">
      <c r="A526" s="1197"/>
      <c r="B526" s="1197"/>
      <c r="C526" s="1194"/>
      <c r="D526" s="2164" t="s">
        <v>3378</v>
      </c>
      <c r="E526" s="1685" t="s">
        <v>1808</v>
      </c>
      <c r="F526" s="1685"/>
      <c r="G526" s="2165">
        <v>71.8</v>
      </c>
      <c r="H526" s="2993" t="s">
        <v>1804</v>
      </c>
      <c r="I526" s="2994"/>
      <c r="J526" s="2995" t="s">
        <v>1802</v>
      </c>
      <c r="K526" s="2995"/>
      <c r="L526" s="2995"/>
      <c r="M526" s="2166"/>
      <c r="N526" s="1197"/>
      <c r="O526" s="1197"/>
      <c r="P526" s="1197"/>
      <c r="Q526" s="1197"/>
      <c r="R526" s="1197"/>
      <c r="S526" s="1197"/>
      <c r="T526" s="1197"/>
      <c r="U526" s="1197"/>
      <c r="V526" s="1211" t="str">
        <f t="shared" si="89"/>
        <v>ΔTAVG, heating</v>
      </c>
      <c r="W526" s="289">
        <v>71.8</v>
      </c>
      <c r="X526" s="289">
        <v>71.8</v>
      </c>
      <c r="Y526" s="289">
        <v>71.8</v>
      </c>
      <c r="Z526" s="289"/>
      <c r="AA526" s="289"/>
      <c r="AB526" s="289"/>
      <c r="AC526" s="289"/>
      <c r="AD526" s="289"/>
      <c r="AE526" s="289"/>
      <c r="AF526" s="289"/>
      <c r="AG526" s="289"/>
      <c r="AK526" s="1166"/>
      <c r="BB526" s="1193"/>
    </row>
    <row r="527" spans="1:54" s="1177" customFormat="1" ht="60" customHeight="1" outlineLevel="1" x14ac:dyDescent="0.25">
      <c r="A527" s="1197"/>
      <c r="B527" s="1197"/>
      <c r="C527" s="1194"/>
      <c r="D527" s="2164">
        <v>3412</v>
      </c>
      <c r="E527" s="1685" t="s">
        <v>1108</v>
      </c>
      <c r="F527" s="1685"/>
      <c r="G527" s="2165">
        <v>3412</v>
      </c>
      <c r="H527" s="2901" t="s">
        <v>1086</v>
      </c>
      <c r="I527" s="3002"/>
      <c r="J527" s="3003" t="s">
        <v>1809</v>
      </c>
      <c r="K527" s="3003"/>
      <c r="L527" s="3003"/>
      <c r="M527" s="2166"/>
      <c r="N527" s="1197"/>
      <c r="O527" s="1197"/>
      <c r="P527" s="1197"/>
      <c r="Q527" s="1197"/>
      <c r="R527" s="1197"/>
      <c r="S527" s="1197"/>
      <c r="T527" s="1197"/>
      <c r="U527" s="1197"/>
      <c r="V527" s="1211">
        <f t="shared" si="89"/>
        <v>3412</v>
      </c>
      <c r="W527" s="289">
        <v>3412</v>
      </c>
      <c r="X527" s="289">
        <v>3412</v>
      </c>
      <c r="Y527" s="289">
        <v>3412</v>
      </c>
      <c r="Z527" s="289"/>
      <c r="AA527" s="289"/>
      <c r="AB527" s="289"/>
      <c r="AC527" s="289"/>
      <c r="AD527" s="289"/>
      <c r="AE527" s="289"/>
      <c r="AF527" s="289"/>
      <c r="AG527" s="289"/>
      <c r="AK527" s="1166"/>
      <c r="BB527" s="1193"/>
    </row>
    <row r="528" spans="1:54" s="1177" customFormat="1" ht="45" customHeight="1" outlineLevel="1" x14ac:dyDescent="0.25">
      <c r="A528" s="1197"/>
      <c r="B528" s="1197"/>
      <c r="C528" s="1194"/>
      <c r="D528" s="2164" t="s">
        <v>1810</v>
      </c>
      <c r="E528" s="1685" t="s">
        <v>1811</v>
      </c>
      <c r="F528" s="1685"/>
      <c r="G528" s="280">
        <v>1</v>
      </c>
      <c r="H528" s="2993" t="s">
        <v>1812</v>
      </c>
      <c r="I528" s="2994"/>
      <c r="J528" s="2995" t="s">
        <v>1802</v>
      </c>
      <c r="K528" s="2995"/>
      <c r="L528" s="2995"/>
      <c r="M528" s="2166"/>
      <c r="N528" s="1197"/>
      <c r="O528" s="1197"/>
      <c r="P528" s="1197"/>
      <c r="Q528" s="1197"/>
      <c r="R528" s="1197"/>
      <c r="S528" s="1197"/>
      <c r="T528" s="1197"/>
      <c r="U528" s="1197"/>
      <c r="V528" s="1211" t="str">
        <f t="shared" si="89"/>
        <v>COP</v>
      </c>
      <c r="W528" s="279">
        <v>1</v>
      </c>
      <c r="X528" s="279">
        <v>1</v>
      </c>
      <c r="Y528" s="279">
        <v>1</v>
      </c>
      <c r="Z528" s="279"/>
      <c r="AA528" s="279"/>
      <c r="AB528" s="279"/>
      <c r="AC528" s="279"/>
      <c r="AD528" s="279"/>
      <c r="AE528" s="279"/>
      <c r="AF528" s="279"/>
      <c r="AG528" s="279"/>
      <c r="AK528" s="1166"/>
      <c r="BB528" s="1193"/>
    </row>
    <row r="529" spans="1:57" s="1177" customFormat="1" ht="44.25" customHeight="1" outlineLevel="1" x14ac:dyDescent="0.25">
      <c r="A529" s="1197"/>
      <c r="B529" s="1197"/>
      <c r="C529" s="1194"/>
      <c r="D529" s="2164" t="s">
        <v>3379</v>
      </c>
      <c r="E529" s="1685" t="s">
        <v>1813</v>
      </c>
      <c r="F529" s="1685"/>
      <c r="G529" s="2167">
        <v>3.1399999999999997E-2</v>
      </c>
      <c r="H529" s="2993" t="s">
        <v>1814</v>
      </c>
      <c r="I529" s="2994"/>
      <c r="J529" s="2995" t="s">
        <v>1802</v>
      </c>
      <c r="K529" s="2995"/>
      <c r="L529" s="2995"/>
      <c r="M529" s="2166"/>
      <c r="N529" s="1197"/>
      <c r="O529" s="1197"/>
      <c r="P529" s="1197"/>
      <c r="Q529" s="1197"/>
      <c r="R529" s="1197"/>
      <c r="S529" s="1197"/>
      <c r="T529" s="1197"/>
      <c r="U529" s="1197"/>
      <c r="V529" s="1211" t="str">
        <f t="shared" si="89"/>
        <v>Fe</v>
      </c>
      <c r="W529" s="1256">
        <v>3.1399999999999997E-2</v>
      </c>
      <c r="X529" s="1256">
        <v>3.1399999999999997E-2</v>
      </c>
      <c r="Y529" s="1256">
        <v>3.1399999999999997E-2</v>
      </c>
      <c r="Z529" s="1256"/>
      <c r="AA529" s="1256"/>
      <c r="AB529" s="1256"/>
      <c r="AC529" s="1256"/>
      <c r="AD529" s="1256"/>
      <c r="AE529" s="1256"/>
      <c r="AF529" s="1256"/>
      <c r="AG529" s="1256"/>
      <c r="AK529" s="1166"/>
      <c r="BB529" s="1193"/>
    </row>
    <row r="530" spans="1:57" s="1177" customFormat="1" ht="30" customHeight="1" outlineLevel="1" x14ac:dyDescent="0.25">
      <c r="A530" s="1197"/>
      <c r="B530" s="1197"/>
      <c r="C530" s="1194"/>
      <c r="D530" s="2164">
        <v>29.3</v>
      </c>
      <c r="E530" s="1685" t="s">
        <v>1815</v>
      </c>
      <c r="F530" s="1685"/>
      <c r="G530" s="1692">
        <v>29.3</v>
      </c>
      <c r="H530" s="2993" t="s">
        <v>1816</v>
      </c>
      <c r="I530" s="2994"/>
      <c r="J530" s="2995" t="s">
        <v>1802</v>
      </c>
      <c r="K530" s="2995"/>
      <c r="L530" s="2995"/>
      <c r="M530" s="2166"/>
      <c r="N530" s="1197"/>
      <c r="O530" s="1197"/>
      <c r="P530" s="1197"/>
      <c r="Q530" s="1197"/>
      <c r="R530" s="1197"/>
      <c r="S530" s="1197"/>
      <c r="T530" s="1197"/>
      <c r="U530" s="1197"/>
      <c r="V530" s="1211">
        <f t="shared" si="89"/>
        <v>29.3</v>
      </c>
      <c r="W530" s="284">
        <v>29.3</v>
      </c>
      <c r="X530" s="284">
        <v>29.3</v>
      </c>
      <c r="Y530" s="284">
        <v>29.3</v>
      </c>
      <c r="Z530" s="284"/>
      <c r="AA530" s="284"/>
      <c r="AB530" s="284"/>
      <c r="AC530" s="284"/>
      <c r="AD530" s="284"/>
      <c r="AE530" s="284"/>
      <c r="AF530" s="284"/>
      <c r="AG530" s="284"/>
      <c r="AK530" s="1166"/>
      <c r="BB530" s="1193"/>
    </row>
    <row r="531" spans="1:57" s="1177" customFormat="1" ht="45" customHeight="1" outlineLevel="1" x14ac:dyDescent="0.25">
      <c r="A531" s="1197"/>
      <c r="B531" s="1197"/>
      <c r="C531" s="1194"/>
      <c r="D531" s="2168">
        <v>100000</v>
      </c>
      <c r="E531" s="1685" t="s">
        <v>1817</v>
      </c>
      <c r="F531" s="1685"/>
      <c r="G531" s="2165">
        <v>100000</v>
      </c>
      <c r="H531" s="2993" t="s">
        <v>1818</v>
      </c>
      <c r="I531" s="2994"/>
      <c r="J531" s="3003" t="s">
        <v>1819</v>
      </c>
      <c r="K531" s="3003"/>
      <c r="L531" s="3003"/>
      <c r="M531" s="2166"/>
      <c r="N531" s="1197"/>
      <c r="O531" s="1197"/>
      <c r="P531" s="1197"/>
      <c r="Q531" s="1197"/>
      <c r="R531" s="1197"/>
      <c r="S531" s="1197"/>
      <c r="T531" s="1197"/>
      <c r="U531" s="1197"/>
      <c r="V531" s="1211">
        <f t="shared" si="89"/>
        <v>100000</v>
      </c>
      <c r="W531" s="289">
        <v>100000</v>
      </c>
      <c r="X531" s="289">
        <v>100000</v>
      </c>
      <c r="Y531" s="289">
        <v>100000</v>
      </c>
      <c r="Z531" s="289"/>
      <c r="AA531" s="289"/>
      <c r="AB531" s="289"/>
      <c r="AC531" s="289"/>
      <c r="AD531" s="289"/>
      <c r="AE531" s="289"/>
      <c r="AF531" s="289"/>
      <c r="AG531" s="289"/>
      <c r="AK531" s="1166"/>
      <c r="BB531" s="1193"/>
    </row>
    <row r="532" spans="1:57" s="1177" customFormat="1" ht="45" customHeight="1" outlineLevel="1" x14ac:dyDescent="0.25">
      <c r="A532" s="1197"/>
      <c r="B532" s="1197"/>
      <c r="C532" s="1194"/>
      <c r="D532" s="2169" t="s">
        <v>3380</v>
      </c>
      <c r="E532" s="1685" t="s">
        <v>1820</v>
      </c>
      <c r="F532" s="1685"/>
      <c r="G532" s="2170">
        <v>0.78</v>
      </c>
      <c r="H532" s="2986"/>
      <c r="I532" s="2987"/>
      <c r="J532" s="3003" t="s">
        <v>1819</v>
      </c>
      <c r="K532" s="3003"/>
      <c r="L532" s="3003"/>
      <c r="M532" s="2166"/>
      <c r="N532" s="1197"/>
      <c r="O532" s="1197"/>
      <c r="P532" s="1197"/>
      <c r="Q532" s="1197"/>
      <c r="R532" s="1197"/>
      <c r="S532" s="1197"/>
      <c r="T532" s="1197"/>
      <c r="U532" s="1197"/>
      <c r="V532" s="1211" t="str">
        <f t="shared" si="89"/>
        <v>Effheat</v>
      </c>
      <c r="W532" s="1257">
        <v>0.78</v>
      </c>
      <c r="X532" s="1257">
        <v>0.78</v>
      </c>
      <c r="Y532" s="1257">
        <v>0.78</v>
      </c>
      <c r="Z532" s="1257"/>
      <c r="AA532" s="1257"/>
      <c r="AB532" s="1257"/>
      <c r="AC532" s="1257"/>
      <c r="AD532" s="1257"/>
      <c r="AE532" s="1257"/>
      <c r="AF532" s="1257"/>
      <c r="AG532" s="1257"/>
      <c r="AK532" s="1166"/>
      <c r="BB532" s="1193"/>
    </row>
    <row r="533" spans="1:57" s="1177" customFormat="1" ht="15" customHeight="1" outlineLevel="1" x14ac:dyDescent="0.25">
      <c r="A533" s="1197"/>
      <c r="B533" s="1197"/>
      <c r="C533" s="1194"/>
      <c r="D533" s="1642" t="s">
        <v>996</v>
      </c>
      <c r="E533" s="1642" t="s">
        <v>1821</v>
      </c>
      <c r="F533" s="1642"/>
      <c r="G533" s="1341">
        <v>1</v>
      </c>
      <c r="H533" s="3004" t="s">
        <v>1003</v>
      </c>
      <c r="I533" s="3005"/>
      <c r="J533" s="2995" t="s">
        <v>1822</v>
      </c>
      <c r="K533" s="2995"/>
      <c r="L533" s="2995"/>
      <c r="M533" s="2166"/>
      <c r="N533" s="1197"/>
      <c r="O533" s="1197"/>
      <c r="P533" s="1197"/>
      <c r="Q533" s="1197"/>
      <c r="R533" s="1197"/>
      <c r="S533" s="1197"/>
      <c r="T533" s="1197"/>
      <c r="U533" s="1197"/>
      <c r="V533" s="1211" t="str">
        <f t="shared" si="89"/>
        <v>Electric Saturation</v>
      </c>
      <c r="W533" s="1259">
        <v>1</v>
      </c>
      <c r="X533" s="1259">
        <v>1</v>
      </c>
      <c r="Y533" s="1259">
        <v>1</v>
      </c>
      <c r="Z533" s="1259"/>
      <c r="AA533" s="1259"/>
      <c r="AB533" s="1259"/>
      <c r="AC533" s="1259"/>
      <c r="AD533" s="1259"/>
      <c r="AE533" s="1259"/>
      <c r="AF533" s="1259"/>
      <c r="AG533" s="1259"/>
      <c r="AK533" s="1166"/>
      <c r="BB533" s="1193"/>
    </row>
    <row r="534" spans="1:57" s="1177" customFormat="1" ht="15" customHeight="1" outlineLevel="1" x14ac:dyDescent="0.25">
      <c r="A534" s="1197"/>
      <c r="B534" s="1197"/>
      <c r="C534" s="1194"/>
      <c r="D534" s="1642" t="s">
        <v>956</v>
      </c>
      <c r="E534" s="1642" t="s">
        <v>1001</v>
      </c>
      <c r="F534" s="1642"/>
      <c r="G534" s="1341">
        <v>1</v>
      </c>
      <c r="H534" s="3004" t="s">
        <v>1003</v>
      </c>
      <c r="I534" s="3005"/>
      <c r="J534" s="2995" t="s">
        <v>1822</v>
      </c>
      <c r="K534" s="2995"/>
      <c r="L534" s="2995"/>
      <c r="M534" s="2166"/>
      <c r="N534" s="1197"/>
      <c r="O534" s="1197"/>
      <c r="P534" s="1197"/>
      <c r="Q534" s="1197"/>
      <c r="R534" s="1197"/>
      <c r="S534" s="1197"/>
      <c r="T534" s="1197"/>
      <c r="U534" s="1197"/>
      <c r="V534" s="1211" t="str">
        <f t="shared" si="89"/>
        <v>Utility Adjustment</v>
      </c>
      <c r="W534" s="1259">
        <v>1</v>
      </c>
      <c r="X534" s="1259">
        <v>1</v>
      </c>
      <c r="Y534" s="1259">
        <v>1</v>
      </c>
      <c r="Z534" s="1259"/>
      <c r="AA534" s="1259"/>
      <c r="AB534" s="1259"/>
      <c r="AC534" s="1259"/>
      <c r="AD534" s="1259"/>
      <c r="AE534" s="1259"/>
      <c r="AF534" s="1259"/>
      <c r="AG534" s="1259"/>
      <c r="AK534" s="1166"/>
      <c r="BB534" s="1193"/>
    </row>
    <row r="535" spans="1:57" s="1177" customFormat="1" outlineLevel="1" x14ac:dyDescent="0.25">
      <c r="A535" s="1197"/>
      <c r="B535" s="1197"/>
      <c r="C535" s="1194"/>
      <c r="D535" s="1686" t="s">
        <v>82</v>
      </c>
      <c r="E535" s="1686" t="s">
        <v>1823</v>
      </c>
      <c r="F535" s="2171"/>
      <c r="G535" s="1372">
        <v>1</v>
      </c>
      <c r="H535" s="2986" t="s">
        <v>1824</v>
      </c>
      <c r="I535" s="2987"/>
      <c r="J535" s="3003" t="s">
        <v>1809</v>
      </c>
      <c r="K535" s="3003"/>
      <c r="L535" s="3003"/>
      <c r="M535" s="2166"/>
      <c r="N535" s="1197"/>
      <c r="O535" s="1197"/>
      <c r="P535" s="1197"/>
      <c r="Q535" s="1197"/>
      <c r="R535" s="1197"/>
      <c r="S535" s="1197"/>
      <c r="T535" s="1197"/>
      <c r="U535" s="1197"/>
      <c r="V535" s="1211" t="str">
        <f t="shared" si="89"/>
        <v>ISR</v>
      </c>
      <c r="W535" s="1261">
        <v>1</v>
      </c>
      <c r="X535" s="1261">
        <v>1</v>
      </c>
      <c r="Y535" s="1261">
        <v>1</v>
      </c>
      <c r="Z535" s="1261"/>
      <c r="AA535" s="1261"/>
      <c r="AB535" s="1261"/>
      <c r="AC535" s="1261"/>
      <c r="AD535" s="1261"/>
      <c r="AE535" s="1261"/>
      <c r="AF535" s="1261"/>
      <c r="AG535" s="1261"/>
      <c r="AK535" s="1166"/>
      <c r="BB535" s="1193"/>
    </row>
    <row r="536" spans="1:57" s="1177" customFormat="1" ht="15" customHeight="1" outlineLevel="1" x14ac:dyDescent="0.25">
      <c r="A536" s="1197"/>
      <c r="B536" s="1197"/>
      <c r="C536" s="1194"/>
      <c r="D536" s="537" t="str">
        <f>D496</f>
        <v>EUL</v>
      </c>
      <c r="E536" s="537" t="str">
        <f>E496</f>
        <v>Effective Useful Life</v>
      </c>
      <c r="F536" s="1282" t="s">
        <v>637</v>
      </c>
      <c r="G536" s="1393">
        <v>20</v>
      </c>
      <c r="H536" s="3004"/>
      <c r="I536" s="3005"/>
      <c r="J536" s="2995"/>
      <c r="K536" s="2995"/>
      <c r="L536" s="2995"/>
      <c r="M536" s="2166"/>
      <c r="N536" s="1197"/>
      <c r="O536" s="1197"/>
      <c r="P536" s="1197"/>
      <c r="Q536" s="1197"/>
      <c r="R536" s="1197"/>
      <c r="S536" s="1197"/>
      <c r="T536" s="1197"/>
      <c r="U536" s="1197"/>
      <c r="V536" s="1211" t="str">
        <f>D536</f>
        <v>EUL</v>
      </c>
      <c r="W536" s="1262">
        <v>20</v>
      </c>
      <c r="X536" s="1262">
        <v>20</v>
      </c>
      <c r="Y536" s="1262">
        <v>20</v>
      </c>
      <c r="Z536" s="1262"/>
      <c r="AA536" s="1262"/>
      <c r="AB536" s="1262"/>
      <c r="AC536" s="1262"/>
      <c r="AD536" s="1262"/>
      <c r="AE536" s="1262"/>
      <c r="AF536" s="1262"/>
      <c r="AG536" s="1262"/>
      <c r="AK536" s="1166"/>
      <c r="BB536" s="1193"/>
    </row>
    <row r="537" spans="1:57" s="1177" customFormat="1" outlineLevel="1" x14ac:dyDescent="0.25">
      <c r="A537" s="1197"/>
      <c r="B537" s="1197"/>
      <c r="C537" s="1194"/>
      <c r="D537" s="537" t="str">
        <f>D497</f>
        <v>Inc. Cost</v>
      </c>
      <c r="E537" s="537" t="str">
        <f>E497</f>
        <v>Incremental Cost</v>
      </c>
      <c r="F537" s="1648" t="s">
        <v>637</v>
      </c>
      <c r="G537" s="610">
        <f>138.7/SQRT(1080)</f>
        <v>4.2205065958870298</v>
      </c>
      <c r="H537" s="2986"/>
      <c r="I537" s="2987"/>
      <c r="J537" s="3003" t="s">
        <v>1825</v>
      </c>
      <c r="K537" s="3003"/>
      <c r="L537" s="3003"/>
      <c r="M537" s="2166"/>
      <c r="N537" s="1197"/>
      <c r="O537" s="1197"/>
      <c r="P537" s="1197"/>
      <c r="Q537" s="1197"/>
      <c r="R537" s="1197"/>
      <c r="S537" s="1197"/>
      <c r="T537" s="1197"/>
      <c r="U537" s="1197"/>
      <c r="V537" s="1211" t="str">
        <f>D537</f>
        <v>Inc. Cost</v>
      </c>
      <c r="W537" s="1214">
        <v>138.69999999999999</v>
      </c>
      <c r="X537" s="1214">
        <v>138.69999999999999</v>
      </c>
      <c r="Y537" s="906">
        <f>138.7/SQRT(1080)</f>
        <v>4.2205065958870298</v>
      </c>
      <c r="Z537" s="1214"/>
      <c r="AA537" s="1214"/>
      <c r="AB537" s="1214"/>
      <c r="AC537" s="1214"/>
      <c r="AD537" s="1214"/>
      <c r="AE537" s="1214"/>
      <c r="AF537" s="1214"/>
      <c r="AG537" s="1214"/>
      <c r="AK537" s="1166"/>
      <c r="BB537" s="1193"/>
    </row>
    <row r="538" spans="1:57" s="1177" customFormat="1" x14ac:dyDescent="0.25">
      <c r="A538" s="1197"/>
      <c r="B538" s="1197"/>
      <c r="C538" s="1194"/>
      <c r="D538" s="2172"/>
      <c r="E538" s="2172"/>
      <c r="F538" s="2173"/>
      <c r="G538" s="2173"/>
      <c r="H538" s="2173"/>
      <c r="I538" s="1197"/>
      <c r="J538" s="1197"/>
      <c r="K538" s="1197"/>
      <c r="L538" s="1197"/>
      <c r="M538" s="1197"/>
      <c r="N538" s="1197"/>
      <c r="O538" s="1197"/>
      <c r="P538" s="1197"/>
      <c r="Q538" s="1197"/>
      <c r="R538" s="1197"/>
      <c r="S538" s="1197"/>
      <c r="T538" s="1197"/>
      <c r="U538" s="1197"/>
      <c r="Y538" s="1983" t="s">
        <v>1677</v>
      </c>
      <c r="AK538" s="1166"/>
      <c r="BB538" s="1193"/>
    </row>
    <row r="539" spans="1:57" s="1177" customFormat="1" x14ac:dyDescent="0.25">
      <c r="A539" s="1197"/>
      <c r="B539" s="1197"/>
      <c r="C539" s="1194"/>
      <c r="D539" s="2172"/>
      <c r="E539" s="2172"/>
      <c r="F539" s="2173"/>
      <c r="G539" s="2173"/>
      <c r="H539" s="2173"/>
      <c r="I539" s="1197"/>
      <c r="J539" s="1197"/>
      <c r="K539" s="1197"/>
      <c r="L539" s="1197"/>
      <c r="M539" s="1197"/>
      <c r="N539" s="1197"/>
      <c r="O539" s="1197"/>
      <c r="P539" s="1197"/>
      <c r="Q539" s="1197"/>
      <c r="R539" s="1197"/>
      <c r="S539" s="1197"/>
      <c r="T539" s="1197"/>
      <c r="U539" s="1197"/>
      <c r="Y539" s="1198"/>
      <c r="AK539" s="1166"/>
      <c r="BB539" s="1193"/>
    </row>
    <row r="540" spans="1:57" s="1177" customFormat="1" x14ac:dyDescent="0.25">
      <c r="A540" s="1197"/>
      <c r="B540" s="2639" t="s">
        <v>1826</v>
      </c>
      <c r="C540" s="2640"/>
      <c r="D540" s="2640"/>
      <c r="E540" s="2640"/>
      <c r="F540" s="2640"/>
      <c r="G540" s="2640"/>
      <c r="H540" s="2640"/>
      <c r="I540" s="2641"/>
      <c r="J540" s="2641"/>
      <c r="K540" s="2641"/>
      <c r="L540" s="2641"/>
      <c r="M540" s="2641"/>
      <c r="N540" s="2641"/>
      <c r="O540" s="2641"/>
      <c r="P540" s="2641"/>
      <c r="Q540" s="2641"/>
      <c r="R540" s="2642"/>
      <c r="S540" s="1197"/>
      <c r="T540" s="1197"/>
      <c r="U540" s="1197"/>
      <c r="V540" s="2639" t="str">
        <f>B540</f>
        <v>Duct Repair (Duct Sealing and Repair - Methodology 3)</v>
      </c>
      <c r="W540" s="2640"/>
      <c r="X540" s="2640"/>
      <c r="Y540" s="2640"/>
      <c r="Z540" s="2640"/>
      <c r="AA540" s="2640"/>
      <c r="AB540" s="2640"/>
      <c r="AC540" s="2615"/>
      <c r="AD540" s="2615"/>
      <c r="AE540" s="2615"/>
      <c r="AF540" s="2615"/>
      <c r="AG540" s="2615"/>
      <c r="AH540" s="2615"/>
      <c r="AI540" s="2616"/>
      <c r="AK540" s="1166"/>
      <c r="BB540" s="1193"/>
    </row>
    <row r="541" spans="1:57" s="1177" customFormat="1" ht="15" customHeight="1" x14ac:dyDescent="0.25">
      <c r="A541" s="1197"/>
      <c r="B541" s="1363"/>
      <c r="C541" s="1226"/>
      <c r="D541" s="590"/>
      <c r="E541" s="590"/>
      <c r="F541" s="1197"/>
      <c r="G541" s="1197"/>
      <c r="H541" s="1197"/>
      <c r="I541" s="1197"/>
      <c r="J541" s="1197"/>
      <c r="K541" s="1197"/>
      <c r="L541" s="1197"/>
      <c r="M541" s="1197"/>
      <c r="N541" s="1197"/>
      <c r="O541" s="1197"/>
      <c r="P541" s="1197"/>
      <c r="Q541" s="1197"/>
      <c r="R541" s="1197"/>
      <c r="S541" s="1197"/>
      <c r="T541" s="1197"/>
      <c r="U541" s="1197"/>
      <c r="V541" s="328"/>
      <c r="W541" s="328"/>
      <c r="X541" s="328"/>
      <c r="Y541" s="833"/>
      <c r="Z541" s="328"/>
      <c r="AA541" s="328"/>
      <c r="AB541" s="328"/>
      <c r="AC541" s="328"/>
      <c r="AD541" s="328"/>
      <c r="AE541" s="328"/>
      <c r="AF541" s="328"/>
      <c r="AG541" s="328"/>
      <c r="AH541" s="328"/>
      <c r="AI541" s="328"/>
      <c r="AK541" s="1166"/>
      <c r="BB541" s="1193"/>
    </row>
    <row r="542" spans="1:57" s="1177" customFormat="1" ht="45" x14ac:dyDescent="0.25">
      <c r="A542" s="1197"/>
      <c r="B542" s="1363"/>
      <c r="C542" s="1641" t="s">
        <v>17</v>
      </c>
      <c r="D542" s="1641" t="s">
        <v>662</v>
      </c>
      <c r="E542" s="1641" t="s">
        <v>19</v>
      </c>
      <c r="F542" s="1641" t="s">
        <v>1778</v>
      </c>
      <c r="G542" s="1641" t="s">
        <v>21</v>
      </c>
      <c r="H542" s="1641" t="s">
        <v>22</v>
      </c>
      <c r="I542" s="1641" t="s">
        <v>1779</v>
      </c>
      <c r="J542" s="1641" t="s">
        <v>1780</v>
      </c>
      <c r="K542" s="1641" t="s">
        <v>23</v>
      </c>
      <c r="L542" s="1641" t="s">
        <v>24</v>
      </c>
      <c r="M542" s="1641" t="s">
        <v>568</v>
      </c>
      <c r="N542" s="1641" t="s">
        <v>1782</v>
      </c>
      <c r="O542" s="1197"/>
      <c r="P542" s="1197"/>
      <c r="Q542" s="1197"/>
      <c r="R542" s="1197"/>
      <c r="S542" s="1197"/>
      <c r="T542" s="1197"/>
      <c r="U542" s="1197"/>
      <c r="V542" s="55" t="s">
        <v>27</v>
      </c>
      <c r="W542" s="56">
        <f>W$6</f>
        <v>43252</v>
      </c>
      <c r="X542" s="56">
        <f t="shared" ref="X542:AG542" si="90">X$6</f>
        <v>43465</v>
      </c>
      <c r="Y542" s="500">
        <f t="shared" si="90"/>
        <v>43800</v>
      </c>
      <c r="Z542" s="56">
        <f t="shared" si="90"/>
        <v>43862</v>
      </c>
      <c r="AA542" s="56" t="str">
        <f t="shared" si="90"/>
        <v>-</v>
      </c>
      <c r="AB542" s="56" t="str">
        <f t="shared" si="90"/>
        <v>-</v>
      </c>
      <c r="AC542" s="56" t="str">
        <f t="shared" si="90"/>
        <v>-</v>
      </c>
      <c r="AD542" s="56" t="str">
        <f t="shared" si="90"/>
        <v>-</v>
      </c>
      <c r="AE542" s="56" t="str">
        <f t="shared" si="90"/>
        <v>-</v>
      </c>
      <c r="AF542" s="56" t="str">
        <f t="shared" si="90"/>
        <v>-</v>
      </c>
      <c r="AG542" s="56" t="str">
        <f t="shared" si="90"/>
        <v>-</v>
      </c>
      <c r="AH542" s="328"/>
      <c r="AI542" s="328"/>
      <c r="AK542" s="1166"/>
      <c r="BB542" s="57" t="str">
        <f>$BB$6</f>
        <v>TRC (2020)</v>
      </c>
      <c r="BC542" s="103" t="str">
        <f>$BC$6</f>
        <v>Benefit Lookup</v>
      </c>
      <c r="BD542" s="883" t="str">
        <f>$BD$6</f>
        <v>Benefits (2019 $)</v>
      </c>
      <c r="BE542" s="334" t="str">
        <f>$BE$6</f>
        <v>Incremental Cost (2019 $)</v>
      </c>
    </row>
    <row r="543" spans="1:57" s="1177" customFormat="1" ht="15" customHeight="1" x14ac:dyDescent="0.25">
      <c r="A543" s="1197"/>
      <c r="B543" s="1363"/>
      <c r="C543" s="1927" t="s">
        <v>1827</v>
      </c>
      <c r="D543" s="1927" t="s">
        <v>1610</v>
      </c>
      <c r="E543" s="574" t="s">
        <v>3381</v>
      </c>
      <c r="F543" s="788">
        <f>ROUND(I543+J543,2)</f>
        <v>4.92</v>
      </c>
      <c r="G543" s="1927" t="s">
        <v>941</v>
      </c>
      <c r="H543" s="239">
        <f>VLOOKUP(G543,'CP FACTORS'!$A$3:$B$38, 2, FALSE)</f>
        <v>4.6608050000000002E-4</v>
      </c>
      <c r="I543" s="1276">
        <f>$G$558*$G$561</f>
        <v>0.81</v>
      </c>
      <c r="J543" s="1276">
        <f>$G$562*$G$561</f>
        <v>4.1100000000000003</v>
      </c>
      <c r="K543" s="1178">
        <f t="shared" ref="K543:K546" si="91">ROUND(H543*F543,6)</f>
        <v>2.2929999999999999E-3</v>
      </c>
      <c r="L543" s="1276">
        <f>$G$573</f>
        <v>20</v>
      </c>
      <c r="M543" s="907">
        <f>$G$574</f>
        <v>8.0376653213977498</v>
      </c>
      <c r="N543" s="1276">
        <f>G561</f>
        <v>1</v>
      </c>
      <c r="O543" s="1197"/>
      <c r="P543" s="1197"/>
      <c r="Q543" s="1197"/>
      <c r="R543" s="1197"/>
      <c r="S543" s="1197"/>
      <c r="T543" s="1197"/>
      <c r="U543" s="1197"/>
      <c r="V543" s="245" t="str">
        <f>$F$501</f>
        <v>kWh
Annual Savings</v>
      </c>
      <c r="W543" s="1263">
        <v>183.23284858343499</v>
      </c>
      <c r="X543" s="1164">
        <v>183.23284858343499</v>
      </c>
      <c r="Y543" s="1168">
        <v>4.92</v>
      </c>
      <c r="Z543" s="245"/>
      <c r="AA543" s="245"/>
      <c r="AB543" s="245"/>
      <c r="AC543" s="245"/>
      <c r="AD543" s="245"/>
      <c r="AE543" s="245"/>
      <c r="AF543" s="245"/>
      <c r="AG543" s="245"/>
      <c r="AH543" s="328"/>
      <c r="AI543" s="328"/>
      <c r="AK543" s="1166"/>
      <c r="BB543" s="68">
        <f t="shared" ref="BB543:BB546" si="92">(BD543)/(BE543)</f>
        <v>0.77200997302022389</v>
      </c>
      <c r="BC543" s="69" t="str">
        <f>CONCATENATE(G543," ",L543," Year EUL")</f>
        <v>HVAC RES 20 Year EUL</v>
      </c>
      <c r="BD543" s="162">
        <f>(INDEX('Avoided Cost Benefits'!$C$4:$C$857,MATCH(BC543,'Avoided Cost Benefits'!$A$4:$A$857,0)))*F543</f>
        <v>5.8566850287096415</v>
      </c>
      <c r="BE543" s="70">
        <f>M543/(1.0595^(2020-2019))</f>
        <v>7.5862815680960347</v>
      </c>
    </row>
    <row r="544" spans="1:57" s="1177" customFormat="1" ht="15" customHeight="1" x14ac:dyDescent="0.25">
      <c r="A544" s="1197"/>
      <c r="B544" s="1363"/>
      <c r="C544" s="1927" t="s">
        <v>1828</v>
      </c>
      <c r="D544" s="1927" t="s">
        <v>1610</v>
      </c>
      <c r="E544" s="574" t="s">
        <v>1829</v>
      </c>
      <c r="F544" s="788">
        <f>ROUND(I544+J544,2)</f>
        <v>1.02</v>
      </c>
      <c r="G544" s="1927" t="s">
        <v>941</v>
      </c>
      <c r="H544" s="239">
        <f>VLOOKUP(G544,'CP FACTORS'!$A$3:$B$38, 2, FALSE)</f>
        <v>4.6608050000000002E-4</v>
      </c>
      <c r="I544" s="1276">
        <f>$G$558*$G$561</f>
        <v>0.81</v>
      </c>
      <c r="J544" s="1276">
        <f>$G$565*$G$561</f>
        <v>0.21</v>
      </c>
      <c r="K544" s="1178">
        <f t="shared" si="91"/>
        <v>4.75E-4</v>
      </c>
      <c r="L544" s="1276">
        <f>$G$573</f>
        <v>20</v>
      </c>
      <c r="M544" s="907">
        <f>$G$574</f>
        <v>8.0376653213977498</v>
      </c>
      <c r="N544" s="1276">
        <v>1</v>
      </c>
      <c r="O544" s="1197"/>
      <c r="P544" s="1197"/>
      <c r="Q544" s="1197"/>
      <c r="R544" s="1197"/>
      <c r="S544" s="1197"/>
      <c r="T544" s="1197"/>
      <c r="U544" s="1197"/>
      <c r="V544" s="245" t="str">
        <f t="shared" ref="V544:V546" si="93">$F$501</f>
        <v>kWh
Annual Savings</v>
      </c>
      <c r="W544" s="1263"/>
      <c r="X544" s="1164"/>
      <c r="Y544" s="1168">
        <v>1.02</v>
      </c>
      <c r="Z544" s="245"/>
      <c r="AA544" s="245"/>
      <c r="AB544" s="245"/>
      <c r="AC544" s="245"/>
      <c r="AD544" s="245"/>
      <c r="AE544" s="245"/>
      <c r="AF544" s="245"/>
      <c r="AG544" s="245"/>
      <c r="AH544" s="328"/>
      <c r="AI544" s="328"/>
      <c r="AK544" s="1166"/>
      <c r="BB544" s="72">
        <f t="shared" si="92"/>
        <v>0.16005084806516837</v>
      </c>
      <c r="BC544" s="73" t="str">
        <f>CONCATENATE(G544," ",L544," Year EUL")</f>
        <v>HVAC RES 20 Year EUL</v>
      </c>
      <c r="BD544" s="165">
        <f>(INDEX('Avoided Cost Benefits'!$C$4:$C$857,MATCH(BC544,'Avoided Cost Benefits'!$A$4:$A$857,0)))*F544</f>
        <v>1.2141907986349256</v>
      </c>
      <c r="BE544" s="74">
        <f>M544/(1.0595^(2020-2019))</f>
        <v>7.5862815680960347</v>
      </c>
    </row>
    <row r="545" spans="1:57" s="1177" customFormat="1" ht="15" customHeight="1" x14ac:dyDescent="0.25">
      <c r="A545" s="1197"/>
      <c r="B545" s="1363"/>
      <c r="C545" s="1927" t="s">
        <v>1830</v>
      </c>
      <c r="D545" s="1927" t="s">
        <v>1610</v>
      </c>
      <c r="E545" s="574" t="s">
        <v>1831</v>
      </c>
      <c r="F545" s="788">
        <f>ROUND(I545+J545,2)</f>
        <v>6.01</v>
      </c>
      <c r="G545" s="1927" t="s">
        <v>941</v>
      </c>
      <c r="H545" s="239">
        <f>VLOOKUP(G545,'CP FACTORS'!$A$3:$B$38, 2, FALSE)</f>
        <v>4.6608050000000002E-4</v>
      </c>
      <c r="I545" s="1276">
        <f>G560*G561</f>
        <v>0.95</v>
      </c>
      <c r="J545" s="1276">
        <f>G564*G561</f>
        <v>5.0599999999999996</v>
      </c>
      <c r="K545" s="1178">
        <f t="shared" si="91"/>
        <v>2.8010000000000001E-3</v>
      </c>
      <c r="L545" s="1276">
        <f>$G$573</f>
        <v>20</v>
      </c>
      <c r="M545" s="907">
        <f>$G$574</f>
        <v>8.0376653213977498</v>
      </c>
      <c r="N545" s="1276">
        <f>G561</f>
        <v>1</v>
      </c>
      <c r="O545" s="1197"/>
      <c r="P545" s="1197"/>
      <c r="Q545" s="1197"/>
      <c r="R545" s="1197"/>
      <c r="S545" s="1197"/>
      <c r="T545" s="1197"/>
      <c r="U545" s="1197"/>
      <c r="V545" s="245" t="str">
        <f t="shared" si="93"/>
        <v>kWh
Annual Savings</v>
      </c>
      <c r="W545" s="1263">
        <v>218.61317503755345</v>
      </c>
      <c r="X545" s="1164">
        <v>218.61317503755345</v>
      </c>
      <c r="Y545" s="1168">
        <v>6.01</v>
      </c>
      <c r="Z545" s="245"/>
      <c r="AA545" s="245"/>
      <c r="AB545" s="245"/>
      <c r="AC545" s="245"/>
      <c r="AD545" s="245"/>
      <c r="AE545" s="245"/>
      <c r="AF545" s="245"/>
      <c r="AG545" s="245"/>
      <c r="AK545" s="1166"/>
      <c r="BB545" s="72">
        <f t="shared" si="92"/>
        <v>0.94304470281535469</v>
      </c>
      <c r="BC545" s="73" t="str">
        <f>CONCATENATE(G545," ",L545," Year EUL")</f>
        <v>HVAC RES 20 Year EUL</v>
      </c>
      <c r="BD545" s="165">
        <f>(INDEX('Avoided Cost Benefits'!$C$4:$C$857,MATCH(BC545,'Avoided Cost Benefits'!$A$4:$A$857,0)))*F545</f>
        <v>7.1542026468587281</v>
      </c>
      <c r="BE545" s="74">
        <f t="shared" ref="BE545" si="94">M545/(1.0595^(2020-2019))</f>
        <v>7.5862815680960347</v>
      </c>
    </row>
    <row r="546" spans="1:57" s="1177" customFormat="1" ht="15" customHeight="1" x14ac:dyDescent="0.25">
      <c r="A546" s="1197"/>
      <c r="B546" s="1363"/>
      <c r="C546" s="1927" t="s">
        <v>1832</v>
      </c>
      <c r="D546" s="1927" t="s">
        <v>1610</v>
      </c>
      <c r="E546" s="574" t="s">
        <v>1833</v>
      </c>
      <c r="F546" s="788">
        <f>ROUND(I546+J546,2)</f>
        <v>1.21</v>
      </c>
      <c r="G546" s="1927" t="s">
        <v>941</v>
      </c>
      <c r="H546" s="239">
        <f>VLOOKUP(G546,'CP FACTORS'!$A$3:$B$38, 2, FALSE)</f>
        <v>4.6608050000000002E-4</v>
      </c>
      <c r="I546" s="1276">
        <f>$G$560*$G$561</f>
        <v>0.95</v>
      </c>
      <c r="J546" s="1276">
        <f>$G$567*$G$561</f>
        <v>0.26</v>
      </c>
      <c r="K546" s="1178">
        <f t="shared" si="91"/>
        <v>5.6400000000000005E-4</v>
      </c>
      <c r="L546" s="1276">
        <f>$G$573</f>
        <v>20</v>
      </c>
      <c r="M546" s="907">
        <f>$G$574</f>
        <v>8.0376653213977498</v>
      </c>
      <c r="N546" s="1276">
        <v>1</v>
      </c>
      <c r="O546" s="1197"/>
      <c r="P546" s="1197"/>
      <c r="Q546" s="1197"/>
      <c r="R546" s="1197"/>
      <c r="S546" s="1197"/>
      <c r="T546" s="1197"/>
      <c r="U546" s="1197"/>
      <c r="V546" s="245" t="str">
        <f t="shared" si="93"/>
        <v>kWh
Annual Savings</v>
      </c>
      <c r="W546" s="1263"/>
      <c r="X546" s="1164"/>
      <c r="Y546" s="1168">
        <v>1.21</v>
      </c>
      <c r="Z546" s="245"/>
      <c r="AA546" s="245"/>
      <c r="AB546" s="245"/>
      <c r="AC546" s="245"/>
      <c r="AD546" s="245"/>
      <c r="AE546" s="245"/>
      <c r="AF546" s="245"/>
      <c r="AG546" s="245"/>
      <c r="AK546" s="1166"/>
      <c r="BB546" s="75">
        <f t="shared" si="92"/>
        <v>0.18986424133220953</v>
      </c>
      <c r="BC546" s="73" t="str">
        <f>CONCATENATE(G546," ",L546," Year EUL")</f>
        <v>HVAC RES 20 Year EUL</v>
      </c>
      <c r="BD546" s="170">
        <f>(INDEX('Avoided Cost Benefits'!$C$4:$C$857,MATCH(BC546,'Avoided Cost Benefits'!$A$4:$A$857,0)))*F546</f>
        <v>1.4403635944590785</v>
      </c>
      <c r="BE546" s="76">
        <f>M546/(1.0595^(2020-2019))</f>
        <v>7.5862815680960347</v>
      </c>
    </row>
    <row r="547" spans="1:57" s="1177" customFormat="1" ht="15" customHeight="1" outlineLevel="1" x14ac:dyDescent="0.25">
      <c r="A547" s="1197"/>
      <c r="B547" s="1363"/>
      <c r="C547" s="1194"/>
      <c r="D547" s="590"/>
      <c r="E547" s="590"/>
      <c r="F547" s="1197"/>
      <c r="G547" s="1197"/>
      <c r="H547" s="1197"/>
      <c r="I547" s="1248" t="s">
        <v>1789</v>
      </c>
      <c r="J547" s="1197"/>
      <c r="K547" s="1197"/>
      <c r="L547" s="1197"/>
      <c r="M547" s="1197"/>
      <c r="N547" s="1197"/>
      <c r="O547" s="1197"/>
      <c r="P547" s="1197"/>
      <c r="Q547" s="1197"/>
      <c r="R547" s="1197"/>
      <c r="S547" s="1197"/>
      <c r="T547" s="1197"/>
      <c r="U547" s="1197"/>
      <c r="Y547" s="1983" t="s">
        <v>1677</v>
      </c>
      <c r="AK547" s="1166"/>
      <c r="BB547" s="1193"/>
      <c r="BE547" s="797"/>
    </row>
    <row r="548" spans="1:57" s="1177" customFormat="1" ht="15" customHeight="1" outlineLevel="1" x14ac:dyDescent="0.25">
      <c r="A548" s="1197"/>
      <c r="B548" s="1363"/>
      <c r="C548" s="1194"/>
      <c r="D548" s="259" t="s">
        <v>617</v>
      </c>
      <c r="E548" s="588"/>
      <c r="F548" s="1194"/>
      <c r="G548" s="1194"/>
      <c r="H548" s="1205"/>
      <c r="I548" s="1205"/>
      <c r="J548" s="1205"/>
      <c r="K548" s="1205"/>
      <c r="L548" s="1197"/>
      <c r="M548" s="1197"/>
      <c r="N548" s="1197"/>
      <c r="O548" s="1197"/>
      <c r="P548" s="1197"/>
      <c r="Q548" s="1197"/>
      <c r="R548" s="1197"/>
      <c r="S548" s="1197"/>
      <c r="T548" s="1197"/>
      <c r="U548" s="1197"/>
      <c r="Y548" s="1198"/>
      <c r="AK548" s="1166"/>
      <c r="BB548" s="1193"/>
      <c r="BE548" s="797"/>
    </row>
    <row r="549" spans="1:57" s="1177" customFormat="1" ht="15" customHeight="1" outlineLevel="1" x14ac:dyDescent="0.25">
      <c r="A549" s="1197"/>
      <c r="B549" s="1363"/>
      <c r="C549" s="1194"/>
      <c r="D549" s="588" t="s">
        <v>1834</v>
      </c>
      <c r="E549" s="588"/>
      <c r="F549" s="1194"/>
      <c r="G549" s="1194"/>
      <c r="H549" s="1205"/>
      <c r="I549" s="1205"/>
      <c r="J549" s="1205"/>
      <c r="K549" s="1205"/>
      <c r="L549" s="1197"/>
      <c r="M549" s="1197"/>
      <c r="N549" s="1197"/>
      <c r="O549" s="1197"/>
      <c r="P549" s="1197"/>
      <c r="Q549" s="1197"/>
      <c r="R549" s="1197"/>
      <c r="S549" s="1197"/>
      <c r="T549" s="1197"/>
      <c r="U549" s="1197"/>
      <c r="Y549" s="1198"/>
      <c r="AK549" s="1166"/>
      <c r="BB549" s="1193"/>
      <c r="BE549" s="797"/>
    </row>
    <row r="550" spans="1:57" s="1177" customFormat="1" outlineLevel="1" x14ac:dyDescent="0.25">
      <c r="A550" s="1197"/>
      <c r="B550" s="1363"/>
      <c r="C550" s="1194"/>
      <c r="D550" s="588"/>
      <c r="E550" s="588"/>
      <c r="F550" s="1194"/>
      <c r="G550" s="1194"/>
      <c r="H550" s="1205"/>
      <c r="I550" s="1205"/>
      <c r="J550" s="1205"/>
      <c r="K550" s="1205"/>
      <c r="L550" s="1197"/>
      <c r="M550" s="1197"/>
      <c r="N550" s="1197"/>
      <c r="O550" s="1197"/>
      <c r="P550" s="1197"/>
      <c r="Q550" s="1197"/>
      <c r="R550" s="1197"/>
      <c r="S550" s="1197"/>
      <c r="T550" s="1197"/>
      <c r="U550" s="1197"/>
      <c r="Y550" s="1198"/>
      <c r="AK550" s="1166"/>
      <c r="BB550" s="1193"/>
      <c r="BE550" s="797"/>
    </row>
    <row r="551" spans="1:57" s="1177" customFormat="1" ht="15" customHeight="1" outlineLevel="1" x14ac:dyDescent="0.25">
      <c r="A551" s="1197"/>
      <c r="B551" s="1363"/>
      <c r="C551" s="1194"/>
      <c r="D551" s="588"/>
      <c r="E551" s="588"/>
      <c r="F551" s="1194"/>
      <c r="G551" s="1194"/>
      <c r="H551" s="1205"/>
      <c r="I551" s="1205"/>
      <c r="J551" s="1205"/>
      <c r="K551" s="1205"/>
      <c r="L551" s="1197"/>
      <c r="M551" s="1197"/>
      <c r="N551" s="1197"/>
      <c r="O551" s="1197"/>
      <c r="P551" s="1197"/>
      <c r="Q551" s="1197"/>
      <c r="R551" s="1197"/>
      <c r="S551" s="1197"/>
      <c r="T551" s="1197"/>
      <c r="U551" s="1197"/>
      <c r="Y551" s="1198"/>
      <c r="AK551" s="1166"/>
      <c r="BB551" s="1193"/>
      <c r="BE551" s="797"/>
    </row>
    <row r="552" spans="1:57" s="1177" customFormat="1" ht="15" customHeight="1" outlineLevel="1" x14ac:dyDescent="0.25">
      <c r="A552" s="1197"/>
      <c r="B552" s="1363"/>
      <c r="C552" s="1194"/>
      <c r="D552" s="588"/>
      <c r="E552" s="588"/>
      <c r="F552" s="1194"/>
      <c r="G552" s="1194"/>
      <c r="H552" s="1205"/>
      <c r="I552" s="1205"/>
      <c r="J552" s="1205"/>
      <c r="K552" s="1205"/>
      <c r="L552" s="1197"/>
      <c r="M552" s="1197"/>
      <c r="N552" s="1197"/>
      <c r="O552" s="1197"/>
      <c r="P552" s="1197"/>
      <c r="Q552" s="1197"/>
      <c r="R552" s="1197"/>
      <c r="S552" s="1197"/>
      <c r="T552" s="1197"/>
      <c r="U552" s="1197"/>
      <c r="Y552" s="1198"/>
      <c r="AK552" s="1166"/>
      <c r="BB552" s="1193"/>
      <c r="BE552" s="797"/>
    </row>
    <row r="553" spans="1:57" s="1177" customFormat="1" ht="15" customHeight="1" outlineLevel="1" x14ac:dyDescent="0.25">
      <c r="A553" s="1197"/>
      <c r="B553" s="1363"/>
      <c r="C553" s="1194"/>
      <c r="D553" s="588" t="s">
        <v>1791</v>
      </c>
      <c r="E553" s="588"/>
      <c r="F553" s="1205"/>
      <c r="G553" s="1194" t="s">
        <v>1790</v>
      </c>
      <c r="H553" s="177"/>
      <c r="I553" s="1205"/>
      <c r="J553" s="1205"/>
      <c r="K553" s="1205"/>
      <c r="L553" s="1197"/>
      <c r="M553" s="1197"/>
      <c r="N553" s="1197"/>
      <c r="O553" s="1197"/>
      <c r="P553" s="1197"/>
      <c r="Q553" s="1197"/>
      <c r="R553" s="1197"/>
      <c r="S553" s="1197"/>
      <c r="T553" s="1197"/>
      <c r="U553" s="1197"/>
      <c r="Y553" s="1198"/>
      <c r="AK553" s="1166"/>
      <c r="BB553" s="1193"/>
      <c r="BE553" s="797"/>
    </row>
    <row r="554" spans="1:57" s="1177" customFormat="1" ht="15" customHeight="1" outlineLevel="1" x14ac:dyDescent="0.25">
      <c r="A554" s="1197"/>
      <c r="B554" s="1363"/>
      <c r="C554" s="1194"/>
      <c r="D554" s="588"/>
      <c r="E554" s="456"/>
      <c r="F554" s="1205"/>
      <c r="G554" s="1205"/>
      <c r="H554" s="1205"/>
      <c r="I554" s="1205"/>
      <c r="J554" s="1205"/>
      <c r="K554" s="1205"/>
      <c r="L554" s="1197"/>
      <c r="M554" s="1197"/>
      <c r="N554" s="1197"/>
      <c r="O554" s="1197"/>
      <c r="P554" s="1197"/>
      <c r="Q554" s="1197"/>
      <c r="R554" s="1197"/>
      <c r="S554" s="1197"/>
      <c r="T554" s="1197"/>
      <c r="U554" s="1197"/>
      <c r="Y554" s="1198"/>
      <c r="AK554" s="1166"/>
      <c r="BB554" s="1193"/>
      <c r="BE554" s="797"/>
    </row>
    <row r="555" spans="1:57" s="1177" customFormat="1" ht="15" customHeight="1" outlineLevel="1" x14ac:dyDescent="0.25">
      <c r="A555" s="1197"/>
      <c r="B555" s="1363"/>
      <c r="C555" s="1194"/>
      <c r="D555" s="588"/>
      <c r="E555" s="588"/>
      <c r="F555" s="1205"/>
      <c r="G555" s="1205"/>
      <c r="H555" s="1205"/>
      <c r="I555" s="1205"/>
      <c r="J555" s="1205"/>
      <c r="K555" s="1205"/>
      <c r="L555" s="1197"/>
      <c r="M555" s="1197"/>
      <c r="N555" s="1197"/>
      <c r="O555" s="1197"/>
      <c r="P555" s="1197"/>
      <c r="Q555" s="1197"/>
      <c r="R555" s="1197"/>
      <c r="S555" s="1197"/>
      <c r="T555" s="1197"/>
      <c r="U555" s="1197"/>
      <c r="Y555" s="1198"/>
      <c r="AK555" s="1166"/>
      <c r="BB555" s="1193"/>
      <c r="BE555" s="797"/>
    </row>
    <row r="556" spans="1:57" s="1177" customFormat="1" ht="15" customHeight="1" outlineLevel="1" x14ac:dyDescent="0.25">
      <c r="A556" s="1197"/>
      <c r="B556" s="1363"/>
      <c r="C556" s="1194"/>
      <c r="D556" s="590"/>
      <c r="E556" s="590"/>
      <c r="F556" s="1197"/>
      <c r="G556" s="1197"/>
      <c r="H556" s="1197"/>
      <c r="I556" s="1197"/>
      <c r="J556" s="1197"/>
      <c r="K556" s="1197"/>
      <c r="L556" s="1197"/>
      <c r="M556" s="1197"/>
      <c r="N556" s="1197"/>
      <c r="O556" s="1197"/>
      <c r="P556" s="1197"/>
      <c r="Q556" s="1197"/>
      <c r="R556" s="1197"/>
      <c r="S556" s="1197"/>
      <c r="T556" s="1197"/>
      <c r="U556" s="1197"/>
      <c r="Y556" s="1198"/>
      <c r="AK556" s="1166"/>
      <c r="BB556" s="1193"/>
      <c r="BE556" s="797"/>
    </row>
    <row r="557" spans="1:57" s="1177" customFormat="1" ht="15" customHeight="1" outlineLevel="1" x14ac:dyDescent="0.25">
      <c r="A557" s="1197"/>
      <c r="B557" s="1363"/>
      <c r="C557" s="1194"/>
      <c r="D557" s="1701" t="s">
        <v>618</v>
      </c>
      <c r="E557" s="1701" t="s">
        <v>619</v>
      </c>
      <c r="F557" s="1641" t="s">
        <v>669</v>
      </c>
      <c r="G557" s="1641" t="s">
        <v>620</v>
      </c>
      <c r="H557" s="2669" t="s">
        <v>670</v>
      </c>
      <c r="I557" s="2669"/>
      <c r="J557" s="2669" t="s">
        <v>621</v>
      </c>
      <c r="K557" s="2669"/>
      <c r="L557" s="2669"/>
      <c r="M557" s="1197"/>
      <c r="N557" s="1197"/>
      <c r="O557" s="1197"/>
      <c r="P557" s="1197"/>
      <c r="Q557" s="1197"/>
      <c r="R557" s="1197"/>
      <c r="S557" s="1197"/>
      <c r="T557" s="1197"/>
      <c r="U557" s="1197"/>
      <c r="V557" s="55" t="s">
        <v>27</v>
      </c>
      <c r="W557" s="56">
        <f>W$6</f>
        <v>43252</v>
      </c>
      <c r="X557" s="56">
        <f t="shared" ref="X557:AG557" si="95">X$6</f>
        <v>43465</v>
      </c>
      <c r="Y557" s="500">
        <f t="shared" si="95"/>
        <v>43800</v>
      </c>
      <c r="Z557" s="56">
        <f t="shared" si="95"/>
        <v>43862</v>
      </c>
      <c r="AA557" s="56" t="str">
        <f t="shared" si="95"/>
        <v>-</v>
      </c>
      <c r="AB557" s="56" t="str">
        <f t="shared" si="95"/>
        <v>-</v>
      </c>
      <c r="AC557" s="56" t="str">
        <f t="shared" si="95"/>
        <v>-</v>
      </c>
      <c r="AD557" s="56" t="str">
        <f t="shared" si="95"/>
        <v>-</v>
      </c>
      <c r="AE557" s="56" t="str">
        <f t="shared" si="95"/>
        <v>-</v>
      </c>
      <c r="AF557" s="56" t="str">
        <f t="shared" si="95"/>
        <v>-</v>
      </c>
      <c r="AG557" s="56" t="str">
        <f t="shared" si="95"/>
        <v>-</v>
      </c>
      <c r="AK557" s="1166"/>
      <c r="BB557" s="1193"/>
      <c r="BE557" s="797"/>
    </row>
    <row r="558" spans="1:57" s="1177" customFormat="1" outlineLevel="1" x14ac:dyDescent="0.25">
      <c r="A558" s="1197"/>
      <c r="B558" s="1363"/>
      <c r="C558" s="1194"/>
      <c r="D558" s="2997" t="s">
        <v>1835</v>
      </c>
      <c r="E558" s="2931" t="s">
        <v>1836</v>
      </c>
      <c r="F558" s="1279" t="s">
        <v>795</v>
      </c>
      <c r="G558" s="1268">
        <v>0.81</v>
      </c>
      <c r="H558" s="2986" t="s">
        <v>1289</v>
      </c>
      <c r="I558" s="2986"/>
      <c r="J558" s="2999" t="s">
        <v>1837</v>
      </c>
      <c r="K558" s="3000"/>
      <c r="L558" s="3007"/>
      <c r="M558" s="1197"/>
      <c r="N558" s="1197"/>
      <c r="O558" s="1197"/>
      <c r="P558" s="1197"/>
      <c r="Q558" s="1197"/>
      <c r="R558" s="1197"/>
      <c r="S558" s="1197"/>
      <c r="T558" s="1197"/>
      <c r="U558" s="1197"/>
      <c r="V558" s="3014" t="str">
        <f>D558</f>
        <v>CoolingSavingsPerUnit</v>
      </c>
      <c r="W558" s="1264">
        <v>0.81</v>
      </c>
      <c r="X558" s="1264">
        <v>0.81</v>
      </c>
      <c r="Y558" s="1264">
        <v>0.81</v>
      </c>
      <c r="Z558" s="1251"/>
      <c r="AA558" s="1251"/>
      <c r="AB558" s="1251"/>
      <c r="AC558" s="1251"/>
      <c r="AD558" s="1251"/>
      <c r="AE558" s="1251"/>
      <c r="AF558" s="1251"/>
      <c r="AG558" s="1251"/>
      <c r="AK558" s="1166"/>
      <c r="BB558" s="1193"/>
      <c r="BE558" s="797"/>
    </row>
    <row r="559" spans="1:57" s="1177" customFormat="1" outlineLevel="1" x14ac:dyDescent="0.25">
      <c r="A559" s="1197"/>
      <c r="B559" s="1363"/>
      <c r="C559" s="1194"/>
      <c r="D559" s="3006"/>
      <c r="E559" s="2948"/>
      <c r="F559" s="1679" t="s">
        <v>797</v>
      </c>
      <c r="G559" s="2174">
        <v>0.7</v>
      </c>
      <c r="H559" s="2986" t="s">
        <v>1289</v>
      </c>
      <c r="I559" s="2986"/>
      <c r="J559" s="3008"/>
      <c r="K559" s="3009"/>
      <c r="L559" s="3010"/>
      <c r="M559" s="1197"/>
      <c r="N559" s="1197"/>
      <c r="O559" s="1197"/>
      <c r="P559" s="1197"/>
      <c r="Q559" s="1197"/>
      <c r="R559" s="1197"/>
      <c r="S559" s="1197"/>
      <c r="T559" s="1197"/>
      <c r="U559" s="1197"/>
      <c r="V559" s="3015"/>
      <c r="W559" s="1265">
        <v>0.7</v>
      </c>
      <c r="X559" s="1265">
        <v>0.7</v>
      </c>
      <c r="Y559" s="1265">
        <v>0.7</v>
      </c>
      <c r="Z559" s="1251"/>
      <c r="AA559" s="1251"/>
      <c r="AB559" s="1251"/>
      <c r="AC559" s="1251"/>
      <c r="AD559" s="1251"/>
      <c r="AE559" s="1251"/>
      <c r="AF559" s="1251"/>
      <c r="AG559" s="1251"/>
      <c r="AK559" s="1166"/>
      <c r="BB559" s="1193"/>
      <c r="BE559" s="797"/>
    </row>
    <row r="560" spans="1:57" s="1177" customFormat="1" outlineLevel="1" x14ac:dyDescent="0.25">
      <c r="A560" s="1197"/>
      <c r="B560" s="1363"/>
      <c r="C560" s="1194"/>
      <c r="D560" s="2175"/>
      <c r="E560" s="1690"/>
      <c r="F560" s="1679" t="s">
        <v>1838</v>
      </c>
      <c r="G560" s="2174">
        <v>0.95</v>
      </c>
      <c r="H560" s="2986" t="s">
        <v>1839</v>
      </c>
      <c r="I560" s="2986"/>
      <c r="J560" s="3011"/>
      <c r="K560" s="3012"/>
      <c r="L560" s="3013"/>
      <c r="M560" s="1197"/>
      <c r="N560" s="1197"/>
      <c r="O560" s="1197"/>
      <c r="P560" s="1197"/>
      <c r="Q560" s="1197"/>
      <c r="R560" s="1197"/>
      <c r="S560" s="1197"/>
      <c r="T560" s="1197"/>
      <c r="U560" s="1197"/>
      <c r="V560" s="1266"/>
      <c r="W560" s="1265"/>
      <c r="X560" s="1265"/>
      <c r="Y560" s="1265"/>
      <c r="Z560" s="1251"/>
      <c r="AA560" s="1251"/>
      <c r="AB560" s="1251"/>
      <c r="AC560" s="1251"/>
      <c r="AD560" s="1251"/>
      <c r="AE560" s="1251"/>
      <c r="AF560" s="1251"/>
      <c r="AG560" s="1251"/>
      <c r="AK560" s="1166"/>
      <c r="BB560" s="1193"/>
      <c r="BE560" s="797"/>
    </row>
    <row r="561" spans="1:57" s="1177" customFormat="1" ht="31.5" customHeight="1" outlineLevel="1" x14ac:dyDescent="0.25">
      <c r="A561" s="1197"/>
      <c r="B561" s="1363"/>
      <c r="C561" s="1194"/>
      <c r="D561" s="1713" t="s">
        <v>3382</v>
      </c>
      <c r="E561" s="2176" t="s">
        <v>3383</v>
      </c>
      <c r="F561" s="1279"/>
      <c r="G561" s="2161">
        <v>1</v>
      </c>
      <c r="H561" s="3016" t="s">
        <v>1840</v>
      </c>
      <c r="I561" s="3016"/>
      <c r="J561" s="3003" t="s">
        <v>1825</v>
      </c>
      <c r="K561" s="3003"/>
      <c r="L561" s="3003"/>
      <c r="M561" s="1197"/>
      <c r="N561" s="1197"/>
      <c r="O561" s="1197"/>
      <c r="P561" s="1197"/>
      <c r="Q561" s="1197"/>
      <c r="R561" s="1197"/>
      <c r="S561" s="1197"/>
      <c r="T561" s="1197"/>
      <c r="U561" s="1197"/>
      <c r="V561" s="1267" t="str">
        <f>D561</f>
        <v>DuctLength</v>
      </c>
      <c r="W561" s="1251">
        <f>SQRT($F$78)</f>
        <v>1</v>
      </c>
      <c r="X561" s="1251">
        <v>37.242448899072144</v>
      </c>
      <c r="Y561" s="1251">
        <v>1</v>
      </c>
      <c r="Z561" s="1251"/>
      <c r="AA561" s="1251"/>
      <c r="AB561" s="1251"/>
      <c r="AC561" s="1251"/>
      <c r="AD561" s="1251"/>
      <c r="AE561" s="1251"/>
      <c r="AF561" s="1251"/>
      <c r="AG561" s="1251"/>
      <c r="AK561" s="1166"/>
      <c r="BB561" s="1193"/>
      <c r="BE561" s="797"/>
    </row>
    <row r="562" spans="1:57" s="1177" customFormat="1" ht="36" customHeight="1" outlineLevel="1" x14ac:dyDescent="0.25">
      <c r="A562" s="1197"/>
      <c r="B562" s="1363"/>
      <c r="C562" s="1194"/>
      <c r="D562" s="2997" t="s">
        <v>1841</v>
      </c>
      <c r="E562" s="2931" t="s">
        <v>1842</v>
      </c>
      <c r="F562" s="1279" t="s">
        <v>1843</v>
      </c>
      <c r="G562" s="1268">
        <v>4.1100000000000003</v>
      </c>
      <c r="H562" s="2986" t="s">
        <v>1289</v>
      </c>
      <c r="I562" s="2986"/>
      <c r="J562" s="2999" t="s">
        <v>1844</v>
      </c>
      <c r="K562" s="3000"/>
      <c r="L562" s="3007"/>
      <c r="M562" s="1197"/>
      <c r="N562" s="1197"/>
      <c r="O562" s="1197"/>
      <c r="P562" s="1197"/>
      <c r="Q562" s="1197"/>
      <c r="R562" s="1197"/>
      <c r="S562" s="1197"/>
      <c r="T562" s="1197"/>
      <c r="U562" s="1197"/>
      <c r="V562" s="3014" t="str">
        <f>D562</f>
        <v>HeatingSavingsPerUnit</v>
      </c>
      <c r="W562" s="1264">
        <v>4.1100000000000003</v>
      </c>
      <c r="X562" s="1264">
        <v>4.1100000000000003</v>
      </c>
      <c r="Y562" s="1264">
        <v>4.1100000000000003</v>
      </c>
      <c r="Z562" s="1251"/>
      <c r="AA562" s="1251"/>
      <c r="AB562" s="1251"/>
      <c r="AC562" s="1251"/>
      <c r="AD562" s="1251"/>
      <c r="AE562" s="1251"/>
      <c r="AF562" s="1251"/>
      <c r="AG562" s="1251"/>
      <c r="AK562" s="1166"/>
      <c r="BB562" s="1193"/>
      <c r="BE562" s="797"/>
    </row>
    <row r="563" spans="1:57" s="1177" customFormat="1" ht="36" customHeight="1" outlineLevel="1" x14ac:dyDescent="0.25">
      <c r="A563" s="1197"/>
      <c r="B563" s="1363"/>
      <c r="C563" s="1194"/>
      <c r="D563" s="3006"/>
      <c r="E563" s="2948"/>
      <c r="F563" s="1279" t="s">
        <v>1845</v>
      </c>
      <c r="G563" s="1268">
        <v>3.41</v>
      </c>
      <c r="H563" s="2986" t="s">
        <v>1289</v>
      </c>
      <c r="I563" s="2986"/>
      <c r="J563" s="3008"/>
      <c r="K563" s="3009"/>
      <c r="L563" s="3010"/>
      <c r="M563" s="1197"/>
      <c r="N563" s="1197"/>
      <c r="O563" s="1197"/>
      <c r="P563" s="1197"/>
      <c r="Q563" s="1197"/>
      <c r="R563" s="1197"/>
      <c r="S563" s="1197"/>
      <c r="T563" s="1197"/>
      <c r="U563" s="1197"/>
      <c r="V563" s="3017"/>
      <c r="W563" s="1264">
        <v>3.41</v>
      </c>
      <c r="X563" s="1264">
        <v>3.41</v>
      </c>
      <c r="Y563" s="1264">
        <v>3.41</v>
      </c>
      <c r="Z563" s="1251"/>
      <c r="AA563" s="1251"/>
      <c r="AB563" s="1251"/>
      <c r="AC563" s="1251"/>
      <c r="AD563" s="1251"/>
      <c r="AE563" s="1251"/>
      <c r="AF563" s="1251"/>
      <c r="AG563" s="1251"/>
      <c r="AK563" s="1166"/>
      <c r="BB563" s="1193"/>
      <c r="BE563" s="797"/>
    </row>
    <row r="564" spans="1:57" s="1177" customFormat="1" ht="36" customHeight="1" outlineLevel="1" x14ac:dyDescent="0.25">
      <c r="A564" s="1197"/>
      <c r="B564" s="1363"/>
      <c r="C564" s="1194"/>
      <c r="D564" s="3006"/>
      <c r="E564" s="2948"/>
      <c r="F564" s="1279" t="s">
        <v>1846</v>
      </c>
      <c r="G564" s="1268">
        <v>5.0599999999999996</v>
      </c>
      <c r="H564" s="2986" t="s">
        <v>1289</v>
      </c>
      <c r="I564" s="2986"/>
      <c r="J564" s="3008"/>
      <c r="K564" s="3009"/>
      <c r="L564" s="3010"/>
      <c r="M564" s="1197"/>
      <c r="N564" s="1197"/>
      <c r="O564" s="1197"/>
      <c r="P564" s="1197"/>
      <c r="Q564" s="1197"/>
      <c r="R564" s="1197"/>
      <c r="S564" s="1197"/>
      <c r="T564" s="1197"/>
      <c r="U564" s="1197"/>
      <c r="V564" s="3017"/>
      <c r="W564" s="1264">
        <v>5.0599999999999996</v>
      </c>
      <c r="X564" s="1264">
        <v>5.0599999999999996</v>
      </c>
      <c r="Y564" s="1264">
        <v>5.0599999999999996</v>
      </c>
      <c r="Z564" s="1251"/>
      <c r="AA564" s="1251"/>
      <c r="AB564" s="1251"/>
      <c r="AC564" s="1251"/>
      <c r="AD564" s="1251"/>
      <c r="AE564" s="1251"/>
      <c r="AF564" s="1251"/>
      <c r="AG564" s="1251"/>
      <c r="AK564" s="1166"/>
      <c r="BB564" s="1193"/>
      <c r="BE564" s="797"/>
    </row>
    <row r="565" spans="1:57" s="1177" customFormat="1" ht="36" customHeight="1" outlineLevel="1" x14ac:dyDescent="0.25">
      <c r="A565" s="1197"/>
      <c r="B565" s="1363"/>
      <c r="C565" s="1194"/>
      <c r="D565" s="3006"/>
      <c r="E565" s="2948"/>
      <c r="F565" s="1279" t="s">
        <v>1847</v>
      </c>
      <c r="G565" s="1268">
        <v>0.21</v>
      </c>
      <c r="H565" s="2986" t="s">
        <v>1289</v>
      </c>
      <c r="I565" s="2986"/>
      <c r="J565" s="3008"/>
      <c r="K565" s="3009"/>
      <c r="L565" s="3010"/>
      <c r="M565" s="1197"/>
      <c r="N565" s="1197"/>
      <c r="O565" s="1197"/>
      <c r="P565" s="1197"/>
      <c r="Q565" s="1197"/>
      <c r="R565" s="1197"/>
      <c r="S565" s="1197"/>
      <c r="T565" s="1197"/>
      <c r="U565" s="1197"/>
      <c r="V565" s="3017"/>
      <c r="W565" s="1264">
        <v>0.21</v>
      </c>
      <c r="X565" s="1264">
        <v>0.21</v>
      </c>
      <c r="Y565" s="1264">
        <v>0.21</v>
      </c>
      <c r="Z565" s="1251"/>
      <c r="AA565" s="1251"/>
      <c r="AB565" s="1251"/>
      <c r="AC565" s="1251"/>
      <c r="AD565" s="1251"/>
      <c r="AE565" s="1251"/>
      <c r="AF565" s="1251"/>
      <c r="AG565" s="1251"/>
      <c r="AK565" s="1166"/>
      <c r="BB565" s="1193"/>
      <c r="BE565" s="797"/>
    </row>
    <row r="566" spans="1:57" s="1177" customFormat="1" ht="36" customHeight="1" outlineLevel="1" x14ac:dyDescent="0.25">
      <c r="A566" s="1197"/>
      <c r="B566" s="1363"/>
      <c r="C566" s="1194"/>
      <c r="D566" s="3006"/>
      <c r="E566" s="2948"/>
      <c r="F566" s="1679" t="s">
        <v>1848</v>
      </c>
      <c r="G566" s="1268">
        <v>0.19</v>
      </c>
      <c r="H566" s="2986" t="s">
        <v>1289</v>
      </c>
      <c r="I566" s="2986"/>
      <c r="J566" s="3008"/>
      <c r="K566" s="3009"/>
      <c r="L566" s="3010"/>
      <c r="M566" s="1197"/>
      <c r="N566" s="1197"/>
      <c r="O566" s="1197"/>
      <c r="P566" s="1197"/>
      <c r="Q566" s="1197"/>
      <c r="R566" s="1197"/>
      <c r="S566" s="1197"/>
      <c r="T566" s="1197"/>
      <c r="U566" s="1197"/>
      <c r="V566" s="3018"/>
      <c r="W566" s="1264">
        <v>0.19</v>
      </c>
      <c r="X566" s="1264">
        <v>0.19</v>
      </c>
      <c r="Y566" s="1264">
        <v>0.19</v>
      </c>
      <c r="Z566" s="1251"/>
      <c r="AA566" s="1251"/>
      <c r="AB566" s="1251"/>
      <c r="AC566" s="1251"/>
      <c r="AD566" s="1251"/>
      <c r="AE566" s="1251"/>
      <c r="AF566" s="1251"/>
      <c r="AG566" s="1251"/>
      <c r="AK566" s="1166"/>
      <c r="BB566" s="1193"/>
      <c r="BE566" s="797"/>
    </row>
    <row r="567" spans="1:57" s="1177" customFormat="1" ht="37.5" customHeight="1" outlineLevel="1" x14ac:dyDescent="0.25">
      <c r="A567" s="1197"/>
      <c r="B567" s="1363"/>
      <c r="C567" s="1194"/>
      <c r="D567" s="2939"/>
      <c r="E567" s="2939"/>
      <c r="F567" s="1679" t="s">
        <v>1849</v>
      </c>
      <c r="G567" s="1268">
        <v>0.26</v>
      </c>
      <c r="H567" s="2987" t="s">
        <v>1839</v>
      </c>
      <c r="I567" s="3001"/>
      <c r="J567" s="3011"/>
      <c r="K567" s="3012"/>
      <c r="L567" s="3013"/>
      <c r="M567" s="1197"/>
      <c r="N567" s="1197"/>
      <c r="O567" s="1197"/>
      <c r="P567" s="1197"/>
      <c r="Q567" s="1197"/>
      <c r="R567" s="1197"/>
      <c r="S567" s="1197"/>
      <c r="T567" s="1197"/>
      <c r="U567" s="1197"/>
      <c r="V567" s="1269"/>
      <c r="W567" s="1264"/>
      <c r="X567" s="1264"/>
      <c r="Y567" s="1264"/>
      <c r="Z567" s="1251"/>
      <c r="AA567" s="1251"/>
      <c r="AB567" s="1251"/>
      <c r="AC567" s="1251"/>
      <c r="AD567" s="1251"/>
      <c r="AE567" s="1251"/>
      <c r="AF567" s="1251"/>
      <c r="AG567" s="1251"/>
      <c r="AK567" s="1166"/>
      <c r="BB567" s="1193"/>
      <c r="BE567" s="797"/>
    </row>
    <row r="568" spans="1:57" s="1177" customFormat="1" ht="32.25" customHeight="1" outlineLevel="1" x14ac:dyDescent="0.25">
      <c r="A568" s="1197"/>
      <c r="B568" s="1363"/>
      <c r="C568" s="1194"/>
      <c r="D568" s="2164" t="s">
        <v>3379</v>
      </c>
      <c r="E568" s="1685" t="s">
        <v>1813</v>
      </c>
      <c r="F568" s="1679"/>
      <c r="G568" s="2167">
        <v>3.1399999999999997E-2</v>
      </c>
      <c r="H568" s="2993" t="s">
        <v>1289</v>
      </c>
      <c r="I568" s="2993"/>
      <c r="J568" s="2995"/>
      <c r="K568" s="2995"/>
      <c r="L568" s="2995"/>
      <c r="M568" s="1197"/>
      <c r="N568" s="1197"/>
      <c r="O568" s="1197"/>
      <c r="P568" s="1197"/>
      <c r="Q568" s="1197"/>
      <c r="R568" s="1197"/>
      <c r="S568" s="1197"/>
      <c r="T568" s="1197"/>
      <c r="U568" s="1197"/>
      <c r="V568" s="1211" t="str">
        <f t="shared" ref="V568:V574" si="96">D568</f>
        <v>Fe</v>
      </c>
      <c r="W568" s="1256">
        <v>3.1399999999999997E-2</v>
      </c>
      <c r="X568" s="1256">
        <v>3.1399999999999997E-2</v>
      </c>
      <c r="Y568" s="1256">
        <v>3.1399999999999997E-2</v>
      </c>
      <c r="Z568" s="1251"/>
      <c r="AA568" s="1251"/>
      <c r="AB568" s="1251"/>
      <c r="AC568" s="1251"/>
      <c r="AD568" s="1251"/>
      <c r="AE568" s="1251"/>
      <c r="AF568" s="1251"/>
      <c r="AG568" s="1251"/>
      <c r="AK568" s="1166"/>
      <c r="BB568" s="1193"/>
      <c r="BE568" s="797"/>
    </row>
    <row r="569" spans="1:57" s="1177" customFormat="1" ht="15" customHeight="1" outlineLevel="1" x14ac:dyDescent="0.25">
      <c r="A569" s="1197"/>
      <c r="B569" s="1363"/>
      <c r="C569" s="1194"/>
      <c r="D569" s="1686">
        <v>29.3</v>
      </c>
      <c r="E569" s="1685" t="s">
        <v>1815</v>
      </c>
      <c r="F569" s="1679"/>
      <c r="G569" s="1692">
        <v>29.3</v>
      </c>
      <c r="H569" s="2986" t="s">
        <v>1816</v>
      </c>
      <c r="I569" s="2986"/>
      <c r="J569" s="2995"/>
      <c r="K569" s="2995"/>
      <c r="L569" s="2995"/>
      <c r="M569" s="1197"/>
      <c r="N569" s="1197"/>
      <c r="O569" s="1197"/>
      <c r="P569" s="1197"/>
      <c r="Q569" s="1197"/>
      <c r="R569" s="1197"/>
      <c r="S569" s="1197"/>
      <c r="T569" s="1197"/>
      <c r="U569" s="1197"/>
      <c r="V569" s="1211">
        <f t="shared" si="96"/>
        <v>29.3</v>
      </c>
      <c r="W569" s="284">
        <v>29.3</v>
      </c>
      <c r="X569" s="284">
        <v>29.3</v>
      </c>
      <c r="Y569" s="284">
        <v>29.3</v>
      </c>
      <c r="Z569" s="1251"/>
      <c r="AA569" s="1251"/>
      <c r="AB569" s="1251"/>
      <c r="AC569" s="1251"/>
      <c r="AD569" s="1251"/>
      <c r="AE569" s="1251"/>
      <c r="AF569" s="1251"/>
      <c r="AG569" s="1251"/>
      <c r="AK569" s="1166"/>
      <c r="BB569" s="1193"/>
      <c r="BE569" s="797"/>
    </row>
    <row r="570" spans="1:57" s="1177" customFormat="1" ht="15" customHeight="1" outlineLevel="1" x14ac:dyDescent="0.25">
      <c r="A570" s="1197"/>
      <c r="B570" s="1363"/>
      <c r="C570" s="1194"/>
      <c r="D570" s="1642" t="s">
        <v>996</v>
      </c>
      <c r="E570" s="1642" t="s">
        <v>1821</v>
      </c>
      <c r="F570" s="1679"/>
      <c r="G570" s="1341">
        <v>1</v>
      </c>
      <c r="H570" s="3004" t="s">
        <v>1003</v>
      </c>
      <c r="I570" s="3004"/>
      <c r="J570" s="2995"/>
      <c r="K570" s="2995"/>
      <c r="L570" s="2995"/>
      <c r="M570" s="1197"/>
      <c r="N570" s="1197"/>
      <c r="O570" s="1197"/>
      <c r="P570" s="1197"/>
      <c r="Q570" s="1197"/>
      <c r="R570" s="1197"/>
      <c r="S570" s="1197"/>
      <c r="T570" s="1197"/>
      <c r="U570" s="1197"/>
      <c r="V570" s="1211" t="str">
        <f t="shared" si="96"/>
        <v>Electric Saturation</v>
      </c>
      <c r="W570" s="1259">
        <v>1</v>
      </c>
      <c r="X570" s="1259">
        <v>1</v>
      </c>
      <c r="Y570" s="1259">
        <v>1</v>
      </c>
      <c r="Z570" s="1251"/>
      <c r="AA570" s="1251"/>
      <c r="AB570" s="1251"/>
      <c r="AC570" s="1251"/>
      <c r="AD570" s="1251"/>
      <c r="AE570" s="1251"/>
      <c r="AF570" s="1251"/>
      <c r="AG570" s="1251"/>
      <c r="AK570" s="1166"/>
      <c r="BB570" s="1193"/>
      <c r="BE570" s="797"/>
    </row>
    <row r="571" spans="1:57" s="1177" customFormat="1" ht="15" customHeight="1" outlineLevel="1" x14ac:dyDescent="0.25">
      <c r="A571" s="1197"/>
      <c r="B571" s="1363"/>
      <c r="C571" s="1194"/>
      <c r="D571" s="1642" t="s">
        <v>956</v>
      </c>
      <c r="E571" s="1642" t="s">
        <v>1001</v>
      </c>
      <c r="F571" s="1679"/>
      <c r="G571" s="1341">
        <v>1</v>
      </c>
      <c r="H571" s="3004" t="s">
        <v>1003</v>
      </c>
      <c r="I571" s="3004"/>
      <c r="J571" s="2995"/>
      <c r="K571" s="2995"/>
      <c r="L571" s="2995"/>
      <c r="M571" s="1197"/>
      <c r="N571" s="1197"/>
      <c r="O571" s="1197"/>
      <c r="P571" s="1197"/>
      <c r="Q571" s="1197"/>
      <c r="R571" s="1197"/>
      <c r="S571" s="1197"/>
      <c r="T571" s="1197"/>
      <c r="U571" s="1197"/>
      <c r="V571" s="1211" t="str">
        <f t="shared" si="96"/>
        <v>Utility Adjustment</v>
      </c>
      <c r="W571" s="1259">
        <v>1</v>
      </c>
      <c r="X571" s="1259">
        <v>1</v>
      </c>
      <c r="Y571" s="1259">
        <v>1</v>
      </c>
      <c r="Z571" s="1251"/>
      <c r="AA571" s="1251"/>
      <c r="AB571" s="1251"/>
      <c r="AC571" s="1251"/>
      <c r="AD571" s="1251"/>
      <c r="AE571" s="1251"/>
      <c r="AF571" s="1251"/>
      <c r="AG571" s="1251"/>
      <c r="AK571" s="1166"/>
      <c r="BB571" s="1193"/>
      <c r="BE571" s="797"/>
    </row>
    <row r="572" spans="1:57" s="1177" customFormat="1" ht="15" customHeight="1" outlineLevel="1" x14ac:dyDescent="0.25">
      <c r="A572" s="1197"/>
      <c r="B572" s="1363"/>
      <c r="C572" s="1194"/>
      <c r="D572" s="1686" t="s">
        <v>82</v>
      </c>
      <c r="E572" s="1686" t="s">
        <v>1823</v>
      </c>
      <c r="F572" s="1679"/>
      <c r="G572" s="1372">
        <v>1</v>
      </c>
      <c r="H572" s="2986" t="s">
        <v>1824</v>
      </c>
      <c r="I572" s="2986"/>
      <c r="J572" s="3003" t="s">
        <v>1809</v>
      </c>
      <c r="K572" s="3003"/>
      <c r="L572" s="3003"/>
      <c r="M572" s="1197"/>
      <c r="N572" s="1197"/>
      <c r="O572" s="1197"/>
      <c r="P572" s="1197"/>
      <c r="Q572" s="1197"/>
      <c r="R572" s="1197"/>
      <c r="S572" s="1197"/>
      <c r="T572" s="1197"/>
      <c r="U572" s="1197"/>
      <c r="V572" s="1211" t="str">
        <f t="shared" si="96"/>
        <v>ISR</v>
      </c>
      <c r="W572" s="1261">
        <v>1</v>
      </c>
      <c r="X572" s="1261">
        <v>1</v>
      </c>
      <c r="Y572" s="1261">
        <v>1</v>
      </c>
      <c r="Z572" s="1251"/>
      <c r="AA572" s="1251"/>
      <c r="AB572" s="1251"/>
      <c r="AC572" s="1251"/>
      <c r="AD572" s="1251"/>
      <c r="AE572" s="1251"/>
      <c r="AF572" s="1251"/>
      <c r="AG572" s="1251"/>
      <c r="AK572" s="1166"/>
      <c r="BB572" s="1193"/>
      <c r="BE572" s="797"/>
    </row>
    <row r="573" spans="1:57" s="1177" customFormat="1" ht="15" customHeight="1" outlineLevel="1" x14ac:dyDescent="0.25">
      <c r="A573" s="1197"/>
      <c r="B573" s="1197"/>
      <c r="C573" s="1194"/>
      <c r="D573" s="537" t="str">
        <f>D536</f>
        <v>EUL</v>
      </c>
      <c r="E573" s="537" t="str">
        <f>E536</f>
        <v>Effective Useful Life</v>
      </c>
      <c r="F573" s="1282" t="s">
        <v>637</v>
      </c>
      <c r="G573" s="1393">
        <v>20</v>
      </c>
      <c r="H573" s="3004"/>
      <c r="I573" s="3005"/>
      <c r="J573" s="2995"/>
      <c r="K573" s="2995"/>
      <c r="L573" s="2995"/>
      <c r="M573" s="2166"/>
      <c r="N573" s="1197"/>
      <c r="O573" s="1197"/>
      <c r="P573" s="1197"/>
      <c r="Q573" s="1197"/>
      <c r="R573" s="1197"/>
      <c r="S573" s="1197"/>
      <c r="T573" s="1197"/>
      <c r="U573" s="1197"/>
      <c r="V573" s="1211" t="str">
        <f t="shared" si="96"/>
        <v>EUL</v>
      </c>
      <c r="W573" s="1262">
        <v>20</v>
      </c>
      <c r="X573" s="1262">
        <v>20</v>
      </c>
      <c r="Y573" s="1262">
        <v>20</v>
      </c>
      <c r="Z573" s="1262"/>
      <c r="AA573" s="1262"/>
      <c r="AB573" s="1262"/>
      <c r="AC573" s="1262"/>
      <c r="AD573" s="1262"/>
      <c r="AE573" s="1262"/>
      <c r="AF573" s="1262"/>
      <c r="AG573" s="1262"/>
      <c r="AK573" s="1166"/>
      <c r="BB573" s="1193"/>
      <c r="BE573" s="797"/>
    </row>
    <row r="574" spans="1:57" s="1177" customFormat="1" ht="15" customHeight="1" outlineLevel="1" x14ac:dyDescent="0.25">
      <c r="A574" s="1197"/>
      <c r="B574" s="1197"/>
      <c r="C574" s="1194"/>
      <c r="D574" s="537" t="str">
        <f>D537</f>
        <v>Inc. Cost</v>
      </c>
      <c r="E574" s="537" t="str">
        <f>E537</f>
        <v>Incremental Cost</v>
      </c>
      <c r="F574" s="1648" t="s">
        <v>637</v>
      </c>
      <c r="G574" s="610">
        <f>299.34234/SQRT(1387)</f>
        <v>8.0376653213977498</v>
      </c>
      <c r="H574" s="2986" t="s">
        <v>1850</v>
      </c>
      <c r="I574" s="2987"/>
      <c r="J574" s="3003" t="s">
        <v>1825</v>
      </c>
      <c r="K574" s="3003"/>
      <c r="L574" s="3003"/>
      <c r="M574" s="2166"/>
      <c r="N574" s="1197"/>
      <c r="O574" s="1197"/>
      <c r="P574" s="1197"/>
      <c r="Q574" s="1197"/>
      <c r="R574" s="1197"/>
      <c r="S574" s="1197"/>
      <c r="T574" s="1197"/>
      <c r="U574" s="1197"/>
      <c r="V574" s="1211" t="str">
        <f t="shared" si="96"/>
        <v>Inc. Cost</v>
      </c>
      <c r="W574" s="1214">
        <v>299.34233999999998</v>
      </c>
      <c r="X574" s="1214">
        <v>299.34233999999998</v>
      </c>
      <c r="Y574" s="906">
        <v>8.0376653213977498</v>
      </c>
      <c r="Z574" s="1214"/>
      <c r="AA574" s="1214"/>
      <c r="AB574" s="1214"/>
      <c r="AC574" s="1214"/>
      <c r="AD574" s="1214"/>
      <c r="AE574" s="1214"/>
      <c r="AF574" s="1214"/>
      <c r="AG574" s="1214"/>
      <c r="AK574" s="1166"/>
      <c r="BB574" s="1193"/>
      <c r="BE574" s="797"/>
    </row>
    <row r="575" spans="1:57" s="1177" customFormat="1" x14ac:dyDescent="0.25">
      <c r="A575" s="1197"/>
      <c r="B575" s="1363"/>
      <c r="C575" s="1194"/>
      <c r="D575" s="2172"/>
      <c r="E575" s="2172"/>
      <c r="F575" s="1197"/>
      <c r="G575" s="2173"/>
      <c r="H575" s="2173"/>
      <c r="I575" s="2173"/>
      <c r="J575" s="1197"/>
      <c r="K575" s="1197"/>
      <c r="L575" s="1197"/>
      <c r="M575" s="1197"/>
      <c r="N575" s="1197"/>
      <c r="O575" s="1197"/>
      <c r="P575" s="1197"/>
      <c r="Q575" s="1197"/>
      <c r="R575" s="1197"/>
      <c r="S575" s="1197"/>
      <c r="T575" s="1197"/>
      <c r="U575" s="1197"/>
      <c r="Y575" s="1983" t="s">
        <v>1677</v>
      </c>
      <c r="AK575" s="1166"/>
      <c r="BB575" s="1193"/>
    </row>
    <row r="576" spans="1:57" s="1177" customFormat="1" x14ac:dyDescent="0.25">
      <c r="A576" s="1197"/>
      <c r="B576" s="1197"/>
      <c r="C576" s="1194"/>
      <c r="D576" s="2172"/>
      <c r="E576" s="2172"/>
      <c r="F576" s="2173"/>
      <c r="G576" s="2173"/>
      <c r="H576" s="2173"/>
      <c r="I576" s="1197"/>
      <c r="J576" s="1197"/>
      <c r="K576" s="1197"/>
      <c r="L576" s="1197"/>
      <c r="M576" s="1197"/>
      <c r="N576" s="1197"/>
      <c r="O576" s="1197"/>
      <c r="P576" s="1197"/>
      <c r="Q576" s="1197"/>
      <c r="R576" s="1197"/>
      <c r="S576" s="1197"/>
      <c r="T576" s="1197"/>
      <c r="U576" s="1197"/>
      <c r="Y576" s="1198"/>
      <c r="AK576" s="1166"/>
      <c r="BB576" s="1193"/>
    </row>
    <row r="577" spans="1:57" x14ac:dyDescent="0.25">
      <c r="A577" s="1325"/>
      <c r="B577" s="2639" t="str">
        <f>'HVAC Deemed Table'!B4:L4</f>
        <v>ECM/ Blower Motor</v>
      </c>
      <c r="C577" s="2640"/>
      <c r="D577" s="2640"/>
      <c r="E577" s="2640"/>
      <c r="F577" s="2640"/>
      <c r="G577" s="2640"/>
      <c r="H577" s="2640"/>
      <c r="I577" s="2641"/>
      <c r="J577" s="2641"/>
      <c r="K577" s="2641"/>
      <c r="L577" s="2641"/>
      <c r="M577" s="2641"/>
      <c r="N577" s="2641"/>
      <c r="O577" s="2641"/>
      <c r="P577" s="2641"/>
      <c r="Q577" s="2641"/>
      <c r="R577" s="2642"/>
      <c r="V577" s="2639" t="str">
        <f>B577</f>
        <v>ECM/ Blower Motor</v>
      </c>
      <c r="W577" s="2640"/>
      <c r="X577" s="2640"/>
      <c r="Y577" s="2640"/>
      <c r="Z577" s="2640"/>
      <c r="AA577" s="2640"/>
      <c r="AB577" s="2640"/>
      <c r="AC577" s="2615"/>
      <c r="AD577" s="2615"/>
      <c r="AE577" s="2615"/>
      <c r="AF577" s="2615"/>
      <c r="AG577" s="2615"/>
      <c r="AH577" s="2615"/>
      <c r="AI577" s="2616"/>
      <c r="AJ577" s="1177"/>
      <c r="AK577" s="1166"/>
    </row>
    <row r="578" spans="1:57" x14ac:dyDescent="0.25">
      <c r="B578" s="1580"/>
      <c r="C578" s="329"/>
      <c r="D578" s="573"/>
      <c r="E578" s="573"/>
      <c r="F578" s="330"/>
      <c r="G578" s="330"/>
      <c r="H578" s="330"/>
      <c r="I578" s="330"/>
      <c r="J578" s="330"/>
      <c r="K578" s="330"/>
      <c r="L578" s="1902"/>
      <c r="AJ578" s="1177"/>
      <c r="AK578" s="1166"/>
    </row>
    <row r="579" spans="1:57" ht="30" x14ac:dyDescent="0.25">
      <c r="B579" s="1580"/>
      <c r="C579" s="1641" t="s">
        <v>17</v>
      </c>
      <c r="D579" s="1641" t="s">
        <v>662</v>
      </c>
      <c r="E579" s="1641" t="s">
        <v>19</v>
      </c>
      <c r="F579" s="1641" t="s">
        <v>20</v>
      </c>
      <c r="G579" s="1641" t="s">
        <v>21</v>
      </c>
      <c r="H579" s="1641" t="s">
        <v>22</v>
      </c>
      <c r="I579" s="1641" t="s">
        <v>936</v>
      </c>
      <c r="J579" s="1641" t="s">
        <v>937</v>
      </c>
      <c r="K579" s="1641" t="s">
        <v>1146</v>
      </c>
      <c r="L579" s="1641" t="s">
        <v>1147</v>
      </c>
      <c r="M579" s="1641" t="s">
        <v>23</v>
      </c>
      <c r="N579" s="1646" t="s">
        <v>24</v>
      </c>
      <c r="O579" s="1641" t="s">
        <v>25</v>
      </c>
      <c r="P579" s="1641" t="s">
        <v>26</v>
      </c>
      <c r="V579" s="55" t="s">
        <v>27</v>
      </c>
      <c r="W579" s="56">
        <f>W$6</f>
        <v>43252</v>
      </c>
      <c r="X579" s="56">
        <f t="shared" ref="X579:AG579" si="97">X$6</f>
        <v>43465</v>
      </c>
      <c r="Y579" s="500">
        <f t="shared" si="97"/>
        <v>43800</v>
      </c>
      <c r="Z579" s="56">
        <f t="shared" si="97"/>
        <v>43862</v>
      </c>
      <c r="AA579" s="56" t="str">
        <f t="shared" si="97"/>
        <v>-</v>
      </c>
      <c r="AB579" s="56" t="str">
        <f t="shared" si="97"/>
        <v>-</v>
      </c>
      <c r="AC579" s="56" t="str">
        <f t="shared" si="97"/>
        <v>-</v>
      </c>
      <c r="AD579" s="56" t="str">
        <f t="shared" si="97"/>
        <v>-</v>
      </c>
      <c r="AE579" s="56" t="str">
        <f t="shared" si="97"/>
        <v>-</v>
      </c>
      <c r="AF579" s="56" t="str">
        <f t="shared" si="97"/>
        <v>-</v>
      </c>
      <c r="AG579" s="56" t="str">
        <f t="shared" si="97"/>
        <v>-</v>
      </c>
      <c r="AJ579" s="1177"/>
      <c r="AK579" s="1166"/>
      <c r="BB579" s="57" t="str">
        <f>$BB$6</f>
        <v>TRC (2020)</v>
      </c>
      <c r="BC579" s="103" t="str">
        <f>$BC$6</f>
        <v>Benefit Lookup</v>
      </c>
      <c r="BD579" s="883" t="str">
        <f>$BD$6</f>
        <v>Benefits (2019 $)</v>
      </c>
      <c r="BE579" s="334" t="str">
        <f>$BE$6</f>
        <v>Incremental Cost (2019 $)</v>
      </c>
    </row>
    <row r="580" spans="1:57" x14ac:dyDescent="0.25">
      <c r="B580" s="1580"/>
      <c r="C580" s="1927" t="s">
        <v>1851</v>
      </c>
      <c r="D580" s="1927" t="s">
        <v>1610</v>
      </c>
      <c r="E580" s="1670" t="s">
        <v>1852</v>
      </c>
      <c r="F580" s="2177">
        <f>ROUND(I580+J580+K580+L580,2)</f>
        <v>582</v>
      </c>
      <c r="G580" s="1927" t="s">
        <v>941</v>
      </c>
      <c r="H580" s="239">
        <f>VLOOKUP(G580,'CP FACTORS'!$A$3:$B$38, 2, FALSE)</f>
        <v>4.6608050000000002E-4</v>
      </c>
      <c r="I580" s="1276">
        <f>(1-G600)*$G$606*G$607/G$608*G623</f>
        <v>264.14545423487061</v>
      </c>
      <c r="J580" s="1276">
        <f>(1-G609)*$G$615*G$616/G$617*G623</f>
        <v>31.133309957924254</v>
      </c>
      <c r="K580" s="1276">
        <f>(25*G$616/G$617+2960*$G$620-$G$622)*G623</f>
        <v>286.72123580720518</v>
      </c>
      <c r="L580" s="1276">
        <v>0</v>
      </c>
      <c r="M580" s="1178">
        <f>ROUND(H580*F580,6)</f>
        <v>0.27125899999999997</v>
      </c>
      <c r="N580" s="2178">
        <f>G629</f>
        <v>20</v>
      </c>
      <c r="O580" s="1648">
        <f>G635</f>
        <v>74.327224020150311</v>
      </c>
      <c r="P580" s="2179" t="s">
        <v>37</v>
      </c>
      <c r="R580" s="1325"/>
      <c r="V580" s="245" t="str">
        <f>$F$501</f>
        <v>kWh
Annual Savings</v>
      </c>
      <c r="W580" s="1270">
        <v>591.90332067911811</v>
      </c>
      <c r="X580" s="579">
        <v>591.90332067911811</v>
      </c>
      <c r="Y580" s="1271">
        <v>582</v>
      </c>
      <c r="Z580" s="245"/>
      <c r="AA580" s="245"/>
      <c r="AB580" s="245"/>
      <c r="AC580" s="245"/>
      <c r="AD580" s="245"/>
      <c r="AE580" s="245"/>
      <c r="AF580" s="245"/>
      <c r="AG580" s="245"/>
      <c r="AJ580" s="1177"/>
      <c r="AK580" s="1166"/>
      <c r="BB580" s="68">
        <f t="shared" ref="BB580" si="98">(BD580)/(BE580)</f>
        <v>9.8755842478136593</v>
      </c>
      <c r="BC580" s="1243" t="str">
        <f>CONCATENATE(G580," ",N580," Year EUL")</f>
        <v>HVAC RES 20 Year EUL</v>
      </c>
      <c r="BD580" s="162">
        <f>(INDEX('Avoided Cost Benefits'!$C$4:$C$857,MATCH(BC580,'Avoided Cost Benefits'!$A$4:$A$857,0)))*F580</f>
        <v>692.80298510345756</v>
      </c>
      <c r="BE580" s="70">
        <f>O580/(1.0595^(2020-2019))</f>
        <v>70.153113751911562</v>
      </c>
    </row>
    <row r="581" spans="1:57" x14ac:dyDescent="0.25">
      <c r="B581" s="1580"/>
      <c r="C581" s="1927" t="s">
        <v>1853</v>
      </c>
      <c r="D581" s="1927" t="s">
        <v>1610</v>
      </c>
      <c r="E581" s="794" t="s">
        <v>1854</v>
      </c>
      <c r="F581" s="2177">
        <f t="shared" ref="F581:F591" si="99">ROUND(I581+J581+K581+L581,2)</f>
        <v>582</v>
      </c>
      <c r="G581" s="1927" t="s">
        <v>941</v>
      </c>
      <c r="H581" s="239">
        <f>VLOOKUP(G581,'CP FACTORS'!$A$3:$B$38, 2, FALSE)</f>
        <v>4.6608050000000002E-4</v>
      </c>
      <c r="I581" s="1276">
        <f>(1-G601)*$G$606*G$607/G$608*G624</f>
        <v>264.14545423487061</v>
      </c>
      <c r="J581" s="1276">
        <f>(1-G610)*$G$615*G$616/G$617*G624</f>
        <v>31.133309957924254</v>
      </c>
      <c r="K581" s="1276">
        <f>(25*G$616/G$617+2960*$G$620-$G$622)*G624</f>
        <v>286.72123580720518</v>
      </c>
      <c r="L581" s="1276">
        <v>0</v>
      </c>
      <c r="M581" s="1178">
        <f t="shared" ref="M581:M591" si="100">ROUND(H581*F581,6)</f>
        <v>0.27125899999999997</v>
      </c>
      <c r="N581" s="2178">
        <f>G630</f>
        <v>6</v>
      </c>
      <c r="O581" s="1648">
        <f>G636</f>
        <v>475</v>
      </c>
      <c r="P581" s="337" t="s">
        <v>37</v>
      </c>
      <c r="R581" s="1325"/>
      <c r="V581" s="245" t="str">
        <f t="shared" ref="V581:V591" si="101">$F$501</f>
        <v>kWh
Annual Savings</v>
      </c>
      <c r="W581" s="1270">
        <v>794.49034774724942</v>
      </c>
      <c r="X581" s="579">
        <v>794.49034774724942</v>
      </c>
      <c r="Y581" s="1271">
        <v>582</v>
      </c>
      <c r="Z581" s="245"/>
      <c r="AA581" s="245"/>
      <c r="AB581" s="245"/>
      <c r="AC581" s="245"/>
      <c r="AD581" s="245"/>
      <c r="AE581" s="245"/>
      <c r="AF581" s="245"/>
      <c r="AG581" s="245"/>
      <c r="AH581" s="1177"/>
      <c r="AI581" s="1177"/>
      <c r="AJ581" s="1177"/>
      <c r="AK581" s="1166"/>
      <c r="BB581" s="72">
        <f>(BD581+BD582)/(BE581+BE582)</f>
        <v>1.4249213128950478</v>
      </c>
      <c r="BC581" s="1272" t="str">
        <f t="shared" ref="BC581:BC591" si="102">CONCATENATE(G581," ",N581," Year EUL")</f>
        <v>HVAC RES 6 Year EUL</v>
      </c>
      <c r="BD581" s="165">
        <f>(INDEX('Avoided Cost Benefits'!$C$4:$C$857,MATCH(BC581,'Avoided Cost Benefits'!$A$4:$A$857,0)))*F581</f>
        <v>214.66614365077814</v>
      </c>
      <c r="BE581" s="74">
        <f t="shared" ref="BE581:BE591" si="103">O581/(1.0595^(2020-2019))</f>
        <v>448.32468145351578</v>
      </c>
    </row>
    <row r="582" spans="1:57" x14ac:dyDescent="0.25">
      <c r="B582" s="1580"/>
      <c r="C582" s="1927" t="s">
        <v>1853</v>
      </c>
      <c r="D582" s="1927" t="s">
        <v>1610</v>
      </c>
      <c r="E582" s="73" t="s">
        <v>1855</v>
      </c>
      <c r="F582" s="2177">
        <f t="shared" si="99"/>
        <v>582</v>
      </c>
      <c r="G582" s="1672" t="str">
        <f>'CP FACTORS'!$A$17</f>
        <v>HVAC RES ER2</v>
      </c>
      <c r="H582" s="239">
        <f>VLOOKUP(G582,'CP FACTORS'!$A$3:$B$38, 2, FALSE)</f>
        <v>4.6608050000000002E-4</v>
      </c>
      <c r="I582" s="1276">
        <f>(1-G602)*$G$606*G$607/G$608*G625</f>
        <v>264.14545423487061</v>
      </c>
      <c r="J582" s="1276">
        <f>(1-G611)*$G$615*G$616/G$617*G625</f>
        <v>31.133309957924254</v>
      </c>
      <c r="K582" s="1276">
        <f>(25*G$616/G$617+2960*$G$620-$G$622)*G625</f>
        <v>286.72123580720518</v>
      </c>
      <c r="L582" s="1276">
        <v>0</v>
      </c>
      <c r="M582" s="1178">
        <f t="shared" si="100"/>
        <v>0.27125899999999997</v>
      </c>
      <c r="N582" s="2178">
        <f>G631</f>
        <v>12</v>
      </c>
      <c r="O582" s="1648">
        <f>G637</f>
        <v>0</v>
      </c>
      <c r="P582" s="337" t="s">
        <v>37</v>
      </c>
      <c r="R582" s="1325"/>
      <c r="V582" s="245" t="str">
        <f t="shared" si="101"/>
        <v>kWh
Annual Savings</v>
      </c>
      <c r="W582" s="1270">
        <v>591.90332067911811</v>
      </c>
      <c r="X582" s="579">
        <v>591.90332067911811</v>
      </c>
      <c r="Y582" s="1271">
        <v>582</v>
      </c>
      <c r="Z582" s="245"/>
      <c r="AA582" s="245"/>
      <c r="AB582" s="245"/>
      <c r="AC582" s="245"/>
      <c r="AD582" s="245"/>
      <c r="AE582" s="245"/>
      <c r="AF582" s="245"/>
      <c r="AG582" s="245"/>
      <c r="AK582" s="1166"/>
      <c r="BB582" s="1275"/>
      <c r="BC582" s="1274" t="str">
        <f t="shared" si="102"/>
        <v>HVAC RES ER2 12 Year EUL</v>
      </c>
      <c r="BD582" s="165">
        <f>(INDEX('Avoided Cost Benefits'!$C$4:$C$857,MATCH(BC582,'Avoided Cost Benefits'!$A$4:$A$857,0)))*F582</f>
        <v>424.16125004921963</v>
      </c>
      <c r="BE582" s="74">
        <f t="shared" si="103"/>
        <v>0</v>
      </c>
    </row>
    <row r="583" spans="1:57" x14ac:dyDescent="0.25">
      <c r="B583" s="1580"/>
      <c r="C583" s="1927" t="s">
        <v>1856</v>
      </c>
      <c r="D583" s="1927" t="s">
        <v>1610</v>
      </c>
      <c r="E583" s="1670" t="s">
        <v>1857</v>
      </c>
      <c r="F583" s="2177">
        <f t="shared" si="99"/>
        <v>582</v>
      </c>
      <c r="G583" s="1672" t="s">
        <v>941</v>
      </c>
      <c r="H583" s="239">
        <f>VLOOKUP(G583,'CP FACTORS'!$A$3:$B$38, 2, FALSE)</f>
        <v>4.6608050000000002E-4</v>
      </c>
      <c r="I583" s="1276">
        <f t="shared" ref="I583:I588" si="104">(1-G600)*$G$606*G$607/G$608*G623</f>
        <v>264.14545423487061</v>
      </c>
      <c r="J583" s="1276">
        <f t="shared" ref="J583:J588" si="105">(1-G609)*$G$615*G$616/G$617*G623</f>
        <v>31.133309957924254</v>
      </c>
      <c r="K583" s="1276">
        <v>0</v>
      </c>
      <c r="L583" s="1276">
        <f>(25*G$616/G$617+2960*$G$620-$G$622)*G624</f>
        <v>286.72123580720518</v>
      </c>
      <c r="M583" s="1178">
        <f t="shared" si="100"/>
        <v>0.27125899999999997</v>
      </c>
      <c r="N583" s="2178">
        <f t="shared" ref="N583:N588" si="106">G629</f>
        <v>20</v>
      </c>
      <c r="O583" s="1648">
        <f t="shared" ref="O583:O588" si="107">G635</f>
        <v>74.327224020150311</v>
      </c>
      <c r="P583" s="337" t="s">
        <v>37</v>
      </c>
      <c r="R583" s="1325"/>
      <c r="V583" s="245" t="str">
        <f t="shared" si="101"/>
        <v>kWh
Annual Savings</v>
      </c>
      <c r="W583" s="1270">
        <v>3255.9033206791182</v>
      </c>
      <c r="X583" s="579">
        <v>3255.9033206791182</v>
      </c>
      <c r="Y583" s="1271">
        <v>582</v>
      </c>
      <c r="Z583" s="245"/>
      <c r="AA583" s="245"/>
      <c r="AB583" s="245"/>
      <c r="AC583" s="245"/>
      <c r="AD583" s="245"/>
      <c r="AE583" s="245"/>
      <c r="AF583" s="245"/>
      <c r="AG583" s="245"/>
      <c r="AK583" s="1166"/>
      <c r="BB583" s="72">
        <f t="shared" ref="BB583:BB589" si="108">(BD583)/(BE583)</f>
        <v>9.8755842478136593</v>
      </c>
      <c r="BC583" s="1243" t="str">
        <f t="shared" si="102"/>
        <v>HVAC RES 20 Year EUL</v>
      </c>
      <c r="BD583" s="165">
        <f>(INDEX('Avoided Cost Benefits'!$C$4:$C$857,MATCH(BC583,'Avoided Cost Benefits'!$A$4:$A$857,0)))*F583</f>
        <v>692.80298510345756</v>
      </c>
      <c r="BE583" s="74">
        <f t="shared" si="103"/>
        <v>70.153113751911562</v>
      </c>
    </row>
    <row r="584" spans="1:57" x14ac:dyDescent="0.25">
      <c r="B584" s="1580"/>
      <c r="C584" s="1927" t="s">
        <v>1858</v>
      </c>
      <c r="D584" s="1927" t="s">
        <v>1610</v>
      </c>
      <c r="E584" s="794" t="s">
        <v>1859</v>
      </c>
      <c r="F584" s="2177">
        <f t="shared" si="99"/>
        <v>582</v>
      </c>
      <c r="G584" s="1672" t="s">
        <v>941</v>
      </c>
      <c r="H584" s="239">
        <f>VLOOKUP(G584,'CP FACTORS'!$A$3:$B$38, 2, FALSE)</f>
        <v>4.6608050000000002E-4</v>
      </c>
      <c r="I584" s="1276">
        <f t="shared" si="104"/>
        <v>264.14545423487061</v>
      </c>
      <c r="J584" s="1276">
        <f t="shared" si="105"/>
        <v>31.133309957924254</v>
      </c>
      <c r="K584" s="1276">
        <v>0</v>
      </c>
      <c r="L584" s="1276">
        <f t="shared" ref="L584:L585" si="109">(25*G$616/G$617+2960*$G$620-$G$622)*G625</f>
        <v>286.72123580720518</v>
      </c>
      <c r="M584" s="1178">
        <f t="shared" si="100"/>
        <v>0.27125899999999997</v>
      </c>
      <c r="N584" s="2178">
        <f t="shared" si="106"/>
        <v>6</v>
      </c>
      <c r="O584" s="1648">
        <f t="shared" si="107"/>
        <v>475</v>
      </c>
      <c r="P584" s="337" t="s">
        <v>37</v>
      </c>
      <c r="R584" s="1325"/>
      <c r="V584" s="245" t="str">
        <f t="shared" si="101"/>
        <v>kWh
Annual Savings</v>
      </c>
      <c r="W584" s="1270">
        <v>3458.4903477472494</v>
      </c>
      <c r="X584" s="579">
        <v>3458.4903477472494</v>
      </c>
      <c r="Y584" s="1271">
        <v>582</v>
      </c>
      <c r="Z584" s="245"/>
      <c r="AA584" s="245"/>
      <c r="AB584" s="245"/>
      <c r="AC584" s="245"/>
      <c r="AD584" s="245"/>
      <c r="AE584" s="245"/>
      <c r="AF584" s="245"/>
      <c r="AG584" s="245"/>
      <c r="AK584" s="1166"/>
      <c r="BB584" s="72">
        <f>(BD584+BD585)/(BE584+BE585)</f>
        <v>1.4249213128950478</v>
      </c>
      <c r="BC584" s="1272" t="str">
        <f t="shared" si="102"/>
        <v>HVAC RES 6 Year EUL</v>
      </c>
      <c r="BD584" s="165">
        <f>(INDEX('Avoided Cost Benefits'!$C$4:$C$857,MATCH(BC584,'Avoided Cost Benefits'!$A$4:$A$857,0)))*F584</f>
        <v>214.66614365077814</v>
      </c>
      <c r="BE584" s="74">
        <f t="shared" si="103"/>
        <v>448.32468145351578</v>
      </c>
    </row>
    <row r="585" spans="1:57" x14ac:dyDescent="0.25">
      <c r="B585" s="1580"/>
      <c r="C585" s="1927" t="s">
        <v>1858</v>
      </c>
      <c r="D585" s="1927" t="s">
        <v>1610</v>
      </c>
      <c r="E585" s="73" t="s">
        <v>1860</v>
      </c>
      <c r="F585" s="2177">
        <f t="shared" si="99"/>
        <v>582</v>
      </c>
      <c r="G585" s="1672" t="str">
        <f>'CP FACTORS'!$A$17</f>
        <v>HVAC RES ER2</v>
      </c>
      <c r="H585" s="239">
        <f>VLOOKUP(G585,'CP FACTORS'!$A$3:$B$38, 2, FALSE)</f>
        <v>4.6608050000000002E-4</v>
      </c>
      <c r="I585" s="1276">
        <f t="shared" si="104"/>
        <v>264.14545423487061</v>
      </c>
      <c r="J585" s="1276">
        <f t="shared" si="105"/>
        <v>31.133309957924254</v>
      </c>
      <c r="K585" s="1276">
        <v>0</v>
      </c>
      <c r="L585" s="1276">
        <f t="shared" si="109"/>
        <v>286.72123580720518</v>
      </c>
      <c r="M585" s="1178">
        <f t="shared" si="100"/>
        <v>0.27125899999999997</v>
      </c>
      <c r="N585" s="2178">
        <f t="shared" si="106"/>
        <v>12</v>
      </c>
      <c r="O585" s="1648">
        <f t="shared" si="107"/>
        <v>0</v>
      </c>
      <c r="P585" s="337" t="s">
        <v>37</v>
      </c>
      <c r="R585" s="1325"/>
      <c r="V585" s="245" t="str">
        <f t="shared" si="101"/>
        <v>kWh
Annual Savings</v>
      </c>
      <c r="W585" s="1270">
        <v>3255.9033206791182</v>
      </c>
      <c r="X585" s="579">
        <v>3255.9033206791182</v>
      </c>
      <c r="Y585" s="1271">
        <v>582</v>
      </c>
      <c r="Z585" s="245"/>
      <c r="AA585" s="245"/>
      <c r="AB585" s="245"/>
      <c r="AC585" s="245"/>
      <c r="AD585" s="245"/>
      <c r="AE585" s="245"/>
      <c r="AF585" s="245"/>
      <c r="AG585" s="245"/>
      <c r="AK585" s="1166"/>
      <c r="BB585" s="1275"/>
      <c r="BC585" s="1274" t="str">
        <f t="shared" si="102"/>
        <v>HVAC RES ER2 12 Year EUL</v>
      </c>
      <c r="BD585" s="165">
        <f>(INDEX('Avoided Cost Benefits'!$C$4:$C$857,MATCH(BC585,'Avoided Cost Benefits'!$A$4:$A$857,0)))*F585</f>
        <v>424.16125004921963</v>
      </c>
      <c r="BE585" s="74">
        <f t="shared" si="103"/>
        <v>0</v>
      </c>
    </row>
    <row r="586" spans="1:57" x14ac:dyDescent="0.25">
      <c r="B586" s="1580"/>
      <c r="C586" s="1927" t="s">
        <v>1861</v>
      </c>
      <c r="D586" s="1927" t="s">
        <v>1613</v>
      </c>
      <c r="E586" s="1670" t="s">
        <v>1862</v>
      </c>
      <c r="F586" s="2177">
        <f t="shared" si="99"/>
        <v>582</v>
      </c>
      <c r="G586" s="1672" t="s">
        <v>941</v>
      </c>
      <c r="H586" s="239">
        <f>VLOOKUP(G586,'CP FACTORS'!$A$3:$B$38, 2, FALSE)</f>
        <v>4.6608050000000002E-4</v>
      </c>
      <c r="I586" s="1276">
        <f t="shared" si="104"/>
        <v>264.14545423487061</v>
      </c>
      <c r="J586" s="1276">
        <f t="shared" si="105"/>
        <v>31.133309957924254</v>
      </c>
      <c r="K586" s="1276">
        <f>(25*G$616/G$617+2960*$G$620-$G$622)*G626</f>
        <v>286.72123580720518</v>
      </c>
      <c r="L586" s="608">
        <v>0</v>
      </c>
      <c r="M586" s="1178">
        <f t="shared" si="100"/>
        <v>0.27125899999999997</v>
      </c>
      <c r="N586" s="2178">
        <f t="shared" si="106"/>
        <v>20</v>
      </c>
      <c r="O586" s="1648">
        <f t="shared" si="107"/>
        <v>74.327224020150311</v>
      </c>
      <c r="P586" s="337" t="s">
        <v>37</v>
      </c>
      <c r="R586" s="1325"/>
      <c r="V586" s="245" t="str">
        <f t="shared" si="101"/>
        <v>kWh
Annual Savings</v>
      </c>
      <c r="W586" s="1270">
        <v>591.90332067911811</v>
      </c>
      <c r="X586" s="579">
        <v>591.90332067911811</v>
      </c>
      <c r="Y586" s="1271">
        <v>582</v>
      </c>
      <c r="Z586" s="245"/>
      <c r="AA586" s="245"/>
      <c r="AB586" s="245"/>
      <c r="AC586" s="245"/>
      <c r="AD586" s="245"/>
      <c r="AE586" s="245"/>
      <c r="AF586" s="245"/>
      <c r="AG586" s="245"/>
      <c r="AK586" s="1166"/>
      <c r="BB586" s="72">
        <f t="shared" si="108"/>
        <v>9.8755842478136593</v>
      </c>
      <c r="BC586" s="1243" t="str">
        <f t="shared" si="102"/>
        <v>HVAC RES 20 Year EUL</v>
      </c>
      <c r="BD586" s="165">
        <f>(INDEX('Avoided Cost Benefits'!$C$4:$C$857,MATCH(BC586,'Avoided Cost Benefits'!$A$4:$A$857,0)))*F586</f>
        <v>692.80298510345756</v>
      </c>
      <c r="BE586" s="74">
        <f t="shared" si="103"/>
        <v>70.153113751911562</v>
      </c>
    </row>
    <row r="587" spans="1:57" x14ac:dyDescent="0.25">
      <c r="B587" s="1580"/>
      <c r="C587" s="1927" t="s">
        <v>1863</v>
      </c>
      <c r="D587" s="1927" t="s">
        <v>1613</v>
      </c>
      <c r="E587" s="794" t="s">
        <v>1864</v>
      </c>
      <c r="F587" s="2177">
        <f t="shared" si="99"/>
        <v>582</v>
      </c>
      <c r="G587" s="1672" t="s">
        <v>941</v>
      </c>
      <c r="H587" s="239">
        <f>VLOOKUP(G587,'CP FACTORS'!$A$3:$B$38, 2, FALSE)</f>
        <v>4.6608050000000002E-4</v>
      </c>
      <c r="I587" s="1276">
        <f t="shared" si="104"/>
        <v>264.14545423487061</v>
      </c>
      <c r="J587" s="1276">
        <f t="shared" si="105"/>
        <v>31.133309957924254</v>
      </c>
      <c r="K587" s="1276">
        <f>(25*G$616/G$617+2960*$G$620-$G$622)*G627</f>
        <v>286.72123580720518</v>
      </c>
      <c r="L587" s="608">
        <v>0</v>
      </c>
      <c r="M587" s="1178">
        <f t="shared" si="100"/>
        <v>0.27125899999999997</v>
      </c>
      <c r="N587" s="2178">
        <f t="shared" si="106"/>
        <v>6</v>
      </c>
      <c r="O587" s="1648">
        <f t="shared" si="107"/>
        <v>475</v>
      </c>
      <c r="P587" s="337" t="s">
        <v>37</v>
      </c>
      <c r="R587" s="1325"/>
      <c r="V587" s="245" t="str">
        <f t="shared" si="101"/>
        <v>kWh
Annual Savings</v>
      </c>
      <c r="W587" s="1270">
        <v>794.49034774724942</v>
      </c>
      <c r="X587" s="579">
        <v>794.49034774724942</v>
      </c>
      <c r="Y587" s="1271">
        <v>582</v>
      </c>
      <c r="Z587" s="245"/>
      <c r="AA587" s="245"/>
      <c r="AB587" s="245"/>
      <c r="AC587" s="245"/>
      <c r="AD587" s="245"/>
      <c r="AE587" s="245"/>
      <c r="AF587" s="245"/>
      <c r="AG587" s="245"/>
      <c r="AK587" s="1166"/>
      <c r="BB587" s="72">
        <f>(BD587+BD588)/(BE587+BE588)</f>
        <v>1.4249213128950478</v>
      </c>
      <c r="BC587" s="1272" t="str">
        <f t="shared" si="102"/>
        <v>HVAC RES 6 Year EUL</v>
      </c>
      <c r="BD587" s="165">
        <f>(INDEX('Avoided Cost Benefits'!$C$4:$C$857,MATCH(BC587,'Avoided Cost Benefits'!$A$4:$A$857,0)))*F587</f>
        <v>214.66614365077814</v>
      </c>
      <c r="BE587" s="74">
        <f t="shared" si="103"/>
        <v>448.32468145351578</v>
      </c>
    </row>
    <row r="588" spans="1:57" x14ac:dyDescent="0.25">
      <c r="B588" s="1580"/>
      <c r="C588" s="1927" t="s">
        <v>1863</v>
      </c>
      <c r="D588" s="1927" t="s">
        <v>1613</v>
      </c>
      <c r="E588" s="73" t="s">
        <v>1865</v>
      </c>
      <c r="F588" s="2177">
        <f t="shared" si="99"/>
        <v>582</v>
      </c>
      <c r="G588" s="1672" t="str">
        <f>'CP FACTORS'!$A$17</f>
        <v>HVAC RES ER2</v>
      </c>
      <c r="H588" s="239">
        <f>VLOOKUP(G588,'CP FACTORS'!$A$3:$B$38, 2, FALSE)</f>
        <v>4.6608050000000002E-4</v>
      </c>
      <c r="I588" s="1276">
        <f t="shared" si="104"/>
        <v>264.14545423487061</v>
      </c>
      <c r="J588" s="1276">
        <f t="shared" si="105"/>
        <v>31.133309957924254</v>
      </c>
      <c r="K588" s="1276">
        <f>(25*G$616/G$617+2960*$G$620-$G$622)*G628</f>
        <v>286.72123580720518</v>
      </c>
      <c r="L588" s="608">
        <v>0</v>
      </c>
      <c r="M588" s="1178">
        <f t="shared" si="100"/>
        <v>0.27125899999999997</v>
      </c>
      <c r="N588" s="2178">
        <f t="shared" si="106"/>
        <v>12</v>
      </c>
      <c r="O588" s="1648">
        <f t="shared" si="107"/>
        <v>0</v>
      </c>
      <c r="P588" s="337" t="s">
        <v>37</v>
      </c>
      <c r="R588" s="1325"/>
      <c r="V588" s="245" t="str">
        <f t="shared" si="101"/>
        <v>kWh
Annual Savings</v>
      </c>
      <c r="W588" s="1270">
        <v>591.90332067911811</v>
      </c>
      <c r="X588" s="579">
        <v>591.90332067911811</v>
      </c>
      <c r="Y588" s="1271">
        <v>582</v>
      </c>
      <c r="Z588" s="245"/>
      <c r="AA588" s="245"/>
      <c r="AB588" s="245"/>
      <c r="AC588" s="245"/>
      <c r="AD588" s="245"/>
      <c r="AE588" s="245"/>
      <c r="AF588" s="245"/>
      <c r="AG588" s="245"/>
      <c r="AK588" s="1166"/>
      <c r="BB588" s="1275"/>
      <c r="BC588" s="1274" t="str">
        <f t="shared" si="102"/>
        <v>HVAC RES ER2 12 Year EUL</v>
      </c>
      <c r="BD588" s="165">
        <f>(INDEX('Avoided Cost Benefits'!$C$4:$C$857,MATCH(BC588,'Avoided Cost Benefits'!$A$4:$A$857,0)))*F588</f>
        <v>424.16125004921963</v>
      </c>
      <c r="BE588" s="74">
        <f t="shared" si="103"/>
        <v>0</v>
      </c>
    </row>
    <row r="589" spans="1:57" x14ac:dyDescent="0.25">
      <c r="B589" s="1580"/>
      <c r="C589" s="1927" t="s">
        <v>1866</v>
      </c>
      <c r="D589" s="1927" t="s">
        <v>1613</v>
      </c>
      <c r="E589" s="1670" t="s">
        <v>1867</v>
      </c>
      <c r="F589" s="2177">
        <f t="shared" si="99"/>
        <v>582</v>
      </c>
      <c r="G589" s="1672" t="s">
        <v>941</v>
      </c>
      <c r="H589" s="239">
        <f>VLOOKUP(G589,'CP FACTORS'!$A$3:$B$38, 2, FALSE)</f>
        <v>4.6608050000000002E-4</v>
      </c>
      <c r="I589" s="1276">
        <f>(1-G603)*$G$606*G$607/G$608*G626</f>
        <v>264.14545423487061</v>
      </c>
      <c r="J589" s="1276">
        <f>(1-G612)*$G$615*G$616/G$617*G626</f>
        <v>31.133309957924254</v>
      </c>
      <c r="K589" s="1276">
        <v>0</v>
      </c>
      <c r="L589" s="1276">
        <f>(25*G$616/G$617+2960*$G$621-$G$622)*G626</f>
        <v>286.72123580720518</v>
      </c>
      <c r="M589" s="1178">
        <f t="shared" si="100"/>
        <v>0.27125899999999997</v>
      </c>
      <c r="N589" s="2178">
        <f>G632</f>
        <v>20</v>
      </c>
      <c r="O589" s="1648">
        <f>G638</f>
        <v>74.327224020150311</v>
      </c>
      <c r="P589" s="337" t="s">
        <v>37</v>
      </c>
      <c r="R589" s="1325"/>
      <c r="V589" s="245" t="str">
        <f t="shared" si="101"/>
        <v>kWh
Annual Savings</v>
      </c>
      <c r="W589" s="1270">
        <v>3255.9033206791182</v>
      </c>
      <c r="X589" s="579">
        <v>3255.9033206791182</v>
      </c>
      <c r="Y589" s="1271">
        <v>582</v>
      </c>
      <c r="Z589" s="245"/>
      <c r="AA589" s="245"/>
      <c r="AB589" s="245"/>
      <c r="AC589" s="245"/>
      <c r="AD589" s="245"/>
      <c r="AE589" s="245"/>
      <c r="AF589" s="245"/>
      <c r="AG589" s="245"/>
      <c r="AK589" s="1166"/>
      <c r="BB589" s="72">
        <f t="shared" si="108"/>
        <v>9.8755842478136593</v>
      </c>
      <c r="BC589" s="1243" t="str">
        <f t="shared" si="102"/>
        <v>HVAC RES 20 Year EUL</v>
      </c>
      <c r="BD589" s="165">
        <f>(INDEX('Avoided Cost Benefits'!$C$4:$C$857,MATCH(BC589,'Avoided Cost Benefits'!$A$4:$A$857,0)))*F589</f>
        <v>692.80298510345756</v>
      </c>
      <c r="BE589" s="74">
        <f t="shared" si="103"/>
        <v>70.153113751911562</v>
      </c>
    </row>
    <row r="590" spans="1:57" x14ac:dyDescent="0.25">
      <c r="B590" s="1580"/>
      <c r="C590" s="1927" t="s">
        <v>1868</v>
      </c>
      <c r="D590" s="1927" t="s">
        <v>1613</v>
      </c>
      <c r="E590" s="794" t="s">
        <v>1869</v>
      </c>
      <c r="F590" s="2177">
        <f t="shared" si="99"/>
        <v>582</v>
      </c>
      <c r="G590" s="1672" t="s">
        <v>941</v>
      </c>
      <c r="H590" s="239">
        <f>VLOOKUP(G590,'CP FACTORS'!$A$3:$B$38, 2, FALSE)</f>
        <v>4.6608050000000002E-4</v>
      </c>
      <c r="I590" s="1276">
        <f>(1-G604)*$G$606*G$607/G$608*G627</f>
        <v>264.14545423487061</v>
      </c>
      <c r="J590" s="1276">
        <f>(1-G613)*$G$615*G$616/G$617*G627</f>
        <v>31.133309957924254</v>
      </c>
      <c r="K590" s="1276">
        <v>0</v>
      </c>
      <c r="L590" s="1276">
        <f>(25*G$616/G$617+2960*$G$621-$G$622)*G627</f>
        <v>286.72123580720518</v>
      </c>
      <c r="M590" s="1178">
        <f t="shared" si="100"/>
        <v>0.27125899999999997</v>
      </c>
      <c r="N590" s="2178">
        <f>G633</f>
        <v>6</v>
      </c>
      <c r="O590" s="1648">
        <f>G639</f>
        <v>475</v>
      </c>
      <c r="P590" s="337" t="s">
        <v>37</v>
      </c>
      <c r="R590" s="1325"/>
      <c r="V590" s="245" t="str">
        <f t="shared" si="101"/>
        <v>kWh
Annual Savings</v>
      </c>
      <c r="W590" s="1270">
        <v>3458.4903477472494</v>
      </c>
      <c r="X590" s="579">
        <v>3458.4903477472494</v>
      </c>
      <c r="Y590" s="1271">
        <v>582</v>
      </c>
      <c r="Z590" s="245"/>
      <c r="AA590" s="245"/>
      <c r="AB590" s="245"/>
      <c r="AC590" s="245"/>
      <c r="AD590" s="245"/>
      <c r="AE590" s="245"/>
      <c r="AF590" s="245"/>
      <c r="AG590" s="245"/>
      <c r="AK590" s="1166"/>
      <c r="BB590" s="72">
        <f>(BD590+BD591)/(BE590+BE591)</f>
        <v>1.4249213128950478</v>
      </c>
      <c r="BC590" s="1272" t="str">
        <f t="shared" si="102"/>
        <v>HVAC RES 6 Year EUL</v>
      </c>
      <c r="BD590" s="165">
        <f>(INDEX('Avoided Cost Benefits'!$C$4:$C$857,MATCH(BC590,'Avoided Cost Benefits'!$A$4:$A$857,0)))*F590</f>
        <v>214.66614365077814</v>
      </c>
      <c r="BE590" s="74">
        <f t="shared" si="103"/>
        <v>448.32468145351578</v>
      </c>
    </row>
    <row r="591" spans="1:57" x14ac:dyDescent="0.25">
      <c r="B591" s="1580"/>
      <c r="C591" s="1927" t="s">
        <v>1868</v>
      </c>
      <c r="D591" s="1927" t="s">
        <v>1613</v>
      </c>
      <c r="E591" s="73" t="s">
        <v>1870</v>
      </c>
      <c r="F591" s="2177">
        <f t="shared" si="99"/>
        <v>582</v>
      </c>
      <c r="G591" s="1672" t="str">
        <f>'CP FACTORS'!$A$17</f>
        <v>HVAC RES ER2</v>
      </c>
      <c r="H591" s="239">
        <f>VLOOKUP(G591,'CP FACTORS'!$A$3:$B$38, 2, FALSE)</f>
        <v>4.6608050000000002E-4</v>
      </c>
      <c r="I591" s="1276">
        <f>(1-G605)*$G$606*G$607/G$608*G628</f>
        <v>264.14545423487061</v>
      </c>
      <c r="J591" s="1276">
        <f>(1-G614)*$G$615*G$616/G$617*G628</f>
        <v>31.133309957924254</v>
      </c>
      <c r="K591" s="1276">
        <v>0</v>
      </c>
      <c r="L591" s="1276">
        <f t="shared" ref="L591" si="110">(25*G$616/G$617+2960*$G$621-$G$622)*G628</f>
        <v>286.72123580720518</v>
      </c>
      <c r="M591" s="1178">
        <f t="shared" si="100"/>
        <v>0.27125899999999997</v>
      </c>
      <c r="N591" s="2178">
        <f>G634</f>
        <v>12</v>
      </c>
      <c r="O591" s="1648">
        <f>G640</f>
        <v>0</v>
      </c>
      <c r="P591" s="2179" t="s">
        <v>37</v>
      </c>
      <c r="R591" s="1325"/>
      <c r="V591" s="245" t="str">
        <f t="shared" si="101"/>
        <v>kWh
Annual Savings</v>
      </c>
      <c r="W591" s="1270">
        <v>3255.9033206791182</v>
      </c>
      <c r="X591" s="579">
        <v>3255.9033206791182</v>
      </c>
      <c r="Y591" s="1271">
        <v>582</v>
      </c>
      <c r="Z591" s="245"/>
      <c r="AA591" s="245"/>
      <c r="AB591" s="245"/>
      <c r="AC591" s="245"/>
      <c r="AD591" s="245"/>
      <c r="AE591" s="245"/>
      <c r="AF591" s="245"/>
      <c r="AG591" s="245"/>
      <c r="AK591" s="1166"/>
      <c r="BB591" s="1277"/>
      <c r="BC591" s="1274" t="str">
        <f t="shared" si="102"/>
        <v>HVAC RES ER2 12 Year EUL</v>
      </c>
      <c r="BD591" s="170">
        <f>(INDEX('Avoided Cost Benefits'!$C$4:$C$857,MATCH(BC591,'Avoided Cost Benefits'!$A$4:$A$857,0)))*F591</f>
        <v>424.16125004921963</v>
      </c>
      <c r="BE591" s="76">
        <f t="shared" si="103"/>
        <v>0</v>
      </c>
    </row>
    <row r="592" spans="1:57" outlineLevel="1" x14ac:dyDescent="0.25">
      <c r="B592" s="1580"/>
      <c r="C592" s="329"/>
      <c r="F592" s="354"/>
      <c r="AK592" s="1166"/>
    </row>
    <row r="593" spans="2:37" outlineLevel="1" x14ac:dyDescent="0.25">
      <c r="B593" s="1580"/>
      <c r="C593" s="329"/>
      <c r="D593" s="259" t="s">
        <v>617</v>
      </c>
      <c r="F593" s="354"/>
      <c r="AK593" s="1166"/>
    </row>
    <row r="594" spans="2:37" ht="18" customHeight="1" outlineLevel="1" x14ac:dyDescent="0.25">
      <c r="B594" s="1580"/>
      <c r="C594" s="329"/>
      <c r="E594" s="2180"/>
      <c r="AK594" s="1166"/>
    </row>
    <row r="595" spans="2:37" ht="41.25" customHeight="1" outlineLevel="1" x14ac:dyDescent="0.25">
      <c r="B595" s="1580"/>
      <c r="C595" s="329"/>
      <c r="E595" s="2180"/>
      <c r="AK595" s="1166"/>
    </row>
    <row r="596" spans="2:37" outlineLevel="1" x14ac:dyDescent="0.25">
      <c r="B596" s="1580"/>
      <c r="C596" s="329"/>
      <c r="E596" s="2180"/>
      <c r="AK596" s="1166"/>
    </row>
    <row r="597" spans="2:37" outlineLevel="1" x14ac:dyDescent="0.25">
      <c r="B597" s="1580"/>
      <c r="C597" s="329"/>
      <c r="E597" s="2180"/>
      <c r="AK597" s="1166"/>
    </row>
    <row r="598" spans="2:37" outlineLevel="1" x14ac:dyDescent="0.25">
      <c r="B598" s="1580"/>
      <c r="C598" s="329"/>
      <c r="AK598" s="1166"/>
    </row>
    <row r="599" spans="2:37" outlineLevel="1" x14ac:dyDescent="0.25">
      <c r="B599" s="1580"/>
      <c r="C599" s="329"/>
      <c r="D599" s="1701" t="s">
        <v>618</v>
      </c>
      <c r="E599" s="1701" t="s">
        <v>619</v>
      </c>
      <c r="F599" s="1641" t="s">
        <v>669</v>
      </c>
      <c r="G599" s="1641" t="s">
        <v>620</v>
      </c>
      <c r="H599" s="1641" t="s">
        <v>670</v>
      </c>
      <c r="I599" s="1641" t="s">
        <v>766</v>
      </c>
      <c r="V599" s="55" t="s">
        <v>27</v>
      </c>
      <c r="W599" s="56">
        <f>W$6</f>
        <v>43252</v>
      </c>
      <c r="X599" s="56">
        <f t="shared" ref="X599:AG599" si="111">X$6</f>
        <v>43465</v>
      </c>
      <c r="Y599" s="500">
        <f t="shared" si="111"/>
        <v>43800</v>
      </c>
      <c r="Z599" s="56">
        <f t="shared" si="111"/>
        <v>43862</v>
      </c>
      <c r="AA599" s="56" t="str">
        <f t="shared" si="111"/>
        <v>-</v>
      </c>
      <c r="AB599" s="56" t="str">
        <f t="shared" si="111"/>
        <v>-</v>
      </c>
      <c r="AC599" s="56" t="str">
        <f t="shared" si="111"/>
        <v>-</v>
      </c>
      <c r="AD599" s="56" t="str">
        <f t="shared" si="111"/>
        <v>-</v>
      </c>
      <c r="AE599" s="56" t="str">
        <f t="shared" si="111"/>
        <v>-</v>
      </c>
      <c r="AF599" s="56" t="str">
        <f t="shared" si="111"/>
        <v>-</v>
      </c>
      <c r="AG599" s="56" t="str">
        <f t="shared" si="111"/>
        <v>-</v>
      </c>
      <c r="AK599" s="1166"/>
    </row>
    <row r="600" spans="2:37" outlineLevel="1" x14ac:dyDescent="0.25">
      <c r="B600" s="1580"/>
      <c r="C600" s="329"/>
      <c r="D600" s="2971" t="s">
        <v>1168</v>
      </c>
      <c r="E600" s="2971" t="s">
        <v>1169</v>
      </c>
      <c r="F600" s="1278" t="s">
        <v>1871</v>
      </c>
      <c r="G600" s="649">
        <v>0.16336956521739129</v>
      </c>
      <c r="H600" s="1679" t="s">
        <v>767</v>
      </c>
      <c r="I600" s="1279"/>
      <c r="V600" s="3019" t="s">
        <v>1168</v>
      </c>
      <c r="W600" s="1219">
        <v>0.16</v>
      </c>
      <c r="X600" s="1223">
        <v>0.16</v>
      </c>
      <c r="Y600" s="649">
        <v>0.16336956521739129</v>
      </c>
      <c r="Z600" s="1219"/>
      <c r="AA600" s="1219"/>
      <c r="AB600" s="1219"/>
      <c r="AC600" s="1219"/>
      <c r="AD600" s="1219"/>
      <c r="AE600" s="1219"/>
      <c r="AF600" s="1219"/>
      <c r="AG600" s="1219"/>
      <c r="AK600" s="1166"/>
    </row>
    <row r="601" spans="2:37" outlineLevel="1" x14ac:dyDescent="0.25">
      <c r="B601" s="1580"/>
      <c r="C601" s="329"/>
      <c r="D601" s="2972"/>
      <c r="E601" s="2972"/>
      <c r="F601" s="1278" t="s">
        <v>1872</v>
      </c>
      <c r="G601" s="649">
        <v>0.16336956521739129</v>
      </c>
      <c r="H601" s="1679" t="s">
        <v>767</v>
      </c>
      <c r="I601" s="1279"/>
      <c r="V601" s="3019"/>
      <c r="W601" s="1219">
        <v>0</v>
      </c>
      <c r="X601" s="1223">
        <v>0</v>
      </c>
      <c r="Y601" s="649">
        <v>0.16336956521739129</v>
      </c>
      <c r="Z601" s="1219"/>
      <c r="AA601" s="1219"/>
      <c r="AB601" s="1219"/>
      <c r="AC601" s="1219"/>
      <c r="AD601" s="1219"/>
      <c r="AE601" s="1219"/>
      <c r="AF601" s="1219"/>
      <c r="AG601" s="1219"/>
      <c r="AK601" s="1166"/>
    </row>
    <row r="602" spans="2:37" outlineLevel="1" x14ac:dyDescent="0.25">
      <c r="B602" s="1580"/>
      <c r="C602" s="329"/>
      <c r="D602" s="2972"/>
      <c r="E602" s="2972"/>
      <c r="F602" s="1278" t="s">
        <v>1873</v>
      </c>
      <c r="G602" s="649">
        <v>0.16336956521739129</v>
      </c>
      <c r="H602" s="1679" t="s">
        <v>767</v>
      </c>
      <c r="I602" s="1279"/>
      <c r="V602" s="3019"/>
      <c r="W602" s="1219">
        <v>0.16</v>
      </c>
      <c r="X602" s="1223">
        <v>0.16</v>
      </c>
      <c r="Y602" s="649">
        <v>0.16336956521739129</v>
      </c>
      <c r="Z602" s="1219"/>
      <c r="AA602" s="1219"/>
      <c r="AB602" s="1219"/>
      <c r="AC602" s="1219"/>
      <c r="AD602" s="1219"/>
      <c r="AE602" s="1219"/>
      <c r="AF602" s="1219"/>
      <c r="AG602" s="1219"/>
      <c r="AK602" s="1166"/>
    </row>
    <row r="603" spans="2:37" outlineLevel="1" x14ac:dyDescent="0.25">
      <c r="B603" s="1580"/>
      <c r="C603" s="329"/>
      <c r="D603" s="2972"/>
      <c r="E603" s="2972"/>
      <c r="F603" s="1278" t="s">
        <v>1874</v>
      </c>
      <c r="G603" s="649">
        <v>0.16336956521739129</v>
      </c>
      <c r="H603" s="1679" t="s">
        <v>767</v>
      </c>
      <c r="I603" s="1279"/>
      <c r="V603" s="3019"/>
      <c r="W603" s="1219">
        <v>0.16</v>
      </c>
      <c r="X603" s="1223">
        <v>0.16</v>
      </c>
      <c r="Y603" s="649">
        <v>0.16336956521739129</v>
      </c>
      <c r="Z603" s="1219"/>
      <c r="AA603" s="1219"/>
      <c r="AB603" s="1219"/>
      <c r="AC603" s="1219"/>
      <c r="AD603" s="1219"/>
      <c r="AE603" s="1219"/>
      <c r="AF603" s="1219"/>
      <c r="AG603" s="1219"/>
      <c r="AK603" s="1166"/>
    </row>
    <row r="604" spans="2:37" outlineLevel="1" x14ac:dyDescent="0.25">
      <c r="B604" s="1580"/>
      <c r="C604" s="329"/>
      <c r="D604" s="2972"/>
      <c r="E604" s="2972"/>
      <c r="F604" s="1278" t="s">
        <v>1875</v>
      </c>
      <c r="G604" s="649">
        <v>0.16336956521739129</v>
      </c>
      <c r="H604" s="1679" t="s">
        <v>767</v>
      </c>
      <c r="I604" s="1279"/>
      <c r="V604" s="3019"/>
      <c r="W604" s="1219">
        <v>0</v>
      </c>
      <c r="X604" s="1223">
        <v>0</v>
      </c>
      <c r="Y604" s="649">
        <v>0.16336956521739129</v>
      </c>
      <c r="Z604" s="1219"/>
      <c r="AA604" s="1219"/>
      <c r="AB604" s="1219"/>
      <c r="AC604" s="1219"/>
      <c r="AD604" s="1219"/>
      <c r="AE604" s="1219"/>
      <c r="AF604" s="1219"/>
      <c r="AG604" s="1219"/>
      <c r="AK604" s="1166"/>
    </row>
    <row r="605" spans="2:37" ht="15.75" outlineLevel="1" thickBot="1" x14ac:dyDescent="0.3">
      <c r="B605" s="1580"/>
      <c r="C605" s="329"/>
      <c r="D605" s="2972"/>
      <c r="E605" s="2972"/>
      <c r="F605" s="1278" t="s">
        <v>1876</v>
      </c>
      <c r="G605" s="649">
        <v>0.16336956521739129</v>
      </c>
      <c r="H605" s="1679" t="s">
        <v>767</v>
      </c>
      <c r="I605" s="1279"/>
      <c r="V605" s="3019"/>
      <c r="W605" s="1219">
        <v>0.16</v>
      </c>
      <c r="X605" s="1223">
        <v>0.16</v>
      </c>
      <c r="Y605" s="649">
        <v>0.16336956521739129</v>
      </c>
      <c r="Z605" s="1219"/>
      <c r="AA605" s="1219"/>
      <c r="AB605" s="1219"/>
      <c r="AC605" s="1219"/>
      <c r="AD605" s="1219"/>
      <c r="AE605" s="1219"/>
      <c r="AF605" s="1219"/>
      <c r="AG605" s="1219"/>
      <c r="AK605" s="1166"/>
    </row>
    <row r="606" spans="2:37" ht="15" customHeight="1" outlineLevel="1" x14ac:dyDescent="0.25">
      <c r="B606" s="1580"/>
      <c r="C606" s="329"/>
      <c r="D606" s="1987" t="s">
        <v>1171</v>
      </c>
      <c r="E606" s="1987" t="s">
        <v>1172</v>
      </c>
      <c r="F606" s="1278" t="s">
        <v>637</v>
      </c>
      <c r="G606" s="1280">
        <v>400</v>
      </c>
      <c r="H606" s="2987" t="s">
        <v>1173</v>
      </c>
      <c r="I606" s="2642"/>
      <c r="V606" s="1995" t="s">
        <v>1171</v>
      </c>
      <c r="W606" s="1219"/>
      <c r="X606" s="1223"/>
      <c r="Y606" s="1230">
        <v>400</v>
      </c>
      <c r="Z606" s="1219"/>
      <c r="AA606" s="1219"/>
      <c r="AB606" s="1219"/>
      <c r="AC606" s="1219"/>
      <c r="AD606" s="1219"/>
      <c r="AE606" s="1219"/>
      <c r="AF606" s="1219"/>
      <c r="AG606" s="1219"/>
      <c r="AK606" s="1166"/>
    </row>
    <row r="607" spans="2:37" ht="18" outlineLevel="1" x14ac:dyDescent="0.25">
      <c r="B607" s="1580"/>
      <c r="C607" s="329"/>
      <c r="D607" s="1696" t="s">
        <v>1174</v>
      </c>
      <c r="E607" s="1696" t="s">
        <v>1175</v>
      </c>
      <c r="F607" s="1278" t="s">
        <v>637</v>
      </c>
      <c r="G607" s="1280">
        <v>2009</v>
      </c>
      <c r="H607" s="1679" t="s">
        <v>767</v>
      </c>
      <c r="I607" s="1279"/>
      <c r="V607" s="1696" t="s">
        <v>1174</v>
      </c>
      <c r="W607" s="1218">
        <v>2009</v>
      </c>
      <c r="X607" s="1224">
        <v>2009</v>
      </c>
      <c r="Y607" s="1280">
        <v>2009</v>
      </c>
      <c r="Z607" s="1219"/>
      <c r="AA607" s="1218"/>
      <c r="AB607" s="1218"/>
      <c r="AC607" s="1218"/>
      <c r="AD607" s="1218"/>
      <c r="AE607" s="1218"/>
      <c r="AF607" s="1218"/>
      <c r="AG607" s="1218"/>
      <c r="AK607" s="1166"/>
    </row>
    <row r="608" spans="2:37" ht="18" outlineLevel="1" x14ac:dyDescent="0.25">
      <c r="B608" s="1580"/>
      <c r="C608" s="329"/>
      <c r="D608" s="1696" t="s">
        <v>1176</v>
      </c>
      <c r="E608" s="1696" t="s">
        <v>1177</v>
      </c>
      <c r="F608" s="1278" t="s">
        <v>637</v>
      </c>
      <c r="G608" s="1281">
        <v>2545.25</v>
      </c>
      <c r="H608" s="1679" t="s">
        <v>767</v>
      </c>
      <c r="I608" s="1279"/>
      <c r="V608" s="1696" t="s">
        <v>1176</v>
      </c>
      <c r="W608" s="1220">
        <v>2545.25</v>
      </c>
      <c r="X608" s="1229">
        <v>2545.25</v>
      </c>
      <c r="Y608" s="1281">
        <v>2545.25</v>
      </c>
      <c r="Z608" s="1219"/>
      <c r="AA608" s="1220"/>
      <c r="AB608" s="1220"/>
      <c r="AC608" s="1220"/>
      <c r="AD608" s="1220"/>
      <c r="AE608" s="1220"/>
      <c r="AF608" s="1220"/>
      <c r="AG608" s="1220"/>
      <c r="AK608" s="1166"/>
    </row>
    <row r="609" spans="2:37" outlineLevel="1" x14ac:dyDescent="0.25">
      <c r="B609" s="1580"/>
      <c r="C609" s="329"/>
      <c r="D609" s="2971" t="s">
        <v>1179</v>
      </c>
      <c r="E609" s="2971" t="s">
        <v>1180</v>
      </c>
      <c r="F609" s="1278" t="str">
        <f t="shared" ref="F609:F614" si="112">F600</f>
        <v>ECM Fan EUL Replacement -SF</v>
      </c>
      <c r="G609" s="649">
        <v>0.80141304347826092</v>
      </c>
      <c r="H609" s="1679" t="s">
        <v>767</v>
      </c>
      <c r="I609" s="1279"/>
      <c r="V609" s="3019" t="s">
        <v>1179</v>
      </c>
      <c r="W609" s="1219">
        <v>0.97</v>
      </c>
      <c r="X609" s="1223">
        <v>0.97</v>
      </c>
      <c r="Y609" s="649">
        <v>0.80141304347826092</v>
      </c>
      <c r="Z609" s="1219"/>
      <c r="AA609" s="1219"/>
      <c r="AB609" s="1219"/>
      <c r="AC609" s="1219"/>
      <c r="AD609" s="1219"/>
      <c r="AE609" s="1219"/>
      <c r="AF609" s="1219"/>
      <c r="AG609" s="1219"/>
      <c r="AK609" s="1166"/>
    </row>
    <row r="610" spans="2:37" outlineLevel="1" x14ac:dyDescent="0.25">
      <c r="B610" s="1580"/>
      <c r="C610" s="329"/>
      <c r="D610" s="2972"/>
      <c r="E610" s="2972"/>
      <c r="F610" s="1278" t="str">
        <f t="shared" si="112"/>
        <v>ECM Fan Early Replacement ER 1 (Full Cost) - SF</v>
      </c>
      <c r="G610" s="649">
        <v>0.80141304347826092</v>
      </c>
      <c r="H610" s="1679" t="s">
        <v>767</v>
      </c>
      <c r="I610" s="1279"/>
      <c r="V610" s="3019"/>
      <c r="W610" s="1219">
        <v>0</v>
      </c>
      <c r="X610" s="1223">
        <v>0</v>
      </c>
      <c r="Y610" s="649">
        <v>0.80141304347826092</v>
      </c>
      <c r="Z610" s="1219"/>
      <c r="AA610" s="1219"/>
      <c r="AB610" s="1219"/>
      <c r="AC610" s="1219"/>
      <c r="AD610" s="1219"/>
      <c r="AE610" s="1219"/>
      <c r="AF610" s="1219"/>
      <c r="AG610" s="1219"/>
      <c r="AK610" s="1166"/>
    </row>
    <row r="611" spans="2:37" outlineLevel="1" x14ac:dyDescent="0.25">
      <c r="B611" s="1580"/>
      <c r="C611" s="329"/>
      <c r="D611" s="2972"/>
      <c r="E611" s="2972"/>
      <c r="F611" s="1278" t="str">
        <f t="shared" si="112"/>
        <v>ECM Fan Early Replacement ER 2 (Remaining Life) - SF</v>
      </c>
      <c r="G611" s="649">
        <v>0.80141304347826092</v>
      </c>
      <c r="H611" s="1679" t="s">
        <v>767</v>
      </c>
      <c r="I611" s="1279"/>
      <c r="V611" s="3019"/>
      <c r="W611" s="1219">
        <v>0.97</v>
      </c>
      <c r="X611" s="1223">
        <v>0.97</v>
      </c>
      <c r="Y611" s="649">
        <v>0.80141304347826092</v>
      </c>
      <c r="Z611" s="1219"/>
      <c r="AA611" s="1219"/>
      <c r="AB611" s="1219"/>
      <c r="AC611" s="1219"/>
      <c r="AD611" s="1219"/>
      <c r="AE611" s="1219"/>
      <c r="AF611" s="1219"/>
      <c r="AG611" s="1219"/>
      <c r="AK611" s="1166"/>
    </row>
    <row r="612" spans="2:37" outlineLevel="1" x14ac:dyDescent="0.25">
      <c r="B612" s="1580"/>
      <c r="C612" s="329"/>
      <c r="D612" s="2972"/>
      <c r="E612" s="2972"/>
      <c r="F612" s="1278" t="str">
        <f t="shared" si="112"/>
        <v>ECM Fan EUL Replacement - MF</v>
      </c>
      <c r="G612" s="649">
        <v>0.80141304347826092</v>
      </c>
      <c r="H612" s="1679" t="s">
        <v>767</v>
      </c>
      <c r="I612" s="1279"/>
      <c r="V612" s="3019"/>
      <c r="W612" s="1219">
        <v>0.97</v>
      </c>
      <c r="X612" s="1223">
        <v>0.97</v>
      </c>
      <c r="Y612" s="649">
        <v>0.80141304347826092</v>
      </c>
      <c r="Z612" s="1219"/>
      <c r="AA612" s="1219"/>
      <c r="AB612" s="1219"/>
      <c r="AC612" s="1219"/>
      <c r="AD612" s="1219"/>
      <c r="AE612" s="1219"/>
      <c r="AF612" s="1219"/>
      <c r="AG612" s="1219"/>
      <c r="AK612" s="1166"/>
    </row>
    <row r="613" spans="2:37" outlineLevel="1" x14ac:dyDescent="0.25">
      <c r="B613" s="1580"/>
      <c r="C613" s="329"/>
      <c r="D613" s="2972"/>
      <c r="E613" s="2972"/>
      <c r="F613" s="1278" t="str">
        <f t="shared" si="112"/>
        <v>ECM Fan Early Replacement ER 1 (Full Cost) - MF</v>
      </c>
      <c r="G613" s="649">
        <v>0.80141304347826092</v>
      </c>
      <c r="H613" s="1679" t="s">
        <v>767</v>
      </c>
      <c r="I613" s="1279"/>
      <c r="V613" s="3019"/>
      <c r="W613" s="1219">
        <v>0</v>
      </c>
      <c r="X613" s="1223">
        <v>0</v>
      </c>
      <c r="Y613" s="649">
        <v>0.80141304347826092</v>
      </c>
      <c r="Z613" s="1219"/>
      <c r="AA613" s="1219"/>
      <c r="AB613" s="1219"/>
      <c r="AC613" s="1219"/>
      <c r="AD613" s="1219"/>
      <c r="AE613" s="1219"/>
      <c r="AF613" s="1219"/>
      <c r="AG613" s="1219"/>
      <c r="AK613" s="1166"/>
    </row>
    <row r="614" spans="2:37" ht="15.75" outlineLevel="1" thickBot="1" x14ac:dyDescent="0.3">
      <c r="B614" s="1580"/>
      <c r="C614" s="329"/>
      <c r="D614" s="2972"/>
      <c r="E614" s="2972"/>
      <c r="F614" s="1278" t="str">
        <f t="shared" si="112"/>
        <v>ECM Fan Early Replacement ER 2 (Remaining Life) - MF</v>
      </c>
      <c r="G614" s="649">
        <v>0.80141304347826092</v>
      </c>
      <c r="H614" s="1679" t="s">
        <v>767</v>
      </c>
      <c r="I614" s="1279"/>
      <c r="V614" s="3019"/>
      <c r="W614" s="1219">
        <v>0.97</v>
      </c>
      <c r="X614" s="1223">
        <v>0.97</v>
      </c>
      <c r="Y614" s="649">
        <v>0.80141304347826092</v>
      </c>
      <c r="Z614" s="1219"/>
      <c r="AA614" s="1219"/>
      <c r="AB614" s="1219"/>
      <c r="AC614" s="1219"/>
      <c r="AD614" s="1219"/>
      <c r="AE614" s="1219"/>
      <c r="AF614" s="1219"/>
      <c r="AG614" s="1219"/>
      <c r="AK614" s="1166"/>
    </row>
    <row r="615" spans="2:37" ht="15.75" outlineLevel="1" thickBot="1" x14ac:dyDescent="0.3">
      <c r="B615" s="1580"/>
      <c r="C615" s="329"/>
      <c r="D615" s="1987" t="s">
        <v>1181</v>
      </c>
      <c r="E615" s="2181" t="s">
        <v>1182</v>
      </c>
      <c r="F615" s="1670" t="s">
        <v>637</v>
      </c>
      <c r="G615" s="1998">
        <v>70</v>
      </c>
      <c r="H615" s="2987" t="s">
        <v>1173</v>
      </c>
      <c r="I615" s="2642"/>
      <c r="V615" s="1995" t="s">
        <v>1181</v>
      </c>
      <c r="W615" s="1219"/>
      <c r="X615" s="1223"/>
      <c r="Y615" s="1230">
        <v>70</v>
      </c>
      <c r="Z615" s="1219"/>
      <c r="AA615" s="1219"/>
      <c r="AB615" s="1219"/>
      <c r="AC615" s="1219"/>
      <c r="AD615" s="1219"/>
      <c r="AE615" s="1219"/>
      <c r="AF615" s="1219"/>
      <c r="AG615" s="1219"/>
      <c r="AK615" s="1166"/>
    </row>
    <row r="616" spans="2:37" ht="18" outlineLevel="1" x14ac:dyDescent="0.25">
      <c r="B616" s="1580"/>
      <c r="C616" s="329"/>
      <c r="D616" s="841" t="s">
        <v>1184</v>
      </c>
      <c r="E616" s="1696" t="s">
        <v>1185</v>
      </c>
      <c r="F616" s="1278" t="s">
        <v>637</v>
      </c>
      <c r="G616" s="1281">
        <v>1215</v>
      </c>
      <c r="H616" s="1679" t="s">
        <v>767</v>
      </c>
      <c r="I616" s="1279"/>
      <c r="V616" s="841" t="s">
        <v>1184</v>
      </c>
      <c r="W616" s="1220">
        <v>1215</v>
      </c>
      <c r="X616" s="1229">
        <v>1215</v>
      </c>
      <c r="Y616" s="1281">
        <v>1215</v>
      </c>
      <c r="Z616" s="1219"/>
      <c r="AA616" s="1220"/>
      <c r="AB616" s="1220"/>
      <c r="AC616" s="1220"/>
      <c r="AD616" s="1220"/>
      <c r="AE616" s="1220"/>
      <c r="AF616" s="1220"/>
      <c r="AG616" s="1220"/>
      <c r="AK616" s="1166"/>
    </row>
    <row r="617" spans="2:37" ht="18" outlineLevel="1" x14ac:dyDescent="0.25">
      <c r="B617" s="1580"/>
      <c r="C617" s="329"/>
      <c r="D617" s="841" t="s">
        <v>1186</v>
      </c>
      <c r="E617" s="1696" t="s">
        <v>1187</v>
      </c>
      <c r="F617" s="1278" t="s">
        <v>637</v>
      </c>
      <c r="G617" s="1282">
        <v>542.5</v>
      </c>
      <c r="H617" s="1679" t="s">
        <v>767</v>
      </c>
      <c r="I617" s="1279"/>
      <c r="V617" s="841" t="s">
        <v>1186</v>
      </c>
      <c r="W617" s="1212">
        <v>542.5</v>
      </c>
      <c r="X617" s="1210">
        <v>542.5</v>
      </c>
      <c r="Y617" s="1282">
        <v>542.5</v>
      </c>
      <c r="Z617" s="1219"/>
      <c r="AA617" s="1212"/>
      <c r="AB617" s="1212"/>
      <c r="AC617" s="1212"/>
      <c r="AD617" s="1212"/>
      <c r="AE617" s="1212"/>
      <c r="AF617" s="1212"/>
      <c r="AG617" s="1212"/>
      <c r="AK617" s="1166"/>
    </row>
    <row r="618" spans="2:37" outlineLevel="1" x14ac:dyDescent="0.25">
      <c r="B618" s="1580"/>
      <c r="C618" s="329"/>
      <c r="D618" s="1995" t="s">
        <v>1188</v>
      </c>
      <c r="E618" s="1696" t="s">
        <v>1189</v>
      </c>
      <c r="F618" s="1670" t="s">
        <v>637</v>
      </c>
      <c r="G618" s="1242">
        <v>25</v>
      </c>
      <c r="H618" s="2999" t="s">
        <v>1173</v>
      </c>
      <c r="I618" s="3024"/>
      <c r="V618" s="1995" t="s">
        <v>1188</v>
      </c>
      <c r="W618" s="1212"/>
      <c r="X618" s="1210"/>
      <c r="Y618" s="1230">
        <v>25</v>
      </c>
      <c r="Z618" s="1219"/>
      <c r="AA618" s="1212"/>
      <c r="AB618" s="1212"/>
      <c r="AC618" s="1212"/>
      <c r="AD618" s="1212"/>
      <c r="AE618" s="1212"/>
      <c r="AF618" s="1212"/>
      <c r="AG618" s="1212"/>
      <c r="AK618" s="1166"/>
    </row>
    <row r="619" spans="2:37" outlineLevel="1" x14ac:dyDescent="0.25">
      <c r="B619" s="1580"/>
      <c r="C619" s="329"/>
      <c r="D619" s="1995" t="s">
        <v>1190</v>
      </c>
      <c r="E619" s="1696" t="s">
        <v>1191</v>
      </c>
      <c r="F619" s="1670" t="s">
        <v>637</v>
      </c>
      <c r="G619" s="1242">
        <v>2960</v>
      </c>
      <c r="H619" s="3025"/>
      <c r="I619" s="3026"/>
      <c r="V619" s="1995" t="s">
        <v>1190</v>
      </c>
      <c r="W619" s="1212"/>
      <c r="X619" s="1210"/>
      <c r="Y619" s="844">
        <v>2960</v>
      </c>
      <c r="Z619" s="1212"/>
      <c r="AA619" s="1212"/>
      <c r="AB619" s="1212"/>
      <c r="AC619" s="1212"/>
      <c r="AD619" s="1212"/>
      <c r="AE619" s="1212"/>
      <c r="AF619" s="1212"/>
      <c r="AG619" s="1212"/>
      <c r="AK619" s="1166"/>
    </row>
    <row r="620" spans="2:37" ht="24.75" customHeight="1" outlineLevel="1" x14ac:dyDescent="0.25">
      <c r="B620" s="1580"/>
      <c r="C620" s="329"/>
      <c r="D620" s="2749" t="s">
        <v>1192</v>
      </c>
      <c r="E620" s="2750" t="s">
        <v>1193</v>
      </c>
      <c r="F620" s="1670" t="s">
        <v>1194</v>
      </c>
      <c r="G620" s="849">
        <v>8.8084612296306403E-2</v>
      </c>
      <c r="H620" s="1232" t="s">
        <v>1195</v>
      </c>
      <c r="I620" s="3027"/>
      <c r="V620" s="2749" t="s">
        <v>1192</v>
      </c>
      <c r="W620" s="1212"/>
      <c r="X620" s="1210"/>
      <c r="Y620" s="848">
        <v>8.8084612296306403E-2</v>
      </c>
      <c r="Z620" s="1212"/>
      <c r="AA620" s="1212"/>
      <c r="AB620" s="1212"/>
      <c r="AC620" s="1212"/>
      <c r="AD620" s="1212"/>
      <c r="AE620" s="1212"/>
      <c r="AF620" s="1212"/>
      <c r="AG620" s="1212"/>
      <c r="AK620" s="1166"/>
    </row>
    <row r="621" spans="2:37" ht="24.75" customHeight="1" outlineLevel="1" x14ac:dyDescent="0.25">
      <c r="B621" s="1580"/>
      <c r="C621" s="329"/>
      <c r="D621" s="2749"/>
      <c r="E621" s="2750"/>
      <c r="F621" s="1670" t="s">
        <v>1196</v>
      </c>
      <c r="G621" s="849">
        <v>8.8084612296306403E-2</v>
      </c>
      <c r="H621" s="1232" t="s">
        <v>1195</v>
      </c>
      <c r="I621" s="3028"/>
      <c r="V621" s="2749"/>
      <c r="W621" s="1212"/>
      <c r="X621" s="1210"/>
      <c r="Y621" s="848">
        <v>8.8084612296306403E-2</v>
      </c>
      <c r="Z621" s="1212"/>
      <c r="AA621" s="1212"/>
      <c r="AB621" s="1212"/>
      <c r="AC621" s="1212"/>
      <c r="AD621" s="1212"/>
      <c r="AE621" s="1212"/>
      <c r="AF621" s="1212"/>
      <c r="AG621" s="1212"/>
      <c r="AK621" s="1166"/>
    </row>
    <row r="622" spans="2:37" ht="15.75" customHeight="1" outlineLevel="1" thickBot="1" x14ac:dyDescent="0.3">
      <c r="B622" s="1580"/>
      <c r="C622" s="329"/>
      <c r="D622" s="1997" t="s">
        <v>1197</v>
      </c>
      <c r="E622" s="1695" t="s">
        <v>1198</v>
      </c>
      <c r="F622" s="1670" t="s">
        <v>637</v>
      </c>
      <c r="G622" s="1998">
        <v>30</v>
      </c>
      <c r="H622" s="2987" t="s">
        <v>1173</v>
      </c>
      <c r="I622" s="2642"/>
      <c r="V622" s="1995" t="s">
        <v>1197</v>
      </c>
      <c r="W622" s="1219"/>
      <c r="X622" s="1223"/>
      <c r="Y622" s="1230">
        <v>30</v>
      </c>
      <c r="Z622" s="1219"/>
      <c r="AA622" s="1219"/>
      <c r="AB622" s="1219"/>
      <c r="AC622" s="1219"/>
      <c r="AD622" s="1219"/>
      <c r="AE622" s="1219"/>
      <c r="AF622" s="1219"/>
      <c r="AG622" s="1219"/>
      <c r="AK622" s="1166"/>
    </row>
    <row r="623" spans="2:37" outlineLevel="1" x14ac:dyDescent="0.25">
      <c r="B623" s="1580"/>
      <c r="C623" s="329"/>
      <c r="D623" s="3020" t="s">
        <v>775</v>
      </c>
      <c r="E623" s="3020"/>
      <c r="F623" s="1278" t="s">
        <v>1852</v>
      </c>
      <c r="G623" s="649">
        <v>1</v>
      </c>
      <c r="H623" s="1279"/>
      <c r="I623" s="1279"/>
      <c r="V623" s="3023" t="s">
        <v>775</v>
      </c>
      <c r="W623" s="1219">
        <v>1</v>
      </c>
      <c r="X623" s="1223">
        <v>1</v>
      </c>
      <c r="Y623" s="649">
        <v>1</v>
      </c>
      <c r="Z623" s="1219"/>
      <c r="AA623" s="1219"/>
      <c r="AB623" s="1219"/>
      <c r="AC623" s="1219"/>
      <c r="AD623" s="1219"/>
      <c r="AE623" s="1219"/>
      <c r="AF623" s="1219"/>
      <c r="AG623" s="1219"/>
      <c r="AK623" s="1166"/>
    </row>
    <row r="624" spans="2:37" outlineLevel="1" x14ac:dyDescent="0.25">
      <c r="B624" s="1580"/>
      <c r="C624" s="329"/>
      <c r="D624" s="3021"/>
      <c r="E624" s="3021"/>
      <c r="F624" s="1278" t="s">
        <v>1877</v>
      </c>
      <c r="G624" s="649">
        <v>1</v>
      </c>
      <c r="H624" s="1279"/>
      <c r="I624" s="1279"/>
      <c r="V624" s="3023"/>
      <c r="W624" s="1219">
        <v>1</v>
      </c>
      <c r="X624" s="1223">
        <v>1</v>
      </c>
      <c r="Y624" s="649">
        <v>1</v>
      </c>
      <c r="Z624" s="1219"/>
      <c r="AA624" s="1219"/>
      <c r="AB624" s="1219"/>
      <c r="AC624" s="1219"/>
      <c r="AD624" s="1219"/>
      <c r="AE624" s="1219"/>
      <c r="AF624" s="1219"/>
      <c r="AG624" s="1219"/>
      <c r="AK624" s="1166"/>
    </row>
    <row r="625" spans="2:37" ht="45" customHeight="1" outlineLevel="1" x14ac:dyDescent="0.25">
      <c r="B625" s="1580"/>
      <c r="C625" s="329"/>
      <c r="D625" s="3021"/>
      <c r="E625" s="3021"/>
      <c r="F625" s="1278" t="s">
        <v>1878</v>
      </c>
      <c r="G625" s="649">
        <v>1</v>
      </c>
      <c r="H625" s="1279"/>
      <c r="I625" s="1279"/>
      <c r="M625" s="2722" t="s">
        <v>659</v>
      </c>
      <c r="N625" s="2770"/>
      <c r="O625" s="2770"/>
      <c r="P625" s="2726"/>
      <c r="R625" s="177"/>
      <c r="S625" s="177"/>
      <c r="V625" s="3023"/>
      <c r="W625" s="1219">
        <v>1</v>
      </c>
      <c r="X625" s="1223">
        <v>1</v>
      </c>
      <c r="Y625" s="649">
        <v>1</v>
      </c>
      <c r="Z625" s="1219"/>
      <c r="AA625" s="1219"/>
      <c r="AB625" s="1219"/>
      <c r="AC625" s="1219"/>
      <c r="AD625" s="1219"/>
      <c r="AE625" s="1219"/>
      <c r="AF625" s="1219"/>
      <c r="AG625" s="1219"/>
      <c r="AK625" s="1166"/>
    </row>
    <row r="626" spans="2:37" outlineLevel="1" x14ac:dyDescent="0.25">
      <c r="B626" s="1580"/>
      <c r="C626" s="329"/>
      <c r="D626" s="3021"/>
      <c r="E626" s="3021"/>
      <c r="F626" s="1278" t="s">
        <v>1862</v>
      </c>
      <c r="G626" s="649">
        <v>1</v>
      </c>
      <c r="H626" s="1279"/>
      <c r="I626" s="1279"/>
      <c r="M626" s="1645"/>
      <c r="N626" s="1649"/>
      <c r="O626" s="1646" t="s">
        <v>3398</v>
      </c>
      <c r="P626" s="1659" t="s">
        <v>3357</v>
      </c>
      <c r="R626" s="1283"/>
      <c r="S626" s="177"/>
      <c r="V626" s="3023"/>
      <c r="W626" s="1219">
        <v>1</v>
      </c>
      <c r="X626" s="1223">
        <v>1</v>
      </c>
      <c r="Y626" s="649">
        <v>1</v>
      </c>
      <c r="Z626" s="1219"/>
      <c r="AA626" s="1219"/>
      <c r="AB626" s="1219"/>
      <c r="AC626" s="1219"/>
      <c r="AD626" s="1219"/>
      <c r="AE626" s="1219"/>
      <c r="AF626" s="1219"/>
      <c r="AG626" s="1219"/>
      <c r="AK626" s="1166"/>
    </row>
    <row r="627" spans="2:37" outlineLevel="1" x14ac:dyDescent="0.25">
      <c r="B627" s="1580"/>
      <c r="C627" s="329"/>
      <c r="D627" s="3021"/>
      <c r="E627" s="3021"/>
      <c r="F627" s="1278" t="s">
        <v>1881</v>
      </c>
      <c r="G627" s="649">
        <v>1</v>
      </c>
      <c r="H627" s="1279"/>
      <c r="I627" s="1279"/>
      <c r="M627" s="2768" t="s">
        <v>1882</v>
      </c>
      <c r="N627" s="2769"/>
      <c r="O627" s="1561">
        <f>($O$633/1+P627)-$O$632/((1+$O$635)^($O$636-1))</f>
        <v>74.327224020150311</v>
      </c>
      <c r="P627" s="867">
        <v>0</v>
      </c>
      <c r="Q627" s="177"/>
      <c r="S627" s="177"/>
      <c r="V627" s="3023"/>
      <c r="W627" s="1219">
        <v>1</v>
      </c>
      <c r="X627" s="1223">
        <v>1</v>
      </c>
      <c r="Y627" s="649">
        <v>1</v>
      </c>
      <c r="Z627" s="1219"/>
      <c r="AA627" s="1219"/>
      <c r="AB627" s="1219"/>
      <c r="AC627" s="1219"/>
      <c r="AD627" s="1219"/>
      <c r="AE627" s="1219"/>
      <c r="AF627" s="1219"/>
      <c r="AG627" s="1219"/>
      <c r="AK627" s="1166"/>
    </row>
    <row r="628" spans="2:37" outlineLevel="1" x14ac:dyDescent="0.25">
      <c r="B628" s="1580"/>
      <c r="C628" s="329"/>
      <c r="D628" s="3022"/>
      <c r="E628" s="3022"/>
      <c r="F628" s="1278" t="s">
        <v>1883</v>
      </c>
      <c r="G628" s="649">
        <v>1</v>
      </c>
      <c r="H628" s="1279"/>
      <c r="I628" s="1279"/>
      <c r="M628" s="177"/>
      <c r="N628" s="177"/>
      <c r="O628" s="177"/>
      <c r="P628" s="333"/>
      <c r="Q628" s="177"/>
      <c r="R628" s="177"/>
      <c r="S628" s="177"/>
      <c r="V628" s="3023"/>
      <c r="W628" s="1219">
        <v>1</v>
      </c>
      <c r="X628" s="1223">
        <v>1</v>
      </c>
      <c r="Y628" s="649">
        <v>1</v>
      </c>
      <c r="Z628" s="1219"/>
      <c r="AA628" s="1219"/>
      <c r="AB628" s="1219"/>
      <c r="AC628" s="1219"/>
      <c r="AD628" s="1219"/>
      <c r="AE628" s="1219"/>
      <c r="AF628" s="1219"/>
      <c r="AG628" s="1219"/>
      <c r="AK628" s="1166"/>
    </row>
    <row r="629" spans="2:37" outlineLevel="1" x14ac:dyDescent="0.25">
      <c r="B629" s="1580"/>
      <c r="C629" s="329"/>
      <c r="D629" s="3029" t="str">
        <f>D573</f>
        <v>EUL</v>
      </c>
      <c r="E629" s="3029"/>
      <c r="F629" s="1278" t="s">
        <v>1852</v>
      </c>
      <c r="G629" s="1284">
        <v>20</v>
      </c>
      <c r="H629" s="1279"/>
      <c r="I629" s="1279"/>
      <c r="M629" s="177"/>
      <c r="N629" s="177"/>
      <c r="O629" s="177"/>
      <c r="P629" s="333"/>
      <c r="Q629" s="177"/>
      <c r="R629" s="177"/>
      <c r="S629" s="177"/>
      <c r="V629" s="3030" t="str">
        <f>V573</f>
        <v>EUL</v>
      </c>
      <c r="W629" s="1285">
        <v>20</v>
      </c>
      <c r="X629" s="1286">
        <v>20</v>
      </c>
      <c r="Y629" s="1284">
        <v>20</v>
      </c>
      <c r="Z629" s="1285"/>
      <c r="AA629" s="1285"/>
      <c r="AB629" s="1285"/>
      <c r="AC629" s="1285"/>
      <c r="AD629" s="1285"/>
      <c r="AE629" s="1285"/>
      <c r="AF629" s="1285"/>
      <c r="AG629" s="1285"/>
      <c r="AK629" s="1166"/>
    </row>
    <row r="630" spans="2:37" outlineLevel="1" x14ac:dyDescent="0.25">
      <c r="B630" s="1580"/>
      <c r="C630" s="329"/>
      <c r="D630" s="3021"/>
      <c r="E630" s="3021"/>
      <c r="F630" s="1278" t="s">
        <v>1877</v>
      </c>
      <c r="G630" s="1284">
        <v>6</v>
      </c>
      <c r="H630" s="1279"/>
      <c r="I630" s="1279"/>
      <c r="M630" s="177"/>
      <c r="N630" s="177"/>
      <c r="O630" s="177"/>
      <c r="P630" s="333"/>
      <c r="Q630" s="177"/>
      <c r="R630" s="177"/>
      <c r="S630" s="177"/>
      <c r="V630" s="3023"/>
      <c r="W630" s="1285">
        <v>6</v>
      </c>
      <c r="X630" s="1286">
        <v>6</v>
      </c>
      <c r="Y630" s="1284">
        <v>6</v>
      </c>
      <c r="Z630" s="1285"/>
      <c r="AA630" s="1285"/>
      <c r="AB630" s="1285"/>
      <c r="AC630" s="1285"/>
      <c r="AD630" s="1285"/>
      <c r="AE630" s="1285"/>
      <c r="AF630" s="1285"/>
      <c r="AG630" s="1285"/>
      <c r="AK630" s="1166"/>
    </row>
    <row r="631" spans="2:37" outlineLevel="1" x14ac:dyDescent="0.25">
      <c r="B631" s="1580"/>
      <c r="C631" s="329"/>
      <c r="D631" s="3021"/>
      <c r="E631" s="3021"/>
      <c r="F631" s="1278" t="s">
        <v>1878</v>
      </c>
      <c r="G631" s="1284">
        <v>12</v>
      </c>
      <c r="H631" s="1279"/>
      <c r="I631" s="1279"/>
      <c r="M631" s="2722" t="s">
        <v>1201</v>
      </c>
      <c r="N631" s="2770"/>
      <c r="O631" s="2726"/>
      <c r="P631" s="333"/>
      <c r="Q631" s="177"/>
      <c r="R631" s="177"/>
      <c r="S631" s="177"/>
      <c r="V631" s="3023"/>
      <c r="W631" s="1285">
        <v>12</v>
      </c>
      <c r="X631" s="1286">
        <v>12</v>
      </c>
      <c r="Y631" s="1284">
        <v>12</v>
      </c>
      <c r="Z631" s="1285"/>
      <c r="AA631" s="1285"/>
      <c r="AB631" s="1285"/>
      <c r="AC631" s="1285"/>
      <c r="AD631" s="1285"/>
      <c r="AE631" s="1285"/>
      <c r="AF631" s="1285"/>
      <c r="AG631" s="1285"/>
      <c r="AK631" s="1166"/>
    </row>
    <row r="632" spans="2:37" outlineLevel="1" x14ac:dyDescent="0.25">
      <c r="B632" s="1580"/>
      <c r="C632" s="329"/>
      <c r="D632" s="3021"/>
      <c r="E632" s="3021"/>
      <c r="F632" s="1278" t="s">
        <v>1862</v>
      </c>
      <c r="G632" s="1284">
        <v>20</v>
      </c>
      <c r="H632" s="1279"/>
      <c r="I632" s="1279"/>
      <c r="M632" s="2763" t="s">
        <v>1202</v>
      </c>
      <c r="N632" s="2764"/>
      <c r="O632" s="874">
        <f>O633*(1+O634)^O636</f>
        <v>534.92714915040006</v>
      </c>
      <c r="P632" s="333"/>
      <c r="Q632" s="177"/>
      <c r="R632" s="177"/>
      <c r="S632" s="177"/>
      <c r="V632" s="3023"/>
      <c r="W632" s="1285">
        <v>20</v>
      </c>
      <c r="X632" s="1286">
        <v>20</v>
      </c>
      <c r="Y632" s="1284">
        <v>20</v>
      </c>
      <c r="Z632" s="1285"/>
      <c r="AA632" s="1285"/>
      <c r="AB632" s="1285"/>
      <c r="AC632" s="1285"/>
      <c r="AD632" s="1285"/>
      <c r="AE632" s="1285"/>
      <c r="AF632" s="1285"/>
      <c r="AG632" s="1285"/>
      <c r="AK632" s="1166"/>
    </row>
    <row r="633" spans="2:37" outlineLevel="1" x14ac:dyDescent="0.25">
      <c r="B633" s="1580"/>
      <c r="C633" s="329"/>
      <c r="D633" s="3021"/>
      <c r="E633" s="3021"/>
      <c r="F633" s="1278" t="s">
        <v>1881</v>
      </c>
      <c r="G633" s="1284">
        <v>6</v>
      </c>
      <c r="H633" s="1279"/>
      <c r="I633" s="1279"/>
      <c r="M633" s="2763" t="s">
        <v>1203</v>
      </c>
      <c r="N633" s="2764"/>
      <c r="O633" s="876">
        <v>475</v>
      </c>
      <c r="P633" s="1564" t="s">
        <v>1204</v>
      </c>
      <c r="Q633" s="177"/>
      <c r="R633" s="177"/>
      <c r="S633" s="177"/>
      <c r="V633" s="3023"/>
      <c r="W633" s="1285">
        <v>6</v>
      </c>
      <c r="X633" s="1286">
        <v>6</v>
      </c>
      <c r="Y633" s="1284">
        <v>6</v>
      </c>
      <c r="Z633" s="1285"/>
      <c r="AA633" s="1285"/>
      <c r="AB633" s="1285"/>
      <c r="AC633" s="1285"/>
      <c r="AD633" s="1285"/>
      <c r="AE633" s="1285"/>
      <c r="AF633" s="1285"/>
      <c r="AG633" s="1285"/>
      <c r="AK633" s="1166"/>
    </row>
    <row r="634" spans="2:37" ht="15" customHeight="1" outlineLevel="1" x14ac:dyDescent="0.25">
      <c r="B634" s="1580"/>
      <c r="C634" s="329"/>
      <c r="D634" s="3022"/>
      <c r="E634" s="3022"/>
      <c r="F634" s="1278" t="s">
        <v>1883</v>
      </c>
      <c r="G634" s="1284">
        <v>12</v>
      </c>
      <c r="H634" s="1279"/>
      <c r="I634" s="1279"/>
      <c r="M634" s="2763" t="s">
        <v>1205</v>
      </c>
      <c r="N634" s="2764"/>
      <c r="O634" s="877">
        <v>0.02</v>
      </c>
      <c r="P634" s="333"/>
      <c r="Q634" s="177"/>
      <c r="R634" s="177"/>
      <c r="S634" s="177"/>
      <c r="V634" s="3023"/>
      <c r="W634" s="1285">
        <v>12</v>
      </c>
      <c r="X634" s="1286">
        <v>12</v>
      </c>
      <c r="Y634" s="1284">
        <v>12</v>
      </c>
      <c r="Z634" s="1285"/>
      <c r="AA634" s="1285"/>
      <c r="AB634" s="1285"/>
      <c r="AC634" s="1285"/>
      <c r="AD634" s="1285"/>
      <c r="AE634" s="1285"/>
      <c r="AF634" s="1285"/>
      <c r="AG634" s="1285"/>
      <c r="AK634" s="1166"/>
    </row>
    <row r="635" spans="2:37" ht="15" customHeight="1" outlineLevel="1" x14ac:dyDescent="0.25">
      <c r="B635" s="1580"/>
      <c r="C635" s="329"/>
      <c r="D635" s="3029" t="str">
        <f>D574</f>
        <v>Inc. Cost</v>
      </c>
      <c r="E635" s="3029"/>
      <c r="F635" s="1278" t="s">
        <v>1852</v>
      </c>
      <c r="G635" s="1648">
        <f>O627</f>
        <v>74.327224020150311</v>
      </c>
      <c r="H635" s="1279"/>
      <c r="I635" s="1279"/>
      <c r="M635" s="2774" t="s">
        <v>1206</v>
      </c>
      <c r="N635" s="2775"/>
      <c r="O635" s="877">
        <v>5.9499999999999997E-2</v>
      </c>
      <c r="P635" s="333"/>
      <c r="Q635" s="177"/>
      <c r="R635" s="177"/>
      <c r="S635" s="177"/>
      <c r="V635" s="3030" t="str">
        <f>V574</f>
        <v>Inc. Cost</v>
      </c>
      <c r="W635" s="1214">
        <v>97</v>
      </c>
      <c r="X635" s="1179">
        <v>97</v>
      </c>
      <c r="Y635" s="740">
        <f>'HVAC Deemed Table'!Q88</f>
        <v>74.327224020150311</v>
      </c>
      <c r="Z635" s="1214"/>
      <c r="AA635" s="1214"/>
      <c r="AB635" s="1214"/>
      <c r="AC635" s="1214"/>
      <c r="AD635" s="1214"/>
      <c r="AE635" s="1214"/>
      <c r="AF635" s="1214"/>
      <c r="AG635" s="1214"/>
      <c r="AK635" s="1166"/>
    </row>
    <row r="636" spans="2:37" ht="15" customHeight="1" outlineLevel="1" x14ac:dyDescent="0.25">
      <c r="B636" s="1580"/>
      <c r="C636" s="329"/>
      <c r="D636" s="3021"/>
      <c r="E636" s="3021"/>
      <c r="F636" s="1278" t="s">
        <v>1877</v>
      </c>
      <c r="G636" s="1648">
        <f>O633</f>
        <v>475</v>
      </c>
      <c r="H636" s="1279"/>
      <c r="I636" s="1279"/>
      <c r="M636" s="878" t="s">
        <v>1207</v>
      </c>
      <c r="N636" s="879"/>
      <c r="O636" s="876">
        <v>6</v>
      </c>
      <c r="P636" s="333"/>
      <c r="Q636" s="177"/>
      <c r="R636" s="177"/>
      <c r="S636" s="177"/>
      <c r="V636" s="3023"/>
      <c r="W636" s="1214">
        <v>475</v>
      </c>
      <c r="X636" s="1179">
        <v>475</v>
      </c>
      <c r="Y636" s="609">
        <f>'HVAC Deemed Table'!Q94</f>
        <v>475</v>
      </c>
      <c r="Z636" s="1214"/>
      <c r="AA636" s="1214"/>
      <c r="AB636" s="1214"/>
      <c r="AC636" s="1214"/>
      <c r="AD636" s="1214"/>
      <c r="AE636" s="1214"/>
      <c r="AF636" s="1214"/>
      <c r="AG636" s="1214"/>
      <c r="AK636" s="1166"/>
    </row>
    <row r="637" spans="2:37" ht="15" customHeight="1" outlineLevel="1" x14ac:dyDescent="0.25">
      <c r="B637" s="1580"/>
      <c r="C637" s="329"/>
      <c r="D637" s="3021"/>
      <c r="E637" s="3021"/>
      <c r="F637" s="1278" t="s">
        <v>1878</v>
      </c>
      <c r="G637" s="1648"/>
      <c r="H637" s="1279"/>
      <c r="I637" s="1279"/>
      <c r="V637" s="3023"/>
      <c r="W637" s="1214"/>
      <c r="X637" s="1179"/>
      <c r="Y637" s="609"/>
      <c r="Z637" s="1214"/>
      <c r="AA637" s="1214"/>
      <c r="AB637" s="1214"/>
      <c r="AC637" s="1214"/>
      <c r="AD637" s="1214"/>
      <c r="AE637" s="1214"/>
      <c r="AF637" s="1214"/>
      <c r="AG637" s="1214"/>
      <c r="AK637" s="1166"/>
    </row>
    <row r="638" spans="2:37" outlineLevel="1" x14ac:dyDescent="0.25">
      <c r="B638" s="1580"/>
      <c r="C638" s="329"/>
      <c r="D638" s="3021"/>
      <c r="E638" s="3021"/>
      <c r="F638" s="1278" t="s">
        <v>1862</v>
      </c>
      <c r="G638" s="1648">
        <f>O627</f>
        <v>74.327224020150311</v>
      </c>
      <c r="H638" s="1279"/>
      <c r="I638" s="1279"/>
      <c r="V638" s="3023"/>
      <c r="W638" s="1214">
        <v>97</v>
      </c>
      <c r="X638" s="1179">
        <v>97</v>
      </c>
      <c r="Y638" s="740">
        <f>'HVAC Deemed Table'!Q88</f>
        <v>74.327224020150311</v>
      </c>
      <c r="Z638" s="1214"/>
      <c r="AA638" s="1214"/>
      <c r="AB638" s="1214"/>
      <c r="AC638" s="1214"/>
      <c r="AD638" s="1214"/>
      <c r="AE638" s="1214"/>
      <c r="AF638" s="1214"/>
      <c r="AG638" s="1214"/>
      <c r="AK638" s="1166"/>
    </row>
    <row r="639" spans="2:37" outlineLevel="1" x14ac:dyDescent="0.25">
      <c r="B639" s="1580"/>
      <c r="C639" s="329"/>
      <c r="D639" s="3021"/>
      <c r="E639" s="3021"/>
      <c r="F639" s="1278" t="s">
        <v>1881</v>
      </c>
      <c r="G639" s="1648">
        <f>O633</f>
        <v>475</v>
      </c>
      <c r="H639" s="1279"/>
      <c r="I639" s="1279"/>
      <c r="V639" s="3023"/>
      <c r="W639" s="1214">
        <v>475</v>
      </c>
      <c r="X639" s="1179">
        <v>475</v>
      </c>
      <c r="Y639" s="609">
        <f>'HVAC Deemed Table'!Q94</f>
        <v>475</v>
      </c>
      <c r="Z639" s="1214"/>
      <c r="AA639" s="1214"/>
      <c r="AB639" s="1214"/>
      <c r="AC639" s="1214"/>
      <c r="AD639" s="1214"/>
      <c r="AE639" s="1214"/>
      <c r="AF639" s="1214"/>
      <c r="AG639" s="1214"/>
      <c r="AK639" s="1166"/>
    </row>
    <row r="640" spans="2:37" outlineLevel="1" x14ac:dyDescent="0.25">
      <c r="B640" s="1580"/>
      <c r="C640" s="329"/>
      <c r="D640" s="3022"/>
      <c r="E640" s="3022"/>
      <c r="F640" s="1278" t="s">
        <v>1883</v>
      </c>
      <c r="G640" s="1648"/>
      <c r="H640" s="1279"/>
      <c r="I640" s="1279"/>
      <c r="V640" s="3023"/>
      <c r="W640" s="1214"/>
      <c r="X640" s="1179"/>
      <c r="Y640" s="609"/>
      <c r="Z640" s="1214"/>
      <c r="AA640" s="1214"/>
      <c r="AB640" s="1214"/>
      <c r="AC640" s="1214"/>
      <c r="AD640" s="1214"/>
      <c r="AE640" s="1214"/>
      <c r="AF640" s="1214"/>
      <c r="AG640" s="1214"/>
      <c r="AK640" s="1166"/>
    </row>
    <row r="641" spans="1:57" x14ac:dyDescent="0.25">
      <c r="AK641" s="1166"/>
    </row>
    <row r="642" spans="1:57" x14ac:dyDescent="0.25">
      <c r="AK642" s="1166"/>
    </row>
    <row r="643" spans="1:57" s="229" customFormat="1" x14ac:dyDescent="0.25">
      <c r="B643" s="2639" t="s">
        <v>1884</v>
      </c>
      <c r="C643" s="2640"/>
      <c r="D643" s="2640"/>
      <c r="E643" s="2640"/>
      <c r="F643" s="2640"/>
      <c r="G643" s="2640"/>
      <c r="H643" s="2640"/>
      <c r="I643" s="2641"/>
      <c r="J643" s="2641"/>
      <c r="K643" s="2641"/>
      <c r="L643" s="2641"/>
      <c r="M643" s="2641"/>
      <c r="N643" s="2641"/>
      <c r="O643" s="2642"/>
      <c r="P643" s="2639"/>
      <c r="Q643" s="2640"/>
      <c r="R643" s="2640"/>
      <c r="V643" s="2639" t="str">
        <f>B643</f>
        <v>Heat Pump (HP) Tune-up</v>
      </c>
      <c r="W643" s="2640"/>
      <c r="X643" s="2640"/>
      <c r="Y643" s="2640"/>
      <c r="Z643" s="2640"/>
      <c r="AA643" s="2640"/>
      <c r="AB643" s="2640"/>
      <c r="AC643" s="2615"/>
      <c r="AD643" s="2615"/>
      <c r="AE643" s="2615"/>
      <c r="AF643" s="2615"/>
      <c r="AG643" s="2615"/>
      <c r="AH643" s="2615"/>
      <c r="AI643" s="2616"/>
      <c r="AK643" s="1166"/>
      <c r="BB643" s="1116"/>
    </row>
    <row r="644" spans="1:57" s="43" customFormat="1" x14ac:dyDescent="0.25">
      <c r="A644" s="233"/>
      <c r="B644" s="233"/>
      <c r="C644" s="231"/>
      <c r="D644" s="456" t="s">
        <v>1608</v>
      </c>
      <c r="E644" s="232"/>
      <c r="F644" s="233"/>
      <c r="G644" s="233"/>
      <c r="H644" s="233"/>
      <c r="I644" s="233"/>
      <c r="J644" s="233"/>
      <c r="K644" s="233"/>
      <c r="L644" s="233"/>
      <c r="M644" s="233"/>
      <c r="N644" s="233"/>
      <c r="O644" s="233"/>
      <c r="P644" s="233"/>
      <c r="Q644" s="233"/>
      <c r="R644" s="233"/>
      <c r="S644" s="233"/>
      <c r="T644" s="233"/>
      <c r="U644" s="233"/>
      <c r="V644" s="328"/>
      <c r="W644" s="328"/>
      <c r="X644" s="328"/>
      <c r="Y644" s="833"/>
      <c r="Z644" s="328"/>
      <c r="AA644" s="328"/>
      <c r="AB644" s="328"/>
      <c r="AC644" s="328"/>
      <c r="AD644" s="328"/>
      <c r="AE644" s="328"/>
      <c r="AF644" s="328"/>
      <c r="AG644" s="328"/>
      <c r="AH644" s="328"/>
      <c r="AI644" s="328"/>
      <c r="AK644" s="1166"/>
      <c r="BB644" s="1287"/>
    </row>
    <row r="645" spans="1:57" s="1288" customFormat="1" ht="48.75" customHeight="1" x14ac:dyDescent="0.25">
      <c r="A645" s="2182"/>
      <c r="B645" s="2182"/>
      <c r="C645" s="1641" t="s">
        <v>17</v>
      </c>
      <c r="D645" s="1641" t="s">
        <v>662</v>
      </c>
      <c r="E645" s="1641" t="s">
        <v>19</v>
      </c>
      <c r="F645" s="1641" t="s">
        <v>20</v>
      </c>
      <c r="G645" s="1641" t="s">
        <v>21</v>
      </c>
      <c r="H645" s="1641" t="s">
        <v>22</v>
      </c>
      <c r="I645" s="1641" t="s">
        <v>23</v>
      </c>
      <c r="J645" s="1646" t="s">
        <v>24</v>
      </c>
      <c r="K645" s="1641" t="s">
        <v>25</v>
      </c>
      <c r="L645" s="1641" t="s">
        <v>26</v>
      </c>
      <c r="M645" s="1197"/>
      <c r="N645" s="1197"/>
      <c r="O645" s="1197"/>
      <c r="P645" s="1197"/>
      <c r="Q645" s="1197"/>
      <c r="R645" s="1197"/>
      <c r="S645" s="2182"/>
      <c r="T645" s="2182"/>
      <c r="U645" s="2182"/>
      <c r="V645" s="55" t="s">
        <v>27</v>
      </c>
      <c r="W645" s="56">
        <f>W$6</f>
        <v>43252</v>
      </c>
      <c r="X645" s="56">
        <f t="shared" ref="X645:AG645" si="113">X$6</f>
        <v>43465</v>
      </c>
      <c r="Y645" s="500">
        <f t="shared" si="113"/>
        <v>43800</v>
      </c>
      <c r="Z645" s="56">
        <f t="shared" si="113"/>
        <v>43862</v>
      </c>
      <c r="AA645" s="56" t="str">
        <f t="shared" si="113"/>
        <v>-</v>
      </c>
      <c r="AB645" s="56" t="str">
        <f t="shared" si="113"/>
        <v>-</v>
      </c>
      <c r="AC645" s="56" t="str">
        <f t="shared" si="113"/>
        <v>-</v>
      </c>
      <c r="AD645" s="56" t="str">
        <f t="shared" si="113"/>
        <v>-</v>
      </c>
      <c r="AE645" s="56" t="str">
        <f t="shared" si="113"/>
        <v>-</v>
      </c>
      <c r="AF645" s="56" t="str">
        <f t="shared" si="113"/>
        <v>-</v>
      </c>
      <c r="AG645" s="56" t="str">
        <f t="shared" si="113"/>
        <v>-</v>
      </c>
      <c r="AH645" s="328"/>
      <c r="AI645" s="328"/>
      <c r="AK645" s="1166"/>
      <c r="BB645" s="57" t="str">
        <f>$BB$6</f>
        <v>TRC (2020)</v>
      </c>
      <c r="BC645" s="103" t="str">
        <f>$BC$6</f>
        <v>Benefit Lookup</v>
      </c>
      <c r="BD645" s="883" t="str">
        <f>$BD$6</f>
        <v>Benefits (2019 $)</v>
      </c>
      <c r="BE645" s="334" t="str">
        <f>$BE$6</f>
        <v>Incremental Cost (2019 $)</v>
      </c>
    </row>
    <row r="646" spans="1:57" s="1288" customFormat="1" x14ac:dyDescent="0.25">
      <c r="A646" s="2182"/>
      <c r="B646" s="2182"/>
      <c r="C646" s="1543" t="s">
        <v>1885</v>
      </c>
      <c r="D646" s="2045" t="s">
        <v>1610</v>
      </c>
      <c r="E646" s="583" t="s">
        <v>1886</v>
      </c>
      <c r="F646" s="2113">
        <f>ROUND((G674*G676*(1/G678-1/G682)/G686),2)</f>
        <v>146.06</v>
      </c>
      <c r="G646" s="2045" t="s">
        <v>737</v>
      </c>
      <c r="H646" s="239">
        <f>VLOOKUP(G646,'CP FACTORS'!$A$3:$B$38, 2, FALSE)</f>
        <v>9.4741810000000004E-4</v>
      </c>
      <c r="I646" s="2015">
        <f>ROUND(F646*H646,6)</f>
        <v>0.13838</v>
      </c>
      <c r="J646" s="1289">
        <f t="shared" ref="J646:J667" si="114">$G$699</f>
        <v>2</v>
      </c>
      <c r="K646" s="1648">
        <f>$G$700</f>
        <v>70</v>
      </c>
      <c r="L646" s="1290" t="s">
        <v>37</v>
      </c>
      <c r="M646" s="1197"/>
      <c r="N646" s="1197"/>
      <c r="O646" s="1197"/>
      <c r="P646" s="1197"/>
      <c r="Q646" s="1197"/>
      <c r="R646" s="1894"/>
      <c r="S646" s="2182"/>
      <c r="T646" s="2182"/>
      <c r="U646" s="2182"/>
      <c r="V646" s="245" t="str">
        <f>$F$501</f>
        <v>kWh
Annual Savings</v>
      </c>
      <c r="W646" s="1291">
        <v>146.05813953488371</v>
      </c>
      <c r="X646" s="219">
        <v>146.05813953488371</v>
      </c>
      <c r="Y646" s="87">
        <v>146.06</v>
      </c>
      <c r="Z646" s="87"/>
      <c r="AA646" s="245"/>
      <c r="AB646" s="245"/>
      <c r="AC646" s="245"/>
      <c r="AD646" s="245"/>
      <c r="AE646" s="245"/>
      <c r="AF646" s="245"/>
      <c r="AG646" s="245"/>
      <c r="AH646" s="248"/>
      <c r="AI646" s="328"/>
      <c r="AK646" s="1166"/>
      <c r="BB646" s="68">
        <f>(BD646+BD647)/(BE646+BE647)</f>
        <v>0.47929235975456674</v>
      </c>
      <c r="BC646" s="1196" t="str">
        <f>CONCATENATE(G646," ",J646," Year EUL")</f>
        <v>Cooling RES 2 Year EUL</v>
      </c>
      <c r="BD646" s="162">
        <f>(INDEX('Avoided Cost Benefits'!$C$4:$C$857,MATCH(BC646,'Avoided Cost Benefits'!$A$4:$A$857,0)))*F646</f>
        <v>24.9939171195353</v>
      </c>
      <c r="BE646" s="70">
        <f>K646/(1.0595^(2020-2019))</f>
        <v>66.068900424728639</v>
      </c>
    </row>
    <row r="647" spans="1:57" s="1288" customFormat="1" x14ac:dyDescent="0.25">
      <c r="A647" s="2182"/>
      <c r="B647" s="2182"/>
      <c r="C647" s="1543" t="s">
        <v>1885</v>
      </c>
      <c r="D647" s="2045" t="s">
        <v>1610</v>
      </c>
      <c r="E647" s="2183" t="s">
        <v>1886</v>
      </c>
      <c r="F647" s="2113">
        <f>ROUND((G687*G689*(1/G691-1/G695)/G686),2)</f>
        <v>117.55</v>
      </c>
      <c r="G647" s="2045" t="s">
        <v>738</v>
      </c>
      <c r="H647" s="239">
        <f>VLOOKUP(G647,'CP FACTORS'!$A$3:$B$38, 2, FALSE)</f>
        <v>0</v>
      </c>
      <c r="I647" s="2015">
        <f t="shared" ref="I647:I667" si="115">ROUND(F647*H647,6)</f>
        <v>0</v>
      </c>
      <c r="J647" s="1289">
        <f t="shared" si="114"/>
        <v>2</v>
      </c>
      <c r="K647" s="1648">
        <v>0</v>
      </c>
      <c r="L647" s="619" t="s">
        <v>37</v>
      </c>
      <c r="M647" s="1197"/>
      <c r="N647" s="1197"/>
      <c r="O647" s="1197"/>
      <c r="P647" s="1197"/>
      <c r="Q647" s="1197"/>
      <c r="R647" s="1894"/>
      <c r="S647" s="2182"/>
      <c r="T647" s="2182"/>
      <c r="U647" s="2182"/>
      <c r="V647" s="245" t="str">
        <f t="shared" ref="V647:V667" si="116">$F$501</f>
        <v>kWh
Annual Savings</v>
      </c>
      <c r="W647" s="1291">
        <v>157.864509605661</v>
      </c>
      <c r="X647" s="219">
        <v>157.864509605661</v>
      </c>
      <c r="Y647" s="86">
        <v>117.55</v>
      </c>
      <c r="Z647" s="87"/>
      <c r="AA647" s="245"/>
      <c r="AB647" s="245"/>
      <c r="AC647" s="245"/>
      <c r="AD647" s="245"/>
      <c r="AE647" s="245"/>
      <c r="AF647" s="245"/>
      <c r="AG647" s="245"/>
      <c r="AH647" s="248"/>
      <c r="AI647" s="1177"/>
      <c r="AK647" s="1166"/>
      <c r="BB647" s="1275"/>
      <c r="BC647" s="1292" t="str">
        <f>CONCATENATE(G647," ",J647," Year EUL")</f>
        <v>Heating RES 2 Year EUL</v>
      </c>
      <c r="BD647" s="165">
        <f>(INDEX('Avoided Cost Benefits'!$C$4:$C$857,MATCH(BC647,'Avoided Cost Benefits'!$A$4:$A$857,0)))*F647</f>
        <v>6.6724020714223853</v>
      </c>
      <c r="BE647" s="74">
        <f>K647/(1.0595^(2020-2019))</f>
        <v>0</v>
      </c>
    </row>
    <row r="648" spans="1:57" s="1288" customFormat="1" x14ac:dyDescent="0.25">
      <c r="A648" s="2182"/>
      <c r="B648" s="2182"/>
      <c r="C648" s="1543" t="s">
        <v>1887</v>
      </c>
      <c r="D648" s="2045" t="s">
        <v>1613</v>
      </c>
      <c r="E648" s="583" t="s">
        <v>1886</v>
      </c>
      <c r="F648" s="2113">
        <f>ROUND((G674*G677*(1/G678-1/G682)/G686),2)</f>
        <v>87.28</v>
      </c>
      <c r="G648" s="2045" t="s">
        <v>737</v>
      </c>
      <c r="H648" s="239">
        <f>VLOOKUP(G648,'CP FACTORS'!$A$3:$B$38, 2, FALSE)</f>
        <v>9.4741810000000004E-4</v>
      </c>
      <c r="I648" s="2015">
        <f t="shared" si="115"/>
        <v>8.2691000000000001E-2</v>
      </c>
      <c r="J648" s="1289">
        <f t="shared" si="114"/>
        <v>2</v>
      </c>
      <c r="K648" s="1648">
        <f>$G$700</f>
        <v>70</v>
      </c>
      <c r="L648" s="1290" t="s">
        <v>37</v>
      </c>
      <c r="M648" s="1197"/>
      <c r="N648" s="1197"/>
      <c r="O648" s="1197"/>
      <c r="P648" s="1197"/>
      <c r="Q648" s="1197"/>
      <c r="R648" s="1894"/>
      <c r="S648" s="2182"/>
      <c r="T648" s="2182"/>
      <c r="U648" s="2182"/>
      <c r="V648" s="245" t="str">
        <f t="shared" si="116"/>
        <v>kWh
Annual Savings</v>
      </c>
      <c r="W648" s="1291">
        <v>94.937790697674416</v>
      </c>
      <c r="X648" s="219">
        <v>94.937790697674416</v>
      </c>
      <c r="Y648" s="86">
        <v>87.28</v>
      </c>
      <c r="Z648" s="87"/>
      <c r="AA648" s="245"/>
      <c r="AB648" s="245"/>
      <c r="AC648" s="245"/>
      <c r="AD648" s="245"/>
      <c r="AE648" s="245"/>
      <c r="AF648" s="245"/>
      <c r="AG648" s="245"/>
      <c r="AH648" s="248"/>
      <c r="AK648" s="1166"/>
      <c r="BB648" s="72">
        <f t="shared" ref="BB648" si="117">(BD648+BD649)/(BE648+BE649)</f>
        <v>0.28641280431879457</v>
      </c>
      <c r="BC648" s="1196" t="str">
        <f t="shared" ref="BC648:BC665" si="118">CONCATENATE(G648," ",J648," Year EUL")</f>
        <v>Cooling RES 2 Year EUL</v>
      </c>
      <c r="BD648" s="165">
        <f>(INDEX('Avoided Cost Benefits'!$C$4:$C$857,MATCH(BC648,'Avoided Cost Benefits'!$A$4:$A$857,0)))*F648</f>
        <v>14.935431235061214</v>
      </c>
      <c r="BE648" s="74">
        <f t="shared" ref="BE648:BE665" si="119">K648/(1.0595^(2020-2019))</f>
        <v>66.068900424728639</v>
      </c>
    </row>
    <row r="649" spans="1:57" s="1288" customFormat="1" x14ac:dyDescent="0.25">
      <c r="A649" s="2182"/>
      <c r="B649" s="2182"/>
      <c r="C649" s="1543" t="s">
        <v>1887</v>
      </c>
      <c r="D649" s="2045" t="s">
        <v>1613</v>
      </c>
      <c r="E649" s="2183" t="s">
        <v>1886</v>
      </c>
      <c r="F649" s="2113">
        <f>ROUND((G687*G690*(1/G691-1/G695)/G686),2)</f>
        <v>70.25</v>
      </c>
      <c r="G649" s="2045" t="s">
        <v>738</v>
      </c>
      <c r="H649" s="239">
        <f>VLOOKUP(G649,'CP FACTORS'!$A$3:$B$38, 2, FALSE)</f>
        <v>0</v>
      </c>
      <c r="I649" s="2015">
        <f t="shared" si="115"/>
        <v>0</v>
      </c>
      <c r="J649" s="1289">
        <f t="shared" si="114"/>
        <v>2</v>
      </c>
      <c r="K649" s="1648">
        <v>0</v>
      </c>
      <c r="L649" s="619" t="s">
        <v>37</v>
      </c>
      <c r="M649" s="1197"/>
      <c r="N649" s="1197"/>
      <c r="O649" s="1197"/>
      <c r="P649" s="1197"/>
      <c r="Q649" s="1197"/>
      <c r="R649" s="1894"/>
      <c r="S649" s="2182"/>
      <c r="T649" s="2182"/>
      <c r="U649" s="2182"/>
      <c r="V649" s="245" t="str">
        <f t="shared" si="116"/>
        <v>kWh
Annual Savings</v>
      </c>
      <c r="W649" s="1291">
        <v>102.61193124367966</v>
      </c>
      <c r="X649" s="219">
        <v>102.61193124367966</v>
      </c>
      <c r="Y649" s="86">
        <v>70.25</v>
      </c>
      <c r="Z649" s="87"/>
      <c r="AA649" s="245"/>
      <c r="AB649" s="245"/>
      <c r="AC649" s="245"/>
      <c r="AD649" s="245"/>
      <c r="AE649" s="245"/>
      <c r="AF649" s="245"/>
      <c r="AG649" s="245"/>
      <c r="AH649" s="248"/>
      <c r="AK649" s="1166"/>
      <c r="BB649" s="1275"/>
      <c r="BC649" s="1292" t="str">
        <f t="shared" si="118"/>
        <v>Heating RES 2 Year EUL</v>
      </c>
      <c r="BD649" s="165">
        <f>(INDEX('Avoided Cost Benefits'!$C$4:$C$857,MATCH(BC649,'Avoided Cost Benefits'!$A$4:$A$857,0)))*F649</f>
        <v>3.9875478138445133</v>
      </c>
      <c r="BE649" s="74">
        <f t="shared" si="119"/>
        <v>0</v>
      </c>
    </row>
    <row r="650" spans="1:57" s="442" customFormat="1" x14ac:dyDescent="0.25">
      <c r="A650" s="261"/>
      <c r="B650" s="261"/>
      <c r="C650" s="1543" t="s">
        <v>1888</v>
      </c>
      <c r="D650" s="2045" t="s">
        <v>1610</v>
      </c>
      <c r="E650" s="583" t="s">
        <v>1889</v>
      </c>
      <c r="F650" s="2113">
        <f>ROUND((G674*G676*(1/G679-1/G683)/G686),2)</f>
        <v>609.19000000000005</v>
      </c>
      <c r="G650" s="2045" t="s">
        <v>737</v>
      </c>
      <c r="H650" s="239">
        <f>VLOOKUP(G650,'CP FACTORS'!$A$3:$B$38, 2, FALSE)</f>
        <v>9.4741810000000004E-4</v>
      </c>
      <c r="I650" s="2015">
        <f t="shared" si="115"/>
        <v>0.57715799999999995</v>
      </c>
      <c r="J650" s="1289">
        <f t="shared" si="114"/>
        <v>2</v>
      </c>
      <c r="K650" s="1648">
        <f>$G$701</f>
        <v>81</v>
      </c>
      <c r="L650" s="1290" t="s">
        <v>37</v>
      </c>
      <c r="M650" s="1197"/>
      <c r="N650" s="1197"/>
      <c r="O650" s="1197"/>
      <c r="P650" s="1197"/>
      <c r="Q650" s="1197"/>
      <c r="R650" s="1894"/>
      <c r="S650" s="265"/>
      <c r="T650" s="261"/>
      <c r="U650" s="261"/>
      <c r="V650" s="245" t="str">
        <f t="shared" si="116"/>
        <v>kWh
Annual Savings</v>
      </c>
      <c r="W650" s="1291">
        <v>609.19309466886068</v>
      </c>
      <c r="X650" s="219">
        <v>609.19309466886068</v>
      </c>
      <c r="Y650" s="86">
        <v>609.19000000000005</v>
      </c>
      <c r="Z650" s="87"/>
      <c r="AA650" s="245"/>
      <c r="AB650" s="245"/>
      <c r="AC650" s="245"/>
      <c r="AD650" s="245"/>
      <c r="AE650" s="245"/>
      <c r="AF650" s="245"/>
      <c r="AG650" s="245"/>
      <c r="AH650" s="248"/>
      <c r="AK650" s="1166"/>
      <c r="BB650" s="72">
        <f t="shared" ref="BB650" si="120">(BD650+BD651)/(BE650+BE651)</f>
        <v>1.7837274405751224</v>
      </c>
      <c r="BC650" s="1196" t="str">
        <f t="shared" si="118"/>
        <v>Cooling RES 2 Year EUL</v>
      </c>
      <c r="BD650" s="165">
        <f>(INDEX('Avoided Cost Benefits'!$C$4:$C$857,MATCH(BC650,'Avoided Cost Benefits'!$A$4:$A$857,0)))*F650</f>
        <v>104.24513467102362</v>
      </c>
      <c r="BE650" s="74">
        <f t="shared" si="119"/>
        <v>76.451156205757428</v>
      </c>
    </row>
    <row r="651" spans="1:57" s="442" customFormat="1" x14ac:dyDescent="0.25">
      <c r="A651" s="261"/>
      <c r="B651" s="261"/>
      <c r="C651" s="1543" t="s">
        <v>1888</v>
      </c>
      <c r="D651" s="2045" t="s">
        <v>1610</v>
      </c>
      <c r="E651" s="2183" t="s">
        <v>1889</v>
      </c>
      <c r="F651" s="2113">
        <f>ROUND((G687*G689*(1/G692-1/G696)/G686),2)</f>
        <v>565.91999999999996</v>
      </c>
      <c r="G651" s="2045" t="s">
        <v>738</v>
      </c>
      <c r="H651" s="239">
        <f>VLOOKUP(G651,'CP FACTORS'!$A$3:$B$38, 2, FALSE)</f>
        <v>0</v>
      </c>
      <c r="I651" s="2015">
        <f t="shared" si="115"/>
        <v>0</v>
      </c>
      <c r="J651" s="1289">
        <f t="shared" si="114"/>
        <v>2</v>
      </c>
      <c r="K651" s="1648">
        <v>0</v>
      </c>
      <c r="L651" s="619" t="s">
        <v>37</v>
      </c>
      <c r="M651" s="2184"/>
      <c r="N651" s="2185"/>
      <c r="O651" s="2185"/>
      <c r="P651" s="2185"/>
      <c r="Q651" s="2185"/>
      <c r="R651" s="1894"/>
      <c r="S651" s="265"/>
      <c r="T651" s="261"/>
      <c r="U651" s="261"/>
      <c r="V651" s="245" t="str">
        <f t="shared" si="116"/>
        <v>kWh
Annual Savings</v>
      </c>
      <c r="W651" s="1291">
        <v>759.98528433977378</v>
      </c>
      <c r="X651" s="219">
        <v>759.98528433977378</v>
      </c>
      <c r="Y651" s="86">
        <v>565.91999999999996</v>
      </c>
      <c r="Z651" s="87"/>
      <c r="AA651" s="245"/>
      <c r="AB651" s="245"/>
      <c r="AC651" s="245"/>
      <c r="AD651" s="245"/>
      <c r="AE651" s="245"/>
      <c r="AF651" s="245"/>
      <c r="AG651" s="245"/>
      <c r="AH651" s="248"/>
      <c r="AK651" s="1166"/>
      <c r="BB651" s="1275"/>
      <c r="BC651" s="1292" t="str">
        <f t="shared" si="118"/>
        <v>Heating RES 2 Year EUL</v>
      </c>
      <c r="BD651" s="165">
        <f>(INDEX('Avoided Cost Benefits'!$C$4:$C$857,MATCH(BC651,'Avoided Cost Benefits'!$A$4:$A$857,0)))*F651</f>
        <v>32.12289051688095</v>
      </c>
      <c r="BE651" s="74">
        <f t="shared" si="119"/>
        <v>0</v>
      </c>
    </row>
    <row r="652" spans="1:57" s="1177" customFormat="1" x14ac:dyDescent="0.25">
      <c r="A652" s="1197"/>
      <c r="B652" s="2118"/>
      <c r="C652" s="1543" t="s">
        <v>1890</v>
      </c>
      <c r="D652" s="2045" t="s">
        <v>1613</v>
      </c>
      <c r="E652" s="583" t="s">
        <v>1891</v>
      </c>
      <c r="F652" s="2113">
        <f>ROUND(($G$674*$G$677*(1/$G$679-1/$G$683)/$G$686),2)</f>
        <v>364.03</v>
      </c>
      <c r="G652" s="2045" t="s">
        <v>737</v>
      </c>
      <c r="H652" s="239">
        <f>VLOOKUP(G652,'CP FACTORS'!$A$3:$B$38, 2, FALSE)</f>
        <v>9.4741810000000004E-4</v>
      </c>
      <c r="I652" s="2015">
        <f t="shared" si="115"/>
        <v>0.344889</v>
      </c>
      <c r="J652" s="1289">
        <f t="shared" si="114"/>
        <v>2</v>
      </c>
      <c r="K652" s="1648">
        <f>$G$701</f>
        <v>81</v>
      </c>
      <c r="L652" s="1290" t="s">
        <v>37</v>
      </c>
      <c r="M652" s="1197"/>
      <c r="N652" s="1197"/>
      <c r="O652" s="1197"/>
      <c r="P652" s="1197"/>
      <c r="Q652" s="1197"/>
      <c r="R652" s="1894"/>
      <c r="S652" s="1197"/>
      <c r="T652" s="1197"/>
      <c r="U652" s="1197"/>
      <c r="V652" s="245" t="str">
        <f t="shared" si="116"/>
        <v>kWh
Annual Savings</v>
      </c>
      <c r="W652" s="1291">
        <v>395.97551153475945</v>
      </c>
      <c r="X652" s="219">
        <v>395.97551153475945</v>
      </c>
      <c r="Y652" s="86">
        <v>364.03</v>
      </c>
      <c r="Z652" s="87"/>
      <c r="AA652" s="245"/>
      <c r="AB652" s="245"/>
      <c r="AC652" s="245"/>
      <c r="AD652" s="245"/>
      <c r="AE652" s="245"/>
      <c r="AF652" s="245"/>
      <c r="AG652" s="245"/>
      <c r="AH652" s="248"/>
      <c r="AK652" s="1166"/>
      <c r="BB652" s="72">
        <f t="shared" ref="BB652" si="121">(BD652+BD653)/(BE652+BE653)</f>
        <v>1.0658961610897484</v>
      </c>
      <c r="BC652" s="1196" t="str">
        <f t="shared" si="118"/>
        <v>Cooling RES 2 Year EUL</v>
      </c>
      <c r="BD652" s="165">
        <f>(INDEX('Avoided Cost Benefits'!$C$4:$C$857,MATCH(BC652,'Avoided Cost Benefits'!$A$4:$A$857,0)))*F652</f>
        <v>62.293137402604643</v>
      </c>
      <c r="BE652" s="74">
        <f t="shared" si="119"/>
        <v>76.451156205757428</v>
      </c>
    </row>
    <row r="653" spans="1:57" s="1177" customFormat="1" x14ac:dyDescent="0.25">
      <c r="A653" s="1197"/>
      <c r="B653" s="2118"/>
      <c r="C653" s="1543" t="s">
        <v>1890</v>
      </c>
      <c r="D653" s="2045" t="s">
        <v>1613</v>
      </c>
      <c r="E653" s="2183" t="s">
        <v>1891</v>
      </c>
      <c r="F653" s="2113">
        <f>ROUND(($G$687*$G$690*(1/$G$692-1/$G$696)/$G$686),2)</f>
        <v>338.18</v>
      </c>
      <c r="G653" s="2045" t="s">
        <v>738</v>
      </c>
      <c r="H653" s="239">
        <f>VLOOKUP(G653,'CP FACTORS'!$A$3:$B$38, 2, FALSE)</f>
        <v>0</v>
      </c>
      <c r="I653" s="2015">
        <f t="shared" si="115"/>
        <v>0</v>
      </c>
      <c r="J653" s="1289">
        <f t="shared" si="114"/>
        <v>2</v>
      </c>
      <c r="K653" s="1648">
        <v>0</v>
      </c>
      <c r="L653" s="619" t="s">
        <v>37</v>
      </c>
      <c r="M653" s="1197"/>
      <c r="N653" s="1197"/>
      <c r="O653" s="1197"/>
      <c r="P653" s="1197"/>
      <c r="Q653" s="1197"/>
      <c r="R653" s="1894"/>
      <c r="S653" s="1197"/>
      <c r="T653" s="1197"/>
      <c r="U653" s="1197"/>
      <c r="V653" s="245" t="str">
        <f t="shared" si="116"/>
        <v>kWh
Annual Savings</v>
      </c>
      <c r="W653" s="1291">
        <v>493.99043482085307</v>
      </c>
      <c r="X653" s="219">
        <v>493.99043482085307</v>
      </c>
      <c r="Y653" s="86">
        <v>338.18</v>
      </c>
      <c r="Z653" s="87"/>
      <c r="AA653" s="245"/>
      <c r="AB653" s="245"/>
      <c r="AC653" s="245"/>
      <c r="AD653" s="245"/>
      <c r="AE653" s="245"/>
      <c r="AF653" s="245"/>
      <c r="AG653" s="245"/>
      <c r="AH653" s="248"/>
      <c r="AK653" s="1166"/>
      <c r="BB653" s="1275"/>
      <c r="BC653" s="1292" t="str">
        <f t="shared" si="118"/>
        <v>Heating RES 2 Year EUL</v>
      </c>
      <c r="BD653" s="165">
        <f>(INDEX('Avoided Cost Benefits'!$C$4:$C$857,MATCH(BC653,'Avoided Cost Benefits'!$A$4:$A$857,0)))*F653</f>
        <v>19.195856507984878</v>
      </c>
      <c r="BE653" s="74">
        <f t="shared" si="119"/>
        <v>0</v>
      </c>
    </row>
    <row r="654" spans="1:57" s="1177" customFormat="1" x14ac:dyDescent="0.25">
      <c r="A654" s="1197"/>
      <c r="B654" s="2118"/>
      <c r="C654" s="1543" t="s">
        <v>1892</v>
      </c>
      <c r="D654" s="2045" t="s">
        <v>1616</v>
      </c>
      <c r="E654" s="884" t="str">
        <f>CONCATENATE(E652,"_CompE")</f>
        <v>HP tune-up / Refrigerant charge MF_CompE</v>
      </c>
      <c r="F654" s="2113">
        <f>ROUND(($G$675*$G$677*(1/$G$679-1/$G$683)/$G$686),2)</f>
        <v>264.75</v>
      </c>
      <c r="G654" s="2045" t="s">
        <v>737</v>
      </c>
      <c r="H654" s="239">
        <f>VLOOKUP(G654,'CP FACTORS'!$A$3:$B$38, 2, FALSE)</f>
        <v>9.4741810000000004E-4</v>
      </c>
      <c r="I654" s="2015">
        <f t="shared" si="115"/>
        <v>0.25082900000000002</v>
      </c>
      <c r="J654" s="1289">
        <f t="shared" si="114"/>
        <v>2</v>
      </c>
      <c r="K654" s="1648">
        <f>$G$701</f>
        <v>81</v>
      </c>
      <c r="L654" s="1290" t="s">
        <v>37</v>
      </c>
      <c r="M654" s="1197"/>
      <c r="N654" s="1197"/>
      <c r="O654" s="1197"/>
      <c r="P654" s="1197"/>
      <c r="Q654" s="1197"/>
      <c r="R654" s="1894"/>
      <c r="S654" s="1197"/>
      <c r="T654" s="1197"/>
      <c r="U654" s="1197"/>
      <c r="V654" s="245" t="str">
        <f t="shared" si="116"/>
        <v>kWh
Annual Savings</v>
      </c>
      <c r="W654" s="1291"/>
      <c r="X654" s="219"/>
      <c r="Y654" s="86">
        <v>264.75</v>
      </c>
      <c r="Z654" s="87"/>
      <c r="AA654" s="245"/>
      <c r="AB654" s="245"/>
      <c r="AC654" s="245"/>
      <c r="AD654" s="245"/>
      <c r="AE654" s="245"/>
      <c r="AF654" s="245"/>
      <c r="AG654" s="245"/>
      <c r="AH654" s="248"/>
      <c r="AK654" s="1166"/>
      <c r="BB654" s="72">
        <f t="shared" ref="BB654" si="122">(BD654+BD655)/(BE654+BE655)</f>
        <v>0.67818954560335631</v>
      </c>
      <c r="BC654" s="1196" t="str">
        <f t="shared" ref="BC654:BC655" si="123">CONCATENATE(G654," ",J654," Year EUL")</f>
        <v>Cooling RES 2 Year EUL</v>
      </c>
      <c r="BD654" s="165">
        <f>(INDEX('Avoided Cost Benefits'!$C$4:$C$857,MATCH(BC654,'Avoided Cost Benefits'!$A$4:$A$857,0)))*F654</f>
        <v>45.304255493612011</v>
      </c>
      <c r="BE654" s="74">
        <f t="shared" ref="BE654:BE655" si="124">K654/(1.0595^(2020-2019))</f>
        <v>76.451156205757428</v>
      </c>
    </row>
    <row r="655" spans="1:57" s="1177" customFormat="1" x14ac:dyDescent="0.25">
      <c r="A655" s="1197"/>
      <c r="B655" s="2118"/>
      <c r="C655" s="1543" t="s">
        <v>1892</v>
      </c>
      <c r="D655" s="2045" t="s">
        <v>1616</v>
      </c>
      <c r="E655" s="892" t="str">
        <f>CONCATENATE(E653,"_CompE")</f>
        <v>HP tune-up / Refrigerant charge MF_CompE</v>
      </c>
      <c r="F655" s="2113">
        <f>ROUND(($G$688*$G$690*(1/$G$692-1/$G$696)/$G$686),2)</f>
        <v>115.29</v>
      </c>
      <c r="G655" s="2045" t="s">
        <v>738</v>
      </c>
      <c r="H655" s="239">
        <f>VLOOKUP(G655,'CP FACTORS'!$A$3:$B$38, 2, FALSE)</f>
        <v>0</v>
      </c>
      <c r="I655" s="2015">
        <f t="shared" si="115"/>
        <v>0</v>
      </c>
      <c r="J655" s="1289">
        <f t="shared" si="114"/>
        <v>2</v>
      </c>
      <c r="K655" s="1648">
        <v>0</v>
      </c>
      <c r="L655" s="619" t="s">
        <v>37</v>
      </c>
      <c r="M655" s="1197"/>
      <c r="N655" s="1197"/>
      <c r="O655" s="1197"/>
      <c r="P655" s="1197"/>
      <c r="Q655" s="1197"/>
      <c r="R655" s="1894"/>
      <c r="S655" s="1197"/>
      <c r="T655" s="1197"/>
      <c r="U655" s="1197"/>
      <c r="V655" s="245" t="str">
        <f t="shared" si="116"/>
        <v>kWh
Annual Savings</v>
      </c>
      <c r="W655" s="1291"/>
      <c r="X655" s="219"/>
      <c r="Y655" s="86">
        <v>115.29</v>
      </c>
      <c r="Z655" s="87"/>
      <c r="AA655" s="245"/>
      <c r="AB655" s="245"/>
      <c r="AC655" s="245"/>
      <c r="AD655" s="245"/>
      <c r="AE655" s="245"/>
      <c r="AF655" s="245"/>
      <c r="AG655" s="245"/>
      <c r="AH655" s="248"/>
      <c r="AK655" s="1166"/>
      <c r="BB655" s="1275"/>
      <c r="BC655" s="1292" t="str">
        <f t="shared" si="123"/>
        <v>Heating RES 2 Year EUL</v>
      </c>
      <c r="BD655" s="165">
        <f>(INDEX('Avoided Cost Benefits'!$C$4:$C$857,MATCH(BC655,'Avoided Cost Benefits'!$A$4:$A$857,0)))*F655</f>
        <v>6.5441193944218359</v>
      </c>
      <c r="BE655" s="74">
        <f t="shared" si="124"/>
        <v>0</v>
      </c>
    </row>
    <row r="656" spans="1:57" s="1177" customFormat="1" x14ac:dyDescent="0.25">
      <c r="A656" s="1197"/>
      <c r="B656" s="2118"/>
      <c r="C656" s="1543" t="s">
        <v>1893</v>
      </c>
      <c r="D656" s="2045" t="s">
        <v>1610</v>
      </c>
      <c r="E656" s="583" t="s">
        <v>1894</v>
      </c>
      <c r="F656" s="2113">
        <f>ROUND((G674*G676*(1/G680-1/G684)/G686),2)</f>
        <v>100.83</v>
      </c>
      <c r="G656" s="2045" t="s">
        <v>737</v>
      </c>
      <c r="H656" s="239">
        <f>VLOOKUP(G656,'CP FACTORS'!$A$3:$B$38, 2, FALSE)</f>
        <v>9.4741810000000004E-4</v>
      </c>
      <c r="I656" s="2015">
        <f t="shared" si="115"/>
        <v>9.5528000000000002E-2</v>
      </c>
      <c r="J656" s="1289">
        <f t="shared" si="114"/>
        <v>2</v>
      </c>
      <c r="K656" s="1648">
        <f>$G$702</f>
        <v>63</v>
      </c>
      <c r="L656" s="1290" t="s">
        <v>37</v>
      </c>
      <c r="M656" s="1197"/>
      <c r="N656" s="1197"/>
      <c r="O656" s="1197"/>
      <c r="P656" s="1197"/>
      <c r="Q656" s="1197"/>
      <c r="R656" s="1894"/>
      <c r="S656" s="1197"/>
      <c r="T656" s="1197"/>
      <c r="U656" s="1197"/>
      <c r="V656" s="245" t="str">
        <f t="shared" si="116"/>
        <v>kWh
Annual Savings</v>
      </c>
      <c r="W656" s="1291">
        <v>100.82956618593137</v>
      </c>
      <c r="X656" s="219">
        <v>100.82956618593137</v>
      </c>
      <c r="Y656" s="87">
        <v>100.83</v>
      </c>
      <c r="Z656" s="87"/>
      <c r="AA656" s="245"/>
      <c r="AB656" s="245"/>
      <c r="AC656" s="245"/>
      <c r="AD656" s="245"/>
      <c r="AE656" s="245"/>
      <c r="AF656" s="245"/>
      <c r="AG656" s="245"/>
      <c r="AH656" s="248"/>
      <c r="AK656" s="1166"/>
      <c r="BB656" s="72">
        <f t="shared" ref="BB656" si="125">(BD656+BD657)/(BE656+BE657)</f>
        <v>0.36664321827502205</v>
      </c>
      <c r="BC656" s="1196" t="str">
        <f t="shared" si="118"/>
        <v>Cooling RES 2 Year EUL</v>
      </c>
      <c r="BD656" s="165">
        <f>(INDEX('Avoided Cost Benefits'!$C$4:$C$857,MATCH(BC656,'Avoided Cost Benefits'!$A$4:$A$857,0)))*F656</f>
        <v>17.254119287708779</v>
      </c>
      <c r="BE656" s="74">
        <f t="shared" si="119"/>
        <v>59.462010382255777</v>
      </c>
    </row>
    <row r="657" spans="1:57" s="1177" customFormat="1" x14ac:dyDescent="0.25">
      <c r="A657" s="1197"/>
      <c r="B657" s="2118"/>
      <c r="C657" s="1543" t="s">
        <v>1893</v>
      </c>
      <c r="D657" s="2045" t="s">
        <v>1610</v>
      </c>
      <c r="E657" s="2183" t="s">
        <v>1894</v>
      </c>
      <c r="F657" s="2113">
        <f>ROUND((G687*G689*(1/G693-1/G697)/G686),2)</f>
        <v>80.11</v>
      </c>
      <c r="G657" s="2045" t="s">
        <v>738</v>
      </c>
      <c r="H657" s="239">
        <f>VLOOKUP(G657,'CP FACTORS'!$A$3:$B$38, 2, FALSE)</f>
        <v>0</v>
      </c>
      <c r="I657" s="2015">
        <f t="shared" si="115"/>
        <v>0</v>
      </c>
      <c r="J657" s="1289">
        <f t="shared" si="114"/>
        <v>2</v>
      </c>
      <c r="K657" s="1648">
        <v>0</v>
      </c>
      <c r="L657" s="619" t="s">
        <v>37</v>
      </c>
      <c r="M657" s="1197"/>
      <c r="N657" s="1197"/>
      <c r="O657" s="1197"/>
      <c r="P657" s="1197"/>
      <c r="Q657" s="1197"/>
      <c r="R657" s="1894"/>
      <c r="S657" s="1197"/>
      <c r="T657" s="1197"/>
      <c r="U657" s="1197"/>
      <c r="V657" s="245" t="str">
        <f t="shared" si="116"/>
        <v>kWh
Annual Savings</v>
      </c>
      <c r="W657" s="1291">
        <v>107.57620062894772</v>
      </c>
      <c r="X657" s="219">
        <v>107.57620062894772</v>
      </c>
      <c r="Y657" s="86">
        <v>80.11</v>
      </c>
      <c r="Z657" s="87"/>
      <c r="AA657" s="245"/>
      <c r="AB657" s="245"/>
      <c r="AC657" s="245"/>
      <c r="AD657" s="245"/>
      <c r="AE657" s="245"/>
      <c r="AF657" s="245"/>
      <c r="AG657" s="245"/>
      <c r="AH657" s="248"/>
      <c r="AK657" s="1166"/>
      <c r="BB657" s="1275"/>
      <c r="BC657" s="1292" t="str">
        <f t="shared" si="118"/>
        <v>Heating RES 2 Year EUL</v>
      </c>
      <c r="BD657" s="165">
        <f>(INDEX('Avoided Cost Benefits'!$C$4:$C$857,MATCH(BC657,'Avoided Cost Benefits'!$A$4:$A$857,0)))*F657</f>
        <v>4.5472235639442555</v>
      </c>
      <c r="BE657" s="74">
        <f t="shared" si="119"/>
        <v>0</v>
      </c>
    </row>
    <row r="658" spans="1:57" s="1177" customFormat="1" x14ac:dyDescent="0.25">
      <c r="A658" s="1197"/>
      <c r="B658" s="2118"/>
      <c r="C658" s="1543" t="s">
        <v>1895</v>
      </c>
      <c r="D658" s="2045" t="s">
        <v>1613</v>
      </c>
      <c r="E658" s="583" t="s">
        <v>1896</v>
      </c>
      <c r="F658" s="2113">
        <f>ROUND(($G$674*$G$677*(1/$G$680-1/$G$684)/$G$686),2)</f>
        <v>60.25</v>
      </c>
      <c r="G658" s="2045" t="s">
        <v>737</v>
      </c>
      <c r="H658" s="239">
        <f>VLOOKUP(G658,'CP FACTORS'!$A$3:$B$38, 2, FALSE)</f>
        <v>9.4741810000000004E-4</v>
      </c>
      <c r="I658" s="2015">
        <f t="shared" si="115"/>
        <v>5.7082000000000001E-2</v>
      </c>
      <c r="J658" s="1289">
        <f t="shared" si="114"/>
        <v>2</v>
      </c>
      <c r="K658" s="1648">
        <f>$G$702</f>
        <v>63</v>
      </c>
      <c r="L658" s="1290" t="s">
        <v>37</v>
      </c>
      <c r="M658" s="1197"/>
      <c r="N658" s="1197"/>
      <c r="O658" s="1197"/>
      <c r="P658" s="1197"/>
      <c r="Q658" s="1197"/>
      <c r="R658" s="1894"/>
      <c r="S658" s="1197"/>
      <c r="T658" s="1197"/>
      <c r="U658" s="1197"/>
      <c r="V658" s="245" t="str">
        <f t="shared" si="116"/>
        <v>kWh
Annual Savings</v>
      </c>
      <c r="W658" s="1291">
        <v>65.539218020855401</v>
      </c>
      <c r="X658" s="219">
        <v>65.539218020855401</v>
      </c>
      <c r="Y658" s="86">
        <v>60.25</v>
      </c>
      <c r="Z658" s="87"/>
      <c r="AA658" s="245"/>
      <c r="AB658" s="245"/>
      <c r="AC658" s="245"/>
      <c r="AD658" s="245"/>
      <c r="AE658" s="245"/>
      <c r="AF658" s="245"/>
      <c r="AG658" s="245"/>
      <c r="AH658" s="248"/>
      <c r="AK658" s="1166"/>
      <c r="BB658" s="72">
        <f t="shared" ref="BB658" si="126">(BD658+BD659)/(BE658+BE659)</f>
        <v>0.2190851309322446</v>
      </c>
      <c r="BC658" s="1196" t="str">
        <f t="shared" si="118"/>
        <v>Cooling RES 2 Year EUL</v>
      </c>
      <c r="BD658" s="165">
        <f>(INDEX('Avoided Cost Benefits'!$C$4:$C$857,MATCH(BC658,'Avoided Cost Benefits'!$A$4:$A$857,0)))*F658</f>
        <v>10.310033592030685</v>
      </c>
      <c r="BE658" s="74">
        <f t="shared" si="119"/>
        <v>59.462010382255777</v>
      </c>
    </row>
    <row r="659" spans="1:57" s="1177" customFormat="1" x14ac:dyDescent="0.25">
      <c r="A659" s="1197"/>
      <c r="B659" s="2118"/>
      <c r="C659" s="1543" t="s">
        <v>1895</v>
      </c>
      <c r="D659" s="2045" t="s">
        <v>1613</v>
      </c>
      <c r="E659" s="2183" t="s">
        <v>1896</v>
      </c>
      <c r="F659" s="2113">
        <f>ROUND(($G$687*$G$690*(1/$G$693-1/$G$697)/$G$686),2)</f>
        <v>47.87</v>
      </c>
      <c r="G659" s="2045" t="s">
        <v>738</v>
      </c>
      <c r="H659" s="239">
        <f>VLOOKUP(G659,'CP FACTORS'!$A$3:$B$38, 2, FALSE)</f>
        <v>0</v>
      </c>
      <c r="I659" s="2015">
        <f t="shared" si="115"/>
        <v>0</v>
      </c>
      <c r="J659" s="1289">
        <f t="shared" si="114"/>
        <v>2</v>
      </c>
      <c r="K659" s="1648">
        <v>0</v>
      </c>
      <c r="L659" s="619" t="s">
        <v>37</v>
      </c>
      <c r="M659" s="1197"/>
      <c r="N659" s="1197"/>
      <c r="O659" s="1197"/>
      <c r="P659" s="1197"/>
      <c r="Q659" s="1197"/>
      <c r="R659" s="1894"/>
      <c r="S659" s="1197"/>
      <c r="T659" s="1197"/>
      <c r="U659" s="1197"/>
      <c r="V659" s="245" t="str">
        <f t="shared" si="116"/>
        <v>kWh
Annual Savings</v>
      </c>
      <c r="W659" s="1291">
        <v>69.924530408816025</v>
      </c>
      <c r="X659" s="219">
        <v>69.924530408816025</v>
      </c>
      <c r="Y659" s="86">
        <v>47.87</v>
      </c>
      <c r="Z659" s="87"/>
      <c r="AA659" s="245"/>
      <c r="AB659" s="245"/>
      <c r="AC659" s="245"/>
      <c r="AD659" s="245"/>
      <c r="AE659" s="245"/>
      <c r="AF659" s="245"/>
      <c r="AG659" s="245"/>
      <c r="AH659" s="248"/>
      <c r="AK659" s="1166"/>
      <c r="BB659" s="1275"/>
      <c r="BC659" s="1292" t="str">
        <f t="shared" si="118"/>
        <v>Heating RES 2 Year EUL</v>
      </c>
      <c r="BD659" s="165">
        <f>(INDEX('Avoided Cost Benefits'!$C$4:$C$857,MATCH(BC659,'Avoided Cost Benefits'!$A$4:$A$857,0)))*F659</f>
        <v>2.7172087380603109</v>
      </c>
      <c r="BE659" s="74">
        <f t="shared" si="119"/>
        <v>0</v>
      </c>
    </row>
    <row r="660" spans="1:57" s="1177" customFormat="1" x14ac:dyDescent="0.25">
      <c r="A660" s="1197"/>
      <c r="B660" s="2118"/>
      <c r="C660" s="1543" t="s">
        <v>1897</v>
      </c>
      <c r="D660" s="2045" t="s">
        <v>1616</v>
      </c>
      <c r="E660" s="884" t="str">
        <f>CONCATENATE(E658,"_CompE")</f>
        <v>HP tune-up / Indoor Coil (Evaporator) Cleaning MF_CompE</v>
      </c>
      <c r="F660" s="2113">
        <f>ROUND(($G$675*$G$677*(1/$G$680-1/$G$684)/$G$686),2)</f>
        <v>43.82</v>
      </c>
      <c r="G660" s="2045" t="s">
        <v>737</v>
      </c>
      <c r="H660" s="239">
        <f>VLOOKUP(G660,'CP FACTORS'!$A$3:$B$38, 2, FALSE)</f>
        <v>9.4741810000000004E-4</v>
      </c>
      <c r="I660" s="2015">
        <f t="shared" si="115"/>
        <v>4.1515999999999997E-2</v>
      </c>
      <c r="J660" s="1289">
        <f t="shared" si="114"/>
        <v>2</v>
      </c>
      <c r="K660" s="1648">
        <f>$G$702</f>
        <v>63</v>
      </c>
      <c r="L660" s="1290" t="s">
        <v>37</v>
      </c>
      <c r="M660" s="1197"/>
      <c r="N660" s="1197"/>
      <c r="O660" s="1197"/>
      <c r="P660" s="1197"/>
      <c r="Q660" s="1197"/>
      <c r="R660" s="1894"/>
      <c r="S660" s="1197"/>
      <c r="T660" s="1197"/>
      <c r="U660" s="1197"/>
      <c r="V660" s="245" t="str">
        <f t="shared" si="116"/>
        <v>kWh
Annual Savings</v>
      </c>
      <c r="W660" s="1291"/>
      <c r="X660" s="219"/>
      <c r="Y660" s="86">
        <v>43.82</v>
      </c>
      <c r="Z660" s="87"/>
      <c r="AA660" s="245"/>
      <c r="AB660" s="245"/>
      <c r="AC660" s="245"/>
      <c r="AD660" s="245"/>
      <c r="AE660" s="245"/>
      <c r="AF660" s="245"/>
      <c r="AG660" s="245"/>
      <c r="AH660" s="248"/>
      <c r="AK660" s="1166"/>
      <c r="BB660" s="72">
        <f t="shared" ref="BB660" si="127">(BD660+BD661)/(BE660+BE661)</f>
        <v>0.14168503866104951</v>
      </c>
      <c r="BC660" s="1196" t="str">
        <f t="shared" ref="BC660:BC661" si="128">CONCATENATE(G660," ",J660," Year EUL")</f>
        <v>Cooling RES 2 Year EUL</v>
      </c>
      <c r="BD660" s="165">
        <f>(INDEX('Avoided Cost Benefits'!$C$4:$C$857,MATCH(BC660,'Avoided Cost Benefits'!$A$4:$A$857,0)))*F660</f>
        <v>7.4985173776395788</v>
      </c>
      <c r="BE660" s="74">
        <f t="shared" ref="BE660:BE661" si="129">K660/(1.0595^(2020-2019))</f>
        <v>59.462010382255777</v>
      </c>
    </row>
    <row r="661" spans="1:57" s="1177" customFormat="1" x14ac:dyDescent="0.25">
      <c r="A661" s="1197"/>
      <c r="B661" s="2118"/>
      <c r="C661" s="1543" t="s">
        <v>1897</v>
      </c>
      <c r="D661" s="2045" t="s">
        <v>1616</v>
      </c>
      <c r="E661" s="892" t="str">
        <f>CONCATENATE(E659,"_CompE")</f>
        <v>HP tune-up / Indoor Coil (Evaporator) Cleaning MF_CompE</v>
      </c>
      <c r="F661" s="2113">
        <f>ROUND(($G$688*$G$690*(1/$G$693-1/$G$697)/$G$686),2)</f>
        <v>16.32</v>
      </c>
      <c r="G661" s="2045" t="s">
        <v>738</v>
      </c>
      <c r="H661" s="239">
        <f>VLOOKUP(G661,'CP FACTORS'!$A$3:$B$38, 2, FALSE)</f>
        <v>0</v>
      </c>
      <c r="I661" s="2015">
        <f t="shared" si="115"/>
        <v>0</v>
      </c>
      <c r="J661" s="1289">
        <f t="shared" si="114"/>
        <v>2</v>
      </c>
      <c r="K661" s="1648">
        <v>0</v>
      </c>
      <c r="L661" s="619" t="s">
        <v>37</v>
      </c>
      <c r="M661" s="1197"/>
      <c r="N661" s="1197"/>
      <c r="O661" s="1197"/>
      <c r="P661" s="1197"/>
      <c r="Q661" s="1197"/>
      <c r="R661" s="1894"/>
      <c r="S661" s="1197"/>
      <c r="T661" s="1197"/>
      <c r="U661" s="1197"/>
      <c r="V661" s="245" t="str">
        <f t="shared" si="116"/>
        <v>kWh
Annual Savings</v>
      </c>
      <c r="W661" s="1291"/>
      <c r="X661" s="219"/>
      <c r="Y661" s="86">
        <v>16.32</v>
      </c>
      <c r="Z661" s="87"/>
      <c r="AA661" s="245"/>
      <c r="AB661" s="245"/>
      <c r="AC661" s="245"/>
      <c r="AD661" s="245"/>
      <c r="AE661" s="245"/>
      <c r="AF661" s="245"/>
      <c r="AG661" s="245"/>
      <c r="AH661" s="248"/>
      <c r="AK661" s="1166"/>
      <c r="BB661" s="1275"/>
      <c r="BC661" s="1292" t="str">
        <f t="shared" si="128"/>
        <v>Heating RES 2 Year EUL</v>
      </c>
      <c r="BD661" s="165">
        <f>(INDEX('Avoided Cost Benefits'!$C$4:$C$857,MATCH(BC661,'Avoided Cost Benefits'!$A$4:$A$857,0)))*F661</f>
        <v>0.92635986223405642</v>
      </c>
      <c r="BE661" s="74">
        <f t="shared" si="129"/>
        <v>0</v>
      </c>
    </row>
    <row r="662" spans="1:57" s="1177" customFormat="1" x14ac:dyDescent="0.25">
      <c r="A662" s="1197"/>
      <c r="B662" s="2118"/>
      <c r="C662" s="1543" t="s">
        <v>1898</v>
      </c>
      <c r="D662" s="2045" t="s">
        <v>1610</v>
      </c>
      <c r="E662" s="583" t="s">
        <v>1899</v>
      </c>
      <c r="F662" s="2113">
        <f>ROUND((G674*G676*(1/G681-1/G685)/G686),2)</f>
        <v>201.65</v>
      </c>
      <c r="G662" s="2045" t="s">
        <v>737</v>
      </c>
      <c r="H662" s="239">
        <f>VLOOKUP(G662,'CP FACTORS'!$A$3:$B$38, 2, FALSE)</f>
        <v>9.4741810000000004E-4</v>
      </c>
      <c r="I662" s="2015">
        <f t="shared" si="115"/>
        <v>0.19104699999999999</v>
      </c>
      <c r="J662" s="1289">
        <f t="shared" si="114"/>
        <v>2</v>
      </c>
      <c r="K662" s="1648">
        <f>$G$703</f>
        <v>31</v>
      </c>
      <c r="L662" s="1290" t="s">
        <v>37</v>
      </c>
      <c r="M662" s="1197"/>
      <c r="N662" s="1197"/>
      <c r="O662" s="1197"/>
      <c r="P662" s="1197"/>
      <c r="Q662" s="1197"/>
      <c r="R662" s="1894"/>
      <c r="S662" s="1197"/>
      <c r="T662" s="1197"/>
      <c r="U662" s="1197"/>
      <c r="V662" s="245" t="str">
        <f t="shared" si="116"/>
        <v>kWh
Annual Savings</v>
      </c>
      <c r="W662" s="1291">
        <v>201.65421409635425</v>
      </c>
      <c r="X662" s="219">
        <v>201.65421409635425</v>
      </c>
      <c r="Y662" s="87">
        <v>201.65</v>
      </c>
      <c r="Z662" s="87"/>
      <c r="AA662" s="245"/>
      <c r="AB662" s="245"/>
      <c r="AC662" s="245"/>
      <c r="AD662" s="245"/>
      <c r="AE662" s="245"/>
      <c r="AF662" s="245"/>
      <c r="AG662" s="245"/>
      <c r="AH662" s="248"/>
      <c r="AK662" s="1166"/>
      <c r="BB662" s="72">
        <f t="shared" ref="BB662" si="130">(BD662+BD663)/(BE662+BE663)</f>
        <v>1.4993449285619023</v>
      </c>
      <c r="BC662" s="1196" t="str">
        <f t="shared" si="118"/>
        <v>Cooling RES 2 Year EUL</v>
      </c>
      <c r="BD662" s="165">
        <f>(INDEX('Avoided Cost Benefits'!$C$4:$C$857,MATCH(BC662,'Avoided Cost Benefits'!$A$4:$A$857,0)))*F662</f>
        <v>34.506527366522619</v>
      </c>
      <c r="BE662" s="74">
        <f t="shared" si="119"/>
        <v>29.259084473808397</v>
      </c>
    </row>
    <row r="663" spans="1:57" s="1177" customFormat="1" x14ac:dyDescent="0.25">
      <c r="A663" s="1197"/>
      <c r="B663" s="2118"/>
      <c r="C663" s="1543" t="s">
        <v>1898</v>
      </c>
      <c r="D663" s="2045" t="s">
        <v>1610</v>
      </c>
      <c r="E663" s="2183" t="s">
        <v>1899</v>
      </c>
      <c r="F663" s="2113">
        <f>ROUND((G687*G689*(1/G694-1/G698)/G686),2)</f>
        <v>164.95</v>
      </c>
      <c r="G663" s="2045" t="s">
        <v>738</v>
      </c>
      <c r="H663" s="239">
        <f>VLOOKUP(G663,'CP FACTORS'!$A$3:$B$38, 2, FALSE)</f>
        <v>0</v>
      </c>
      <c r="I663" s="2015">
        <f t="shared" si="115"/>
        <v>0</v>
      </c>
      <c r="J663" s="1289">
        <f t="shared" si="114"/>
        <v>2</v>
      </c>
      <c r="K663" s="1648">
        <v>0</v>
      </c>
      <c r="L663" s="619" t="s">
        <v>37</v>
      </c>
      <c r="M663" s="1197"/>
      <c r="N663" s="1197"/>
      <c r="O663" s="1197"/>
      <c r="P663" s="1197"/>
      <c r="Q663" s="1197"/>
      <c r="R663" s="1894"/>
      <c r="S663" s="1197"/>
      <c r="T663" s="1197"/>
      <c r="U663" s="1197"/>
      <c r="V663" s="245" t="str">
        <f t="shared" si="116"/>
        <v>kWh
Annual Savings</v>
      </c>
      <c r="W663" s="1291">
        <v>221.50760781464643</v>
      </c>
      <c r="X663" s="219">
        <v>221.50760781464643</v>
      </c>
      <c r="Y663" s="86">
        <v>164.95</v>
      </c>
      <c r="Z663" s="87"/>
      <c r="AA663" s="245"/>
      <c r="AB663" s="245"/>
      <c r="AC663" s="245"/>
      <c r="AD663" s="245"/>
      <c r="AE663" s="245"/>
      <c r="AF663" s="245"/>
      <c r="AG663" s="245"/>
      <c r="AH663" s="248"/>
      <c r="AK663" s="1166"/>
      <c r="BB663" s="1275"/>
      <c r="BC663" s="1292" t="str">
        <f t="shared" si="118"/>
        <v>Heating RES 2 Year EUL</v>
      </c>
      <c r="BD663" s="165">
        <f>(INDEX('Avoided Cost Benefits'!$C$4:$C$857,MATCH(BC663,'Avoided Cost Benefits'!$A$4:$A$857,0)))*F663</f>
        <v>9.3629325536462975</v>
      </c>
      <c r="BE663" s="74">
        <f t="shared" si="119"/>
        <v>0</v>
      </c>
    </row>
    <row r="664" spans="1:57" s="1177" customFormat="1" x14ac:dyDescent="0.25">
      <c r="A664" s="1197"/>
      <c r="B664" s="2118"/>
      <c r="C664" s="1543" t="s">
        <v>1900</v>
      </c>
      <c r="D664" s="2045" t="s">
        <v>1613</v>
      </c>
      <c r="E664" s="583" t="s">
        <v>1901</v>
      </c>
      <c r="F664" s="2113">
        <f>ROUND(($G$674*$G$677*(1/$G$681-1/$G$685)/$G$686),2)</f>
        <v>120.5</v>
      </c>
      <c r="G664" s="2045" t="s">
        <v>737</v>
      </c>
      <c r="H664" s="239">
        <f>VLOOKUP(G664,'CP FACTORS'!$A$3:$B$38, 2, FALSE)</f>
        <v>9.4741810000000004E-4</v>
      </c>
      <c r="I664" s="2015">
        <f t="shared" si="115"/>
        <v>0.114164</v>
      </c>
      <c r="J664" s="1289">
        <f t="shared" si="114"/>
        <v>2</v>
      </c>
      <c r="K664" s="1648">
        <f>$G$703</f>
        <v>31</v>
      </c>
      <c r="L664" s="1290" t="s">
        <v>37</v>
      </c>
      <c r="M664" s="1197"/>
      <c r="N664" s="1197"/>
      <c r="O664" s="1197"/>
      <c r="P664" s="1197"/>
      <c r="Q664" s="1197"/>
      <c r="R664" s="1894"/>
      <c r="S664" s="1197"/>
      <c r="T664" s="1197"/>
      <c r="U664" s="1197"/>
      <c r="V664" s="245" t="str">
        <f t="shared" si="116"/>
        <v>kWh
Annual Savings</v>
      </c>
      <c r="W664" s="1291">
        <v>131.07523916263028</v>
      </c>
      <c r="X664" s="219">
        <v>131.07523916263028</v>
      </c>
      <c r="Y664" s="86">
        <v>120.5</v>
      </c>
      <c r="Z664" s="87"/>
      <c r="AA664" s="245"/>
      <c r="AB664" s="245"/>
      <c r="AC664" s="245"/>
      <c r="AD664" s="245"/>
      <c r="AE664" s="245"/>
      <c r="AF664" s="245"/>
      <c r="AG664" s="245"/>
      <c r="AH664" s="248"/>
      <c r="AK664" s="1166"/>
      <c r="BB664" s="72">
        <f t="shared" ref="BB664" si="131">(BD664+BD665)/(BE664+BE665)</f>
        <v>0.89596521180051769</v>
      </c>
      <c r="BC664" s="1196" t="str">
        <f t="shared" si="118"/>
        <v>Cooling RES 2 Year EUL</v>
      </c>
      <c r="BD664" s="165">
        <f>(INDEX('Avoided Cost Benefits'!$C$4:$C$857,MATCH(BC664,'Avoided Cost Benefits'!$A$4:$A$857,0)))*F664</f>
        <v>20.620067184061369</v>
      </c>
      <c r="BE664" s="74">
        <f t="shared" si="119"/>
        <v>29.259084473808397</v>
      </c>
    </row>
    <row r="665" spans="1:57" s="1177" customFormat="1" x14ac:dyDescent="0.25">
      <c r="A665" s="1197"/>
      <c r="B665" s="2118"/>
      <c r="C665" s="1543" t="s">
        <v>1900</v>
      </c>
      <c r="D665" s="2045" t="s">
        <v>1613</v>
      </c>
      <c r="E665" s="2183" t="s">
        <v>1901</v>
      </c>
      <c r="F665" s="2113">
        <f>ROUND(($G$687*$G$690*(1/$G$694-1/$G$698)/$G$686),2)</f>
        <v>98.57</v>
      </c>
      <c r="G665" s="2045" t="s">
        <v>738</v>
      </c>
      <c r="H665" s="239">
        <f>VLOOKUP(G665,'CP FACTORS'!$A$3:$B$38, 2, FALSE)</f>
        <v>0</v>
      </c>
      <c r="I665" s="2015">
        <f t="shared" si="115"/>
        <v>0</v>
      </c>
      <c r="J665" s="1289">
        <f t="shared" si="114"/>
        <v>2</v>
      </c>
      <c r="K665" s="1648">
        <v>0</v>
      </c>
      <c r="L665" s="619" t="s">
        <v>37</v>
      </c>
      <c r="M665" s="1197"/>
      <c r="N665" s="1197"/>
      <c r="O665" s="1197"/>
      <c r="P665" s="1197"/>
      <c r="Q665" s="1197"/>
      <c r="R665" s="1894"/>
      <c r="S665" s="1197"/>
      <c r="T665" s="1197"/>
      <c r="U665" s="1197"/>
      <c r="V665" s="245" t="str">
        <f t="shared" si="116"/>
        <v>kWh
Annual Savings</v>
      </c>
      <c r="W665" s="1294">
        <v>143.97994507952021</v>
      </c>
      <c r="X665" s="219">
        <v>143.97994507952021</v>
      </c>
      <c r="Y665" s="86">
        <v>98.57</v>
      </c>
      <c r="Z665" s="87"/>
      <c r="AA665" s="245"/>
      <c r="AB665" s="245"/>
      <c r="AC665" s="245"/>
      <c r="AD665" s="245"/>
      <c r="AE665" s="245"/>
      <c r="AF665" s="245"/>
      <c r="AG665" s="245"/>
      <c r="AH665" s="248"/>
      <c r="AK665" s="1166"/>
      <c r="BB665" s="1275"/>
      <c r="BC665" s="1292" t="str">
        <f t="shared" si="118"/>
        <v>Heating RES 2 Year EUL</v>
      </c>
      <c r="BD665" s="165">
        <f>(INDEX('Avoided Cost Benefits'!$C$4:$C$857,MATCH(BC665,'Avoided Cost Benefits'!$A$4:$A$857,0)))*F665</f>
        <v>5.5950546336036107</v>
      </c>
      <c r="BE665" s="74">
        <f t="shared" si="119"/>
        <v>0</v>
      </c>
    </row>
    <row r="666" spans="1:57" s="1177" customFormat="1" x14ac:dyDescent="0.25">
      <c r="A666" s="1197"/>
      <c r="B666" s="2118"/>
      <c r="C666" s="2543" t="s">
        <v>3430</v>
      </c>
      <c r="D666" s="2045" t="s">
        <v>1616</v>
      </c>
      <c r="E666" s="884" t="str">
        <f>CONCATENATE(E664,"_CompE")</f>
        <v>HP tune-up / Outdoor Coil (Condenser) Cleaning MF_CompE</v>
      </c>
      <c r="F666" s="2113">
        <f>ROUND(($G$675*$G$677*(1/$G$681-1/$G$685)/$G$686),2)</f>
        <v>87.64</v>
      </c>
      <c r="G666" s="2045" t="s">
        <v>737</v>
      </c>
      <c r="H666" s="239">
        <f>VLOOKUP(G666,'CP FACTORS'!$A$3:$B$38, 2, FALSE)</f>
        <v>9.4741810000000004E-4</v>
      </c>
      <c r="I666" s="2015">
        <f t="shared" si="115"/>
        <v>8.3031999999999995E-2</v>
      </c>
      <c r="J666" s="1289">
        <f t="shared" si="114"/>
        <v>2</v>
      </c>
      <c r="K666" s="1648">
        <f>$G$703</f>
        <v>31</v>
      </c>
      <c r="L666" s="1290" t="s">
        <v>37</v>
      </c>
      <c r="M666" s="1197"/>
      <c r="N666" s="1197"/>
      <c r="O666" s="1197"/>
      <c r="P666" s="1197"/>
      <c r="Q666" s="1197"/>
      <c r="R666" s="1894"/>
      <c r="S666" s="1197"/>
      <c r="T666" s="1197"/>
      <c r="U666" s="1197"/>
      <c r="V666" s="245" t="str">
        <f t="shared" si="116"/>
        <v>kWh
Annual Savings</v>
      </c>
      <c r="W666" s="1291"/>
      <c r="X666" s="219"/>
      <c r="Y666" s="86">
        <v>87.64</v>
      </c>
      <c r="Z666" s="87"/>
      <c r="AA666" s="245"/>
      <c r="AB666" s="245"/>
      <c r="AC666" s="245"/>
      <c r="AD666" s="245"/>
      <c r="AE666" s="245"/>
      <c r="AF666" s="245"/>
      <c r="AG666" s="245"/>
      <c r="AH666" s="248"/>
      <c r="AK666" s="1166"/>
      <c r="BB666" s="72">
        <f t="shared" ref="BB666" si="132">(BD666+BD667)/(BE666+BE667)</f>
        <v>0.57774351249716316</v>
      </c>
      <c r="BC666" s="1196" t="str">
        <f t="shared" ref="BC666:BC667" si="133">CONCATENATE(G666," ",J666," Year EUL")</f>
        <v>Cooling RES 2 Year EUL</v>
      </c>
      <c r="BD666" s="165">
        <f>(INDEX('Avoided Cost Benefits'!$C$4:$C$857,MATCH(BC666,'Avoided Cost Benefits'!$A$4:$A$857,0)))*F666</f>
        <v>14.997034755279158</v>
      </c>
      <c r="BE666" s="74">
        <f t="shared" ref="BE666:BE667" si="134">K666/(1.0595^(2020-2019))</f>
        <v>29.259084473808397</v>
      </c>
    </row>
    <row r="667" spans="1:57" s="1177" customFormat="1" x14ac:dyDescent="0.25">
      <c r="A667" s="1197"/>
      <c r="B667" s="2118"/>
      <c r="C667" s="2543" t="s">
        <v>3430</v>
      </c>
      <c r="D667" s="2045" t="s">
        <v>1616</v>
      </c>
      <c r="E667" s="892" t="str">
        <f>CONCATENATE(E665,"_CompE")</f>
        <v>HP tune-up / Outdoor Coil (Condenser) Cleaning MF_CompE</v>
      </c>
      <c r="F667" s="2113">
        <f>ROUND(($G$688*$G$690*(1/$G$694-1/$G$698)/$G$686),2)</f>
        <v>33.6</v>
      </c>
      <c r="G667" s="2045" t="s">
        <v>738</v>
      </c>
      <c r="H667" s="239">
        <f>VLOOKUP(G667,'CP FACTORS'!$A$3:$B$38, 2, FALSE)</f>
        <v>0</v>
      </c>
      <c r="I667" s="2015">
        <f t="shared" si="115"/>
        <v>0</v>
      </c>
      <c r="J667" s="1289">
        <f t="shared" si="114"/>
        <v>2</v>
      </c>
      <c r="K667" s="1648">
        <v>0</v>
      </c>
      <c r="L667" s="619" t="s">
        <v>37</v>
      </c>
      <c r="M667" s="1197"/>
      <c r="N667" s="1197"/>
      <c r="O667" s="1197"/>
      <c r="P667" s="1197"/>
      <c r="Q667" s="1197"/>
      <c r="R667" s="1894"/>
      <c r="S667" s="1197"/>
      <c r="T667" s="1197"/>
      <c r="U667" s="1197"/>
      <c r="V667" s="245" t="str">
        <f t="shared" si="116"/>
        <v>kWh
Annual Savings</v>
      </c>
      <c r="W667" s="1294"/>
      <c r="X667" s="219"/>
      <c r="Y667" s="86">
        <v>33.6</v>
      </c>
      <c r="Z667" s="87"/>
      <c r="AA667" s="245"/>
      <c r="AB667" s="245"/>
      <c r="AC667" s="245"/>
      <c r="AD667" s="245"/>
      <c r="AE667" s="245"/>
      <c r="AF667" s="245"/>
      <c r="AG667" s="245"/>
      <c r="AH667" s="248"/>
      <c r="AK667" s="1166"/>
      <c r="BB667" s="1277"/>
      <c r="BC667" s="1292" t="str">
        <f t="shared" si="133"/>
        <v>Heating RES 2 Year EUL</v>
      </c>
      <c r="BD667" s="170">
        <f>(INDEX('Avoided Cost Benefits'!$C$4:$C$857,MATCH(BC667,'Avoided Cost Benefits'!$A$4:$A$857,0)))*F667</f>
        <v>1.9072114810701162</v>
      </c>
      <c r="BE667" s="76">
        <f t="shared" si="134"/>
        <v>0</v>
      </c>
    </row>
    <row r="668" spans="1:57" s="43" customFormat="1" outlineLevel="1" x14ac:dyDescent="0.25">
      <c r="A668" s="233"/>
      <c r="B668" s="233"/>
      <c r="C668" s="231"/>
      <c r="D668" s="232"/>
      <c r="E668" s="232"/>
      <c r="F668" s="2114"/>
      <c r="G668" s="233"/>
      <c r="H668" s="233"/>
      <c r="I668" s="233"/>
      <c r="J668" s="1325" t="s">
        <v>1902</v>
      </c>
      <c r="K668" s="233"/>
      <c r="L668" s="233"/>
      <c r="M668" s="233"/>
      <c r="N668" s="177"/>
      <c r="O668" s="177"/>
      <c r="P668" s="177"/>
      <c r="Q668" s="177"/>
      <c r="R668" s="233"/>
      <c r="S668" s="233"/>
      <c r="T668" s="233"/>
      <c r="U668" s="233"/>
      <c r="Y668" s="1295"/>
      <c r="AK668" s="1166"/>
      <c r="BB668" s="1287"/>
    </row>
    <row r="669" spans="1:57" s="43" customFormat="1" outlineLevel="1" x14ac:dyDescent="0.25">
      <c r="A669" s="233"/>
      <c r="B669" s="233"/>
      <c r="C669" s="231"/>
      <c r="D669" s="259" t="s">
        <v>617</v>
      </c>
      <c r="E669" s="438"/>
      <c r="F669" s="2115"/>
      <c r="G669" s="233"/>
      <c r="H669" s="233"/>
      <c r="I669" s="233"/>
      <c r="J669" s="233"/>
      <c r="K669" s="233"/>
      <c r="L669" s="233"/>
      <c r="M669" s="233"/>
      <c r="N669" s="1723"/>
      <c r="O669" s="1723"/>
      <c r="P669" s="1723"/>
      <c r="Q669" s="1723"/>
      <c r="R669" s="1723"/>
      <c r="S669" s="1723"/>
      <c r="T669" s="1723"/>
      <c r="U669" s="1723"/>
      <c r="V669" s="42"/>
      <c r="Y669" s="1295"/>
      <c r="AK669" s="1166"/>
      <c r="BB669" s="1287"/>
    </row>
    <row r="670" spans="1:57" s="43" customFormat="1" outlineLevel="1" x14ac:dyDescent="0.25">
      <c r="A670" s="233"/>
      <c r="B670" s="233"/>
      <c r="C670" s="231"/>
      <c r="D670" s="1530"/>
      <c r="E670" s="438"/>
      <c r="F670" s="2115"/>
      <c r="G670" s="233"/>
      <c r="H670" s="233"/>
      <c r="I670" s="233"/>
      <c r="J670" s="233"/>
      <c r="K670" s="233"/>
      <c r="L670" s="233"/>
      <c r="M670" s="233"/>
      <c r="N670" s="233"/>
      <c r="O670" s="1325"/>
      <c r="P670" s="1325"/>
      <c r="Q670" s="1325"/>
      <c r="R670" s="1325"/>
      <c r="S670" s="1325"/>
      <c r="T670" s="1325"/>
      <c r="U670" s="1325"/>
      <c r="V670" s="42"/>
      <c r="Y670" s="1295"/>
      <c r="AK670" s="1166"/>
      <c r="BB670" s="1287"/>
    </row>
    <row r="671" spans="1:57" s="43" customFormat="1" outlineLevel="1" x14ac:dyDescent="0.25">
      <c r="A671" s="233"/>
      <c r="B671" s="233"/>
      <c r="C671" s="231"/>
      <c r="D671" s="1530"/>
      <c r="E671" s="438"/>
      <c r="F671" s="2115"/>
      <c r="G671" s="233"/>
      <c r="H671" s="233"/>
      <c r="I671" s="233"/>
      <c r="J671" s="233"/>
      <c r="K671" s="233"/>
      <c r="L671" s="233"/>
      <c r="M671" s="233"/>
      <c r="N671" s="233"/>
      <c r="O671" s="233"/>
      <c r="P671" s="233"/>
      <c r="Q671" s="233"/>
      <c r="R671" s="233"/>
      <c r="S671" s="233"/>
      <c r="T671" s="233"/>
      <c r="U671" s="233"/>
      <c r="V671" s="234"/>
      <c r="W671" s="234"/>
      <c r="X671" s="234"/>
      <c r="Y671" s="1296"/>
      <c r="Z671" s="234"/>
      <c r="AA671" s="234"/>
      <c r="AK671" s="1166"/>
      <c r="BB671" s="1287"/>
    </row>
    <row r="672" spans="1:57" s="43" customFormat="1" outlineLevel="1" x14ac:dyDescent="0.25">
      <c r="A672" s="233"/>
      <c r="B672" s="233"/>
      <c r="C672" s="231"/>
      <c r="D672" s="232"/>
      <c r="E672" s="232"/>
      <c r="F672" s="233"/>
      <c r="G672" s="233"/>
      <c r="H672" s="233"/>
      <c r="I672" s="233"/>
      <c r="J672" s="233"/>
      <c r="K672" s="233"/>
      <c r="L672" s="233"/>
      <c r="M672" s="233"/>
      <c r="N672" s="233"/>
      <c r="O672" s="233"/>
      <c r="P672" s="233"/>
      <c r="Q672" s="233"/>
      <c r="R672" s="233"/>
      <c r="S672" s="233"/>
      <c r="T672" s="233"/>
      <c r="U672" s="233"/>
      <c r="Y672" s="1295"/>
      <c r="AK672" s="1166"/>
      <c r="BB672" s="1287"/>
    </row>
    <row r="673" spans="1:54" s="78" customFormat="1" ht="15" customHeight="1" outlineLevel="1" x14ac:dyDescent="0.25">
      <c r="A673" s="553"/>
      <c r="B673" s="553"/>
      <c r="C673" s="231"/>
      <c r="D673" s="1701" t="s">
        <v>618</v>
      </c>
      <c r="E673" s="1701" t="s">
        <v>619</v>
      </c>
      <c r="F673" s="1701" t="s">
        <v>669</v>
      </c>
      <c r="G673" s="1645" t="s">
        <v>620</v>
      </c>
      <c r="H673" s="2669" t="s">
        <v>670</v>
      </c>
      <c r="I673" s="2669"/>
      <c r="J673" s="2722" t="s">
        <v>621</v>
      </c>
      <c r="K673" s="2727"/>
      <c r="L673" s="2727"/>
      <c r="M673" s="2723"/>
      <c r="N673" s="233"/>
      <c r="O673" s="233"/>
      <c r="P673" s="233"/>
      <c r="Q673" s="233"/>
      <c r="R673" s="553"/>
      <c r="S673" s="553"/>
      <c r="T673" s="553"/>
      <c r="U673" s="553"/>
      <c r="V673" s="55" t="s">
        <v>27</v>
      </c>
      <c r="W673" s="56">
        <f>W$6</f>
        <v>43252</v>
      </c>
      <c r="X673" s="56">
        <f t="shared" ref="X673:AG673" si="135">X$6</f>
        <v>43465</v>
      </c>
      <c r="Y673" s="500">
        <f t="shared" si="135"/>
        <v>43800</v>
      </c>
      <c r="Z673" s="56">
        <f t="shared" si="135"/>
        <v>43862</v>
      </c>
      <c r="AA673" s="56" t="str">
        <f t="shared" si="135"/>
        <v>-</v>
      </c>
      <c r="AB673" s="56" t="str">
        <f t="shared" si="135"/>
        <v>-</v>
      </c>
      <c r="AC673" s="56" t="str">
        <f t="shared" si="135"/>
        <v>-</v>
      </c>
      <c r="AD673" s="56" t="str">
        <f t="shared" si="135"/>
        <v>-</v>
      </c>
      <c r="AE673" s="56" t="str">
        <f t="shared" si="135"/>
        <v>-</v>
      </c>
      <c r="AF673" s="56" t="str">
        <f t="shared" si="135"/>
        <v>-</v>
      </c>
      <c r="AG673" s="56" t="str">
        <f t="shared" si="135"/>
        <v>-</v>
      </c>
      <c r="AK673" s="1166"/>
      <c r="BB673" s="108"/>
    </row>
    <row r="674" spans="1:54" s="141" customFormat="1" ht="18" customHeight="1" outlineLevel="1" x14ac:dyDescent="0.25">
      <c r="A674" s="327"/>
      <c r="B674" s="327"/>
      <c r="C674" s="266"/>
      <c r="D674" s="2931" t="s">
        <v>1903</v>
      </c>
      <c r="E674" s="2931" t="s">
        <v>1393</v>
      </c>
      <c r="F674" s="1301" t="s">
        <v>790</v>
      </c>
      <c r="G674" s="1297">
        <v>869</v>
      </c>
      <c r="H674" s="3031" t="s">
        <v>953</v>
      </c>
      <c r="I674" s="3032"/>
      <c r="J674" s="2936"/>
      <c r="K674" s="2936"/>
      <c r="L674" s="2936"/>
      <c r="M674" s="2936"/>
      <c r="N674" s="233"/>
      <c r="O674" s="233"/>
      <c r="P674" s="233"/>
      <c r="Q674" s="233"/>
      <c r="R674" s="327"/>
      <c r="S674" s="327"/>
      <c r="T674" s="327"/>
      <c r="U674" s="327"/>
      <c r="V674" s="2937" t="s">
        <v>1633</v>
      </c>
      <c r="W674" s="1298">
        <v>869</v>
      </c>
      <c r="X674" s="287">
        <v>869</v>
      </c>
      <c r="Y674" s="287">
        <v>869</v>
      </c>
      <c r="Z674" s="288"/>
      <c r="AA674" s="288"/>
      <c r="AB674" s="288"/>
      <c r="AC674" s="289"/>
      <c r="AD674" s="289"/>
      <c r="AE674" s="289"/>
      <c r="AF674" s="289"/>
      <c r="AG674" s="289"/>
      <c r="AK674" s="1166"/>
      <c r="BB674" s="1299"/>
    </row>
    <row r="675" spans="1:54" s="141" customFormat="1" ht="18" customHeight="1" outlineLevel="1" x14ac:dyDescent="0.25">
      <c r="A675" s="327"/>
      <c r="B675" s="327"/>
      <c r="C675" s="266"/>
      <c r="D675" s="2939"/>
      <c r="E675" s="2939"/>
      <c r="F675" s="1301" t="s">
        <v>792</v>
      </c>
      <c r="G675" s="1297">
        <v>632</v>
      </c>
      <c r="H675" s="3033"/>
      <c r="I675" s="3034"/>
      <c r="J675" s="1691"/>
      <c r="K675" s="1693"/>
      <c r="L675" s="1693"/>
      <c r="M675" s="1694"/>
      <c r="N675" s="233"/>
      <c r="O675" s="233"/>
      <c r="P675" s="233"/>
      <c r="Q675" s="233"/>
      <c r="R675" s="327"/>
      <c r="S675" s="327"/>
      <c r="T675" s="327"/>
      <c r="U675" s="327"/>
      <c r="V675" s="2946"/>
      <c r="W675" s="1298"/>
      <c r="X675" s="287"/>
      <c r="Y675" s="1300">
        <v>632</v>
      </c>
      <c r="Z675" s="288"/>
      <c r="AA675" s="288"/>
      <c r="AB675" s="288"/>
      <c r="AC675" s="289"/>
      <c r="AD675" s="289"/>
      <c r="AE675" s="289"/>
      <c r="AF675" s="289"/>
      <c r="AG675" s="289"/>
      <c r="AK675" s="1166"/>
      <c r="BB675" s="1299"/>
    </row>
    <row r="676" spans="1:54" s="141" customFormat="1" ht="15" customHeight="1" outlineLevel="1" x14ac:dyDescent="0.25">
      <c r="A676" s="327"/>
      <c r="B676" s="327"/>
      <c r="C676" s="266"/>
      <c r="D676" s="2931" t="s">
        <v>1904</v>
      </c>
      <c r="E676" s="2931" t="s">
        <v>1602</v>
      </c>
      <c r="F676" s="1301" t="s">
        <v>795</v>
      </c>
      <c r="G676" s="1297">
        <v>37716.279069767443</v>
      </c>
      <c r="H676" s="2720" t="s">
        <v>1905</v>
      </c>
      <c r="I676" s="2721"/>
      <c r="J676" s="2933" t="s">
        <v>1636</v>
      </c>
      <c r="K676" s="2934"/>
      <c r="L676" s="2934"/>
      <c r="M676" s="2935"/>
      <c r="N676" s="233"/>
      <c r="O676" s="233"/>
      <c r="P676" s="233"/>
      <c r="Q676" s="233"/>
      <c r="R676" s="327"/>
      <c r="S676" s="327"/>
      <c r="T676" s="327"/>
      <c r="U676" s="327"/>
      <c r="V676" s="2937" t="s">
        <v>1634</v>
      </c>
      <c r="W676" s="1298">
        <v>37716.279069767443</v>
      </c>
      <c r="X676" s="287">
        <v>37716.279069767443</v>
      </c>
      <c r="Y676" s="287">
        <v>37716.279069767443</v>
      </c>
      <c r="Z676" s="288"/>
      <c r="AA676" s="288"/>
      <c r="AB676" s="288"/>
      <c r="AC676" s="289"/>
      <c r="AD676" s="289"/>
      <c r="AE676" s="289"/>
      <c r="AF676" s="289"/>
      <c r="AG676" s="289"/>
      <c r="AK676" s="1166"/>
      <c r="BB676" s="1299"/>
    </row>
    <row r="677" spans="1:54" s="141" customFormat="1" ht="50.25" customHeight="1" outlineLevel="1" x14ac:dyDescent="0.25">
      <c r="A677" s="327"/>
      <c r="B677" s="327"/>
      <c r="C677" s="266"/>
      <c r="D677" s="2932"/>
      <c r="E677" s="2932"/>
      <c r="F677" s="1301" t="s">
        <v>797</v>
      </c>
      <c r="G677" s="1297">
        <v>22537.991266375546</v>
      </c>
      <c r="H677" s="2720" t="s">
        <v>1282</v>
      </c>
      <c r="I677" s="2721"/>
      <c r="J677" s="2933"/>
      <c r="K677" s="2934"/>
      <c r="L677" s="2934"/>
      <c r="M677" s="2935"/>
      <c r="N677" s="233"/>
      <c r="O677" s="233"/>
      <c r="P677" s="233"/>
      <c r="Q677" s="233"/>
      <c r="R677" s="327"/>
      <c r="S677" s="327"/>
      <c r="T677" s="327"/>
      <c r="U677" s="327"/>
      <c r="V677" s="2938"/>
      <c r="W677" s="1298">
        <f>W676*0.65</f>
        <v>24515.58139534884</v>
      </c>
      <c r="X677" s="287">
        <v>24515.58139534884</v>
      </c>
      <c r="Y677" s="1300">
        <v>22537.991266375546</v>
      </c>
      <c r="Z677" s="288"/>
      <c r="AA677" s="288"/>
      <c r="AB677" s="288"/>
      <c r="AC677" s="289"/>
      <c r="AD677" s="289"/>
      <c r="AE677" s="289"/>
      <c r="AF677" s="289"/>
      <c r="AG677" s="289"/>
      <c r="AK677" s="1166"/>
      <c r="BB677" s="1299"/>
    </row>
    <row r="678" spans="1:54" s="141" customFormat="1" ht="30" customHeight="1" outlineLevel="1" x14ac:dyDescent="0.25">
      <c r="A678" s="327"/>
      <c r="B678" s="327"/>
      <c r="C678" s="266"/>
      <c r="D678" s="2931" t="s">
        <v>1638</v>
      </c>
      <c r="E678" s="2931" t="s">
        <v>1639</v>
      </c>
      <c r="F678" s="1301" t="s">
        <v>1640</v>
      </c>
      <c r="G678" s="1691">
        <v>11.9</v>
      </c>
      <c r="H678" s="2720" t="s">
        <v>1289</v>
      </c>
      <c r="I678" s="2721"/>
      <c r="J678" s="2720"/>
      <c r="K678" s="3035"/>
      <c r="L678" s="3035"/>
      <c r="M678" s="2721"/>
      <c r="N678" s="233"/>
      <c r="O678" s="327"/>
      <c r="P678" s="327"/>
      <c r="Q678" s="327"/>
      <c r="R678" s="327"/>
      <c r="S678" s="327"/>
      <c r="T678" s="327"/>
      <c r="U678" s="327"/>
      <c r="V678" s="2937" t="s">
        <v>1638</v>
      </c>
      <c r="W678" s="1302">
        <v>11.9</v>
      </c>
      <c r="X678" s="282">
        <v>11.9</v>
      </c>
      <c r="Y678" s="283">
        <v>11.9</v>
      </c>
      <c r="Z678" s="1303"/>
      <c r="AA678" s="283"/>
      <c r="AB678" s="283"/>
      <c r="AC678" s="284"/>
      <c r="AD678" s="284"/>
      <c r="AE678" s="284"/>
      <c r="AF678" s="284"/>
      <c r="AG678" s="284"/>
      <c r="AK678" s="1166"/>
      <c r="BB678" s="1299"/>
    </row>
    <row r="679" spans="1:54" s="141" customFormat="1" ht="36" customHeight="1" outlineLevel="1" x14ac:dyDescent="0.25">
      <c r="A679" s="327"/>
      <c r="B679" s="327"/>
      <c r="C679" s="266"/>
      <c r="D679" s="2948"/>
      <c r="E679" s="2948"/>
      <c r="F679" s="1301" t="s">
        <v>1641</v>
      </c>
      <c r="G679" s="1691">
        <v>11.9</v>
      </c>
      <c r="H679" s="2720"/>
      <c r="I679" s="2721"/>
      <c r="J679" s="2720"/>
      <c r="K679" s="3035"/>
      <c r="L679" s="3035"/>
      <c r="M679" s="2721"/>
      <c r="N679" s="233"/>
      <c r="O679" s="327"/>
      <c r="P679" s="327"/>
      <c r="Q679" s="327"/>
      <c r="R679" s="327"/>
      <c r="S679" s="327"/>
      <c r="T679" s="327"/>
      <c r="U679" s="327"/>
      <c r="V679" s="2949"/>
      <c r="W679" s="1302">
        <v>11.9</v>
      </c>
      <c r="X679" s="1304">
        <v>11.9</v>
      </c>
      <c r="Y679" s="283">
        <v>11.9</v>
      </c>
      <c r="Z679" s="283"/>
      <c r="AA679" s="283"/>
      <c r="AB679" s="283"/>
      <c r="AC679" s="284"/>
      <c r="AD679" s="284"/>
      <c r="AE679" s="284"/>
      <c r="AF679" s="284"/>
      <c r="AG679" s="284"/>
      <c r="AK679" s="1166"/>
      <c r="BB679" s="1299"/>
    </row>
    <row r="680" spans="1:54" s="141" customFormat="1" ht="15" customHeight="1" outlineLevel="1" x14ac:dyDescent="0.25">
      <c r="A680" s="327"/>
      <c r="B680" s="327"/>
      <c r="C680" s="266"/>
      <c r="D680" s="2948"/>
      <c r="E680" s="2948"/>
      <c r="F680" s="1301" t="s">
        <v>1642</v>
      </c>
      <c r="G680" s="1691">
        <v>11.9</v>
      </c>
      <c r="H680" s="2720" t="s">
        <v>1289</v>
      </c>
      <c r="I680" s="2721"/>
      <c r="J680" s="2720" t="s">
        <v>1643</v>
      </c>
      <c r="K680" s="3035"/>
      <c r="L680" s="3035"/>
      <c r="M680" s="2721"/>
      <c r="N680" s="233"/>
      <c r="O680" s="327"/>
      <c r="P680" s="327"/>
      <c r="Q680" s="327"/>
      <c r="R680" s="327"/>
      <c r="S680" s="327"/>
      <c r="T680" s="327"/>
      <c r="U680" s="327"/>
      <c r="V680" s="2949"/>
      <c r="W680" s="1302">
        <v>11.9</v>
      </c>
      <c r="X680" s="282">
        <v>11.9</v>
      </c>
      <c r="Y680" s="283">
        <v>11.9</v>
      </c>
      <c r="Z680" s="283"/>
      <c r="AA680" s="283"/>
      <c r="AB680" s="283"/>
      <c r="AC680" s="284"/>
      <c r="AD680" s="284"/>
      <c r="AE680" s="284"/>
      <c r="AF680" s="284"/>
      <c r="AG680" s="284"/>
      <c r="AK680" s="1166"/>
      <c r="BB680" s="1299"/>
    </row>
    <row r="681" spans="1:54" s="141" customFormat="1" ht="38.25" customHeight="1" outlineLevel="1" x14ac:dyDescent="0.25">
      <c r="A681" s="327"/>
      <c r="B681" s="327"/>
      <c r="C681" s="266"/>
      <c r="D681" s="2932"/>
      <c r="E681" s="2932"/>
      <c r="F681" s="1301" t="s">
        <v>1644</v>
      </c>
      <c r="G681" s="1691">
        <v>11.9</v>
      </c>
      <c r="H681" s="2720"/>
      <c r="I681" s="2721"/>
      <c r="J681" s="2720"/>
      <c r="K681" s="3035"/>
      <c r="L681" s="3035"/>
      <c r="M681" s="2721"/>
      <c r="N681" s="327"/>
      <c r="O681" s="327"/>
      <c r="P681" s="327"/>
      <c r="Q681" s="327"/>
      <c r="R681" s="327"/>
      <c r="S681" s="327"/>
      <c r="T681" s="327"/>
      <c r="U681" s="327"/>
      <c r="V681" s="2938"/>
      <c r="W681" s="1302">
        <v>11.9</v>
      </c>
      <c r="X681" s="282">
        <v>11.9</v>
      </c>
      <c r="Y681" s="283">
        <v>11.9</v>
      </c>
      <c r="Z681" s="283"/>
      <c r="AA681" s="283"/>
      <c r="AB681" s="283"/>
      <c r="AC681" s="284"/>
      <c r="AD681" s="284"/>
      <c r="AE681" s="284"/>
      <c r="AF681" s="284"/>
      <c r="AG681" s="284"/>
      <c r="AK681" s="1166"/>
      <c r="BB681" s="1299"/>
    </row>
    <row r="682" spans="1:54" s="141" customFormat="1" ht="30" customHeight="1" outlineLevel="1" x14ac:dyDescent="0.25">
      <c r="A682" s="327"/>
      <c r="B682" s="327"/>
      <c r="C682" s="266"/>
      <c r="D682" s="2931" t="s">
        <v>1906</v>
      </c>
      <c r="E682" s="2931" t="s">
        <v>1646</v>
      </c>
      <c r="F682" s="1301" t="s">
        <v>1640</v>
      </c>
      <c r="G682" s="1691">
        <v>12.566400000000002</v>
      </c>
      <c r="H682" s="2947" t="s">
        <v>1289</v>
      </c>
      <c r="I682" s="2947"/>
      <c r="J682" s="2947" t="s">
        <v>1643</v>
      </c>
      <c r="K682" s="2947"/>
      <c r="L682" s="2947"/>
      <c r="M682" s="2947"/>
      <c r="N682" s="233"/>
      <c r="O682" s="327"/>
      <c r="P682" s="327"/>
      <c r="Q682" s="327"/>
      <c r="R682" s="327"/>
      <c r="S682" s="327"/>
      <c r="T682" s="327"/>
      <c r="U682" s="327"/>
      <c r="V682" s="2937" t="s">
        <v>1645</v>
      </c>
      <c r="W682" s="1302">
        <v>12.566400000000002</v>
      </c>
      <c r="X682" s="282">
        <v>12.566400000000002</v>
      </c>
      <c r="Y682" s="283">
        <v>12.566400000000002</v>
      </c>
      <c r="Z682" s="283"/>
      <c r="AA682" s="283"/>
      <c r="AB682" s="283"/>
      <c r="AC682" s="284"/>
      <c r="AD682" s="284"/>
      <c r="AE682" s="284"/>
      <c r="AF682" s="284"/>
      <c r="AG682" s="284"/>
      <c r="AK682" s="1166"/>
      <c r="BB682" s="1299"/>
    </row>
    <row r="683" spans="1:54" s="141" customFormat="1" ht="15" customHeight="1" outlineLevel="1" x14ac:dyDescent="0.25">
      <c r="A683" s="327"/>
      <c r="B683" s="327"/>
      <c r="C683" s="266"/>
      <c r="D683" s="2948"/>
      <c r="E683" s="2948"/>
      <c r="F683" s="1301" t="s">
        <v>1641</v>
      </c>
      <c r="G683" s="1691">
        <v>15.2796</v>
      </c>
      <c r="H683" s="2947" t="s">
        <v>1289</v>
      </c>
      <c r="I683" s="2947"/>
      <c r="J683" s="2947" t="s">
        <v>1643</v>
      </c>
      <c r="K683" s="2947"/>
      <c r="L683" s="2947"/>
      <c r="M683" s="2947"/>
      <c r="N683" s="233"/>
      <c r="O683" s="327"/>
      <c r="P683" s="327"/>
      <c r="Q683" s="327"/>
      <c r="R683" s="327"/>
      <c r="S683" s="327"/>
      <c r="T683" s="327"/>
      <c r="U683" s="327"/>
      <c r="V683" s="2949"/>
      <c r="W683" s="1302">
        <v>15.2796</v>
      </c>
      <c r="X683" s="282">
        <v>15.2796</v>
      </c>
      <c r="Y683" s="283">
        <v>15.2796</v>
      </c>
      <c r="Z683" s="283"/>
      <c r="AA683" s="283"/>
      <c r="AB683" s="283"/>
      <c r="AC683" s="284"/>
      <c r="AD683" s="284"/>
      <c r="AE683" s="284"/>
      <c r="AF683" s="284"/>
      <c r="AG683" s="284"/>
      <c r="AK683" s="1166"/>
      <c r="BB683" s="1299"/>
    </row>
    <row r="684" spans="1:54" s="141" customFormat="1" ht="15" customHeight="1" outlineLevel="1" x14ac:dyDescent="0.25">
      <c r="A684" s="327"/>
      <c r="B684" s="327"/>
      <c r="C684" s="266"/>
      <c r="D684" s="2948"/>
      <c r="E684" s="2948"/>
      <c r="F684" s="1301" t="s">
        <v>1642</v>
      </c>
      <c r="G684" s="1691">
        <v>12.352200000000002</v>
      </c>
      <c r="H684" s="2947" t="s">
        <v>1289</v>
      </c>
      <c r="I684" s="2947"/>
      <c r="J684" s="2947" t="s">
        <v>1643</v>
      </c>
      <c r="K684" s="2947"/>
      <c r="L684" s="2947"/>
      <c r="M684" s="2947"/>
      <c r="N684" s="233"/>
      <c r="O684" s="327"/>
      <c r="P684" s="327"/>
      <c r="Q684" s="327"/>
      <c r="R684" s="327"/>
      <c r="S684" s="327"/>
      <c r="T684" s="327"/>
      <c r="U684" s="327"/>
      <c r="V684" s="2949"/>
      <c r="W684" s="1302">
        <v>12.352200000000002</v>
      </c>
      <c r="X684" s="282">
        <v>12.352200000000002</v>
      </c>
      <c r="Y684" s="283">
        <v>12.352200000000002</v>
      </c>
      <c r="Z684" s="283"/>
      <c r="AA684" s="283"/>
      <c r="AB684" s="283"/>
      <c r="AC684" s="284"/>
      <c r="AD684" s="284"/>
      <c r="AE684" s="284"/>
      <c r="AF684" s="284"/>
      <c r="AG684" s="284"/>
      <c r="AK684" s="1166"/>
      <c r="BB684" s="1299"/>
    </row>
    <row r="685" spans="1:54" s="141" customFormat="1" ht="18" customHeight="1" outlineLevel="1" x14ac:dyDescent="0.25">
      <c r="A685" s="327"/>
      <c r="B685" s="327"/>
      <c r="C685" s="266"/>
      <c r="D685" s="2932"/>
      <c r="E685" s="2932"/>
      <c r="F685" s="1301" t="s">
        <v>1644</v>
      </c>
      <c r="G685" s="1692">
        <v>12.8401</v>
      </c>
      <c r="H685" s="2947" t="s">
        <v>1289</v>
      </c>
      <c r="I685" s="2947"/>
      <c r="J685" s="2947" t="s">
        <v>1643</v>
      </c>
      <c r="K685" s="2947"/>
      <c r="L685" s="2947"/>
      <c r="M685" s="2947"/>
      <c r="N685" s="327"/>
      <c r="O685" s="327"/>
      <c r="P685" s="327"/>
      <c r="Q685" s="327"/>
      <c r="R685" s="327"/>
      <c r="S685" s="327"/>
      <c r="T685" s="327"/>
      <c r="U685" s="327"/>
      <c r="V685" s="2938"/>
      <c r="W685" s="282">
        <v>12.8401</v>
      </c>
      <c r="X685" s="282">
        <v>12.8401</v>
      </c>
      <c r="Y685" s="283">
        <v>12.8401</v>
      </c>
      <c r="Z685" s="283"/>
      <c r="AA685" s="283"/>
      <c r="AB685" s="283"/>
      <c r="AC685" s="284"/>
      <c r="AD685" s="284"/>
      <c r="AE685" s="284"/>
      <c r="AF685" s="284"/>
      <c r="AG685" s="284"/>
      <c r="AK685" s="1166"/>
      <c r="BB685" s="1299"/>
    </row>
    <row r="686" spans="1:54" s="43" customFormat="1" ht="18" customHeight="1" outlineLevel="1" x14ac:dyDescent="0.25">
      <c r="A686" s="233"/>
      <c r="B686" s="233"/>
      <c r="C686" s="231"/>
      <c r="D686" s="1305">
        <v>1000</v>
      </c>
      <c r="E686" s="1306" t="s">
        <v>1647</v>
      </c>
      <c r="F686" s="1301"/>
      <c r="G686" s="1297">
        <v>1000</v>
      </c>
      <c r="H686" s="2699" t="s">
        <v>1648</v>
      </c>
      <c r="I686" s="2699"/>
      <c r="J686" s="2936"/>
      <c r="K686" s="2936"/>
      <c r="L686" s="2936"/>
      <c r="M686" s="2936"/>
      <c r="N686" s="327"/>
      <c r="O686" s="327"/>
      <c r="P686" s="327"/>
      <c r="Q686" s="327"/>
      <c r="R686" s="327"/>
      <c r="S686" s="327"/>
      <c r="T686" s="327"/>
      <c r="U686" s="327"/>
      <c r="V686" s="1172">
        <v>1000</v>
      </c>
      <c r="W686" s="1298">
        <v>1000</v>
      </c>
      <c r="X686" s="287">
        <v>1000</v>
      </c>
      <c r="Y686" s="288">
        <v>1000</v>
      </c>
      <c r="Z686" s="288"/>
      <c r="AA686" s="288"/>
      <c r="AB686" s="288"/>
      <c r="AC686" s="289"/>
      <c r="AD686" s="289"/>
      <c r="AE686" s="289"/>
      <c r="AF686" s="289"/>
      <c r="AG686" s="289"/>
      <c r="AK686" s="1166"/>
      <c r="BB686" s="1287"/>
    </row>
    <row r="687" spans="1:54" s="43" customFormat="1" ht="30" customHeight="1" outlineLevel="1" x14ac:dyDescent="0.25">
      <c r="A687" s="233"/>
      <c r="B687" s="233"/>
      <c r="C687" s="231"/>
      <c r="D687" s="2931" t="s">
        <v>1907</v>
      </c>
      <c r="E687" s="2931" t="s">
        <v>1382</v>
      </c>
      <c r="F687" s="1301" t="s">
        <v>790</v>
      </c>
      <c r="G687" s="1297">
        <v>1496</v>
      </c>
      <c r="H687" s="2947" t="s">
        <v>953</v>
      </c>
      <c r="I687" s="2947"/>
      <c r="J687" s="2936"/>
      <c r="K687" s="2936"/>
      <c r="L687" s="2936"/>
      <c r="M687" s="2936"/>
      <c r="N687" s="233"/>
      <c r="O687" s="327"/>
      <c r="P687" s="327"/>
      <c r="Q687" s="327"/>
      <c r="R687" s="327"/>
      <c r="S687" s="327"/>
      <c r="T687" s="327"/>
      <c r="U687" s="327"/>
      <c r="V687" s="2937" t="s">
        <v>1908</v>
      </c>
      <c r="W687" s="1298">
        <v>2009</v>
      </c>
      <c r="X687" s="1298">
        <v>2009</v>
      </c>
      <c r="Y687" s="1307">
        <v>1496</v>
      </c>
      <c r="Z687" s="288"/>
      <c r="AA687" s="288"/>
      <c r="AB687" s="288"/>
      <c r="AC687" s="289"/>
      <c r="AD687" s="289"/>
      <c r="AE687" s="289"/>
      <c r="AF687" s="289"/>
      <c r="AG687" s="289"/>
      <c r="AK687" s="1166"/>
      <c r="BB687" s="1287"/>
    </row>
    <row r="688" spans="1:54" s="43" customFormat="1" ht="30" customHeight="1" outlineLevel="1" x14ac:dyDescent="0.25">
      <c r="A688" s="233"/>
      <c r="B688" s="233"/>
      <c r="C688" s="231"/>
      <c r="D688" s="2939"/>
      <c r="E688" s="2939"/>
      <c r="F688" s="1301" t="s">
        <v>792</v>
      </c>
      <c r="G688" s="1297">
        <v>510</v>
      </c>
      <c r="H688" s="2720" t="s">
        <v>953</v>
      </c>
      <c r="I688" s="2721"/>
      <c r="J688" s="1691"/>
      <c r="K688" s="1693"/>
      <c r="L688" s="1693"/>
      <c r="M688" s="1694"/>
      <c r="N688" s="233"/>
      <c r="O688" s="327"/>
      <c r="P688" s="327"/>
      <c r="Q688" s="327"/>
      <c r="R688" s="327"/>
      <c r="S688" s="327"/>
      <c r="T688" s="327"/>
      <c r="U688" s="327"/>
      <c r="V688" s="2946"/>
      <c r="W688" s="1298"/>
      <c r="X688" s="1298"/>
      <c r="Y688" s="1307">
        <v>510</v>
      </c>
      <c r="Z688" s="288"/>
      <c r="AA688" s="288"/>
      <c r="AB688" s="288"/>
      <c r="AC688" s="289"/>
      <c r="AD688" s="289"/>
      <c r="AE688" s="289"/>
      <c r="AF688" s="289"/>
      <c r="AG688" s="289"/>
      <c r="AK688" s="1166"/>
      <c r="BB688" s="1287"/>
    </row>
    <row r="689" spans="1:54" s="65" customFormat="1" ht="30" customHeight="1" outlineLevel="1" x14ac:dyDescent="0.25">
      <c r="A689" s="785"/>
      <c r="B689" s="177"/>
      <c r="C689" s="455"/>
      <c r="D689" s="2931" t="s">
        <v>1909</v>
      </c>
      <c r="E689" s="2931" t="s">
        <v>1379</v>
      </c>
      <c r="F689" s="1301" t="s">
        <v>795</v>
      </c>
      <c r="G689" s="1297">
        <v>37716.279069767443</v>
      </c>
      <c r="H689" s="2720" t="s">
        <v>1905</v>
      </c>
      <c r="I689" s="2721"/>
      <c r="J689" s="2933" t="s">
        <v>1636</v>
      </c>
      <c r="K689" s="2934"/>
      <c r="L689" s="2934"/>
      <c r="M689" s="2935"/>
      <c r="N689" s="177"/>
      <c r="O689" s="332"/>
      <c r="P689" s="332"/>
      <c r="Q689" s="332"/>
      <c r="R689" s="332"/>
      <c r="S689" s="332"/>
      <c r="T689" s="332"/>
      <c r="U689" s="332"/>
      <c r="V689" s="2937" t="s">
        <v>1910</v>
      </c>
      <c r="W689" s="1298">
        <v>37716.279069767443</v>
      </c>
      <c r="X689" s="287">
        <v>37716.279069767443</v>
      </c>
      <c r="Y689" s="287">
        <v>37716.279069767443</v>
      </c>
      <c r="Z689" s="288"/>
      <c r="AA689" s="288"/>
      <c r="AB689" s="288"/>
      <c r="AC689" s="289"/>
      <c r="AD689" s="289"/>
      <c r="AE689" s="289"/>
      <c r="AF689" s="289"/>
      <c r="AG689" s="289"/>
      <c r="AK689" s="1166"/>
      <c r="BB689" s="1176"/>
    </row>
    <row r="690" spans="1:54" s="65" customFormat="1" ht="61.5" customHeight="1" outlineLevel="1" x14ac:dyDescent="0.25">
      <c r="A690" s="785"/>
      <c r="B690" s="177"/>
      <c r="C690" s="455"/>
      <c r="D690" s="2932"/>
      <c r="E690" s="2932"/>
      <c r="F690" s="1301" t="s">
        <v>797</v>
      </c>
      <c r="G690" s="1297">
        <v>22537.991266375546</v>
      </c>
      <c r="H690" s="2720" t="s">
        <v>1282</v>
      </c>
      <c r="I690" s="2721"/>
      <c r="J690" s="2936"/>
      <c r="K690" s="2936"/>
      <c r="L690" s="2936"/>
      <c r="M690" s="2936"/>
      <c r="N690" s="177"/>
      <c r="O690" s="332"/>
      <c r="P690" s="332"/>
      <c r="Q690" s="332"/>
      <c r="R690" s="332"/>
      <c r="S690" s="332"/>
      <c r="T690" s="332"/>
      <c r="U690" s="332"/>
      <c r="V690" s="2938"/>
      <c r="W690" s="1298">
        <v>24515.58139534884</v>
      </c>
      <c r="X690" s="287">
        <v>24515.58139534884</v>
      </c>
      <c r="Y690" s="1300">
        <v>22537.991266375546</v>
      </c>
      <c r="Z690" s="289"/>
      <c r="AA690" s="289"/>
      <c r="AB690" s="289"/>
      <c r="AC690" s="289"/>
      <c r="AD690" s="289"/>
      <c r="AE690" s="289"/>
      <c r="AF690" s="289"/>
      <c r="AG690" s="289"/>
      <c r="AK690" s="1166"/>
      <c r="BB690" s="1176"/>
    </row>
    <row r="691" spans="1:54" s="65" customFormat="1" ht="50.1" customHeight="1" outlineLevel="1" x14ac:dyDescent="0.25">
      <c r="A691" s="785"/>
      <c r="B691" s="177"/>
      <c r="C691" s="455"/>
      <c r="D691" s="2947" t="s">
        <v>1911</v>
      </c>
      <c r="E691" s="3037" t="s">
        <v>1912</v>
      </c>
      <c r="F691" s="1301" t="s">
        <v>1640</v>
      </c>
      <c r="G691" s="280">
        <v>6.3</v>
      </c>
      <c r="H691" s="2933" t="s">
        <v>1913</v>
      </c>
      <c r="I691" s="3038"/>
      <c r="J691" s="2933"/>
      <c r="K691" s="3039"/>
      <c r="L691" s="3039"/>
      <c r="M691" s="3038"/>
      <c r="N691" s="177"/>
      <c r="O691" s="332"/>
      <c r="P691" s="332"/>
      <c r="Q691" s="332"/>
      <c r="R691" s="332"/>
      <c r="S691" s="332"/>
      <c r="T691" s="332"/>
      <c r="U691" s="332"/>
      <c r="V691" s="3036" t="s">
        <v>1914</v>
      </c>
      <c r="W691" s="275">
        <v>6.3</v>
      </c>
      <c r="X691" s="275">
        <v>6.3</v>
      </c>
      <c r="Y691" s="1308">
        <v>6.3</v>
      </c>
      <c r="Z691" s="1309"/>
      <c r="AA691" s="1309"/>
      <c r="AB691" s="1309"/>
      <c r="AC691" s="1309"/>
      <c r="AD691" s="1309"/>
      <c r="AE691" s="1309"/>
      <c r="AF691" s="1309"/>
      <c r="AG691" s="1309"/>
      <c r="AK691" s="1166"/>
      <c r="BB691" s="1176"/>
    </row>
    <row r="692" spans="1:54" s="65" customFormat="1" ht="63.75" customHeight="1" outlineLevel="1" x14ac:dyDescent="0.25">
      <c r="A692" s="785"/>
      <c r="B692" s="177"/>
      <c r="C692" s="455"/>
      <c r="D692" s="2947"/>
      <c r="E692" s="3037"/>
      <c r="F692" s="1301" t="s">
        <v>1641</v>
      </c>
      <c r="G692" s="280">
        <v>6.3</v>
      </c>
      <c r="H692" s="2933"/>
      <c r="I692" s="3038"/>
      <c r="J692" s="2933"/>
      <c r="K692" s="3039"/>
      <c r="L692" s="3039"/>
      <c r="M692" s="3038"/>
      <c r="N692" s="177"/>
      <c r="O692" s="332"/>
      <c r="P692" s="332"/>
      <c r="Q692" s="332"/>
      <c r="R692" s="332"/>
      <c r="S692" s="332"/>
      <c r="T692" s="332"/>
      <c r="U692" s="332"/>
      <c r="V692" s="3036"/>
      <c r="W692" s="275">
        <v>6.3</v>
      </c>
      <c r="X692" s="275">
        <v>6.3</v>
      </c>
      <c r="Y692" s="1308">
        <v>6.3</v>
      </c>
      <c r="Z692" s="1309"/>
      <c r="AA692" s="1309"/>
      <c r="AB692" s="1309"/>
      <c r="AC692" s="1309"/>
      <c r="AD692" s="1309"/>
      <c r="AE692" s="1309"/>
      <c r="AF692" s="1309"/>
      <c r="AG692" s="1309"/>
      <c r="AK692" s="1166"/>
      <c r="BB692" s="1176"/>
    </row>
    <row r="693" spans="1:54" s="65" customFormat="1" ht="50.1" customHeight="1" outlineLevel="1" x14ac:dyDescent="0.25">
      <c r="A693" s="785"/>
      <c r="B693" s="177"/>
      <c r="C693" s="455"/>
      <c r="D693" s="2947"/>
      <c r="E693" s="3037"/>
      <c r="F693" s="1301" t="s">
        <v>1642</v>
      </c>
      <c r="G693" s="280">
        <v>6.3</v>
      </c>
      <c r="H693" s="2933" t="s">
        <v>1913</v>
      </c>
      <c r="I693" s="3038"/>
      <c r="J693" s="2933"/>
      <c r="K693" s="3039"/>
      <c r="L693" s="3039"/>
      <c r="M693" s="3038"/>
      <c r="N693" s="177"/>
      <c r="O693" s="332"/>
      <c r="P693" s="332"/>
      <c r="Q693" s="332"/>
      <c r="R693" s="332"/>
      <c r="S693" s="332"/>
      <c r="T693" s="332"/>
      <c r="U693" s="332"/>
      <c r="V693" s="3036"/>
      <c r="W693" s="275">
        <v>6.3</v>
      </c>
      <c r="X693" s="275">
        <v>6.3</v>
      </c>
      <c r="Y693" s="1308">
        <v>6.3</v>
      </c>
      <c r="Z693" s="1309"/>
      <c r="AA693" s="1309"/>
      <c r="AB693" s="1309"/>
      <c r="AC693" s="1309"/>
      <c r="AD693" s="1309"/>
      <c r="AE693" s="1309"/>
      <c r="AF693" s="1309"/>
      <c r="AG693" s="1309"/>
      <c r="AK693" s="1166"/>
      <c r="BB693" s="1176"/>
    </row>
    <row r="694" spans="1:54" s="65" customFormat="1" ht="71.25" customHeight="1" outlineLevel="1" x14ac:dyDescent="0.25">
      <c r="A694" s="785"/>
      <c r="B694" s="177"/>
      <c r="C694" s="455"/>
      <c r="D694" s="2947"/>
      <c r="E694" s="3037"/>
      <c r="F694" s="1301" t="s">
        <v>1644</v>
      </c>
      <c r="G694" s="280">
        <v>6.3</v>
      </c>
      <c r="H694" s="2933"/>
      <c r="I694" s="3038"/>
      <c r="J694" s="2933"/>
      <c r="K694" s="3039"/>
      <c r="L694" s="3039"/>
      <c r="M694" s="3038"/>
      <c r="N694" s="177"/>
      <c r="O694" s="332"/>
      <c r="P694" s="332"/>
      <c r="Q694" s="332"/>
      <c r="R694" s="332"/>
      <c r="S694" s="332"/>
      <c r="T694" s="332"/>
      <c r="U694" s="332"/>
      <c r="V694" s="3036"/>
      <c r="W694" s="275">
        <v>6.3</v>
      </c>
      <c r="X694" s="275">
        <v>6.3</v>
      </c>
      <c r="Y694" s="1308">
        <v>6.3</v>
      </c>
      <c r="Z694" s="1309"/>
      <c r="AA694" s="1309"/>
      <c r="AB694" s="1309"/>
      <c r="AC694" s="1309"/>
      <c r="AD694" s="1309"/>
      <c r="AE694" s="1309"/>
      <c r="AF694" s="1309"/>
      <c r="AG694" s="1309"/>
      <c r="AK694" s="1166"/>
      <c r="BB694" s="1176"/>
    </row>
    <row r="695" spans="1:54" s="65" customFormat="1" ht="93" customHeight="1" outlineLevel="1" x14ac:dyDescent="0.25">
      <c r="A695" s="785"/>
      <c r="B695" s="177"/>
      <c r="C695" s="455"/>
      <c r="D695" s="2947" t="s">
        <v>1915</v>
      </c>
      <c r="E695" s="3037" t="s">
        <v>1916</v>
      </c>
      <c r="F695" s="1301" t="s">
        <v>1640</v>
      </c>
      <c r="G695" s="280">
        <v>6.3837905236907728</v>
      </c>
      <c r="H695" s="2936" t="s">
        <v>1917</v>
      </c>
      <c r="I695" s="2936"/>
      <c r="J695" s="2936" t="s">
        <v>1918</v>
      </c>
      <c r="K695" s="2936"/>
      <c r="L695" s="2936"/>
      <c r="M695" s="2936"/>
      <c r="N695" s="177"/>
      <c r="O695" s="332"/>
      <c r="P695" s="332"/>
      <c r="Q695" s="332"/>
      <c r="R695" s="332"/>
      <c r="S695" s="332"/>
      <c r="T695" s="332"/>
      <c r="U695" s="332"/>
      <c r="V695" s="3036" t="s">
        <v>1914</v>
      </c>
      <c r="W695" s="275">
        <v>6.3837905236907728</v>
      </c>
      <c r="X695" s="275">
        <v>6.3837905236907728</v>
      </c>
      <c r="Y695" s="1308">
        <v>6.3837905236907728</v>
      </c>
      <c r="Z695" s="1309"/>
      <c r="AA695" s="1309"/>
      <c r="AB695" s="1309"/>
      <c r="AC695" s="1309"/>
      <c r="AD695" s="1309"/>
      <c r="AE695" s="1309"/>
      <c r="AF695" s="1309"/>
      <c r="AG695" s="1309"/>
      <c r="AK695" s="1166"/>
      <c r="BB695" s="1176"/>
    </row>
    <row r="696" spans="1:54" s="65" customFormat="1" ht="48.75" customHeight="1" outlineLevel="1" x14ac:dyDescent="0.25">
      <c r="A696" s="785"/>
      <c r="B696" s="177"/>
      <c r="C696" s="455"/>
      <c r="D696" s="2947"/>
      <c r="E696" s="3037"/>
      <c r="F696" s="1301" t="s">
        <v>1641</v>
      </c>
      <c r="G696" s="280">
        <v>6.7249376558603498</v>
      </c>
      <c r="H696" s="2936"/>
      <c r="I696" s="2936"/>
      <c r="J696" s="2936"/>
      <c r="K696" s="2936"/>
      <c r="L696" s="2936"/>
      <c r="M696" s="2936"/>
      <c r="N696" s="177"/>
      <c r="O696" s="332"/>
      <c r="P696" s="332"/>
      <c r="Q696" s="332"/>
      <c r="R696" s="332"/>
      <c r="S696" s="332"/>
      <c r="T696" s="332"/>
      <c r="U696" s="332"/>
      <c r="V696" s="3036"/>
      <c r="W696" s="275">
        <v>6.7249376558603498</v>
      </c>
      <c r="X696" s="1310">
        <v>6.7249376558603498</v>
      </c>
      <c r="Y696" s="1308">
        <v>6.7249376558603498</v>
      </c>
      <c r="Z696" s="1309"/>
      <c r="AA696" s="1309"/>
      <c r="AB696" s="1309"/>
      <c r="AC696" s="1309"/>
      <c r="AD696" s="1309"/>
      <c r="AE696" s="1309"/>
      <c r="AF696" s="1309"/>
      <c r="AG696" s="1309"/>
      <c r="AK696" s="1166"/>
      <c r="BB696" s="1176"/>
    </row>
    <row r="697" spans="1:54" s="65" customFormat="1" ht="108" customHeight="1" outlineLevel="1" x14ac:dyDescent="0.25">
      <c r="A697" s="785"/>
      <c r="B697" s="177"/>
      <c r="C697" s="455"/>
      <c r="D697" s="2947"/>
      <c r="E697" s="3037"/>
      <c r="F697" s="1301" t="s">
        <v>1642</v>
      </c>
      <c r="G697" s="280">
        <v>6.3568578553615955</v>
      </c>
      <c r="H697" s="2936"/>
      <c r="I697" s="2936"/>
      <c r="J697" s="2936"/>
      <c r="K697" s="2936"/>
      <c r="L697" s="2936"/>
      <c r="M697" s="2936"/>
      <c r="N697" s="177"/>
      <c r="O697" s="332"/>
      <c r="P697" s="332"/>
      <c r="Q697" s="332"/>
      <c r="R697" s="332"/>
      <c r="S697" s="332"/>
      <c r="T697" s="332"/>
      <c r="U697" s="332"/>
      <c r="V697" s="3036"/>
      <c r="W697" s="275">
        <v>6.3568578553615955</v>
      </c>
      <c r="X697" s="275">
        <v>6.3568578553615955</v>
      </c>
      <c r="Y697" s="1308">
        <v>6.3568578553615955</v>
      </c>
      <c r="Z697" s="1309"/>
      <c r="AA697" s="1309"/>
      <c r="AB697" s="1309"/>
      <c r="AC697" s="1309"/>
      <c r="AD697" s="1309"/>
      <c r="AE697" s="1309"/>
      <c r="AF697" s="1309"/>
      <c r="AG697" s="1309"/>
      <c r="AK697" s="1166"/>
      <c r="BB697" s="1176"/>
    </row>
    <row r="698" spans="1:54" s="65" customFormat="1" ht="50.25" customHeight="1" outlineLevel="1" x14ac:dyDescent="0.25">
      <c r="A698" s="785"/>
      <c r="B698" s="177"/>
      <c r="C698" s="455"/>
      <c r="D698" s="2947"/>
      <c r="E698" s="3037"/>
      <c r="F698" s="1301" t="s">
        <v>1644</v>
      </c>
      <c r="G698" s="280">
        <v>6.4182044887780547</v>
      </c>
      <c r="H698" s="2936"/>
      <c r="I698" s="2936"/>
      <c r="J698" s="2936"/>
      <c r="K698" s="2936"/>
      <c r="L698" s="2936"/>
      <c r="M698" s="2936"/>
      <c r="N698" s="177"/>
      <c r="O698" s="332"/>
      <c r="P698" s="332"/>
      <c r="Q698" s="332"/>
      <c r="R698" s="332"/>
      <c r="S698" s="332"/>
      <c r="T698" s="332"/>
      <c r="U698" s="332"/>
      <c r="V698" s="3036"/>
      <c r="W698" s="275">
        <v>6.4182044887780547</v>
      </c>
      <c r="X698" s="1310">
        <v>6.4182044887780547</v>
      </c>
      <c r="Y698" s="1308">
        <v>6.4182044887780547</v>
      </c>
      <c r="Z698" s="1309"/>
      <c r="AA698" s="1309"/>
      <c r="AB698" s="1309"/>
      <c r="AC698" s="1309"/>
      <c r="AD698" s="1309"/>
      <c r="AE698" s="1309"/>
      <c r="AF698" s="1309"/>
      <c r="AG698" s="1309"/>
      <c r="AK698" s="1166"/>
      <c r="BB698" s="1176"/>
    </row>
    <row r="699" spans="1:54" s="65" customFormat="1" outlineLevel="1" x14ac:dyDescent="0.25">
      <c r="A699" s="785"/>
      <c r="B699" s="177"/>
      <c r="C699" s="455"/>
      <c r="D699" s="1689" t="str">
        <f>D629</f>
        <v>EUL</v>
      </c>
      <c r="E699" s="1311" t="str">
        <f>E573</f>
        <v>Effective Useful Life</v>
      </c>
      <c r="F699" s="1301" t="s">
        <v>637</v>
      </c>
      <c r="G699" s="1312">
        <v>2</v>
      </c>
      <c r="H699" s="2947"/>
      <c r="I699" s="2947"/>
      <c r="J699" s="2947"/>
      <c r="K699" s="2947"/>
      <c r="L699" s="2947"/>
      <c r="M699" s="2947"/>
      <c r="N699" s="177"/>
      <c r="O699" s="177"/>
      <c r="P699" s="177"/>
      <c r="Q699" s="177"/>
      <c r="R699" s="177"/>
      <c r="S699" s="177"/>
      <c r="T699" s="177"/>
      <c r="U699" s="177"/>
      <c r="V699" s="1250" t="str">
        <f>D699</f>
        <v>EUL</v>
      </c>
      <c r="W699" s="1313">
        <v>2</v>
      </c>
      <c r="X699" s="275">
        <v>2</v>
      </c>
      <c r="Y699" s="1308">
        <v>2</v>
      </c>
      <c r="Z699" s="1309"/>
      <c r="AA699" s="1309"/>
      <c r="AB699" s="1309"/>
      <c r="AC699" s="1309"/>
      <c r="AD699" s="1309"/>
      <c r="AE699" s="1309"/>
      <c r="AF699" s="1309"/>
      <c r="AG699" s="1309"/>
      <c r="AK699" s="1166"/>
      <c r="BB699" s="1176"/>
    </row>
    <row r="700" spans="1:54" s="141" customFormat="1" outlineLevel="1" x14ac:dyDescent="0.25">
      <c r="A700" s="327"/>
      <c r="B700" s="327"/>
      <c r="C700" s="266"/>
      <c r="D700" s="2931" t="str">
        <f>D574</f>
        <v>Inc. Cost</v>
      </c>
      <c r="E700" s="2931" t="str">
        <f>E574</f>
        <v>Incremental Cost</v>
      </c>
      <c r="F700" s="1301" t="s">
        <v>1640</v>
      </c>
      <c r="G700" s="1691">
        <v>70</v>
      </c>
      <c r="H700" s="2947"/>
      <c r="I700" s="2947"/>
      <c r="J700" s="2947"/>
      <c r="K700" s="2947"/>
      <c r="L700" s="2947"/>
      <c r="M700" s="2947"/>
      <c r="N700" s="233"/>
      <c r="O700" s="233"/>
      <c r="P700" s="233"/>
      <c r="Q700" s="233"/>
      <c r="R700" s="327"/>
      <c r="S700" s="327"/>
      <c r="T700" s="327"/>
      <c r="U700" s="327"/>
      <c r="V700" s="2937" t="str">
        <f>D700</f>
        <v>Inc. Cost</v>
      </c>
      <c r="W700" s="1302">
        <v>70</v>
      </c>
      <c r="X700" s="282">
        <v>70</v>
      </c>
      <c r="Y700" s="283">
        <v>70</v>
      </c>
      <c r="Z700" s="284"/>
      <c r="AA700" s="284"/>
      <c r="AB700" s="284"/>
      <c r="AC700" s="284"/>
      <c r="AD700" s="284"/>
      <c r="AE700" s="284"/>
      <c r="AF700" s="284"/>
      <c r="AG700" s="284"/>
      <c r="AK700" s="1166"/>
      <c r="BB700" s="1299"/>
    </row>
    <row r="701" spans="1:54" s="141" customFormat="1" ht="15" customHeight="1" outlineLevel="1" x14ac:dyDescent="0.25">
      <c r="A701" s="327"/>
      <c r="B701" s="327"/>
      <c r="C701" s="266"/>
      <c r="D701" s="2948"/>
      <c r="E701" s="2948"/>
      <c r="F701" s="1301" t="s">
        <v>1641</v>
      </c>
      <c r="G701" s="1691">
        <v>81</v>
      </c>
      <c r="H701" s="2947"/>
      <c r="I701" s="2947"/>
      <c r="J701" s="2947"/>
      <c r="K701" s="2947"/>
      <c r="L701" s="2947"/>
      <c r="M701" s="2947"/>
      <c r="N701" s="233"/>
      <c r="O701" s="233"/>
      <c r="P701" s="233"/>
      <c r="Q701" s="233"/>
      <c r="R701" s="327"/>
      <c r="S701" s="327"/>
      <c r="T701" s="327"/>
      <c r="U701" s="327"/>
      <c r="V701" s="2949"/>
      <c r="W701" s="1302">
        <v>81</v>
      </c>
      <c r="X701" s="282">
        <v>81</v>
      </c>
      <c r="Y701" s="283">
        <v>81</v>
      </c>
      <c r="Z701" s="284"/>
      <c r="AA701" s="284"/>
      <c r="AB701" s="284"/>
      <c r="AC701" s="284"/>
      <c r="AD701" s="284"/>
      <c r="AE701" s="284"/>
      <c r="AF701" s="284"/>
      <c r="AG701" s="284"/>
      <c r="AK701" s="1166"/>
      <c r="BB701" s="1299"/>
    </row>
    <row r="702" spans="1:54" s="141" customFormat="1" ht="15" customHeight="1" outlineLevel="1" x14ac:dyDescent="0.25">
      <c r="A702" s="327"/>
      <c r="B702" s="327"/>
      <c r="C702" s="266"/>
      <c r="D702" s="2948"/>
      <c r="E702" s="2948"/>
      <c r="F702" s="1301" t="s">
        <v>1642</v>
      </c>
      <c r="G702" s="1691">
        <v>63</v>
      </c>
      <c r="H702" s="2947"/>
      <c r="I702" s="2947"/>
      <c r="J702" s="2947"/>
      <c r="K702" s="2947"/>
      <c r="L702" s="2947"/>
      <c r="M702" s="2947"/>
      <c r="N702" s="233"/>
      <c r="O702" s="233"/>
      <c r="P702" s="233"/>
      <c r="Q702" s="233"/>
      <c r="R702" s="327"/>
      <c r="S702" s="327"/>
      <c r="T702" s="327"/>
      <c r="U702" s="327"/>
      <c r="V702" s="2949"/>
      <c r="W702" s="1302">
        <v>63</v>
      </c>
      <c r="X702" s="282">
        <v>63</v>
      </c>
      <c r="Y702" s="283">
        <v>63</v>
      </c>
      <c r="Z702" s="284"/>
      <c r="AA702" s="284"/>
      <c r="AB702" s="284"/>
      <c r="AC702" s="284"/>
      <c r="AD702" s="284"/>
      <c r="AE702" s="284"/>
      <c r="AF702" s="284"/>
      <c r="AG702" s="284"/>
      <c r="AK702" s="1166"/>
      <c r="BB702" s="1299"/>
    </row>
    <row r="703" spans="1:54" s="141" customFormat="1" ht="18" customHeight="1" outlineLevel="1" x14ac:dyDescent="0.25">
      <c r="A703" s="327"/>
      <c r="B703" s="327"/>
      <c r="C703" s="266"/>
      <c r="D703" s="2932"/>
      <c r="E703" s="2932"/>
      <c r="F703" s="1301" t="s">
        <v>1644</v>
      </c>
      <c r="G703" s="1692">
        <v>31</v>
      </c>
      <c r="H703" s="2947"/>
      <c r="I703" s="2947"/>
      <c r="J703" s="2947"/>
      <c r="K703" s="2947"/>
      <c r="L703" s="2947"/>
      <c r="M703" s="2947"/>
      <c r="N703" s="327"/>
      <c r="O703" s="327"/>
      <c r="P703" s="327"/>
      <c r="Q703" s="327"/>
      <c r="R703" s="327"/>
      <c r="S703" s="327"/>
      <c r="T703" s="327"/>
      <c r="U703" s="327"/>
      <c r="V703" s="2938"/>
      <c r="W703" s="282">
        <v>31</v>
      </c>
      <c r="X703" s="282">
        <v>31</v>
      </c>
      <c r="Y703" s="283">
        <v>31</v>
      </c>
      <c r="Z703" s="284"/>
      <c r="AA703" s="284"/>
      <c r="AB703" s="284"/>
      <c r="AC703" s="284"/>
      <c r="AD703" s="284"/>
      <c r="AE703" s="284"/>
      <c r="AF703" s="284"/>
      <c r="AG703" s="284"/>
      <c r="AK703" s="1166"/>
      <c r="BB703" s="1299"/>
    </row>
    <row r="704" spans="1:54" ht="15" customHeight="1" x14ac:dyDescent="0.25">
      <c r="B704" s="1580"/>
      <c r="C704" s="329"/>
      <c r="AK704" s="1166"/>
    </row>
    <row r="705" spans="1:57" x14ac:dyDescent="0.25">
      <c r="B705" s="1580"/>
      <c r="C705" s="329"/>
      <c r="AK705" s="1166"/>
    </row>
    <row r="706" spans="1:57" ht="15" customHeight="1" x14ac:dyDescent="0.25">
      <c r="B706" s="2639" t="s">
        <v>1919</v>
      </c>
      <c r="C706" s="2640"/>
      <c r="D706" s="2640"/>
      <c r="E706" s="2640"/>
      <c r="F706" s="2640"/>
      <c r="G706" s="2640"/>
      <c r="H706" s="2640"/>
      <c r="I706" s="2641"/>
      <c r="J706" s="2641"/>
      <c r="K706" s="2641"/>
      <c r="L706" s="2641"/>
      <c r="M706" s="2641"/>
      <c r="N706" s="2641"/>
      <c r="O706" s="2641"/>
      <c r="P706" s="2641"/>
      <c r="Q706" s="2641"/>
      <c r="R706" s="2642"/>
      <c r="V706" s="2639" t="str">
        <f>B706</f>
        <v>Low Flow Faucet Aerators</v>
      </c>
      <c r="W706" s="2640"/>
      <c r="X706" s="2640"/>
      <c r="Y706" s="2640"/>
      <c r="Z706" s="2640"/>
      <c r="AA706" s="2640"/>
      <c r="AB706" s="2640"/>
      <c r="AC706" s="2615"/>
      <c r="AD706" s="2615"/>
      <c r="AE706" s="2615"/>
      <c r="AF706" s="2615"/>
      <c r="AG706" s="2615"/>
      <c r="AH706" s="2615"/>
      <c r="AI706" s="2616"/>
      <c r="AK706" s="1166"/>
    </row>
    <row r="707" spans="1:57" ht="15" customHeight="1" x14ac:dyDescent="0.25">
      <c r="B707" s="1580"/>
      <c r="C707" s="329"/>
      <c r="D707" s="573"/>
      <c r="E707" s="573"/>
      <c r="F707" s="330"/>
      <c r="G707" s="330"/>
      <c r="H707" s="330"/>
      <c r="I707" s="330"/>
      <c r="J707" s="330"/>
      <c r="K707" s="330"/>
      <c r="L707" s="1902"/>
      <c r="AK707" s="1166"/>
    </row>
    <row r="708" spans="1:57" ht="30" x14ac:dyDescent="0.25">
      <c r="B708" s="1580"/>
      <c r="C708" s="1641" t="s">
        <v>17</v>
      </c>
      <c r="D708" s="1641" t="s">
        <v>662</v>
      </c>
      <c r="E708" s="1641" t="s">
        <v>19</v>
      </c>
      <c r="F708" s="1641" t="s">
        <v>1778</v>
      </c>
      <c r="G708" s="1641" t="s">
        <v>21</v>
      </c>
      <c r="H708" s="1641" t="s">
        <v>22</v>
      </c>
      <c r="I708" s="1641" t="s">
        <v>1007</v>
      </c>
      <c r="J708" s="1641" t="s">
        <v>23</v>
      </c>
      <c r="K708" s="1641" t="s">
        <v>24</v>
      </c>
      <c r="L708" s="1641" t="s">
        <v>25</v>
      </c>
      <c r="M708" s="1641" t="s">
        <v>26</v>
      </c>
      <c r="V708" s="55" t="s">
        <v>27</v>
      </c>
      <c r="W708" s="56">
        <f>W$6</f>
        <v>43252</v>
      </c>
      <c r="X708" s="56">
        <f t="shared" ref="X708:AG708" si="136">X$6</f>
        <v>43465</v>
      </c>
      <c r="Y708" s="500">
        <f t="shared" si="136"/>
        <v>43800</v>
      </c>
      <c r="Z708" s="56">
        <f t="shared" si="136"/>
        <v>43862</v>
      </c>
      <c r="AA708" s="56" t="str">
        <f t="shared" si="136"/>
        <v>-</v>
      </c>
      <c r="AB708" s="56" t="str">
        <f t="shared" si="136"/>
        <v>-</v>
      </c>
      <c r="AC708" s="56" t="str">
        <f t="shared" si="136"/>
        <v>-</v>
      </c>
      <c r="AD708" s="56" t="str">
        <f t="shared" si="136"/>
        <v>-</v>
      </c>
      <c r="AE708" s="56" t="str">
        <f t="shared" si="136"/>
        <v>-</v>
      </c>
      <c r="AF708" s="56" t="str">
        <f t="shared" si="136"/>
        <v>-</v>
      </c>
      <c r="AG708" s="56" t="str">
        <f t="shared" si="136"/>
        <v>-</v>
      </c>
      <c r="AK708" s="1166"/>
      <c r="BB708" s="57" t="str">
        <f>$BB$6</f>
        <v>TRC (2020)</v>
      </c>
      <c r="BC708" s="103" t="str">
        <f>$BC$6</f>
        <v>Benefit Lookup</v>
      </c>
      <c r="BD708" s="883" t="str">
        <f>$BD$6</f>
        <v>Benefits (2019 $)</v>
      </c>
      <c r="BE708" s="334" t="str">
        <f>$BE$6</f>
        <v>Incremental Cost (2019 $)</v>
      </c>
    </row>
    <row r="709" spans="1:57" s="1177" customFormat="1" x14ac:dyDescent="0.25">
      <c r="A709" s="1197"/>
      <c r="B709" s="2118"/>
      <c r="C709" s="1927" t="s">
        <v>1920</v>
      </c>
      <c r="D709" s="2479" t="s">
        <v>1613</v>
      </c>
      <c r="E709" s="1670" t="s">
        <v>1921</v>
      </c>
      <c r="F709" s="712">
        <f>ROUND(G721*(G722*G723-G724*G725)*G726*G727*G728/G729*I709*G737*G736,2)</f>
        <v>36.979999999999997</v>
      </c>
      <c r="G709" s="619" t="s">
        <v>1922</v>
      </c>
      <c r="H709" s="617">
        <f>VLOOKUP(G709,'CP FACTORS'!$A$3:$B$38, 2, FALSE)</f>
        <v>8.8731800000000003E-5</v>
      </c>
      <c r="I709" s="707">
        <f>G730*G731*(G732-G733)/(G734*G735)</f>
        <v>4.6571930852622331E-2</v>
      </c>
      <c r="J709" s="2186">
        <f t="shared" ref="J709:J711" si="137">ROUND(F709*H709,6)</f>
        <v>3.2810000000000001E-3</v>
      </c>
      <c r="K709" s="1647">
        <f>$G$739</f>
        <v>11</v>
      </c>
      <c r="L709" s="1648">
        <f>G740</f>
        <v>3</v>
      </c>
      <c r="M709" s="619" t="s">
        <v>37</v>
      </c>
      <c r="N709" s="1197"/>
      <c r="O709" s="1197"/>
      <c r="P709" s="1363"/>
      <c r="Q709" s="1363"/>
      <c r="R709" s="1894"/>
      <c r="S709" s="1363"/>
      <c r="T709" s="1363"/>
      <c r="U709" s="1197"/>
      <c r="V709" s="1314" t="str">
        <f>F708</f>
        <v>kWh
Annual Savings</v>
      </c>
      <c r="W709" s="1285">
        <v>38.83611813974143</v>
      </c>
      <c r="X709" s="1315">
        <v>40.786805206808886</v>
      </c>
      <c r="Y709" s="580">
        <v>36.979999999999997</v>
      </c>
      <c r="Z709" s="1314"/>
      <c r="AA709" s="1314"/>
      <c r="AB709" s="1314"/>
      <c r="AC709" s="1314"/>
      <c r="AD709" s="1314"/>
      <c r="AE709" s="1314"/>
      <c r="AF709" s="1314"/>
      <c r="AG709" s="1314"/>
      <c r="AH709" s="546"/>
      <c r="AK709" s="1316"/>
      <c r="BB709" s="1317">
        <f t="shared" ref="BB709:BB711" si="138">(BD709)/(BE709)</f>
        <v>4.8358380373400687</v>
      </c>
      <c r="BC709" s="69" t="str">
        <f>CONCATENATE(G709," ",K709," Year EUL")</f>
        <v>Water heating RES 11 Year EUL</v>
      </c>
      <c r="BD709" s="162">
        <f>(INDEX('Avoided Cost Benefits'!$C$4:$C$857,MATCH(BC709,'Avoided Cost Benefits'!$A$4:$A$857,0)))*F709</f>
        <v>13.692792932534408</v>
      </c>
      <c r="BE709" s="1318">
        <f>L709/(1.0595^(2020-2019))</f>
        <v>2.8315243039169418</v>
      </c>
    </row>
    <row r="710" spans="1:57" s="1177" customFormat="1" x14ac:dyDescent="0.25">
      <c r="A710" s="1197"/>
      <c r="B710" s="2118"/>
      <c r="C710" s="1927" t="s">
        <v>1923</v>
      </c>
      <c r="D710" s="2479" t="s">
        <v>1924</v>
      </c>
      <c r="E710" s="1670" t="s">
        <v>1925</v>
      </c>
      <c r="F710" s="2187">
        <f>ROUND(G721*(G722*G723-G724*G725)*G726*G727*G728/G729*I710*G738*G736,2)</f>
        <v>35.130000000000003</v>
      </c>
      <c r="G710" s="619" t="s">
        <v>1922</v>
      </c>
      <c r="H710" s="617">
        <f>VLOOKUP(G710,'CP FACTORS'!$A$3:$B$38, 2, FALSE)</f>
        <v>8.8731800000000003E-5</v>
      </c>
      <c r="I710" s="2128">
        <f>G730*G731*(G732-G733)/(G734*G735)</f>
        <v>4.6571930852622331E-2</v>
      </c>
      <c r="J710" s="2186">
        <f t="shared" si="137"/>
        <v>3.117E-3</v>
      </c>
      <c r="K710" s="1647">
        <f>$G$739</f>
        <v>11</v>
      </c>
      <c r="L710" s="1648">
        <f>$G$741</f>
        <v>11.33</v>
      </c>
      <c r="M710" s="619" t="s">
        <v>37</v>
      </c>
      <c r="N710" s="1197"/>
      <c r="O710" s="1197"/>
      <c r="P710" s="1197"/>
      <c r="Q710" s="1197"/>
      <c r="R710" s="1894"/>
      <c r="S710" s="1197"/>
      <c r="T710" s="1197"/>
      <c r="U710" s="1197"/>
      <c r="V710" s="1314" t="str">
        <f>V709</f>
        <v>kWh
Annual Savings</v>
      </c>
      <c r="W710" s="1285">
        <v>37.942887422527377</v>
      </c>
      <c r="X710" s="1319">
        <v>40.786805206808886</v>
      </c>
      <c r="Y710" s="580">
        <v>35.130000000000003</v>
      </c>
      <c r="Z710" s="1314"/>
      <c r="AA710" s="1314"/>
      <c r="AB710" s="1314"/>
      <c r="AC710" s="1314"/>
      <c r="AD710" s="1314"/>
      <c r="AE710" s="1314"/>
      <c r="AF710" s="1314"/>
      <c r="AG710" s="1314"/>
      <c r="AH710" s="546"/>
      <c r="AK710" s="1316"/>
      <c r="BB710" s="1320">
        <f t="shared" si="138"/>
        <v>1.2163941835291563</v>
      </c>
      <c r="BC710" s="73" t="str">
        <f t="shared" ref="BC710:BC711" si="139">CONCATENATE(G710," ",K710," Year EUL")</f>
        <v>Water heating RES 11 Year EUL</v>
      </c>
      <c r="BD710" s="165">
        <f>(INDEX('Avoided Cost Benefits'!$C$4:$C$857,MATCH(BC710,'Avoided Cost Benefits'!$A$4:$A$857,0)))*F710</f>
        <v>13.007783010274034</v>
      </c>
      <c r="BE710" s="1321">
        <f t="shared" ref="BE710:BE711" si="140">L710/(1.0595^(2020-2019))</f>
        <v>10.693723454459649</v>
      </c>
    </row>
    <row r="711" spans="1:57" s="1177" customFormat="1" x14ac:dyDescent="0.25">
      <c r="A711" s="1197"/>
      <c r="B711" s="2118"/>
      <c r="C711" s="1927" t="s">
        <v>1926</v>
      </c>
      <c r="D711" s="2479" t="s">
        <v>1927</v>
      </c>
      <c r="E711" s="1670" t="s">
        <v>1928</v>
      </c>
      <c r="F711" s="712">
        <f>ROUND(G721*(G722*G723-G724*G725)*G726*G727*G728/G729*I711*G738*G736,2)</f>
        <v>35.130000000000003</v>
      </c>
      <c r="G711" s="619" t="s">
        <v>1922</v>
      </c>
      <c r="H711" s="617">
        <f>VLOOKUP(G711,'CP FACTORS'!$A$3:$B$38, 2, FALSE)</f>
        <v>8.8731800000000003E-5</v>
      </c>
      <c r="I711" s="707">
        <f>G730*G731*(G732-G733)/(G734*G735)</f>
        <v>4.6571930852622331E-2</v>
      </c>
      <c r="J711" s="2186">
        <f t="shared" si="137"/>
        <v>3.117E-3</v>
      </c>
      <c r="K711" s="1647">
        <f>$G$739</f>
        <v>11</v>
      </c>
      <c r="L711" s="1648">
        <f>$G$741</f>
        <v>11.33</v>
      </c>
      <c r="M711" s="619" t="s">
        <v>37</v>
      </c>
      <c r="N711" s="1197"/>
      <c r="O711" s="1197"/>
      <c r="P711" s="1197"/>
      <c r="Q711" s="1197"/>
      <c r="R711" s="1894"/>
      <c r="S711" s="1197"/>
      <c r="T711" s="1197"/>
      <c r="U711" s="1197"/>
      <c r="V711" s="1314" t="str">
        <f>V710</f>
        <v>kWh
Annual Savings</v>
      </c>
      <c r="W711" s="1285">
        <v>37.942887422527377</v>
      </c>
      <c r="X711" s="1315">
        <v>40.786805206808886</v>
      </c>
      <c r="Y711" s="580">
        <v>35.130000000000003</v>
      </c>
      <c r="Z711" s="1314"/>
      <c r="AA711" s="1314"/>
      <c r="AB711" s="1314"/>
      <c r="AC711" s="1314"/>
      <c r="AD711" s="1314"/>
      <c r="AE711" s="1314"/>
      <c r="AF711" s="1314"/>
      <c r="AG711" s="1314"/>
      <c r="AH711" s="546"/>
      <c r="AK711" s="1316"/>
      <c r="BB711" s="1322">
        <f t="shared" si="138"/>
        <v>1.2163941835291563</v>
      </c>
      <c r="BC711" s="73" t="str">
        <f t="shared" si="139"/>
        <v>Water heating RES 11 Year EUL</v>
      </c>
      <c r="BD711" s="170">
        <f>(INDEX('Avoided Cost Benefits'!$C$4:$C$857,MATCH(BC711,'Avoided Cost Benefits'!$A$4:$A$857,0)))*F711</f>
        <v>13.007783010274034</v>
      </c>
      <c r="BE711" s="1323">
        <f t="shared" si="140"/>
        <v>10.693723454459649</v>
      </c>
    </row>
    <row r="712" spans="1:57" outlineLevel="1" x14ac:dyDescent="0.25">
      <c r="B712" s="1580"/>
      <c r="C712" s="329"/>
      <c r="D712" s="1546"/>
      <c r="E712" s="1546"/>
      <c r="F712" s="2188"/>
      <c r="G712" s="1237"/>
      <c r="H712" s="2189"/>
      <c r="I712" s="1324"/>
      <c r="J712" s="1324"/>
      <c r="K712" s="1324"/>
      <c r="L712" s="2190"/>
      <c r="V712"/>
      <c r="W712" s="65"/>
      <c r="X712"/>
      <c r="Y712" s="148"/>
      <c r="Z712"/>
      <c r="AA712"/>
      <c r="AB712"/>
      <c r="AC712"/>
      <c r="AD712"/>
      <c r="AE712"/>
      <c r="AF712"/>
      <c r="AG712"/>
      <c r="AH712" s="248"/>
      <c r="AK712" s="1166"/>
    </row>
    <row r="713" spans="1:57" outlineLevel="1" x14ac:dyDescent="0.25">
      <c r="B713" s="1580"/>
      <c r="C713" s="329"/>
      <c r="D713" s="1552"/>
      <c r="E713" s="1552"/>
      <c r="F713" s="2188"/>
      <c r="G713" s="1983"/>
      <c r="H713" s="2191"/>
      <c r="I713" s="1325"/>
      <c r="J713" s="1325"/>
      <c r="K713" s="1325"/>
      <c r="L713" s="1325"/>
      <c r="V713"/>
      <c r="W713"/>
      <c r="X713"/>
      <c r="Y713" s="148"/>
      <c r="Z713"/>
      <c r="AA713"/>
      <c r="AB713"/>
      <c r="AC713"/>
      <c r="AD713"/>
      <c r="AE713"/>
      <c r="AF713"/>
      <c r="AG713"/>
      <c r="AK713" s="1166"/>
    </row>
    <row r="714" spans="1:57" outlineLevel="1" x14ac:dyDescent="0.25">
      <c r="B714" s="1580"/>
      <c r="C714" s="329"/>
      <c r="D714" s="259" t="s">
        <v>617</v>
      </c>
      <c r="E714" s="1552"/>
      <c r="F714" s="2188"/>
      <c r="G714" s="1325"/>
      <c r="H714" s="1983"/>
      <c r="I714" s="1325"/>
      <c r="J714" s="1325"/>
      <c r="K714" s="1325"/>
      <c r="L714" s="1325"/>
      <c r="V714"/>
      <c r="W714"/>
      <c r="X714"/>
      <c r="Y714" s="148"/>
      <c r="Z714"/>
      <c r="AA714"/>
      <c r="AB714"/>
      <c r="AC714"/>
      <c r="AD714"/>
      <c r="AE714"/>
      <c r="AF714"/>
      <c r="AG714"/>
      <c r="AK714" s="1166"/>
    </row>
    <row r="715" spans="1:57" outlineLevel="1" x14ac:dyDescent="0.25">
      <c r="B715" s="1580"/>
      <c r="C715" s="359"/>
      <c r="D715" s="2192"/>
      <c r="E715" s="2193"/>
      <c r="F715" s="2194"/>
      <c r="G715" s="2194"/>
      <c r="H715" s="1325"/>
      <c r="I715" s="1325"/>
      <c r="J715" s="1325"/>
      <c r="K715" s="1325"/>
      <c r="L715" s="1325"/>
      <c r="V715"/>
      <c r="W715"/>
      <c r="X715"/>
      <c r="Y715" s="148"/>
      <c r="Z715"/>
      <c r="AA715"/>
      <c r="AB715"/>
      <c r="AC715"/>
      <c r="AD715"/>
      <c r="AE715"/>
      <c r="AF715"/>
      <c r="AG715"/>
      <c r="AK715" s="1166"/>
    </row>
    <row r="716" spans="1:57" outlineLevel="1" x14ac:dyDescent="0.25">
      <c r="B716" s="1580"/>
      <c r="C716" s="375"/>
      <c r="D716" s="2195"/>
      <c r="E716" s="2196"/>
      <c r="F716" s="2197"/>
      <c r="G716" s="2197"/>
      <c r="H716" s="1325"/>
      <c r="I716" s="1325"/>
      <c r="J716" s="1325"/>
      <c r="K716" s="1325"/>
      <c r="L716" s="1325"/>
      <c r="V716"/>
      <c r="W716"/>
      <c r="X716"/>
      <c r="Y716" s="148"/>
      <c r="Z716"/>
      <c r="AA716"/>
      <c r="AB716"/>
      <c r="AC716"/>
      <c r="AD716"/>
      <c r="AE716"/>
      <c r="AF716"/>
      <c r="AG716"/>
      <c r="AK716" s="1166"/>
    </row>
    <row r="717" spans="1:57" ht="15" customHeight="1" outlineLevel="1" x14ac:dyDescent="0.25">
      <c r="B717" s="1580"/>
      <c r="C717" s="375"/>
      <c r="D717" s="2123"/>
      <c r="E717" s="2124"/>
      <c r="F717" s="2125"/>
      <c r="G717" s="2125"/>
      <c r="V717"/>
      <c r="W717"/>
      <c r="X717"/>
      <c r="Y717" s="148"/>
      <c r="Z717"/>
      <c r="AA717"/>
      <c r="AB717"/>
      <c r="AC717"/>
      <c r="AD717"/>
      <c r="AE717"/>
      <c r="AF717"/>
      <c r="AG717"/>
      <c r="AK717" s="1166"/>
    </row>
    <row r="718" spans="1:57" outlineLevel="1" x14ac:dyDescent="0.25">
      <c r="B718" s="1580"/>
      <c r="C718" s="376"/>
      <c r="D718" s="2126"/>
      <c r="E718" s="2198"/>
      <c r="F718" s="2199"/>
      <c r="G718" s="2199"/>
      <c r="V718"/>
      <c r="W718"/>
      <c r="X718"/>
      <c r="Y718" s="148"/>
      <c r="Z718"/>
      <c r="AA718"/>
      <c r="AB718"/>
      <c r="AC718"/>
      <c r="AD718"/>
      <c r="AE718"/>
      <c r="AF718"/>
      <c r="AG718"/>
      <c r="AK718" s="1166"/>
    </row>
    <row r="719" spans="1:57" outlineLevel="1" x14ac:dyDescent="0.25">
      <c r="B719" s="1580"/>
      <c r="C719" s="329"/>
      <c r="D719" s="2200"/>
      <c r="V719"/>
      <c r="W719"/>
      <c r="X719"/>
      <c r="Y719" s="148"/>
      <c r="Z719"/>
      <c r="AA719"/>
      <c r="AB719"/>
      <c r="AC719"/>
      <c r="AD719"/>
      <c r="AE719"/>
      <c r="AF719"/>
      <c r="AG719"/>
      <c r="AK719" s="1166"/>
    </row>
    <row r="720" spans="1:57" ht="45.75" customHeight="1" outlineLevel="1" x14ac:dyDescent="0.25">
      <c r="B720" s="1580"/>
      <c r="C720" s="329"/>
      <c r="D720" s="1701" t="s">
        <v>618</v>
      </c>
      <c r="E720" s="1701" t="s">
        <v>619</v>
      </c>
      <c r="F720" s="1641" t="s">
        <v>1929</v>
      </c>
      <c r="G720" s="1645" t="s">
        <v>620</v>
      </c>
      <c r="H720" s="2669" t="s">
        <v>670</v>
      </c>
      <c r="I720" s="2669"/>
      <c r="J720" s="3040" t="s">
        <v>621</v>
      </c>
      <c r="K720" s="3041"/>
      <c r="L720" s="3042"/>
      <c r="V720" s="55" t="s">
        <v>27</v>
      </c>
      <c r="W720" s="56">
        <f>W$6</f>
        <v>43252</v>
      </c>
      <c r="X720" s="56">
        <f t="shared" ref="X720:AG720" si="141">X$6</f>
        <v>43465</v>
      </c>
      <c r="Y720" s="500">
        <f t="shared" si="141"/>
        <v>43800</v>
      </c>
      <c r="Z720" s="56">
        <f t="shared" si="141"/>
        <v>43862</v>
      </c>
      <c r="AA720" s="56" t="str">
        <f t="shared" si="141"/>
        <v>-</v>
      </c>
      <c r="AB720" s="56" t="str">
        <f t="shared" si="141"/>
        <v>-</v>
      </c>
      <c r="AC720" s="56" t="str">
        <f t="shared" si="141"/>
        <v>-</v>
      </c>
      <c r="AD720" s="56" t="str">
        <f t="shared" si="141"/>
        <v>-</v>
      </c>
      <c r="AE720" s="56" t="str">
        <f t="shared" si="141"/>
        <v>-</v>
      </c>
      <c r="AF720" s="56" t="str">
        <f t="shared" si="141"/>
        <v>-</v>
      </c>
      <c r="AG720" s="56" t="str">
        <f t="shared" si="141"/>
        <v>-</v>
      </c>
      <c r="AK720" s="1166"/>
    </row>
    <row r="721" spans="2:37" ht="15" customHeight="1" outlineLevel="1" x14ac:dyDescent="0.25">
      <c r="B721" s="1580"/>
      <c r="D721" s="1642" t="s">
        <v>1011</v>
      </c>
      <c r="E721" s="1642" t="s">
        <v>1012</v>
      </c>
      <c r="F721" s="1642"/>
      <c r="G721" s="1341">
        <v>1</v>
      </c>
      <c r="H721" s="3005" t="s">
        <v>1003</v>
      </c>
      <c r="I721" s="3043"/>
      <c r="J721" s="3044" t="s">
        <v>1822</v>
      </c>
      <c r="K721" s="3045"/>
      <c r="L721" s="3045"/>
      <c r="V721" s="630" t="s">
        <v>1011</v>
      </c>
      <c r="W721" s="1259">
        <v>1</v>
      </c>
      <c r="X721" s="1259">
        <v>1</v>
      </c>
      <c r="Y721" s="1259">
        <v>1</v>
      </c>
      <c r="Z721" s="245"/>
      <c r="AA721" s="245"/>
      <c r="AB721" s="245"/>
      <c r="AC721" s="245"/>
      <c r="AD721" s="245"/>
      <c r="AE721" s="245"/>
      <c r="AF721" s="245"/>
      <c r="AG721" s="245"/>
      <c r="AK721" s="1166"/>
    </row>
    <row r="722" spans="2:37" ht="105" customHeight="1" outlineLevel="1" x14ac:dyDescent="0.25">
      <c r="B722" s="1580"/>
      <c r="D722" s="1642" t="s">
        <v>1015</v>
      </c>
      <c r="E722" s="1642" t="s">
        <v>1059</v>
      </c>
      <c r="F722" s="1642"/>
      <c r="G722" s="2201">
        <v>2.2000000000000002</v>
      </c>
      <c r="H722" s="2996" t="s">
        <v>1060</v>
      </c>
      <c r="I722" s="3055"/>
      <c r="J722" s="3048" t="s">
        <v>1930</v>
      </c>
      <c r="K722" s="3049"/>
      <c r="L722" s="3050"/>
      <c r="V722" s="630" t="s">
        <v>1015</v>
      </c>
      <c r="W722" s="1327">
        <v>2.2000000000000002</v>
      </c>
      <c r="X722" s="1326">
        <v>2.2000000000000002</v>
      </c>
      <c r="Y722" s="1326">
        <v>2.2000000000000002</v>
      </c>
      <c r="Z722" s="245"/>
      <c r="AA722" s="245"/>
      <c r="AB722" s="245"/>
      <c r="AC722" s="245"/>
      <c r="AD722" s="245"/>
      <c r="AE722" s="245"/>
      <c r="AF722" s="245"/>
      <c r="AG722" s="245"/>
      <c r="AK722" s="1166"/>
    </row>
    <row r="723" spans="2:37" ht="30" customHeight="1" outlineLevel="1" x14ac:dyDescent="0.25">
      <c r="B723" s="1580"/>
      <c r="D723" s="1642" t="s">
        <v>1018</v>
      </c>
      <c r="E723" s="2202" t="s">
        <v>1931</v>
      </c>
      <c r="F723" s="1642"/>
      <c r="G723" s="1332">
        <v>3.7</v>
      </c>
      <c r="H723" s="3046" t="s">
        <v>1932</v>
      </c>
      <c r="I723" s="3047"/>
      <c r="J723" s="3048" t="s">
        <v>1930</v>
      </c>
      <c r="K723" s="3049"/>
      <c r="L723" s="3050"/>
      <c r="V723" s="630" t="s">
        <v>1018</v>
      </c>
      <c r="W723" s="1261">
        <v>3.7</v>
      </c>
      <c r="X723" s="1261">
        <v>3.7</v>
      </c>
      <c r="Y723" s="1261">
        <v>3.7</v>
      </c>
      <c r="Z723" s="245"/>
      <c r="AA723" s="245"/>
      <c r="AB723" s="245"/>
      <c r="AC723" s="245"/>
      <c r="AD723" s="245"/>
      <c r="AE723" s="245"/>
      <c r="AF723" s="245"/>
      <c r="AG723" s="245"/>
      <c r="AK723" s="1166"/>
    </row>
    <row r="724" spans="2:37" ht="30" customHeight="1" outlineLevel="1" x14ac:dyDescent="0.25">
      <c r="B724" s="1580"/>
      <c r="D724" s="1642" t="s">
        <v>1022</v>
      </c>
      <c r="E724" s="1642" t="s">
        <v>1064</v>
      </c>
      <c r="F724" s="1642"/>
      <c r="G724" s="1342">
        <v>1.5</v>
      </c>
      <c r="H724" s="2996" t="s">
        <v>1933</v>
      </c>
      <c r="I724" s="3055"/>
      <c r="J724" s="3048" t="s">
        <v>1930</v>
      </c>
      <c r="K724" s="3049"/>
      <c r="L724" s="3050"/>
      <c r="V724" s="630" t="s">
        <v>1022</v>
      </c>
      <c r="W724" s="1327">
        <v>1.5</v>
      </c>
      <c r="X724" s="1328">
        <v>1.5</v>
      </c>
      <c r="Y724" s="1328">
        <v>1.5</v>
      </c>
      <c r="Z724" s="1186"/>
      <c r="AA724" s="1186"/>
      <c r="AB724" s="1186"/>
      <c r="AC724" s="1186"/>
      <c r="AD724" s="1186"/>
      <c r="AE724" s="1186"/>
      <c r="AF724" s="1186"/>
      <c r="AG724" s="1186"/>
      <c r="AK724" s="1166"/>
    </row>
    <row r="725" spans="2:37" ht="30" customHeight="1" outlineLevel="1" x14ac:dyDescent="0.25">
      <c r="B725" s="1580"/>
      <c r="D725" s="1642" t="s">
        <v>1024</v>
      </c>
      <c r="E725" s="2202" t="s">
        <v>1931</v>
      </c>
      <c r="F725" s="1642"/>
      <c r="G725" s="2203">
        <v>3.7</v>
      </c>
      <c r="H725" s="3046" t="s">
        <v>1932</v>
      </c>
      <c r="I725" s="3047"/>
      <c r="J725" s="3048" t="s">
        <v>1930</v>
      </c>
      <c r="K725" s="3049"/>
      <c r="L725" s="3050"/>
      <c r="V725" s="630" t="s">
        <v>1024</v>
      </c>
      <c r="W725" s="1261">
        <v>3.7</v>
      </c>
      <c r="X725" s="1261">
        <v>3.7</v>
      </c>
      <c r="Y725" s="1273">
        <v>3.7</v>
      </c>
      <c r="Z725" s="1186"/>
      <c r="AA725" s="1186"/>
      <c r="AB725" s="1186"/>
      <c r="AC725" s="1186"/>
      <c r="AD725" s="1186"/>
      <c r="AE725" s="1186"/>
      <c r="AF725" s="1186"/>
      <c r="AG725" s="1186"/>
      <c r="AK725" s="1166"/>
    </row>
    <row r="726" spans="2:37" ht="45" customHeight="1" outlineLevel="1" x14ac:dyDescent="0.25">
      <c r="B726" s="1580"/>
      <c r="D726" s="1642" t="s">
        <v>683</v>
      </c>
      <c r="E726" s="2202" t="s">
        <v>1934</v>
      </c>
      <c r="F726" s="1642"/>
      <c r="G726" s="1329">
        <v>1.5644946808510638</v>
      </c>
      <c r="H726" s="3046" t="s">
        <v>1935</v>
      </c>
      <c r="I726" s="3047"/>
      <c r="J726" s="3048" t="s">
        <v>1930</v>
      </c>
      <c r="K726" s="3049"/>
      <c r="L726" s="3050"/>
      <c r="V726" s="630" t="s">
        <v>683</v>
      </c>
      <c r="W726" s="1261">
        <v>2.0699999999999998</v>
      </c>
      <c r="X726" s="1330">
        <v>1.6639999999999999</v>
      </c>
      <c r="Y726" s="1331">
        <v>1.5644946808510638</v>
      </c>
      <c r="Z726" s="1186"/>
      <c r="AA726" s="1186"/>
      <c r="AB726" s="1186"/>
      <c r="AC726" s="1186"/>
      <c r="AD726" s="1186"/>
      <c r="AE726" s="1186"/>
      <c r="AF726" s="1186"/>
      <c r="AG726" s="1186"/>
      <c r="AK726" s="1166"/>
    </row>
    <row r="727" spans="2:37" ht="15" customHeight="1" outlineLevel="1" x14ac:dyDescent="0.25">
      <c r="B727" s="1580"/>
      <c r="D727" s="615" t="s">
        <v>1028</v>
      </c>
      <c r="E727" s="1666" t="s">
        <v>1029</v>
      </c>
      <c r="F727" s="1642"/>
      <c r="G727" s="1332">
        <v>1</v>
      </c>
      <c r="H727" s="3002" t="s">
        <v>1282</v>
      </c>
      <c r="I727" s="3051"/>
      <c r="J727" s="3052" t="s">
        <v>1936</v>
      </c>
      <c r="K727" s="3053"/>
      <c r="L727" s="3054"/>
      <c r="V727" s="635" t="s">
        <v>1028</v>
      </c>
      <c r="W727" s="1261">
        <v>0.75</v>
      </c>
      <c r="X727" s="1330">
        <v>1</v>
      </c>
      <c r="Y727" s="1333">
        <v>1</v>
      </c>
      <c r="Z727" s="1186"/>
      <c r="AA727" s="1186"/>
      <c r="AB727" s="1186"/>
      <c r="AC727" s="1186"/>
      <c r="AD727" s="1186"/>
      <c r="AE727" s="1186"/>
      <c r="AF727" s="1186"/>
      <c r="AG727" s="1186"/>
      <c r="AK727" s="1166"/>
    </row>
    <row r="728" spans="2:37" ht="15" customHeight="1" outlineLevel="1" x14ac:dyDescent="0.25">
      <c r="B728" s="1580"/>
      <c r="D728" s="615">
        <v>365.25</v>
      </c>
      <c r="E728" s="2202" t="s">
        <v>1937</v>
      </c>
      <c r="F728" s="1642"/>
      <c r="G728" s="337">
        <v>365</v>
      </c>
      <c r="H728" s="2996" t="s">
        <v>992</v>
      </c>
      <c r="I728" s="3055"/>
      <c r="J728" s="3048" t="s">
        <v>1930</v>
      </c>
      <c r="K728" s="3049"/>
      <c r="L728" s="3050"/>
      <c r="V728" s="635">
        <v>365.25</v>
      </c>
      <c r="W728" s="1261">
        <v>365</v>
      </c>
      <c r="X728" s="1261">
        <v>365</v>
      </c>
      <c r="Y728" s="1334">
        <v>365</v>
      </c>
      <c r="Z728" s="1186"/>
      <c r="AA728" s="1186"/>
      <c r="AB728" s="1186"/>
      <c r="AC728" s="1186"/>
      <c r="AD728" s="1186"/>
      <c r="AE728" s="1186"/>
      <c r="AF728" s="1186"/>
      <c r="AG728" s="1186"/>
      <c r="AK728" s="1166"/>
    </row>
    <row r="729" spans="2:37" ht="15" customHeight="1" outlineLevel="1" x14ac:dyDescent="0.25">
      <c r="B729" s="1580"/>
      <c r="D729" s="615" t="s">
        <v>1031</v>
      </c>
      <c r="E729" s="2202" t="s">
        <v>1938</v>
      </c>
      <c r="F729" s="1642"/>
      <c r="G729" s="1329">
        <v>1.8624708624708626</v>
      </c>
      <c r="H729" s="3002" t="s">
        <v>1282</v>
      </c>
      <c r="I729" s="3051"/>
      <c r="J729" s="3048" t="s">
        <v>1939</v>
      </c>
      <c r="K729" s="3049"/>
      <c r="L729" s="3050"/>
      <c r="V729" s="635" t="s">
        <v>1031</v>
      </c>
      <c r="W729" s="1261">
        <v>1.76</v>
      </c>
      <c r="X729" s="1330">
        <v>1.7961826857532379</v>
      </c>
      <c r="Y729" s="1331">
        <v>1.8624708624708626</v>
      </c>
      <c r="Z729" s="1186"/>
      <c r="AA729" s="1186"/>
      <c r="AB729" s="1186"/>
      <c r="AC729" s="1186"/>
      <c r="AD729" s="1186"/>
      <c r="AE729" s="1186"/>
      <c r="AF729" s="1186"/>
      <c r="AG729" s="1186"/>
      <c r="AK729" s="1166"/>
    </row>
    <row r="730" spans="2:37" ht="15" customHeight="1" outlineLevel="1" x14ac:dyDescent="0.25">
      <c r="B730" s="1580"/>
      <c r="D730" s="615">
        <v>8.33</v>
      </c>
      <c r="E730" s="2202" t="s">
        <v>1033</v>
      </c>
      <c r="F730" s="1642"/>
      <c r="G730" s="1332">
        <v>8.33</v>
      </c>
      <c r="H730" s="3005" t="s">
        <v>1034</v>
      </c>
      <c r="I730" s="3043"/>
      <c r="J730" s="3048" t="s">
        <v>1930</v>
      </c>
      <c r="K730" s="3049"/>
      <c r="L730" s="3050"/>
      <c r="V730" s="635">
        <v>8.33</v>
      </c>
      <c r="W730" s="1261">
        <v>8.33</v>
      </c>
      <c r="X730" s="1261">
        <v>8.33</v>
      </c>
      <c r="Y730" s="1261">
        <v>8.33</v>
      </c>
      <c r="Z730" s="1186"/>
      <c r="AA730" s="1186"/>
      <c r="AB730" s="1186"/>
      <c r="AC730" s="1186"/>
      <c r="AD730" s="1186"/>
      <c r="AE730" s="1186"/>
      <c r="AF730" s="1186"/>
      <c r="AG730" s="1186"/>
      <c r="AK730" s="1166"/>
    </row>
    <row r="731" spans="2:37" ht="15" customHeight="1" outlineLevel="1" x14ac:dyDescent="0.25">
      <c r="B731" s="1580"/>
      <c r="D731" s="615">
        <v>1</v>
      </c>
      <c r="E731" s="2204" t="s">
        <v>1940</v>
      </c>
      <c r="F731" s="1642"/>
      <c r="G731" s="1332">
        <v>1</v>
      </c>
      <c r="H731" s="2996" t="s">
        <v>1036</v>
      </c>
      <c r="I731" s="3055"/>
      <c r="J731" s="3048" t="s">
        <v>1930</v>
      </c>
      <c r="K731" s="3049"/>
      <c r="L731" s="3050"/>
      <c r="V731" s="635">
        <v>1</v>
      </c>
      <c r="W731" s="1261">
        <v>1</v>
      </c>
      <c r="X731" s="1261">
        <v>1</v>
      </c>
      <c r="Y731" s="1261">
        <v>1</v>
      </c>
      <c r="Z731" s="1186"/>
      <c r="AA731" s="1186"/>
      <c r="AB731" s="1186"/>
      <c r="AC731" s="1186"/>
      <c r="AD731" s="1186"/>
      <c r="AE731" s="1186"/>
      <c r="AF731" s="1186"/>
      <c r="AG731" s="1186"/>
      <c r="AK731" s="1166"/>
    </row>
    <row r="732" spans="2:37" ht="15" customHeight="1" outlineLevel="1" x14ac:dyDescent="0.25">
      <c r="B732" s="1580"/>
      <c r="D732" s="1642" t="s">
        <v>1037</v>
      </c>
      <c r="E732" s="2202" t="s">
        <v>1941</v>
      </c>
      <c r="F732" s="1642"/>
      <c r="G732" s="1332">
        <v>80</v>
      </c>
      <c r="H732" s="3046" t="s">
        <v>1942</v>
      </c>
      <c r="I732" s="3047"/>
      <c r="J732" s="3048" t="s">
        <v>1930</v>
      </c>
      <c r="K732" s="3049"/>
      <c r="L732" s="3050"/>
      <c r="V732" s="630" t="s">
        <v>1037</v>
      </c>
      <c r="W732" s="1261">
        <v>80</v>
      </c>
      <c r="X732" s="1261">
        <v>80</v>
      </c>
      <c r="Y732" s="1261">
        <v>80</v>
      </c>
      <c r="Z732" s="1186"/>
      <c r="AA732" s="1186"/>
      <c r="AB732" s="1186"/>
      <c r="AC732" s="1186"/>
      <c r="AD732" s="1186"/>
      <c r="AE732" s="1186"/>
      <c r="AF732" s="1186"/>
      <c r="AG732" s="1186"/>
      <c r="AK732" s="1166"/>
    </row>
    <row r="733" spans="2:37" ht="60" customHeight="1" outlineLevel="1" x14ac:dyDescent="0.25">
      <c r="B733" s="1580"/>
      <c r="D733" s="1642" t="s">
        <v>1040</v>
      </c>
      <c r="E733" s="2202" t="s">
        <v>1943</v>
      </c>
      <c r="F733" s="1642"/>
      <c r="G733" s="1332">
        <v>61.3</v>
      </c>
      <c r="H733" s="2996" t="s">
        <v>1042</v>
      </c>
      <c r="I733" s="3055"/>
      <c r="J733" s="3048" t="s">
        <v>1930</v>
      </c>
      <c r="K733" s="3049"/>
      <c r="L733" s="3050"/>
      <c r="V733" s="630" t="s">
        <v>1040</v>
      </c>
      <c r="W733" s="1261">
        <v>61.3</v>
      </c>
      <c r="X733" s="1261">
        <v>61.3</v>
      </c>
      <c r="Y733" s="1261">
        <v>61.3</v>
      </c>
      <c r="Z733" s="1186"/>
      <c r="AA733" s="1186"/>
      <c r="AB733" s="1186"/>
      <c r="AC733" s="1186"/>
      <c r="AD733" s="1186"/>
      <c r="AE733" s="1186"/>
      <c r="AF733" s="1186"/>
      <c r="AG733" s="1186"/>
      <c r="AK733" s="1166"/>
    </row>
    <row r="734" spans="2:37" ht="30" customHeight="1" outlineLevel="1" x14ac:dyDescent="0.25">
      <c r="B734" s="1580"/>
      <c r="D734" s="1642" t="s">
        <v>1043</v>
      </c>
      <c r="E734" s="2202" t="s">
        <v>1944</v>
      </c>
      <c r="F734" s="1642"/>
      <c r="G734" s="1332">
        <v>0.98</v>
      </c>
      <c r="H734" s="3046" t="s">
        <v>1945</v>
      </c>
      <c r="I734" s="3047"/>
      <c r="J734" s="3048" t="s">
        <v>1930</v>
      </c>
      <c r="K734" s="3049"/>
      <c r="L734" s="3050"/>
      <c r="V734" s="630" t="s">
        <v>1043</v>
      </c>
      <c r="W734" s="1261">
        <v>0.98</v>
      </c>
      <c r="X734" s="1261">
        <v>0.98</v>
      </c>
      <c r="Y734" s="1261">
        <v>0.98</v>
      </c>
      <c r="Z734" s="1186"/>
      <c r="AA734" s="1186"/>
      <c r="AB734" s="1186"/>
      <c r="AC734" s="1186"/>
      <c r="AD734" s="1186"/>
      <c r="AE734" s="1186"/>
      <c r="AF734" s="1186"/>
      <c r="AG734" s="1186"/>
      <c r="AK734" s="1166"/>
    </row>
    <row r="735" spans="2:37" ht="15" customHeight="1" outlineLevel="1" x14ac:dyDescent="0.25">
      <c r="B735" s="1580"/>
      <c r="D735" s="1642">
        <v>3412</v>
      </c>
      <c r="E735" s="2202">
        <v>3413</v>
      </c>
      <c r="F735" s="1642"/>
      <c r="G735" s="1332">
        <v>3413</v>
      </c>
      <c r="H735" s="3005" t="s">
        <v>701</v>
      </c>
      <c r="I735" s="3043"/>
      <c r="J735" s="3048" t="s">
        <v>1930</v>
      </c>
      <c r="K735" s="3049"/>
      <c r="L735" s="3050"/>
      <c r="V735" s="630">
        <v>3412</v>
      </c>
      <c r="W735" s="1261">
        <v>3413</v>
      </c>
      <c r="X735" s="1261">
        <v>3413</v>
      </c>
      <c r="Y735" s="1261">
        <v>3413</v>
      </c>
      <c r="Z735" s="1186"/>
      <c r="AA735" s="1186"/>
      <c r="AB735" s="1186"/>
      <c r="AC735" s="1186"/>
      <c r="AD735" s="1186"/>
      <c r="AE735" s="1186"/>
      <c r="AF735" s="1186"/>
      <c r="AG735" s="1186"/>
      <c r="AK735" s="1166"/>
    </row>
    <row r="736" spans="2:37" ht="15" customHeight="1" outlineLevel="1" x14ac:dyDescent="0.25">
      <c r="B736" s="1580"/>
      <c r="D736" s="1642" t="s">
        <v>956</v>
      </c>
      <c r="E736" s="1642" t="s">
        <v>1001</v>
      </c>
      <c r="F736" s="1642"/>
      <c r="G736" s="2205">
        <v>1</v>
      </c>
      <c r="H736" s="3005" t="s">
        <v>1003</v>
      </c>
      <c r="I736" s="3043"/>
      <c r="J736" s="3048" t="s">
        <v>1822</v>
      </c>
      <c r="K736" s="3049"/>
      <c r="L736" s="3049"/>
      <c r="V736" s="630" t="s">
        <v>956</v>
      </c>
      <c r="W736" s="1335">
        <v>1</v>
      </c>
      <c r="X736" s="1335">
        <v>1</v>
      </c>
      <c r="Y736" s="1335">
        <v>1</v>
      </c>
      <c r="Z736" s="1186"/>
      <c r="AA736" s="1186"/>
      <c r="AB736" s="1186"/>
      <c r="AC736" s="1186"/>
      <c r="AD736" s="1186"/>
      <c r="AE736" s="1186"/>
      <c r="AF736" s="1186"/>
      <c r="AG736" s="1186"/>
      <c r="AK736" s="1166"/>
    </row>
    <row r="737" spans="2:57" ht="15" customHeight="1" outlineLevel="1" x14ac:dyDescent="0.25">
      <c r="B737" s="1580"/>
      <c r="D737" s="2699" t="s">
        <v>82</v>
      </c>
      <c r="E737" s="3056" t="s">
        <v>1823</v>
      </c>
      <c r="F737" s="1642" t="s">
        <v>1946</v>
      </c>
      <c r="G737" s="2205">
        <v>1</v>
      </c>
      <c r="H737" s="3046" t="s">
        <v>1947</v>
      </c>
      <c r="I737" s="3047"/>
      <c r="J737" s="3048" t="s">
        <v>1930</v>
      </c>
      <c r="K737" s="3049"/>
      <c r="L737" s="3050"/>
      <c r="V737" s="3057" t="s">
        <v>82</v>
      </c>
      <c r="W737" s="1335">
        <v>1</v>
      </c>
      <c r="X737" s="1335">
        <v>1</v>
      </c>
      <c r="Y737" s="1335">
        <v>1</v>
      </c>
      <c r="Z737" s="1186"/>
      <c r="AA737" s="1186"/>
      <c r="AB737" s="1186"/>
      <c r="AC737" s="1186"/>
      <c r="AD737" s="1186"/>
      <c r="AE737" s="1186"/>
      <c r="AF737" s="1186"/>
      <c r="AG737" s="1186"/>
      <c r="AK737" s="1166"/>
    </row>
    <row r="738" spans="2:57" ht="15" customHeight="1" outlineLevel="1" x14ac:dyDescent="0.25">
      <c r="B738" s="1580"/>
      <c r="D738" s="2699"/>
      <c r="E738" s="3056"/>
      <c r="F738" s="1642" t="s">
        <v>1948</v>
      </c>
      <c r="G738" s="401">
        <v>0.95</v>
      </c>
      <c r="H738" s="3002" t="s">
        <v>1282</v>
      </c>
      <c r="I738" s="3051"/>
      <c r="J738" s="2695"/>
      <c r="K738" s="3058"/>
      <c r="L738" s="2696"/>
      <c r="V738" s="3057"/>
      <c r="W738" s="1259">
        <v>0.97699999999999998</v>
      </c>
      <c r="X738" s="721">
        <v>1</v>
      </c>
      <c r="Y738" s="385">
        <v>0.95</v>
      </c>
      <c r="Z738" s="1186"/>
      <c r="AA738" s="1186"/>
      <c r="AB738" s="1186"/>
      <c r="AC738" s="1186"/>
      <c r="AD738" s="1186"/>
      <c r="AE738" s="1186"/>
      <c r="AF738" s="1186"/>
      <c r="AG738" s="1186"/>
      <c r="AK738" s="1166"/>
    </row>
    <row r="739" spans="2:57" ht="15" customHeight="1" outlineLevel="1" x14ac:dyDescent="0.25">
      <c r="B739" s="1580"/>
      <c r="D739" s="537" t="str">
        <f>D699</f>
        <v>EUL</v>
      </c>
      <c r="E739" s="537" t="str">
        <f>E699</f>
        <v>Effective Useful Life</v>
      </c>
      <c r="F739" s="1642" t="s">
        <v>637</v>
      </c>
      <c r="G739" s="1332">
        <v>11</v>
      </c>
      <c r="H739" s="3060"/>
      <c r="I739" s="3061"/>
      <c r="J739" s="2695"/>
      <c r="K739" s="3058"/>
      <c r="L739" s="2696"/>
      <c r="V739" s="1336" t="str">
        <f>D739</f>
        <v>EUL</v>
      </c>
      <c r="W739" s="1261">
        <v>10</v>
      </c>
      <c r="X739" s="1261">
        <v>10</v>
      </c>
      <c r="Y739" s="1261">
        <v>11</v>
      </c>
      <c r="Z739" s="1186"/>
      <c r="AA739" s="1186"/>
      <c r="AB739" s="1186"/>
      <c r="AC739" s="1186"/>
      <c r="AD739" s="1186"/>
      <c r="AE739" s="1186"/>
      <c r="AF739" s="1186"/>
      <c r="AG739" s="1186"/>
      <c r="AK739" s="1166"/>
    </row>
    <row r="740" spans="2:57" ht="15" customHeight="1" outlineLevel="1" x14ac:dyDescent="0.25">
      <c r="B740" s="1580"/>
      <c r="D740" s="3062" t="str">
        <f>D700</f>
        <v>Inc. Cost</v>
      </c>
      <c r="E740" s="3062" t="str">
        <f>E700</f>
        <v>Incremental Cost</v>
      </c>
      <c r="F740" s="1642" t="s">
        <v>1946</v>
      </c>
      <c r="G740" s="1332">
        <v>3</v>
      </c>
      <c r="H740" s="3060"/>
      <c r="I740" s="3061"/>
      <c r="J740" s="2695" t="s">
        <v>1949</v>
      </c>
      <c r="K740" s="3058"/>
      <c r="L740" s="2696"/>
      <c r="V740" s="3059" t="str">
        <f>D740</f>
        <v>Inc. Cost</v>
      </c>
      <c r="W740" s="1261">
        <v>11.33</v>
      </c>
      <c r="X740" s="1330">
        <v>3</v>
      </c>
      <c r="Y740" s="1332">
        <v>3</v>
      </c>
      <c r="Z740" s="1186"/>
      <c r="AA740" s="1186"/>
      <c r="AB740" s="1186"/>
      <c r="AC740" s="1186"/>
      <c r="AD740" s="1186"/>
      <c r="AE740" s="1186"/>
      <c r="AF740" s="1186"/>
      <c r="AG740" s="1186"/>
      <c r="AK740" s="1166"/>
    </row>
    <row r="741" spans="2:57" ht="15" customHeight="1" outlineLevel="1" x14ac:dyDescent="0.25">
      <c r="B741" s="1580"/>
      <c r="D741" s="2731"/>
      <c r="E741" s="2731"/>
      <c r="F741" s="1642" t="s">
        <v>1948</v>
      </c>
      <c r="G741" s="1332">
        <v>11.33</v>
      </c>
      <c r="H741" s="3060"/>
      <c r="I741" s="3061"/>
      <c r="J741" s="2695"/>
      <c r="K741" s="3058"/>
      <c r="L741" s="2696"/>
      <c r="V741" s="3057"/>
      <c r="W741" s="1261">
        <v>11.33</v>
      </c>
      <c r="X741" s="1261">
        <v>11.33</v>
      </c>
      <c r="Y741" s="1261">
        <v>11.33</v>
      </c>
      <c r="Z741" s="1186"/>
      <c r="AA741" s="1186"/>
      <c r="AB741" s="1186"/>
      <c r="AC741" s="1186"/>
      <c r="AD741" s="1186"/>
      <c r="AE741" s="1186"/>
      <c r="AF741" s="1186"/>
      <c r="AG741" s="1186"/>
      <c r="AK741" s="1166"/>
    </row>
    <row r="742" spans="2:57" ht="15" customHeight="1" x14ac:dyDescent="0.25">
      <c r="B742" s="1580"/>
      <c r="C742" s="443"/>
      <c r="AK742" s="1166"/>
    </row>
    <row r="743" spans="2:57" ht="15" customHeight="1" x14ac:dyDescent="0.25">
      <c r="B743" s="1580"/>
      <c r="C743" s="329"/>
      <c r="AK743" s="1166"/>
    </row>
    <row r="744" spans="2:57" x14ac:dyDescent="0.25">
      <c r="B744" s="2639" t="s">
        <v>1054</v>
      </c>
      <c r="C744" s="2640"/>
      <c r="D744" s="2640"/>
      <c r="E744" s="2640"/>
      <c r="F744" s="2640"/>
      <c r="G744" s="2640"/>
      <c r="H744" s="2640"/>
      <c r="I744" s="2641"/>
      <c r="J744" s="2641"/>
      <c r="K744" s="2641"/>
      <c r="L744" s="2641"/>
      <c r="M744" s="2641"/>
      <c r="N744" s="2641"/>
      <c r="O744" s="2641"/>
      <c r="P744" s="2641"/>
      <c r="Q744" s="2641"/>
      <c r="R744" s="2642"/>
      <c r="V744" s="2639" t="str">
        <f>B744</f>
        <v xml:space="preserve">Low Flow Showerheads </v>
      </c>
      <c r="W744" s="2640"/>
      <c r="X744" s="2640"/>
      <c r="Y744" s="2640"/>
      <c r="Z744" s="2640"/>
      <c r="AA744" s="2640"/>
      <c r="AB744" s="2640"/>
      <c r="AC744" s="2615"/>
      <c r="AD744" s="2615"/>
      <c r="AE744" s="2615"/>
      <c r="AF744" s="2615"/>
      <c r="AG744" s="2615"/>
      <c r="AH744" s="2615"/>
      <c r="AI744" s="2616"/>
      <c r="AK744" s="1166"/>
    </row>
    <row r="745" spans="2:57" x14ac:dyDescent="0.25">
      <c r="B745" s="2206"/>
      <c r="C745" s="1337"/>
      <c r="D745" s="573"/>
      <c r="E745" s="573"/>
      <c r="F745" s="330"/>
      <c r="G745" s="330"/>
      <c r="H745" s="330"/>
      <c r="I745" s="330"/>
      <c r="J745" s="330"/>
      <c r="K745" s="330"/>
      <c r="L745" s="1902"/>
      <c r="AK745" s="1166"/>
    </row>
    <row r="746" spans="2:57" ht="49.5" customHeight="1" x14ac:dyDescent="0.25">
      <c r="B746" s="1580"/>
      <c r="C746" s="1641" t="s">
        <v>17</v>
      </c>
      <c r="D746" s="1641" t="s">
        <v>662</v>
      </c>
      <c r="E746" s="1641" t="s">
        <v>19</v>
      </c>
      <c r="F746" s="1641" t="s">
        <v>1778</v>
      </c>
      <c r="G746" s="1641" t="s">
        <v>21</v>
      </c>
      <c r="H746" s="1641" t="s">
        <v>22</v>
      </c>
      <c r="I746" s="1641" t="s">
        <v>1007</v>
      </c>
      <c r="J746" s="1641" t="s">
        <v>23</v>
      </c>
      <c r="K746" s="1641" t="s">
        <v>24</v>
      </c>
      <c r="L746" s="1641" t="s">
        <v>25</v>
      </c>
      <c r="M746" s="1641" t="s">
        <v>26</v>
      </c>
      <c r="V746" s="55" t="s">
        <v>27</v>
      </c>
      <c r="W746" s="56">
        <f>W$6</f>
        <v>43252</v>
      </c>
      <c r="X746" s="56">
        <f t="shared" ref="X746:AG746" si="142">X$6</f>
        <v>43465</v>
      </c>
      <c r="Y746" s="500">
        <f t="shared" si="142"/>
        <v>43800</v>
      </c>
      <c r="Z746" s="56">
        <f t="shared" si="142"/>
        <v>43862</v>
      </c>
      <c r="AA746" s="56" t="str">
        <f t="shared" si="142"/>
        <v>-</v>
      </c>
      <c r="AB746" s="56" t="str">
        <f t="shared" si="142"/>
        <v>-</v>
      </c>
      <c r="AC746" s="56" t="str">
        <f t="shared" si="142"/>
        <v>-</v>
      </c>
      <c r="AD746" s="56" t="str">
        <f t="shared" si="142"/>
        <v>-</v>
      </c>
      <c r="AE746" s="56" t="str">
        <f t="shared" si="142"/>
        <v>-</v>
      </c>
      <c r="AF746" s="56" t="str">
        <f t="shared" si="142"/>
        <v>-</v>
      </c>
      <c r="AG746" s="56" t="str">
        <f t="shared" si="142"/>
        <v>-</v>
      </c>
      <c r="AK746" s="1166"/>
      <c r="BB746" s="57" t="str">
        <f>$BB$6</f>
        <v>TRC (2020)</v>
      </c>
      <c r="BC746" s="103" t="str">
        <f>$BC$6</f>
        <v>Benefit Lookup</v>
      </c>
      <c r="BD746" s="883" t="str">
        <f>$BD$6</f>
        <v>Benefits (2019 $)</v>
      </c>
      <c r="BE746" s="334" t="str">
        <f>$BE$6</f>
        <v>Incremental Cost (2019 $)</v>
      </c>
    </row>
    <row r="747" spans="2:57" x14ac:dyDescent="0.25">
      <c r="B747" s="1580"/>
      <c r="C747" s="619" t="s">
        <v>1950</v>
      </c>
      <c r="D747" s="619" t="s">
        <v>1613</v>
      </c>
      <c r="E747" s="1278" t="s">
        <v>1951</v>
      </c>
      <c r="F747" s="1495">
        <f>ROUND(G761*(G762*G763-G764*G765)*G767*G768*G769/G771*I747*G779*G778,2)</f>
        <v>220.17</v>
      </c>
      <c r="G747" s="619" t="s">
        <v>1922</v>
      </c>
      <c r="H747" s="617">
        <f>VLOOKUP(G747,'CP FACTORS'!$A$3:$B$38, 2, FALSE)</f>
        <v>8.8731800000000003E-5</v>
      </c>
      <c r="I747" s="707">
        <f>G772*G773*(G774-G775)/(G776*G777)</f>
        <v>0.10883387049516556</v>
      </c>
      <c r="J747" s="2186">
        <f>ROUND(F747*H747,6)</f>
        <v>1.9536000000000001E-2</v>
      </c>
      <c r="K747" s="157">
        <f>$G$781</f>
        <v>10</v>
      </c>
      <c r="L747" s="1648">
        <f>G782</f>
        <v>7</v>
      </c>
      <c r="M747" s="619" t="s">
        <v>37</v>
      </c>
      <c r="R747" s="347"/>
      <c r="S747" s="2207"/>
      <c r="V747" s="245" t="str">
        <f>F746</f>
        <v>kWh
Annual Savings</v>
      </c>
      <c r="W747" s="246">
        <v>205.45946120574482</v>
      </c>
      <c r="X747" s="1164">
        <v>386.59384956558648</v>
      </c>
      <c r="Y747" s="744">
        <v>220.17</v>
      </c>
      <c r="Z747" s="245"/>
      <c r="AA747" s="245"/>
      <c r="AB747" s="245"/>
      <c r="AC747" s="245"/>
      <c r="AD747" s="245"/>
      <c r="AE747" s="245"/>
      <c r="AF747" s="245"/>
      <c r="AG747" s="245"/>
      <c r="AH747" s="248"/>
      <c r="AK747" s="1166"/>
      <c r="BB747" s="68">
        <f t="shared" ref="BB747:BB751" si="143">(BD747)/(BE747)</f>
        <v>11.23966827099502</v>
      </c>
      <c r="BC747" s="69" t="str">
        <f>CONCATENATE(G747," ",K747," Year EUL")</f>
        <v>Water heating RES 10 Year EUL</v>
      </c>
      <c r="BD747" s="162">
        <f>(INDEX('Avoided Cost Benefits'!$C$4:$C$857,MATCH(BC747,'Avoided Cost Benefits'!$A$4:$A$857,0)))*F747</f>
        <v>74.259252380335198</v>
      </c>
      <c r="BE747" s="70">
        <f>L747/(1.0595^(2020-2019))</f>
        <v>6.6068900424728643</v>
      </c>
    </row>
    <row r="748" spans="2:57" x14ac:dyDescent="0.25">
      <c r="B748" s="1580"/>
      <c r="C748" s="619" t="s">
        <v>1952</v>
      </c>
      <c r="D748" s="619" t="s">
        <v>1924</v>
      </c>
      <c r="E748" s="1278" t="s">
        <v>1953</v>
      </c>
      <c r="F748" s="1372">
        <f>ROUND($G$761*($G$762*$G$763-$G$764*$G$765)*$G$767*$G$768*$G$769/$G$771*$I$747*$G$780*$G$778,2)</f>
        <v>232.42</v>
      </c>
      <c r="G748" s="619" t="s">
        <v>1922</v>
      </c>
      <c r="H748" s="617">
        <f>VLOOKUP(G748,'CP FACTORS'!$A$3:$B$38, 2, FALSE)</f>
        <v>8.8731800000000003E-5</v>
      </c>
      <c r="I748" s="2128">
        <f>$G$772*$G$773*($G$774-$G$775)/($G$776*$G$777)</f>
        <v>0.10883387049516556</v>
      </c>
      <c r="J748" s="2186">
        <f t="shared" ref="J748:J751" si="144">ROUND(F748*H748,6)</f>
        <v>2.0622999999999999E-2</v>
      </c>
      <c r="K748" s="157">
        <f>$G$781</f>
        <v>10</v>
      </c>
      <c r="L748" s="1648">
        <f>G783</f>
        <v>12.98</v>
      </c>
      <c r="M748" s="619" t="s">
        <v>37</v>
      </c>
      <c r="R748" s="347"/>
      <c r="S748" s="2208"/>
      <c r="V748" s="245" t="str">
        <f>V747</f>
        <v>kWh
Annual Savings</v>
      </c>
      <c r="W748" s="246">
        <v>219.7507887809823</v>
      </c>
      <c r="X748" s="1164">
        <v>396.76737192257565</v>
      </c>
      <c r="Y748" s="744">
        <v>232.42</v>
      </c>
      <c r="Z748" s="245"/>
      <c r="AA748" s="245"/>
      <c r="AB748" s="245"/>
      <c r="AC748" s="245"/>
      <c r="AD748" s="245"/>
      <c r="AE748" s="245"/>
      <c r="AF748" s="245"/>
      <c r="AG748" s="245"/>
      <c r="AH748" s="248"/>
      <c r="AK748" s="1166"/>
      <c r="BB748" s="72">
        <f t="shared" si="143"/>
        <v>6.3987065803587404</v>
      </c>
      <c r="BC748" s="73" t="str">
        <f t="shared" ref="BC748:BC751" si="145">CONCATENATE(G748," ",K748," Year EUL")</f>
        <v>Water heating RES 10 Year EUL</v>
      </c>
      <c r="BD748" s="165">
        <f>(INDEX('Avoided Cost Benefits'!$C$4:$C$857,MATCH(BC748,'Avoided Cost Benefits'!$A$4:$A$857,0)))*F748</f>
        <v>78.390949894343038</v>
      </c>
      <c r="BE748" s="74">
        <f t="shared" ref="BE748:BE751" si="146">L748/(1.0595^(2020-2019))</f>
        <v>12.251061821613968</v>
      </c>
    </row>
    <row r="749" spans="2:57" x14ac:dyDescent="0.25">
      <c r="B749" s="1580"/>
      <c r="C749" s="619" t="s">
        <v>1954</v>
      </c>
      <c r="D749" s="619" t="s">
        <v>1924</v>
      </c>
      <c r="E749" s="1278" t="s">
        <v>1955</v>
      </c>
      <c r="F749" s="1372">
        <f>ROUND($G$761*($G$762*$G$763-$G$764*$G$765)*$G$767*$G$768*$G$769/$G$771*$I$747*$G$780*$G$778,2)</f>
        <v>232.42</v>
      </c>
      <c r="G749" s="619" t="s">
        <v>1922</v>
      </c>
      <c r="H749" s="617">
        <f>VLOOKUP(G749,'CP FACTORS'!$A$3:$B$38, 2, FALSE)</f>
        <v>8.8731800000000003E-5</v>
      </c>
      <c r="I749" s="2128">
        <f>$G$772*$G$773*($G$774-$G$775)/($G$776*$G$777)</f>
        <v>0.10883387049516556</v>
      </c>
      <c r="J749" s="2186">
        <f t="shared" si="144"/>
        <v>2.0622999999999999E-2</v>
      </c>
      <c r="K749" s="157">
        <f t="shared" ref="K749:K751" si="147">$G$781</f>
        <v>10</v>
      </c>
      <c r="L749" s="1648">
        <f>G785</f>
        <v>12.47</v>
      </c>
      <c r="M749" s="619" t="s">
        <v>37</v>
      </c>
      <c r="R749" s="347"/>
      <c r="S749" s="2208"/>
      <c r="V749" s="245" t="str">
        <f t="shared" ref="V749:V751" si="148">V748</f>
        <v>kWh
Annual Savings</v>
      </c>
      <c r="W749" s="246"/>
      <c r="X749" s="1164"/>
      <c r="Y749" s="744">
        <v>232.42</v>
      </c>
      <c r="Z749" s="245"/>
      <c r="AA749" s="245"/>
      <c r="AB749" s="245"/>
      <c r="AC749" s="245"/>
      <c r="AD749" s="245"/>
      <c r="AE749" s="245"/>
      <c r="AF749" s="245"/>
      <c r="AG749" s="245"/>
      <c r="AH749" s="248"/>
      <c r="AK749" s="1166"/>
      <c r="BB749" s="72">
        <f t="shared" si="143"/>
        <v>6.6604018775506377</v>
      </c>
      <c r="BC749" s="73" t="str">
        <f t="shared" si="145"/>
        <v>Water heating RES 10 Year EUL</v>
      </c>
      <c r="BD749" s="165">
        <f>(INDEX('Avoided Cost Benefits'!$C$4:$C$857,MATCH(BC749,'Avoided Cost Benefits'!$A$4:$A$857,0)))*F749</f>
        <v>78.390949894343038</v>
      </c>
      <c r="BE749" s="74">
        <f t="shared" si="146"/>
        <v>11.769702689948089</v>
      </c>
    </row>
    <row r="750" spans="2:57" x14ac:dyDescent="0.25">
      <c r="B750" s="1580"/>
      <c r="C750" s="619" t="s">
        <v>1956</v>
      </c>
      <c r="D750" s="619" t="s">
        <v>1927</v>
      </c>
      <c r="E750" s="1278" t="s">
        <v>1957</v>
      </c>
      <c r="F750" s="1372">
        <f>ROUND($G$761*($G$762*$G$763-$G$764*$G$765)*$G$766*$G$768*$G$769/$G$770*$I$747*$G$780*$G$778,2)</f>
        <v>199.61</v>
      </c>
      <c r="G750" s="619" t="s">
        <v>1922</v>
      </c>
      <c r="H750" s="617">
        <f>VLOOKUP(G750,'CP FACTORS'!$A$3:$B$38, 2, FALSE)</f>
        <v>8.8731800000000003E-5</v>
      </c>
      <c r="I750" s="2128">
        <f>$G$773*$G$774*($G$775-$G$776)/($G$777*$G$778)</f>
        <v>1.8557280984471141</v>
      </c>
      <c r="J750" s="2186">
        <f t="shared" si="144"/>
        <v>1.7711999999999999E-2</v>
      </c>
      <c r="K750" s="157">
        <f t="shared" si="147"/>
        <v>10</v>
      </c>
      <c r="L750" s="1648">
        <f>G783</f>
        <v>12.98</v>
      </c>
      <c r="M750" s="619" t="s">
        <v>37</v>
      </c>
      <c r="R750" s="347"/>
      <c r="S750" s="2208"/>
      <c r="V750" s="245" t="str">
        <f t="shared" si="148"/>
        <v>kWh
Annual Savings</v>
      </c>
      <c r="W750" s="246">
        <v>193.57333532775112</v>
      </c>
      <c r="X750" s="1164">
        <v>277.23460772356242</v>
      </c>
      <c r="Y750" s="744">
        <v>199.61</v>
      </c>
      <c r="Z750" s="245"/>
      <c r="AA750" s="245"/>
      <c r="AB750" s="245"/>
      <c r="AC750" s="245"/>
      <c r="AD750" s="245"/>
      <c r="AE750" s="245"/>
      <c r="AF750" s="245"/>
      <c r="AG750" s="245"/>
      <c r="AH750" s="248"/>
      <c r="AK750" s="1166"/>
      <c r="BB750" s="72">
        <f t="shared" si="143"/>
        <v>5.4954213084304637</v>
      </c>
      <c r="BC750" s="73" t="str">
        <f t="shared" si="145"/>
        <v>Water heating RES 10 Year EUL</v>
      </c>
      <c r="BD750" s="165">
        <f>(INDEX('Avoided Cost Benefits'!$C$4:$C$857,MATCH(BC750,'Avoided Cost Benefits'!$A$4:$A$857,0)))*F750</f>
        <v>67.324746185396336</v>
      </c>
      <c r="BE750" s="74">
        <f t="shared" si="146"/>
        <v>12.251061821613968</v>
      </c>
    </row>
    <row r="751" spans="2:57" x14ac:dyDescent="0.25">
      <c r="B751" s="1580"/>
      <c r="C751" s="619" t="s">
        <v>1958</v>
      </c>
      <c r="D751" s="619" t="s">
        <v>1927</v>
      </c>
      <c r="E751" s="1278" t="s">
        <v>1959</v>
      </c>
      <c r="F751" s="1372">
        <f>ROUND($G$761*($G$762*$G$763-$G$764*$G$765)*$G$766*$G$768*$G$769/$G$770*$I$747*$G$780*$G$778,2)</f>
        <v>199.61</v>
      </c>
      <c r="G751" s="619" t="s">
        <v>1922</v>
      </c>
      <c r="H751" s="617">
        <f>VLOOKUP(G751,'CP FACTORS'!$A$3:$B$38, 2, FALSE)</f>
        <v>8.8731800000000003E-5</v>
      </c>
      <c r="I751" s="2128">
        <f>$G$773*$G$774*($G$775-$G$776)/($G$777*$G$778)</f>
        <v>1.8557280984471141</v>
      </c>
      <c r="J751" s="2186">
        <f t="shared" si="144"/>
        <v>1.7711999999999999E-2</v>
      </c>
      <c r="K751" s="157">
        <f t="shared" si="147"/>
        <v>10</v>
      </c>
      <c r="L751" s="1648">
        <v>18.45</v>
      </c>
      <c r="M751" s="619" t="s">
        <v>37</v>
      </c>
      <c r="R751" s="347"/>
      <c r="S751" s="2208"/>
      <c r="V751" s="245" t="str">
        <f t="shared" si="148"/>
        <v>kWh
Annual Savings</v>
      </c>
      <c r="W751" s="246"/>
      <c r="X751" s="1164"/>
      <c r="Y751" s="744">
        <v>199.61</v>
      </c>
      <c r="Z751" s="245"/>
      <c r="AA751" s="245"/>
      <c r="AB751" s="245"/>
      <c r="AC751" s="245"/>
      <c r="AD751" s="245"/>
      <c r="AE751" s="245"/>
      <c r="AF751" s="245"/>
      <c r="AG751" s="245"/>
      <c r="AH751" s="248"/>
      <c r="AK751" s="1166"/>
      <c r="BB751" s="75">
        <f t="shared" si="143"/>
        <v>3.8661554787765544</v>
      </c>
      <c r="BC751" s="73" t="str">
        <f t="shared" si="145"/>
        <v>Water heating RES 10 Year EUL</v>
      </c>
      <c r="BD751" s="170">
        <f>(INDEX('Avoided Cost Benefits'!$C$4:$C$857,MATCH(BC751,'Avoided Cost Benefits'!$A$4:$A$857,0)))*F751</f>
        <v>67.324746185396336</v>
      </c>
      <c r="BE751" s="76">
        <f t="shared" si="146"/>
        <v>17.41387446908919</v>
      </c>
    </row>
    <row r="752" spans="2:57" outlineLevel="1" x14ac:dyDescent="0.25">
      <c r="B752" s="1580"/>
      <c r="C752" s="329"/>
      <c r="D752" s="1552"/>
      <c r="E752" s="1552"/>
      <c r="F752" s="2209"/>
      <c r="G752" s="1983"/>
      <c r="H752" s="2191"/>
      <c r="I752" s="1384"/>
      <c r="J752" s="1384"/>
      <c r="K752" s="403"/>
      <c r="M752" s="1325"/>
      <c r="V752"/>
      <c r="W752" s="65"/>
      <c r="X752"/>
      <c r="Y752" s="148"/>
      <c r="Z752"/>
      <c r="AA752"/>
      <c r="AB752"/>
      <c r="AC752"/>
      <c r="AD752"/>
      <c r="AE752"/>
      <c r="AF752"/>
      <c r="AG752"/>
      <c r="AK752" s="1166"/>
    </row>
    <row r="753" spans="2:37" outlineLevel="1" x14ac:dyDescent="0.25">
      <c r="B753" s="1580"/>
      <c r="C753" s="329"/>
      <c r="D753" s="1552"/>
      <c r="E753" s="1552"/>
      <c r="F753" s="2209"/>
      <c r="G753" s="1983"/>
      <c r="H753" s="2191"/>
      <c r="I753" s="1384"/>
      <c r="J753" s="1384"/>
      <c r="K753" s="403"/>
      <c r="M753" s="1325"/>
      <c r="V753"/>
      <c r="W753"/>
      <c r="X753"/>
      <c r="Y753" s="148"/>
      <c r="Z753"/>
      <c r="AA753"/>
      <c r="AB753"/>
      <c r="AC753"/>
      <c r="AD753"/>
      <c r="AE753"/>
      <c r="AF753"/>
      <c r="AG753"/>
      <c r="AK753" s="1166"/>
    </row>
    <row r="754" spans="2:37" outlineLevel="1" x14ac:dyDescent="0.25">
      <c r="B754" s="1580"/>
      <c r="C754" s="329"/>
      <c r="D754" s="259" t="s">
        <v>617</v>
      </c>
      <c r="E754" s="1552"/>
      <c r="F754" s="1325"/>
      <c r="G754" s="1325"/>
      <c r="H754" s="1325"/>
      <c r="I754" s="1325"/>
      <c r="J754" s="1325"/>
      <c r="M754" s="1325"/>
      <c r="V754"/>
      <c r="W754"/>
      <c r="X754"/>
      <c r="Y754" s="148"/>
      <c r="Z754"/>
      <c r="AA754"/>
      <c r="AB754"/>
      <c r="AC754"/>
      <c r="AD754"/>
      <c r="AE754"/>
      <c r="AF754"/>
      <c r="AG754"/>
      <c r="AK754" s="1166"/>
    </row>
    <row r="755" spans="2:37" outlineLevel="1" x14ac:dyDescent="0.25">
      <c r="B755" s="1580"/>
      <c r="C755" s="359"/>
      <c r="D755" s="2192"/>
      <c r="E755" s="2193"/>
      <c r="F755" s="2210"/>
      <c r="G755" s="2190"/>
      <c r="H755" s="2190"/>
      <c r="I755" s="1325"/>
      <c r="J755" s="1325"/>
      <c r="V755"/>
      <c r="W755"/>
      <c r="X755"/>
      <c r="Y755" s="148"/>
      <c r="Z755"/>
      <c r="AA755"/>
      <c r="AB755"/>
      <c r="AC755"/>
      <c r="AD755"/>
      <c r="AE755"/>
      <c r="AF755"/>
      <c r="AG755"/>
      <c r="AK755" s="1166"/>
    </row>
    <row r="756" spans="2:37" outlineLevel="1" x14ac:dyDescent="0.25">
      <c r="B756" s="1580"/>
      <c r="C756" s="375"/>
      <c r="D756" s="2195"/>
      <c r="E756" s="2196"/>
      <c r="F756" s="2211"/>
      <c r="G756" s="2190"/>
      <c r="H756" s="2190"/>
      <c r="I756" s="1325"/>
      <c r="J756" s="1325"/>
      <c r="V756"/>
      <c r="W756"/>
      <c r="X756"/>
      <c r="Y756" s="148"/>
      <c r="Z756"/>
      <c r="AA756"/>
      <c r="AB756"/>
      <c r="AC756"/>
      <c r="AD756"/>
      <c r="AE756"/>
      <c r="AF756"/>
      <c r="AG756"/>
      <c r="AK756" s="1166"/>
    </row>
    <row r="757" spans="2:37" outlineLevel="1" x14ac:dyDescent="0.25">
      <c r="B757" s="1580"/>
      <c r="C757" s="375"/>
      <c r="D757" s="2195"/>
      <c r="E757" s="2196"/>
      <c r="F757" s="2211"/>
      <c r="G757" s="2190"/>
      <c r="H757" s="2190"/>
      <c r="I757" s="1325"/>
      <c r="J757" s="1325"/>
      <c r="V757"/>
      <c r="W757"/>
      <c r="X757"/>
      <c r="Y757" s="148"/>
      <c r="Z757"/>
      <c r="AA757"/>
      <c r="AB757"/>
      <c r="AC757"/>
      <c r="AD757"/>
      <c r="AE757"/>
      <c r="AF757"/>
      <c r="AG757"/>
      <c r="AK757" s="1166"/>
    </row>
    <row r="758" spans="2:37" ht="15" customHeight="1" outlineLevel="1" x14ac:dyDescent="0.25">
      <c r="B758" s="1580"/>
      <c r="C758" s="375"/>
      <c r="D758" s="2123"/>
      <c r="E758" s="2124"/>
      <c r="F758" s="1183"/>
      <c r="G758" s="1339"/>
      <c r="H758" s="1339"/>
      <c r="V758"/>
      <c r="W758"/>
      <c r="X758"/>
      <c r="Y758" s="148"/>
      <c r="Z758"/>
      <c r="AA758"/>
      <c r="AB758"/>
      <c r="AC758"/>
      <c r="AD758"/>
      <c r="AE758"/>
      <c r="AF758"/>
      <c r="AG758"/>
      <c r="AK758" s="1166"/>
    </row>
    <row r="759" spans="2:37" ht="15" customHeight="1" outlineLevel="1" x14ac:dyDescent="0.25">
      <c r="V759"/>
      <c r="W759"/>
      <c r="X759"/>
      <c r="Y759" s="148"/>
      <c r="Z759"/>
      <c r="AA759"/>
      <c r="AB759"/>
      <c r="AC759"/>
      <c r="AD759"/>
      <c r="AE759"/>
      <c r="AF759"/>
      <c r="AG759"/>
      <c r="AK759" s="1166"/>
    </row>
    <row r="760" spans="2:37" ht="15" customHeight="1" outlineLevel="1" x14ac:dyDescent="0.25">
      <c r="D760" s="1701" t="s">
        <v>618</v>
      </c>
      <c r="E760" s="1701" t="s">
        <v>619</v>
      </c>
      <c r="F760" s="1641" t="s">
        <v>1929</v>
      </c>
      <c r="G760" s="1645" t="s">
        <v>620</v>
      </c>
      <c r="H760" s="2669" t="s">
        <v>670</v>
      </c>
      <c r="I760" s="2669"/>
      <c r="J760" s="2669" t="s">
        <v>621</v>
      </c>
      <c r="K760" s="2669"/>
      <c r="L760" s="2669"/>
      <c r="S760" s="1339"/>
      <c r="V760" s="55" t="s">
        <v>27</v>
      </c>
      <c r="W760" s="56">
        <f>W$6</f>
        <v>43252</v>
      </c>
      <c r="X760" s="56">
        <f t="shared" ref="X760:AG760" si="149">X$6</f>
        <v>43465</v>
      </c>
      <c r="Y760" s="500">
        <f t="shared" si="149"/>
        <v>43800</v>
      </c>
      <c r="Z760" s="56">
        <f t="shared" si="149"/>
        <v>43862</v>
      </c>
      <c r="AA760" s="56" t="str">
        <f t="shared" si="149"/>
        <v>-</v>
      </c>
      <c r="AB760" s="56" t="str">
        <f t="shared" si="149"/>
        <v>-</v>
      </c>
      <c r="AC760" s="56" t="str">
        <f t="shared" si="149"/>
        <v>-</v>
      </c>
      <c r="AD760" s="56" t="str">
        <f t="shared" si="149"/>
        <v>-</v>
      </c>
      <c r="AE760" s="56" t="str">
        <f t="shared" si="149"/>
        <v>-</v>
      </c>
      <c r="AF760" s="56" t="str">
        <f t="shared" si="149"/>
        <v>-</v>
      </c>
      <c r="AG760" s="56" t="str">
        <f t="shared" si="149"/>
        <v>-</v>
      </c>
      <c r="AK760" s="1166"/>
    </row>
    <row r="761" spans="2:37" ht="30" customHeight="1" outlineLevel="1" x14ac:dyDescent="0.25">
      <c r="D761" s="1642" t="s">
        <v>1011</v>
      </c>
      <c r="E761" s="1642" t="s">
        <v>1012</v>
      </c>
      <c r="F761" s="1642"/>
      <c r="G761" s="1341">
        <v>1</v>
      </c>
      <c r="H761" s="3004" t="s">
        <v>1003</v>
      </c>
      <c r="I761" s="3004"/>
      <c r="J761" s="3066" t="s">
        <v>1822</v>
      </c>
      <c r="K761" s="3067"/>
      <c r="L761" s="3068"/>
      <c r="S761" s="1340"/>
      <c r="V761" s="1258" t="s">
        <v>1011</v>
      </c>
      <c r="W761" s="1259">
        <v>1</v>
      </c>
      <c r="X761" s="1259">
        <v>1</v>
      </c>
      <c r="Y761" s="1259">
        <v>1</v>
      </c>
      <c r="Z761" s="1341"/>
      <c r="AA761" s="1341"/>
      <c r="AB761" s="1341"/>
      <c r="AC761" s="1341"/>
      <c r="AD761" s="1341"/>
      <c r="AE761" s="1341"/>
      <c r="AF761" s="1341"/>
      <c r="AG761" s="1341"/>
      <c r="AK761" s="1166"/>
    </row>
    <row r="762" spans="2:37" ht="51.75" customHeight="1" outlineLevel="1" x14ac:dyDescent="0.25">
      <c r="D762" s="1642" t="s">
        <v>1015</v>
      </c>
      <c r="E762" s="1642" t="s">
        <v>1059</v>
      </c>
      <c r="F762" s="1642"/>
      <c r="G762" s="1342">
        <v>2.2000000000000002</v>
      </c>
      <c r="H762" s="2699" t="s">
        <v>1960</v>
      </c>
      <c r="I762" s="2699"/>
      <c r="J762" s="2947" t="s">
        <v>1930</v>
      </c>
      <c r="K762" s="2947"/>
      <c r="L762" s="2947"/>
      <c r="S762" s="443"/>
      <c r="V762" s="1258" t="str">
        <f>D762</f>
        <v>GPM_base</v>
      </c>
      <c r="W762" s="1327">
        <v>2.67</v>
      </c>
      <c r="X762" s="723">
        <f>'Energy Effic. Kits Deemed Table'!F160</f>
        <v>2.35</v>
      </c>
      <c r="Y762" s="1343">
        <v>2.2000000000000002</v>
      </c>
      <c r="Z762" s="672"/>
      <c r="AA762" s="672"/>
      <c r="AB762" s="672"/>
      <c r="AC762" s="672"/>
      <c r="AD762" s="672"/>
      <c r="AE762" s="672"/>
      <c r="AF762" s="672"/>
      <c r="AG762" s="672"/>
      <c r="AK762" s="1166"/>
    </row>
    <row r="763" spans="2:37" ht="75" customHeight="1" outlineLevel="1" x14ac:dyDescent="0.25">
      <c r="D763" s="1642" t="s">
        <v>1018</v>
      </c>
      <c r="E763" s="1686" t="s">
        <v>1961</v>
      </c>
      <c r="F763" s="1642"/>
      <c r="G763" s="1332">
        <v>8.66</v>
      </c>
      <c r="H763" s="2986" t="s">
        <v>1962</v>
      </c>
      <c r="I763" s="2986"/>
      <c r="J763" s="2947" t="s">
        <v>1930</v>
      </c>
      <c r="K763" s="2947"/>
      <c r="L763" s="2947"/>
      <c r="S763" s="1344"/>
      <c r="V763" s="1258" t="str">
        <f>D763</f>
        <v>L_base</v>
      </c>
      <c r="W763" s="1261">
        <v>8.66</v>
      </c>
      <c r="X763" s="1261">
        <v>8.66</v>
      </c>
      <c r="Y763" s="1261">
        <v>8.66</v>
      </c>
      <c r="Z763" s="1332"/>
      <c r="AA763" s="1332"/>
      <c r="AB763" s="1332"/>
      <c r="AC763" s="1332"/>
      <c r="AD763" s="1332"/>
      <c r="AE763" s="1332"/>
      <c r="AF763" s="1332"/>
      <c r="AG763" s="1332"/>
      <c r="AK763" s="1166"/>
    </row>
    <row r="764" spans="2:37" ht="45" customHeight="1" outlineLevel="1" x14ac:dyDescent="0.25">
      <c r="D764" s="1642" t="s">
        <v>1022</v>
      </c>
      <c r="E764" s="1642" t="s">
        <v>1064</v>
      </c>
      <c r="F764" s="1642"/>
      <c r="G764" s="1699">
        <v>1.5</v>
      </c>
      <c r="H764" s="2699" t="s">
        <v>1960</v>
      </c>
      <c r="I764" s="2699"/>
      <c r="J764" s="2947" t="s">
        <v>1930</v>
      </c>
      <c r="K764" s="2947"/>
      <c r="L764" s="2947"/>
      <c r="S764" s="443"/>
      <c r="V764" s="1258" t="str">
        <f>D764</f>
        <v>GPM_low</v>
      </c>
      <c r="W764" s="1327">
        <v>2</v>
      </c>
      <c r="X764" s="723">
        <f>X762-1</f>
        <v>1.35</v>
      </c>
      <c r="Y764" s="723">
        <v>1.5</v>
      </c>
      <c r="Z764" s="61"/>
      <c r="AA764" s="672"/>
      <c r="AB764" s="672"/>
      <c r="AC764" s="672"/>
      <c r="AD764" s="672"/>
      <c r="AE764" s="672"/>
      <c r="AF764" s="672"/>
      <c r="AG764" s="672"/>
      <c r="AK764" s="1166"/>
    </row>
    <row r="765" spans="2:37" ht="15" customHeight="1" outlineLevel="1" x14ac:dyDescent="0.25">
      <c r="D765" s="1642" t="s">
        <v>1024</v>
      </c>
      <c r="E765" s="1686" t="s">
        <v>1961</v>
      </c>
      <c r="F765" s="1642"/>
      <c r="G765" s="1332">
        <v>8.66</v>
      </c>
      <c r="H765" s="2986" t="s">
        <v>1963</v>
      </c>
      <c r="I765" s="2986"/>
      <c r="J765" s="2947" t="s">
        <v>1930</v>
      </c>
      <c r="K765" s="2947"/>
      <c r="L765" s="2947"/>
      <c r="S765" s="1344"/>
      <c r="V765" s="1258" t="str">
        <f>D765</f>
        <v>L_low</v>
      </c>
      <c r="W765" s="1261">
        <v>8.66</v>
      </c>
      <c r="X765" s="1261">
        <v>8.66</v>
      </c>
      <c r="Y765" s="1261">
        <v>8.66</v>
      </c>
      <c r="Z765" s="1332"/>
      <c r="AA765" s="1332"/>
      <c r="AB765" s="1332"/>
      <c r="AC765" s="1332"/>
      <c r="AD765" s="1332"/>
      <c r="AE765" s="1332"/>
      <c r="AF765" s="1332"/>
      <c r="AG765" s="1332"/>
      <c r="AK765" s="1166"/>
    </row>
    <row r="766" spans="2:37" ht="15" customHeight="1" outlineLevel="1" x14ac:dyDescent="0.25">
      <c r="D766" s="3063" t="s">
        <v>683</v>
      </c>
      <c r="E766" s="3064" t="s">
        <v>1066</v>
      </c>
      <c r="F766" s="1642" t="s">
        <v>795</v>
      </c>
      <c r="G766" s="1332">
        <v>2.67</v>
      </c>
      <c r="H766" s="2986" t="s">
        <v>1964</v>
      </c>
      <c r="I766" s="2986"/>
      <c r="J766" s="2947" t="s">
        <v>1965</v>
      </c>
      <c r="K766" s="2947"/>
      <c r="L766" s="2947"/>
      <c r="S766" s="1344"/>
      <c r="V766" s="3069" t="str">
        <f>D766</f>
        <v>Household</v>
      </c>
      <c r="W766" s="1261">
        <v>2.67</v>
      </c>
      <c r="X766" s="1261">
        <v>2.67</v>
      </c>
      <c r="Y766" s="1261">
        <v>2.67</v>
      </c>
      <c r="Z766" s="1332"/>
      <c r="AA766" s="1332"/>
      <c r="AB766" s="1332"/>
      <c r="AC766" s="1332"/>
      <c r="AD766" s="1332"/>
      <c r="AE766" s="1332"/>
      <c r="AF766" s="1332"/>
      <c r="AG766" s="1332"/>
      <c r="AK766" s="1166"/>
    </row>
    <row r="767" spans="2:37" ht="15" customHeight="1" outlineLevel="1" x14ac:dyDescent="0.25">
      <c r="D767" s="2964"/>
      <c r="E767" s="3065"/>
      <c r="F767" s="1642" t="s">
        <v>797</v>
      </c>
      <c r="G767" s="1332">
        <v>1.5165094339622642</v>
      </c>
      <c r="H767" s="2987" t="s">
        <v>1282</v>
      </c>
      <c r="I767" s="3001"/>
      <c r="J767" s="2947" t="s">
        <v>1965</v>
      </c>
      <c r="K767" s="2947"/>
      <c r="L767" s="2947"/>
      <c r="S767" s="1344"/>
      <c r="V767" s="3070"/>
      <c r="W767" s="1261">
        <v>2.0699999999999998</v>
      </c>
      <c r="X767" s="1330">
        <v>1.8640000000000001</v>
      </c>
      <c r="Y767" s="1333">
        <v>1.5165094339622642</v>
      </c>
      <c r="Z767" s="1332"/>
      <c r="AA767" s="1332"/>
      <c r="AB767" s="1332"/>
      <c r="AC767" s="1332"/>
      <c r="AD767" s="1332"/>
      <c r="AE767" s="1332"/>
      <c r="AF767" s="1332"/>
      <c r="AG767" s="1332"/>
      <c r="AK767" s="1166"/>
    </row>
    <row r="768" spans="2:37" ht="15" customHeight="1" outlineLevel="1" x14ac:dyDescent="0.25">
      <c r="D768" s="1642" t="s">
        <v>1067</v>
      </c>
      <c r="E768" s="1686" t="s">
        <v>1966</v>
      </c>
      <c r="F768" s="1642"/>
      <c r="G768" s="1332">
        <v>0.66</v>
      </c>
      <c r="H768" s="2986" t="s">
        <v>1962</v>
      </c>
      <c r="I768" s="2986"/>
      <c r="J768" s="2947" t="s">
        <v>1967</v>
      </c>
      <c r="K768" s="2947"/>
      <c r="L768" s="2947"/>
      <c r="S768" s="1344"/>
      <c r="V768" s="1258" t="str">
        <f>D768</f>
        <v>SPDC</v>
      </c>
      <c r="W768" s="1261">
        <v>0.66</v>
      </c>
      <c r="X768" s="1261">
        <v>0.66</v>
      </c>
      <c r="Y768" s="1261">
        <v>0.66</v>
      </c>
      <c r="Z768" s="1332"/>
      <c r="AA768" s="1332"/>
      <c r="AB768" s="1332"/>
      <c r="AC768" s="1332"/>
      <c r="AD768" s="1332"/>
      <c r="AE768" s="1332"/>
      <c r="AF768" s="1332"/>
      <c r="AG768" s="1332"/>
      <c r="AK768" s="1166"/>
    </row>
    <row r="769" spans="2:37" ht="15" customHeight="1" outlineLevel="1" x14ac:dyDescent="0.25">
      <c r="D769" s="1642">
        <v>365.25</v>
      </c>
      <c r="E769" s="1686" t="s">
        <v>1968</v>
      </c>
      <c r="F769" s="1642"/>
      <c r="G769" s="1332">
        <v>365</v>
      </c>
      <c r="H769" s="2699" t="s">
        <v>992</v>
      </c>
      <c r="I769" s="2699"/>
      <c r="J769" s="2947" t="s">
        <v>1967</v>
      </c>
      <c r="K769" s="2947"/>
      <c r="L769" s="2947"/>
      <c r="S769" s="1344"/>
      <c r="V769" s="1258">
        <f>D769</f>
        <v>365.25</v>
      </c>
      <c r="W769" s="1261">
        <v>365</v>
      </c>
      <c r="X769" s="1261">
        <v>365</v>
      </c>
      <c r="Y769" s="1261">
        <v>365</v>
      </c>
      <c r="Z769" s="1332"/>
      <c r="AA769" s="1332"/>
      <c r="AB769" s="1332"/>
      <c r="AC769" s="1332"/>
      <c r="AD769" s="1332"/>
      <c r="AE769" s="1332"/>
      <c r="AF769" s="1332"/>
      <c r="AG769" s="1332"/>
      <c r="AK769" s="1166"/>
    </row>
    <row r="770" spans="2:37" ht="15" customHeight="1" outlineLevel="1" x14ac:dyDescent="0.25">
      <c r="D770" s="3063" t="s">
        <v>1071</v>
      </c>
      <c r="E770" s="3064" t="s">
        <v>1969</v>
      </c>
      <c r="F770" s="1642" t="s">
        <v>795</v>
      </c>
      <c r="G770" s="1332">
        <v>2.0499999999999998</v>
      </c>
      <c r="H770" s="2986" t="s">
        <v>1964</v>
      </c>
      <c r="I770" s="2986"/>
      <c r="J770" s="2947" t="s">
        <v>1965</v>
      </c>
      <c r="K770" s="2947"/>
      <c r="L770" s="2947"/>
      <c r="S770" s="1344"/>
      <c r="V770" s="3069" t="str">
        <f>D770</f>
        <v>SPH</v>
      </c>
      <c r="W770" s="1261">
        <v>2.0499999999999998</v>
      </c>
      <c r="X770" s="1261">
        <v>2.0499999999999998</v>
      </c>
      <c r="Y770" s="1261">
        <v>2.0499999999999998</v>
      </c>
      <c r="Z770" s="1332"/>
      <c r="AA770" s="1332"/>
      <c r="AB770" s="1332"/>
      <c r="AC770" s="1332"/>
      <c r="AD770" s="1332"/>
      <c r="AE770" s="1332"/>
      <c r="AF770" s="1332"/>
      <c r="AG770" s="1332"/>
      <c r="AK770" s="1166"/>
    </row>
    <row r="771" spans="2:37" ht="15" customHeight="1" outlineLevel="1" x14ac:dyDescent="0.25">
      <c r="D771" s="2964"/>
      <c r="E771" s="3065"/>
      <c r="F771" s="1642" t="s">
        <v>797</v>
      </c>
      <c r="G771" s="1332">
        <v>1</v>
      </c>
      <c r="H771" s="2986" t="s">
        <v>1282</v>
      </c>
      <c r="I771" s="2986"/>
      <c r="J771" s="2947" t="s">
        <v>1965</v>
      </c>
      <c r="K771" s="2947"/>
      <c r="L771" s="2947"/>
      <c r="S771" s="1344"/>
      <c r="V771" s="3070"/>
      <c r="W771" s="1261">
        <v>1.4</v>
      </c>
      <c r="X771" s="1330">
        <v>1</v>
      </c>
      <c r="Y771" s="1330">
        <v>1</v>
      </c>
      <c r="Z771" s="1332"/>
      <c r="AA771" s="1332"/>
      <c r="AB771" s="1332"/>
      <c r="AC771" s="1332"/>
      <c r="AD771" s="1332"/>
      <c r="AE771" s="1332"/>
      <c r="AF771" s="1332"/>
      <c r="AG771" s="1332"/>
      <c r="AK771" s="1166"/>
    </row>
    <row r="772" spans="2:37" ht="15" customHeight="1" outlineLevel="1" x14ac:dyDescent="0.25">
      <c r="D772" s="1642">
        <v>8.33</v>
      </c>
      <c r="E772" s="1686" t="s">
        <v>1033</v>
      </c>
      <c r="F772" s="1642"/>
      <c r="G772" s="1332">
        <v>8.33</v>
      </c>
      <c r="H772" s="3004" t="s">
        <v>1034</v>
      </c>
      <c r="I772" s="3004"/>
      <c r="J772" s="2947" t="s">
        <v>1967</v>
      </c>
      <c r="K772" s="2947"/>
      <c r="L772" s="2947"/>
      <c r="S772" s="1344"/>
      <c r="V772" s="1258">
        <f>D772</f>
        <v>8.33</v>
      </c>
      <c r="W772" s="1261">
        <v>8.33</v>
      </c>
      <c r="X772" s="1261">
        <v>8.33</v>
      </c>
      <c r="Y772" s="1261">
        <v>8.33</v>
      </c>
      <c r="Z772" s="1332"/>
      <c r="AA772" s="1332"/>
      <c r="AB772" s="1332"/>
      <c r="AC772" s="1332"/>
      <c r="AD772" s="1332"/>
      <c r="AE772" s="1332"/>
      <c r="AF772" s="1332"/>
      <c r="AG772" s="1332"/>
      <c r="AK772" s="1166"/>
    </row>
    <row r="773" spans="2:37" ht="15" customHeight="1" outlineLevel="1" x14ac:dyDescent="0.25">
      <c r="D773" s="1642">
        <v>1</v>
      </c>
      <c r="E773" s="1686" t="s">
        <v>1970</v>
      </c>
      <c r="F773" s="1642"/>
      <c r="G773" s="1332">
        <v>1</v>
      </c>
      <c r="H773" s="2699" t="s">
        <v>1036</v>
      </c>
      <c r="I773" s="2699"/>
      <c r="J773" s="2947" t="s">
        <v>1967</v>
      </c>
      <c r="K773" s="2947"/>
      <c r="L773" s="2947"/>
      <c r="S773" s="1344"/>
      <c r="V773" s="1258">
        <f t="shared" ref="V773:V778" si="150">D773</f>
        <v>1</v>
      </c>
      <c r="W773" s="1261">
        <v>1</v>
      </c>
      <c r="X773" s="1261">
        <v>1</v>
      </c>
      <c r="Y773" s="1261">
        <v>1</v>
      </c>
      <c r="Z773" s="1332"/>
      <c r="AA773" s="1332"/>
      <c r="AB773" s="1332"/>
      <c r="AC773" s="1332"/>
      <c r="AD773" s="1332"/>
      <c r="AE773" s="1332"/>
      <c r="AF773" s="1332"/>
      <c r="AG773" s="1332"/>
      <c r="AK773" s="1166"/>
    </row>
    <row r="774" spans="2:37" ht="15" customHeight="1" outlineLevel="1" x14ac:dyDescent="0.25">
      <c r="D774" s="1642" t="s">
        <v>1073</v>
      </c>
      <c r="E774" s="1686" t="s">
        <v>1971</v>
      </c>
      <c r="F774" s="1642"/>
      <c r="G774" s="1332">
        <v>105</v>
      </c>
      <c r="H774" s="2699" t="s">
        <v>1075</v>
      </c>
      <c r="I774" s="2699"/>
      <c r="J774" s="2947" t="s">
        <v>1967</v>
      </c>
      <c r="K774" s="2947"/>
      <c r="L774" s="2947"/>
      <c r="S774" s="1344"/>
      <c r="V774" s="1258" t="str">
        <f t="shared" si="150"/>
        <v>ShowerTemp</v>
      </c>
      <c r="W774" s="1261">
        <v>105</v>
      </c>
      <c r="X774" s="1261">
        <v>105</v>
      </c>
      <c r="Y774" s="1261">
        <v>105</v>
      </c>
      <c r="Z774" s="1332"/>
      <c r="AA774" s="1332"/>
      <c r="AB774" s="1332"/>
      <c r="AC774" s="1332"/>
      <c r="AD774" s="1332"/>
      <c r="AE774" s="1332"/>
      <c r="AF774" s="1332"/>
      <c r="AG774" s="1332"/>
      <c r="AK774" s="1166"/>
    </row>
    <row r="775" spans="2:37" ht="15" customHeight="1" outlineLevel="1" x14ac:dyDescent="0.25">
      <c r="B775" s="1580"/>
      <c r="D775" s="1642" t="s">
        <v>1040</v>
      </c>
      <c r="E775" s="1686" t="s">
        <v>1943</v>
      </c>
      <c r="F775" s="1642"/>
      <c r="G775" s="1332">
        <v>61.3</v>
      </c>
      <c r="H775" s="2699" t="s">
        <v>1042</v>
      </c>
      <c r="I775" s="2699"/>
      <c r="J775" s="2947" t="s">
        <v>1967</v>
      </c>
      <c r="K775" s="2947"/>
      <c r="L775" s="2947"/>
      <c r="S775" s="1344"/>
      <c r="V775" s="1258" t="str">
        <f t="shared" si="150"/>
        <v>SupplyTemp</v>
      </c>
      <c r="W775" s="1261">
        <v>61.3</v>
      </c>
      <c r="X775" s="1261">
        <v>61.3</v>
      </c>
      <c r="Y775" s="1261">
        <v>61.3</v>
      </c>
      <c r="Z775" s="1332"/>
      <c r="AA775" s="1332"/>
      <c r="AB775" s="1332"/>
      <c r="AC775" s="1332"/>
      <c r="AD775" s="1332"/>
      <c r="AE775" s="1332"/>
      <c r="AF775" s="1332"/>
      <c r="AG775" s="1332"/>
      <c r="AK775" s="1166"/>
    </row>
    <row r="776" spans="2:37" ht="15" customHeight="1" outlineLevel="1" x14ac:dyDescent="0.25">
      <c r="B776" s="1580"/>
      <c r="D776" s="1642" t="s">
        <v>1043</v>
      </c>
      <c r="E776" s="1686" t="s">
        <v>1944</v>
      </c>
      <c r="F776" s="1642"/>
      <c r="G776" s="1332">
        <v>0.98</v>
      </c>
      <c r="H776" s="2986" t="s">
        <v>1945</v>
      </c>
      <c r="I776" s="2986"/>
      <c r="J776" s="2947" t="s">
        <v>1967</v>
      </c>
      <c r="K776" s="2947"/>
      <c r="L776" s="2947"/>
      <c r="S776" s="1344"/>
      <c r="V776" s="1258" t="str">
        <f t="shared" si="150"/>
        <v>RE_electric</v>
      </c>
      <c r="W776" s="1261">
        <v>0.98</v>
      </c>
      <c r="X776" s="1261">
        <v>0.98</v>
      </c>
      <c r="Y776" s="1261">
        <v>0.98</v>
      </c>
      <c r="Z776" s="1332"/>
      <c r="AA776" s="1332"/>
      <c r="AB776" s="1332"/>
      <c r="AC776" s="1332"/>
      <c r="AD776" s="1332"/>
      <c r="AE776" s="1332"/>
      <c r="AF776" s="1332"/>
      <c r="AG776" s="1332"/>
      <c r="AK776" s="1166"/>
    </row>
    <row r="777" spans="2:37" ht="15" customHeight="1" outlineLevel="1" x14ac:dyDescent="0.25">
      <c r="B777" s="1580"/>
      <c r="D777" s="1642">
        <v>3412</v>
      </c>
      <c r="E777" s="1686">
        <v>3413</v>
      </c>
      <c r="F777" s="1642"/>
      <c r="G777" s="1347">
        <v>3413</v>
      </c>
      <c r="H777" s="3004" t="s">
        <v>701</v>
      </c>
      <c r="I777" s="3004"/>
      <c r="J777" s="2947" t="s">
        <v>1967</v>
      </c>
      <c r="K777" s="2947"/>
      <c r="L777" s="2947"/>
      <c r="S777" s="1346"/>
      <c r="V777" s="1258">
        <f t="shared" si="150"/>
        <v>3412</v>
      </c>
      <c r="W777" s="1345">
        <v>3413</v>
      </c>
      <c r="X777" s="1345">
        <v>3413</v>
      </c>
      <c r="Y777" s="1345">
        <v>3413</v>
      </c>
      <c r="Z777" s="1347"/>
      <c r="AA777" s="1347"/>
      <c r="AB777" s="1347"/>
      <c r="AC777" s="1347"/>
      <c r="AD777" s="1347"/>
      <c r="AE777" s="1347"/>
      <c r="AF777" s="1347"/>
      <c r="AG777" s="1347"/>
      <c r="AK777" s="1166"/>
    </row>
    <row r="778" spans="2:37" ht="15" customHeight="1" outlineLevel="1" x14ac:dyDescent="0.25">
      <c r="B778" s="1580"/>
      <c r="C778" s="443"/>
      <c r="D778" s="1642" t="s">
        <v>956</v>
      </c>
      <c r="E778" s="1642" t="s">
        <v>1001</v>
      </c>
      <c r="F778" s="1642"/>
      <c r="G778" s="1341">
        <v>1</v>
      </c>
      <c r="H778" s="3004" t="s">
        <v>1003</v>
      </c>
      <c r="I778" s="3004"/>
      <c r="J778" s="3074" t="s">
        <v>1822</v>
      </c>
      <c r="K778" s="3075"/>
      <c r="L778" s="3075"/>
      <c r="S778" s="1340"/>
      <c r="V778" s="1258" t="str">
        <f t="shared" si="150"/>
        <v>Utility Adjustment</v>
      </c>
      <c r="W778" s="1259">
        <v>1</v>
      </c>
      <c r="X778" s="1259">
        <v>1</v>
      </c>
      <c r="Y778" s="1259">
        <v>1</v>
      </c>
      <c r="Z778" s="1341"/>
      <c r="AA778" s="1341"/>
      <c r="AB778" s="1341"/>
      <c r="AC778" s="1341"/>
      <c r="AD778" s="1341"/>
      <c r="AE778" s="1341"/>
      <c r="AF778" s="1341"/>
      <c r="AG778" s="1341"/>
      <c r="AK778" s="1166"/>
    </row>
    <row r="779" spans="2:37" ht="15" customHeight="1" outlineLevel="1" x14ac:dyDescent="0.25">
      <c r="B779" s="1580"/>
      <c r="C779" s="443"/>
      <c r="D779" s="2699" t="s">
        <v>82</v>
      </c>
      <c r="E779" s="3076" t="s">
        <v>1823</v>
      </c>
      <c r="F779" s="1642" t="s">
        <v>1946</v>
      </c>
      <c r="G779" s="1332">
        <v>0.91346153846153844</v>
      </c>
      <c r="H779" s="2986" t="s">
        <v>1964</v>
      </c>
      <c r="I779" s="2986"/>
      <c r="J779" s="2947" t="s">
        <v>1967</v>
      </c>
      <c r="K779" s="2947"/>
      <c r="L779" s="2947"/>
      <c r="S779" s="1348"/>
      <c r="V779" s="3069" t="str">
        <f>D779</f>
        <v>ISR</v>
      </c>
      <c r="W779" s="1261">
        <v>0.91346153846153844</v>
      </c>
      <c r="X779" s="1261">
        <v>0.91346153846153844</v>
      </c>
      <c r="Y779" s="1261">
        <v>0.91346153846153844</v>
      </c>
      <c r="Z779" s="1332"/>
      <c r="AA779" s="1332"/>
      <c r="AB779" s="1332"/>
      <c r="AC779" s="1332"/>
      <c r="AD779" s="1332"/>
      <c r="AE779" s="1332"/>
      <c r="AF779" s="1332"/>
      <c r="AG779" s="1332"/>
      <c r="AK779" s="1166"/>
    </row>
    <row r="780" spans="2:37" ht="15" customHeight="1" outlineLevel="1" x14ac:dyDescent="0.25">
      <c r="B780" s="1580"/>
      <c r="C780" s="443"/>
      <c r="D780" s="2699"/>
      <c r="E780" s="3076"/>
      <c r="F780" s="1642" t="s">
        <v>1948</v>
      </c>
      <c r="G780" s="1349">
        <v>0.96430000000000005</v>
      </c>
      <c r="H780" s="2987" t="s">
        <v>1972</v>
      </c>
      <c r="I780" s="3001"/>
      <c r="J780" s="2947" t="s">
        <v>1967</v>
      </c>
      <c r="K780" s="2947"/>
      <c r="L780" s="2947"/>
      <c r="S780" s="1348"/>
      <c r="V780" s="3070"/>
      <c r="W780" s="1350">
        <v>0.97699999999999998</v>
      </c>
      <c r="X780" s="1351">
        <v>0.9375</v>
      </c>
      <c r="Y780" s="1351">
        <v>0.96430000000000005</v>
      </c>
      <c r="Z780" s="1349"/>
      <c r="AA780" s="1349"/>
      <c r="AB780" s="1349"/>
      <c r="AC780" s="1349"/>
      <c r="AD780" s="1349"/>
      <c r="AE780" s="1349"/>
      <c r="AF780" s="1349"/>
      <c r="AG780" s="1349"/>
      <c r="AK780" s="1166"/>
    </row>
    <row r="781" spans="2:37" outlineLevel="1" x14ac:dyDescent="0.25">
      <c r="B781" s="1580"/>
      <c r="C781" s="443"/>
      <c r="D781" s="1681" t="str">
        <f>D739</f>
        <v>EUL</v>
      </c>
      <c r="E781" s="1681" t="str">
        <f>E739</f>
        <v>Effective Useful Life</v>
      </c>
      <c r="F781" s="1642" t="s">
        <v>637</v>
      </c>
      <c r="G781" s="2212">
        <v>10</v>
      </c>
      <c r="H781" s="3004"/>
      <c r="I781" s="3004"/>
      <c r="J781" s="2995"/>
      <c r="K781" s="2995"/>
      <c r="L781" s="2995"/>
      <c r="S781" s="1340"/>
      <c r="V781" s="1258" t="str">
        <f>D781</f>
        <v>EUL</v>
      </c>
      <c r="W781" s="1353">
        <v>10</v>
      </c>
      <c r="X781" s="1353">
        <v>10</v>
      </c>
      <c r="Y781" s="1353">
        <v>10</v>
      </c>
      <c r="Z781" s="1354"/>
      <c r="AA781" s="1354"/>
      <c r="AB781" s="1354"/>
      <c r="AC781" s="1354"/>
      <c r="AD781" s="1354"/>
      <c r="AE781" s="1354"/>
      <c r="AF781" s="1354"/>
      <c r="AG781" s="1354"/>
      <c r="AK781" s="1166"/>
    </row>
    <row r="782" spans="2:37" outlineLevel="1" x14ac:dyDescent="0.25">
      <c r="B782" s="1580"/>
      <c r="C782" s="443"/>
      <c r="D782" s="3071" t="str">
        <f>D740</f>
        <v>Inc. Cost</v>
      </c>
      <c r="E782" s="3071" t="str">
        <f>E740</f>
        <v>Incremental Cost</v>
      </c>
      <c r="F782" s="1684" t="s">
        <v>3384</v>
      </c>
      <c r="G782" s="1356">
        <v>7</v>
      </c>
      <c r="H782" s="2986"/>
      <c r="I782" s="2986"/>
      <c r="J782" s="2947"/>
      <c r="K782" s="2947"/>
      <c r="L782" s="2947"/>
      <c r="S782" s="1348"/>
      <c r="V782" s="3072" t="str">
        <f>D782</f>
        <v>Inc. Cost</v>
      </c>
      <c r="W782" s="1355">
        <v>7</v>
      </c>
      <c r="X782" s="1355">
        <v>7</v>
      </c>
      <c r="Y782" s="1355">
        <v>7</v>
      </c>
      <c r="Z782" s="1356"/>
      <c r="AA782" s="1356"/>
      <c r="AB782" s="1356"/>
      <c r="AC782" s="1356"/>
      <c r="AD782" s="1356"/>
      <c r="AE782" s="1356"/>
      <c r="AF782" s="1356"/>
      <c r="AG782" s="1356"/>
      <c r="AK782" s="1166"/>
    </row>
    <row r="783" spans="2:37" outlineLevel="1" x14ac:dyDescent="0.25">
      <c r="B783" s="1580"/>
      <c r="C783" s="443"/>
      <c r="D783" s="2699"/>
      <c r="E783" s="2699"/>
      <c r="F783" s="1684" t="s">
        <v>3385</v>
      </c>
      <c r="G783" s="1356">
        <v>12.98</v>
      </c>
      <c r="H783" s="2986"/>
      <c r="I783" s="2986"/>
      <c r="J783" s="2947"/>
      <c r="K783" s="2947"/>
      <c r="L783" s="2947"/>
      <c r="S783" s="1348"/>
      <c r="V783" s="3072"/>
      <c r="W783" s="1355">
        <v>7</v>
      </c>
      <c r="X783" s="1355">
        <v>7</v>
      </c>
      <c r="Y783" s="1357">
        <v>12.98</v>
      </c>
      <c r="Z783" s="1356"/>
      <c r="AA783" s="1356"/>
      <c r="AB783" s="1356"/>
      <c r="AC783" s="1356"/>
      <c r="AD783" s="1356"/>
      <c r="AE783" s="1356"/>
      <c r="AF783" s="1356"/>
      <c r="AG783" s="1356"/>
      <c r="AK783" s="1166"/>
    </row>
    <row r="784" spans="2:37" outlineLevel="1" x14ac:dyDescent="0.25">
      <c r="B784" s="1580"/>
      <c r="C784" s="443"/>
      <c r="D784" s="2699"/>
      <c r="E784" s="2699"/>
      <c r="F784" s="1684" t="s">
        <v>1973</v>
      </c>
      <c r="G784" s="1356">
        <v>18.45</v>
      </c>
      <c r="H784" s="2986" t="s">
        <v>1974</v>
      </c>
      <c r="I784" s="2986"/>
      <c r="J784" s="2947"/>
      <c r="K784" s="2947"/>
      <c r="L784" s="2947"/>
      <c r="S784" s="1348"/>
      <c r="V784" s="3073"/>
      <c r="W784" s="1355"/>
      <c r="X784" s="1355"/>
      <c r="Y784" s="1357">
        <v>18.45</v>
      </c>
      <c r="Z784" s="1356"/>
      <c r="AA784" s="1356"/>
      <c r="AB784" s="1356"/>
      <c r="AC784" s="1356"/>
      <c r="AD784" s="1356"/>
      <c r="AE784" s="1356"/>
      <c r="AF784" s="1356"/>
      <c r="AG784" s="1356"/>
      <c r="AK784" s="1166"/>
    </row>
    <row r="785" spans="1:57" outlineLevel="1" x14ac:dyDescent="0.25">
      <c r="B785" s="1580"/>
      <c r="C785" s="443"/>
      <c r="D785" s="2901"/>
      <c r="E785" s="2901"/>
      <c r="F785" s="1684" t="s">
        <v>1975</v>
      </c>
      <c r="G785" s="1356">
        <v>12.47</v>
      </c>
      <c r="H785" s="2986" t="s">
        <v>1974</v>
      </c>
      <c r="I785" s="2986"/>
      <c r="J785" s="2947"/>
      <c r="K785" s="2947"/>
      <c r="L785" s="2947"/>
      <c r="S785" s="1348"/>
      <c r="V785" s="3073"/>
      <c r="W785" s="1355"/>
      <c r="X785" s="1355"/>
      <c r="Y785" s="1357">
        <v>12.47</v>
      </c>
      <c r="Z785" s="1356"/>
      <c r="AA785" s="1356"/>
      <c r="AB785" s="1356"/>
      <c r="AC785" s="1356"/>
      <c r="AD785" s="1356"/>
      <c r="AE785" s="1356"/>
      <c r="AF785" s="1356"/>
      <c r="AG785" s="1356"/>
      <c r="AK785" s="1166"/>
    </row>
    <row r="786" spans="1:57" ht="15" customHeight="1" x14ac:dyDescent="0.25">
      <c r="B786" s="1580"/>
      <c r="C786" s="329"/>
      <c r="AK786" s="1166"/>
    </row>
    <row r="787" spans="1:57" ht="15" customHeight="1" x14ac:dyDescent="0.25">
      <c r="B787" s="1580"/>
      <c r="C787" s="329"/>
      <c r="AK787" s="1166"/>
    </row>
    <row r="788" spans="1:57" ht="15" customHeight="1" x14ac:dyDescent="0.25">
      <c r="B788" s="2639" t="s">
        <v>1076</v>
      </c>
      <c r="C788" s="2640"/>
      <c r="D788" s="2640"/>
      <c r="E788" s="2640"/>
      <c r="F788" s="2640"/>
      <c r="G788" s="2640"/>
      <c r="H788" s="2640"/>
      <c r="I788" s="2641"/>
      <c r="J788" s="2641"/>
      <c r="K788" s="2641"/>
      <c r="L788" s="2641"/>
      <c r="M788" s="2641"/>
      <c r="N788" s="2641"/>
      <c r="O788" s="2641"/>
      <c r="P788" s="2641"/>
      <c r="Q788" s="2641"/>
      <c r="R788" s="2642"/>
      <c r="V788" s="2639" t="str">
        <f>B788</f>
        <v>Pipe Insulation</v>
      </c>
      <c r="W788" s="2640"/>
      <c r="X788" s="2640"/>
      <c r="Y788" s="2640"/>
      <c r="Z788" s="2640"/>
      <c r="AA788" s="2640"/>
      <c r="AB788" s="2640"/>
      <c r="AC788" s="2615"/>
      <c r="AD788" s="2615"/>
      <c r="AE788" s="2615"/>
      <c r="AF788" s="2615"/>
      <c r="AG788" s="2615"/>
      <c r="AH788" s="2615"/>
      <c r="AI788" s="2616"/>
      <c r="AK788" s="1166"/>
    </row>
    <row r="789" spans="1:57" ht="15" customHeight="1" x14ac:dyDescent="0.25">
      <c r="A789" s="353"/>
      <c r="B789" s="1580"/>
      <c r="C789" s="329"/>
      <c r="D789" s="573"/>
      <c r="E789" s="573"/>
      <c r="F789" s="330"/>
      <c r="G789" s="330"/>
      <c r="H789" s="330"/>
      <c r="I789" s="330"/>
      <c r="J789" s="330"/>
      <c r="K789" s="330"/>
      <c r="L789" s="1902"/>
      <c r="AK789" s="1166"/>
    </row>
    <row r="790" spans="1:57" s="1177" customFormat="1" ht="30" x14ac:dyDescent="0.25">
      <c r="A790" s="1197"/>
      <c r="B790" s="2118"/>
      <c r="C790" s="1641" t="s">
        <v>17</v>
      </c>
      <c r="D790" s="1641" t="s">
        <v>662</v>
      </c>
      <c r="E790" s="1641" t="s">
        <v>19</v>
      </c>
      <c r="F790" s="1641" t="s">
        <v>1778</v>
      </c>
      <c r="G790" s="1641" t="s">
        <v>21</v>
      </c>
      <c r="H790" s="1641" t="s">
        <v>22</v>
      </c>
      <c r="I790" s="1641" t="s">
        <v>23</v>
      </c>
      <c r="J790" s="1641" t="s">
        <v>24</v>
      </c>
      <c r="K790" s="1641" t="s">
        <v>25</v>
      </c>
      <c r="L790" s="1641" t="s">
        <v>26</v>
      </c>
      <c r="M790" s="1197"/>
      <c r="N790" s="1197"/>
      <c r="O790" s="1197"/>
      <c r="P790" s="1197"/>
      <c r="Q790" s="1197"/>
      <c r="R790" s="1197"/>
      <c r="S790" s="1197"/>
      <c r="T790" s="1197"/>
      <c r="U790" s="1197"/>
      <c r="V790" s="55" t="s">
        <v>27</v>
      </c>
      <c r="W790" s="56">
        <f>W$6</f>
        <v>43252</v>
      </c>
      <c r="X790" s="56">
        <f t="shared" ref="X790:AG790" si="151">X$6</f>
        <v>43465</v>
      </c>
      <c r="Y790" s="500">
        <f t="shared" si="151"/>
        <v>43800</v>
      </c>
      <c r="Z790" s="56">
        <f t="shared" si="151"/>
        <v>43862</v>
      </c>
      <c r="AA790" s="56" t="str">
        <f t="shared" si="151"/>
        <v>-</v>
      </c>
      <c r="AB790" s="56" t="str">
        <f t="shared" si="151"/>
        <v>-</v>
      </c>
      <c r="AC790" s="56" t="str">
        <f t="shared" si="151"/>
        <v>-</v>
      </c>
      <c r="AD790" s="56" t="str">
        <f t="shared" si="151"/>
        <v>-</v>
      </c>
      <c r="AE790" s="56" t="str">
        <f t="shared" si="151"/>
        <v>-</v>
      </c>
      <c r="AF790" s="56" t="str">
        <f t="shared" si="151"/>
        <v>-</v>
      </c>
      <c r="AG790" s="56" t="str">
        <f t="shared" si="151"/>
        <v>-</v>
      </c>
      <c r="AK790" s="1316"/>
      <c r="BB790" s="57" t="str">
        <f>$BB$6</f>
        <v>TRC (2020)</v>
      </c>
      <c r="BC790" s="103" t="str">
        <f>$BC$6</f>
        <v>Benefit Lookup</v>
      </c>
      <c r="BD790" s="883" t="str">
        <f>$BD$6</f>
        <v>Benefits (2019 $)</v>
      </c>
      <c r="BE790" s="334" t="str">
        <f>$BE$6</f>
        <v>Incremental Cost (2019 $)</v>
      </c>
    </row>
    <row r="791" spans="1:57" s="1177" customFormat="1" ht="15" customHeight="1" x14ac:dyDescent="0.25">
      <c r="A791" s="1197"/>
      <c r="B791" s="2118"/>
      <c r="C791" s="1927" t="s">
        <v>1976</v>
      </c>
      <c r="D791" s="2479" t="s">
        <v>1613</v>
      </c>
      <c r="E791" s="1278" t="s">
        <v>1977</v>
      </c>
      <c r="F791" s="712">
        <f>ROUND(((((F799/F800)-(F801/F802))*F803*F804*F805)/(F806*F807))*F808*F809*F810,2)</f>
        <v>4.6399999999999997</v>
      </c>
      <c r="G791" s="619" t="s">
        <v>1922</v>
      </c>
      <c r="H791" s="617">
        <f>VLOOKUP(G791,'CP FACTORS'!$A$3:$B$38, 2, FALSE)</f>
        <v>8.8731800000000003E-5</v>
      </c>
      <c r="I791" s="2015">
        <f t="shared" ref="I791:I793" si="152">ROUND(F791*H791,6)</f>
        <v>4.1199999999999999E-4</v>
      </c>
      <c r="J791" s="1647">
        <f>$F$813</f>
        <v>12</v>
      </c>
      <c r="K791" s="1648">
        <f>F814</f>
        <v>7.1</v>
      </c>
      <c r="L791" s="1927" t="s">
        <v>1078</v>
      </c>
      <c r="M791" s="1197"/>
      <c r="N791" s="1197"/>
      <c r="O791" s="1197"/>
      <c r="P791" s="1197"/>
      <c r="Q791" s="1197"/>
      <c r="R791" s="1894"/>
      <c r="S791" s="1197"/>
      <c r="T791" s="1197"/>
      <c r="U791" s="1197"/>
      <c r="V791" s="1314" t="str">
        <f>F790</f>
        <v>kWh
Annual Savings</v>
      </c>
      <c r="W791" s="1358">
        <v>16.471996316343358</v>
      </c>
      <c r="X791" s="1164">
        <v>4.4836485277384011</v>
      </c>
      <c r="Y791" s="86">
        <v>4.6399999999999997</v>
      </c>
      <c r="Z791" s="1314"/>
      <c r="AA791" s="1314"/>
      <c r="AB791" s="1314"/>
      <c r="AC791" s="1314"/>
      <c r="AD791" s="1314"/>
      <c r="AE791" s="1314"/>
      <c r="AF791" s="1314"/>
      <c r="AG791" s="1314"/>
      <c r="AK791" s="1316"/>
      <c r="BB791" s="1317">
        <f t="shared" ref="BB791:BB793" si="153">(BD791)/(BE791)</f>
        <v>0.27928929013723736</v>
      </c>
      <c r="BC791" s="69" t="str">
        <f>CONCATENATE(G791," ",J791," Year EUL")</f>
        <v>Water heating RES 12 Year EUL</v>
      </c>
      <c r="BD791" s="162">
        <f>(INDEX('Avoided Cost Benefits'!$C$4:$C$857,MATCH(BC791,'Avoided Cost Benefits'!$A$4:$A$857,0)))*F791</f>
        <v>1.8715941104052713</v>
      </c>
      <c r="BE791" s="1318">
        <f>K791/(1.0595^(2020-2019))</f>
        <v>6.7012741859367617</v>
      </c>
    </row>
    <row r="792" spans="1:57" s="1177" customFormat="1" ht="15" customHeight="1" x14ac:dyDescent="0.25">
      <c r="A792" s="1197"/>
      <c r="B792" s="2118"/>
      <c r="C792" s="1927" t="s">
        <v>1978</v>
      </c>
      <c r="D792" s="2479" t="s">
        <v>1924</v>
      </c>
      <c r="E792" s="1278" t="s">
        <v>1979</v>
      </c>
      <c r="F792" s="712">
        <f>ROUND(((((F799/F800)-(F801/F802))*F803*F804*F805)/(F806*F807))*F808*F809*F810,2)</f>
        <v>4.6399999999999997</v>
      </c>
      <c r="G792" s="619" t="s">
        <v>1922</v>
      </c>
      <c r="H792" s="617">
        <f>VLOOKUP(G792,'CP FACTORS'!$A$3:$B$38, 2, FALSE)</f>
        <v>8.8731800000000003E-5</v>
      </c>
      <c r="I792" s="2015">
        <f t="shared" si="152"/>
        <v>4.1199999999999999E-4</v>
      </c>
      <c r="J792" s="1647">
        <f>$F$813</f>
        <v>12</v>
      </c>
      <c r="K792" s="1648">
        <f>$F$815</f>
        <v>7.1</v>
      </c>
      <c r="L792" s="1927" t="s">
        <v>1078</v>
      </c>
      <c r="M792" s="1197"/>
      <c r="N792" s="1197"/>
      <c r="O792" s="1197"/>
      <c r="P792" s="1197"/>
      <c r="Q792" s="1197"/>
      <c r="R792" s="1894"/>
      <c r="S792" s="1197"/>
      <c r="T792" s="1197"/>
      <c r="U792" s="1197"/>
      <c r="V792" s="1314" t="str">
        <f>V791</f>
        <v>kWh
Annual Savings</v>
      </c>
      <c r="W792" s="1358">
        <v>16.471996316343358</v>
      </c>
      <c r="X792" s="1164">
        <v>4.4836485277384011</v>
      </c>
      <c r="Y792" s="86">
        <v>4.6399999999999997</v>
      </c>
      <c r="Z792" s="1314"/>
      <c r="AA792" s="1314"/>
      <c r="AB792" s="1314"/>
      <c r="AC792" s="1314"/>
      <c r="AD792" s="1314"/>
      <c r="AE792" s="1314"/>
      <c r="AF792" s="1314"/>
      <c r="AG792" s="1314"/>
      <c r="AK792" s="1316"/>
      <c r="BB792" s="1320">
        <f t="shared" si="153"/>
        <v>0.27928929013723736</v>
      </c>
      <c r="BC792" s="73" t="str">
        <f t="shared" ref="BC792:BC793" si="154">CONCATENATE(G792," ",J792," Year EUL")</f>
        <v>Water heating RES 12 Year EUL</v>
      </c>
      <c r="BD792" s="165">
        <f>(INDEX('Avoided Cost Benefits'!$C$4:$C$857,MATCH(BC792,'Avoided Cost Benefits'!$A$4:$A$857,0)))*F792</f>
        <v>1.8715941104052713</v>
      </c>
      <c r="BE792" s="1321">
        <f t="shared" ref="BE792:BE793" si="155">K792/(1.0595^(2020-2019))</f>
        <v>6.7012741859367617</v>
      </c>
    </row>
    <row r="793" spans="1:57" s="1177" customFormat="1" ht="15" customHeight="1" x14ac:dyDescent="0.25">
      <c r="A793" s="1197"/>
      <c r="B793" s="2118"/>
      <c r="C793" s="1927" t="s">
        <v>1980</v>
      </c>
      <c r="D793" s="2479" t="s">
        <v>1927</v>
      </c>
      <c r="E793" s="1278" t="s">
        <v>1981</v>
      </c>
      <c r="F793" s="712">
        <f>ROUND(((((F799/F800)-(F801/F802))*F803*F804*F805)/(F806*F807))*F808*F809*F810,2)</f>
        <v>4.6399999999999997</v>
      </c>
      <c r="G793" s="619" t="s">
        <v>1922</v>
      </c>
      <c r="H793" s="617">
        <f>VLOOKUP(G793,'CP FACTORS'!$A$3:$B$38, 2, FALSE)</f>
        <v>8.8731800000000003E-5</v>
      </c>
      <c r="I793" s="2015">
        <f t="shared" si="152"/>
        <v>4.1199999999999999E-4</v>
      </c>
      <c r="J793" s="1647">
        <f>$F$813</f>
        <v>12</v>
      </c>
      <c r="K793" s="1648">
        <f>$F$815</f>
        <v>7.1</v>
      </c>
      <c r="L793" s="1927" t="s">
        <v>1078</v>
      </c>
      <c r="M793" s="1197"/>
      <c r="N793" s="1197"/>
      <c r="O793" s="1197"/>
      <c r="P793" s="1197"/>
      <c r="Q793" s="1197"/>
      <c r="R793" s="1894"/>
      <c r="S793" s="1197"/>
      <c r="T793" s="1197"/>
      <c r="U793" s="1197"/>
      <c r="V793" s="1314" t="str">
        <f>V792</f>
        <v>kWh
Annual Savings</v>
      </c>
      <c r="W793" s="1358">
        <v>16.471996316343358</v>
      </c>
      <c r="X793" s="1164">
        <v>4.4836485277384011</v>
      </c>
      <c r="Y793" s="86">
        <v>4.6399999999999997</v>
      </c>
      <c r="Z793" s="1314"/>
      <c r="AA793" s="1314"/>
      <c r="AB793" s="1314"/>
      <c r="AC793" s="1314"/>
      <c r="AD793" s="1314"/>
      <c r="AE793" s="1314"/>
      <c r="AF793" s="1314"/>
      <c r="AG793" s="1314"/>
      <c r="AK793" s="1316"/>
      <c r="BB793" s="1322">
        <f t="shared" si="153"/>
        <v>0.27928929013723736</v>
      </c>
      <c r="BC793" s="73" t="str">
        <f t="shared" si="154"/>
        <v>Water heating RES 12 Year EUL</v>
      </c>
      <c r="BD793" s="170">
        <f>(INDEX('Avoided Cost Benefits'!$C$4:$C$857,MATCH(BC793,'Avoided Cost Benefits'!$A$4:$A$857,0)))*F793</f>
        <v>1.8715941104052713</v>
      </c>
      <c r="BE793" s="1323">
        <f t="shared" si="155"/>
        <v>6.7012741859367617</v>
      </c>
    </row>
    <row r="794" spans="1:57" s="1177" customFormat="1" ht="15" customHeight="1" outlineLevel="1" x14ac:dyDescent="0.25">
      <c r="A794" s="1197"/>
      <c r="B794" s="2118"/>
      <c r="C794" s="1199"/>
      <c r="D794" s="2157"/>
      <c r="E794" s="2157"/>
      <c r="F794" s="1248"/>
      <c r="G794" s="1248"/>
      <c r="H794" s="1248"/>
      <c r="I794" s="1248"/>
      <c r="J794" s="1248"/>
      <c r="K794" s="1197"/>
      <c r="L794" s="1197"/>
      <c r="M794" s="1197"/>
      <c r="N794" s="1197"/>
      <c r="O794" s="1197"/>
      <c r="P794" s="1197"/>
      <c r="Q794" s="1197"/>
      <c r="R794" s="1197"/>
      <c r="S794" s="1197"/>
      <c r="T794" s="1197"/>
      <c r="U794" s="1197"/>
      <c r="V794" s="263"/>
      <c r="W794" s="263"/>
      <c r="X794" s="263"/>
      <c r="Y794" s="1359"/>
      <c r="Z794" s="263"/>
      <c r="AA794" s="263"/>
      <c r="AB794" s="263"/>
      <c r="AC794" s="263"/>
      <c r="AD794" s="263"/>
      <c r="AE794" s="263"/>
      <c r="AF794" s="263"/>
      <c r="AG794" s="263"/>
      <c r="AK794" s="1316"/>
      <c r="BB794" s="1193"/>
    </row>
    <row r="795" spans="1:57" s="1177" customFormat="1" ht="15" customHeight="1" outlineLevel="1" x14ac:dyDescent="0.25">
      <c r="A795" s="1197"/>
      <c r="B795" s="2118"/>
      <c r="C795" s="1199"/>
      <c r="D795" s="259" t="s">
        <v>617</v>
      </c>
      <c r="E795" s="2213"/>
      <c r="F795" s="2214"/>
      <c r="G795" s="2214"/>
      <c r="H795" s="1248"/>
      <c r="I795" s="1248"/>
      <c r="J795" s="1248"/>
      <c r="K795" s="1197"/>
      <c r="L795" s="1197"/>
      <c r="M795" s="1197"/>
      <c r="N795" s="1197"/>
      <c r="O795" s="1197"/>
      <c r="P795" s="1197"/>
      <c r="Q795" s="1197"/>
      <c r="R795" s="1197"/>
      <c r="S795" s="1197"/>
      <c r="T795" s="1197"/>
      <c r="U795" s="1197"/>
      <c r="V795" s="263"/>
      <c r="W795" s="263"/>
      <c r="X795" s="263"/>
      <c r="Y795" s="1359"/>
      <c r="Z795" s="263"/>
      <c r="AA795" s="263"/>
      <c r="AB795" s="263"/>
      <c r="AC795" s="263"/>
      <c r="AD795" s="263"/>
      <c r="AE795" s="263"/>
      <c r="AF795" s="263"/>
      <c r="AG795" s="263"/>
      <c r="AK795" s="1316"/>
      <c r="BB795" s="1193"/>
    </row>
    <row r="796" spans="1:57" s="1177" customFormat="1" ht="38.25" customHeight="1" outlineLevel="1" x14ac:dyDescent="0.25">
      <c r="A796" s="1197"/>
      <c r="B796" s="2118"/>
      <c r="C796" s="1200"/>
      <c r="D796" s="2215"/>
      <c r="E796" s="2216"/>
      <c r="F796" s="2217"/>
      <c r="G796" s="2217"/>
      <c r="H796" s="2217"/>
      <c r="I796" s="2217"/>
      <c r="J796" s="2217"/>
      <c r="K796" s="1197"/>
      <c r="L796" s="1197"/>
      <c r="M796" s="1197"/>
      <c r="N796" s="1197"/>
      <c r="O796" s="1197"/>
      <c r="P796" s="1197"/>
      <c r="Q796" s="1197"/>
      <c r="R796" s="1197"/>
      <c r="S796" s="1197"/>
      <c r="T796" s="1197"/>
      <c r="U796" s="1197"/>
      <c r="V796" s="263"/>
      <c r="W796" s="263"/>
      <c r="X796" s="263"/>
      <c r="Y796" s="1359"/>
      <c r="Z796" s="263"/>
      <c r="AA796" s="263"/>
      <c r="AB796" s="263"/>
      <c r="AC796" s="263"/>
      <c r="AD796" s="263"/>
      <c r="AE796" s="263"/>
      <c r="AF796" s="263"/>
      <c r="AG796" s="263"/>
      <c r="AK796" s="1316"/>
      <c r="BB796" s="1193"/>
    </row>
    <row r="797" spans="1:57" s="1177" customFormat="1" outlineLevel="1" x14ac:dyDescent="0.25">
      <c r="A797" s="1197"/>
      <c r="B797" s="2118"/>
      <c r="C797" s="1200"/>
      <c r="D797" s="2218"/>
      <c r="E797" s="2219"/>
      <c r="F797" s="2220"/>
      <c r="G797" s="2221"/>
      <c r="H797" s="2221"/>
      <c r="I797" s="2221"/>
      <c r="J797" s="2221"/>
      <c r="K797" s="1197"/>
      <c r="L797" s="1197"/>
      <c r="M797" s="1197"/>
      <c r="N797" s="1197"/>
      <c r="O797" s="1197"/>
      <c r="P797" s="1197"/>
      <c r="Q797" s="1197"/>
      <c r="R797" s="1197"/>
      <c r="S797" s="1197"/>
      <c r="T797" s="1197"/>
      <c r="U797" s="1197"/>
      <c r="V797" s="263"/>
      <c r="W797" s="263"/>
      <c r="X797" s="263"/>
      <c r="Y797" s="1359"/>
      <c r="Z797" s="263"/>
      <c r="AA797" s="263"/>
      <c r="AB797" s="263"/>
      <c r="AC797" s="263"/>
      <c r="AD797" s="263"/>
      <c r="AE797" s="263"/>
      <c r="AF797" s="263"/>
      <c r="AG797" s="263"/>
      <c r="AK797" s="1316"/>
      <c r="BB797" s="1193"/>
    </row>
    <row r="798" spans="1:57" s="1177" customFormat="1" outlineLevel="1" x14ac:dyDescent="0.25">
      <c r="A798" s="1197"/>
      <c r="B798" s="2118"/>
      <c r="C798" s="1194"/>
      <c r="D798" s="1701" t="s">
        <v>618</v>
      </c>
      <c r="E798" s="1701" t="s">
        <v>619</v>
      </c>
      <c r="F798" s="1645" t="s">
        <v>620</v>
      </c>
      <c r="G798" s="2722" t="s">
        <v>670</v>
      </c>
      <c r="H798" s="2723"/>
      <c r="I798" s="2722" t="s">
        <v>621</v>
      </c>
      <c r="J798" s="2727"/>
      <c r="K798" s="2723"/>
      <c r="L798" s="1197"/>
      <c r="M798" s="1197"/>
      <c r="N798" s="1197"/>
      <c r="O798" s="1197"/>
      <c r="P798" s="1197"/>
      <c r="Q798" s="1197"/>
      <c r="R798" s="1197"/>
      <c r="S798" s="1197"/>
      <c r="T798" s="1197"/>
      <c r="U798" s="1197"/>
      <c r="V798" s="55" t="s">
        <v>27</v>
      </c>
      <c r="W798" s="56">
        <f>W$6</f>
        <v>43252</v>
      </c>
      <c r="X798" s="56">
        <f t="shared" ref="X798:AG798" si="156">X$6</f>
        <v>43465</v>
      </c>
      <c r="Y798" s="500">
        <f t="shared" si="156"/>
        <v>43800</v>
      </c>
      <c r="Z798" s="56">
        <f t="shared" si="156"/>
        <v>43862</v>
      </c>
      <c r="AA798" s="56" t="str">
        <f t="shared" si="156"/>
        <v>-</v>
      </c>
      <c r="AB798" s="56" t="str">
        <f t="shared" si="156"/>
        <v>-</v>
      </c>
      <c r="AC798" s="56" t="str">
        <f t="shared" si="156"/>
        <v>-</v>
      </c>
      <c r="AD798" s="56" t="str">
        <f t="shared" si="156"/>
        <v>-</v>
      </c>
      <c r="AE798" s="56" t="str">
        <f t="shared" si="156"/>
        <v>-</v>
      </c>
      <c r="AF798" s="56" t="str">
        <f t="shared" si="156"/>
        <v>-</v>
      </c>
      <c r="AG798" s="56" t="str">
        <f t="shared" si="156"/>
        <v>-</v>
      </c>
      <c r="AK798" s="1316"/>
      <c r="BB798" s="1193"/>
    </row>
    <row r="799" spans="1:57" s="1177" customFormat="1" ht="48.75" customHeight="1" outlineLevel="1" x14ac:dyDescent="0.25">
      <c r="A799" s="1197"/>
      <c r="B799" s="2118"/>
      <c r="C799" s="1200"/>
      <c r="D799" s="615" t="s">
        <v>1080</v>
      </c>
      <c r="E799" s="1704" t="s">
        <v>1982</v>
      </c>
      <c r="F799" s="750">
        <f>(PI()*F811)/12</f>
        <v>0.14398966328953219</v>
      </c>
      <c r="G799" s="2994" t="s">
        <v>785</v>
      </c>
      <c r="H799" s="3077"/>
      <c r="I799" s="3078"/>
      <c r="J799" s="3079"/>
      <c r="K799" s="3080"/>
      <c r="L799" s="1197"/>
      <c r="M799" s="1197"/>
      <c r="N799" s="1197"/>
      <c r="O799" s="1197"/>
      <c r="P799" s="1362"/>
      <c r="Q799" s="1363"/>
      <c r="R799" s="1363"/>
      <c r="S799" s="1363"/>
      <c r="T799" s="1363"/>
      <c r="U799" s="1363"/>
      <c r="V799" s="1360" t="str">
        <f>D799</f>
        <v>CBase</v>
      </c>
      <c r="W799" s="1364">
        <f>(PI()*W811)/12</f>
        <v>0.19634954084936207</v>
      </c>
      <c r="X799" s="1361">
        <f>(PI()*X811)/12</f>
        <v>0.14398966328953219</v>
      </c>
      <c r="Y799" s="750">
        <v>0.14398966328953219</v>
      </c>
      <c r="Z799" s="1364"/>
      <c r="AA799" s="1364"/>
      <c r="AB799" s="1364"/>
      <c r="AC799" s="1364"/>
      <c r="AD799" s="1364"/>
      <c r="AE799" s="1364"/>
      <c r="AF799" s="1364"/>
      <c r="AG799" s="1364"/>
      <c r="AK799" s="1316"/>
      <c r="BB799" s="1193"/>
    </row>
    <row r="800" spans="1:57" s="1177" customFormat="1" ht="18" customHeight="1" outlineLevel="1" x14ac:dyDescent="0.25">
      <c r="A800" s="1197"/>
      <c r="B800" s="2118"/>
      <c r="C800" s="1200"/>
      <c r="D800" s="615" t="s">
        <v>1084</v>
      </c>
      <c r="E800" s="1674" t="s">
        <v>1983</v>
      </c>
      <c r="F800" s="1365">
        <v>1</v>
      </c>
      <c r="G800" s="2994" t="s">
        <v>1282</v>
      </c>
      <c r="H800" s="3077"/>
      <c r="I800" s="3078" t="s">
        <v>1809</v>
      </c>
      <c r="J800" s="3079"/>
      <c r="K800" s="3080"/>
      <c r="L800" s="1197"/>
      <c r="M800" s="1197"/>
      <c r="N800" s="1197"/>
      <c r="O800" s="1197"/>
      <c r="P800" s="1362"/>
      <c r="Q800" s="1363"/>
      <c r="R800" s="1363"/>
      <c r="S800" s="1363"/>
      <c r="T800" s="1363"/>
      <c r="U800" s="1363"/>
      <c r="V800" s="1360" t="str">
        <f>D800</f>
        <v>RBase</v>
      </c>
      <c r="W800" s="1366">
        <v>1</v>
      </c>
      <c r="X800" s="1365">
        <v>1</v>
      </c>
      <c r="Y800" s="1365">
        <v>1</v>
      </c>
      <c r="Z800" s="1366"/>
      <c r="AA800" s="1366"/>
      <c r="AB800" s="1366"/>
      <c r="AC800" s="1366"/>
      <c r="AD800" s="1366"/>
      <c r="AE800" s="1366"/>
      <c r="AF800" s="1366"/>
      <c r="AG800" s="1366"/>
      <c r="AK800" s="1316"/>
      <c r="BB800" s="1193"/>
    </row>
    <row r="801" spans="1:54" s="1177" customFormat="1" ht="75" customHeight="1" outlineLevel="1" x14ac:dyDescent="0.25">
      <c r="A801" s="1197"/>
      <c r="B801" s="2118"/>
      <c r="C801" s="1200"/>
      <c r="D801" s="615" t="s">
        <v>1088</v>
      </c>
      <c r="E801" s="1674" t="s">
        <v>1089</v>
      </c>
      <c r="F801" s="673">
        <f>(PI()*(F811+(2*F812))/12)</f>
        <v>0.40578905108868163</v>
      </c>
      <c r="G801" s="3081" t="s">
        <v>785</v>
      </c>
      <c r="H801" s="3082"/>
      <c r="I801" s="3078"/>
      <c r="J801" s="3079"/>
      <c r="K801" s="3080"/>
      <c r="L801" s="1197"/>
      <c r="M801" s="1197"/>
      <c r="N801" s="1197"/>
      <c r="O801" s="1197"/>
      <c r="P801" s="1362"/>
      <c r="Q801" s="1363"/>
      <c r="R801" s="1363"/>
      <c r="S801" s="1363"/>
      <c r="T801" s="1363"/>
      <c r="U801" s="1363"/>
      <c r="V801" s="1360" t="str">
        <f>D801</f>
        <v>CEE</v>
      </c>
      <c r="W801" s="1367">
        <f>(PI()*(W811+(2*W812))/12)</f>
        <v>0.45814892864851148</v>
      </c>
      <c r="X801" s="679">
        <f>(PI()*(X811+(2*X812))/12)</f>
        <v>0.40578905108868163</v>
      </c>
      <c r="Y801" s="679">
        <v>0.40578905108868163</v>
      </c>
      <c r="Z801" s="1367"/>
      <c r="AA801" s="1367"/>
      <c r="AB801" s="1367"/>
      <c r="AC801" s="1367"/>
      <c r="AD801" s="1367"/>
      <c r="AE801" s="1367"/>
      <c r="AF801" s="1367"/>
      <c r="AG801" s="1367"/>
      <c r="AK801" s="1316"/>
      <c r="BB801" s="1193"/>
    </row>
    <row r="802" spans="1:54" s="1177" customFormat="1" ht="18" customHeight="1" outlineLevel="1" x14ac:dyDescent="0.25">
      <c r="A802" s="1197"/>
      <c r="B802" s="2118"/>
      <c r="C802" s="1200"/>
      <c r="D802" s="615" t="s">
        <v>1093</v>
      </c>
      <c r="E802" s="1674" t="s">
        <v>1094</v>
      </c>
      <c r="F802" s="152">
        <v>3.6</v>
      </c>
      <c r="G802" s="3083" t="s">
        <v>1984</v>
      </c>
      <c r="H802" s="3084"/>
      <c r="I802" s="3078" t="s">
        <v>1809</v>
      </c>
      <c r="J802" s="3079"/>
      <c r="K802" s="3080"/>
      <c r="L802" s="1197"/>
      <c r="M802" s="1197"/>
      <c r="N802" s="1197"/>
      <c r="O802" s="1197"/>
      <c r="P802" s="1362"/>
      <c r="Q802" s="1363"/>
      <c r="R802" s="1363"/>
      <c r="S802" s="1363"/>
      <c r="T802" s="1363"/>
      <c r="U802" s="1363"/>
      <c r="V802" s="1360" t="str">
        <f>D802</f>
        <v>REE</v>
      </c>
      <c r="W802" s="152">
        <f>4+1</f>
        <v>5</v>
      </c>
      <c r="X802" s="152">
        <v>3.6</v>
      </c>
      <c r="Y802" s="1368">
        <v>3.6</v>
      </c>
      <c r="Z802" s="152"/>
      <c r="AA802" s="152"/>
      <c r="AB802" s="152"/>
      <c r="AC802" s="152"/>
      <c r="AD802" s="152"/>
      <c r="AE802" s="152"/>
      <c r="AF802" s="152"/>
      <c r="AG802" s="152"/>
      <c r="AK802" s="1316"/>
      <c r="BB802" s="1193"/>
    </row>
    <row r="803" spans="1:54" s="1177" customFormat="1" ht="66.75" customHeight="1" outlineLevel="1" x14ac:dyDescent="0.25">
      <c r="A803" s="1197"/>
      <c r="B803" s="2118"/>
      <c r="C803" s="1200"/>
      <c r="D803" s="2222" t="s">
        <v>1097</v>
      </c>
      <c r="E803" s="1674" t="s">
        <v>1985</v>
      </c>
      <c r="F803" s="1365">
        <v>1</v>
      </c>
      <c r="G803" s="3081" t="s">
        <v>1099</v>
      </c>
      <c r="H803" s="3082"/>
      <c r="I803" s="3078" t="s">
        <v>1809</v>
      </c>
      <c r="J803" s="3079"/>
      <c r="K803" s="3080"/>
      <c r="L803" s="1197"/>
      <c r="M803" s="1197"/>
      <c r="N803" s="1197"/>
      <c r="O803" s="1197"/>
      <c r="P803" s="1362"/>
      <c r="Q803" s="1363"/>
      <c r="R803" s="1363"/>
      <c r="S803" s="1363"/>
      <c r="T803" s="1363"/>
      <c r="U803" s="1363"/>
      <c r="V803" s="1360" t="str">
        <f>D803</f>
        <v>L</v>
      </c>
      <c r="W803" s="1366">
        <v>1</v>
      </c>
      <c r="X803" s="1365">
        <v>1</v>
      </c>
      <c r="Y803" s="1365">
        <v>1</v>
      </c>
      <c r="Z803" s="1366"/>
      <c r="AA803" s="1366"/>
      <c r="AB803" s="1366"/>
      <c r="AC803" s="1366"/>
      <c r="AD803" s="1366"/>
      <c r="AE803" s="1366"/>
      <c r="AF803" s="1366"/>
      <c r="AG803" s="1366"/>
      <c r="AK803" s="1316"/>
      <c r="BB803" s="1193"/>
    </row>
    <row r="804" spans="1:54" s="1177" customFormat="1" ht="45" customHeight="1" outlineLevel="1" x14ac:dyDescent="0.25">
      <c r="A804" s="1197"/>
      <c r="B804" s="2118"/>
      <c r="C804" s="1200"/>
      <c r="D804" s="633" t="s">
        <v>1100</v>
      </c>
      <c r="E804" s="1695" t="s">
        <v>1101</v>
      </c>
      <c r="F804" s="755">
        <v>58.9</v>
      </c>
      <c r="G804" s="2994" t="s">
        <v>1282</v>
      </c>
      <c r="H804" s="3077"/>
      <c r="I804" s="3085" t="s">
        <v>1809</v>
      </c>
      <c r="J804" s="3086"/>
      <c r="K804" s="3087"/>
      <c r="L804" s="1197"/>
      <c r="M804" s="1197"/>
      <c r="N804" s="1197"/>
      <c r="O804" s="1197"/>
      <c r="P804" s="1362"/>
      <c r="Q804" s="1363"/>
      <c r="R804" s="1363"/>
      <c r="S804" s="1363"/>
      <c r="T804" s="1363"/>
      <c r="U804" s="1363"/>
      <c r="V804" s="1360" t="str">
        <f t="shared" ref="V804:V814" si="157">D804</f>
        <v>DT</v>
      </c>
      <c r="W804" s="755">
        <v>60</v>
      </c>
      <c r="X804" s="1369">
        <v>58.9</v>
      </c>
      <c r="Y804" s="755">
        <v>58.9</v>
      </c>
      <c r="Z804" s="755"/>
      <c r="AA804" s="755"/>
      <c r="AB804" s="755"/>
      <c r="AC804" s="755"/>
      <c r="AD804" s="755"/>
      <c r="AE804" s="755"/>
      <c r="AF804" s="755"/>
      <c r="AG804" s="755"/>
      <c r="AK804" s="1316"/>
      <c r="BB804" s="1193"/>
    </row>
    <row r="805" spans="1:54" s="1177" customFormat="1" ht="60" customHeight="1" outlineLevel="1" x14ac:dyDescent="0.25">
      <c r="A805" s="1197"/>
      <c r="B805" s="2118"/>
      <c r="C805" s="1200"/>
      <c r="D805" s="633" t="s">
        <v>94</v>
      </c>
      <c r="E805" s="1695" t="s">
        <v>1104</v>
      </c>
      <c r="F805" s="61">
        <v>8766</v>
      </c>
      <c r="G805" s="2996" t="s">
        <v>1086</v>
      </c>
      <c r="H805" s="3055"/>
      <c r="I805" s="3085" t="s">
        <v>1809</v>
      </c>
      <c r="J805" s="3086"/>
      <c r="K805" s="3087"/>
      <c r="L805" s="1197"/>
      <c r="M805" s="1197"/>
      <c r="N805" s="1197"/>
      <c r="O805" s="1197"/>
      <c r="P805" s="1362"/>
      <c r="Q805" s="1363"/>
      <c r="R805" s="1363"/>
      <c r="S805" s="1363"/>
      <c r="T805" s="1363"/>
      <c r="U805" s="1363"/>
      <c r="V805" s="1360" t="str">
        <f t="shared" si="157"/>
        <v>Hours</v>
      </c>
      <c r="W805" s="61">
        <v>8766</v>
      </c>
      <c r="X805" s="61">
        <v>8766</v>
      </c>
      <c r="Y805" s="61">
        <v>8766</v>
      </c>
      <c r="Z805" s="61"/>
      <c r="AA805" s="61"/>
      <c r="AB805" s="61"/>
      <c r="AC805" s="61"/>
      <c r="AD805" s="61"/>
      <c r="AE805" s="61"/>
      <c r="AF805" s="61"/>
      <c r="AG805" s="61"/>
      <c r="AK805" s="1316"/>
      <c r="BB805" s="1193"/>
    </row>
    <row r="806" spans="1:54" s="1177" customFormat="1" ht="45" customHeight="1" outlineLevel="1" x14ac:dyDescent="0.25">
      <c r="A806" s="1197"/>
      <c r="B806" s="2118"/>
      <c r="C806" s="1200"/>
      <c r="D806" s="633" t="s">
        <v>1105</v>
      </c>
      <c r="E806" s="1695" t="s">
        <v>1106</v>
      </c>
      <c r="F806" s="1365">
        <v>0.98</v>
      </c>
      <c r="G806" s="2987" t="s">
        <v>1986</v>
      </c>
      <c r="H806" s="3001"/>
      <c r="I806" s="3085" t="s">
        <v>1809</v>
      </c>
      <c r="J806" s="3086"/>
      <c r="K806" s="3087"/>
      <c r="L806" s="1197"/>
      <c r="M806" s="1197"/>
      <c r="N806" s="1197"/>
      <c r="O806" s="1197"/>
      <c r="P806" s="1362"/>
      <c r="Q806" s="1363"/>
      <c r="R806" s="1363"/>
      <c r="S806" s="1363"/>
      <c r="T806" s="1363"/>
      <c r="U806" s="1363"/>
      <c r="V806" s="1360" t="str">
        <f t="shared" si="157"/>
        <v>ȠDHWElec</v>
      </c>
      <c r="W806" s="1366">
        <v>0.98</v>
      </c>
      <c r="X806" s="1365">
        <v>0.98</v>
      </c>
      <c r="Y806" s="1365">
        <v>0.98</v>
      </c>
      <c r="Z806" s="1366"/>
      <c r="AA806" s="1366"/>
      <c r="AB806" s="1366"/>
      <c r="AC806" s="1366"/>
      <c r="AD806" s="1366"/>
      <c r="AE806" s="1366"/>
      <c r="AF806" s="1366"/>
      <c r="AG806" s="1366"/>
      <c r="AK806" s="1316"/>
      <c r="BB806" s="1193"/>
    </row>
    <row r="807" spans="1:54" s="1177" customFormat="1" ht="27" customHeight="1" outlineLevel="1" x14ac:dyDescent="0.25">
      <c r="A807" s="1197"/>
      <c r="B807" s="2118"/>
      <c r="C807" s="1200"/>
      <c r="D807" s="633">
        <v>3412</v>
      </c>
      <c r="E807" s="1686" t="s">
        <v>1108</v>
      </c>
      <c r="F807" s="685">
        <v>3412</v>
      </c>
      <c r="G807" s="2996" t="s">
        <v>1086</v>
      </c>
      <c r="H807" s="3055"/>
      <c r="I807" s="3085" t="s">
        <v>1809</v>
      </c>
      <c r="J807" s="3086"/>
      <c r="K807" s="3087"/>
      <c r="L807" s="1197"/>
      <c r="M807" s="1197"/>
      <c r="N807" s="1197"/>
      <c r="O807" s="1197"/>
      <c r="P807" s="1362"/>
      <c r="Q807" s="1363"/>
      <c r="R807" s="1363"/>
      <c r="S807" s="1363"/>
      <c r="T807" s="1363"/>
      <c r="U807" s="1363"/>
      <c r="V807" s="1360">
        <f t="shared" si="157"/>
        <v>3412</v>
      </c>
      <c r="W807" s="685">
        <v>3412</v>
      </c>
      <c r="X807" s="685">
        <v>3412</v>
      </c>
      <c r="Y807" s="685">
        <v>3412</v>
      </c>
      <c r="Z807" s="685"/>
      <c r="AA807" s="685"/>
      <c r="AB807" s="685"/>
      <c r="AC807" s="685"/>
      <c r="AD807" s="685"/>
      <c r="AE807" s="685"/>
      <c r="AF807" s="685"/>
      <c r="AG807" s="685"/>
      <c r="AK807" s="1316"/>
      <c r="BB807" s="1193"/>
    </row>
    <row r="808" spans="1:54" s="1177" customFormat="1" ht="30" customHeight="1" outlineLevel="1" x14ac:dyDescent="0.25">
      <c r="A808" s="1197"/>
      <c r="B808" s="2118"/>
      <c r="C808" s="1200"/>
      <c r="D808" s="1642" t="s">
        <v>1109</v>
      </c>
      <c r="E808" s="1642" t="s">
        <v>1012</v>
      </c>
      <c r="F808" s="1341">
        <v>1</v>
      </c>
      <c r="G808" s="3005" t="s">
        <v>1003</v>
      </c>
      <c r="H808" s="3043"/>
      <c r="I808" s="3048" t="s">
        <v>1822</v>
      </c>
      <c r="J808" s="3049"/>
      <c r="K808" s="3050"/>
      <c r="L808" s="1197"/>
      <c r="M808" s="1197"/>
      <c r="N808" s="1197"/>
      <c r="O808" s="1197"/>
      <c r="P808" s="1362"/>
      <c r="Q808" s="1363"/>
      <c r="R808" s="1363"/>
      <c r="S808" s="1363"/>
      <c r="T808" s="1363"/>
      <c r="U808" s="1363"/>
      <c r="V808" s="1360" t="str">
        <f t="shared" si="157"/>
        <v>*Electric Saturation</v>
      </c>
      <c r="W808" s="1370">
        <v>1</v>
      </c>
      <c r="X808" s="1341">
        <v>1</v>
      </c>
      <c r="Y808" s="1341">
        <v>1</v>
      </c>
      <c r="Z808" s="1370"/>
      <c r="AA808" s="1370"/>
      <c r="AB808" s="1370"/>
      <c r="AC808" s="1370"/>
      <c r="AD808" s="1370"/>
      <c r="AE808" s="1370"/>
      <c r="AF808" s="1370"/>
      <c r="AG808" s="1370"/>
      <c r="AK808" s="1316"/>
      <c r="BB808" s="1193"/>
    </row>
    <row r="809" spans="1:54" s="1177" customFormat="1" ht="30" customHeight="1" outlineLevel="1" x14ac:dyDescent="0.25">
      <c r="A809" s="1197"/>
      <c r="B809" s="2118"/>
      <c r="C809" s="1200"/>
      <c r="D809" s="1642" t="s">
        <v>956</v>
      </c>
      <c r="E809" s="1642" t="s">
        <v>1001</v>
      </c>
      <c r="F809" s="1341">
        <v>1</v>
      </c>
      <c r="G809" s="3005" t="s">
        <v>1003</v>
      </c>
      <c r="H809" s="3043"/>
      <c r="I809" s="3048" t="s">
        <v>1822</v>
      </c>
      <c r="J809" s="3049"/>
      <c r="K809" s="3050"/>
      <c r="L809" s="1197"/>
      <c r="M809" s="1197"/>
      <c r="N809" s="1197"/>
      <c r="O809" s="1197"/>
      <c r="P809" s="1362"/>
      <c r="Q809" s="1363"/>
      <c r="R809" s="1363"/>
      <c r="S809" s="1363"/>
      <c r="T809" s="1363"/>
      <c r="U809" s="1363"/>
      <c r="V809" s="1360" t="str">
        <f t="shared" si="157"/>
        <v>Utility Adjustment</v>
      </c>
      <c r="W809" s="1370">
        <v>1</v>
      </c>
      <c r="X809" s="1341">
        <v>1</v>
      </c>
      <c r="Y809" s="1341">
        <v>1</v>
      </c>
      <c r="Z809" s="1370"/>
      <c r="AA809" s="1370"/>
      <c r="AB809" s="1370"/>
      <c r="AC809" s="1370"/>
      <c r="AD809" s="1370"/>
      <c r="AE809" s="1370"/>
      <c r="AF809" s="1370"/>
      <c r="AG809" s="1370"/>
      <c r="AK809" s="1316"/>
      <c r="BB809" s="1193"/>
    </row>
    <row r="810" spans="1:54" s="1177" customFormat="1" ht="15" customHeight="1" outlineLevel="1" x14ac:dyDescent="0.25">
      <c r="A810" s="1197"/>
      <c r="B810" s="2118"/>
      <c r="C810" s="1200"/>
      <c r="D810" s="1306" t="s">
        <v>82</v>
      </c>
      <c r="E810" s="1686" t="s">
        <v>1823</v>
      </c>
      <c r="F810" s="1372">
        <v>0.96</v>
      </c>
      <c r="G810" s="2987" t="s">
        <v>1987</v>
      </c>
      <c r="H810" s="3001"/>
      <c r="I810" s="3085" t="s">
        <v>1809</v>
      </c>
      <c r="J810" s="3086"/>
      <c r="K810" s="3087"/>
      <c r="L810" s="1197"/>
      <c r="M810" s="1197"/>
      <c r="N810" s="1197"/>
      <c r="O810" s="1197"/>
      <c r="P810" s="1362"/>
      <c r="Q810" s="1363"/>
      <c r="R810" s="1363"/>
      <c r="S810" s="1363"/>
      <c r="T810" s="1363"/>
      <c r="U810" s="1363"/>
      <c r="V810" s="1360" t="str">
        <f t="shared" si="157"/>
        <v>ISR</v>
      </c>
      <c r="W810" s="1371">
        <v>1</v>
      </c>
      <c r="X810" s="1372">
        <v>0.92857142857142905</v>
      </c>
      <c r="Y810" s="1338">
        <v>0.96</v>
      </c>
      <c r="Z810" s="1371"/>
      <c r="AA810" s="1371"/>
      <c r="AB810" s="1371"/>
      <c r="AC810" s="1371"/>
      <c r="AD810" s="1371"/>
      <c r="AE810" s="1371"/>
      <c r="AF810" s="1371"/>
      <c r="AG810" s="1371"/>
      <c r="AK810" s="1316"/>
      <c r="BB810" s="1193"/>
    </row>
    <row r="811" spans="1:54" s="1177" customFormat="1" ht="15" customHeight="1" outlineLevel="1" x14ac:dyDescent="0.25">
      <c r="A811" s="1197"/>
      <c r="B811" s="2118"/>
      <c r="C811" s="1194"/>
      <c r="D811" s="1306" t="s">
        <v>1988</v>
      </c>
      <c r="E811" s="1279" t="s">
        <v>1114</v>
      </c>
      <c r="F811" s="1372">
        <v>0.55000000000000004</v>
      </c>
      <c r="G811" s="2987"/>
      <c r="H811" s="3001"/>
      <c r="I811" s="3085"/>
      <c r="J811" s="3086"/>
      <c r="K811" s="3087"/>
      <c r="L811" s="1197"/>
      <c r="M811" s="1197"/>
      <c r="N811" s="1197"/>
      <c r="O811" s="1197"/>
      <c r="P811" s="1362"/>
      <c r="Q811" s="1363"/>
      <c r="R811" s="1363"/>
      <c r="S811" s="1363"/>
      <c r="T811" s="1363"/>
      <c r="U811" s="1363"/>
      <c r="V811" s="1360" t="str">
        <f t="shared" si="157"/>
        <v>Pipe Diameter</v>
      </c>
      <c r="W811" s="1371">
        <v>0.75</v>
      </c>
      <c r="X811" s="1338">
        <v>0.55000000000000004</v>
      </c>
      <c r="Y811" s="1372">
        <v>0.55000000000000004</v>
      </c>
      <c r="Z811" s="1371"/>
      <c r="AA811" s="1371"/>
      <c r="AB811" s="1371"/>
      <c r="AC811" s="1371"/>
      <c r="AD811" s="1371"/>
      <c r="AE811" s="1371"/>
      <c r="AF811" s="1371"/>
      <c r="AG811" s="1371"/>
      <c r="AK811" s="1316"/>
      <c r="BB811" s="1193"/>
    </row>
    <row r="812" spans="1:54" s="1177" customFormat="1" ht="15" customHeight="1" outlineLevel="1" x14ac:dyDescent="0.25">
      <c r="A812" s="1197"/>
      <c r="B812" s="2118"/>
      <c r="C812" s="1194"/>
      <c r="D812" s="1642" t="s">
        <v>1116</v>
      </c>
      <c r="E812" s="1642" t="s">
        <v>1116</v>
      </c>
      <c r="F812" s="761">
        <v>0.5</v>
      </c>
      <c r="G812" s="2987"/>
      <c r="H812" s="3001"/>
      <c r="I812" s="3085"/>
      <c r="J812" s="3086"/>
      <c r="K812" s="3087"/>
      <c r="L812" s="1197"/>
      <c r="M812" s="1197"/>
      <c r="N812" s="1197"/>
      <c r="O812" s="1197"/>
      <c r="P812" s="1362"/>
      <c r="Q812" s="1363"/>
      <c r="R812" s="1363"/>
      <c r="S812" s="1363"/>
      <c r="T812" s="1363"/>
      <c r="U812" s="1363"/>
      <c r="V812" s="1360" t="str">
        <f t="shared" si="157"/>
        <v>Pipe wrap width</v>
      </c>
      <c r="W812" s="1371">
        <v>0.5</v>
      </c>
      <c r="X812" s="761">
        <v>0.5</v>
      </c>
      <c r="Y812" s="761">
        <v>0.5</v>
      </c>
      <c r="Z812" s="1371"/>
      <c r="AA812" s="1371"/>
      <c r="AB812" s="1371"/>
      <c r="AC812" s="1371"/>
      <c r="AD812" s="1371"/>
      <c r="AE812" s="1371"/>
      <c r="AF812" s="1371"/>
      <c r="AG812" s="1371"/>
      <c r="AK812" s="1316"/>
      <c r="BB812" s="1193"/>
    </row>
    <row r="813" spans="1:54" s="1177" customFormat="1" outlineLevel="1" x14ac:dyDescent="0.25">
      <c r="A813" s="1197"/>
      <c r="B813" s="2118"/>
      <c r="C813" s="443"/>
      <c r="D813" s="1681" t="str">
        <f>D781</f>
        <v>EUL</v>
      </c>
      <c r="E813" s="1681" t="s">
        <v>1989</v>
      </c>
      <c r="F813" s="1098">
        <v>12</v>
      </c>
      <c r="G813" s="2987"/>
      <c r="H813" s="3001"/>
      <c r="I813" s="3085"/>
      <c r="J813" s="3086"/>
      <c r="K813" s="3087"/>
      <c r="L813" s="1197"/>
      <c r="M813" s="1197"/>
      <c r="N813" s="1197"/>
      <c r="O813" s="1197"/>
      <c r="P813" s="1362"/>
      <c r="Q813" s="1363"/>
      <c r="R813" s="1363"/>
      <c r="S813" s="1363"/>
      <c r="T813" s="1363"/>
      <c r="U813" s="1363"/>
      <c r="V813" s="1360" t="str">
        <f t="shared" si="157"/>
        <v>EUL</v>
      </c>
      <c r="W813" s="1353">
        <v>12</v>
      </c>
      <c r="X813" s="1262">
        <v>12</v>
      </c>
      <c r="Y813" s="1262">
        <v>12</v>
      </c>
      <c r="Z813" s="1354"/>
      <c r="AA813" s="1354"/>
      <c r="AB813" s="1354"/>
      <c r="AC813" s="1354"/>
      <c r="AD813" s="1354"/>
      <c r="AE813" s="1354"/>
      <c r="AF813" s="1354"/>
      <c r="AG813" s="1354"/>
      <c r="AK813" s="1316"/>
      <c r="BB813" s="1193"/>
    </row>
    <row r="814" spans="1:54" s="1177" customFormat="1" outlineLevel="1" x14ac:dyDescent="0.25">
      <c r="A814" s="1197"/>
      <c r="B814" s="2118"/>
      <c r="C814" s="443"/>
      <c r="D814" s="3071" t="str">
        <f>D782</f>
        <v>Inc. Cost</v>
      </c>
      <c r="E814" s="1642" t="s">
        <v>1990</v>
      </c>
      <c r="F814" s="2223">
        <v>7.1</v>
      </c>
      <c r="G814" s="2987"/>
      <c r="H814" s="3001"/>
      <c r="I814" s="3085"/>
      <c r="J814" s="3086"/>
      <c r="K814" s="3087"/>
      <c r="L814" s="1197"/>
      <c r="M814" s="1197"/>
      <c r="N814" s="1197"/>
      <c r="O814" s="1197"/>
      <c r="P814" s="1362"/>
      <c r="Q814" s="1363"/>
      <c r="R814" s="1363"/>
      <c r="S814" s="1363"/>
      <c r="T814" s="1363"/>
      <c r="U814" s="1363"/>
      <c r="V814" s="3088" t="str">
        <f t="shared" si="157"/>
        <v>Inc. Cost</v>
      </c>
      <c r="W814" s="1355">
        <v>7.1</v>
      </c>
      <c r="X814" s="1373">
        <v>7.1</v>
      </c>
      <c r="Y814" s="1373">
        <v>7.1</v>
      </c>
      <c r="Z814" s="1356"/>
      <c r="AA814" s="1356"/>
      <c r="AB814" s="1356"/>
      <c r="AC814" s="1356"/>
      <c r="AD814" s="1356"/>
      <c r="AE814" s="1356"/>
      <c r="AF814" s="1356"/>
      <c r="AG814" s="1356"/>
      <c r="AK814" s="1316"/>
      <c r="BB814" s="1193"/>
    </row>
    <row r="815" spans="1:54" s="1177" customFormat="1" outlineLevel="1" x14ac:dyDescent="0.25">
      <c r="A815" s="1197"/>
      <c r="B815" s="2118"/>
      <c r="C815" s="443"/>
      <c r="D815" s="2699"/>
      <c r="E815" s="1642" t="s">
        <v>1991</v>
      </c>
      <c r="F815" s="2223">
        <v>7.1</v>
      </c>
      <c r="G815" s="2987"/>
      <c r="H815" s="3001"/>
      <c r="I815" s="3085"/>
      <c r="J815" s="3086"/>
      <c r="K815" s="3087"/>
      <c r="L815" s="1197"/>
      <c r="M815" s="1197"/>
      <c r="N815" s="1197"/>
      <c r="O815" s="1197"/>
      <c r="P815" s="1363"/>
      <c r="Q815" s="1363"/>
      <c r="R815" s="1363"/>
      <c r="S815" s="1363"/>
      <c r="T815" s="1363"/>
      <c r="U815" s="1363"/>
      <c r="V815" s="3070"/>
      <c r="W815" s="1355">
        <v>7.1</v>
      </c>
      <c r="X815" s="1373">
        <v>7.1</v>
      </c>
      <c r="Y815" s="1373">
        <v>7.1</v>
      </c>
      <c r="Z815" s="1356"/>
      <c r="AA815" s="1356"/>
      <c r="AB815" s="1356"/>
      <c r="AC815" s="1356"/>
      <c r="AD815" s="1356"/>
      <c r="AE815" s="1356"/>
      <c r="AF815" s="1356"/>
      <c r="AG815" s="1356"/>
      <c r="AK815" s="1316"/>
      <c r="BB815" s="1193"/>
    </row>
    <row r="816" spans="1:54" s="1177" customFormat="1" ht="15" customHeight="1" x14ac:dyDescent="0.25">
      <c r="A816" s="1197"/>
      <c r="B816" s="2118"/>
      <c r="C816" s="1194"/>
      <c r="D816" s="2172"/>
      <c r="E816" s="590"/>
      <c r="F816" s="1197"/>
      <c r="G816" s="1197"/>
      <c r="H816" s="1197"/>
      <c r="I816" s="1197"/>
      <c r="J816" s="1197"/>
      <c r="K816" s="1197"/>
      <c r="L816" s="1197"/>
      <c r="M816" s="1197"/>
      <c r="N816" s="1197"/>
      <c r="O816" s="1197"/>
      <c r="P816" s="1197"/>
      <c r="Q816" s="1197"/>
      <c r="R816" s="1197"/>
      <c r="S816" s="1197"/>
      <c r="T816" s="1197"/>
      <c r="U816" s="1197"/>
      <c r="Y816" s="1198"/>
      <c r="AK816" s="1316"/>
      <c r="BB816" s="1193"/>
    </row>
    <row r="817" spans="2:57" ht="15" customHeight="1" x14ac:dyDescent="0.25">
      <c r="B817" s="1580"/>
      <c r="C817" s="329"/>
      <c r="F817" s="1494"/>
      <c r="G817" s="1494"/>
      <c r="AK817" s="1166"/>
    </row>
    <row r="818" spans="2:57" x14ac:dyDescent="0.25">
      <c r="B818" s="2639" t="s">
        <v>1992</v>
      </c>
      <c r="C818" s="2640"/>
      <c r="D818" s="2640"/>
      <c r="E818" s="2640"/>
      <c r="F818" s="2640"/>
      <c r="G818" s="2640"/>
      <c r="H818" s="2640"/>
      <c r="I818" s="2641"/>
      <c r="J818" s="2641"/>
      <c r="K818" s="2641"/>
      <c r="L818" s="2641"/>
      <c r="M818" s="2641"/>
      <c r="N818" s="2641"/>
      <c r="O818" s="2641"/>
      <c r="P818" s="2641"/>
      <c r="Q818" s="2641"/>
      <c r="R818" s="2642"/>
      <c r="V818" s="2639" t="str">
        <f>B818</f>
        <v>Programmable Thermostat</v>
      </c>
      <c r="W818" s="2640"/>
      <c r="X818" s="2640"/>
      <c r="Y818" s="2640"/>
      <c r="Z818" s="2640"/>
      <c r="AA818" s="2640"/>
      <c r="AB818" s="2640"/>
      <c r="AC818" s="2615"/>
      <c r="AD818" s="2615"/>
      <c r="AE818" s="2615"/>
      <c r="AF818" s="2615"/>
      <c r="AG818" s="2615"/>
      <c r="AH818" s="2615"/>
      <c r="AI818" s="2616"/>
      <c r="AK818" s="1166"/>
    </row>
    <row r="819" spans="2:57" x14ac:dyDescent="0.25">
      <c r="B819" s="1580"/>
      <c r="C819" s="329"/>
      <c r="D819" s="456" t="s">
        <v>1608</v>
      </c>
      <c r="E819" s="573"/>
      <c r="F819" s="330"/>
      <c r="G819" s="330"/>
      <c r="H819" s="330"/>
      <c r="I819" s="330"/>
      <c r="J819" s="330"/>
      <c r="K819" s="330"/>
      <c r="L819" s="1902"/>
      <c r="AK819" s="1166"/>
    </row>
    <row r="820" spans="2:57" ht="30" x14ac:dyDescent="0.25">
      <c r="B820" s="1580"/>
      <c r="C820" s="1641" t="s">
        <v>17</v>
      </c>
      <c r="D820" s="1641" t="s">
        <v>662</v>
      </c>
      <c r="E820" s="1641" t="s">
        <v>19</v>
      </c>
      <c r="F820" s="1641" t="s">
        <v>20</v>
      </c>
      <c r="G820" s="1641" t="s">
        <v>21</v>
      </c>
      <c r="H820" s="1641" t="s">
        <v>22</v>
      </c>
      <c r="I820" s="1641" t="s">
        <v>23</v>
      </c>
      <c r="J820" s="1646" t="s">
        <v>24</v>
      </c>
      <c r="K820" s="1641" t="s">
        <v>25</v>
      </c>
      <c r="L820" s="1641" t="s">
        <v>26</v>
      </c>
      <c r="V820" s="55" t="s">
        <v>27</v>
      </c>
      <c r="W820" s="56">
        <f>W$6</f>
        <v>43252</v>
      </c>
      <c r="X820" s="56">
        <f t="shared" ref="X820:AG820" si="158">X$6</f>
        <v>43465</v>
      </c>
      <c r="Y820" s="500">
        <f t="shared" si="158"/>
        <v>43800</v>
      </c>
      <c r="Z820" s="56">
        <f t="shared" si="158"/>
        <v>43862</v>
      </c>
      <c r="AA820" s="56" t="str">
        <f t="shared" si="158"/>
        <v>-</v>
      </c>
      <c r="AB820" s="56" t="str">
        <f t="shared" si="158"/>
        <v>-</v>
      </c>
      <c r="AC820" s="56" t="str">
        <f t="shared" si="158"/>
        <v>-</v>
      </c>
      <c r="AD820" s="56" t="str">
        <f t="shared" si="158"/>
        <v>-</v>
      </c>
      <c r="AE820" s="56" t="str">
        <f t="shared" si="158"/>
        <v>-</v>
      </c>
      <c r="AF820" s="56" t="str">
        <f t="shared" si="158"/>
        <v>-</v>
      </c>
      <c r="AG820" s="56" t="str">
        <f t="shared" si="158"/>
        <v>-</v>
      </c>
      <c r="AK820" s="1166"/>
      <c r="BB820" s="57" t="str">
        <f>$BB$6</f>
        <v>TRC (2020)</v>
      </c>
      <c r="BC820" s="103" t="str">
        <f>$BC$6</f>
        <v>Benefit Lookup</v>
      </c>
      <c r="BD820" s="883" t="str">
        <f>$BD$6</f>
        <v>Benefits (2019 $)</v>
      </c>
      <c r="BE820" s="334" t="str">
        <f>$BE$6</f>
        <v>Incremental Cost (2019 $)</v>
      </c>
    </row>
    <row r="821" spans="2:57" x14ac:dyDescent="0.25">
      <c r="B821" s="1580"/>
      <c r="C821" s="1927" t="s">
        <v>1993</v>
      </c>
      <c r="D821" s="1927" t="s">
        <v>1613</v>
      </c>
      <c r="E821" s="2224" t="s">
        <v>1994</v>
      </c>
      <c r="F821" s="1928">
        <f>ROUND($F$855*$F$857*1/$F$865*$F$866*$F$867*$F$868/1000,2)</f>
        <v>201.39</v>
      </c>
      <c r="G821" s="1927" t="s">
        <v>737</v>
      </c>
      <c r="H821" s="239">
        <f>VLOOKUP(G821,'CP FACTORS'!$A$3:$B$38, 2, FALSE)</f>
        <v>9.4741810000000004E-4</v>
      </c>
      <c r="I821" s="2015">
        <f>ROUND(F821*H821,6)</f>
        <v>0.190801</v>
      </c>
      <c r="J821" s="1647">
        <f t="shared" ref="J821:J844" si="159">$F$898</f>
        <v>10</v>
      </c>
      <c r="K821" s="1648">
        <f>$F$899</f>
        <v>70</v>
      </c>
      <c r="L821" s="1927" t="s">
        <v>37</v>
      </c>
      <c r="R821" s="1894"/>
      <c r="V821" s="245" t="str">
        <f>F820</f>
        <v>kWh Annual Savings</v>
      </c>
      <c r="W821" s="578">
        <v>102.44464690909089</v>
      </c>
      <c r="X821" s="579">
        <v>439.92233999999996</v>
      </c>
      <c r="Y821" s="896">
        <v>201.39</v>
      </c>
      <c r="Z821" s="1374"/>
      <c r="AA821" s="245"/>
      <c r="AB821" s="245"/>
      <c r="AC821" s="245"/>
      <c r="AD821" s="245"/>
      <c r="AE821" s="245"/>
      <c r="AF821" s="245"/>
      <c r="AG821" s="245"/>
      <c r="AH821" s="248"/>
      <c r="AK821" s="1166"/>
      <c r="BB821" s="68">
        <f t="shared" ref="BB821:BB843" si="160">(BD821+BD822)/(BE821+BE822)</f>
        <v>3.247889197228881</v>
      </c>
      <c r="BC821" s="1196" t="str">
        <f>CONCATENATE(G821," ",J821," Year EUL")</f>
        <v>Cooling RES 10 Year EUL</v>
      </c>
      <c r="BD821" s="162">
        <f>(INDEX('Avoided Cost Benefits'!$C$4:$C$857,MATCH(BC821,'Avoided Cost Benefits'!$A$4:$A$857,0)))*F821</f>
        <v>206.33184106998681</v>
      </c>
      <c r="BE821" s="70">
        <f>K821/(1.0595^(2020-2019))</f>
        <v>66.068900424728639</v>
      </c>
    </row>
    <row r="822" spans="2:57" x14ac:dyDescent="0.25">
      <c r="B822" s="1580"/>
      <c r="C822" s="1927" t="s">
        <v>1993</v>
      </c>
      <c r="D822" s="1927" t="s">
        <v>1613</v>
      </c>
      <c r="E822" s="2225" t="s">
        <v>1994</v>
      </c>
      <c r="F822" s="1928">
        <f>ROUND($F$869*$F$877*$F$879*(1/$F$887)*$F$895*$F$896*$F$897/1000,2)</f>
        <v>30.37</v>
      </c>
      <c r="G822" s="1927" t="s">
        <v>738</v>
      </c>
      <c r="H822" s="239">
        <f>VLOOKUP(G822,'CP FACTORS'!$A$3:$B$38, 2, FALSE)</f>
        <v>0</v>
      </c>
      <c r="I822" s="2015">
        <f t="shared" ref="I822:I844" si="161">ROUND(F822*H822,6)</f>
        <v>0</v>
      </c>
      <c r="J822" s="1647">
        <f t="shared" si="159"/>
        <v>10</v>
      </c>
      <c r="K822" s="1648">
        <v>0</v>
      </c>
      <c r="L822" s="1927" t="s">
        <v>37</v>
      </c>
      <c r="R822" s="1894"/>
      <c r="V822" s="245" t="str">
        <f>V821</f>
        <v>kWh Annual Savings</v>
      </c>
      <c r="W822" s="578">
        <v>338.97776639999995</v>
      </c>
      <c r="X822" s="579">
        <v>48.891023999999994</v>
      </c>
      <c r="Y822" s="896">
        <v>30.37</v>
      </c>
      <c r="Z822" s="1374"/>
      <c r="AA822" s="245"/>
      <c r="AB822" s="245"/>
      <c r="AC822" s="245"/>
      <c r="AD822" s="245"/>
      <c r="AE822" s="245"/>
      <c r="AF822" s="245"/>
      <c r="AG822" s="245"/>
      <c r="AH822" s="248"/>
      <c r="AK822" s="1166"/>
      <c r="BB822" s="1275"/>
      <c r="BC822" s="1292" t="str">
        <f t="shared" ref="BC822:BC844" si="162">CONCATENATE(G822," ",J822," Year EUL")</f>
        <v>Heating RES 10 Year EUL</v>
      </c>
      <c r="BD822" s="165">
        <f>(INDEX('Avoided Cost Benefits'!$C$4:$C$857,MATCH(BC822,'Avoided Cost Benefits'!$A$4:$A$857,0)))*F822</f>
        <v>8.2526268922799719</v>
      </c>
      <c r="BE822" s="74">
        <f t="shared" ref="BE822:BE844" si="163">K822/(1.0595^(2020-2019))</f>
        <v>0</v>
      </c>
    </row>
    <row r="823" spans="2:57" x14ac:dyDescent="0.25">
      <c r="B823" s="1580"/>
      <c r="C823" s="1927" t="s">
        <v>1995</v>
      </c>
      <c r="D823" s="1927" t="s">
        <v>1616</v>
      </c>
      <c r="E823" s="884" t="str">
        <f>CONCATENATE(E821,"_CompE")</f>
        <v>Setback thermostat - full setback - ASHP heating/cooling MF_CompE</v>
      </c>
      <c r="F823" s="1928">
        <f>ROUND($F$856*$F$857*1/$F$865*$F$866*$F$867*$F$868/1000,2)</f>
        <v>146.46</v>
      </c>
      <c r="G823" s="1927" t="s">
        <v>737</v>
      </c>
      <c r="H823" s="239">
        <f>VLOOKUP(G823,'CP FACTORS'!$A$3:$B$38, 2, FALSE)</f>
        <v>9.4741810000000004E-4</v>
      </c>
      <c r="I823" s="2015">
        <f>ROUND(F823*H823,6)</f>
        <v>0.13875899999999999</v>
      </c>
      <c r="J823" s="1647">
        <f t="shared" si="159"/>
        <v>10</v>
      </c>
      <c r="K823" s="1648">
        <f>$F$899</f>
        <v>70</v>
      </c>
      <c r="L823" s="1927" t="s">
        <v>37</v>
      </c>
      <c r="R823" s="1894"/>
      <c r="V823" s="245" t="str">
        <f t="shared" ref="V823:V844" si="164">V822</f>
        <v>kWh Annual Savings</v>
      </c>
      <c r="W823" s="578"/>
      <c r="X823" s="579"/>
      <c r="Y823" s="896">
        <v>146.46</v>
      </c>
      <c r="Z823" s="1374"/>
      <c r="AA823" s="245"/>
      <c r="AB823" s="245"/>
      <c r="AC823" s="245"/>
      <c r="AD823" s="245"/>
      <c r="AE823" s="245"/>
      <c r="AF823" s="245"/>
      <c r="AG823" s="245"/>
      <c r="AH823" s="248"/>
      <c r="AK823" s="1166"/>
      <c r="BB823" s="72">
        <f t="shared" ref="BB823" si="165">(BD823+BD824)/(BE823+BE824)</f>
        <v>2.3137421776505787</v>
      </c>
      <c r="BC823" s="1196" t="str">
        <f>CONCATENATE(G823," ",J823," Year EUL")</f>
        <v>Cooling RES 10 Year EUL</v>
      </c>
      <c r="BD823" s="165">
        <f>(INDEX('Avoided Cost Benefits'!$C$4:$C$857,MATCH(BC823,'Avoided Cost Benefits'!$A$4:$A$857,0)))*F823</f>
        <v>150.05393238547231</v>
      </c>
      <c r="BE823" s="74">
        <f>K823/(1.0595^(2020-2019))</f>
        <v>66.068900424728639</v>
      </c>
    </row>
    <row r="824" spans="2:57" x14ac:dyDescent="0.25">
      <c r="B824" s="1580"/>
      <c r="C824" s="1927" t="s">
        <v>1995</v>
      </c>
      <c r="D824" s="1927" t="s">
        <v>1616</v>
      </c>
      <c r="E824" s="892" t="str">
        <f>CONCATENATE(E822,"_CompE")</f>
        <v>Setback thermostat - full setback - ASHP heating/cooling MF_CompE</v>
      </c>
      <c r="F824" s="1928">
        <f>ROUND($F$869*$F$878*$F$879*(1/$F$887)*$F$895*$F$896*$F$897/1000,2)</f>
        <v>10.35</v>
      </c>
      <c r="G824" s="1927" t="s">
        <v>738</v>
      </c>
      <c r="H824" s="239">
        <f>VLOOKUP(G824,'CP FACTORS'!$A$3:$B$38, 2, FALSE)</f>
        <v>0</v>
      </c>
      <c r="I824" s="2015">
        <f t="shared" ref="I824" si="166">ROUND(F824*H824,6)</f>
        <v>0</v>
      </c>
      <c r="J824" s="1647">
        <f t="shared" si="159"/>
        <v>10</v>
      </c>
      <c r="K824" s="1648">
        <v>0</v>
      </c>
      <c r="L824" s="1927" t="s">
        <v>37</v>
      </c>
      <c r="R824" s="1894"/>
      <c r="V824" s="245" t="str">
        <f t="shared" si="164"/>
        <v>kWh Annual Savings</v>
      </c>
      <c r="W824" s="578"/>
      <c r="X824" s="579"/>
      <c r="Y824" s="896">
        <v>10.35</v>
      </c>
      <c r="Z824" s="1374"/>
      <c r="AA824" s="245"/>
      <c r="AB824" s="245"/>
      <c r="AC824" s="245"/>
      <c r="AD824" s="245"/>
      <c r="AE824" s="245"/>
      <c r="AF824" s="245"/>
      <c r="AG824" s="245"/>
      <c r="AH824" s="248"/>
      <c r="AK824" s="1166"/>
      <c r="BB824" s="1275"/>
      <c r="BC824" s="1292" t="str">
        <f t="shared" ref="BC824" si="167">CONCATENATE(G824," ",J824," Year EUL")</f>
        <v>Heating RES 10 Year EUL</v>
      </c>
      <c r="BD824" s="165">
        <f>(INDEX('Avoided Cost Benefits'!$C$4:$C$857,MATCH(BC824,'Avoided Cost Benefits'!$A$4:$A$857,0)))*F824</f>
        <v>2.812469158218561</v>
      </c>
      <c r="BE824" s="74">
        <f t="shared" ref="BE824" si="168">K824/(1.0595^(2020-2019))</f>
        <v>0</v>
      </c>
    </row>
    <row r="825" spans="2:57" x14ac:dyDescent="0.25">
      <c r="B825" s="1580"/>
      <c r="C825" s="1927" t="s">
        <v>1996</v>
      </c>
      <c r="D825" s="1927" t="s">
        <v>1610</v>
      </c>
      <c r="E825" s="2224" t="s">
        <v>1997</v>
      </c>
      <c r="F825" s="1928">
        <f>ROUND(F855*F858*1/F$865*F$866*F$867*F$868/1000,2)</f>
        <v>358.2</v>
      </c>
      <c r="G825" s="1927" t="s">
        <v>737</v>
      </c>
      <c r="H825" s="239">
        <f>VLOOKUP(G825,'CP FACTORS'!$A$3:$B$38, 2, FALSE)</f>
        <v>9.4741810000000004E-4</v>
      </c>
      <c r="I825" s="2015">
        <f t="shared" si="161"/>
        <v>0.33936500000000003</v>
      </c>
      <c r="J825" s="1647">
        <f t="shared" si="159"/>
        <v>10</v>
      </c>
      <c r="K825" s="1648">
        <f>$F$899</f>
        <v>70</v>
      </c>
      <c r="L825" s="1927" t="s">
        <v>37</v>
      </c>
      <c r="R825" s="1894"/>
      <c r="V825" s="245" t="str">
        <f t="shared" si="164"/>
        <v>kWh Annual Savings</v>
      </c>
      <c r="W825" s="578">
        <v>157.60714909090908</v>
      </c>
      <c r="X825" s="579">
        <v>750.57839999999999</v>
      </c>
      <c r="Y825" s="896">
        <v>358.2</v>
      </c>
      <c r="Z825" s="1374"/>
      <c r="AA825" s="245"/>
      <c r="AB825" s="245"/>
      <c r="AC825" s="245"/>
      <c r="AD825" s="245"/>
      <c r="AE825" s="245"/>
      <c r="AF825" s="245"/>
      <c r="AG825" s="245"/>
      <c r="AH825" s="248"/>
      <c r="AK825" s="1166"/>
      <c r="BB825" s="72">
        <f t="shared" si="160"/>
        <v>5.9140389945491592</v>
      </c>
      <c r="BC825" s="1196" t="str">
        <f t="shared" si="162"/>
        <v>Cooling RES 10 Year EUL</v>
      </c>
      <c r="BD825" s="165">
        <f>(INDEX('Avoided Cost Benefits'!$C$4:$C$857,MATCH(BC825,'Avoided Cost Benefits'!$A$4:$A$857,0)))*F825</f>
        <v>366.98974860355167</v>
      </c>
      <c r="BE825" s="74">
        <f t="shared" si="163"/>
        <v>66.068900424728639</v>
      </c>
    </row>
    <row r="826" spans="2:57" x14ac:dyDescent="0.25">
      <c r="B826" s="1580"/>
      <c r="C826" s="1927" t="s">
        <v>1996</v>
      </c>
      <c r="D826" s="1927" t="s">
        <v>1610</v>
      </c>
      <c r="E826" s="2225" t="s">
        <v>1997</v>
      </c>
      <c r="F826" s="1928">
        <f>ROUND(F870*F877*F880*(1/F888)*F$895*F$896*F$897/1000,2)</f>
        <v>87.38</v>
      </c>
      <c r="G826" s="1927" t="s">
        <v>738</v>
      </c>
      <c r="H826" s="239">
        <f>VLOOKUP(G826,'CP FACTORS'!$A$3:$B$38, 2, FALSE)</f>
        <v>0</v>
      </c>
      <c r="I826" s="2015">
        <f t="shared" si="161"/>
        <v>0</v>
      </c>
      <c r="J826" s="1647">
        <f t="shared" si="159"/>
        <v>10</v>
      </c>
      <c r="K826" s="1648">
        <v>0</v>
      </c>
      <c r="L826" s="1927" t="s">
        <v>37</v>
      </c>
      <c r="R826" s="1894"/>
      <c r="V826" s="245" t="str">
        <f t="shared" si="164"/>
        <v>kWh Annual Savings</v>
      </c>
      <c r="W826" s="578">
        <v>521.50425599999994</v>
      </c>
      <c r="X826" s="579">
        <v>135.59110655999999</v>
      </c>
      <c r="Y826" s="896">
        <v>87.38</v>
      </c>
      <c r="Z826" s="1374"/>
      <c r="AA826" s="245"/>
      <c r="AB826" s="245"/>
      <c r="AC826" s="245"/>
      <c r="AD826" s="245"/>
      <c r="AE826" s="245"/>
      <c r="AF826" s="245"/>
      <c r="AG826" s="245"/>
      <c r="AH826" s="248"/>
      <c r="AK826" s="1166"/>
      <c r="BB826" s="1275"/>
      <c r="BC826" s="1292" t="str">
        <f t="shared" si="162"/>
        <v>Heating RES 10 Year EUL</v>
      </c>
      <c r="BD826" s="165">
        <f>(INDEX('Avoided Cost Benefits'!$C$4:$C$857,MATCH(BC826,'Avoided Cost Benefits'!$A$4:$A$857,0)))*F826</f>
        <v>23.744304835279021</v>
      </c>
      <c r="BE826" s="74">
        <f t="shared" si="163"/>
        <v>0</v>
      </c>
    </row>
    <row r="827" spans="2:57" x14ac:dyDescent="0.25">
      <c r="B827" s="1580"/>
      <c r="C827" s="1927" t="s">
        <v>1998</v>
      </c>
      <c r="D827" s="1927" t="s">
        <v>1613</v>
      </c>
      <c r="E827" s="2224" t="s">
        <v>1999</v>
      </c>
      <c r="F827" s="1928">
        <f>ROUND($F$855*$F$859*1/$F$865*$F$866*$F$867*$F$868/1000,2)</f>
        <v>201.39</v>
      </c>
      <c r="G827" s="1927" t="s">
        <v>737</v>
      </c>
      <c r="H827" s="239">
        <f>VLOOKUP(G827,'CP FACTORS'!$A$3:$B$38, 2, FALSE)</f>
        <v>9.4741810000000004E-4</v>
      </c>
      <c r="I827" s="2015">
        <f t="shared" si="161"/>
        <v>0.190801</v>
      </c>
      <c r="J827" s="1647">
        <f t="shared" si="159"/>
        <v>10</v>
      </c>
      <c r="K827" s="1648">
        <f>$F$899</f>
        <v>70</v>
      </c>
      <c r="L827" s="1927" t="s">
        <v>37</v>
      </c>
      <c r="R827" s="1894"/>
      <c r="V827" s="245" t="str">
        <f t="shared" si="164"/>
        <v>kWh Annual Savings</v>
      </c>
      <c r="W827" s="578">
        <v>102.44464690909089</v>
      </c>
      <c r="X827" s="579">
        <v>439.92233999999996</v>
      </c>
      <c r="Y827" s="896">
        <v>201.39</v>
      </c>
      <c r="Z827" s="1374"/>
      <c r="AA827" s="245"/>
      <c r="AB827" s="245"/>
      <c r="AC827" s="245"/>
      <c r="AD827" s="245"/>
      <c r="AE827" s="245"/>
      <c r="AF827" s="245"/>
      <c r="AG827" s="245"/>
      <c r="AH827" s="248"/>
      <c r="AK827" s="1166"/>
      <c r="BB827" s="72">
        <f t="shared" si="160"/>
        <v>3.3793381439470549</v>
      </c>
      <c r="BC827" s="1196" t="str">
        <f t="shared" si="162"/>
        <v>Cooling RES 10 Year EUL</v>
      </c>
      <c r="BD827" s="165">
        <f>(INDEX('Avoided Cost Benefits'!$C$4:$C$857,MATCH(BC827,'Avoided Cost Benefits'!$A$4:$A$857,0)))*F827</f>
        <v>206.33184106998681</v>
      </c>
      <c r="BE827" s="74">
        <f t="shared" si="163"/>
        <v>66.068900424728639</v>
      </c>
    </row>
    <row r="828" spans="2:57" x14ac:dyDescent="0.25">
      <c r="B828" s="1580"/>
      <c r="C828" s="1927" t="s">
        <v>1998</v>
      </c>
      <c r="D828" s="1927" t="s">
        <v>1613</v>
      </c>
      <c r="E828" s="2225" t="s">
        <v>1999</v>
      </c>
      <c r="F828" s="1928">
        <f>ROUND($F$871*$F$877*$F$881*(1/$F$889)*$F$895*$F$896*$F$897/1000,2)</f>
        <v>62.33</v>
      </c>
      <c r="G828" s="1927" t="s">
        <v>738</v>
      </c>
      <c r="H828" s="239">
        <f>VLOOKUP(G828,'CP FACTORS'!$A$3:$B$38, 2, FALSE)</f>
        <v>0</v>
      </c>
      <c r="I828" s="2015">
        <f t="shared" si="161"/>
        <v>0</v>
      </c>
      <c r="J828" s="1647">
        <f t="shared" si="159"/>
        <v>10</v>
      </c>
      <c r="K828" s="1648">
        <v>0</v>
      </c>
      <c r="L828" s="1927" t="s">
        <v>37</v>
      </c>
      <c r="R828" s="1894"/>
      <c r="V828" s="245" t="str">
        <f t="shared" si="164"/>
        <v>kWh Annual Savings</v>
      </c>
      <c r="W828" s="578">
        <v>576.26220288000002</v>
      </c>
      <c r="X828" s="579">
        <v>100.36280586510264</v>
      </c>
      <c r="Y828" s="896">
        <v>62.33</v>
      </c>
      <c r="Z828" s="1374"/>
      <c r="AA828" s="245"/>
      <c r="AB828" s="245"/>
      <c r="AC828" s="245"/>
      <c r="AD828" s="245"/>
      <c r="AE828" s="245"/>
      <c r="AF828" s="245"/>
      <c r="AG828" s="245"/>
      <c r="AH828" s="248"/>
      <c r="AK828" s="1166"/>
      <c r="BB828" s="1275"/>
      <c r="BC828" s="1292" t="str">
        <f t="shared" si="162"/>
        <v>Heating RES 10 Year EUL</v>
      </c>
      <c r="BD828" s="165">
        <f>(INDEX('Avoided Cost Benefits'!$C$4:$C$857,MATCH(BC828,'Avoided Cost Benefits'!$A$4:$A$857,0)))*F828</f>
        <v>16.937314263938447</v>
      </c>
      <c r="BE828" s="74">
        <f t="shared" si="163"/>
        <v>0</v>
      </c>
    </row>
    <row r="829" spans="2:57" x14ac:dyDescent="0.25">
      <c r="B829" s="1580"/>
      <c r="C829" s="1927" t="s">
        <v>2000</v>
      </c>
      <c r="D829" s="1927" t="s">
        <v>1616</v>
      </c>
      <c r="E829" s="884" t="str">
        <f>CONCATENATE(E827,"_CompE")</f>
        <v>Setback thermostat - full setback - elec furnace heating / central AC MF_CompE</v>
      </c>
      <c r="F829" s="1928">
        <f>ROUND($F$856*$F$859*1/$F$865*$F$866*$F$867*$F$868/1000,2)</f>
        <v>146.46</v>
      </c>
      <c r="G829" s="1927" t="s">
        <v>737</v>
      </c>
      <c r="H829" s="239">
        <f>VLOOKUP(G829,'CP FACTORS'!$A$3:$B$38, 2, FALSE)</f>
        <v>9.4741810000000004E-4</v>
      </c>
      <c r="I829" s="2015">
        <f t="shared" si="161"/>
        <v>0.13875899999999999</v>
      </c>
      <c r="J829" s="1647">
        <f t="shared" si="159"/>
        <v>10</v>
      </c>
      <c r="K829" s="1648">
        <f>$F$899</f>
        <v>70</v>
      </c>
      <c r="L829" s="1927" t="s">
        <v>37</v>
      </c>
      <c r="R829" s="1894"/>
      <c r="V829" s="245" t="str">
        <f t="shared" si="164"/>
        <v>kWh Annual Savings</v>
      </c>
      <c r="W829" s="578"/>
      <c r="X829" s="579"/>
      <c r="Y829" s="896">
        <v>146.46</v>
      </c>
      <c r="Z829" s="1374"/>
      <c r="AA829" s="245"/>
      <c r="AB829" s="245"/>
      <c r="AC829" s="245"/>
      <c r="AD829" s="245"/>
      <c r="AE829" s="245"/>
      <c r="AF829" s="245"/>
      <c r="AG829" s="245"/>
      <c r="AH829" s="248"/>
      <c r="AK829" s="1166"/>
      <c r="BB829" s="72">
        <f t="shared" ref="BB829" si="169">(BD829+BD830)/(BE829+BE830)</f>
        <v>2.3585730136714829</v>
      </c>
      <c r="BC829" s="1196" t="str">
        <f>CONCATENATE(G829," ",J829," Year EUL")</f>
        <v>Cooling RES 10 Year EUL</v>
      </c>
      <c r="BD829" s="165">
        <f>(INDEX('Avoided Cost Benefits'!$C$4:$C$857,MATCH(BC829,'Avoided Cost Benefits'!$A$4:$A$857,0)))*F829</f>
        <v>150.05393238547231</v>
      </c>
      <c r="BE829" s="74">
        <f>K829/(1.0595^(2020-2019))</f>
        <v>66.068900424728639</v>
      </c>
    </row>
    <row r="830" spans="2:57" x14ac:dyDescent="0.25">
      <c r="B830" s="1580"/>
      <c r="C830" s="1927" t="s">
        <v>2000</v>
      </c>
      <c r="D830" s="1927" t="s">
        <v>1616</v>
      </c>
      <c r="E830" s="892" t="str">
        <f>CONCATENATE(E828,"_CompE")</f>
        <v>Setback thermostat - full setback - elec furnace heating / central AC MF_CompE</v>
      </c>
      <c r="F830" s="1928">
        <f>ROUND($F$871*$F$878*$F$881*(1/$F$889)*$F$895*$F$896*$F$897/1000,2)</f>
        <v>21.25</v>
      </c>
      <c r="G830" s="1927" t="s">
        <v>738</v>
      </c>
      <c r="H830" s="239">
        <f>VLOOKUP(G830,'CP FACTORS'!$A$3:$B$38, 2, FALSE)</f>
        <v>0</v>
      </c>
      <c r="I830" s="2015">
        <f t="shared" si="161"/>
        <v>0</v>
      </c>
      <c r="J830" s="1647">
        <f t="shared" si="159"/>
        <v>10</v>
      </c>
      <c r="K830" s="1648">
        <v>0</v>
      </c>
      <c r="L830" s="1927" t="s">
        <v>37</v>
      </c>
      <c r="R830" s="1894"/>
      <c r="V830" s="245" t="str">
        <f t="shared" si="164"/>
        <v>kWh Annual Savings</v>
      </c>
      <c r="W830" s="578"/>
      <c r="X830" s="579"/>
      <c r="Y830" s="896">
        <v>21.25</v>
      </c>
      <c r="Z830" s="1374"/>
      <c r="AA830" s="245"/>
      <c r="AB830" s="245"/>
      <c r="AC830" s="245"/>
      <c r="AD830" s="245"/>
      <c r="AE830" s="245"/>
      <c r="AF830" s="245"/>
      <c r="AG830" s="245"/>
      <c r="AH830" s="248"/>
      <c r="AK830" s="1166"/>
      <c r="BB830" s="1275"/>
      <c r="BC830" s="1292" t="str">
        <f t="shared" ref="BC830" si="170">CONCATENATE(G830," ",J830," Year EUL")</f>
        <v>Heating RES 10 Year EUL</v>
      </c>
      <c r="BD830" s="165">
        <f>(INDEX('Avoided Cost Benefits'!$C$4:$C$857,MATCH(BC830,'Avoided Cost Benefits'!$A$4:$A$857,0)))*F830</f>
        <v>5.7743931992410076</v>
      </c>
      <c r="BE830" s="74">
        <f t="shared" ref="BE830" si="171">K830/(1.0595^(2020-2019))</f>
        <v>0</v>
      </c>
    </row>
    <row r="831" spans="2:57" x14ac:dyDescent="0.25">
      <c r="B831" s="1580"/>
      <c r="C831" s="1927" t="s">
        <v>2001</v>
      </c>
      <c r="D831" s="1927" t="s">
        <v>1610</v>
      </c>
      <c r="E831" s="2224" t="s">
        <v>2002</v>
      </c>
      <c r="F831" s="1928">
        <f>ROUND(F855*F860*1/F$865*F$866*F$867*F$868/1000,2)</f>
        <v>358.2</v>
      </c>
      <c r="G831" s="1927" t="s">
        <v>737</v>
      </c>
      <c r="H831" s="239">
        <f>VLOOKUP(G831,'CP FACTORS'!$A$3:$B$38, 2, FALSE)</f>
        <v>9.4741810000000004E-4</v>
      </c>
      <c r="I831" s="2015">
        <f t="shared" si="161"/>
        <v>0.33936500000000003</v>
      </c>
      <c r="J831" s="1647">
        <f t="shared" si="159"/>
        <v>10</v>
      </c>
      <c r="K831" s="1648">
        <f>$F$899</f>
        <v>70</v>
      </c>
      <c r="L831" s="1927" t="s">
        <v>37</v>
      </c>
      <c r="R831" s="1894"/>
      <c r="V831" s="245" t="str">
        <f t="shared" si="164"/>
        <v>kWh Annual Savings</v>
      </c>
      <c r="W831" s="578">
        <v>157.60714909090908</v>
      </c>
      <c r="X831" s="579">
        <v>750.57839999999999</v>
      </c>
      <c r="Y831" s="896">
        <v>358.2</v>
      </c>
      <c r="Z831" s="1374"/>
      <c r="AA831" s="245"/>
      <c r="AB831" s="245"/>
      <c r="AC831" s="245"/>
      <c r="AD831" s="245"/>
      <c r="AE831" s="245"/>
      <c r="AF831" s="245"/>
      <c r="AG831" s="245"/>
      <c r="AH831" s="248"/>
      <c r="AK831" s="1166"/>
      <c r="BB831" s="72">
        <f t="shared" si="160"/>
        <v>6.1659553896207528</v>
      </c>
      <c r="BC831" s="1196" t="str">
        <f t="shared" si="162"/>
        <v>Cooling RES 10 Year EUL</v>
      </c>
      <c r="BD831" s="165">
        <f>(INDEX('Avoided Cost Benefits'!$C$4:$C$857,MATCH(BC831,'Avoided Cost Benefits'!$A$4:$A$857,0)))*F831</f>
        <v>366.98974860355167</v>
      </c>
      <c r="BE831" s="74">
        <f t="shared" si="163"/>
        <v>66.068900424728639</v>
      </c>
    </row>
    <row r="832" spans="2:57" x14ac:dyDescent="0.25">
      <c r="B832" s="1580"/>
      <c r="C832" s="1927" t="s">
        <v>2001</v>
      </c>
      <c r="D832" s="1927" t="s">
        <v>1610</v>
      </c>
      <c r="E832" s="2225" t="s">
        <v>2002</v>
      </c>
      <c r="F832" s="1928">
        <f>ROUND(F872*F877*F882*(1/F890)*F$895*F$896*F$897/1000,2)</f>
        <v>148.63</v>
      </c>
      <c r="G832" s="1927" t="s">
        <v>738</v>
      </c>
      <c r="H832" s="239">
        <f>VLOOKUP(G832,'CP FACTORS'!$A$3:$B$38, 2, FALSE)</f>
        <v>0</v>
      </c>
      <c r="I832" s="2015">
        <f t="shared" si="161"/>
        <v>0</v>
      </c>
      <c r="J832" s="1647">
        <f t="shared" si="159"/>
        <v>10</v>
      </c>
      <c r="K832" s="1648">
        <v>0</v>
      </c>
      <c r="L832" s="1927" t="s">
        <v>37</v>
      </c>
      <c r="R832" s="1894"/>
      <c r="V832" s="245" t="str">
        <f t="shared" si="164"/>
        <v>kWh Annual Savings</v>
      </c>
      <c r="W832" s="578">
        <v>886.55723520000015</v>
      </c>
      <c r="X832" s="579">
        <v>230.64007463068151</v>
      </c>
      <c r="Y832" s="896">
        <v>148.63</v>
      </c>
      <c r="Z832" s="1374"/>
      <c r="AA832" s="245"/>
      <c r="AB832" s="245"/>
      <c r="AC832" s="245"/>
      <c r="AD832" s="245"/>
      <c r="AE832" s="245"/>
      <c r="AF832" s="245"/>
      <c r="AG832" s="245"/>
      <c r="AH832" s="248"/>
      <c r="AK832" s="1166"/>
      <c r="BB832" s="1275"/>
      <c r="BC832" s="1292" t="str">
        <f t="shared" si="162"/>
        <v>Heating RES 10 Year EUL</v>
      </c>
      <c r="BD832" s="165">
        <f>(INDEX('Avoided Cost Benefits'!$C$4:$C$857,MATCH(BC832,'Avoided Cost Benefits'!$A$4:$A$857,0)))*F832</f>
        <v>40.388144056620746</v>
      </c>
      <c r="BE832" s="74">
        <f t="shared" si="163"/>
        <v>0</v>
      </c>
    </row>
    <row r="833" spans="2:57" x14ac:dyDescent="0.25">
      <c r="B833" s="1580"/>
      <c r="C833" s="1927" t="s">
        <v>2003</v>
      </c>
      <c r="D833" s="1927" t="s">
        <v>1613</v>
      </c>
      <c r="E833" s="2224" t="s">
        <v>2004</v>
      </c>
      <c r="F833" s="1928">
        <f>$F$855*$F$861*1/$F$865*$F$866*$F$867*$F$868/1000</f>
        <v>201.38901200000001</v>
      </c>
      <c r="G833" s="1927" t="s">
        <v>737</v>
      </c>
      <c r="H833" s="239">
        <f>VLOOKUP(G833,'CP FACTORS'!$A$3:$B$38, 2, FALSE)</f>
        <v>9.4741810000000004E-4</v>
      </c>
      <c r="I833" s="2015">
        <f t="shared" si="161"/>
        <v>0.1908</v>
      </c>
      <c r="J833" s="1647">
        <f t="shared" si="159"/>
        <v>10</v>
      </c>
      <c r="K833" s="1648">
        <f>$F$899</f>
        <v>70</v>
      </c>
      <c r="L833" s="1927" t="s">
        <v>37</v>
      </c>
      <c r="R833" s="1894"/>
      <c r="V833" s="245" t="str">
        <f t="shared" si="164"/>
        <v>kWh Annual Savings</v>
      </c>
      <c r="W833" s="578">
        <v>102.44464690909089</v>
      </c>
      <c r="X833" s="579">
        <v>439.92233999999996</v>
      </c>
      <c r="Y833" s="896">
        <v>201.38901200000001</v>
      </c>
      <c r="Z833" s="1374"/>
      <c r="AA833" s="245"/>
      <c r="AB833" s="245"/>
      <c r="AC833" s="245"/>
      <c r="AD833" s="245"/>
      <c r="AE833" s="245"/>
      <c r="AF833" s="245"/>
      <c r="AG833" s="245"/>
      <c r="AH833" s="248"/>
      <c r="AK833" s="1166"/>
      <c r="BB833" s="72">
        <f t="shared" si="160"/>
        <v>3.1229644734417659</v>
      </c>
      <c r="BC833" s="1196" t="str">
        <f t="shared" si="162"/>
        <v>Cooling RES 10 Year EUL</v>
      </c>
      <c r="BD833" s="165">
        <f>(INDEX('Avoided Cost Benefits'!$C$4:$C$857,MATCH(BC833,'Avoided Cost Benefits'!$A$4:$A$857,0)))*F833</f>
        <v>206.33082882578913</v>
      </c>
      <c r="BE833" s="74">
        <f t="shared" si="163"/>
        <v>66.068900424728639</v>
      </c>
    </row>
    <row r="834" spans="2:57" x14ac:dyDescent="0.25">
      <c r="B834" s="1580"/>
      <c r="C834" s="1927" t="s">
        <v>2003</v>
      </c>
      <c r="D834" s="1927" t="s">
        <v>1613</v>
      </c>
      <c r="E834" s="2225" t="s">
        <v>2004</v>
      </c>
      <c r="F834" s="1928">
        <v>0</v>
      </c>
      <c r="G834" s="1927" t="s">
        <v>738</v>
      </c>
      <c r="H834" s="239">
        <f>VLOOKUP(G834,'CP FACTORS'!$A$3:$B$38, 2, FALSE)</f>
        <v>0</v>
      </c>
      <c r="I834" s="2015">
        <f t="shared" si="161"/>
        <v>0</v>
      </c>
      <c r="J834" s="1647">
        <f t="shared" si="159"/>
        <v>10</v>
      </c>
      <c r="K834" s="1648">
        <v>0</v>
      </c>
      <c r="L834" s="1927" t="s">
        <v>37</v>
      </c>
      <c r="R834" s="1894"/>
      <c r="V834" s="245" t="str">
        <f t="shared" si="164"/>
        <v>kWh Annual Savings</v>
      </c>
      <c r="W834" s="578">
        <v>0</v>
      </c>
      <c r="X834" s="579">
        <v>0</v>
      </c>
      <c r="Y834" s="896">
        <v>0</v>
      </c>
      <c r="Z834" s="1374"/>
      <c r="AA834" s="245"/>
      <c r="AB834" s="245"/>
      <c r="AC834" s="245"/>
      <c r="AD834" s="245"/>
      <c r="AE834" s="245"/>
      <c r="AF834" s="245"/>
      <c r="AG834" s="245"/>
      <c r="AH834" s="248"/>
      <c r="AK834" s="1166"/>
      <c r="BB834" s="1275"/>
      <c r="BC834" s="1292" t="str">
        <f t="shared" si="162"/>
        <v>Heating RES 10 Year EUL</v>
      </c>
      <c r="BD834" s="165">
        <f>(INDEX('Avoided Cost Benefits'!$C$4:$C$857,MATCH(BC834,'Avoided Cost Benefits'!$A$4:$A$857,0)))*F834</f>
        <v>0</v>
      </c>
      <c r="BE834" s="74">
        <f t="shared" si="163"/>
        <v>0</v>
      </c>
    </row>
    <row r="835" spans="2:57" x14ac:dyDescent="0.25">
      <c r="B835" s="1580"/>
      <c r="C835" s="1927" t="s">
        <v>2005</v>
      </c>
      <c r="D835" s="1927" t="s">
        <v>1616</v>
      </c>
      <c r="E835" s="884" t="str">
        <f>CONCATENATE(E833,"_CompE")</f>
        <v>Setback thermostat - full setback - gas heating / central AC MF_CompE</v>
      </c>
      <c r="F835" s="1928">
        <f>$F$856*$F$861*1/$F$865*$F$866*$F$867*$F$868/1000</f>
        <v>146.46473600000002</v>
      </c>
      <c r="G835" s="1927" t="s">
        <v>737</v>
      </c>
      <c r="H835" s="239">
        <f>VLOOKUP(G835,'CP FACTORS'!$A$3:$B$38, 2, FALSE)</f>
        <v>9.4741810000000004E-4</v>
      </c>
      <c r="I835" s="2015">
        <f t="shared" si="161"/>
        <v>0.138763</v>
      </c>
      <c r="J835" s="1647">
        <f t="shared" si="159"/>
        <v>10</v>
      </c>
      <c r="K835" s="1648">
        <f>$F$899</f>
        <v>70</v>
      </c>
      <c r="L835" s="1927" t="s">
        <v>37</v>
      </c>
      <c r="R835" s="1894"/>
      <c r="V835" s="245" t="str">
        <f t="shared" si="164"/>
        <v>kWh Annual Savings</v>
      </c>
      <c r="W835" s="578"/>
      <c r="X835" s="579"/>
      <c r="Y835" s="896">
        <v>146.46473600000002</v>
      </c>
      <c r="Z835" s="1374"/>
      <c r="AA835" s="245"/>
      <c r="AB835" s="245"/>
      <c r="AC835" s="245"/>
      <c r="AD835" s="245"/>
      <c r="AE835" s="245"/>
      <c r="AF835" s="245"/>
      <c r="AG835" s="245"/>
      <c r="AH835" s="248"/>
      <c r="AK835" s="1166"/>
      <c r="BB835" s="72">
        <f t="shared" ref="BB835" si="172">(BD835+BD836)/(BE835+BE836)</f>
        <v>2.2712468897758296</v>
      </c>
      <c r="BC835" s="1196" t="str">
        <f>CONCATENATE(G835," ",J835," Year EUL")</f>
        <v>Cooling RES 10 Year EUL</v>
      </c>
      <c r="BD835" s="165">
        <f>(INDEX('Avoided Cost Benefits'!$C$4:$C$857,MATCH(BC835,'Avoided Cost Benefits'!$A$4:$A$857,0)))*F835</f>
        <v>150.05878460057392</v>
      </c>
      <c r="BE835" s="74">
        <f>K835/(1.0595^(2020-2019))</f>
        <v>66.068900424728639</v>
      </c>
    </row>
    <row r="836" spans="2:57" x14ac:dyDescent="0.25">
      <c r="B836" s="1580"/>
      <c r="C836" s="1927" t="s">
        <v>2005</v>
      </c>
      <c r="D836" s="1927" t="s">
        <v>1616</v>
      </c>
      <c r="E836" s="892" t="str">
        <f>CONCATENATE(E834,"_CompE")</f>
        <v>Setback thermostat - full setback - gas heating / central AC MF_CompE</v>
      </c>
      <c r="F836" s="1928">
        <v>0</v>
      </c>
      <c r="G836" s="1927" t="s">
        <v>738</v>
      </c>
      <c r="H836" s="239">
        <f>VLOOKUP(G836,'CP FACTORS'!$A$3:$B$38, 2, FALSE)</f>
        <v>0</v>
      </c>
      <c r="I836" s="2015">
        <f t="shared" si="161"/>
        <v>0</v>
      </c>
      <c r="J836" s="1647">
        <f t="shared" si="159"/>
        <v>10</v>
      </c>
      <c r="K836" s="1648">
        <v>0</v>
      </c>
      <c r="L836" s="1927" t="s">
        <v>37</v>
      </c>
      <c r="R836" s="1894"/>
      <c r="V836" s="245" t="str">
        <f t="shared" si="164"/>
        <v>kWh Annual Savings</v>
      </c>
      <c r="W836" s="578"/>
      <c r="X836" s="579"/>
      <c r="Y836" s="896">
        <v>0</v>
      </c>
      <c r="Z836" s="1374"/>
      <c r="AA836" s="245"/>
      <c r="AB836" s="245"/>
      <c r="AC836" s="245"/>
      <c r="AD836" s="245"/>
      <c r="AE836" s="245"/>
      <c r="AF836" s="245"/>
      <c r="AG836" s="245"/>
      <c r="AH836" s="248"/>
      <c r="AK836" s="1166"/>
      <c r="BB836" s="1275"/>
      <c r="BC836" s="1292" t="str">
        <f t="shared" ref="BC836" si="173">CONCATENATE(G836," ",J836," Year EUL")</f>
        <v>Heating RES 10 Year EUL</v>
      </c>
      <c r="BD836" s="165">
        <f>(INDEX('Avoided Cost Benefits'!$C$4:$C$857,MATCH(BC836,'Avoided Cost Benefits'!$A$4:$A$857,0)))*F836</f>
        <v>0</v>
      </c>
      <c r="BE836" s="74">
        <f t="shared" ref="BE836" si="174">K836/(1.0595^(2020-2019))</f>
        <v>0</v>
      </c>
    </row>
    <row r="837" spans="2:57" x14ac:dyDescent="0.25">
      <c r="B837" s="1580"/>
      <c r="C837" s="1927" t="s">
        <v>2006</v>
      </c>
      <c r="D837" s="1927" t="s">
        <v>1610</v>
      </c>
      <c r="E837" s="2224" t="s">
        <v>2007</v>
      </c>
      <c r="F837" s="1928">
        <f>ROUND(F855*F862*1/F$865*F$866*F$867*F$868/1000,2)</f>
        <v>358.2</v>
      </c>
      <c r="G837" s="1927" t="s">
        <v>737</v>
      </c>
      <c r="H837" s="239">
        <f>VLOOKUP(G837,'CP FACTORS'!$A$3:$B$38, 2, FALSE)</f>
        <v>9.4741810000000004E-4</v>
      </c>
      <c r="I837" s="2015">
        <f t="shared" si="161"/>
        <v>0.33936500000000003</v>
      </c>
      <c r="J837" s="1647">
        <f t="shared" si="159"/>
        <v>10</v>
      </c>
      <c r="K837" s="1648">
        <f>$F$899</f>
        <v>70</v>
      </c>
      <c r="L837" s="1927" t="s">
        <v>37</v>
      </c>
      <c r="R837" s="1894"/>
      <c r="V837" s="245" t="str">
        <f t="shared" si="164"/>
        <v>kWh Annual Savings</v>
      </c>
      <c r="W837" s="578">
        <v>157.60714909090908</v>
      </c>
      <c r="X837" s="579">
        <v>750.57839999999999</v>
      </c>
      <c r="Y837" s="896">
        <v>358.2</v>
      </c>
      <c r="Z837" s="1374"/>
      <c r="AA837" s="245"/>
      <c r="AB837" s="245"/>
      <c r="AC837" s="245"/>
      <c r="AD837" s="245"/>
      <c r="AE837" s="245"/>
      <c r="AF837" s="245"/>
      <c r="AG837" s="245"/>
      <c r="AH837" s="248"/>
      <c r="AK837" s="1166"/>
      <c r="BB837" s="72">
        <f t="shared" si="160"/>
        <v>5.5546519806494716</v>
      </c>
      <c r="BC837" s="1196" t="str">
        <f t="shared" si="162"/>
        <v>Cooling RES 10 Year EUL</v>
      </c>
      <c r="BD837" s="165">
        <f>(INDEX('Avoided Cost Benefits'!$C$4:$C$857,MATCH(BC837,'Avoided Cost Benefits'!$A$4:$A$857,0)))*F837</f>
        <v>366.98974860355167</v>
      </c>
      <c r="BE837" s="74">
        <f t="shared" si="163"/>
        <v>66.068900424728639</v>
      </c>
    </row>
    <row r="838" spans="2:57" x14ac:dyDescent="0.25">
      <c r="B838" s="1580"/>
      <c r="C838" s="1927" t="s">
        <v>2006</v>
      </c>
      <c r="D838" s="1927" t="s">
        <v>1610</v>
      </c>
      <c r="E838" s="2225" t="s">
        <v>2007</v>
      </c>
      <c r="F838" s="1928">
        <v>0</v>
      </c>
      <c r="G838" s="1927" t="s">
        <v>738</v>
      </c>
      <c r="H838" s="239">
        <f>VLOOKUP(G838,'CP FACTORS'!$A$3:$B$38, 2, FALSE)</f>
        <v>0</v>
      </c>
      <c r="I838" s="2015">
        <f t="shared" si="161"/>
        <v>0</v>
      </c>
      <c r="J838" s="1647">
        <f t="shared" si="159"/>
        <v>10</v>
      </c>
      <c r="K838" s="1648">
        <v>0</v>
      </c>
      <c r="L838" s="1927" t="s">
        <v>37</v>
      </c>
      <c r="R838" s="1894"/>
      <c r="V838" s="245" t="str">
        <f t="shared" si="164"/>
        <v>kWh Annual Savings</v>
      </c>
      <c r="W838" s="578">
        <v>0</v>
      </c>
      <c r="X838" s="579">
        <v>0</v>
      </c>
      <c r="Y838" s="896">
        <v>0</v>
      </c>
      <c r="Z838" s="1374"/>
      <c r="AA838" s="245"/>
      <c r="AB838" s="245"/>
      <c r="AC838" s="245"/>
      <c r="AD838" s="245"/>
      <c r="AE838" s="245"/>
      <c r="AF838" s="245"/>
      <c r="AG838" s="245"/>
      <c r="AH838" s="248"/>
      <c r="AK838" s="1166"/>
      <c r="BB838" s="1275"/>
      <c r="BC838" s="1292" t="str">
        <f t="shared" si="162"/>
        <v>Heating RES 10 Year EUL</v>
      </c>
      <c r="BD838" s="165">
        <f>(INDEX('Avoided Cost Benefits'!$C$4:$C$857,MATCH(BC838,'Avoided Cost Benefits'!$A$4:$A$857,0)))*F838</f>
        <v>0</v>
      </c>
      <c r="BE838" s="74">
        <f t="shared" si="163"/>
        <v>0</v>
      </c>
    </row>
    <row r="839" spans="2:57" x14ac:dyDescent="0.25">
      <c r="B839" s="1580"/>
      <c r="C839" s="1927" t="s">
        <v>2008</v>
      </c>
      <c r="D839" s="1927" t="s">
        <v>1613</v>
      </c>
      <c r="E839" s="2224" t="s">
        <v>2009</v>
      </c>
      <c r="F839" s="1928">
        <f>ROUND($F$855*$F$863*1/$F$865*$F$866*$F$867*$F$868/1000,2)</f>
        <v>201.39</v>
      </c>
      <c r="G839" s="1927" t="s">
        <v>737</v>
      </c>
      <c r="H839" s="239">
        <f>VLOOKUP(G839,'CP FACTORS'!$A$3:$B$38, 2, FALSE)</f>
        <v>9.4741810000000004E-4</v>
      </c>
      <c r="I839" s="2015">
        <f t="shared" si="161"/>
        <v>0.190801</v>
      </c>
      <c r="J839" s="1647">
        <f t="shared" si="159"/>
        <v>10</v>
      </c>
      <c r="K839" s="1648">
        <f>$F$899</f>
        <v>70</v>
      </c>
      <c r="L839" s="1927" t="s">
        <v>37</v>
      </c>
      <c r="R839" s="1894"/>
      <c r="V839" s="245" t="str">
        <f t="shared" si="164"/>
        <v>kWh Annual Savings</v>
      </c>
      <c r="W839" s="578">
        <v>102.44464690909089</v>
      </c>
      <c r="X839" s="579">
        <v>439.92233999999996</v>
      </c>
      <c r="Y839" s="896">
        <v>201.39</v>
      </c>
      <c r="Z839" s="1374"/>
      <c r="AA839" s="245"/>
      <c r="AB839" s="245"/>
      <c r="AC839" s="245"/>
      <c r="AD839" s="245"/>
      <c r="AE839" s="245"/>
      <c r="AF839" s="245"/>
      <c r="AG839" s="245"/>
      <c r="AH839" s="248"/>
      <c r="AK839" s="1166"/>
      <c r="BB839" s="72">
        <f t="shared" si="160"/>
        <v>3.1866889366792432</v>
      </c>
      <c r="BC839" s="1196" t="str">
        <f t="shared" si="162"/>
        <v>Cooling RES 10 Year EUL</v>
      </c>
      <c r="BD839" s="165">
        <f>(INDEX('Avoided Cost Benefits'!$C$4:$C$857,MATCH(BC839,'Avoided Cost Benefits'!$A$4:$A$857,0)))*F839</f>
        <v>206.33184106998681</v>
      </c>
      <c r="BE839" s="74">
        <f t="shared" si="163"/>
        <v>66.068900424728639</v>
      </c>
    </row>
    <row r="840" spans="2:57" x14ac:dyDescent="0.25">
      <c r="B840" s="1580"/>
      <c r="C840" s="1927" t="s">
        <v>2008</v>
      </c>
      <c r="D840" s="1927" t="s">
        <v>1613</v>
      </c>
      <c r="E840" s="2225" t="s">
        <v>2009</v>
      </c>
      <c r="F840" s="1928">
        <f>ROUND($F$875*$F$877*$F$885*(1/$F$893)*$F$895*$F$896*$F$897/1000,2)</f>
        <v>15.49</v>
      </c>
      <c r="G840" s="1927" t="s">
        <v>738</v>
      </c>
      <c r="H840" s="239">
        <f>VLOOKUP(G840,'CP FACTORS'!$A$3:$B$38, 2, FALSE)</f>
        <v>0</v>
      </c>
      <c r="I840" s="2015">
        <f t="shared" si="161"/>
        <v>0</v>
      </c>
      <c r="J840" s="1647">
        <f t="shared" si="159"/>
        <v>10</v>
      </c>
      <c r="K840" s="1648">
        <v>0</v>
      </c>
      <c r="L840" s="1927" t="s">
        <v>37</v>
      </c>
      <c r="R840" s="1894"/>
      <c r="V840" s="245" t="str">
        <f t="shared" si="164"/>
        <v>kWh Annual Savings</v>
      </c>
      <c r="W840" s="578">
        <v>125.36894234037186</v>
      </c>
      <c r="X840" s="579">
        <v>24.940157257477999</v>
      </c>
      <c r="Y840" s="896">
        <v>15.49</v>
      </c>
      <c r="Z840" s="1374"/>
      <c r="AA840" s="245"/>
      <c r="AB840" s="245"/>
      <c r="AC840" s="245"/>
      <c r="AD840" s="245"/>
      <c r="AE840" s="245"/>
      <c r="AF840" s="245"/>
      <c r="AG840" s="245"/>
      <c r="AH840" s="248"/>
      <c r="AK840" s="1166"/>
      <c r="BB840" s="1275"/>
      <c r="BC840" s="1292" t="str">
        <f t="shared" si="162"/>
        <v>Heating RES 10 Year EUL</v>
      </c>
      <c r="BD840" s="165">
        <f>(INDEX('Avoided Cost Benefits'!$C$4:$C$857,MATCH(BC840,'Avoided Cost Benefits'!$A$4:$A$857,0)))*F840</f>
        <v>4.2091929720585037</v>
      </c>
      <c r="BE840" s="74">
        <f t="shared" si="163"/>
        <v>0</v>
      </c>
    </row>
    <row r="841" spans="2:57" x14ac:dyDescent="0.25">
      <c r="B841" s="1580"/>
      <c r="C841" s="1927" t="s">
        <v>2010</v>
      </c>
      <c r="D841" s="1927" t="s">
        <v>1613</v>
      </c>
      <c r="E841" s="884" t="str">
        <f>CONCATENATE(E839,"_CompE")</f>
        <v>Setback thermostat - full setback - Unknown MF_CompE</v>
      </c>
      <c r="F841" s="1928">
        <f>ROUND($F$856*$F$863*1/$F$865*$F$866*$F$867*$F$868/1000,2)</f>
        <v>146.46</v>
      </c>
      <c r="G841" s="1927" t="s">
        <v>737</v>
      </c>
      <c r="H841" s="239">
        <f>VLOOKUP(G841,'CP FACTORS'!$A$3:$B$38, 2, FALSE)</f>
        <v>9.4741810000000004E-4</v>
      </c>
      <c r="I841" s="2015">
        <f t="shared" si="161"/>
        <v>0.13875899999999999</v>
      </c>
      <c r="J841" s="1647">
        <f t="shared" si="159"/>
        <v>10</v>
      </c>
      <c r="K841" s="1648">
        <f>$F$899</f>
        <v>70</v>
      </c>
      <c r="L841" s="1927" t="s">
        <v>37</v>
      </c>
      <c r="R841" s="1894"/>
      <c r="V841" s="245" t="str">
        <f t="shared" si="164"/>
        <v>kWh Annual Savings</v>
      </c>
      <c r="W841" s="578"/>
      <c r="X841" s="579"/>
      <c r="Y841" s="896">
        <v>146.46</v>
      </c>
      <c r="Z841" s="1374"/>
      <c r="AA841" s="245"/>
      <c r="AB841" s="245"/>
      <c r="AC841" s="245"/>
      <c r="AD841" s="245"/>
      <c r="AE841" s="245"/>
      <c r="AF841" s="245"/>
      <c r="AG841" s="245"/>
      <c r="AH841" s="248"/>
      <c r="AK841" s="1166"/>
      <c r="BB841" s="72">
        <f t="shared" ref="BB841" si="175">(BD841+BD842)/(BE841+BE842)</f>
        <v>2.2928896695197545</v>
      </c>
      <c r="BC841" s="1196" t="str">
        <f>CONCATENATE(G841," ",J841," Year EUL")</f>
        <v>Cooling RES 10 Year EUL</v>
      </c>
      <c r="BD841" s="165">
        <f>(INDEX('Avoided Cost Benefits'!$C$4:$C$857,MATCH(BC841,'Avoided Cost Benefits'!$A$4:$A$857,0)))*F841</f>
        <v>150.05393238547231</v>
      </c>
      <c r="BE841" s="74">
        <f>K841/(1.0595^(2020-2019))</f>
        <v>66.068900424728639</v>
      </c>
    </row>
    <row r="842" spans="2:57" x14ac:dyDescent="0.25">
      <c r="B842" s="1580"/>
      <c r="C842" s="1927" t="s">
        <v>2010</v>
      </c>
      <c r="D842" s="1927" t="s">
        <v>1613</v>
      </c>
      <c r="E842" s="892" t="str">
        <f>CONCATENATE(E840,"_CompE")</f>
        <v>Setback thermostat - full setback - Unknown MF_CompE</v>
      </c>
      <c r="F842" s="1928">
        <f>ROUND($F$875*$F$878*$F$885*(1/$F$893)*$F$895*$F$896*$F$897/1000,2)</f>
        <v>5.28</v>
      </c>
      <c r="G842" s="1927" t="s">
        <v>738</v>
      </c>
      <c r="H842" s="239">
        <f>VLOOKUP(G842,'CP FACTORS'!$A$3:$B$38, 2, FALSE)</f>
        <v>0</v>
      </c>
      <c r="I842" s="2015">
        <f t="shared" si="161"/>
        <v>0</v>
      </c>
      <c r="J842" s="1647">
        <f t="shared" si="159"/>
        <v>10</v>
      </c>
      <c r="K842" s="1648">
        <v>0</v>
      </c>
      <c r="L842" s="1927" t="s">
        <v>37</v>
      </c>
      <c r="R842" s="1894"/>
      <c r="V842" s="245" t="str">
        <f t="shared" si="164"/>
        <v>kWh Annual Savings</v>
      </c>
      <c r="W842" s="578"/>
      <c r="X842" s="579"/>
      <c r="Y842" s="896">
        <v>5.28</v>
      </c>
      <c r="Z842" s="1374"/>
      <c r="AA842" s="245"/>
      <c r="AB842" s="245"/>
      <c r="AC842" s="245"/>
      <c r="AD842" s="245"/>
      <c r="AE842" s="245"/>
      <c r="AF842" s="245"/>
      <c r="AG842" s="245"/>
      <c r="AH842" s="248"/>
      <c r="AK842" s="1166"/>
      <c r="BB842" s="1275"/>
      <c r="BC842" s="1292" t="str">
        <f t="shared" ref="BC842" si="176">CONCATENATE(G842," ",J842," Year EUL")</f>
        <v>Heating RES 10 Year EUL</v>
      </c>
      <c r="BD842" s="165">
        <f>(INDEX('Avoided Cost Benefits'!$C$4:$C$857,MATCH(BC842,'Avoided Cost Benefits'!$A$4:$A$857,0)))*F842</f>
        <v>1.434766874917295</v>
      </c>
      <c r="BE842" s="74">
        <f t="shared" ref="BE842" si="177">K842/(1.0595^(2020-2019))</f>
        <v>0</v>
      </c>
    </row>
    <row r="843" spans="2:57" x14ac:dyDescent="0.25">
      <c r="B843" s="1580"/>
      <c r="C843" s="1927" t="s">
        <v>2011</v>
      </c>
      <c r="D843" s="1927" t="s">
        <v>1610</v>
      </c>
      <c r="E843" s="2224" t="s">
        <v>2012</v>
      </c>
      <c r="F843" s="1928">
        <f>ROUND(F855*F864*1/F$865*F$866*F$867*F$868/1000,2)</f>
        <v>358.2</v>
      </c>
      <c r="G843" s="1927" t="s">
        <v>737</v>
      </c>
      <c r="H843" s="239">
        <f>VLOOKUP(G843,'CP FACTORS'!$A$3:$B$38, 2, FALSE)</f>
        <v>9.4741810000000004E-4</v>
      </c>
      <c r="I843" s="2015">
        <f t="shared" si="161"/>
        <v>0.33936500000000003</v>
      </c>
      <c r="J843" s="1647">
        <f t="shared" si="159"/>
        <v>10</v>
      </c>
      <c r="K843" s="1648">
        <f>$F$899</f>
        <v>70</v>
      </c>
      <c r="L843" s="1927" t="s">
        <v>37</v>
      </c>
      <c r="R843" s="1894"/>
      <c r="V843" s="245" t="str">
        <f t="shared" si="164"/>
        <v>kWh Annual Savings</v>
      </c>
      <c r="W843" s="578">
        <v>157.60714909090908</v>
      </c>
      <c r="X843" s="579">
        <v>750.57839999999999</v>
      </c>
      <c r="Y843" s="896">
        <v>358.2</v>
      </c>
      <c r="Z843" s="1374"/>
      <c r="AA843" s="245"/>
      <c r="AB843" s="245"/>
      <c r="AC843" s="245"/>
      <c r="AD843" s="245"/>
      <c r="AE843" s="245"/>
      <c r="AF843" s="245"/>
      <c r="AG843" s="245"/>
      <c r="AH843" s="248"/>
      <c r="AK843" s="1166"/>
      <c r="BB843" s="72">
        <f t="shared" si="160"/>
        <v>5.6876227080399149</v>
      </c>
      <c r="BC843" s="1196" t="str">
        <f t="shared" si="162"/>
        <v>Cooling RES 10 Year EUL</v>
      </c>
      <c r="BD843" s="165">
        <f>(INDEX('Avoided Cost Benefits'!$C$4:$C$857,MATCH(BC843,'Avoided Cost Benefits'!$A$4:$A$857,0)))*F843</f>
        <v>366.98974860355167</v>
      </c>
      <c r="BE843" s="74">
        <f t="shared" si="163"/>
        <v>66.068900424728639</v>
      </c>
    </row>
    <row r="844" spans="2:57" x14ac:dyDescent="0.25">
      <c r="B844" s="1580"/>
      <c r="C844" s="1927" t="s">
        <v>2011</v>
      </c>
      <c r="D844" s="1927" t="s">
        <v>1610</v>
      </c>
      <c r="E844" s="2225" t="s">
        <v>2012</v>
      </c>
      <c r="F844" s="1928">
        <f>ROUND(F876*F877*F886*(1/F894)*F$895*F$896*F$897/1000,2)</f>
        <v>32.33</v>
      </c>
      <c r="G844" s="1927" t="s">
        <v>738</v>
      </c>
      <c r="H844" s="239">
        <f>VLOOKUP(G844,'CP FACTORS'!$A$3:$B$38, 2, FALSE)</f>
        <v>0</v>
      </c>
      <c r="I844" s="2015">
        <f t="shared" si="161"/>
        <v>0</v>
      </c>
      <c r="J844" s="1647">
        <f t="shared" si="159"/>
        <v>10</v>
      </c>
      <c r="K844" s="1648">
        <v>0</v>
      </c>
      <c r="L844" s="1927" t="s">
        <v>37</v>
      </c>
      <c r="R844" s="1894"/>
      <c r="V844" s="245" t="str">
        <f t="shared" si="164"/>
        <v>kWh Annual Savings</v>
      </c>
      <c r="W844" s="578">
        <v>192.87529590826432</v>
      </c>
      <c r="X844" s="579">
        <v>50.176989004732967</v>
      </c>
      <c r="Y844" s="896">
        <v>32.33</v>
      </c>
      <c r="Z844" s="1374"/>
      <c r="AA844" s="245"/>
      <c r="AB844" s="245"/>
      <c r="AC844" s="245"/>
      <c r="AD844" s="245"/>
      <c r="AE844" s="245"/>
      <c r="AF844" s="245"/>
      <c r="AG844" s="245"/>
      <c r="AH844" s="248"/>
      <c r="AK844" s="1166"/>
      <c r="BB844" s="1277"/>
      <c r="BC844" s="1292" t="str">
        <f t="shared" si="162"/>
        <v>Heating RES 10 Year EUL</v>
      </c>
      <c r="BD844" s="170">
        <f>(INDEX('Avoided Cost Benefits'!$C$4:$C$857,MATCH(BC844,'Avoided Cost Benefits'!$A$4:$A$857,0)))*F844</f>
        <v>8.7852297473629068</v>
      </c>
      <c r="BE844" s="76">
        <f t="shared" si="163"/>
        <v>0</v>
      </c>
    </row>
    <row r="845" spans="2:57" outlineLevel="1" x14ac:dyDescent="0.25">
      <c r="B845" s="1580"/>
      <c r="C845" s="329"/>
      <c r="F845" s="354"/>
      <c r="AK845" s="1166"/>
    </row>
    <row r="846" spans="2:57" ht="18" customHeight="1" outlineLevel="1" x14ac:dyDescent="0.25">
      <c r="B846" s="1580"/>
      <c r="C846" s="359"/>
      <c r="D846" s="259" t="s">
        <v>617</v>
      </c>
      <c r="E846" s="591"/>
      <c r="F846" s="1215"/>
      <c r="G846" s="1215"/>
      <c r="H846" s="1215"/>
      <c r="I846" s="1375"/>
      <c r="J846" s="1375"/>
      <c r="K846" s="1375"/>
      <c r="L846" s="1375"/>
      <c r="AK846" s="1166"/>
    </row>
    <row r="847" spans="2:57" outlineLevel="1" x14ac:dyDescent="0.25">
      <c r="B847" s="1580"/>
      <c r="C847" s="375"/>
      <c r="D847" s="591"/>
      <c r="E847" s="591"/>
      <c r="F847" s="1215"/>
      <c r="G847" s="1215"/>
      <c r="H847" s="1215"/>
      <c r="I847" s="1375"/>
      <c r="J847" s="1375"/>
      <c r="K847" s="1375"/>
      <c r="L847" s="1375"/>
      <c r="V847" s="328" t="str">
        <f t="shared" ref="V847:V853" si="178">IF(C845&gt;0,C845," ")</f>
        <v xml:space="preserve"> </v>
      </c>
      <c r="AK847" s="1166"/>
    </row>
    <row r="848" spans="2:57" outlineLevel="1" x14ac:dyDescent="0.25">
      <c r="B848" s="1580"/>
      <c r="C848" s="375"/>
      <c r="D848" s="591"/>
      <c r="E848" s="591"/>
      <c r="F848" s="1215"/>
      <c r="G848" s="1215"/>
      <c r="H848" s="1215"/>
      <c r="I848" s="1375"/>
      <c r="J848" s="1375"/>
      <c r="K848" s="1375"/>
      <c r="L848" s="1375"/>
      <c r="V848" s="328" t="str">
        <f t="shared" si="178"/>
        <v xml:space="preserve"> </v>
      </c>
      <c r="AK848" s="1166"/>
    </row>
    <row r="849" spans="2:37" outlineLevel="1" x14ac:dyDescent="0.25">
      <c r="B849" s="1580"/>
      <c r="C849" s="376"/>
      <c r="D849" s="591"/>
      <c r="E849" s="591"/>
      <c r="F849" s="1215"/>
      <c r="G849" s="1215"/>
      <c r="H849" s="1215"/>
      <c r="I849" s="1375"/>
      <c r="J849" s="1375"/>
      <c r="K849" s="1375"/>
      <c r="L849" s="1375"/>
      <c r="V849" s="328" t="str">
        <f t="shared" si="178"/>
        <v xml:space="preserve"> </v>
      </c>
      <c r="AK849" s="1166"/>
    </row>
    <row r="850" spans="2:37" outlineLevel="1" x14ac:dyDescent="0.25">
      <c r="B850" s="1580"/>
      <c r="C850" s="376"/>
      <c r="D850" s="591"/>
      <c r="E850" s="591"/>
      <c r="F850" s="1215"/>
      <c r="G850" s="1215"/>
      <c r="H850" s="1215"/>
      <c r="I850" s="1375"/>
      <c r="J850" s="1375"/>
      <c r="K850" s="1375"/>
      <c r="L850" s="1375"/>
      <c r="V850" s="328" t="str">
        <f t="shared" si="178"/>
        <v xml:space="preserve"> </v>
      </c>
      <c r="AK850" s="1166"/>
    </row>
    <row r="851" spans="2:37" outlineLevel="1" x14ac:dyDescent="0.25">
      <c r="B851" s="1580"/>
      <c r="C851" s="376"/>
      <c r="D851" s="591"/>
      <c r="E851" s="591"/>
      <c r="F851" s="1215"/>
      <c r="G851" s="1215"/>
      <c r="H851" s="1215"/>
      <c r="I851" s="1375"/>
      <c r="J851" s="1375"/>
      <c r="K851" s="1375"/>
      <c r="L851" s="1375"/>
      <c r="V851" s="328" t="str">
        <f t="shared" si="178"/>
        <v xml:space="preserve"> </v>
      </c>
      <c r="AK851" s="1166"/>
    </row>
    <row r="852" spans="2:37" ht="15" customHeight="1" outlineLevel="1" x14ac:dyDescent="0.25">
      <c r="B852" s="1580"/>
      <c r="C852" s="376"/>
      <c r="D852" s="591"/>
      <c r="E852" s="591"/>
      <c r="F852" s="1215"/>
      <c r="G852" s="1215"/>
      <c r="H852" s="1215"/>
      <c r="I852" s="1375"/>
      <c r="J852" s="1375"/>
      <c r="K852" s="1375"/>
      <c r="L852" s="1375"/>
      <c r="V852" s="328" t="str">
        <f t="shared" si="178"/>
        <v xml:space="preserve"> </v>
      </c>
      <c r="AK852" s="1166"/>
    </row>
    <row r="853" spans="2:37" outlineLevel="1" x14ac:dyDescent="0.25">
      <c r="B853" s="1580"/>
      <c r="C853" s="329"/>
      <c r="D853" s="590"/>
      <c r="E853" s="590"/>
      <c r="F853" s="1197"/>
      <c r="G853" s="1197"/>
      <c r="H853" s="1197"/>
      <c r="V853" s="328" t="str">
        <f t="shared" si="178"/>
        <v xml:space="preserve"> </v>
      </c>
      <c r="AK853" s="1166"/>
    </row>
    <row r="854" spans="2:37" outlineLevel="1" x14ac:dyDescent="0.25">
      <c r="B854" s="1580"/>
      <c r="C854" s="329"/>
      <c r="D854" s="1701" t="s">
        <v>618</v>
      </c>
      <c r="E854" s="1701" t="s">
        <v>619</v>
      </c>
      <c r="F854" s="1641" t="s">
        <v>620</v>
      </c>
      <c r="G854" s="1641" t="s">
        <v>670</v>
      </c>
      <c r="H854" s="1641" t="s">
        <v>766</v>
      </c>
      <c r="V854" s="55" t="s">
        <v>27</v>
      </c>
      <c r="W854" s="56">
        <f>W$6</f>
        <v>43252</v>
      </c>
      <c r="X854" s="56">
        <f t="shared" ref="X854:AG854" si="179">X$6</f>
        <v>43465</v>
      </c>
      <c r="Y854" s="500">
        <f t="shared" si="179"/>
        <v>43800</v>
      </c>
      <c r="Z854" s="56">
        <f t="shared" si="179"/>
        <v>43862</v>
      </c>
      <c r="AA854" s="56" t="str">
        <f t="shared" si="179"/>
        <v>-</v>
      </c>
      <c r="AB854" s="56" t="str">
        <f t="shared" si="179"/>
        <v>-</v>
      </c>
      <c r="AC854" s="56" t="str">
        <f t="shared" si="179"/>
        <v>-</v>
      </c>
      <c r="AD854" s="56" t="str">
        <f t="shared" si="179"/>
        <v>-</v>
      </c>
      <c r="AE854" s="56" t="str">
        <f t="shared" si="179"/>
        <v>-</v>
      </c>
      <c r="AF854" s="56" t="str">
        <f t="shared" si="179"/>
        <v>-</v>
      </c>
      <c r="AG854" s="56" t="str">
        <f t="shared" si="179"/>
        <v>-</v>
      </c>
      <c r="AK854" s="1166"/>
    </row>
    <row r="855" spans="2:37" outlineLevel="1" x14ac:dyDescent="0.25">
      <c r="B855" s="1580"/>
      <c r="C855" s="329"/>
      <c r="D855" s="2971" t="s">
        <v>266</v>
      </c>
      <c r="E855" s="1278" t="s">
        <v>790</v>
      </c>
      <c r="F855" s="1236">
        <v>869</v>
      </c>
      <c r="G855" s="1702" t="s">
        <v>1384</v>
      </c>
      <c r="H855" s="1279"/>
      <c r="V855" s="2957" t="str">
        <f>D855</f>
        <v>EFLHCool</v>
      </c>
      <c r="W855" s="1188">
        <v>1215</v>
      </c>
      <c r="X855" s="1218">
        <v>1215</v>
      </c>
      <c r="Y855" s="1218">
        <v>869</v>
      </c>
      <c r="Z855" s="1206"/>
      <c r="AA855" s="1188"/>
      <c r="AB855" s="1188"/>
      <c r="AC855" s="1188"/>
      <c r="AD855" s="1188"/>
      <c r="AE855" s="1188"/>
      <c r="AF855" s="1188"/>
      <c r="AG855" s="1188"/>
      <c r="AK855" s="1166"/>
    </row>
    <row r="856" spans="2:37" ht="23.25" customHeight="1" outlineLevel="1" x14ac:dyDescent="0.25">
      <c r="B856" s="1580"/>
      <c r="C856" s="329"/>
      <c r="D856" s="2972"/>
      <c r="E856" s="1278" t="s">
        <v>952</v>
      </c>
      <c r="F856" s="1236">
        <v>632</v>
      </c>
      <c r="G856" s="1702" t="s">
        <v>1384</v>
      </c>
      <c r="H856" s="1279"/>
      <c r="V856" s="2958"/>
      <c r="W856" s="1188"/>
      <c r="X856" s="1218"/>
      <c r="Y856" s="1230">
        <v>632</v>
      </c>
      <c r="Z856" s="1206"/>
      <c r="AA856" s="1188"/>
      <c r="AB856" s="1188"/>
      <c r="AC856" s="1188"/>
      <c r="AD856" s="1188"/>
      <c r="AE856" s="1188"/>
      <c r="AF856" s="1188"/>
      <c r="AG856" s="1188"/>
      <c r="AK856" s="1166"/>
    </row>
    <row r="857" spans="2:37" ht="30" outlineLevel="1" x14ac:dyDescent="0.25">
      <c r="B857" s="1580"/>
      <c r="C857" s="329"/>
      <c r="D857" s="2971" t="s">
        <v>794</v>
      </c>
      <c r="E857" s="1278" t="s">
        <v>1994</v>
      </c>
      <c r="F857" s="1228">
        <v>20240</v>
      </c>
      <c r="G857" s="1498" t="s">
        <v>2013</v>
      </c>
      <c r="H857" s="1279"/>
      <c r="V857" s="2957" t="str">
        <f>D857</f>
        <v>CapacityCool</v>
      </c>
      <c r="W857" s="1206">
        <f>0.65*36000</f>
        <v>23400</v>
      </c>
      <c r="X857" s="1221">
        <v>21100</v>
      </c>
      <c r="Y857" s="1203">
        <v>20240</v>
      </c>
      <c r="Z857" s="1206"/>
      <c r="AA857" s="1206"/>
      <c r="AB857" s="1206"/>
      <c r="AC857" s="1206"/>
      <c r="AD857" s="1206"/>
      <c r="AE857" s="1206"/>
      <c r="AF857" s="1206"/>
      <c r="AG857" s="1206"/>
      <c r="AK857" s="1166"/>
    </row>
    <row r="858" spans="2:37" outlineLevel="1" x14ac:dyDescent="0.25">
      <c r="B858" s="1580"/>
      <c r="C858" s="329"/>
      <c r="D858" s="2972"/>
      <c r="E858" s="1278" t="s">
        <v>1997</v>
      </c>
      <c r="F858" s="1376">
        <v>36000</v>
      </c>
      <c r="G858" s="1381" t="s">
        <v>767</v>
      </c>
      <c r="H858" s="1279"/>
      <c r="V858" s="2958"/>
      <c r="W858" s="1206">
        <v>36000</v>
      </c>
      <c r="X858" s="1220">
        <v>36000</v>
      </c>
      <c r="Y858" s="1220">
        <v>36000</v>
      </c>
      <c r="Z858" s="1206"/>
      <c r="AA858" s="1206"/>
      <c r="AB858" s="1206"/>
      <c r="AC858" s="1206"/>
      <c r="AD858" s="1206"/>
      <c r="AE858" s="1206"/>
      <c r="AF858" s="1206"/>
      <c r="AG858" s="1206"/>
      <c r="AK858" s="1166"/>
    </row>
    <row r="859" spans="2:37" ht="30" outlineLevel="1" x14ac:dyDescent="0.25">
      <c r="B859" s="1580"/>
      <c r="C859" s="329"/>
      <c r="D859" s="2972"/>
      <c r="E859" s="383" t="s">
        <v>1999</v>
      </c>
      <c r="F859" s="1228">
        <v>20240</v>
      </c>
      <c r="G859" s="1498" t="s">
        <v>2013</v>
      </c>
      <c r="H859" s="1279"/>
      <c r="V859" s="2958"/>
      <c r="W859" s="1206">
        <f>0.65*36000</f>
        <v>23400</v>
      </c>
      <c r="X859" s="1221">
        <v>21100</v>
      </c>
      <c r="Y859" s="1203">
        <v>20240</v>
      </c>
      <c r="Z859" s="1206"/>
      <c r="AA859" s="1206"/>
      <c r="AB859" s="1206"/>
      <c r="AC859" s="1206"/>
      <c r="AD859" s="1206"/>
      <c r="AE859" s="1206"/>
      <c r="AF859" s="1206"/>
      <c r="AG859" s="1206"/>
      <c r="AK859" s="1166"/>
    </row>
    <row r="860" spans="2:37" outlineLevel="1" x14ac:dyDescent="0.25">
      <c r="B860" s="1580"/>
      <c r="C860" s="329"/>
      <c r="D860" s="2972"/>
      <c r="E860" s="383" t="s">
        <v>2002</v>
      </c>
      <c r="F860" s="1376">
        <v>36000</v>
      </c>
      <c r="G860" s="1381" t="s">
        <v>767</v>
      </c>
      <c r="H860" s="1279"/>
      <c r="V860" s="2958"/>
      <c r="W860" s="1206">
        <v>36000</v>
      </c>
      <c r="X860" s="1220">
        <v>36000</v>
      </c>
      <c r="Y860" s="1220">
        <v>36000</v>
      </c>
      <c r="Z860" s="1206"/>
      <c r="AA860" s="1206"/>
      <c r="AB860" s="1206"/>
      <c r="AC860" s="1206"/>
      <c r="AD860" s="1206"/>
      <c r="AE860" s="1206"/>
      <c r="AF860" s="1206"/>
      <c r="AG860" s="1206"/>
      <c r="AK860" s="1166"/>
    </row>
    <row r="861" spans="2:37" ht="30" outlineLevel="1" x14ac:dyDescent="0.25">
      <c r="B861" s="1580"/>
      <c r="C861" s="329"/>
      <c r="D861" s="2972"/>
      <c r="E861" s="383" t="s">
        <v>2004</v>
      </c>
      <c r="F861" s="1228">
        <v>20240</v>
      </c>
      <c r="G861" s="1498" t="s">
        <v>2013</v>
      </c>
      <c r="H861" s="1279"/>
      <c r="V861" s="2958"/>
      <c r="W861" s="1206">
        <f>0.65*36000</f>
        <v>23400</v>
      </c>
      <c r="X861" s="1221">
        <v>21100</v>
      </c>
      <c r="Y861" s="1203">
        <v>20240</v>
      </c>
      <c r="Z861" s="1206"/>
      <c r="AA861" s="1206"/>
      <c r="AB861" s="1206"/>
      <c r="AC861" s="1206"/>
      <c r="AD861" s="1206"/>
      <c r="AE861" s="1206"/>
      <c r="AF861" s="1206"/>
      <c r="AG861" s="1206"/>
      <c r="AK861" s="1166"/>
    </row>
    <row r="862" spans="2:37" outlineLevel="1" x14ac:dyDescent="0.25">
      <c r="B862" s="1580"/>
      <c r="C862" s="329"/>
      <c r="D862" s="2972"/>
      <c r="E862" s="383" t="s">
        <v>2007</v>
      </c>
      <c r="F862" s="1376">
        <v>36000</v>
      </c>
      <c r="G862" s="1381" t="s">
        <v>767</v>
      </c>
      <c r="H862" s="1279"/>
      <c r="V862" s="2958"/>
      <c r="W862" s="1206">
        <v>36000</v>
      </c>
      <c r="X862" s="1220">
        <v>36000</v>
      </c>
      <c r="Y862" s="1220">
        <v>36000</v>
      </c>
      <c r="Z862" s="1206"/>
      <c r="AA862" s="1206"/>
      <c r="AB862" s="1206"/>
      <c r="AC862" s="1206"/>
      <c r="AD862" s="1206"/>
      <c r="AE862" s="1206"/>
      <c r="AF862" s="1206"/>
      <c r="AG862" s="1206"/>
      <c r="AK862" s="1166"/>
    </row>
    <row r="863" spans="2:37" ht="30" outlineLevel="1" x14ac:dyDescent="0.25">
      <c r="B863" s="1580"/>
      <c r="C863" s="329"/>
      <c r="D863" s="2972"/>
      <c r="E863" s="1278" t="s">
        <v>2009</v>
      </c>
      <c r="F863" s="1228">
        <v>20240</v>
      </c>
      <c r="G863" s="1498" t="s">
        <v>2013</v>
      </c>
      <c r="H863" s="1279"/>
      <c r="V863" s="2958"/>
      <c r="W863" s="1206">
        <f>0.65*36000</f>
        <v>23400</v>
      </c>
      <c r="X863" s="1221">
        <v>21100</v>
      </c>
      <c r="Y863" s="1203">
        <v>20240</v>
      </c>
      <c r="Z863" s="1206"/>
      <c r="AA863" s="1206"/>
      <c r="AB863" s="1206"/>
      <c r="AC863" s="1206"/>
      <c r="AD863" s="1206"/>
      <c r="AE863" s="1206"/>
      <c r="AF863" s="1206"/>
      <c r="AG863" s="1206"/>
      <c r="AK863" s="1166"/>
    </row>
    <row r="864" spans="2:37" outlineLevel="1" x14ac:dyDescent="0.25">
      <c r="B864" s="1580"/>
      <c r="C864" s="329"/>
      <c r="D864" s="2974"/>
      <c r="E864" s="1278" t="s">
        <v>2012</v>
      </c>
      <c r="F864" s="1376">
        <v>36000</v>
      </c>
      <c r="G864" s="1381" t="s">
        <v>767</v>
      </c>
      <c r="H864" s="1279"/>
      <c r="V864" s="2965"/>
      <c r="W864" s="1206">
        <v>36000</v>
      </c>
      <c r="X864" s="1220">
        <v>36000</v>
      </c>
      <c r="Y864" s="1220">
        <v>36000</v>
      </c>
      <c r="Z864" s="1206"/>
      <c r="AA864" s="1206"/>
      <c r="AB864" s="1206"/>
      <c r="AC864" s="1206"/>
      <c r="AD864" s="1206"/>
      <c r="AE864" s="1206"/>
      <c r="AF864" s="1206"/>
      <c r="AG864" s="1206"/>
      <c r="AK864" s="1166"/>
    </row>
    <row r="865" spans="2:37" ht="60" outlineLevel="1" x14ac:dyDescent="0.25">
      <c r="B865" s="1580"/>
      <c r="C865" s="329"/>
      <c r="D865" s="1696" t="s">
        <v>800</v>
      </c>
      <c r="E865" s="1278" t="s">
        <v>637</v>
      </c>
      <c r="F865" s="1236">
        <v>10</v>
      </c>
      <c r="G865" s="1533" t="s">
        <v>2014</v>
      </c>
      <c r="H865" s="1679" t="s">
        <v>770</v>
      </c>
      <c r="V865" s="1204" t="str">
        <f>D865</f>
        <v>SEER</v>
      </c>
      <c r="W865" s="1188">
        <v>11</v>
      </c>
      <c r="X865" s="1230">
        <v>10</v>
      </c>
      <c r="Y865" s="1236">
        <v>10</v>
      </c>
      <c r="Z865" s="1188"/>
      <c r="AA865" s="1188"/>
      <c r="AB865" s="1188"/>
      <c r="AC865" s="1188"/>
      <c r="AD865" s="1188"/>
      <c r="AE865" s="1188"/>
      <c r="AF865" s="1188"/>
      <c r="AG865" s="1188"/>
      <c r="AK865" s="1166"/>
    </row>
    <row r="866" spans="2:37" ht="45" outlineLevel="1" x14ac:dyDescent="0.25">
      <c r="B866" s="1580"/>
      <c r="C866" s="329"/>
      <c r="D866" s="1696" t="s">
        <v>2015</v>
      </c>
      <c r="E866" s="1278" t="s">
        <v>637</v>
      </c>
      <c r="F866" s="1376">
        <v>1.9083333333333337</v>
      </c>
      <c r="G866" s="1381" t="s">
        <v>2016</v>
      </c>
      <c r="H866" s="1279"/>
      <c r="V866" s="1204" t="str">
        <f>D866</f>
        <v>Sbdegrees_cooling</v>
      </c>
      <c r="W866" s="1206">
        <v>3.67</v>
      </c>
      <c r="X866" s="1376">
        <v>3.67</v>
      </c>
      <c r="Y866" s="1221">
        <v>1.9083333333333337</v>
      </c>
      <c r="Z866" s="1220"/>
      <c r="AA866" s="1206"/>
      <c r="AB866" s="1206"/>
      <c r="AC866" s="1206"/>
      <c r="AD866" s="1206"/>
      <c r="AE866" s="1206"/>
      <c r="AF866" s="1206"/>
      <c r="AG866" s="1206"/>
      <c r="AK866" s="1166"/>
    </row>
    <row r="867" spans="2:37" ht="30" outlineLevel="1" x14ac:dyDescent="0.25">
      <c r="B867" s="1580"/>
      <c r="C867" s="329"/>
      <c r="D867" s="1696" t="s">
        <v>2017</v>
      </c>
      <c r="E867" s="1278" t="s">
        <v>637</v>
      </c>
      <c r="F867" s="811">
        <v>0.06</v>
      </c>
      <c r="G867" s="1381" t="s">
        <v>2018</v>
      </c>
      <c r="H867" s="1279"/>
      <c r="V867" s="1204" t="str">
        <f>D867</f>
        <v>SF_cooling</v>
      </c>
      <c r="W867" s="1202">
        <v>0.06</v>
      </c>
      <c r="X867" s="1219">
        <v>0.06</v>
      </c>
      <c r="Y867" s="810">
        <v>0.06</v>
      </c>
      <c r="Z867" s="1202"/>
      <c r="AA867" s="1202"/>
      <c r="AB867" s="1202"/>
      <c r="AC867" s="1202"/>
      <c r="AD867" s="1202"/>
      <c r="AE867" s="1202"/>
      <c r="AF867" s="1202"/>
      <c r="AG867" s="1202"/>
      <c r="AK867" s="1166"/>
    </row>
    <row r="868" spans="2:37" ht="30" outlineLevel="1" x14ac:dyDescent="0.25">
      <c r="B868" s="1580"/>
      <c r="C868" s="329"/>
      <c r="D868" s="1696" t="s">
        <v>2019</v>
      </c>
      <c r="E868" s="1278" t="s">
        <v>637</v>
      </c>
      <c r="F868" s="811">
        <v>1</v>
      </c>
      <c r="G868" s="1498" t="s">
        <v>2020</v>
      </c>
      <c r="H868" s="1278"/>
      <c r="V868" s="1204" t="str">
        <f>D868</f>
        <v>EF_cooling</v>
      </c>
      <c r="W868" s="1202">
        <v>0.18</v>
      </c>
      <c r="X868" s="810">
        <v>1</v>
      </c>
      <c r="Y868" s="811">
        <v>1</v>
      </c>
      <c r="Z868" s="1377"/>
      <c r="AA868" s="1202"/>
      <c r="AB868" s="1202"/>
      <c r="AC868" s="1202"/>
      <c r="AD868" s="1202"/>
      <c r="AE868" s="1202"/>
      <c r="AF868" s="1202"/>
      <c r="AG868" s="1202"/>
      <c r="AK868" s="1166"/>
    </row>
    <row r="869" spans="2:37" outlineLevel="1" x14ac:dyDescent="0.25">
      <c r="B869" s="1580"/>
      <c r="C869" s="329"/>
      <c r="D869" s="2971" t="s">
        <v>200</v>
      </c>
      <c r="E869" s="1278" t="s">
        <v>1994</v>
      </c>
      <c r="F869" s="811">
        <v>1</v>
      </c>
      <c r="G869" s="1381" t="s">
        <v>767</v>
      </c>
      <c r="H869" s="1279"/>
      <c r="V869" s="2957" t="str">
        <f>D869</f>
        <v>%ElectricHeat</v>
      </c>
      <c r="W869" s="1202">
        <v>1</v>
      </c>
      <c r="X869" s="1219">
        <v>1</v>
      </c>
      <c r="Y869" s="1219">
        <v>1</v>
      </c>
      <c r="Z869" s="1202"/>
      <c r="AA869" s="1202"/>
      <c r="AB869" s="1202"/>
      <c r="AC869" s="1202"/>
      <c r="AD869" s="1202"/>
      <c r="AE869" s="1202"/>
      <c r="AF869" s="1202"/>
      <c r="AG869" s="1202"/>
      <c r="AK869" s="1166"/>
    </row>
    <row r="870" spans="2:37" outlineLevel="1" x14ac:dyDescent="0.25">
      <c r="B870" s="1580"/>
      <c r="C870" s="329"/>
      <c r="D870" s="2972"/>
      <c r="E870" s="1278" t="s">
        <v>1997</v>
      </c>
      <c r="F870" s="811">
        <v>1</v>
      </c>
      <c r="G870" s="1381" t="s">
        <v>767</v>
      </c>
      <c r="H870" s="1279"/>
      <c r="V870" s="2958"/>
      <c r="W870" s="1202">
        <v>1</v>
      </c>
      <c r="X870" s="1219">
        <v>1</v>
      </c>
      <c r="Y870" s="1219">
        <v>1</v>
      </c>
      <c r="Z870" s="1202"/>
      <c r="AA870" s="1202"/>
      <c r="AB870" s="1202"/>
      <c r="AC870" s="1202"/>
      <c r="AD870" s="1202"/>
      <c r="AE870" s="1202"/>
      <c r="AF870" s="1202"/>
      <c r="AG870" s="1202"/>
      <c r="AK870" s="1166"/>
    </row>
    <row r="871" spans="2:37" outlineLevel="1" x14ac:dyDescent="0.25">
      <c r="B871" s="1580"/>
      <c r="C871" s="329"/>
      <c r="D871" s="2972"/>
      <c r="E871" s="383" t="s">
        <v>1999</v>
      </c>
      <c r="F871" s="811">
        <v>1</v>
      </c>
      <c r="G871" s="1381" t="s">
        <v>767</v>
      </c>
      <c r="H871" s="1279"/>
      <c r="V871" s="2958"/>
      <c r="W871" s="1202">
        <v>1</v>
      </c>
      <c r="X871" s="1219">
        <v>1</v>
      </c>
      <c r="Y871" s="1219">
        <v>1</v>
      </c>
      <c r="Z871" s="1202"/>
      <c r="AA871" s="1202"/>
      <c r="AB871" s="1202"/>
      <c r="AC871" s="1202"/>
      <c r="AD871" s="1202"/>
      <c r="AE871" s="1202"/>
      <c r="AF871" s="1202"/>
      <c r="AG871" s="1202"/>
      <c r="AK871" s="1166"/>
    </row>
    <row r="872" spans="2:37" outlineLevel="1" x14ac:dyDescent="0.25">
      <c r="B872" s="1580"/>
      <c r="C872" s="329"/>
      <c r="D872" s="2972"/>
      <c r="E872" s="383" t="s">
        <v>2002</v>
      </c>
      <c r="F872" s="811">
        <v>1</v>
      </c>
      <c r="G872" s="1381" t="s">
        <v>767</v>
      </c>
      <c r="H872" s="1279"/>
      <c r="V872" s="2958"/>
      <c r="W872" s="1202">
        <v>1</v>
      </c>
      <c r="X872" s="1219">
        <v>1</v>
      </c>
      <c r="Y872" s="1219">
        <v>1</v>
      </c>
      <c r="Z872" s="1202"/>
      <c r="AA872" s="1202"/>
      <c r="AB872" s="1202"/>
      <c r="AC872" s="1202"/>
      <c r="AD872" s="1202"/>
      <c r="AE872" s="1202"/>
      <c r="AF872" s="1202"/>
      <c r="AG872" s="1202"/>
      <c r="AK872" s="1166"/>
    </row>
    <row r="873" spans="2:37" outlineLevel="1" x14ac:dyDescent="0.25">
      <c r="B873" s="1580"/>
      <c r="C873" s="329"/>
      <c r="D873" s="2972"/>
      <c r="E873" s="383" t="s">
        <v>2004</v>
      </c>
      <c r="F873" s="811">
        <v>0</v>
      </c>
      <c r="G873" s="1381" t="s">
        <v>767</v>
      </c>
      <c r="H873" s="1279"/>
      <c r="V873" s="2958"/>
      <c r="W873" s="1202">
        <v>0</v>
      </c>
      <c r="X873" s="1219">
        <v>0</v>
      </c>
      <c r="Y873" s="1219">
        <v>0</v>
      </c>
      <c r="Z873" s="1202"/>
      <c r="AA873" s="1202"/>
      <c r="AB873" s="1202"/>
      <c r="AC873" s="1202"/>
      <c r="AD873" s="1202"/>
      <c r="AE873" s="1202"/>
      <c r="AF873" s="1202"/>
      <c r="AG873" s="1202"/>
      <c r="AK873" s="1166"/>
    </row>
    <row r="874" spans="2:37" outlineLevel="1" x14ac:dyDescent="0.25">
      <c r="B874" s="1580"/>
      <c r="C874" s="329"/>
      <c r="D874" s="2972"/>
      <c r="E874" s="383" t="s">
        <v>2007</v>
      </c>
      <c r="F874" s="811">
        <v>0</v>
      </c>
      <c r="G874" s="1381" t="s">
        <v>767</v>
      </c>
      <c r="H874" s="1279"/>
      <c r="V874" s="2958"/>
      <c r="W874" s="1202">
        <v>0</v>
      </c>
      <c r="X874" s="1219">
        <v>0</v>
      </c>
      <c r="Y874" s="1219">
        <v>0</v>
      </c>
      <c r="Z874" s="1202"/>
      <c r="AA874" s="1202"/>
      <c r="AB874" s="1202"/>
      <c r="AC874" s="1202"/>
      <c r="AD874" s="1202"/>
      <c r="AE874" s="1202"/>
      <c r="AF874" s="1202"/>
      <c r="AG874" s="1202"/>
      <c r="AK874" s="1166"/>
    </row>
    <row r="875" spans="2:37" outlineLevel="1" x14ac:dyDescent="0.25">
      <c r="B875" s="1580"/>
      <c r="C875" s="329"/>
      <c r="D875" s="2972"/>
      <c r="E875" s="1278" t="s">
        <v>2009</v>
      </c>
      <c r="F875" s="811">
        <f t="shared" ref="F875:F876" si="180">0.35*0.71</f>
        <v>0.24849999999999997</v>
      </c>
      <c r="G875" s="1381" t="s">
        <v>767</v>
      </c>
      <c r="H875" s="1279"/>
      <c r="V875" s="2958"/>
      <c r="W875" s="1202">
        <f t="shared" ref="W875:X876" si="181">0.35*0.71</f>
        <v>0.24849999999999997</v>
      </c>
      <c r="X875" s="1219">
        <f t="shared" si="181"/>
        <v>0.24849999999999997</v>
      </c>
      <c r="Y875" s="1219">
        <v>0.24849999999999997</v>
      </c>
      <c r="Z875" s="1202"/>
      <c r="AA875" s="1202"/>
      <c r="AB875" s="1202"/>
      <c r="AC875" s="1202"/>
      <c r="AD875" s="1202"/>
      <c r="AE875" s="1202"/>
      <c r="AF875" s="1202"/>
      <c r="AG875" s="1202"/>
      <c r="AK875" s="1166"/>
    </row>
    <row r="876" spans="2:37" outlineLevel="1" x14ac:dyDescent="0.25">
      <c r="B876" s="1580"/>
      <c r="C876" s="329"/>
      <c r="D876" s="2974"/>
      <c r="E876" s="1278" t="s">
        <v>2012</v>
      </c>
      <c r="F876" s="811">
        <f t="shared" si="180"/>
        <v>0.24849999999999997</v>
      </c>
      <c r="G876" s="1381" t="s">
        <v>767</v>
      </c>
      <c r="H876" s="1279"/>
      <c r="V876" s="2965"/>
      <c r="W876" s="1202">
        <f t="shared" si="181"/>
        <v>0.24849999999999997</v>
      </c>
      <c r="X876" s="1219">
        <f t="shared" si="181"/>
        <v>0.24849999999999997</v>
      </c>
      <c r="Y876" s="1219">
        <v>0.24849999999999997</v>
      </c>
      <c r="Z876" s="1202"/>
      <c r="AA876" s="1202"/>
      <c r="AB876" s="1202"/>
      <c r="AC876" s="1202"/>
      <c r="AD876" s="1202"/>
      <c r="AE876" s="1202"/>
      <c r="AF876" s="1202"/>
      <c r="AG876" s="1202"/>
      <c r="AK876" s="1166"/>
    </row>
    <row r="877" spans="2:37" ht="15" customHeight="1" outlineLevel="1" x14ac:dyDescent="0.25">
      <c r="B877" s="1580"/>
      <c r="C877" s="329"/>
      <c r="D877" s="2971" t="s">
        <v>341</v>
      </c>
      <c r="E877" s="1278" t="s">
        <v>790</v>
      </c>
      <c r="F877" s="1236">
        <v>1496</v>
      </c>
      <c r="G877" s="1702" t="s">
        <v>1384</v>
      </c>
      <c r="H877" s="1279"/>
      <c r="V877" s="2957" t="str">
        <f>D877</f>
        <v>EFLHHeat</v>
      </c>
      <c r="W877" s="1188">
        <v>2009</v>
      </c>
      <c r="X877" s="1218">
        <v>2009</v>
      </c>
      <c r="Y877" s="1218">
        <v>1496</v>
      </c>
      <c r="Z877" s="1202"/>
      <c r="AA877" s="1188"/>
      <c r="AB877" s="1188"/>
      <c r="AC877" s="1188"/>
      <c r="AD877" s="1188"/>
      <c r="AE877" s="1188"/>
      <c r="AF877" s="1188"/>
      <c r="AG877" s="1188"/>
      <c r="AK877" s="1166"/>
    </row>
    <row r="878" spans="2:37" outlineLevel="1" x14ac:dyDescent="0.25">
      <c r="B878" s="1580"/>
      <c r="C878" s="329"/>
      <c r="D878" s="2972"/>
      <c r="E878" s="1278" t="s">
        <v>952</v>
      </c>
      <c r="F878" s="1236">
        <v>510</v>
      </c>
      <c r="G878" s="1666" t="s">
        <v>1384</v>
      </c>
      <c r="H878" s="1279"/>
      <c r="V878" s="2958"/>
      <c r="W878" s="1188"/>
      <c r="X878" s="1218"/>
      <c r="Y878" s="1230">
        <v>510</v>
      </c>
      <c r="Z878" s="1202"/>
      <c r="AA878" s="1188"/>
      <c r="AB878" s="1188"/>
      <c r="AC878" s="1188"/>
      <c r="AD878" s="1188"/>
      <c r="AE878" s="1188"/>
      <c r="AF878" s="1188"/>
      <c r="AG878" s="1188"/>
      <c r="AK878" s="1166"/>
    </row>
    <row r="879" spans="2:37" ht="30" outlineLevel="1" x14ac:dyDescent="0.25">
      <c r="B879" s="1580"/>
      <c r="C879" s="329"/>
      <c r="D879" s="2971" t="s">
        <v>2021</v>
      </c>
      <c r="E879" s="1278" t="s">
        <v>1994</v>
      </c>
      <c r="F879" s="1236">
        <v>20240</v>
      </c>
      <c r="G879" s="1381" t="s">
        <v>2020</v>
      </c>
      <c r="H879" s="1279"/>
      <c r="V879" s="2957" t="str">
        <f>D879</f>
        <v>CapacityHeating_electric</v>
      </c>
      <c r="W879" s="1218">
        <v>37856</v>
      </c>
      <c r="X879" s="1230">
        <v>21000</v>
      </c>
      <c r="Y879" s="1230">
        <v>20240</v>
      </c>
      <c r="Z879" s="1218"/>
      <c r="AA879" s="1218"/>
      <c r="AB879" s="1218"/>
      <c r="AC879" s="1218"/>
      <c r="AD879" s="1218"/>
      <c r="AE879" s="1218"/>
      <c r="AF879" s="1218"/>
      <c r="AG879" s="1218"/>
      <c r="AK879" s="1166"/>
    </row>
    <row r="880" spans="2:37" outlineLevel="1" x14ac:dyDescent="0.25">
      <c r="B880" s="1580"/>
      <c r="C880" s="329"/>
      <c r="D880" s="2972"/>
      <c r="E880" s="1278" t="s">
        <v>1997</v>
      </c>
      <c r="F880" s="1236">
        <v>58240</v>
      </c>
      <c r="G880" s="1381"/>
      <c r="H880" s="1279"/>
      <c r="V880" s="2958"/>
      <c r="W880" s="1218">
        <v>58240</v>
      </c>
      <c r="X880" s="1218">
        <v>58240</v>
      </c>
      <c r="Y880" s="1218">
        <v>58240</v>
      </c>
      <c r="Z880" s="1218"/>
      <c r="AA880" s="1218"/>
      <c r="AB880" s="1218"/>
      <c r="AC880" s="1218"/>
      <c r="AD880" s="1218"/>
      <c r="AE880" s="1218"/>
      <c r="AF880" s="1218"/>
      <c r="AG880" s="1218"/>
      <c r="AK880" s="1166"/>
    </row>
    <row r="881" spans="2:37" ht="30" outlineLevel="1" x14ac:dyDescent="0.25">
      <c r="B881" s="1580"/>
      <c r="C881" s="329"/>
      <c r="D881" s="2972"/>
      <c r="E881" s="383" t="s">
        <v>1999</v>
      </c>
      <c r="F881" s="1236">
        <v>20240</v>
      </c>
      <c r="G881" s="1381" t="s">
        <v>2020</v>
      </c>
      <c r="H881" s="1279"/>
      <c r="V881" s="2958"/>
      <c r="W881" s="1218">
        <v>31368.563200000001</v>
      </c>
      <c r="X881" s="1230">
        <v>21000</v>
      </c>
      <c r="Y881" s="1230">
        <v>20240</v>
      </c>
      <c r="Z881" s="1218"/>
      <c r="AA881" s="1218"/>
      <c r="AB881" s="1218"/>
      <c r="AC881" s="1218"/>
      <c r="AD881" s="1218"/>
      <c r="AE881" s="1218"/>
      <c r="AF881" s="1218"/>
      <c r="AG881" s="1218"/>
      <c r="AK881" s="1166"/>
    </row>
    <row r="882" spans="2:37" outlineLevel="1" x14ac:dyDescent="0.25">
      <c r="B882" s="1580"/>
      <c r="C882" s="329"/>
      <c r="D882" s="2972"/>
      <c r="E882" s="383" t="s">
        <v>2002</v>
      </c>
      <c r="F882" s="1236">
        <v>48259.328000000001</v>
      </c>
      <c r="G882" s="1381"/>
      <c r="H882" s="1279"/>
      <c r="V882" s="2958"/>
      <c r="W882" s="1218">
        <v>48259.328000000001</v>
      </c>
      <c r="X882" s="1218">
        <v>48259.328000000001</v>
      </c>
      <c r="Y882" s="1218">
        <v>48259.328000000001</v>
      </c>
      <c r="Z882" s="1218"/>
      <c r="AA882" s="1218"/>
      <c r="AB882" s="1218"/>
      <c r="AC882" s="1218"/>
      <c r="AD882" s="1218"/>
      <c r="AE882" s="1218"/>
      <c r="AF882" s="1218"/>
      <c r="AG882" s="1218"/>
      <c r="AK882" s="1166"/>
    </row>
    <row r="883" spans="2:37" outlineLevel="1" x14ac:dyDescent="0.25">
      <c r="B883" s="1580"/>
      <c r="C883" s="329"/>
      <c r="D883" s="2972"/>
      <c r="E883" s="383" t="s">
        <v>2004</v>
      </c>
      <c r="F883" s="1236">
        <v>0</v>
      </c>
      <c r="G883" s="1381"/>
      <c r="H883" s="1279"/>
      <c r="V883" s="2958"/>
      <c r="W883" s="1218">
        <v>0</v>
      </c>
      <c r="X883" s="1218">
        <v>0</v>
      </c>
      <c r="Y883" s="1218">
        <v>0</v>
      </c>
      <c r="Z883" s="1218"/>
      <c r="AA883" s="1218"/>
      <c r="AB883" s="1218"/>
      <c r="AC883" s="1218"/>
      <c r="AD883" s="1218"/>
      <c r="AE883" s="1218"/>
      <c r="AF883" s="1218"/>
      <c r="AG883" s="1218"/>
      <c r="AK883" s="1166"/>
    </row>
    <row r="884" spans="2:37" outlineLevel="1" x14ac:dyDescent="0.25">
      <c r="B884" s="1580"/>
      <c r="C884" s="329"/>
      <c r="D884" s="2972"/>
      <c r="E884" s="383" t="s">
        <v>2007</v>
      </c>
      <c r="F884" s="1236">
        <v>0</v>
      </c>
      <c r="G884" s="1381"/>
      <c r="H884" s="1279"/>
      <c r="V884" s="2958"/>
      <c r="W884" s="1218">
        <v>0</v>
      </c>
      <c r="X884" s="1218">
        <v>0</v>
      </c>
      <c r="Y884" s="1218">
        <v>0</v>
      </c>
      <c r="Z884" s="1218"/>
      <c r="AA884" s="1218"/>
      <c r="AB884" s="1218"/>
      <c r="AC884" s="1218"/>
      <c r="AD884" s="1218"/>
      <c r="AE884" s="1218"/>
      <c r="AF884" s="1218"/>
      <c r="AG884" s="1218"/>
      <c r="AK884" s="1166"/>
    </row>
    <row r="885" spans="2:37" ht="30" outlineLevel="1" x14ac:dyDescent="0.25">
      <c r="B885" s="1580"/>
      <c r="C885" s="329"/>
      <c r="D885" s="2972"/>
      <c r="E885" s="1278" t="s">
        <v>2009</v>
      </c>
      <c r="F885" s="1236">
        <v>20240</v>
      </c>
      <c r="G885" s="1381" t="s">
        <v>2020</v>
      </c>
      <c r="H885" s="1279"/>
      <c r="V885" s="2958"/>
      <c r="W885" s="1218">
        <v>27462.372945112107</v>
      </c>
      <c r="X885" s="1230">
        <v>21000</v>
      </c>
      <c r="Y885" s="1230">
        <v>20240</v>
      </c>
      <c r="Z885" s="1218"/>
      <c r="AA885" s="1218"/>
      <c r="AB885" s="1218"/>
      <c r="AC885" s="1218"/>
      <c r="AD885" s="1218"/>
      <c r="AE885" s="1218"/>
      <c r="AF885" s="1218"/>
      <c r="AG885" s="1218"/>
      <c r="AK885" s="1166"/>
    </row>
    <row r="886" spans="2:37" outlineLevel="1" x14ac:dyDescent="0.25">
      <c r="B886" s="1580"/>
      <c r="C886" s="329"/>
      <c r="D886" s="2974"/>
      <c r="E886" s="1278" t="s">
        <v>2012</v>
      </c>
      <c r="F886" s="1236">
        <v>42249.804530941699</v>
      </c>
      <c r="G886" s="1381"/>
      <c r="H886" s="1279"/>
      <c r="V886" s="2965"/>
      <c r="W886" s="1218">
        <v>42249.804530941699</v>
      </c>
      <c r="X886" s="1218">
        <v>42249.804530941699</v>
      </c>
      <c r="Y886" s="1218">
        <v>42249.804530941699</v>
      </c>
      <c r="Z886" s="1218"/>
      <c r="AA886" s="1218"/>
      <c r="AB886" s="1218"/>
      <c r="AC886" s="1218"/>
      <c r="AD886" s="1218"/>
      <c r="AE886" s="1218"/>
      <c r="AF886" s="1218"/>
      <c r="AG886" s="1218"/>
      <c r="AK886" s="1166"/>
    </row>
    <row r="887" spans="2:37" outlineLevel="1" x14ac:dyDescent="0.25">
      <c r="B887" s="1580"/>
      <c r="C887" s="329"/>
      <c r="D887" s="2971" t="s">
        <v>2022</v>
      </c>
      <c r="E887" s="1278" t="s">
        <v>1994</v>
      </c>
      <c r="F887" s="1378">
        <v>7</v>
      </c>
      <c r="G887" s="3090" t="s">
        <v>2023</v>
      </c>
      <c r="H887" s="1279"/>
      <c r="V887" s="2957" t="str">
        <f>D887</f>
        <v>HSPF</v>
      </c>
      <c r="W887" s="1379">
        <v>7</v>
      </c>
      <c r="X887" s="1379">
        <v>7</v>
      </c>
      <c r="Y887" s="1378">
        <v>7</v>
      </c>
      <c r="Z887" s="1379"/>
      <c r="AA887" s="1379"/>
      <c r="AB887" s="1379"/>
      <c r="AC887" s="1379"/>
      <c r="AD887" s="1379"/>
      <c r="AE887" s="1379"/>
      <c r="AF887" s="1379"/>
      <c r="AG887" s="1379"/>
      <c r="AK887" s="1166"/>
    </row>
    <row r="888" spans="2:37" outlineLevel="1" x14ac:dyDescent="0.25">
      <c r="B888" s="1580"/>
      <c r="C888" s="329"/>
      <c r="D888" s="2972"/>
      <c r="E888" s="1278" t="s">
        <v>1997</v>
      </c>
      <c r="F888" s="1378">
        <v>7</v>
      </c>
      <c r="G888" s="2676"/>
      <c r="H888" s="1279"/>
      <c r="V888" s="2958"/>
      <c r="W888" s="1379">
        <v>7</v>
      </c>
      <c r="X888" s="1379">
        <v>7</v>
      </c>
      <c r="Y888" s="1378">
        <v>7</v>
      </c>
      <c r="Z888" s="1379"/>
      <c r="AA888" s="1379"/>
      <c r="AB888" s="1379"/>
      <c r="AC888" s="1379"/>
      <c r="AD888" s="1379"/>
      <c r="AE888" s="1379"/>
      <c r="AF888" s="1379"/>
      <c r="AG888" s="1379"/>
      <c r="AK888" s="1166"/>
    </row>
    <row r="889" spans="2:37" outlineLevel="1" x14ac:dyDescent="0.25">
      <c r="B889" s="1580"/>
      <c r="C889" s="329"/>
      <c r="D889" s="2972"/>
      <c r="E889" s="383" t="s">
        <v>1999</v>
      </c>
      <c r="F889" s="418">
        <f>3.41*1+7*0</f>
        <v>3.41</v>
      </c>
      <c r="G889" s="2676"/>
      <c r="H889" s="1279"/>
      <c r="V889" s="2958"/>
      <c r="W889" s="1379">
        <v>3.4119999999999999</v>
      </c>
      <c r="X889" s="1380">
        <f>3.41*1+7*0</f>
        <v>3.41</v>
      </c>
      <c r="Y889" s="418">
        <v>3.41</v>
      </c>
      <c r="Z889" s="1379"/>
      <c r="AA889" s="1379"/>
      <c r="AB889" s="1379"/>
      <c r="AC889" s="1379"/>
      <c r="AD889" s="1379"/>
      <c r="AE889" s="1379"/>
      <c r="AF889" s="1379"/>
      <c r="AG889" s="1379"/>
      <c r="AK889" s="1166"/>
    </row>
    <row r="890" spans="2:37" outlineLevel="1" x14ac:dyDescent="0.25">
      <c r="B890" s="1580"/>
      <c r="C890" s="329"/>
      <c r="D890" s="2972"/>
      <c r="E890" s="383" t="s">
        <v>2002</v>
      </c>
      <c r="F890" s="418">
        <f>3.41*1+7*0</f>
        <v>3.41</v>
      </c>
      <c r="G890" s="2676"/>
      <c r="H890" s="1279"/>
      <c r="V890" s="2958"/>
      <c r="W890" s="1379">
        <v>3.4119999999999999</v>
      </c>
      <c r="X890" s="1380">
        <f>3.41*1+7*0</f>
        <v>3.41</v>
      </c>
      <c r="Y890" s="418">
        <v>3.41</v>
      </c>
      <c r="Z890" s="1379"/>
      <c r="AA890" s="1379"/>
      <c r="AB890" s="1379"/>
      <c r="AC890" s="1379"/>
      <c r="AD890" s="1379"/>
      <c r="AE890" s="1379"/>
      <c r="AF890" s="1379"/>
      <c r="AG890" s="1379"/>
      <c r="AK890" s="1166"/>
    </row>
    <row r="891" spans="2:37" outlineLevel="1" x14ac:dyDescent="0.25">
      <c r="B891" s="1580"/>
      <c r="C891" s="329"/>
      <c r="D891" s="2972"/>
      <c r="E891" s="383" t="s">
        <v>2004</v>
      </c>
      <c r="F891" s="1378">
        <v>0</v>
      </c>
      <c r="G891" s="2676"/>
      <c r="H891" s="1279"/>
      <c r="V891" s="2958"/>
      <c r="W891" s="1379">
        <v>0</v>
      </c>
      <c r="X891" s="1379">
        <v>0</v>
      </c>
      <c r="Y891" s="1378">
        <v>0</v>
      </c>
      <c r="Z891" s="1379"/>
      <c r="AA891" s="1379"/>
      <c r="AB891" s="1379"/>
      <c r="AC891" s="1379"/>
      <c r="AD891" s="1379"/>
      <c r="AE891" s="1379"/>
      <c r="AF891" s="1379"/>
      <c r="AG891" s="1379"/>
      <c r="AK891" s="1166"/>
    </row>
    <row r="892" spans="2:37" outlineLevel="1" x14ac:dyDescent="0.25">
      <c r="B892" s="1580"/>
      <c r="C892" s="329"/>
      <c r="D892" s="2972"/>
      <c r="E892" s="383" t="s">
        <v>2007</v>
      </c>
      <c r="F892" s="1378">
        <v>0</v>
      </c>
      <c r="G892" s="2676"/>
      <c r="H892" s="1279"/>
      <c r="V892" s="2958"/>
      <c r="W892" s="1379">
        <v>0</v>
      </c>
      <c r="X892" s="1379">
        <v>0</v>
      </c>
      <c r="Y892" s="1378">
        <v>0</v>
      </c>
      <c r="Z892" s="1379"/>
      <c r="AA892" s="1379"/>
      <c r="AB892" s="1379"/>
      <c r="AC892" s="1379"/>
      <c r="AD892" s="1379"/>
      <c r="AE892" s="1379"/>
      <c r="AF892" s="1379"/>
      <c r="AG892" s="1379"/>
      <c r="AK892" s="1166"/>
    </row>
    <row r="893" spans="2:37" outlineLevel="1" x14ac:dyDescent="0.25">
      <c r="B893" s="1580"/>
      <c r="C893" s="329"/>
      <c r="D893" s="2972"/>
      <c r="E893" s="1278" t="s">
        <v>2009</v>
      </c>
      <c r="F893" s="418">
        <f>3.41*1+7*0</f>
        <v>3.41</v>
      </c>
      <c r="G893" s="2676"/>
      <c r="H893" s="1279"/>
      <c r="V893" s="2958"/>
      <c r="W893" s="1379">
        <v>3.4119999999999999</v>
      </c>
      <c r="X893" s="1380">
        <f>3.41*1+7*0</f>
        <v>3.41</v>
      </c>
      <c r="Y893" s="418">
        <v>3.41</v>
      </c>
      <c r="Z893" s="1379"/>
      <c r="AA893" s="1379"/>
      <c r="AB893" s="1379"/>
      <c r="AC893" s="1379"/>
      <c r="AD893" s="1379"/>
      <c r="AE893" s="1379"/>
      <c r="AF893" s="1379"/>
      <c r="AG893" s="1379"/>
      <c r="AK893" s="1166"/>
    </row>
    <row r="894" spans="2:37" outlineLevel="1" x14ac:dyDescent="0.25">
      <c r="B894" s="1580"/>
      <c r="C894" s="329"/>
      <c r="D894" s="2974"/>
      <c r="E894" s="1278" t="s">
        <v>2012</v>
      </c>
      <c r="F894" s="418">
        <f>3.41*1+7*0</f>
        <v>3.41</v>
      </c>
      <c r="G894" s="2677"/>
      <c r="H894" s="1279"/>
      <c r="V894" s="2965"/>
      <c r="W894" s="1379">
        <v>3.4119999999999999</v>
      </c>
      <c r="X894" s="1380">
        <f>3.41*1+7*0</f>
        <v>3.41</v>
      </c>
      <c r="Y894" s="418">
        <v>3.41</v>
      </c>
      <c r="Z894" s="1379"/>
      <c r="AA894" s="1379"/>
      <c r="AB894" s="1379"/>
      <c r="AC894" s="1379"/>
      <c r="AD894" s="1379"/>
      <c r="AE894" s="1379"/>
      <c r="AF894" s="1379"/>
      <c r="AG894" s="1379"/>
      <c r="AK894" s="1166"/>
    </row>
    <row r="895" spans="2:37" ht="30" outlineLevel="1" x14ac:dyDescent="0.25">
      <c r="B895" s="1580"/>
      <c r="C895" s="329"/>
      <c r="D895" s="1696" t="s">
        <v>2024</v>
      </c>
      <c r="E895" s="1278" t="s">
        <v>637</v>
      </c>
      <c r="F895" s="1376">
        <v>1.8</v>
      </c>
      <c r="G895" s="1498" t="s">
        <v>2013</v>
      </c>
      <c r="H895" s="1279"/>
      <c r="V895" s="1204" t="str">
        <f>D895</f>
        <v>Sbdegrees_heating</v>
      </c>
      <c r="W895" s="1220">
        <v>8</v>
      </c>
      <c r="X895" s="1220">
        <v>8</v>
      </c>
      <c r="Y895" s="1221">
        <v>1.8</v>
      </c>
      <c r="Z895" s="1220"/>
      <c r="AA895" s="1220"/>
      <c r="AB895" s="1220"/>
      <c r="AC895" s="1220"/>
      <c r="AD895" s="1220"/>
      <c r="AE895" s="1220"/>
      <c r="AF895" s="1220"/>
      <c r="AG895" s="1220"/>
      <c r="AK895" s="1166"/>
    </row>
    <row r="896" spans="2:37" ht="18" outlineLevel="1" x14ac:dyDescent="0.25">
      <c r="B896" s="1580"/>
      <c r="C896" s="329"/>
      <c r="D896" s="1696" t="s">
        <v>2025</v>
      </c>
      <c r="E896" s="1278" t="s">
        <v>637</v>
      </c>
      <c r="F896" s="811">
        <v>0.03</v>
      </c>
      <c r="G896" s="1381" t="s">
        <v>2026</v>
      </c>
      <c r="H896" s="1279"/>
      <c r="V896" s="1204" t="str">
        <f>D896</f>
        <v>SF_heating</v>
      </c>
      <c r="W896" s="1202">
        <v>0.03</v>
      </c>
      <c r="X896" s="1219">
        <v>0.03</v>
      </c>
      <c r="Y896" s="811">
        <v>0.03</v>
      </c>
      <c r="Z896" s="1219"/>
      <c r="AA896" s="1219"/>
      <c r="AB896" s="1219"/>
      <c r="AC896" s="1219"/>
      <c r="AD896" s="1219"/>
      <c r="AE896" s="1219"/>
      <c r="AF896" s="1219"/>
      <c r="AG896" s="1219"/>
      <c r="AK896" s="1166"/>
    </row>
    <row r="897" spans="2:57" ht="18" outlineLevel="1" x14ac:dyDescent="0.25">
      <c r="B897" s="1580"/>
      <c r="C897" s="329"/>
      <c r="D897" s="1696" t="s">
        <v>2027</v>
      </c>
      <c r="E897" s="1278" t="s">
        <v>637</v>
      </c>
      <c r="F897" s="811">
        <v>0.13</v>
      </c>
      <c r="G897" s="1381" t="s">
        <v>767</v>
      </c>
      <c r="H897" s="1278"/>
      <c r="V897" s="1204" t="str">
        <f>D897</f>
        <v>EF_heating</v>
      </c>
      <c r="W897" s="1219">
        <v>0.13</v>
      </c>
      <c r="X897" s="1219">
        <v>0.13</v>
      </c>
      <c r="Y897" s="1219">
        <v>0.13</v>
      </c>
      <c r="Z897" s="1219"/>
      <c r="AA897" s="1219"/>
      <c r="AB897" s="1219"/>
      <c r="AC897" s="1219"/>
      <c r="AD897" s="1219"/>
      <c r="AE897" s="1219"/>
      <c r="AF897" s="1219"/>
      <c r="AG897" s="1219"/>
      <c r="AK897" s="1166"/>
    </row>
    <row r="898" spans="2:57" outlineLevel="1" x14ac:dyDescent="0.25">
      <c r="B898" s="1580"/>
      <c r="C898" s="443"/>
      <c r="D898" s="1681" t="str">
        <f>D813</f>
        <v>EUL</v>
      </c>
      <c r="E898" s="1681" t="str">
        <f>E813</f>
        <v>Effective Useful Life (All)</v>
      </c>
      <c r="F898" s="1098">
        <v>10</v>
      </c>
      <c r="G898" s="1679"/>
      <c r="H898" s="1279"/>
      <c r="V898" s="1204" t="str">
        <f>D898</f>
        <v>EUL</v>
      </c>
      <c r="W898" s="1262">
        <v>10</v>
      </c>
      <c r="X898" s="1262">
        <v>10</v>
      </c>
      <c r="Y898" s="1262">
        <v>10</v>
      </c>
      <c r="Z898" s="1354"/>
      <c r="AA898" s="1354"/>
      <c r="AB898" s="1354"/>
      <c r="AC898" s="1354"/>
      <c r="AD898" s="1354"/>
      <c r="AE898" s="1354"/>
      <c r="AF898" s="1354"/>
      <c r="AG898" s="1354"/>
      <c r="AK898" s="1166"/>
    </row>
    <row r="899" spans="2:57" outlineLevel="1" x14ac:dyDescent="0.25">
      <c r="B899" s="1580"/>
      <c r="C899" s="443"/>
      <c r="D899" s="3071" t="str">
        <f>D814</f>
        <v>Inc. Cost</v>
      </c>
      <c r="E899" s="1681" t="str">
        <f>E814</f>
        <v>Incremental Cost - Non-DI</v>
      </c>
      <c r="F899" s="2223">
        <v>70</v>
      </c>
      <c r="G899" s="1679"/>
      <c r="H899" s="1279"/>
      <c r="V899" s="3088" t="str">
        <f>D899</f>
        <v>Inc. Cost</v>
      </c>
      <c r="W899" s="1355">
        <v>70</v>
      </c>
      <c r="X899" s="1373">
        <v>70</v>
      </c>
      <c r="Y899" s="1373">
        <v>70</v>
      </c>
      <c r="Z899" s="1356"/>
      <c r="AA899" s="1356"/>
      <c r="AB899" s="1356"/>
      <c r="AC899" s="1356"/>
      <c r="AD899" s="1356"/>
      <c r="AE899" s="1356"/>
      <c r="AF899" s="1356"/>
      <c r="AG899" s="1356"/>
      <c r="AK899" s="1166"/>
    </row>
    <row r="900" spans="2:57" outlineLevel="1" x14ac:dyDescent="0.25">
      <c r="B900" s="1580"/>
      <c r="C900" s="443"/>
      <c r="D900" s="2699"/>
      <c r="E900" s="1681" t="str">
        <f>E815</f>
        <v>Incremental Cost - Direct Install (DI)</v>
      </c>
      <c r="F900" s="2223">
        <v>70</v>
      </c>
      <c r="G900" s="1679"/>
      <c r="H900" s="1279"/>
      <c r="V900" s="3070"/>
      <c r="W900" s="1355">
        <v>70</v>
      </c>
      <c r="X900" s="1373">
        <v>70</v>
      </c>
      <c r="Y900" s="1373">
        <v>70</v>
      </c>
      <c r="Z900" s="1356"/>
      <c r="AA900" s="1356"/>
      <c r="AB900" s="1356"/>
      <c r="AC900" s="1356"/>
      <c r="AD900" s="1356"/>
      <c r="AE900" s="1356"/>
      <c r="AF900" s="1356"/>
      <c r="AG900" s="1356"/>
      <c r="AK900" s="1166"/>
    </row>
    <row r="901" spans="2:57" x14ac:dyDescent="0.25">
      <c r="B901" s="1580"/>
      <c r="C901" s="329"/>
      <c r="D901" s="2226"/>
      <c r="E901" s="711"/>
      <c r="F901" s="2227"/>
      <c r="G901" s="2228"/>
      <c r="H901" s="1339"/>
      <c r="V901" s="328" t="str">
        <f>IF(C896&gt;0,C896," ")</f>
        <v xml:space="preserve"> </v>
      </c>
      <c r="AK901" s="1166"/>
    </row>
    <row r="902" spans="2:57" x14ac:dyDescent="0.25">
      <c r="V902" s="328" t="str">
        <f>IF(C897&gt;0,C897," ")</f>
        <v xml:space="preserve"> </v>
      </c>
      <c r="AK902" s="1166"/>
    </row>
    <row r="903" spans="2:57" x14ac:dyDescent="0.25">
      <c r="B903" s="2639" t="s">
        <v>2028</v>
      </c>
      <c r="C903" s="2640"/>
      <c r="D903" s="2640"/>
      <c r="E903" s="2640"/>
      <c r="F903" s="2640"/>
      <c r="G903" s="2640"/>
      <c r="H903" s="2640"/>
      <c r="I903" s="2641"/>
      <c r="J903" s="2641"/>
      <c r="K903" s="2641"/>
      <c r="L903" s="2641"/>
      <c r="M903" s="2641"/>
      <c r="N903" s="2641"/>
      <c r="O903" s="2641"/>
      <c r="P903" s="2641"/>
      <c r="Q903" s="2641"/>
      <c r="R903" s="2642"/>
      <c r="V903" s="2639" t="str">
        <f>B903</f>
        <v>Thermostatic Restrictor Shower Valve</v>
      </c>
      <c r="W903" s="2640"/>
      <c r="X903" s="2640"/>
      <c r="Y903" s="2640"/>
      <c r="Z903" s="2640"/>
      <c r="AA903" s="2640"/>
      <c r="AB903" s="2640"/>
      <c r="AC903" s="2615"/>
      <c r="AD903" s="2615"/>
      <c r="AE903" s="2615"/>
      <c r="AF903" s="2615"/>
      <c r="AG903" s="2615"/>
      <c r="AH903" s="2615"/>
      <c r="AI903" s="2616"/>
      <c r="AK903" s="1166"/>
    </row>
    <row r="904" spans="2:57" x14ac:dyDescent="0.25">
      <c r="D904" s="573"/>
      <c r="E904" s="573"/>
      <c r="F904" s="330"/>
      <c r="G904" s="330"/>
      <c r="H904" s="330"/>
      <c r="I904" s="330"/>
      <c r="J904" s="330"/>
      <c r="K904" s="330"/>
      <c r="L904" s="1902"/>
      <c r="AK904" s="1166"/>
    </row>
    <row r="905" spans="2:57" ht="49.5" customHeight="1" x14ac:dyDescent="0.25">
      <c r="B905" s="1580"/>
      <c r="C905" s="1641" t="s">
        <v>17</v>
      </c>
      <c r="D905" s="1641" t="s">
        <v>662</v>
      </c>
      <c r="E905" s="1641" t="s">
        <v>19</v>
      </c>
      <c r="F905" s="1641" t="s">
        <v>1778</v>
      </c>
      <c r="G905" s="1641" t="s">
        <v>21</v>
      </c>
      <c r="H905" s="1641" t="s">
        <v>22</v>
      </c>
      <c r="I905" s="1641" t="s">
        <v>1007</v>
      </c>
      <c r="J905" s="1641" t="s">
        <v>23</v>
      </c>
      <c r="K905" s="1641" t="s">
        <v>24</v>
      </c>
      <c r="L905" s="1641" t="s">
        <v>25</v>
      </c>
      <c r="M905" s="1641" t="s">
        <v>26</v>
      </c>
      <c r="V905" s="55" t="s">
        <v>27</v>
      </c>
      <c r="W905" s="56">
        <f>W$6</f>
        <v>43252</v>
      </c>
      <c r="X905" s="56">
        <f t="shared" ref="X905:AG905" si="182">X$6</f>
        <v>43465</v>
      </c>
      <c r="Y905" s="500">
        <f t="shared" si="182"/>
        <v>43800</v>
      </c>
      <c r="Z905" s="56">
        <f t="shared" si="182"/>
        <v>43862</v>
      </c>
      <c r="AA905" s="56" t="str">
        <f t="shared" si="182"/>
        <v>-</v>
      </c>
      <c r="AB905" s="56" t="str">
        <f t="shared" si="182"/>
        <v>-</v>
      </c>
      <c r="AC905" s="56" t="str">
        <f t="shared" si="182"/>
        <v>-</v>
      </c>
      <c r="AD905" s="56" t="str">
        <f t="shared" si="182"/>
        <v>-</v>
      </c>
      <c r="AE905" s="56" t="str">
        <f t="shared" si="182"/>
        <v>-</v>
      </c>
      <c r="AF905" s="56" t="str">
        <f t="shared" si="182"/>
        <v>-</v>
      </c>
      <c r="AG905" s="56" t="str">
        <f t="shared" si="182"/>
        <v>-</v>
      </c>
      <c r="AK905" s="1166"/>
      <c r="BB905" s="57" t="str">
        <f>$BB$6</f>
        <v>TRC (2020)</v>
      </c>
      <c r="BC905" s="103" t="str">
        <f>$BC$6</f>
        <v>Benefit Lookup</v>
      </c>
      <c r="BD905" s="883" t="str">
        <f>$BD$6</f>
        <v>Benefits (2019 $)</v>
      </c>
      <c r="BE905" s="334" t="str">
        <f>$BE$6</f>
        <v>Incremental Cost (2019 $)</v>
      </c>
    </row>
    <row r="906" spans="2:57" x14ac:dyDescent="0.25">
      <c r="B906" s="1580"/>
      <c r="C906" s="1927" t="s">
        <v>2029</v>
      </c>
      <c r="D906" s="2479" t="s">
        <v>1927</v>
      </c>
      <c r="E906" s="1670" t="s">
        <v>2030</v>
      </c>
      <c r="F906" s="712">
        <f>ROUND(G916*(G917*G918)*G919*G921*G922/G923*I906*G932*G931,2)</f>
        <v>41.68</v>
      </c>
      <c r="G906" s="1927" t="s">
        <v>1922</v>
      </c>
      <c r="H906" s="239">
        <f>VLOOKUP(G906,'CP FACTORS'!$A$3:$B$38, 2, FALSE)</f>
        <v>8.8731800000000003E-5</v>
      </c>
      <c r="I906" s="707">
        <f>G925*G926*(G927-G928)/(G929*G930)</f>
        <v>0.10886576787807739</v>
      </c>
      <c r="J906" s="2186">
        <f>ROUND(F906*H906,6)</f>
        <v>3.6979999999999999E-3</v>
      </c>
      <c r="K906" s="157">
        <f>$G$933</f>
        <v>10</v>
      </c>
      <c r="L906" s="1382">
        <f>$G$935</f>
        <v>50</v>
      </c>
      <c r="M906" s="1927" t="s">
        <v>37</v>
      </c>
      <c r="V906" s="245" t="str">
        <f>$F$905</f>
        <v>kWh
Annual Savings</v>
      </c>
      <c r="W906" s="1383">
        <v>41.682564640276333</v>
      </c>
      <c r="X906" s="579">
        <v>41.682564640276333</v>
      </c>
      <c r="Y906" s="1165">
        <v>41.68</v>
      </c>
      <c r="Z906" s="245"/>
      <c r="AA906" s="245"/>
      <c r="AB906" s="245"/>
      <c r="AC906" s="245"/>
      <c r="AD906" s="245"/>
      <c r="AE906" s="245"/>
      <c r="AF906" s="245"/>
      <c r="AG906" s="245"/>
      <c r="AK906" s="1166"/>
      <c r="BB906" s="68">
        <f t="shared" ref="BB906:BB907" si="183">(BD906)/(BE906)</f>
        <v>0.29788668889907871</v>
      </c>
      <c r="BC906" s="69" t="str">
        <f>CONCATENATE(G906," ",K906," Year EUL")</f>
        <v>Water heating RES 10 Year EUL</v>
      </c>
      <c r="BD906" s="162">
        <f>(INDEX('Avoided Cost Benefits'!$C$4:$C$857,MATCH(BC906,'Avoided Cost Benefits'!$A$4:$A$857,0)))*F906</f>
        <v>14.057889990518106</v>
      </c>
      <c r="BE906" s="70">
        <f>L906/(1.0595^(2020-2019))</f>
        <v>47.192071731949028</v>
      </c>
    </row>
    <row r="907" spans="2:57" x14ac:dyDescent="0.25">
      <c r="B907" s="1580"/>
      <c r="C907" s="1927" t="s">
        <v>2031</v>
      </c>
      <c r="D907" s="2479" t="s">
        <v>1924</v>
      </c>
      <c r="E907" s="1670" t="s">
        <v>2032</v>
      </c>
      <c r="F907" s="712">
        <f>ROUND(G916*(G917*G918)*G920*G921*G922/G924*I906*G932*G931,2)</f>
        <v>47.32</v>
      </c>
      <c r="G907" s="1927" t="s">
        <v>1922</v>
      </c>
      <c r="H907" s="239">
        <f>VLOOKUP(G907,'CP FACTORS'!$A$3:$B$38, 2, FALSE)</f>
        <v>8.8731800000000003E-5</v>
      </c>
      <c r="I907" s="707">
        <f>G926*G927*(G928-G929)/(G930*G931)</f>
        <v>1.8562719812426731</v>
      </c>
      <c r="J907" s="2186">
        <f>ROUND(F907*H907,6)</f>
        <v>4.1989999999999996E-3</v>
      </c>
      <c r="K907" s="157">
        <f>$G$933</f>
        <v>10</v>
      </c>
      <c r="L907" s="1382">
        <f>$G$935</f>
        <v>50</v>
      </c>
      <c r="M907" s="1927" t="s">
        <v>37</v>
      </c>
      <c r="V907" s="245" t="str">
        <f>$F$905</f>
        <v>kWh
Annual Savings</v>
      </c>
      <c r="W907" s="1383">
        <v>47.3194122661885</v>
      </c>
      <c r="X907" s="579">
        <v>47.3194122661885</v>
      </c>
      <c r="Y907" s="1165">
        <v>47.32</v>
      </c>
      <c r="Z907" s="245"/>
      <c r="AA907" s="245"/>
      <c r="AB907" s="245"/>
      <c r="AC907" s="245"/>
      <c r="AD907" s="245"/>
      <c r="AE907" s="245"/>
      <c r="AF907" s="245"/>
      <c r="AG907" s="245"/>
      <c r="AK907" s="1166"/>
      <c r="BB907" s="75">
        <f t="shared" si="183"/>
        <v>0.33819573221459703</v>
      </c>
      <c r="BC907" s="73" t="str">
        <f>CONCATENATE(G907," ",K907," Year EUL")</f>
        <v>Water heating RES 10 Year EUL</v>
      </c>
      <c r="BD907" s="170">
        <f>(INDEX('Avoided Cost Benefits'!$C$4:$C$857,MATCH(BC907,'Avoided Cost Benefits'!$A$4:$A$857,0)))*F907</f>
        <v>15.960157254110287</v>
      </c>
      <c r="BE907" s="76">
        <f>L907/(1.0595^(2020-2019))</f>
        <v>47.192071731949028</v>
      </c>
    </row>
    <row r="908" spans="2:57" outlineLevel="1" x14ac:dyDescent="0.25">
      <c r="B908" s="1580"/>
      <c r="C908" s="329"/>
      <c r="D908" s="1552"/>
      <c r="E908" s="1552"/>
      <c r="F908" s="2209"/>
      <c r="G908" s="1983"/>
      <c r="H908" s="2229"/>
      <c r="I908" s="1325"/>
      <c r="J908" s="1384"/>
      <c r="K908" s="1384"/>
      <c r="L908" s="1325"/>
      <c r="M908" s="1325"/>
      <c r="AK908" s="1166"/>
    </row>
    <row r="909" spans="2:57" outlineLevel="1" x14ac:dyDescent="0.25">
      <c r="B909" s="1580"/>
      <c r="C909" s="329"/>
      <c r="D909" s="259" t="s">
        <v>617</v>
      </c>
      <c r="E909" s="1552"/>
      <c r="F909" s="1325"/>
      <c r="G909" s="1325"/>
      <c r="H909" s="2191"/>
      <c r="I909" s="1384"/>
      <c r="J909" s="1325"/>
      <c r="K909" s="1325"/>
      <c r="L909" s="1325"/>
      <c r="M909" s="1325"/>
      <c r="AK909" s="1166"/>
    </row>
    <row r="910" spans="2:57" outlineLevel="1" x14ac:dyDescent="0.25">
      <c r="B910" s="1580"/>
      <c r="C910" s="359"/>
      <c r="D910" s="2192"/>
      <c r="E910" s="2193"/>
      <c r="F910" s="2210"/>
      <c r="G910" s="2190"/>
      <c r="H910" s="2190"/>
      <c r="I910" s="1325"/>
      <c r="J910" s="1325"/>
      <c r="K910" s="1325"/>
      <c r="L910" s="1325"/>
      <c r="AK910" s="1166"/>
    </row>
    <row r="911" spans="2:57" outlineLevel="1" x14ac:dyDescent="0.25">
      <c r="B911" s="1580"/>
      <c r="C911" s="375"/>
      <c r="D911" s="2195"/>
      <c r="E911" s="2196"/>
      <c r="F911" s="2211"/>
      <c r="G911" s="2190"/>
      <c r="H911" s="2190"/>
      <c r="I911" s="1325"/>
      <c r="J911" s="1325"/>
      <c r="K911" s="1325"/>
      <c r="L911" s="1325"/>
      <c r="AK911" s="1166"/>
    </row>
    <row r="912" spans="2:57" outlineLevel="1" x14ac:dyDescent="0.25">
      <c r="B912" s="1580"/>
      <c r="C912" s="375"/>
      <c r="D912" s="2195"/>
      <c r="E912" s="2196"/>
      <c r="F912" s="2211"/>
      <c r="G912" s="2190"/>
      <c r="H912" s="2190"/>
      <c r="I912" s="1325"/>
      <c r="J912" s="1325"/>
      <c r="K912" s="1325"/>
      <c r="L912" s="1325"/>
      <c r="AK912" s="1166"/>
    </row>
    <row r="913" spans="2:37" ht="15" customHeight="1" outlineLevel="1" x14ac:dyDescent="0.25">
      <c r="B913" s="1580"/>
      <c r="C913" s="375"/>
      <c r="D913" s="2195"/>
      <c r="E913" s="2196"/>
      <c r="F913" s="2211"/>
      <c r="G913" s="2190"/>
      <c r="H913" s="2190"/>
      <c r="I913" s="1325"/>
      <c r="J913" s="1325"/>
      <c r="K913" s="1325"/>
      <c r="L913" s="1325"/>
      <c r="AK913" s="1166"/>
    </row>
    <row r="914" spans="2:37" ht="15" customHeight="1" outlineLevel="1" x14ac:dyDescent="0.25">
      <c r="L914" s="1325"/>
      <c r="AK914" s="1166"/>
    </row>
    <row r="915" spans="2:37" ht="15" customHeight="1" outlineLevel="1" x14ac:dyDescent="0.25">
      <c r="D915" s="1701" t="s">
        <v>618</v>
      </c>
      <c r="E915" s="1701" t="s">
        <v>619</v>
      </c>
      <c r="F915" s="1645" t="s">
        <v>669</v>
      </c>
      <c r="G915" s="1645" t="s">
        <v>620</v>
      </c>
      <c r="H915" s="2669" t="s">
        <v>670</v>
      </c>
      <c r="I915" s="2669"/>
      <c r="J915" s="3089" t="s">
        <v>621</v>
      </c>
      <c r="K915" s="3089"/>
      <c r="L915" s="3089"/>
      <c r="M915" s="1197"/>
      <c r="N915" s="1197"/>
      <c r="O915" s="1197"/>
      <c r="P915" s="1197"/>
      <c r="Q915" s="1197"/>
      <c r="V915" s="55" t="s">
        <v>27</v>
      </c>
      <c r="W915" s="56">
        <f>W$6</f>
        <v>43252</v>
      </c>
      <c r="X915" s="56">
        <f t="shared" ref="X915:AG915" si="184">X$6</f>
        <v>43465</v>
      </c>
      <c r="Y915" s="500">
        <f t="shared" si="184"/>
        <v>43800</v>
      </c>
      <c r="Z915" s="56">
        <f t="shared" si="184"/>
        <v>43862</v>
      </c>
      <c r="AA915" s="56" t="str">
        <f t="shared" si="184"/>
        <v>-</v>
      </c>
      <c r="AB915" s="56" t="str">
        <f t="shared" si="184"/>
        <v>-</v>
      </c>
      <c r="AC915" s="56" t="str">
        <f t="shared" si="184"/>
        <v>-</v>
      </c>
      <c r="AD915" s="56" t="str">
        <f t="shared" si="184"/>
        <v>-</v>
      </c>
      <c r="AE915" s="56" t="str">
        <f t="shared" si="184"/>
        <v>-</v>
      </c>
      <c r="AF915" s="56" t="str">
        <f t="shared" si="184"/>
        <v>-</v>
      </c>
      <c r="AG915" s="56" t="str">
        <f t="shared" si="184"/>
        <v>-</v>
      </c>
      <c r="AK915" s="1166"/>
    </row>
    <row r="916" spans="2:37" ht="30" customHeight="1" outlineLevel="1" x14ac:dyDescent="0.25">
      <c r="D916" s="1642" t="s">
        <v>1011</v>
      </c>
      <c r="E916" s="1642" t="s">
        <v>1012</v>
      </c>
      <c r="F916" s="1392"/>
      <c r="G916" s="1392">
        <v>1</v>
      </c>
      <c r="H916" s="3004" t="s">
        <v>1003</v>
      </c>
      <c r="I916" s="3004"/>
      <c r="J916" s="2995" t="s">
        <v>2033</v>
      </c>
      <c r="K916" s="2995"/>
      <c r="L916" s="2995"/>
      <c r="M916" s="1197"/>
      <c r="N916" s="1197"/>
      <c r="O916" s="1197"/>
      <c r="P916" s="1197"/>
      <c r="Q916" s="1197"/>
      <c r="V916" s="1258" t="str">
        <f>D916</f>
        <v>%Electric DHW</v>
      </c>
      <c r="W916" s="1386">
        <v>1</v>
      </c>
      <c r="X916" s="1386">
        <v>1</v>
      </c>
      <c r="Y916" s="1386">
        <v>1</v>
      </c>
      <c r="Z916" s="1259"/>
      <c r="AA916" s="1259"/>
      <c r="AB916" s="1259"/>
      <c r="AC916" s="1259"/>
      <c r="AD916" s="1259"/>
      <c r="AE916" s="1259"/>
      <c r="AF916" s="1259"/>
      <c r="AG916" s="1259"/>
      <c r="AK916" s="1166"/>
    </row>
    <row r="917" spans="2:37" ht="101.25" customHeight="1" outlineLevel="1" x14ac:dyDescent="0.25">
      <c r="D917" s="1642" t="s">
        <v>3386</v>
      </c>
      <c r="E917" s="1642" t="s">
        <v>1059</v>
      </c>
      <c r="F917" s="1700"/>
      <c r="G917" s="1700">
        <v>1.5</v>
      </c>
      <c r="H917" s="2699" t="s">
        <v>1060</v>
      </c>
      <c r="I917" s="2699"/>
      <c r="J917" s="2995" t="s">
        <v>2034</v>
      </c>
      <c r="K917" s="2995"/>
      <c r="L917" s="2995"/>
      <c r="M917" s="1197"/>
      <c r="N917" s="1197"/>
      <c r="O917" s="1197"/>
      <c r="P917" s="1197"/>
      <c r="Q917" s="1197"/>
      <c r="V917" s="1258" t="str">
        <f>D917</f>
        <v>GPMbase</v>
      </c>
      <c r="W917" s="1387">
        <v>1.5</v>
      </c>
      <c r="X917" s="1387">
        <v>1.5</v>
      </c>
      <c r="Y917" s="1387">
        <v>1.5</v>
      </c>
      <c r="Z917" s="1327"/>
      <c r="AA917" s="1327"/>
      <c r="AB917" s="1327"/>
      <c r="AC917" s="1327"/>
      <c r="AD917" s="1327"/>
      <c r="AE917" s="1327"/>
      <c r="AF917" s="1327"/>
      <c r="AG917" s="1327"/>
      <c r="AK917" s="1166"/>
    </row>
    <row r="918" spans="2:37" ht="102.75" customHeight="1" outlineLevel="1" x14ac:dyDescent="0.25">
      <c r="D918" s="1642" t="s">
        <v>3387</v>
      </c>
      <c r="E918" s="2164" t="s">
        <v>1961</v>
      </c>
      <c r="F918" s="2230"/>
      <c r="G918" s="2230">
        <v>0.89</v>
      </c>
      <c r="H918" s="3091" t="s">
        <v>2035</v>
      </c>
      <c r="I918" s="3091"/>
      <c r="J918" s="2995" t="s">
        <v>2036</v>
      </c>
      <c r="K918" s="2995"/>
      <c r="L918" s="2995"/>
      <c r="M918" s="1197"/>
      <c r="N918" s="1197"/>
      <c r="O918" s="1197"/>
      <c r="P918" s="1197"/>
      <c r="Q918" s="1197"/>
      <c r="V918" s="1258" t="str">
        <f>D918</f>
        <v>Lbase</v>
      </c>
      <c r="W918" s="1388">
        <v>0.89</v>
      </c>
      <c r="X918" s="1388">
        <v>0.89</v>
      </c>
      <c r="Y918" s="1388">
        <v>0.89</v>
      </c>
      <c r="Z918" s="1261"/>
      <c r="AA918" s="1261"/>
      <c r="AB918" s="1261"/>
      <c r="AC918" s="1261"/>
      <c r="AD918" s="1261"/>
      <c r="AE918" s="1261"/>
      <c r="AF918" s="1261"/>
      <c r="AG918" s="1261"/>
      <c r="AK918" s="1166"/>
    </row>
    <row r="919" spans="2:37" outlineLevel="1" x14ac:dyDescent="0.25">
      <c r="D919" s="3063" t="s">
        <v>683</v>
      </c>
      <c r="E919" s="2997" t="s">
        <v>1066</v>
      </c>
      <c r="F919" s="2230" t="s">
        <v>795</v>
      </c>
      <c r="G919" s="2230">
        <v>2.67</v>
      </c>
      <c r="H919" s="3092" t="s">
        <v>1289</v>
      </c>
      <c r="I919" s="3093"/>
      <c r="J919" s="2720"/>
      <c r="K919" s="3035"/>
      <c r="L919" s="2721"/>
      <c r="M919" s="1197"/>
      <c r="N919" s="1197"/>
      <c r="O919" s="1197"/>
      <c r="P919" s="1197"/>
      <c r="Q919" s="1197"/>
      <c r="V919" s="3069" t="str">
        <f>D919</f>
        <v>Household</v>
      </c>
      <c r="W919" s="1388">
        <v>2.67</v>
      </c>
      <c r="X919" s="1388">
        <v>2.67</v>
      </c>
      <c r="Y919" s="1388">
        <v>2.67</v>
      </c>
      <c r="Z919" s="1261"/>
      <c r="AA919" s="1261"/>
      <c r="AB919" s="1261"/>
      <c r="AC919" s="1261"/>
      <c r="AD919" s="1261"/>
      <c r="AE919" s="1261"/>
      <c r="AF919" s="1261"/>
      <c r="AG919" s="1261"/>
      <c r="AK919" s="1166"/>
    </row>
    <row r="920" spans="2:37" outlineLevel="1" x14ac:dyDescent="0.25">
      <c r="D920" s="2964"/>
      <c r="E920" s="2998"/>
      <c r="F920" s="2230" t="s">
        <v>797</v>
      </c>
      <c r="G920" s="2230">
        <v>2.0699999999999998</v>
      </c>
      <c r="H920" s="3092" t="s">
        <v>1289</v>
      </c>
      <c r="I920" s="3093"/>
      <c r="J920" s="2720"/>
      <c r="K920" s="3035"/>
      <c r="L920" s="2721"/>
      <c r="M920" s="1197"/>
      <c r="N920" s="1197"/>
      <c r="O920" s="1197"/>
      <c r="P920" s="1197"/>
      <c r="Q920" s="1197"/>
      <c r="V920" s="3070"/>
      <c r="W920" s="1388">
        <v>2.0699999999999998</v>
      </c>
      <c r="X920" s="1388">
        <v>2.0699999999999998</v>
      </c>
      <c r="Y920" s="1388">
        <v>2.0699999999999998</v>
      </c>
      <c r="Z920" s="1261"/>
      <c r="AA920" s="1261"/>
      <c r="AB920" s="1261"/>
      <c r="AC920" s="1261"/>
      <c r="AD920" s="1261"/>
      <c r="AE920" s="1261"/>
      <c r="AF920" s="1261"/>
      <c r="AG920" s="1261"/>
      <c r="AK920" s="1166"/>
    </row>
    <row r="921" spans="2:37" ht="70.5" customHeight="1" outlineLevel="1" x14ac:dyDescent="0.25">
      <c r="D921" s="1642" t="s">
        <v>1067</v>
      </c>
      <c r="E921" s="2164" t="s">
        <v>1966</v>
      </c>
      <c r="F921" s="2230"/>
      <c r="G921" s="2230">
        <v>0.66</v>
      </c>
      <c r="H921" s="3091" t="s">
        <v>1963</v>
      </c>
      <c r="I921" s="3091"/>
      <c r="J921" s="2995" t="s">
        <v>1930</v>
      </c>
      <c r="K921" s="2995"/>
      <c r="L921" s="2995"/>
      <c r="M921" s="1197"/>
      <c r="N921" s="1197"/>
      <c r="O921" s="1197"/>
      <c r="P921" s="1197"/>
      <c r="Q921" s="1197"/>
      <c r="V921" s="1258" t="str">
        <f>D921</f>
        <v>SPDC</v>
      </c>
      <c r="W921" s="1388">
        <v>0.66</v>
      </c>
      <c r="X921" s="1388">
        <v>0.66</v>
      </c>
      <c r="Y921" s="1388">
        <v>0.66</v>
      </c>
      <c r="Z921" s="1261"/>
      <c r="AA921" s="1261"/>
      <c r="AB921" s="1261"/>
      <c r="AC921" s="1261"/>
      <c r="AD921" s="1261"/>
      <c r="AE921" s="1261"/>
      <c r="AF921" s="1261"/>
      <c r="AG921" s="1261"/>
      <c r="AK921" s="1166"/>
    </row>
    <row r="922" spans="2:37" outlineLevel="1" x14ac:dyDescent="0.25">
      <c r="D922" s="1642">
        <v>365.25</v>
      </c>
      <c r="E922" s="2164" t="s">
        <v>1968</v>
      </c>
      <c r="F922" s="2230"/>
      <c r="G922" s="2230">
        <v>365.25</v>
      </c>
      <c r="H922" s="2699" t="s">
        <v>992</v>
      </c>
      <c r="I922" s="2699"/>
      <c r="J922" s="2995"/>
      <c r="K922" s="2995"/>
      <c r="L922" s="2995"/>
      <c r="M922" s="1197"/>
      <c r="N922" s="1197"/>
      <c r="O922" s="1197"/>
      <c r="P922" s="1197"/>
      <c r="Q922" s="1197"/>
      <c r="V922" s="1258">
        <f>D922</f>
        <v>365.25</v>
      </c>
      <c r="W922" s="1388">
        <v>365.25</v>
      </c>
      <c r="X922" s="1388">
        <v>365.25</v>
      </c>
      <c r="Y922" s="1388">
        <v>365.25</v>
      </c>
      <c r="Z922" s="1261"/>
      <c r="AA922" s="1261"/>
      <c r="AB922" s="1261"/>
      <c r="AC922" s="1261"/>
      <c r="AD922" s="1261"/>
      <c r="AE922" s="1261"/>
      <c r="AF922" s="1261"/>
      <c r="AG922" s="1261"/>
      <c r="AK922" s="1166"/>
    </row>
    <row r="923" spans="2:37" outlineLevel="1" x14ac:dyDescent="0.25">
      <c r="D923" s="3063" t="s">
        <v>1071</v>
      </c>
      <c r="E923" s="2997" t="s">
        <v>1969</v>
      </c>
      <c r="F923" s="2230" t="s">
        <v>795</v>
      </c>
      <c r="G923" s="2230">
        <v>2.0499999999999998</v>
      </c>
      <c r="H923" s="3092" t="s">
        <v>1289</v>
      </c>
      <c r="I923" s="3093"/>
      <c r="J923" s="2947"/>
      <c r="K923" s="2947"/>
      <c r="L923" s="2947"/>
      <c r="M923" s="1197"/>
      <c r="N923" s="1197"/>
      <c r="O923" s="1197"/>
      <c r="P923" s="1197"/>
      <c r="Q923" s="1197"/>
      <c r="V923" s="3069" t="str">
        <f>D923</f>
        <v>SPH</v>
      </c>
      <c r="W923" s="1388">
        <v>2.0499999999999998</v>
      </c>
      <c r="X923" s="1388">
        <v>2.0499999999999998</v>
      </c>
      <c r="Y923" s="1388">
        <v>2.0499999999999998</v>
      </c>
      <c r="Z923" s="1261"/>
      <c r="AA923" s="1261"/>
      <c r="AB923" s="1261"/>
      <c r="AC923" s="1261"/>
      <c r="AD923" s="1261"/>
      <c r="AE923" s="1261"/>
      <c r="AF923" s="1261"/>
      <c r="AG923" s="1261"/>
      <c r="AK923" s="1166"/>
    </row>
    <row r="924" spans="2:37" outlineLevel="1" x14ac:dyDescent="0.25">
      <c r="D924" s="2964"/>
      <c r="E924" s="2998"/>
      <c r="F924" s="2230" t="s">
        <v>797</v>
      </c>
      <c r="G924" s="2230">
        <v>1.4</v>
      </c>
      <c r="H924" s="3092" t="s">
        <v>1289</v>
      </c>
      <c r="I924" s="3093"/>
      <c r="J924" s="2947"/>
      <c r="K924" s="2947"/>
      <c r="L924" s="2947"/>
      <c r="M924" s="1197"/>
      <c r="N924" s="1197"/>
      <c r="O924" s="1197"/>
      <c r="P924" s="1197"/>
      <c r="Q924" s="1197"/>
      <c r="V924" s="3070"/>
      <c r="W924" s="1388">
        <v>1.4</v>
      </c>
      <c r="X924" s="1388">
        <v>1.4</v>
      </c>
      <c r="Y924" s="1388">
        <v>1.4</v>
      </c>
      <c r="Z924" s="1261"/>
      <c r="AA924" s="1261"/>
      <c r="AB924" s="1261"/>
      <c r="AC924" s="1261"/>
      <c r="AD924" s="1261"/>
      <c r="AE924" s="1261"/>
      <c r="AF924" s="1261"/>
      <c r="AG924" s="1261"/>
      <c r="AK924" s="1166"/>
    </row>
    <row r="925" spans="2:37" outlineLevel="1" x14ac:dyDescent="0.25">
      <c r="D925" s="1642">
        <v>8.33</v>
      </c>
      <c r="E925" s="2164" t="s">
        <v>1033</v>
      </c>
      <c r="F925" s="2230"/>
      <c r="G925" s="2230">
        <v>8.33</v>
      </c>
      <c r="H925" s="3004" t="s">
        <v>1034</v>
      </c>
      <c r="I925" s="3004"/>
      <c r="J925" s="2995" t="s">
        <v>1930</v>
      </c>
      <c r="K925" s="2995"/>
      <c r="L925" s="2995"/>
      <c r="M925" s="1197"/>
      <c r="N925" s="1197"/>
      <c r="O925" s="1197"/>
      <c r="P925" s="1197" t="s">
        <v>2037</v>
      </c>
      <c r="Q925" s="1197"/>
      <c r="V925" s="1258">
        <f>D925</f>
        <v>8.33</v>
      </c>
      <c r="W925" s="1388">
        <v>8.33</v>
      </c>
      <c r="X925" s="1388">
        <v>8.33</v>
      </c>
      <c r="Y925" s="1388">
        <v>8.33</v>
      </c>
      <c r="Z925" s="1261"/>
      <c r="AA925" s="1261"/>
      <c r="AB925" s="1261"/>
      <c r="AC925" s="1261"/>
      <c r="AD925" s="1261"/>
      <c r="AE925" s="1261"/>
      <c r="AF925" s="1261"/>
      <c r="AG925" s="1261"/>
      <c r="AK925" s="1166"/>
    </row>
    <row r="926" spans="2:37" outlineLevel="1" x14ac:dyDescent="0.25">
      <c r="D926" s="1642">
        <v>1</v>
      </c>
      <c r="E926" s="2164" t="s">
        <v>1970</v>
      </c>
      <c r="F926" s="2230"/>
      <c r="G926" s="2230">
        <v>1</v>
      </c>
      <c r="H926" s="2699" t="s">
        <v>1036</v>
      </c>
      <c r="I926" s="2699"/>
      <c r="J926" s="2995" t="s">
        <v>1930</v>
      </c>
      <c r="K926" s="2995"/>
      <c r="L926" s="2995"/>
      <c r="M926" s="1197"/>
      <c r="N926" s="1197"/>
      <c r="O926" s="1197"/>
      <c r="P926" s="1197"/>
      <c r="Q926" s="1197"/>
      <c r="V926" s="1258">
        <f t="shared" ref="V926:V933" si="185">D926</f>
        <v>1</v>
      </c>
      <c r="W926" s="1388">
        <v>1</v>
      </c>
      <c r="X926" s="1388">
        <v>1</v>
      </c>
      <c r="Y926" s="1388">
        <v>1</v>
      </c>
      <c r="Z926" s="1261"/>
      <c r="AA926" s="1261"/>
      <c r="AB926" s="1261"/>
      <c r="AC926" s="1261"/>
      <c r="AD926" s="1261"/>
      <c r="AE926" s="1261"/>
      <c r="AF926" s="1261"/>
      <c r="AG926" s="1261"/>
      <c r="AK926" s="1166"/>
    </row>
    <row r="927" spans="2:37" outlineLevel="1" x14ac:dyDescent="0.25">
      <c r="D927" s="1642" t="s">
        <v>1073</v>
      </c>
      <c r="E927" s="2164" t="s">
        <v>1971</v>
      </c>
      <c r="F927" s="2230"/>
      <c r="G927" s="2230">
        <v>105</v>
      </c>
      <c r="H927" s="2699" t="s">
        <v>1075</v>
      </c>
      <c r="I927" s="2699"/>
      <c r="J927" s="2995" t="s">
        <v>1930</v>
      </c>
      <c r="K927" s="2995"/>
      <c r="L927" s="2995"/>
      <c r="M927" s="1197"/>
      <c r="N927" s="1197"/>
      <c r="O927" s="1197"/>
      <c r="P927" s="1197"/>
      <c r="Q927" s="1197"/>
      <c r="V927" s="1258" t="str">
        <f t="shared" si="185"/>
        <v>ShowerTemp</v>
      </c>
      <c r="W927" s="1388">
        <v>105</v>
      </c>
      <c r="X927" s="1388">
        <v>105</v>
      </c>
      <c r="Y927" s="1388">
        <v>105</v>
      </c>
      <c r="Z927" s="1261"/>
      <c r="AA927" s="1261"/>
      <c r="AB927" s="1261"/>
      <c r="AC927" s="1261"/>
      <c r="AD927" s="1261"/>
      <c r="AE927" s="1261"/>
      <c r="AF927" s="1261"/>
      <c r="AG927" s="1261"/>
      <c r="AK927" s="1166"/>
    </row>
    <row r="928" spans="2:37" outlineLevel="1" x14ac:dyDescent="0.25">
      <c r="B928" s="1580"/>
      <c r="D928" s="1642" t="s">
        <v>1040</v>
      </c>
      <c r="E928" s="2164" t="s">
        <v>1943</v>
      </c>
      <c r="F928" s="2230"/>
      <c r="G928" s="2230">
        <v>61.3</v>
      </c>
      <c r="H928" s="2699" t="s">
        <v>1042</v>
      </c>
      <c r="I928" s="2699"/>
      <c r="J928" s="2995" t="s">
        <v>1930</v>
      </c>
      <c r="K928" s="2995"/>
      <c r="L928" s="2995"/>
      <c r="M928" s="1197"/>
      <c r="N928" s="1197"/>
      <c r="O928" s="1197"/>
      <c r="P928" s="1197"/>
      <c r="Q928" s="1197"/>
      <c r="V928" s="1258" t="str">
        <f t="shared" si="185"/>
        <v>SupplyTemp</v>
      </c>
      <c r="W928" s="1388">
        <v>61.3</v>
      </c>
      <c r="X928" s="1388">
        <v>61.3</v>
      </c>
      <c r="Y928" s="1388">
        <v>61.3</v>
      </c>
      <c r="Z928" s="1261"/>
      <c r="AA928" s="1261"/>
      <c r="AB928" s="1261"/>
      <c r="AC928" s="1261"/>
      <c r="AD928" s="1261"/>
      <c r="AE928" s="1261"/>
      <c r="AF928" s="1261"/>
      <c r="AG928" s="1261"/>
      <c r="AK928" s="1166"/>
    </row>
    <row r="929" spans="1:57" ht="18" outlineLevel="1" x14ac:dyDescent="0.25">
      <c r="B929" s="1580"/>
      <c r="D929" s="1642" t="s">
        <v>2038</v>
      </c>
      <c r="E929" s="1686" t="s">
        <v>1944</v>
      </c>
      <c r="F929" s="1389"/>
      <c r="G929" s="1389">
        <v>0.98</v>
      </c>
      <c r="H929" s="2986" t="s">
        <v>1945</v>
      </c>
      <c r="I929" s="2986"/>
      <c r="J929" s="2995" t="s">
        <v>1930</v>
      </c>
      <c r="K929" s="2995"/>
      <c r="L929" s="2995"/>
      <c r="M929" s="1197"/>
      <c r="N929" s="1197"/>
      <c r="O929" s="1197"/>
      <c r="P929" s="1197"/>
      <c r="Q929" s="1197"/>
      <c r="V929" s="1258" t="str">
        <f t="shared" si="185"/>
        <v>REelectric</v>
      </c>
      <c r="W929" s="1388">
        <v>0.98</v>
      </c>
      <c r="X929" s="1388">
        <v>0.98</v>
      </c>
      <c r="Y929" s="1388">
        <v>0.98</v>
      </c>
      <c r="Z929" s="1261"/>
      <c r="AA929" s="1261"/>
      <c r="AB929" s="1261"/>
      <c r="AC929" s="1261"/>
      <c r="AD929" s="1261"/>
      <c r="AE929" s="1261"/>
      <c r="AF929" s="1261"/>
      <c r="AG929" s="1261"/>
      <c r="AK929" s="1166"/>
    </row>
    <row r="930" spans="1:57" outlineLevel="1" x14ac:dyDescent="0.25">
      <c r="B930" s="1580"/>
      <c r="D930" s="1642">
        <v>3412</v>
      </c>
      <c r="E930" s="1686">
        <v>3412</v>
      </c>
      <c r="F930" s="1390"/>
      <c r="G930" s="1390">
        <v>3412</v>
      </c>
      <c r="H930" s="3004" t="s">
        <v>701</v>
      </c>
      <c r="I930" s="3004"/>
      <c r="J930" s="2995" t="s">
        <v>2039</v>
      </c>
      <c r="K930" s="2995"/>
      <c r="L930" s="2995"/>
      <c r="M930" s="1197"/>
      <c r="N930" s="1197"/>
      <c r="O930" s="1197"/>
      <c r="P930" s="1197"/>
      <c r="Q930" s="1197"/>
      <c r="V930" s="1258">
        <f t="shared" si="185"/>
        <v>3412</v>
      </c>
      <c r="W930" s="1391">
        <v>3412</v>
      </c>
      <c r="X930" s="1391">
        <v>3412</v>
      </c>
      <c r="Y930" s="1391">
        <v>3412</v>
      </c>
      <c r="Z930" s="1345"/>
      <c r="AA930" s="1345"/>
      <c r="AB930" s="1345"/>
      <c r="AC930" s="1345"/>
      <c r="AD930" s="1345"/>
      <c r="AE930" s="1345"/>
      <c r="AF930" s="1345"/>
      <c r="AG930" s="1345"/>
      <c r="AK930" s="1166"/>
    </row>
    <row r="931" spans="1:57" outlineLevel="1" x14ac:dyDescent="0.25">
      <c r="B931" s="1580"/>
      <c r="D931" s="1642" t="s">
        <v>956</v>
      </c>
      <c r="E931" s="1642" t="s">
        <v>1001</v>
      </c>
      <c r="F931" s="1392"/>
      <c r="G931" s="1392">
        <v>1</v>
      </c>
      <c r="H931" s="3004" t="s">
        <v>1003</v>
      </c>
      <c r="I931" s="3004"/>
      <c r="J931" s="2995" t="s">
        <v>1822</v>
      </c>
      <c r="K931" s="2995"/>
      <c r="L931" s="2995"/>
      <c r="M931" s="1197"/>
      <c r="N931" s="1197"/>
      <c r="O931" s="1197"/>
      <c r="P931" s="1197"/>
      <c r="Q931" s="1197"/>
      <c r="V931" s="1258" t="str">
        <f t="shared" si="185"/>
        <v>Utility Adjustment</v>
      </c>
      <c r="W931" s="1386">
        <v>1</v>
      </c>
      <c r="X931" s="1386">
        <v>1</v>
      </c>
      <c r="Y931" s="1386">
        <v>1</v>
      </c>
      <c r="Z931" s="1259"/>
      <c r="AA931" s="1259"/>
      <c r="AB931" s="1259"/>
      <c r="AC931" s="1259"/>
      <c r="AD931" s="1259"/>
      <c r="AE931" s="1259"/>
      <c r="AF931" s="1259"/>
      <c r="AG931" s="1259"/>
      <c r="AK931" s="1166"/>
    </row>
    <row r="932" spans="1:57" outlineLevel="1" x14ac:dyDescent="0.25">
      <c r="B932" s="1580"/>
      <c r="C932" s="329"/>
      <c r="D932" s="1642" t="s">
        <v>82</v>
      </c>
      <c r="E932" s="1686" t="s">
        <v>1823</v>
      </c>
      <c r="F932" s="1389"/>
      <c r="G932" s="1389">
        <v>0.91346153846153844</v>
      </c>
      <c r="H932" s="3094" t="s">
        <v>2040</v>
      </c>
      <c r="I932" s="3094"/>
      <c r="J932" s="2995" t="s">
        <v>1930</v>
      </c>
      <c r="K932" s="2995"/>
      <c r="L932" s="2995"/>
      <c r="M932" s="1197"/>
      <c r="N932" s="1197"/>
      <c r="O932" s="1197"/>
      <c r="P932" s="1197"/>
      <c r="Q932" s="1197"/>
      <c r="V932" s="1258" t="str">
        <f t="shared" si="185"/>
        <v>ISR</v>
      </c>
      <c r="W932" s="1388">
        <v>0.91346153846153844</v>
      </c>
      <c r="X932" s="1388">
        <v>0.91346153846153844</v>
      </c>
      <c r="Y932" s="1388">
        <v>0.91346153846153844</v>
      </c>
      <c r="Z932" s="1261"/>
      <c r="AA932" s="1261"/>
      <c r="AB932" s="1261"/>
      <c r="AC932" s="1261"/>
      <c r="AD932" s="1261"/>
      <c r="AE932" s="1261"/>
      <c r="AF932" s="1261"/>
      <c r="AG932" s="1261"/>
      <c r="AK932" s="1166"/>
    </row>
    <row r="933" spans="1:57" outlineLevel="1" x14ac:dyDescent="0.25">
      <c r="B933" s="1580"/>
      <c r="C933" s="443"/>
      <c r="D933" s="1681" t="str">
        <f>D813</f>
        <v>EUL</v>
      </c>
      <c r="E933" s="1681" t="str">
        <f>E813</f>
        <v>Effective Useful Life (All)</v>
      </c>
      <c r="F933" s="1699" t="s">
        <v>637</v>
      </c>
      <c r="G933" s="1393">
        <v>10</v>
      </c>
      <c r="H933" s="3094"/>
      <c r="I933" s="3094"/>
      <c r="J933" s="2995"/>
      <c r="K933" s="2995"/>
      <c r="L933" s="2995"/>
      <c r="V933" s="1258" t="str">
        <f t="shared" si="185"/>
        <v>EUL</v>
      </c>
      <c r="W933" s="1262">
        <v>10</v>
      </c>
      <c r="X933" s="1262">
        <v>10</v>
      </c>
      <c r="Y933" s="1262">
        <v>10</v>
      </c>
      <c r="Z933" s="1354"/>
      <c r="AA933" s="1354"/>
      <c r="AB933" s="1354"/>
      <c r="AC933" s="1354"/>
      <c r="AD933" s="1354"/>
      <c r="AE933" s="1354"/>
      <c r="AF933" s="1354"/>
      <c r="AG933" s="1354"/>
      <c r="AK933" s="1166"/>
    </row>
    <row r="934" spans="1:57" outlineLevel="1" x14ac:dyDescent="0.25">
      <c r="B934" s="1580"/>
      <c r="C934" s="443"/>
      <c r="D934" s="3071" t="str">
        <f>D899</f>
        <v>Inc. Cost</v>
      </c>
      <c r="E934" s="3071" t="str">
        <f>E782</f>
        <v>Incremental Cost</v>
      </c>
      <c r="F934" s="1699" t="s">
        <v>1946</v>
      </c>
      <c r="G934" s="1394">
        <v>50</v>
      </c>
      <c r="H934" s="3094"/>
      <c r="I934" s="3094"/>
      <c r="J934" s="2995"/>
      <c r="K934" s="2995"/>
      <c r="L934" s="2995"/>
      <c r="V934" s="3088" t="str">
        <f>D934</f>
        <v>Inc. Cost</v>
      </c>
      <c r="W934" s="1355">
        <v>50</v>
      </c>
      <c r="X934" s="1355">
        <v>50</v>
      </c>
      <c r="Y934" s="1355">
        <v>50</v>
      </c>
      <c r="Z934" s="1356"/>
      <c r="AA934" s="1356"/>
      <c r="AB934" s="1356"/>
      <c r="AC934" s="1356"/>
      <c r="AD934" s="1356"/>
      <c r="AE934" s="1356"/>
      <c r="AF934" s="1356"/>
      <c r="AG934" s="1356"/>
      <c r="AK934" s="1166"/>
    </row>
    <row r="935" spans="1:57" outlineLevel="1" x14ac:dyDescent="0.25">
      <c r="B935" s="1580"/>
      <c r="C935" s="443"/>
      <c r="D935" s="2699"/>
      <c r="E935" s="2699"/>
      <c r="F935" s="1699" t="s">
        <v>1948</v>
      </c>
      <c r="G935" s="1394">
        <v>50</v>
      </c>
      <c r="H935" s="3094"/>
      <c r="I935" s="3094"/>
      <c r="J935" s="2995"/>
      <c r="K935" s="2995"/>
      <c r="L935" s="2995"/>
      <c r="V935" s="3070"/>
      <c r="W935" s="1355">
        <v>50</v>
      </c>
      <c r="X935" s="1355">
        <v>50</v>
      </c>
      <c r="Y935" s="1355">
        <v>50</v>
      </c>
      <c r="Z935" s="1356"/>
      <c r="AA935" s="1356"/>
      <c r="AB935" s="1356"/>
      <c r="AC935" s="1356"/>
      <c r="AD935" s="1356"/>
      <c r="AE935" s="1356"/>
      <c r="AF935" s="1356"/>
      <c r="AG935" s="1356"/>
      <c r="AK935" s="1166"/>
    </row>
    <row r="936" spans="1:57" ht="15" customHeight="1" x14ac:dyDescent="0.25">
      <c r="B936" s="1580"/>
      <c r="C936" s="329"/>
      <c r="Y936" s="1983" t="s">
        <v>1677</v>
      </c>
      <c r="Z936" s="595"/>
      <c r="AA936" s="595"/>
      <c r="AK936" s="1166"/>
    </row>
    <row r="937" spans="1:57" ht="15" customHeight="1" x14ac:dyDescent="0.25">
      <c r="B937" s="1580"/>
      <c r="C937" s="329"/>
      <c r="AK937" s="1166"/>
    </row>
    <row r="938" spans="1:57" ht="15" customHeight="1" x14ac:dyDescent="0.25">
      <c r="B938" s="2639" t="s">
        <v>2041</v>
      </c>
      <c r="C938" s="2640"/>
      <c r="D938" s="2640"/>
      <c r="E938" s="2640"/>
      <c r="F938" s="2640"/>
      <c r="G938" s="2640"/>
      <c r="H938" s="2640"/>
      <c r="I938" s="2641"/>
      <c r="J938" s="2641"/>
      <c r="K938" s="2641"/>
      <c r="L938" s="2641"/>
      <c r="M938" s="2641"/>
      <c r="N938" s="2641"/>
      <c r="O938" s="2641"/>
      <c r="P938" s="2641"/>
      <c r="Q938" s="2641"/>
      <c r="R938" s="2642"/>
      <c r="V938" s="2639" t="str">
        <f>B938</f>
        <v>Water Heater Wrap</v>
      </c>
      <c r="W938" s="2640"/>
      <c r="X938" s="2640"/>
      <c r="Y938" s="2640"/>
      <c r="Z938" s="2640"/>
      <c r="AA938" s="2640"/>
      <c r="AB938" s="2640"/>
      <c r="AC938" s="2615"/>
      <c r="AD938" s="2615"/>
      <c r="AE938" s="2615"/>
      <c r="AF938" s="2615"/>
      <c r="AG938" s="2615"/>
      <c r="AH938" s="2615"/>
      <c r="AI938" s="2616"/>
      <c r="AK938" s="1166"/>
    </row>
    <row r="939" spans="1:57" ht="15" customHeight="1" x14ac:dyDescent="0.25">
      <c r="A939" s="353"/>
      <c r="B939" s="353"/>
      <c r="D939" s="573"/>
      <c r="E939" s="573"/>
      <c r="F939" s="330"/>
      <c r="G939" s="330"/>
      <c r="H939" s="330"/>
      <c r="I939" s="330"/>
      <c r="J939" s="330"/>
      <c r="K939" s="330"/>
      <c r="L939" s="1902"/>
      <c r="AK939" s="1166"/>
    </row>
    <row r="940" spans="1:57" ht="30" x14ac:dyDescent="0.25">
      <c r="B940" s="1580"/>
      <c r="C940" s="1641" t="s">
        <v>17</v>
      </c>
      <c r="D940" s="1641" t="s">
        <v>662</v>
      </c>
      <c r="E940" s="1641" t="s">
        <v>19</v>
      </c>
      <c r="F940" s="1641" t="s">
        <v>1778</v>
      </c>
      <c r="G940" s="1641" t="s">
        <v>21</v>
      </c>
      <c r="H940" s="1641" t="s">
        <v>22</v>
      </c>
      <c r="I940" s="1641" t="s">
        <v>23</v>
      </c>
      <c r="J940" s="1641" t="s">
        <v>24</v>
      </c>
      <c r="K940" s="1641" t="s">
        <v>25</v>
      </c>
      <c r="L940" s="1641" t="s">
        <v>26</v>
      </c>
      <c r="V940" s="55" t="s">
        <v>27</v>
      </c>
      <c r="W940" s="56">
        <f>W$6</f>
        <v>43252</v>
      </c>
      <c r="X940" s="56">
        <f t="shared" ref="X940:AG940" si="186">X$6</f>
        <v>43465</v>
      </c>
      <c r="Y940" s="500">
        <f t="shared" si="186"/>
        <v>43800</v>
      </c>
      <c r="Z940" s="56">
        <f t="shared" si="186"/>
        <v>43862</v>
      </c>
      <c r="AA940" s="56" t="str">
        <f t="shared" si="186"/>
        <v>-</v>
      </c>
      <c r="AB940" s="56" t="str">
        <f t="shared" si="186"/>
        <v>-</v>
      </c>
      <c r="AC940" s="56" t="str">
        <f t="shared" si="186"/>
        <v>-</v>
      </c>
      <c r="AD940" s="56" t="str">
        <f t="shared" si="186"/>
        <v>-</v>
      </c>
      <c r="AE940" s="56" t="str">
        <f t="shared" si="186"/>
        <v>-</v>
      </c>
      <c r="AF940" s="56" t="str">
        <f t="shared" si="186"/>
        <v>-</v>
      </c>
      <c r="AG940" s="56" t="str">
        <f t="shared" si="186"/>
        <v>-</v>
      </c>
      <c r="AK940" s="1166"/>
      <c r="BB940" s="57" t="str">
        <f>$BB$6</f>
        <v>TRC (2020)</v>
      </c>
      <c r="BC940" s="103" t="str">
        <f>$BC$6</f>
        <v>Benefit Lookup</v>
      </c>
      <c r="BD940" s="883" t="str">
        <f>$BD$6</f>
        <v>Benefits (2019 $)</v>
      </c>
      <c r="BE940" s="334" t="str">
        <f>$BE$6</f>
        <v>Incremental Cost (2019 $)</v>
      </c>
    </row>
    <row r="941" spans="1:57" s="1177" customFormat="1" ht="15" customHeight="1" x14ac:dyDescent="0.25">
      <c r="A941" s="1197"/>
      <c r="B941" s="2118"/>
      <c r="C941" s="1927" t="s">
        <v>2042</v>
      </c>
      <c r="D941" s="2479" t="s">
        <v>1610</v>
      </c>
      <c r="E941" s="1670" t="s">
        <v>2043</v>
      </c>
      <c r="F941" s="152">
        <f>ROUND(((((F948/F949)-(F950/F951))*F952*F953)/(F954*F955))*F956*F957*F958,2)</f>
        <v>100.55</v>
      </c>
      <c r="G941" s="1927" t="s">
        <v>1922</v>
      </c>
      <c r="H941" s="239">
        <f>VLOOKUP(G941,'CP FACTORS'!$A$3:$B$38, 2, FALSE)</f>
        <v>8.8731800000000003E-5</v>
      </c>
      <c r="I941" s="2015">
        <f t="shared" ref="I941" si="187">ROUND(F941*H941,6)</f>
        <v>8.9219999999999994E-3</v>
      </c>
      <c r="J941" s="1647">
        <f>F959</f>
        <v>12</v>
      </c>
      <c r="K941" s="1395">
        <f>F960</f>
        <v>58</v>
      </c>
      <c r="L941" s="1927" t="s">
        <v>37</v>
      </c>
      <c r="M941" s="1197"/>
      <c r="N941" s="1197"/>
      <c r="O941" s="1197"/>
      <c r="P941" s="1197"/>
      <c r="Q941" s="1197"/>
      <c r="R941" s="1197"/>
      <c r="S941" s="1197"/>
      <c r="T941" s="1197"/>
      <c r="U941" s="1197"/>
      <c r="V941" s="1314" t="str">
        <f>$F$905</f>
        <v>kWh
Annual Savings</v>
      </c>
      <c r="W941" s="1165">
        <v>100.55</v>
      </c>
      <c r="X941" s="1165">
        <v>100.55</v>
      </c>
      <c r="Y941" s="1165">
        <v>100.55</v>
      </c>
      <c r="Z941" s="1314"/>
      <c r="AA941" s="1314"/>
      <c r="AB941" s="1314"/>
      <c r="AC941" s="1314"/>
      <c r="AD941" s="1314"/>
      <c r="AE941" s="1314"/>
      <c r="AF941" s="1314"/>
      <c r="AG941" s="1314"/>
      <c r="AK941" s="1316"/>
      <c r="BB941" s="1396">
        <f t="shared" ref="BB941" si="188">(BD941)/(BE941)</f>
        <v>0.74088146802699328</v>
      </c>
      <c r="BC941" s="69" t="str">
        <f>CONCATENATE(G941," ",J941," Year EUL")</f>
        <v>Water heating RES 12 Year EUL</v>
      </c>
      <c r="BD941" s="251">
        <f>(INDEX('Avoided Cost Benefits'!$C$4:$C$857,MATCH(BC941,'Avoided Cost Benefits'!$A$4:$A$857,0)))*F941</f>
        <v>40.557928405441821</v>
      </c>
      <c r="BE941" s="1397">
        <f>K941/(1.0595^(2020-2019))</f>
        <v>54.742803209060874</v>
      </c>
    </row>
    <row r="942" spans="1:57" ht="15" customHeight="1" outlineLevel="1" x14ac:dyDescent="0.25">
      <c r="B942" s="1580"/>
      <c r="C942" s="359"/>
      <c r="D942" s="1552"/>
      <c r="E942" s="1552"/>
      <c r="AK942" s="1166"/>
    </row>
    <row r="943" spans="1:57" ht="15" customHeight="1" outlineLevel="1" x14ac:dyDescent="0.25">
      <c r="B943" s="1580"/>
      <c r="C943" s="359"/>
      <c r="D943" s="259" t="s">
        <v>617</v>
      </c>
      <c r="E943" s="1099"/>
      <c r="F943" s="2122"/>
      <c r="G943" s="2122"/>
      <c r="AK943" s="1166"/>
    </row>
    <row r="944" spans="1:57" ht="15" customHeight="1" outlineLevel="1" x14ac:dyDescent="0.25">
      <c r="B944" s="1580"/>
      <c r="C944" s="375"/>
      <c r="D944" s="2195"/>
      <c r="E944" s="2196"/>
      <c r="F944" s="2125"/>
      <c r="G944" s="2125"/>
      <c r="H944" s="2125"/>
      <c r="I944" s="2125"/>
      <c r="J944" s="2125"/>
      <c r="AK944" s="1166"/>
    </row>
    <row r="945" spans="1:54" ht="15" customHeight="1" outlineLevel="1" x14ac:dyDescent="0.25">
      <c r="B945" s="1580"/>
      <c r="C945" s="375"/>
      <c r="D945" s="2195"/>
      <c r="E945" s="2196"/>
      <c r="F945" s="2125"/>
      <c r="G945" s="2199"/>
      <c r="H945" s="2199"/>
      <c r="I945" s="2199"/>
      <c r="J945" s="2125"/>
      <c r="AK945" s="1166"/>
    </row>
    <row r="946" spans="1:54" outlineLevel="1" x14ac:dyDescent="0.25">
      <c r="B946" s="1580"/>
      <c r="C946" s="375"/>
      <c r="D946" s="2123"/>
      <c r="E946" s="2124"/>
      <c r="F946" s="2125"/>
      <c r="G946" s="2199"/>
      <c r="H946" s="2199"/>
      <c r="I946" s="2199"/>
      <c r="J946" s="2125"/>
      <c r="AK946" s="1166"/>
    </row>
    <row r="947" spans="1:54" outlineLevel="1" x14ac:dyDescent="0.25">
      <c r="B947" s="1580"/>
      <c r="C947" s="329"/>
      <c r="D947" s="1701" t="s">
        <v>618</v>
      </c>
      <c r="E947" s="1701" t="s">
        <v>619</v>
      </c>
      <c r="F947" s="1645" t="s">
        <v>620</v>
      </c>
      <c r="G947" s="2669" t="s">
        <v>670</v>
      </c>
      <c r="H947" s="2669"/>
      <c r="I947" s="1683" t="s">
        <v>621</v>
      </c>
      <c r="V947" s="55" t="s">
        <v>27</v>
      </c>
      <c r="W947" s="56">
        <f>W$6</f>
        <v>43252</v>
      </c>
      <c r="X947" s="56">
        <f t="shared" ref="X947:AG947" si="189">X$6</f>
        <v>43465</v>
      </c>
      <c r="Y947" s="500">
        <f t="shared" si="189"/>
        <v>43800</v>
      </c>
      <c r="Z947" s="56">
        <f t="shared" si="189"/>
        <v>43862</v>
      </c>
      <c r="AA947" s="56" t="str">
        <f t="shared" si="189"/>
        <v>-</v>
      </c>
      <c r="AB947" s="56" t="str">
        <f t="shared" si="189"/>
        <v>-</v>
      </c>
      <c r="AC947" s="56" t="str">
        <f t="shared" si="189"/>
        <v>-</v>
      </c>
      <c r="AD947" s="56" t="str">
        <f t="shared" si="189"/>
        <v>-</v>
      </c>
      <c r="AE947" s="56" t="str">
        <f t="shared" si="189"/>
        <v>-</v>
      </c>
      <c r="AF947" s="56" t="str">
        <f t="shared" si="189"/>
        <v>-</v>
      </c>
      <c r="AG947" s="56" t="str">
        <f t="shared" si="189"/>
        <v>-</v>
      </c>
      <c r="AK947" s="1166"/>
    </row>
    <row r="948" spans="1:54" s="1177" customFormat="1" ht="118.5" customHeight="1" outlineLevel="1" x14ac:dyDescent="0.25">
      <c r="A948" s="1197"/>
      <c r="B948" s="2118"/>
      <c r="C948" s="1200"/>
      <c r="D948" s="615" t="s">
        <v>3388</v>
      </c>
      <c r="E948" s="2164" t="s">
        <v>2044</v>
      </c>
      <c r="F948" s="2231">
        <f>AVERAGE(19.16,23.18,24.99,31.84)</f>
        <v>24.7925</v>
      </c>
      <c r="G948" s="3091" t="s">
        <v>2045</v>
      </c>
      <c r="H948" s="3091"/>
      <c r="I948" s="1697" t="s">
        <v>2046</v>
      </c>
      <c r="J948" s="1197"/>
      <c r="K948" s="1197"/>
      <c r="L948" s="1197"/>
      <c r="M948" s="1197"/>
      <c r="N948" s="1197"/>
      <c r="O948" s="1197"/>
      <c r="P948" s="1197"/>
      <c r="Q948" s="1197"/>
      <c r="R948" s="1197"/>
      <c r="S948" s="1197"/>
      <c r="T948" s="1197"/>
      <c r="U948" s="1197"/>
      <c r="V948" s="1258" t="str">
        <f>D948</f>
        <v>ABase</v>
      </c>
      <c r="W948" s="1398">
        <f>AVERAGE(19.16,23.18,24.99,31.84)</f>
        <v>24.7925</v>
      </c>
      <c r="X948" s="1398">
        <f>AVERAGE(19.16,23.18,24.99,31.84)</f>
        <v>24.7925</v>
      </c>
      <c r="Y948" s="1398">
        <f>AVERAGE(19.16,23.18,24.99,31.84)</f>
        <v>24.7925</v>
      </c>
      <c r="Z948" s="1399"/>
      <c r="AA948" s="1399"/>
      <c r="AB948" s="1399"/>
      <c r="AC948" s="1399"/>
      <c r="AD948" s="1399"/>
      <c r="AE948" s="1399"/>
      <c r="AF948" s="1399"/>
      <c r="AG948" s="1399"/>
      <c r="AK948" s="1316"/>
      <c r="BB948" s="1193"/>
    </row>
    <row r="949" spans="1:54" s="1177" customFormat="1" ht="18" outlineLevel="1" x14ac:dyDescent="0.25">
      <c r="A949" s="1197"/>
      <c r="B949" s="2118"/>
      <c r="C949" s="1200"/>
      <c r="D949" s="615" t="s">
        <v>1084</v>
      </c>
      <c r="E949" s="2232" t="s">
        <v>2047</v>
      </c>
      <c r="F949" s="1389">
        <v>14</v>
      </c>
      <c r="G949" s="3091" t="s">
        <v>1984</v>
      </c>
      <c r="H949" s="3091"/>
      <c r="I949" s="1697" t="s">
        <v>2048</v>
      </c>
      <c r="J949" s="1197"/>
      <c r="K949" s="1197"/>
      <c r="L949" s="1197"/>
      <c r="M949" s="1197"/>
      <c r="N949" s="1197"/>
      <c r="O949" s="1197"/>
      <c r="P949" s="1197"/>
      <c r="Q949" s="1197"/>
      <c r="R949" s="1197"/>
      <c r="S949" s="1197"/>
      <c r="T949" s="1197"/>
      <c r="U949" s="1197"/>
      <c r="V949" s="1258" t="str">
        <f t="shared" ref="V949:V959" si="190">D949</f>
        <v>RBase</v>
      </c>
      <c r="W949" s="1400">
        <v>14</v>
      </c>
      <c r="X949" s="1400">
        <v>14</v>
      </c>
      <c r="Y949" s="1400">
        <v>14</v>
      </c>
      <c r="Z949" s="1260"/>
      <c r="AA949" s="1260"/>
      <c r="AB949" s="1260"/>
      <c r="AC949" s="1260"/>
      <c r="AD949" s="1260"/>
      <c r="AE949" s="1260"/>
      <c r="AF949" s="1260"/>
      <c r="AG949" s="1260"/>
      <c r="AK949" s="1316"/>
      <c r="BB949" s="1193"/>
    </row>
    <row r="950" spans="1:54" s="1177" customFormat="1" ht="88.5" customHeight="1" outlineLevel="1" x14ac:dyDescent="0.25">
      <c r="A950" s="1197"/>
      <c r="B950" s="2118"/>
      <c r="C950" s="1200"/>
      <c r="D950" s="615" t="s">
        <v>3389</v>
      </c>
      <c r="E950" s="2232" t="s">
        <v>2049</v>
      </c>
      <c r="F950" s="2231">
        <f>AVERAGE(20.94,25.31,27.06,34.14)</f>
        <v>26.862500000000001</v>
      </c>
      <c r="G950" s="2901" t="s">
        <v>3390</v>
      </c>
      <c r="H950" s="2901"/>
      <c r="I950" s="1697" t="s">
        <v>2050</v>
      </c>
      <c r="J950" s="1197"/>
      <c r="K950" s="1197"/>
      <c r="L950" s="1197"/>
      <c r="M950" s="1197"/>
      <c r="N950" s="1197"/>
      <c r="O950" s="1197"/>
      <c r="P950" s="1197"/>
      <c r="Q950" s="1197"/>
      <c r="R950" s="1197"/>
      <c r="S950" s="1197"/>
      <c r="T950" s="1197"/>
      <c r="U950" s="1197"/>
      <c r="V950" s="1258" t="str">
        <f t="shared" si="190"/>
        <v>AEE</v>
      </c>
      <c r="W950" s="1398">
        <f>AVERAGE(20.94,25.31,27.06,34.14)</f>
        <v>26.862500000000001</v>
      </c>
      <c r="X950" s="1398">
        <f>AVERAGE(20.94,25.31,27.06,34.14)</f>
        <v>26.862500000000001</v>
      </c>
      <c r="Y950" s="1398">
        <f>AVERAGE(20.94,25.31,27.06,34.14)</f>
        <v>26.862500000000001</v>
      </c>
      <c r="Z950" s="1399"/>
      <c r="AA950" s="1399"/>
      <c r="AB950" s="1399"/>
      <c r="AC950" s="1399"/>
      <c r="AD950" s="1399"/>
      <c r="AE950" s="1399"/>
      <c r="AF950" s="1399"/>
      <c r="AG950" s="1399"/>
      <c r="AK950" s="1316"/>
      <c r="BB950" s="1193"/>
    </row>
    <row r="951" spans="1:54" s="1177" customFormat="1" ht="18" outlineLevel="1" x14ac:dyDescent="0.25">
      <c r="A951" s="1197"/>
      <c r="B951" s="2118"/>
      <c r="C951" s="1200"/>
      <c r="D951" s="615" t="s">
        <v>1093</v>
      </c>
      <c r="E951" s="2232" t="s">
        <v>2051</v>
      </c>
      <c r="F951" s="1389">
        <v>24</v>
      </c>
      <c r="G951" s="3095" t="s">
        <v>1984</v>
      </c>
      <c r="H951" s="3095"/>
      <c r="I951" s="1697" t="s">
        <v>2052</v>
      </c>
      <c r="J951" s="1197"/>
      <c r="K951" s="1197"/>
      <c r="L951" s="1197"/>
      <c r="M951" s="1197"/>
      <c r="N951" s="1197"/>
      <c r="O951" s="1197"/>
      <c r="P951" s="1197"/>
      <c r="Q951" s="1197"/>
      <c r="R951" s="1197"/>
      <c r="S951" s="1197"/>
      <c r="T951" s="1197"/>
      <c r="U951" s="1197"/>
      <c r="V951" s="1258" t="str">
        <f t="shared" si="190"/>
        <v>REE</v>
      </c>
      <c r="W951" s="1400">
        <v>24</v>
      </c>
      <c r="X951" s="1400">
        <v>24</v>
      </c>
      <c r="Y951" s="1400">
        <v>24</v>
      </c>
      <c r="Z951" s="1260"/>
      <c r="AA951" s="1260"/>
      <c r="AB951" s="1260"/>
      <c r="AC951" s="1260"/>
      <c r="AD951" s="1260"/>
      <c r="AE951" s="1260"/>
      <c r="AF951" s="1260"/>
      <c r="AG951" s="1260"/>
      <c r="AK951" s="1316"/>
      <c r="BB951" s="1193"/>
    </row>
    <row r="952" spans="1:54" s="1177" customFormat="1" ht="75" customHeight="1" outlineLevel="1" x14ac:dyDescent="0.25">
      <c r="A952" s="1197"/>
      <c r="B952" s="2118"/>
      <c r="C952" s="1200"/>
      <c r="D952" s="633" t="s">
        <v>1100</v>
      </c>
      <c r="E952" s="2232" t="s">
        <v>1101</v>
      </c>
      <c r="F952" s="1389">
        <v>58.9</v>
      </c>
      <c r="G952" s="3091" t="s">
        <v>1986</v>
      </c>
      <c r="H952" s="3091"/>
      <c r="I952" s="1697" t="s">
        <v>1809</v>
      </c>
      <c r="J952" s="1197"/>
      <c r="K952" s="1197"/>
      <c r="L952" s="1197"/>
      <c r="M952" s="1197"/>
      <c r="N952" s="1197"/>
      <c r="O952" s="1197"/>
      <c r="P952" s="1197"/>
      <c r="Q952" s="1197"/>
      <c r="R952" s="1197"/>
      <c r="S952" s="1197"/>
      <c r="T952" s="1197"/>
      <c r="U952" s="1197"/>
      <c r="V952" s="1258" t="str">
        <f t="shared" si="190"/>
        <v>DT</v>
      </c>
      <c r="W952" s="1400">
        <v>58.9</v>
      </c>
      <c r="X952" s="1400">
        <v>58.9</v>
      </c>
      <c r="Y952" s="1400">
        <v>58.9</v>
      </c>
      <c r="Z952" s="1260"/>
      <c r="AA952" s="1260"/>
      <c r="AB952" s="1260"/>
      <c r="AC952" s="1260"/>
      <c r="AD952" s="1260"/>
      <c r="AE952" s="1260"/>
      <c r="AF952" s="1260"/>
      <c r="AG952" s="1260"/>
      <c r="AK952" s="1316"/>
      <c r="BB952" s="1193"/>
    </row>
    <row r="953" spans="1:54" s="1177" customFormat="1" ht="58.5" customHeight="1" outlineLevel="1" x14ac:dyDescent="0.25">
      <c r="A953" s="1197"/>
      <c r="B953" s="2118"/>
      <c r="C953" s="1200"/>
      <c r="D953" s="615" t="s">
        <v>94</v>
      </c>
      <c r="E953" s="2232" t="s">
        <v>1104</v>
      </c>
      <c r="F953" s="1390">
        <v>8760</v>
      </c>
      <c r="G953" s="2901" t="s">
        <v>1086</v>
      </c>
      <c r="H953" s="2901"/>
      <c r="I953" s="1697" t="s">
        <v>1809</v>
      </c>
      <c r="J953" s="1197"/>
      <c r="K953" s="1197"/>
      <c r="L953" s="1197"/>
      <c r="M953" s="1197"/>
      <c r="N953" s="1197"/>
      <c r="O953" s="1197"/>
      <c r="P953" s="1197"/>
      <c r="Q953" s="1197"/>
      <c r="R953" s="1197"/>
      <c r="S953" s="1197"/>
      <c r="T953" s="1197"/>
      <c r="U953" s="1197"/>
      <c r="V953" s="1258" t="str">
        <f t="shared" si="190"/>
        <v>Hours</v>
      </c>
      <c r="W953" s="1401">
        <v>8760</v>
      </c>
      <c r="X953" s="1401">
        <v>8760</v>
      </c>
      <c r="Y953" s="1401">
        <v>8760</v>
      </c>
      <c r="Z953" s="1402"/>
      <c r="AA953" s="1402"/>
      <c r="AB953" s="1402"/>
      <c r="AC953" s="1402"/>
      <c r="AD953" s="1402"/>
      <c r="AE953" s="1402"/>
      <c r="AF953" s="1402"/>
      <c r="AG953" s="1402"/>
      <c r="AK953" s="1316"/>
      <c r="BB953" s="1193"/>
    </row>
    <row r="954" spans="1:54" s="1177" customFormat="1" ht="54" customHeight="1" outlineLevel="1" x14ac:dyDescent="0.25">
      <c r="A954" s="1197"/>
      <c r="B954" s="2118"/>
      <c r="C954" s="1200"/>
      <c r="D954" s="615" t="s">
        <v>1105</v>
      </c>
      <c r="E954" s="2232" t="s">
        <v>1106</v>
      </c>
      <c r="F954" s="1389">
        <v>0.98</v>
      </c>
      <c r="G954" s="3091" t="s">
        <v>1986</v>
      </c>
      <c r="H954" s="3091"/>
      <c r="I954" s="1697" t="s">
        <v>1809</v>
      </c>
      <c r="J954" s="1197"/>
      <c r="K954" s="1197"/>
      <c r="L954" s="1197"/>
      <c r="M954" s="1197"/>
      <c r="N954" s="1197"/>
      <c r="O954" s="1197"/>
      <c r="P954" s="1197"/>
      <c r="Q954" s="1197"/>
      <c r="R954" s="1197"/>
      <c r="S954" s="1197"/>
      <c r="T954" s="1197"/>
      <c r="U954" s="1197"/>
      <c r="V954" s="1258" t="str">
        <f t="shared" si="190"/>
        <v>ȠDHWElec</v>
      </c>
      <c r="W954" s="1400">
        <v>0.98</v>
      </c>
      <c r="X954" s="1400">
        <v>0.98</v>
      </c>
      <c r="Y954" s="1400">
        <v>0.98</v>
      </c>
      <c r="Z954" s="1260"/>
      <c r="AA954" s="1260"/>
      <c r="AB954" s="1260"/>
      <c r="AC954" s="1260"/>
      <c r="AD954" s="1260"/>
      <c r="AE954" s="1260"/>
      <c r="AF954" s="1260"/>
      <c r="AG954" s="1260"/>
      <c r="AK954" s="1316"/>
      <c r="BB954" s="1193"/>
    </row>
    <row r="955" spans="1:54" s="1177" customFormat="1" ht="48.75" customHeight="1" outlineLevel="1" x14ac:dyDescent="0.25">
      <c r="A955" s="1197"/>
      <c r="B955" s="2118"/>
      <c r="C955" s="1200"/>
      <c r="D955" s="615">
        <v>3412</v>
      </c>
      <c r="E955" s="2164" t="s">
        <v>1108</v>
      </c>
      <c r="F955" s="1651">
        <v>3412</v>
      </c>
      <c r="G955" s="2901" t="s">
        <v>1086</v>
      </c>
      <c r="H955" s="2901"/>
      <c r="I955" s="1697" t="s">
        <v>1809</v>
      </c>
      <c r="J955" s="1197"/>
      <c r="K955" s="1197"/>
      <c r="L955" s="1197"/>
      <c r="M955" s="1197"/>
      <c r="N955" s="1197"/>
      <c r="O955" s="1197"/>
      <c r="P955" s="1197"/>
      <c r="Q955" s="1197"/>
      <c r="R955" s="1197"/>
      <c r="S955" s="1197"/>
      <c r="T955" s="1197"/>
      <c r="U955" s="1197"/>
      <c r="V955" s="1258">
        <f t="shared" si="190"/>
        <v>3412</v>
      </c>
      <c r="W955" s="1403">
        <v>3412</v>
      </c>
      <c r="X955" s="1403">
        <v>3412</v>
      </c>
      <c r="Y955" s="1403">
        <v>3412</v>
      </c>
      <c r="Z955" s="1404"/>
      <c r="AA955" s="1404"/>
      <c r="AB955" s="1404"/>
      <c r="AC955" s="1404"/>
      <c r="AD955" s="1404"/>
      <c r="AE955" s="1404"/>
      <c r="AF955" s="1404"/>
      <c r="AG955" s="1404"/>
      <c r="AK955" s="1316"/>
      <c r="BB955" s="1193"/>
    </row>
    <row r="956" spans="1:54" s="1177" customFormat="1" ht="30" customHeight="1" outlineLevel="1" x14ac:dyDescent="0.25">
      <c r="A956" s="1197"/>
      <c r="B956" s="2118"/>
      <c r="C956" s="1200"/>
      <c r="D956" s="1642" t="s">
        <v>1109</v>
      </c>
      <c r="E956" s="1642" t="s">
        <v>1012</v>
      </c>
      <c r="F956" s="1392">
        <v>1</v>
      </c>
      <c r="G956" s="3004" t="s">
        <v>1003</v>
      </c>
      <c r="H956" s="3004"/>
      <c r="I956" s="1405"/>
      <c r="J956" s="1197"/>
      <c r="K956" s="1197"/>
      <c r="L956" s="1197"/>
      <c r="M956" s="1197"/>
      <c r="N956" s="1197"/>
      <c r="O956" s="1197"/>
      <c r="P956" s="1197"/>
      <c r="Q956" s="1197"/>
      <c r="R956" s="1197"/>
      <c r="S956" s="1197"/>
      <c r="T956" s="1197"/>
      <c r="U956" s="1197"/>
      <c r="V956" s="1258" t="str">
        <f t="shared" si="190"/>
        <v>*Electric Saturation</v>
      </c>
      <c r="W956" s="1386">
        <v>1</v>
      </c>
      <c r="X956" s="1386">
        <v>1</v>
      </c>
      <c r="Y956" s="1386">
        <v>1</v>
      </c>
      <c r="Z956" s="1259"/>
      <c r="AA956" s="1259"/>
      <c r="AB956" s="1259"/>
      <c r="AC956" s="1259"/>
      <c r="AD956" s="1259"/>
      <c r="AE956" s="1259"/>
      <c r="AF956" s="1259"/>
      <c r="AG956" s="1259"/>
      <c r="AK956" s="1316"/>
      <c r="BB956" s="1193"/>
    </row>
    <row r="957" spans="1:54" s="1177" customFormat="1" ht="30" customHeight="1" outlineLevel="1" x14ac:dyDescent="0.25">
      <c r="A957" s="1197"/>
      <c r="B957" s="2118"/>
      <c r="C957" s="1200"/>
      <c r="D957" s="1642" t="s">
        <v>956</v>
      </c>
      <c r="E957" s="1642" t="s">
        <v>1001</v>
      </c>
      <c r="F957" s="1392">
        <v>1</v>
      </c>
      <c r="G957" s="3004" t="s">
        <v>1003</v>
      </c>
      <c r="H957" s="3004"/>
      <c r="I957" s="1405"/>
      <c r="J957" s="1197"/>
      <c r="K957" s="1197"/>
      <c r="L957" s="1197"/>
      <c r="M957" s="1197"/>
      <c r="N957" s="1197"/>
      <c r="O957" s="1197"/>
      <c r="P957" s="1197"/>
      <c r="Q957" s="1197"/>
      <c r="R957" s="1197"/>
      <c r="S957" s="1197"/>
      <c r="T957" s="1197"/>
      <c r="U957" s="1197"/>
      <c r="V957" s="1258" t="str">
        <f t="shared" si="190"/>
        <v>Utility Adjustment</v>
      </c>
      <c r="W957" s="1386">
        <v>1</v>
      </c>
      <c r="X957" s="1386">
        <v>1</v>
      </c>
      <c r="Y957" s="1386">
        <v>1</v>
      </c>
      <c r="Z957" s="1259"/>
      <c r="AA957" s="1259"/>
      <c r="AB957" s="1259"/>
      <c r="AC957" s="1259"/>
      <c r="AD957" s="1259"/>
      <c r="AE957" s="1259"/>
      <c r="AF957" s="1259"/>
      <c r="AG957" s="1259"/>
      <c r="AK957" s="1316"/>
      <c r="BB957" s="1193"/>
    </row>
    <row r="958" spans="1:54" s="1177" customFormat="1" ht="15" customHeight="1" outlineLevel="1" x14ac:dyDescent="0.25">
      <c r="A958" s="1197"/>
      <c r="B958" s="2118"/>
      <c r="C958" s="1200"/>
      <c r="D958" s="1306" t="s">
        <v>82</v>
      </c>
      <c r="E958" s="1686" t="s">
        <v>1823</v>
      </c>
      <c r="F958" s="1389">
        <v>1</v>
      </c>
      <c r="G958" s="2986" t="s">
        <v>1824</v>
      </c>
      <c r="H958" s="2986"/>
      <c r="I958" s="1697" t="s">
        <v>1809</v>
      </c>
      <c r="J958" s="1197"/>
      <c r="K958" s="1197"/>
      <c r="L958" s="1197"/>
      <c r="M958" s="1197"/>
      <c r="N958" s="1197"/>
      <c r="O958" s="1197"/>
      <c r="P958" s="1197"/>
      <c r="Q958" s="1197"/>
      <c r="R958" s="1197"/>
      <c r="S958" s="1197"/>
      <c r="T958" s="1197"/>
      <c r="U958" s="1197"/>
      <c r="V958" s="1258" t="str">
        <f t="shared" si="190"/>
        <v>ISR</v>
      </c>
      <c r="W958" s="1388">
        <v>1</v>
      </c>
      <c r="X958" s="1388">
        <v>1</v>
      </c>
      <c r="Y958" s="1388">
        <v>1</v>
      </c>
      <c r="Z958" s="1261"/>
      <c r="AA958" s="1261"/>
      <c r="AB958" s="1261"/>
      <c r="AC958" s="1261"/>
      <c r="AD958" s="1261"/>
      <c r="AE958" s="1261"/>
      <c r="AF958" s="1261"/>
      <c r="AG958" s="1261"/>
      <c r="AK958" s="1316"/>
      <c r="BB958" s="1193"/>
    </row>
    <row r="959" spans="1:54" s="1177" customFormat="1" outlineLevel="1" x14ac:dyDescent="0.25">
      <c r="A959" s="1197"/>
      <c r="B959" s="2118"/>
      <c r="C959" s="443"/>
      <c r="D959" s="1681" t="str">
        <f>D933</f>
        <v>EUL</v>
      </c>
      <c r="E959" s="1681" t="str">
        <f>E898</f>
        <v>Effective Useful Life (All)</v>
      </c>
      <c r="F959" s="1393">
        <v>12</v>
      </c>
      <c r="G959" s="2986"/>
      <c r="H959" s="2986"/>
      <c r="I959" s="1697"/>
      <c r="J959" s="1197"/>
      <c r="K959" s="1197"/>
      <c r="L959" s="1197"/>
      <c r="M959" s="1197"/>
      <c r="N959" s="1197"/>
      <c r="O959" s="1197"/>
      <c r="P959" s="1197"/>
      <c r="Q959" s="1197"/>
      <c r="R959" s="1197"/>
      <c r="S959" s="1197"/>
      <c r="T959" s="1197"/>
      <c r="U959" s="1197"/>
      <c r="V959" s="1258" t="str">
        <f t="shared" si="190"/>
        <v>EUL</v>
      </c>
      <c r="W959" s="1262">
        <v>12</v>
      </c>
      <c r="X959" s="1262">
        <v>12</v>
      </c>
      <c r="Y959" s="1262">
        <v>12</v>
      </c>
      <c r="Z959" s="1354"/>
      <c r="AA959" s="1354"/>
      <c r="AB959" s="1354"/>
      <c r="AC959" s="1354"/>
      <c r="AD959" s="1354"/>
      <c r="AE959" s="1354"/>
      <c r="AF959" s="1354"/>
      <c r="AG959" s="1354"/>
      <c r="AK959" s="1316"/>
      <c r="BB959" s="1193"/>
    </row>
    <row r="960" spans="1:54" s="1177" customFormat="1" outlineLevel="1" x14ac:dyDescent="0.25">
      <c r="A960" s="1197"/>
      <c r="B960" s="2118"/>
      <c r="C960" s="443"/>
      <c r="D960" s="3071" t="str">
        <f>D934</f>
        <v>Inc. Cost</v>
      </c>
      <c r="E960" s="1681" t="str">
        <f>E899</f>
        <v>Incremental Cost - Non-DI</v>
      </c>
      <c r="F960" s="1394">
        <v>58</v>
      </c>
      <c r="G960" s="2986"/>
      <c r="H960" s="2986"/>
      <c r="I960" s="1697"/>
      <c r="J960" s="1197"/>
      <c r="K960" s="1197"/>
      <c r="L960" s="1197"/>
      <c r="M960" s="1197"/>
      <c r="N960" s="1197"/>
      <c r="O960" s="1197"/>
      <c r="P960" s="1197"/>
      <c r="Q960" s="1197"/>
      <c r="R960" s="1197"/>
      <c r="S960" s="1197"/>
      <c r="T960" s="1197"/>
      <c r="U960" s="1197"/>
      <c r="V960" s="3088" t="str">
        <f>D960</f>
        <v>Inc. Cost</v>
      </c>
      <c r="W960" s="1355">
        <v>58</v>
      </c>
      <c r="X960" s="1355">
        <v>58</v>
      </c>
      <c r="Y960" s="1355">
        <v>58</v>
      </c>
      <c r="Z960" s="1356"/>
      <c r="AA960" s="1356"/>
      <c r="AB960" s="1356"/>
      <c r="AC960" s="1356"/>
      <c r="AD960" s="1356"/>
      <c r="AE960" s="1356"/>
      <c r="AF960" s="1356"/>
      <c r="AG960" s="1356"/>
      <c r="AK960" s="1316"/>
      <c r="BB960" s="1193"/>
    </row>
    <row r="961" spans="1:57" s="1177" customFormat="1" outlineLevel="1" x14ac:dyDescent="0.25">
      <c r="A961" s="1197"/>
      <c r="B961" s="2118"/>
      <c r="C961" s="443"/>
      <c r="D961" s="2699"/>
      <c r="E961" s="1681" t="str">
        <f>E900</f>
        <v>Incremental Cost - Direct Install (DI)</v>
      </c>
      <c r="F961" s="1394">
        <v>58</v>
      </c>
      <c r="G961" s="2986"/>
      <c r="H961" s="2986"/>
      <c r="I961" s="1697"/>
      <c r="J961" s="1197"/>
      <c r="K961" s="1197"/>
      <c r="L961" s="1197"/>
      <c r="M961" s="1197"/>
      <c r="N961" s="1197"/>
      <c r="O961" s="1197"/>
      <c r="P961" s="1197"/>
      <c r="Q961" s="1197"/>
      <c r="R961" s="1197"/>
      <c r="S961" s="1197"/>
      <c r="T961" s="1197"/>
      <c r="U961" s="1197"/>
      <c r="V961" s="3070"/>
      <c r="W961" s="1355">
        <v>58</v>
      </c>
      <c r="X961" s="1355">
        <v>58</v>
      </c>
      <c r="Y961" s="1355">
        <v>58</v>
      </c>
      <c r="Z961" s="1356"/>
      <c r="AA961" s="1356"/>
      <c r="AB961" s="1356"/>
      <c r="AC961" s="1356"/>
      <c r="AD961" s="1356"/>
      <c r="AE961" s="1356"/>
      <c r="AF961" s="1356"/>
      <c r="AG961" s="1356"/>
      <c r="AK961" s="1316"/>
      <c r="BB961" s="1193"/>
    </row>
    <row r="962" spans="1:57" s="1177" customFormat="1" ht="15" customHeight="1" x14ac:dyDescent="0.25">
      <c r="A962" s="1197"/>
      <c r="B962" s="2118"/>
      <c r="C962" s="1194"/>
      <c r="D962" s="2172"/>
      <c r="E962" s="590"/>
      <c r="F962" s="1197"/>
      <c r="G962" s="1197"/>
      <c r="H962" s="1197"/>
      <c r="I962" s="1197"/>
      <c r="J962" s="1197"/>
      <c r="K962" s="1197"/>
      <c r="L962" s="1197"/>
      <c r="M962" s="1197"/>
      <c r="N962" s="1197"/>
      <c r="O962" s="1197"/>
      <c r="P962" s="1197"/>
      <c r="Q962" s="1197"/>
      <c r="R962" s="1197"/>
      <c r="S962" s="1197"/>
      <c r="T962" s="1197"/>
      <c r="U962" s="1197"/>
      <c r="Y962" s="2288" t="s">
        <v>1677</v>
      </c>
      <c r="Z962" s="1407"/>
      <c r="AA962" s="1407"/>
      <c r="AK962" s="1316"/>
      <c r="BB962" s="1193"/>
    </row>
    <row r="963" spans="1:57" s="1177" customFormat="1" ht="15" customHeight="1" x14ac:dyDescent="0.25">
      <c r="A963" s="1197"/>
      <c r="B963" s="2118"/>
      <c r="C963" s="1194"/>
      <c r="D963" s="590"/>
      <c r="E963" s="590"/>
      <c r="F963" s="2173"/>
      <c r="G963" s="2173"/>
      <c r="H963" s="1197"/>
      <c r="I963" s="1197"/>
      <c r="J963" s="1197"/>
      <c r="K963" s="1197"/>
      <c r="L963" s="1197"/>
      <c r="M963" s="1197"/>
      <c r="N963" s="1197"/>
      <c r="O963" s="1197"/>
      <c r="P963" s="1197"/>
      <c r="Q963" s="1197"/>
      <c r="R963" s="1197"/>
      <c r="S963" s="1197"/>
      <c r="T963" s="1197"/>
      <c r="U963" s="1197"/>
      <c r="Y963" s="1198"/>
      <c r="AK963" s="1316"/>
      <c r="BB963" s="1193"/>
    </row>
    <row r="964" spans="1:57" s="1177" customFormat="1" ht="15" customHeight="1" x14ac:dyDescent="0.25">
      <c r="A964" s="1197"/>
      <c r="B964" s="2639" t="s">
        <v>2053</v>
      </c>
      <c r="C964" s="2640"/>
      <c r="D964" s="2640"/>
      <c r="E964" s="2640"/>
      <c r="F964" s="2640"/>
      <c r="G964" s="2640"/>
      <c r="H964" s="2640"/>
      <c r="I964" s="2641"/>
      <c r="J964" s="2641"/>
      <c r="K964" s="2641"/>
      <c r="L964" s="2641"/>
      <c r="M964" s="2641"/>
      <c r="N964" s="2641"/>
      <c r="O964" s="2641"/>
      <c r="P964" s="2641"/>
      <c r="Q964" s="2641"/>
      <c r="R964" s="2642"/>
      <c r="S964" s="1197"/>
      <c r="T964" s="1197"/>
      <c r="U964" s="1197"/>
      <c r="V964" s="2639" t="str">
        <f>B964</f>
        <v>Common Area Faucet Aerators</v>
      </c>
      <c r="W964" s="2640"/>
      <c r="X964" s="2640"/>
      <c r="Y964" s="2640"/>
      <c r="Z964" s="2640"/>
      <c r="AA964" s="2640"/>
      <c r="AB964" s="2640"/>
      <c r="AC964" s="3096"/>
      <c r="AD964" s="3096"/>
      <c r="AE964" s="3096"/>
      <c r="AF964" s="3096"/>
      <c r="AG964" s="3096"/>
      <c r="AH964" s="3096"/>
      <c r="AI964" s="3097"/>
      <c r="AK964" s="1316"/>
      <c r="BB964" s="1193"/>
    </row>
    <row r="965" spans="1:57" s="1177" customFormat="1" ht="15" customHeight="1" x14ac:dyDescent="0.25">
      <c r="A965" s="1197"/>
      <c r="B965" s="1197"/>
      <c r="C965" s="1226"/>
      <c r="D965" s="2130"/>
      <c r="E965" s="2130"/>
      <c r="F965" s="1195"/>
      <c r="G965" s="1195"/>
      <c r="H965" s="1195"/>
      <c r="I965" s="1195"/>
      <c r="J965" s="1195"/>
      <c r="K965" s="1195"/>
      <c r="L965" s="2131"/>
      <c r="M965" s="1197"/>
      <c r="N965" s="1197"/>
      <c r="O965" s="1197"/>
      <c r="P965" s="1197"/>
      <c r="Q965" s="1197"/>
      <c r="R965" s="1197"/>
      <c r="S965" s="1197"/>
      <c r="T965" s="1197"/>
      <c r="U965" s="1197"/>
      <c r="V965" s="1177" t="str">
        <f>IF(C963&gt;0,C963," ")</f>
        <v xml:space="preserve"> </v>
      </c>
      <c r="Y965" s="1198"/>
      <c r="AK965" s="1316"/>
      <c r="BB965" s="1193"/>
    </row>
    <row r="966" spans="1:57" s="1177" customFormat="1" ht="30" x14ac:dyDescent="0.25">
      <c r="A966" s="1197"/>
      <c r="B966" s="2118"/>
      <c r="C966" s="1641" t="s">
        <v>17</v>
      </c>
      <c r="D966" s="1641" t="s">
        <v>662</v>
      </c>
      <c r="E966" s="1701" t="s">
        <v>19</v>
      </c>
      <c r="F966" s="1641" t="s">
        <v>1778</v>
      </c>
      <c r="G966" s="1641" t="s">
        <v>21</v>
      </c>
      <c r="H966" s="1641" t="s">
        <v>22</v>
      </c>
      <c r="I966" s="1641" t="s">
        <v>1007</v>
      </c>
      <c r="J966" s="1641" t="s">
        <v>23</v>
      </c>
      <c r="K966" s="1641" t="s">
        <v>24</v>
      </c>
      <c r="L966" s="1641" t="s">
        <v>25</v>
      </c>
      <c r="M966" s="1641" t="s">
        <v>26</v>
      </c>
      <c r="N966" s="1197"/>
      <c r="O966" s="1197"/>
      <c r="P966" s="1197"/>
      <c r="Q966" s="1197"/>
      <c r="R966" s="1197"/>
      <c r="S966" s="1197"/>
      <c r="T966" s="1197"/>
      <c r="U966" s="1197"/>
      <c r="V966" s="55" t="s">
        <v>27</v>
      </c>
      <c r="W966" s="56">
        <f>W$6</f>
        <v>43252</v>
      </c>
      <c r="X966" s="56">
        <f t="shared" ref="X966:AG966" si="191">X$6</f>
        <v>43465</v>
      </c>
      <c r="Y966" s="500">
        <f t="shared" si="191"/>
        <v>43800</v>
      </c>
      <c r="Z966" s="56">
        <f t="shared" si="191"/>
        <v>43862</v>
      </c>
      <c r="AA966" s="56" t="str">
        <f t="shared" si="191"/>
        <v>-</v>
      </c>
      <c r="AB966" s="56" t="str">
        <f t="shared" si="191"/>
        <v>-</v>
      </c>
      <c r="AC966" s="56" t="str">
        <f t="shared" si="191"/>
        <v>-</v>
      </c>
      <c r="AD966" s="56" t="str">
        <f t="shared" si="191"/>
        <v>-</v>
      </c>
      <c r="AE966" s="56" t="str">
        <f t="shared" si="191"/>
        <v>-</v>
      </c>
      <c r="AF966" s="56" t="str">
        <f t="shared" si="191"/>
        <v>-</v>
      </c>
      <c r="AG966" s="56" t="str">
        <f t="shared" si="191"/>
        <v>-</v>
      </c>
      <c r="AK966" s="1316"/>
      <c r="BB966" s="57" t="str">
        <f>$BB$6</f>
        <v>TRC (2020)</v>
      </c>
      <c r="BC966" s="103" t="str">
        <f>$BC$6</f>
        <v>Benefit Lookup</v>
      </c>
      <c r="BD966" s="883" t="str">
        <f>$BD$6</f>
        <v>Benefits (2019 $)</v>
      </c>
      <c r="BE966" s="334" t="str">
        <f>$BE$6</f>
        <v>Incremental Cost (2019 $)</v>
      </c>
    </row>
    <row r="967" spans="1:57" s="1177" customFormat="1" x14ac:dyDescent="0.25">
      <c r="A967" s="1197"/>
      <c r="B967" s="2118"/>
      <c r="C967" s="1927" t="s">
        <v>2054</v>
      </c>
      <c r="D967" s="1927" t="s">
        <v>1613</v>
      </c>
      <c r="E967" s="574" t="s">
        <v>2055</v>
      </c>
      <c r="F967" s="1332">
        <f>ROUND(F978*(F979-F980)/F979*F981*I967*F989,2)</f>
        <v>28.4</v>
      </c>
      <c r="G967" s="1927" t="s">
        <v>1922</v>
      </c>
      <c r="H967" s="239">
        <f>VLOOKUP(G967,'CP FACTORS'!$A$3:$B$38, 2, FALSE)</f>
        <v>8.8731800000000003E-5</v>
      </c>
      <c r="I967" s="2127">
        <f>F982*F983*(F984-F985)/(F986*F987)</f>
        <v>7.1497655334114896E-2</v>
      </c>
      <c r="J967" s="2186">
        <f>ROUND(F967*H967,6)</f>
        <v>2.5200000000000001E-3</v>
      </c>
      <c r="K967" s="1647">
        <f>F990</f>
        <v>10</v>
      </c>
      <c r="L967" s="1395">
        <f>F991</f>
        <v>11.33</v>
      </c>
      <c r="M967" s="1927" t="s">
        <v>37</v>
      </c>
      <c r="N967" s="1197"/>
      <c r="O967" s="1197"/>
      <c r="P967" s="1197"/>
      <c r="Q967" s="1197"/>
      <c r="R967" s="1197"/>
      <c r="S967" s="1197"/>
      <c r="T967" s="1197"/>
      <c r="U967" s="1197"/>
      <c r="V967" s="1314" t="str">
        <f>$F$905</f>
        <v>kWh
Annual Savings</v>
      </c>
      <c r="W967" s="1408">
        <v>28.404855002397959</v>
      </c>
      <c r="X967" s="1408">
        <v>28.404855002397959</v>
      </c>
      <c r="Y967" s="1261">
        <v>28.4</v>
      </c>
      <c r="Z967" s="1314"/>
      <c r="AA967" s="1314"/>
      <c r="AB967" s="1314"/>
      <c r="AC967" s="1314"/>
      <c r="AD967" s="1314"/>
      <c r="AE967" s="1314"/>
      <c r="AF967" s="1314"/>
      <c r="AG967" s="1314"/>
      <c r="AK967" s="1316"/>
      <c r="BB967" s="1396">
        <f t="shared" ref="BB967" si="192">(BD967)/(BE967)</f>
        <v>0.89573969671987408</v>
      </c>
      <c r="BC967" s="69" t="str">
        <f>CONCATENATE(G967," ",K967," Year EUL")</f>
        <v>Water heating RES 10 Year EUL</v>
      </c>
      <c r="BD967" s="251">
        <f>(INDEX('Avoided Cost Benefits'!$C$4:$C$857,MATCH(BC967,'Avoided Cost Benefits'!$A$4:$A$857,0)))*F967</f>
        <v>9.5787926039038904</v>
      </c>
      <c r="BE967" s="1397">
        <f>L967/(1.0595^(2020-2019))</f>
        <v>10.693723454459649</v>
      </c>
    </row>
    <row r="968" spans="1:57" s="1177" customFormat="1" outlineLevel="1" x14ac:dyDescent="0.25">
      <c r="A968" s="1197"/>
      <c r="B968" s="2118"/>
      <c r="C968" s="1194"/>
      <c r="D968" s="588"/>
      <c r="E968" s="588"/>
      <c r="F968" s="1344"/>
      <c r="G968" s="1194"/>
      <c r="H968" s="2233"/>
      <c r="I968" s="1409"/>
      <c r="J968" s="1409"/>
      <c r="K968" s="1409"/>
      <c r="L968" s="1205"/>
      <c r="M968" s="1197"/>
      <c r="N968" s="1197"/>
      <c r="O968" s="1197"/>
      <c r="P968" s="1197"/>
      <c r="Q968" s="1197"/>
      <c r="R968" s="1197"/>
      <c r="S968" s="1197"/>
      <c r="T968" s="1197"/>
      <c r="U968" s="1197"/>
      <c r="Y968" s="1198"/>
      <c r="AK968" s="1316"/>
      <c r="BB968" s="1193"/>
    </row>
    <row r="969" spans="1:57" s="1177" customFormat="1" outlineLevel="1" x14ac:dyDescent="0.25">
      <c r="A969" s="1197"/>
      <c r="B969" s="2118"/>
      <c r="C969" s="1194"/>
      <c r="D969" s="590"/>
      <c r="E969" s="590"/>
      <c r="F969" s="2234"/>
      <c r="G969" s="1226"/>
      <c r="H969" s="2235"/>
      <c r="I969" s="1197"/>
      <c r="J969" s="1197"/>
      <c r="K969" s="1197"/>
      <c r="L969" s="1197"/>
      <c r="M969" s="1197"/>
      <c r="N969" s="1197"/>
      <c r="O969" s="1197"/>
      <c r="P969" s="1197"/>
      <c r="Q969" s="1197"/>
      <c r="R969" s="1197"/>
      <c r="S969" s="1197"/>
      <c r="T969" s="1197"/>
      <c r="U969" s="1197"/>
      <c r="Y969" s="1198"/>
      <c r="AK969" s="1316"/>
      <c r="BB969" s="1193"/>
    </row>
    <row r="970" spans="1:57" s="1177" customFormat="1" outlineLevel="1" x14ac:dyDescent="0.25">
      <c r="A970" s="1197"/>
      <c r="B970" s="2118"/>
      <c r="C970" s="1194"/>
      <c r="D970" s="259" t="s">
        <v>617</v>
      </c>
      <c r="E970" s="590"/>
      <c r="F970" s="2234"/>
      <c r="G970" s="1197"/>
      <c r="H970" s="1226"/>
      <c r="I970" s="1197"/>
      <c r="J970" s="1197"/>
      <c r="K970" s="1197"/>
      <c r="L970" s="1197"/>
      <c r="M970" s="1197"/>
      <c r="N970" s="1197"/>
      <c r="O970" s="1197"/>
      <c r="P970" s="1197"/>
      <c r="Q970" s="1197"/>
      <c r="R970" s="1197"/>
      <c r="S970" s="1197"/>
      <c r="T970" s="1197"/>
      <c r="U970" s="1197"/>
      <c r="Y970" s="1198"/>
      <c r="AK970" s="1316"/>
      <c r="BB970" s="1193"/>
    </row>
    <row r="971" spans="1:57" s="1177" customFormat="1" outlineLevel="1" x14ac:dyDescent="0.25">
      <c r="A971" s="1197"/>
      <c r="B971" s="2118"/>
      <c r="C971" s="1199"/>
      <c r="D971" s="2236"/>
      <c r="E971" s="2237"/>
      <c r="F971" s="2238"/>
      <c r="G971" s="2238"/>
      <c r="H971" s="1197"/>
      <c r="I971" s="1197"/>
      <c r="J971" s="1197"/>
      <c r="K971" s="1197"/>
      <c r="L971" s="1197"/>
      <c r="M971" s="1197"/>
      <c r="N971" s="1197"/>
      <c r="O971" s="1197"/>
      <c r="P971" s="1197"/>
      <c r="Q971" s="1197"/>
      <c r="R971" s="1197"/>
      <c r="S971" s="1197"/>
      <c r="T971" s="1197"/>
      <c r="U971" s="1197"/>
      <c r="Y971" s="1198"/>
      <c r="AK971" s="1316"/>
      <c r="BB971" s="1193"/>
    </row>
    <row r="972" spans="1:57" s="1177" customFormat="1" outlineLevel="1" x14ac:dyDescent="0.25">
      <c r="A972" s="1197"/>
      <c r="B972" s="2118"/>
      <c r="C972" s="1199"/>
      <c r="D972" s="2236"/>
      <c r="E972" s="2237"/>
      <c r="F972" s="2238"/>
      <c r="G972" s="2238"/>
      <c r="H972" s="1197"/>
      <c r="I972" s="1197"/>
      <c r="J972" s="1197"/>
      <c r="K972" s="1197"/>
      <c r="L972" s="1197"/>
      <c r="M972" s="1197"/>
      <c r="N972" s="1197"/>
      <c r="O972" s="1197"/>
      <c r="P972" s="1197"/>
      <c r="Q972" s="1197"/>
      <c r="R972" s="1197"/>
      <c r="S972" s="1197"/>
      <c r="T972" s="1197"/>
      <c r="U972" s="1197"/>
      <c r="Y972" s="1198"/>
      <c r="AK972" s="1316"/>
      <c r="BB972" s="1193"/>
    </row>
    <row r="973" spans="1:57" s="1177" customFormat="1" outlineLevel="1" x14ac:dyDescent="0.25">
      <c r="A973" s="1197"/>
      <c r="B973" s="2118"/>
      <c r="C973" s="1199"/>
      <c r="D973" s="2236"/>
      <c r="E973" s="2237"/>
      <c r="F973" s="2238"/>
      <c r="G973" s="2238"/>
      <c r="H973" s="1197"/>
      <c r="I973" s="1197"/>
      <c r="J973" s="1197"/>
      <c r="K973" s="1197"/>
      <c r="L973" s="1197"/>
      <c r="M973" s="1197"/>
      <c r="N973" s="1197"/>
      <c r="O973" s="1197"/>
      <c r="P973" s="1197"/>
      <c r="Q973" s="1197"/>
      <c r="R973" s="1197"/>
      <c r="S973" s="1197"/>
      <c r="T973" s="1197"/>
      <c r="U973" s="1197"/>
      <c r="Y973" s="1198"/>
      <c r="AK973" s="1316"/>
      <c r="BB973" s="1193"/>
    </row>
    <row r="974" spans="1:57" s="1177" customFormat="1" outlineLevel="1" x14ac:dyDescent="0.25">
      <c r="A974" s="1197"/>
      <c r="B974" s="2118"/>
      <c r="C974" s="1199"/>
      <c r="D974" s="2236"/>
      <c r="E974" s="2237"/>
      <c r="F974" s="2238"/>
      <c r="G974" s="2238"/>
      <c r="H974" s="1197"/>
      <c r="I974" s="1197"/>
      <c r="J974" s="1197"/>
      <c r="K974" s="1197"/>
      <c r="L974" s="1197"/>
      <c r="M974" s="1197"/>
      <c r="N974" s="1197"/>
      <c r="O974" s="1197"/>
      <c r="P974" s="1197"/>
      <c r="Q974" s="1197"/>
      <c r="R974" s="1197"/>
      <c r="S974" s="1197"/>
      <c r="T974" s="1197"/>
      <c r="U974" s="1197"/>
      <c r="Y974" s="1198"/>
      <c r="AK974" s="1316"/>
      <c r="BB974" s="1193"/>
    </row>
    <row r="975" spans="1:57" s="1177" customFormat="1" outlineLevel="1" x14ac:dyDescent="0.25">
      <c r="A975" s="1197"/>
      <c r="B975" s="2118"/>
      <c r="C975" s="1200"/>
      <c r="D975" s="2218"/>
      <c r="E975" s="2219"/>
      <c r="F975" s="2220"/>
      <c r="G975" s="2220"/>
      <c r="H975" s="1197"/>
      <c r="I975" s="1197"/>
      <c r="J975" s="1197"/>
      <c r="K975" s="1197"/>
      <c r="L975" s="1197"/>
      <c r="M975" s="1197"/>
      <c r="N975" s="1197"/>
      <c r="O975" s="1197"/>
      <c r="P975" s="1197"/>
      <c r="Q975" s="1197"/>
      <c r="R975" s="1197"/>
      <c r="S975" s="1197"/>
      <c r="T975" s="1197"/>
      <c r="U975" s="1197"/>
      <c r="Y975" s="1198"/>
      <c r="AK975" s="1316"/>
      <c r="BB975" s="1193"/>
    </row>
    <row r="976" spans="1:57" s="1177" customFormat="1" outlineLevel="1" x14ac:dyDescent="0.25">
      <c r="A976" s="1197"/>
      <c r="B976" s="2118"/>
      <c r="C976" s="1194"/>
      <c r="D976" s="588"/>
      <c r="E976" s="590"/>
      <c r="F976" s="1197"/>
      <c r="G976" s="1197"/>
      <c r="H976" s="1197"/>
      <c r="I976" s="1197"/>
      <c r="J976" s="1197"/>
      <c r="K976" s="1197"/>
      <c r="L976" s="1197"/>
      <c r="M976" s="1197"/>
      <c r="N976" s="1197"/>
      <c r="O976" s="1197"/>
      <c r="P976" s="1197"/>
      <c r="Q976" s="1197"/>
      <c r="R976" s="1197"/>
      <c r="S976" s="1197"/>
      <c r="T976" s="1197"/>
      <c r="U976" s="1197"/>
      <c r="Y976" s="1198"/>
      <c r="AK976" s="1316"/>
      <c r="BB976" s="1193"/>
    </row>
    <row r="977" spans="1:54" s="1177" customFormat="1" ht="45.75" customHeight="1" outlineLevel="1" x14ac:dyDescent="0.25">
      <c r="A977" s="1197"/>
      <c r="B977" s="2118"/>
      <c r="C977" s="1194"/>
      <c r="D977" s="1701" t="s">
        <v>618</v>
      </c>
      <c r="E977" s="1701" t="s">
        <v>619</v>
      </c>
      <c r="F977" s="1641" t="s">
        <v>2056</v>
      </c>
      <c r="G977" s="2722" t="s">
        <v>2057</v>
      </c>
      <c r="H977" s="2723"/>
      <c r="I977" s="1641" t="s">
        <v>621</v>
      </c>
      <c r="J977" s="1197"/>
      <c r="K977" s="1197"/>
      <c r="L977" s="1197"/>
      <c r="M977" s="1197"/>
      <c r="N977" s="1197"/>
      <c r="O977" s="1197"/>
      <c r="P977" s="1197"/>
      <c r="Q977" s="1197"/>
      <c r="R977" s="1197"/>
      <c r="S977" s="1197"/>
      <c r="T977" s="1197"/>
      <c r="U977" s="1197"/>
      <c r="V977" s="55" t="s">
        <v>27</v>
      </c>
      <c r="W977" s="56">
        <f>W$6</f>
        <v>43252</v>
      </c>
      <c r="X977" s="56">
        <f t="shared" ref="X977:AG977" si="193">X$6</f>
        <v>43465</v>
      </c>
      <c r="Y977" s="500">
        <f t="shared" si="193"/>
        <v>43800</v>
      </c>
      <c r="Z977" s="56">
        <f t="shared" si="193"/>
        <v>43862</v>
      </c>
      <c r="AA977" s="56" t="str">
        <f t="shared" si="193"/>
        <v>-</v>
      </c>
      <c r="AB977" s="56" t="str">
        <f t="shared" si="193"/>
        <v>-</v>
      </c>
      <c r="AC977" s="56" t="str">
        <f t="shared" si="193"/>
        <v>-</v>
      </c>
      <c r="AD977" s="56" t="str">
        <f t="shared" si="193"/>
        <v>-</v>
      </c>
      <c r="AE977" s="56" t="str">
        <f t="shared" si="193"/>
        <v>-</v>
      </c>
      <c r="AF977" s="56" t="str">
        <f t="shared" si="193"/>
        <v>-</v>
      </c>
      <c r="AG977" s="56" t="str">
        <f t="shared" si="193"/>
        <v>-</v>
      </c>
      <c r="AK977" s="1316"/>
      <c r="BB977" s="1193"/>
    </row>
    <row r="978" spans="1:54" s="1177" customFormat="1" ht="15" customHeight="1" outlineLevel="1" x14ac:dyDescent="0.25">
      <c r="A978" s="1197"/>
      <c r="B978" s="2118"/>
      <c r="C978" s="1226"/>
      <c r="D978" s="1642" t="s">
        <v>1011</v>
      </c>
      <c r="E978" s="1642" t="s">
        <v>1012</v>
      </c>
      <c r="F978" s="1341">
        <v>1</v>
      </c>
      <c r="G978" s="3004" t="s">
        <v>1003</v>
      </c>
      <c r="H978" s="3004"/>
      <c r="I978" s="1682" t="s">
        <v>2058</v>
      </c>
      <c r="J978" s="1197"/>
      <c r="K978" s="1197"/>
      <c r="L978" s="1197"/>
      <c r="M978" s="1197"/>
      <c r="N978" s="1197"/>
      <c r="O978" s="1197"/>
      <c r="P978" s="1197"/>
      <c r="Q978" s="1197"/>
      <c r="R978" s="1197"/>
      <c r="S978" s="1197"/>
      <c r="T978" s="1197"/>
      <c r="U978" s="1197"/>
      <c r="V978" s="1258" t="str">
        <f>D978</f>
        <v>%Electric DHW</v>
      </c>
      <c r="W978" s="1341">
        <v>1</v>
      </c>
      <c r="X978" s="1341">
        <v>1</v>
      </c>
      <c r="Y978" s="1341">
        <v>1</v>
      </c>
      <c r="Z978" s="1341"/>
      <c r="AA978" s="1341"/>
      <c r="AB978" s="1341"/>
      <c r="AC978" s="1341"/>
      <c r="AD978" s="1341"/>
      <c r="AE978" s="1341"/>
      <c r="AF978" s="1341"/>
      <c r="AG978" s="1341"/>
      <c r="AK978" s="1316"/>
      <c r="BB978" s="1193"/>
    </row>
    <row r="979" spans="1:54" s="1177" customFormat="1" ht="146.25" customHeight="1" outlineLevel="1" x14ac:dyDescent="0.25">
      <c r="A979" s="1197"/>
      <c r="B979" s="2118"/>
      <c r="C979" s="1226"/>
      <c r="D979" s="1642" t="s">
        <v>3386</v>
      </c>
      <c r="E979" s="1642" t="s">
        <v>1059</v>
      </c>
      <c r="F979" s="1372">
        <v>2.2000000000000002</v>
      </c>
      <c r="G979" s="2699" t="s">
        <v>1060</v>
      </c>
      <c r="H979" s="2699"/>
      <c r="I979" s="1682" t="s">
        <v>1930</v>
      </c>
      <c r="J979" s="1197"/>
      <c r="K979" s="1197"/>
      <c r="L979" s="1197"/>
      <c r="M979" s="1197"/>
      <c r="N979" s="1197"/>
      <c r="O979" s="1197"/>
      <c r="P979" s="1197"/>
      <c r="Q979" s="1197"/>
      <c r="R979" s="1197"/>
      <c r="S979" s="1197"/>
      <c r="T979" s="1197"/>
      <c r="U979" s="1197"/>
      <c r="V979" s="1258" t="str">
        <f t="shared" ref="V979:V990" si="194">D979</f>
        <v>GPMbase</v>
      </c>
      <c r="W979" s="1372">
        <v>2.2000000000000002</v>
      </c>
      <c r="X979" s="1372">
        <v>2.2000000000000002</v>
      </c>
      <c r="Y979" s="1372">
        <v>2.2000000000000002</v>
      </c>
      <c r="Z979" s="1372"/>
      <c r="AA979" s="1372"/>
      <c r="AB979" s="1372"/>
      <c r="AC979" s="1372"/>
      <c r="AD979" s="1372"/>
      <c r="AE979" s="1372"/>
      <c r="AF979" s="1372"/>
      <c r="AG979" s="1372"/>
      <c r="AK979" s="1316"/>
      <c r="BB979" s="1193"/>
    </row>
    <row r="980" spans="1:54" s="1177" customFormat="1" ht="30" customHeight="1" outlineLevel="1" x14ac:dyDescent="0.25">
      <c r="A980" s="1197"/>
      <c r="B980" s="2118"/>
      <c r="C980" s="1226"/>
      <c r="D980" s="1642" t="s">
        <v>3387</v>
      </c>
      <c r="E980" s="1642" t="s">
        <v>1064</v>
      </c>
      <c r="F980" s="1372">
        <v>1.5</v>
      </c>
      <c r="G980" s="2699" t="s">
        <v>1933</v>
      </c>
      <c r="H980" s="2699"/>
      <c r="I980" s="1682" t="s">
        <v>1930</v>
      </c>
      <c r="J980" s="1197"/>
      <c r="K980" s="1197"/>
      <c r="L980" s="1197"/>
      <c r="M980" s="1197"/>
      <c r="N980" s="1197"/>
      <c r="O980" s="1197"/>
      <c r="P980" s="1197"/>
      <c r="Q980" s="1197"/>
      <c r="R980" s="1197"/>
      <c r="S980" s="1197"/>
      <c r="T980" s="1197"/>
      <c r="U980" s="1197"/>
      <c r="V980" s="1258" t="str">
        <f t="shared" si="194"/>
        <v>Lbase</v>
      </c>
      <c r="W980" s="1372">
        <v>1.5</v>
      </c>
      <c r="X980" s="1372">
        <v>1.5</v>
      </c>
      <c r="Y980" s="1372">
        <v>1.5</v>
      </c>
      <c r="Z980" s="1372"/>
      <c r="AA980" s="1372"/>
      <c r="AB980" s="1372"/>
      <c r="AC980" s="1372"/>
      <c r="AD980" s="1372"/>
      <c r="AE980" s="1372"/>
      <c r="AF980" s="1372"/>
      <c r="AG980" s="1372"/>
      <c r="AK980" s="1316"/>
      <c r="BB980" s="1193"/>
    </row>
    <row r="981" spans="1:54" s="1177" customFormat="1" ht="85.5" customHeight="1" outlineLevel="1" x14ac:dyDescent="0.25">
      <c r="A981" s="1197"/>
      <c r="B981" s="2118"/>
      <c r="C981" s="1226"/>
      <c r="D981" s="1642" t="s">
        <v>2059</v>
      </c>
      <c r="E981" s="2164" t="s">
        <v>2060</v>
      </c>
      <c r="F981" s="1372">
        <v>1278</v>
      </c>
      <c r="G981" s="2986" t="s">
        <v>1964</v>
      </c>
      <c r="H981" s="2986"/>
      <c r="I981" s="1682" t="s">
        <v>2061</v>
      </c>
      <c r="J981" s="1197"/>
      <c r="K981" s="1197"/>
      <c r="L981" s="1197"/>
      <c r="M981" s="1197"/>
      <c r="N981" s="1197"/>
      <c r="O981" s="1197"/>
      <c r="P981" s="1197"/>
      <c r="Q981" s="1197"/>
      <c r="R981" s="1197"/>
      <c r="S981" s="1197"/>
      <c r="T981" s="1197"/>
      <c r="U981" s="1197"/>
      <c r="V981" s="1258" t="str">
        <f t="shared" si="194"/>
        <v>Usage</v>
      </c>
      <c r="W981" s="1372">
        <v>1278</v>
      </c>
      <c r="X981" s="1372">
        <v>1278</v>
      </c>
      <c r="Y981" s="1372">
        <v>1278</v>
      </c>
      <c r="Z981" s="1372"/>
      <c r="AA981" s="1372"/>
      <c r="AB981" s="1372"/>
      <c r="AC981" s="1372"/>
      <c r="AD981" s="1372"/>
      <c r="AE981" s="1372"/>
      <c r="AF981" s="1372"/>
      <c r="AG981" s="1372"/>
      <c r="AK981" s="1316"/>
      <c r="BB981" s="1193"/>
    </row>
    <row r="982" spans="1:54" s="1177" customFormat="1" ht="15" customHeight="1" outlineLevel="1" x14ac:dyDescent="0.25">
      <c r="A982" s="1197"/>
      <c r="B982" s="2118"/>
      <c r="C982" s="1226"/>
      <c r="D982" s="615">
        <v>8.33</v>
      </c>
      <c r="E982" s="2164" t="s">
        <v>1033</v>
      </c>
      <c r="F982" s="1372">
        <v>8.33</v>
      </c>
      <c r="G982" s="3004" t="s">
        <v>1034</v>
      </c>
      <c r="H982" s="3004"/>
      <c r="I982" s="1682" t="s">
        <v>1930</v>
      </c>
      <c r="J982" s="1197"/>
      <c r="K982" s="1197"/>
      <c r="L982" s="1197"/>
      <c r="M982" s="1197"/>
      <c r="N982" s="1197"/>
      <c r="O982" s="1197"/>
      <c r="P982" s="1197"/>
      <c r="Q982" s="1197"/>
      <c r="R982" s="1197"/>
      <c r="S982" s="1197"/>
      <c r="T982" s="1197"/>
      <c r="U982" s="1197"/>
      <c r="V982" s="1258">
        <f t="shared" si="194"/>
        <v>8.33</v>
      </c>
      <c r="W982" s="1372">
        <v>8.33</v>
      </c>
      <c r="X982" s="1372">
        <v>8.33</v>
      </c>
      <c r="Y982" s="1372">
        <v>8.33</v>
      </c>
      <c r="Z982" s="1372"/>
      <c r="AA982" s="1372"/>
      <c r="AB982" s="1372"/>
      <c r="AC982" s="1372"/>
      <c r="AD982" s="1372"/>
      <c r="AE982" s="1372"/>
      <c r="AF982" s="1372"/>
      <c r="AG982" s="1372"/>
      <c r="AK982" s="1316"/>
      <c r="BB982" s="1193"/>
    </row>
    <row r="983" spans="1:54" s="1177" customFormat="1" ht="15" customHeight="1" outlineLevel="1" x14ac:dyDescent="0.25">
      <c r="A983" s="1197"/>
      <c r="B983" s="2118"/>
      <c r="C983" s="1226"/>
      <c r="D983" s="615">
        <v>1</v>
      </c>
      <c r="E983" s="2232" t="s">
        <v>1940</v>
      </c>
      <c r="F983" s="1372">
        <v>1</v>
      </c>
      <c r="G983" s="2699" t="s">
        <v>1036</v>
      </c>
      <c r="H983" s="2699"/>
      <c r="I983" s="1682" t="s">
        <v>1930</v>
      </c>
      <c r="J983" s="1197"/>
      <c r="K983" s="1197"/>
      <c r="L983" s="1197"/>
      <c r="M983" s="1197"/>
      <c r="N983" s="1197"/>
      <c r="O983" s="1197"/>
      <c r="P983" s="1197"/>
      <c r="Q983" s="1197"/>
      <c r="R983" s="1197"/>
      <c r="S983" s="1197"/>
      <c r="T983" s="1197"/>
      <c r="U983" s="1197"/>
      <c r="V983" s="1258">
        <f t="shared" si="194"/>
        <v>1</v>
      </c>
      <c r="W983" s="1372">
        <v>1</v>
      </c>
      <c r="X983" s="1372">
        <v>1</v>
      </c>
      <c r="Y983" s="1372">
        <v>1</v>
      </c>
      <c r="Z983" s="1372"/>
      <c r="AA983" s="1372"/>
      <c r="AB983" s="1372"/>
      <c r="AC983" s="1372"/>
      <c r="AD983" s="1372"/>
      <c r="AE983" s="1372"/>
      <c r="AF983" s="1372"/>
      <c r="AG983" s="1372"/>
      <c r="AK983" s="1316"/>
      <c r="BB983" s="1193"/>
    </row>
    <row r="984" spans="1:54" s="1177" customFormat="1" ht="15" customHeight="1" outlineLevel="1" x14ac:dyDescent="0.25">
      <c r="A984" s="1197"/>
      <c r="B984" s="2118"/>
      <c r="C984" s="1226"/>
      <c r="D984" s="1642" t="s">
        <v>1037</v>
      </c>
      <c r="E984" s="2164" t="s">
        <v>1941</v>
      </c>
      <c r="F984" s="1372">
        <v>90</v>
      </c>
      <c r="G984" s="2986" t="s">
        <v>2062</v>
      </c>
      <c r="H984" s="2986"/>
      <c r="I984" s="1682" t="s">
        <v>2063</v>
      </c>
      <c r="J984" s="1197"/>
      <c r="K984" s="1197"/>
      <c r="L984" s="1197"/>
      <c r="M984" s="1197"/>
      <c r="N984" s="1197"/>
      <c r="O984" s="1197"/>
      <c r="P984" s="1197"/>
      <c r="Q984" s="1197"/>
      <c r="R984" s="1197"/>
      <c r="S984" s="1197"/>
      <c r="T984" s="1197"/>
      <c r="U984" s="1197"/>
      <c r="V984" s="1258" t="str">
        <f t="shared" si="194"/>
        <v>WaterTemp</v>
      </c>
      <c r="W984" s="1372">
        <v>90</v>
      </c>
      <c r="X984" s="1372">
        <v>90</v>
      </c>
      <c r="Y984" s="1372">
        <v>90</v>
      </c>
      <c r="Z984" s="1372"/>
      <c r="AA984" s="1372"/>
      <c r="AB984" s="1372"/>
      <c r="AC984" s="1372"/>
      <c r="AD984" s="1372"/>
      <c r="AE984" s="1372"/>
      <c r="AF984" s="1372"/>
      <c r="AG984" s="1372"/>
      <c r="AK984" s="1316"/>
      <c r="BB984" s="1193"/>
    </row>
    <row r="985" spans="1:54" s="1177" customFormat="1" ht="60" customHeight="1" outlineLevel="1" x14ac:dyDescent="0.25">
      <c r="A985" s="1197"/>
      <c r="B985" s="2118"/>
      <c r="C985" s="1226"/>
      <c r="D985" s="1642" t="s">
        <v>1040</v>
      </c>
      <c r="E985" s="2164" t="s">
        <v>1943</v>
      </c>
      <c r="F985" s="1372">
        <v>61.3</v>
      </c>
      <c r="G985" s="2699" t="s">
        <v>1042</v>
      </c>
      <c r="H985" s="2699"/>
      <c r="I985" s="1682" t="s">
        <v>1930</v>
      </c>
      <c r="J985" s="1197"/>
      <c r="K985" s="1197"/>
      <c r="L985" s="1197"/>
      <c r="M985" s="1197"/>
      <c r="N985" s="1197"/>
      <c r="O985" s="1197"/>
      <c r="P985" s="1197"/>
      <c r="Q985" s="1197"/>
      <c r="R985" s="1197"/>
      <c r="S985" s="1197"/>
      <c r="T985" s="1197"/>
      <c r="U985" s="1197"/>
      <c r="V985" s="1258" t="str">
        <f t="shared" si="194"/>
        <v>SupplyTemp</v>
      </c>
      <c r="W985" s="1372">
        <v>61.3</v>
      </c>
      <c r="X985" s="1372">
        <v>61.3</v>
      </c>
      <c r="Y985" s="1372">
        <v>61.3</v>
      </c>
      <c r="Z985" s="1372"/>
      <c r="AA985" s="1372"/>
      <c r="AB985" s="1372"/>
      <c r="AC985" s="1372"/>
      <c r="AD985" s="1372"/>
      <c r="AE985" s="1372"/>
      <c r="AF985" s="1372"/>
      <c r="AG985" s="1372"/>
      <c r="AK985" s="1316"/>
      <c r="BB985" s="1193"/>
    </row>
    <row r="986" spans="1:54" s="1177" customFormat="1" ht="30" customHeight="1" outlineLevel="1" x14ac:dyDescent="0.25">
      <c r="A986" s="1197"/>
      <c r="B986" s="2118"/>
      <c r="C986" s="1226"/>
      <c r="D986" s="1642" t="s">
        <v>2038</v>
      </c>
      <c r="E986" s="1686" t="s">
        <v>1944</v>
      </c>
      <c r="F986" s="1372">
        <v>0.98</v>
      </c>
      <c r="G986" s="2986" t="s">
        <v>1945</v>
      </c>
      <c r="H986" s="2986"/>
      <c r="I986" s="1682" t="s">
        <v>1930</v>
      </c>
      <c r="J986" s="1197"/>
      <c r="K986" s="1197"/>
      <c r="L986" s="1197"/>
      <c r="M986" s="1197"/>
      <c r="N986" s="1197"/>
      <c r="O986" s="1197"/>
      <c r="P986" s="1197"/>
      <c r="Q986" s="1197"/>
      <c r="R986" s="1197"/>
      <c r="S986" s="1197"/>
      <c r="T986" s="1197"/>
      <c r="U986" s="1197"/>
      <c r="V986" s="1258" t="str">
        <f t="shared" si="194"/>
        <v>REelectric</v>
      </c>
      <c r="W986" s="1372">
        <v>0.98</v>
      </c>
      <c r="X986" s="1372">
        <v>0.98</v>
      </c>
      <c r="Y986" s="1372">
        <v>0.98</v>
      </c>
      <c r="Z986" s="1372"/>
      <c r="AA986" s="1372"/>
      <c r="AB986" s="1372"/>
      <c r="AC986" s="1372"/>
      <c r="AD986" s="1372"/>
      <c r="AE986" s="1372"/>
      <c r="AF986" s="1372"/>
      <c r="AG986" s="1372"/>
      <c r="AK986" s="1316"/>
      <c r="BB986" s="1193"/>
    </row>
    <row r="987" spans="1:54" s="1177" customFormat="1" ht="15" customHeight="1" outlineLevel="1" x14ac:dyDescent="0.25">
      <c r="A987" s="1197"/>
      <c r="B987" s="2118"/>
      <c r="C987" s="1226"/>
      <c r="D987" s="1642">
        <v>3412</v>
      </c>
      <c r="E987" s="1686">
        <v>3412</v>
      </c>
      <c r="F987" s="1372">
        <v>3412</v>
      </c>
      <c r="G987" s="3004" t="s">
        <v>701</v>
      </c>
      <c r="H987" s="3004"/>
      <c r="I987" s="1682" t="s">
        <v>2039</v>
      </c>
      <c r="J987" s="1197"/>
      <c r="K987" s="1197"/>
      <c r="L987" s="1197"/>
      <c r="M987" s="1197"/>
      <c r="N987" s="1197"/>
      <c r="O987" s="1197"/>
      <c r="P987" s="1197"/>
      <c r="Q987" s="1197"/>
      <c r="R987" s="1197"/>
      <c r="S987" s="1197"/>
      <c r="T987" s="1197"/>
      <c r="U987" s="1197"/>
      <c r="V987" s="1258">
        <f t="shared" si="194"/>
        <v>3412</v>
      </c>
      <c r="W987" s="1372">
        <v>3412</v>
      </c>
      <c r="X987" s="1372">
        <v>3412</v>
      </c>
      <c r="Y987" s="1372">
        <v>3412</v>
      </c>
      <c r="Z987" s="1372"/>
      <c r="AA987" s="1372"/>
      <c r="AB987" s="1372"/>
      <c r="AC987" s="1372"/>
      <c r="AD987" s="1372"/>
      <c r="AE987" s="1372"/>
      <c r="AF987" s="1372"/>
      <c r="AG987" s="1372"/>
      <c r="AK987" s="1316"/>
      <c r="BB987" s="1193"/>
    </row>
    <row r="988" spans="1:54" s="1177" customFormat="1" ht="15" customHeight="1" outlineLevel="1" x14ac:dyDescent="0.25">
      <c r="A988" s="1197"/>
      <c r="B988" s="2118"/>
      <c r="C988" s="1226"/>
      <c r="D988" s="1642" t="s">
        <v>956</v>
      </c>
      <c r="E988" s="1642" t="s">
        <v>1001</v>
      </c>
      <c r="F988" s="1341">
        <v>1</v>
      </c>
      <c r="G988" s="3004" t="s">
        <v>1003</v>
      </c>
      <c r="H988" s="3004"/>
      <c r="I988" s="1682"/>
      <c r="J988" s="1197"/>
      <c r="K988" s="1197"/>
      <c r="L988" s="1197"/>
      <c r="M988" s="1197"/>
      <c r="N988" s="1197"/>
      <c r="O988" s="1197"/>
      <c r="P988" s="1197"/>
      <c r="Q988" s="1197"/>
      <c r="R988" s="1197"/>
      <c r="S988" s="1197"/>
      <c r="T988" s="1197"/>
      <c r="U988" s="1197"/>
      <c r="V988" s="1258" t="str">
        <f t="shared" si="194"/>
        <v>Utility Adjustment</v>
      </c>
      <c r="W988" s="1341">
        <v>1</v>
      </c>
      <c r="X988" s="1341">
        <v>1</v>
      </c>
      <c r="Y988" s="1341">
        <v>1</v>
      </c>
      <c r="Z988" s="1341"/>
      <c r="AA988" s="1341"/>
      <c r="AB988" s="1341"/>
      <c r="AC988" s="1341"/>
      <c r="AD988" s="1341"/>
      <c r="AE988" s="1341"/>
      <c r="AF988" s="1341"/>
      <c r="AG988" s="1341"/>
      <c r="AK988" s="1316"/>
      <c r="BB988" s="1193"/>
    </row>
    <row r="989" spans="1:54" s="1177" customFormat="1" ht="30" customHeight="1" outlineLevel="1" x14ac:dyDescent="0.25">
      <c r="A989" s="1197"/>
      <c r="B989" s="2118"/>
      <c r="C989" s="1226"/>
      <c r="D989" s="1642" t="s">
        <v>82</v>
      </c>
      <c r="E989" s="1686" t="s">
        <v>1823</v>
      </c>
      <c r="F989" s="1410">
        <v>0.97699999999999998</v>
      </c>
      <c r="G989" s="2986" t="s">
        <v>1964</v>
      </c>
      <c r="H989" s="2986"/>
      <c r="I989" s="1685"/>
      <c r="J989" s="1197"/>
      <c r="K989" s="1197"/>
      <c r="L989" s="1197"/>
      <c r="M989" s="1197"/>
      <c r="N989" s="1197"/>
      <c r="O989" s="1197"/>
      <c r="P989" s="1197"/>
      <c r="Q989" s="1197"/>
      <c r="R989" s="1197"/>
      <c r="S989" s="1197"/>
      <c r="T989" s="1197"/>
      <c r="U989" s="1197"/>
      <c r="V989" s="1258" t="str">
        <f t="shared" si="194"/>
        <v>ISR</v>
      </c>
      <c r="W989" s="1410">
        <v>0.97699999999999998</v>
      </c>
      <c r="X989" s="1410">
        <v>0.97699999999999998</v>
      </c>
      <c r="Y989" s="1410">
        <v>0.97699999999999998</v>
      </c>
      <c r="Z989" s="1410"/>
      <c r="AA989" s="1410"/>
      <c r="AB989" s="1410"/>
      <c r="AC989" s="1410"/>
      <c r="AD989" s="1410"/>
      <c r="AE989" s="1410"/>
      <c r="AF989" s="1410"/>
      <c r="AG989" s="1410"/>
      <c r="AK989" s="1316"/>
      <c r="BB989" s="1193"/>
    </row>
    <row r="990" spans="1:54" s="1177" customFormat="1" outlineLevel="1" x14ac:dyDescent="0.25">
      <c r="A990" s="1197"/>
      <c r="B990" s="2118"/>
      <c r="C990" s="443"/>
      <c r="D990" s="1681" t="str">
        <f>D959</f>
        <v>EUL</v>
      </c>
      <c r="E990" s="1681" t="str">
        <f>E959</f>
        <v>Effective Useful Life (All)</v>
      </c>
      <c r="F990" s="1393">
        <v>10</v>
      </c>
      <c r="G990" s="2986"/>
      <c r="H990" s="2986"/>
      <c r="I990" s="1697"/>
      <c r="J990" s="1197"/>
      <c r="K990" s="1197"/>
      <c r="L990" s="1197"/>
      <c r="M990" s="1197"/>
      <c r="N990" s="1197"/>
      <c r="O990" s="1197"/>
      <c r="P990" s="1197"/>
      <c r="Q990" s="1197"/>
      <c r="R990" s="1197"/>
      <c r="S990" s="1197"/>
      <c r="T990" s="1197"/>
      <c r="U990" s="1197"/>
      <c r="V990" s="1258" t="str">
        <f t="shared" si="194"/>
        <v>EUL</v>
      </c>
      <c r="W990" s="1262">
        <v>10</v>
      </c>
      <c r="X990" s="1262">
        <v>10</v>
      </c>
      <c r="Y990" s="1262">
        <v>10</v>
      </c>
      <c r="Z990" s="1354"/>
      <c r="AA990" s="1354"/>
      <c r="AB990" s="1354"/>
      <c r="AC990" s="1354"/>
      <c r="AD990" s="1354"/>
      <c r="AE990" s="1354"/>
      <c r="AF990" s="1354"/>
      <c r="AG990" s="1354"/>
      <c r="AK990" s="1316"/>
      <c r="BB990" s="1193"/>
    </row>
    <row r="991" spans="1:54" s="1177" customFormat="1" outlineLevel="1" x14ac:dyDescent="0.25">
      <c r="A991" s="1197"/>
      <c r="B991" s="2118"/>
      <c r="C991" s="443"/>
      <c r="D991" s="3098" t="str">
        <f>D960</f>
        <v>Inc. Cost</v>
      </c>
      <c r="E991" s="1681" t="str">
        <f>E960</f>
        <v>Incremental Cost - Non-DI</v>
      </c>
      <c r="F991" s="1394">
        <v>11.33</v>
      </c>
      <c r="G991" s="2986"/>
      <c r="H991" s="2986"/>
      <c r="I991" s="1697"/>
      <c r="J991" s="1197"/>
      <c r="K991" s="1197"/>
      <c r="L991" s="1197"/>
      <c r="M991" s="1197"/>
      <c r="N991" s="1197"/>
      <c r="O991" s="1197"/>
      <c r="P991" s="1197"/>
      <c r="Q991" s="1197"/>
      <c r="R991" s="1197"/>
      <c r="S991" s="1197"/>
      <c r="T991" s="1197"/>
      <c r="U991" s="1197"/>
      <c r="V991" s="3088" t="str">
        <f>D991</f>
        <v>Inc. Cost</v>
      </c>
      <c r="W991" s="1355">
        <v>11.33</v>
      </c>
      <c r="X991" s="1355">
        <v>11.33</v>
      </c>
      <c r="Y991" s="1355">
        <v>11.33</v>
      </c>
      <c r="Z991" s="1356"/>
      <c r="AA991" s="1356"/>
      <c r="AB991" s="1356"/>
      <c r="AC991" s="1356"/>
      <c r="AD991" s="1356"/>
      <c r="AE991" s="1356"/>
      <c r="AF991" s="1356"/>
      <c r="AG991" s="1356"/>
      <c r="AK991" s="1316"/>
      <c r="BB991" s="1193"/>
    </row>
    <row r="992" spans="1:54" s="1177" customFormat="1" outlineLevel="1" x14ac:dyDescent="0.25">
      <c r="A992" s="1197"/>
      <c r="B992" s="2118"/>
      <c r="C992" s="443"/>
      <c r="D992" s="3099"/>
      <c r="E992" s="1681" t="str">
        <f>E961</f>
        <v>Incremental Cost - Direct Install (DI)</v>
      </c>
      <c r="F992" s="1394">
        <v>11.33</v>
      </c>
      <c r="G992" s="2986"/>
      <c r="H992" s="2986"/>
      <c r="I992" s="1697"/>
      <c r="J992" s="1197"/>
      <c r="K992" s="1197"/>
      <c r="L992" s="1197"/>
      <c r="M992" s="1197"/>
      <c r="N992" s="1197"/>
      <c r="O992" s="1197"/>
      <c r="P992" s="1197"/>
      <c r="Q992" s="1197"/>
      <c r="R992" s="1197"/>
      <c r="S992" s="1197"/>
      <c r="T992" s="1197"/>
      <c r="U992" s="1197"/>
      <c r="V992" s="3070"/>
      <c r="W992" s="1355">
        <v>11.33</v>
      </c>
      <c r="X992" s="1355">
        <v>11.33</v>
      </c>
      <c r="Y992" s="1355">
        <v>11.33</v>
      </c>
      <c r="Z992" s="1356"/>
      <c r="AA992" s="1356"/>
      <c r="AB992" s="1356"/>
      <c r="AC992" s="1356"/>
      <c r="AD992" s="1356"/>
      <c r="AE992" s="1356"/>
      <c r="AF992" s="1356"/>
      <c r="AG992" s="1356"/>
      <c r="AK992" s="1316"/>
      <c r="BB992" s="1193"/>
    </row>
    <row r="993" spans="1:57" s="1177" customFormat="1" ht="15" customHeight="1" x14ac:dyDescent="0.25">
      <c r="A993" s="1197"/>
      <c r="B993" s="2118"/>
      <c r="C993" s="443"/>
      <c r="D993" s="590"/>
      <c r="E993" s="590"/>
      <c r="F993" s="1197"/>
      <c r="G993" s="1197"/>
      <c r="H993" s="1197"/>
      <c r="I993" s="1197"/>
      <c r="J993" s="1197"/>
      <c r="K993" s="1197"/>
      <c r="L993" s="1197"/>
      <c r="M993" s="1197"/>
      <c r="N993" s="1197"/>
      <c r="O993" s="1197"/>
      <c r="P993" s="1197"/>
      <c r="Q993" s="1197"/>
      <c r="R993" s="1197"/>
      <c r="S993" s="1197"/>
      <c r="T993" s="1197"/>
      <c r="U993" s="1197"/>
      <c r="X993" s="1197"/>
      <c r="Y993" s="2288" t="s">
        <v>2064</v>
      </c>
      <c r="Z993" s="1247"/>
      <c r="AA993" s="1247"/>
      <c r="AK993" s="1316"/>
      <c r="BB993" s="1193"/>
    </row>
    <row r="994" spans="1:57" s="1177" customFormat="1" ht="15" customHeight="1" x14ac:dyDescent="0.25">
      <c r="A994" s="1197"/>
      <c r="B994" s="2118"/>
      <c r="C994" s="1194"/>
      <c r="D994" s="590"/>
      <c r="E994" s="590"/>
      <c r="F994" s="1197"/>
      <c r="G994" s="1197"/>
      <c r="H994" s="1197"/>
      <c r="I994" s="1197"/>
      <c r="J994" s="1197"/>
      <c r="K994" s="1197"/>
      <c r="L994" s="1197"/>
      <c r="M994" s="1197"/>
      <c r="N994" s="1197"/>
      <c r="O994" s="1197"/>
      <c r="P994" s="1197"/>
      <c r="Q994" s="1197"/>
      <c r="R994" s="1197"/>
      <c r="S994" s="1197"/>
      <c r="T994" s="1197"/>
      <c r="U994" s="1197"/>
      <c r="Y994" s="1198"/>
      <c r="AK994" s="1316"/>
      <c r="BB994" s="1193"/>
    </row>
    <row r="995" spans="1:57" s="1177" customFormat="1" x14ac:dyDescent="0.25">
      <c r="A995" s="1197"/>
      <c r="B995" s="2639" t="s">
        <v>2065</v>
      </c>
      <c r="C995" s="2640"/>
      <c r="D995" s="2640"/>
      <c r="E995" s="2640"/>
      <c r="F995" s="2640"/>
      <c r="G995" s="2640"/>
      <c r="H995" s="2640"/>
      <c r="I995" s="2641"/>
      <c r="J995" s="2641"/>
      <c r="K995" s="2641"/>
      <c r="L995" s="2641"/>
      <c r="M995" s="2641"/>
      <c r="N995" s="2641"/>
      <c r="O995" s="2641"/>
      <c r="P995" s="2641"/>
      <c r="Q995" s="2641"/>
      <c r="R995" s="2642"/>
      <c r="S995" s="1197"/>
      <c r="T995" s="1197"/>
      <c r="U995" s="1197"/>
      <c r="V995" s="2639" t="str">
        <f>B995</f>
        <v xml:space="preserve">Common Area Low Flow Showerheads </v>
      </c>
      <c r="W995" s="2640"/>
      <c r="X995" s="2640"/>
      <c r="Y995" s="2640"/>
      <c r="Z995" s="2640"/>
      <c r="AA995" s="2640"/>
      <c r="AB995" s="2640"/>
      <c r="AC995" s="3096"/>
      <c r="AD995" s="3096"/>
      <c r="AE995" s="3096"/>
      <c r="AF995" s="3096"/>
      <c r="AG995" s="3096"/>
      <c r="AH995" s="3096"/>
      <c r="AI995" s="3097"/>
      <c r="AK995" s="1316"/>
      <c r="BB995" s="1193"/>
    </row>
    <row r="996" spans="1:57" s="1177" customFormat="1" x14ac:dyDescent="0.25">
      <c r="A996" s="1197"/>
      <c r="B996" s="1197"/>
      <c r="C996" s="1226"/>
      <c r="D996" s="2130"/>
      <c r="E996" s="2130"/>
      <c r="F996" s="1195"/>
      <c r="G996" s="1195"/>
      <c r="H996" s="1195"/>
      <c r="I996" s="1195"/>
      <c r="J996" s="1195"/>
      <c r="K996" s="1195"/>
      <c r="L996" s="2131"/>
      <c r="M996" s="1197"/>
      <c r="N996" s="1197"/>
      <c r="O996" s="1197"/>
      <c r="P996" s="1197"/>
      <c r="Q996" s="1197"/>
      <c r="R996" s="1197"/>
      <c r="S996" s="1197"/>
      <c r="T996" s="1197"/>
      <c r="U996" s="1197"/>
      <c r="V996" s="1177" t="str">
        <f>IF(C994&gt;0,C994," ")</f>
        <v xml:space="preserve"> </v>
      </c>
      <c r="Y996" s="1198"/>
      <c r="AK996" s="1316"/>
      <c r="BB996" s="1193"/>
    </row>
    <row r="997" spans="1:57" s="1177" customFormat="1" ht="49.5" customHeight="1" x14ac:dyDescent="0.25">
      <c r="A997" s="1197"/>
      <c r="B997" s="2118"/>
      <c r="C997" s="1641" t="s">
        <v>17</v>
      </c>
      <c r="D997" s="1641" t="s">
        <v>662</v>
      </c>
      <c r="E997" s="1641" t="s">
        <v>19</v>
      </c>
      <c r="F997" s="1641" t="s">
        <v>1778</v>
      </c>
      <c r="G997" s="1641" t="s">
        <v>21</v>
      </c>
      <c r="H997" s="1641" t="s">
        <v>22</v>
      </c>
      <c r="I997" s="1641" t="s">
        <v>1007</v>
      </c>
      <c r="J997" s="1641" t="s">
        <v>23</v>
      </c>
      <c r="K997" s="1641" t="s">
        <v>24</v>
      </c>
      <c r="L997" s="1641" t="s">
        <v>25</v>
      </c>
      <c r="M997" s="1641" t="s">
        <v>26</v>
      </c>
      <c r="N997" s="1197"/>
      <c r="O997" s="1197"/>
      <c r="P997" s="1197"/>
      <c r="Q997" s="1197"/>
      <c r="R997" s="1197"/>
      <c r="S997" s="1197"/>
      <c r="T997" s="1197"/>
      <c r="U997" s="1197"/>
      <c r="V997" s="55" t="s">
        <v>27</v>
      </c>
      <c r="W997" s="56">
        <f>W$6</f>
        <v>43252</v>
      </c>
      <c r="X997" s="56">
        <f t="shared" ref="X997:AG997" si="195">X$6</f>
        <v>43465</v>
      </c>
      <c r="Y997" s="500">
        <f t="shared" si="195"/>
        <v>43800</v>
      </c>
      <c r="Z997" s="56">
        <f t="shared" si="195"/>
        <v>43862</v>
      </c>
      <c r="AA997" s="56" t="str">
        <f t="shared" si="195"/>
        <v>-</v>
      </c>
      <c r="AB997" s="56" t="str">
        <f t="shared" si="195"/>
        <v>-</v>
      </c>
      <c r="AC997" s="56" t="str">
        <f t="shared" si="195"/>
        <v>-</v>
      </c>
      <c r="AD997" s="56" t="str">
        <f t="shared" si="195"/>
        <v>-</v>
      </c>
      <c r="AE997" s="56" t="str">
        <f t="shared" si="195"/>
        <v>-</v>
      </c>
      <c r="AF997" s="56" t="str">
        <f t="shared" si="195"/>
        <v>-</v>
      </c>
      <c r="AG997" s="56" t="str">
        <f t="shared" si="195"/>
        <v>-</v>
      </c>
      <c r="AK997" s="1316"/>
      <c r="BB997" s="57" t="str">
        <f>$BB$6</f>
        <v>TRC (2020)</v>
      </c>
      <c r="BC997" s="103" t="str">
        <f>$BC$6</f>
        <v>Benefit Lookup</v>
      </c>
      <c r="BD997" s="883" t="str">
        <f>$BD$6</f>
        <v>Benefits (2019 $)</v>
      </c>
      <c r="BE997" s="334" t="str">
        <f>$BE$6</f>
        <v>Incremental Cost (2019 $)</v>
      </c>
    </row>
    <row r="998" spans="1:57" s="1177" customFormat="1" x14ac:dyDescent="0.25">
      <c r="A998" s="1197"/>
      <c r="B998" s="2118"/>
      <c r="C998" s="1927" t="s">
        <v>2066</v>
      </c>
      <c r="D998" s="1927" t="s">
        <v>1924</v>
      </c>
      <c r="E998" s="574" t="s">
        <v>2067</v>
      </c>
      <c r="F998" s="1332">
        <f>ROUND(F1008*((F1009*F1010-F1011*F1012)*F1013*F1014)*I998*F1022*F1021,2)</f>
        <v>213.29</v>
      </c>
      <c r="G998" s="1927" t="s">
        <v>1922</v>
      </c>
      <c r="H998" s="239">
        <f>VLOOKUP(G998,'CP FACTORS'!$A$3:$B$38, 2, FALSE)</f>
        <v>8.8731800000000003E-5</v>
      </c>
      <c r="I998" s="2127">
        <f>F1015*F1016*(F1017-F1018)/(F1019*F1020)</f>
        <v>0.10886576787807739</v>
      </c>
      <c r="J998" s="2186">
        <f>ROUND(F998*H998,6)</f>
        <v>1.8925999999999998E-2</v>
      </c>
      <c r="K998" s="157">
        <f>F1023</f>
        <v>10</v>
      </c>
      <c r="L998" s="2239">
        <f>F1024</f>
        <v>7</v>
      </c>
      <c r="M998" s="1927" t="s">
        <v>37</v>
      </c>
      <c r="N998" s="1197"/>
      <c r="O998" s="1197"/>
      <c r="P998" s="1197"/>
      <c r="Q998" s="1197"/>
      <c r="R998" s="1197"/>
      <c r="S998" s="1197"/>
      <c r="T998" s="1197"/>
      <c r="U998" s="1197"/>
      <c r="V998" s="1314" t="str">
        <f>$F$905</f>
        <v>kWh
Annual Savings</v>
      </c>
      <c r="W998" s="1408">
        <v>213.28849188496486</v>
      </c>
      <c r="X998" s="1408">
        <v>213.28849188496486</v>
      </c>
      <c r="Y998" s="1261">
        <v>213.29</v>
      </c>
      <c r="Z998" s="1314"/>
      <c r="AA998" s="1314"/>
      <c r="AB998" s="1314"/>
      <c r="AC998" s="1314"/>
      <c r="AD998" s="1314"/>
      <c r="AE998" s="1314"/>
      <c r="AF998" s="1314"/>
      <c r="AG998" s="1314"/>
      <c r="AK998" s="1316"/>
      <c r="BB998" s="1396">
        <f t="shared" ref="BB998" si="196">(BD998)/(BE998)</f>
        <v>10.888444590636908</v>
      </c>
      <c r="BC998" s="69" t="str">
        <f>CONCATENATE(G998," ",K998," Year EUL")</f>
        <v>Water heating RES 10 Year EUL</v>
      </c>
      <c r="BD998" s="251">
        <f>(INDEX('Avoided Cost Benefits'!$C$4:$C$857,MATCH(BC998,'Avoided Cost Benefits'!$A$4:$A$857,0)))*F998</f>
        <v>71.938756143896512</v>
      </c>
      <c r="BE998" s="1397">
        <f>L998/(1.0595^(2020-2019))</f>
        <v>6.6068900424728643</v>
      </c>
    </row>
    <row r="999" spans="1:57" s="1177" customFormat="1" outlineLevel="1" x14ac:dyDescent="0.25">
      <c r="A999" s="1197"/>
      <c r="B999" s="2118"/>
      <c r="C999" s="1194"/>
      <c r="D999" s="590"/>
      <c r="E999" s="590"/>
      <c r="F999" s="2240"/>
      <c r="G999" s="1226"/>
      <c r="H999" s="2235"/>
      <c r="I999" s="1411"/>
      <c r="J999" s="1411"/>
      <c r="K999" s="1411"/>
      <c r="L999" s="1197"/>
      <c r="M999" s="1248"/>
      <c r="N999" s="1197"/>
      <c r="O999" s="1197"/>
      <c r="P999" s="1197"/>
      <c r="Q999" s="1197"/>
      <c r="R999" s="1197"/>
      <c r="S999" s="1197"/>
      <c r="T999" s="1197"/>
      <c r="U999" s="1197"/>
      <c r="V999" s="1385"/>
      <c r="Y999" s="1198"/>
      <c r="AK999" s="1316"/>
      <c r="BB999" s="1193"/>
    </row>
    <row r="1000" spans="1:57" s="1177" customFormat="1" outlineLevel="1" x14ac:dyDescent="0.25">
      <c r="A1000" s="1197"/>
      <c r="B1000" s="2118"/>
      <c r="C1000" s="1194"/>
      <c r="D1000" s="259" t="s">
        <v>617</v>
      </c>
      <c r="E1000" s="590"/>
      <c r="F1000" s="2240"/>
      <c r="G1000" s="1226"/>
      <c r="H1000" s="2235"/>
      <c r="I1000" s="1411"/>
      <c r="J1000" s="1411"/>
      <c r="K1000" s="1411"/>
      <c r="L1000" s="1197"/>
      <c r="M1000" s="1248"/>
      <c r="N1000" s="1197"/>
      <c r="O1000" s="1197"/>
      <c r="P1000" s="1197"/>
      <c r="Q1000" s="1197"/>
      <c r="R1000" s="1197"/>
      <c r="S1000" s="1197"/>
      <c r="T1000" s="1197"/>
      <c r="U1000" s="1197"/>
      <c r="V1000" s="1385"/>
      <c r="Y1000" s="1198"/>
      <c r="AK1000" s="1316"/>
      <c r="BB1000" s="1193"/>
    </row>
    <row r="1001" spans="1:57" s="1177" customFormat="1" outlineLevel="1" x14ac:dyDescent="0.25">
      <c r="A1001" s="1197"/>
      <c r="B1001" s="2118"/>
      <c r="C1001" s="1194"/>
      <c r="D1001" s="590"/>
      <c r="E1001" s="590"/>
      <c r="F1001" s="1197"/>
      <c r="G1001" s="1197"/>
      <c r="H1001" s="1197"/>
      <c r="I1001" s="1197"/>
      <c r="J1001" s="1197"/>
      <c r="K1001" s="1197"/>
      <c r="L1001" s="1197"/>
      <c r="M1001" s="1248"/>
      <c r="N1001" s="1197"/>
      <c r="O1001" s="1197"/>
      <c r="P1001" s="1197"/>
      <c r="Q1001" s="1197"/>
      <c r="R1001" s="1197"/>
      <c r="S1001" s="1197"/>
      <c r="T1001" s="1197"/>
      <c r="U1001" s="1197"/>
      <c r="Y1001" s="1198"/>
      <c r="AK1001" s="1316"/>
      <c r="BB1001" s="1193"/>
    </row>
    <row r="1002" spans="1:57" s="1177" customFormat="1" outlineLevel="1" x14ac:dyDescent="0.25">
      <c r="A1002" s="1197"/>
      <c r="B1002" s="2118"/>
      <c r="C1002" s="1199"/>
      <c r="D1002" s="2236"/>
      <c r="E1002" s="2237"/>
      <c r="F1002" s="2241"/>
      <c r="G1002" s="1205"/>
      <c r="H1002" s="1205"/>
      <c r="I1002" s="1197"/>
      <c r="J1002" s="1197"/>
      <c r="K1002" s="1197"/>
      <c r="L1002" s="1197"/>
      <c r="M1002" s="1197"/>
      <c r="N1002" s="1197"/>
      <c r="O1002" s="1197"/>
      <c r="P1002" s="1197"/>
      <c r="Q1002" s="1197"/>
      <c r="R1002" s="1197"/>
      <c r="S1002" s="1197"/>
      <c r="T1002" s="1197"/>
      <c r="U1002" s="1197"/>
      <c r="Y1002" s="1198"/>
      <c r="AK1002" s="1316"/>
      <c r="BB1002" s="1193"/>
    </row>
    <row r="1003" spans="1:57" s="1177" customFormat="1" outlineLevel="1" x14ac:dyDescent="0.25">
      <c r="A1003" s="1197"/>
      <c r="B1003" s="2118"/>
      <c r="C1003" s="1200"/>
      <c r="D1003" s="2218"/>
      <c r="E1003" s="2219"/>
      <c r="F1003" s="2242"/>
      <c r="G1003" s="1205"/>
      <c r="H1003" s="1205"/>
      <c r="I1003" s="1197"/>
      <c r="J1003" s="1197"/>
      <c r="K1003" s="1197"/>
      <c r="L1003" s="1197"/>
      <c r="M1003" s="1197"/>
      <c r="N1003" s="1197"/>
      <c r="O1003" s="1197"/>
      <c r="P1003" s="1197"/>
      <c r="Q1003" s="1197"/>
      <c r="R1003" s="1197"/>
      <c r="S1003" s="1197"/>
      <c r="T1003" s="1197"/>
      <c r="U1003" s="1197"/>
      <c r="Y1003" s="1198"/>
      <c r="AK1003" s="1316"/>
      <c r="BB1003" s="1193"/>
    </row>
    <row r="1004" spans="1:57" s="1177" customFormat="1" outlineLevel="1" x14ac:dyDescent="0.25">
      <c r="A1004" s="1197"/>
      <c r="B1004" s="2118"/>
      <c r="C1004" s="1200"/>
      <c r="D1004" s="2218"/>
      <c r="E1004" s="2219"/>
      <c r="F1004" s="2242"/>
      <c r="G1004" s="1205"/>
      <c r="H1004" s="1205"/>
      <c r="I1004" s="1197"/>
      <c r="J1004" s="1197"/>
      <c r="K1004" s="1197"/>
      <c r="L1004" s="1197"/>
      <c r="M1004" s="1197"/>
      <c r="N1004" s="1197"/>
      <c r="O1004" s="1197"/>
      <c r="P1004" s="1197"/>
      <c r="Q1004" s="1197"/>
      <c r="R1004" s="1197"/>
      <c r="S1004" s="1197"/>
      <c r="T1004" s="1197"/>
      <c r="U1004" s="1197"/>
      <c r="Y1004" s="1198"/>
      <c r="AK1004" s="1316"/>
      <c r="BB1004" s="1193"/>
    </row>
    <row r="1005" spans="1:57" s="1177" customFormat="1" ht="15" customHeight="1" outlineLevel="1" x14ac:dyDescent="0.25">
      <c r="A1005" s="1197"/>
      <c r="B1005" s="2118"/>
      <c r="C1005" s="1200"/>
      <c r="D1005" s="2218"/>
      <c r="E1005" s="2219"/>
      <c r="F1005" s="2242"/>
      <c r="G1005" s="1205"/>
      <c r="H1005" s="1205"/>
      <c r="I1005" s="1197"/>
      <c r="J1005" s="1197"/>
      <c r="K1005" s="1197"/>
      <c r="L1005" s="1197"/>
      <c r="M1005" s="1197"/>
      <c r="N1005" s="1197"/>
      <c r="O1005" s="1197"/>
      <c r="P1005" s="1197"/>
      <c r="Q1005" s="1197"/>
      <c r="R1005" s="1197"/>
      <c r="S1005" s="1197"/>
      <c r="T1005" s="1197"/>
      <c r="U1005" s="1197"/>
      <c r="Y1005" s="1198"/>
      <c r="AK1005" s="1316"/>
      <c r="BB1005" s="1193"/>
    </row>
    <row r="1006" spans="1:57" s="1177" customFormat="1" ht="15" customHeight="1" outlineLevel="1" x14ac:dyDescent="0.25">
      <c r="A1006" s="1197"/>
      <c r="B1006" s="1197"/>
      <c r="C1006" s="1226"/>
      <c r="D1006" s="590"/>
      <c r="E1006" s="590"/>
      <c r="F1006" s="1197"/>
      <c r="G1006" s="1197"/>
      <c r="H1006" s="1197"/>
      <c r="I1006" s="1197"/>
      <c r="J1006" s="1197"/>
      <c r="K1006" s="1197"/>
      <c r="L1006" s="1197"/>
      <c r="M1006" s="1197"/>
      <c r="N1006" s="1197"/>
      <c r="O1006" s="1197"/>
      <c r="P1006" s="1197"/>
      <c r="Q1006" s="1197"/>
      <c r="R1006" s="1197"/>
      <c r="S1006" s="1197"/>
      <c r="T1006" s="1197"/>
      <c r="U1006" s="1197"/>
      <c r="Y1006" s="1198"/>
      <c r="AK1006" s="1316"/>
      <c r="BB1006" s="1193"/>
    </row>
    <row r="1007" spans="1:57" s="1177" customFormat="1" ht="15" customHeight="1" outlineLevel="1" x14ac:dyDescent="0.25">
      <c r="A1007" s="1197"/>
      <c r="B1007" s="1197"/>
      <c r="C1007" s="1226"/>
      <c r="D1007" s="1701" t="s">
        <v>618</v>
      </c>
      <c r="E1007" s="1701" t="s">
        <v>619</v>
      </c>
      <c r="F1007" s="1645" t="s">
        <v>620</v>
      </c>
      <c r="G1007" s="2669" t="s">
        <v>670</v>
      </c>
      <c r="H1007" s="2669"/>
      <c r="I1007" s="1683" t="s">
        <v>621</v>
      </c>
      <c r="J1007" s="1197"/>
      <c r="K1007" s="1197"/>
      <c r="L1007" s="1197"/>
      <c r="M1007" s="1197"/>
      <c r="N1007" s="1197"/>
      <c r="O1007" s="1197"/>
      <c r="P1007" s="1197"/>
      <c r="Q1007" s="1197"/>
      <c r="R1007" s="1197"/>
      <c r="S1007" s="1197"/>
      <c r="T1007" s="1197"/>
      <c r="U1007" s="1197"/>
      <c r="V1007" s="55" t="s">
        <v>27</v>
      </c>
      <c r="W1007" s="56">
        <f>W$6</f>
        <v>43252</v>
      </c>
      <c r="X1007" s="56">
        <f t="shared" ref="X1007:AG1007" si="197">X$6</f>
        <v>43465</v>
      </c>
      <c r="Y1007" s="500">
        <f t="shared" si="197"/>
        <v>43800</v>
      </c>
      <c r="Z1007" s="56">
        <f t="shared" si="197"/>
        <v>43862</v>
      </c>
      <c r="AA1007" s="56" t="str">
        <f t="shared" si="197"/>
        <v>-</v>
      </c>
      <c r="AB1007" s="56" t="str">
        <f t="shared" si="197"/>
        <v>-</v>
      </c>
      <c r="AC1007" s="56" t="str">
        <f t="shared" si="197"/>
        <v>-</v>
      </c>
      <c r="AD1007" s="56" t="str">
        <f t="shared" si="197"/>
        <v>-</v>
      </c>
      <c r="AE1007" s="56" t="str">
        <f t="shared" si="197"/>
        <v>-</v>
      </c>
      <c r="AF1007" s="56" t="str">
        <f t="shared" si="197"/>
        <v>-</v>
      </c>
      <c r="AG1007" s="56" t="str">
        <f t="shared" si="197"/>
        <v>-</v>
      </c>
      <c r="AK1007" s="1316"/>
      <c r="BB1007" s="1193"/>
    </row>
    <row r="1008" spans="1:57" s="1177" customFormat="1" ht="30" outlineLevel="1" x14ac:dyDescent="0.25">
      <c r="A1008" s="1197"/>
      <c r="B1008" s="1197"/>
      <c r="C1008" s="1226"/>
      <c r="D1008" s="1642" t="s">
        <v>1011</v>
      </c>
      <c r="E1008" s="1642" t="s">
        <v>1012</v>
      </c>
      <c r="F1008" s="1392">
        <v>1</v>
      </c>
      <c r="G1008" s="3004" t="s">
        <v>1003</v>
      </c>
      <c r="H1008" s="3004"/>
      <c r="I1008" s="1682" t="s">
        <v>1822</v>
      </c>
      <c r="J1008" s="1197"/>
      <c r="K1008" s="1197"/>
      <c r="L1008" s="1197"/>
      <c r="M1008" s="1197"/>
      <c r="N1008" s="1197"/>
      <c r="O1008" s="1197"/>
      <c r="P1008" s="1197"/>
      <c r="Q1008" s="1197"/>
      <c r="R1008" s="1197"/>
      <c r="S1008" s="1197"/>
      <c r="T1008" s="1197"/>
      <c r="U1008" s="1197"/>
      <c r="V1008" s="1258" t="str">
        <f>D1008</f>
        <v>%Electric DHW</v>
      </c>
      <c r="W1008" s="1386">
        <v>1</v>
      </c>
      <c r="X1008" s="1386">
        <v>1</v>
      </c>
      <c r="Y1008" s="1386">
        <v>1</v>
      </c>
      <c r="Z1008" s="1259"/>
      <c r="AA1008" s="1259"/>
      <c r="AB1008" s="1259"/>
      <c r="AC1008" s="1259"/>
      <c r="AD1008" s="1259"/>
      <c r="AE1008" s="1259"/>
      <c r="AF1008" s="1259"/>
      <c r="AG1008" s="1259"/>
      <c r="AK1008" s="1316"/>
      <c r="BB1008" s="1193"/>
    </row>
    <row r="1009" spans="1:54" s="1177" customFormat="1" ht="90" outlineLevel="1" x14ac:dyDescent="0.25">
      <c r="A1009" s="1197"/>
      <c r="B1009" s="1197"/>
      <c r="C1009" s="1226"/>
      <c r="D1009" s="1642" t="s">
        <v>3386</v>
      </c>
      <c r="E1009" s="1642" t="s">
        <v>1059</v>
      </c>
      <c r="F1009" s="1700">
        <v>2.67</v>
      </c>
      <c r="G1009" s="2699" t="s">
        <v>1060</v>
      </c>
      <c r="H1009" s="2699"/>
      <c r="I1009" s="1682" t="s">
        <v>2068</v>
      </c>
      <c r="J1009" s="1197"/>
      <c r="K1009" s="1197"/>
      <c r="L1009" s="1197"/>
      <c r="M1009" s="1197"/>
      <c r="N1009" s="1197"/>
      <c r="O1009" s="1197"/>
      <c r="P1009" s="1197"/>
      <c r="Q1009" s="1197"/>
      <c r="R1009" s="1197"/>
      <c r="S1009" s="1197"/>
      <c r="T1009" s="1197"/>
      <c r="U1009" s="1197"/>
      <c r="V1009" s="1258" t="str">
        <f t="shared" ref="V1009:V1023" si="198">D1009</f>
        <v>GPMbase</v>
      </c>
      <c r="W1009" s="1387">
        <v>2.67</v>
      </c>
      <c r="X1009" s="1387">
        <v>2.67</v>
      </c>
      <c r="Y1009" s="1387">
        <v>2.67</v>
      </c>
      <c r="Z1009" s="1327"/>
      <c r="AA1009" s="1327"/>
      <c r="AB1009" s="1327"/>
      <c r="AC1009" s="1327"/>
      <c r="AD1009" s="1327"/>
      <c r="AE1009" s="1327"/>
      <c r="AF1009" s="1327"/>
      <c r="AG1009" s="1327"/>
      <c r="AK1009" s="1316"/>
      <c r="BB1009" s="1193"/>
    </row>
    <row r="1010" spans="1:54" s="1177" customFormat="1" ht="45" customHeight="1" outlineLevel="1" x14ac:dyDescent="0.25">
      <c r="A1010" s="1197"/>
      <c r="B1010" s="1197"/>
      <c r="C1010" s="1226"/>
      <c r="D1010" s="1642" t="s">
        <v>3387</v>
      </c>
      <c r="E1010" s="2164" t="s">
        <v>1961</v>
      </c>
      <c r="F1010" s="2230">
        <v>8.1999999999999993</v>
      </c>
      <c r="G1010" s="2986" t="s">
        <v>1963</v>
      </c>
      <c r="H1010" s="2986"/>
      <c r="I1010" s="1682" t="s">
        <v>2069</v>
      </c>
      <c r="J1010" s="1197"/>
      <c r="K1010" s="1197"/>
      <c r="L1010" s="1197"/>
      <c r="M1010" s="1197"/>
      <c r="N1010" s="1197"/>
      <c r="O1010" s="1197"/>
      <c r="P1010" s="1197"/>
      <c r="Q1010" s="1197"/>
      <c r="R1010" s="1197"/>
      <c r="S1010" s="1197"/>
      <c r="T1010" s="1197"/>
      <c r="U1010" s="1197"/>
      <c r="V1010" s="1258" t="str">
        <f t="shared" si="198"/>
        <v>Lbase</v>
      </c>
      <c r="W1010" s="1388">
        <v>8.1999999999999993</v>
      </c>
      <c r="X1010" s="1388">
        <v>8.1999999999999993</v>
      </c>
      <c r="Y1010" s="1388">
        <v>8.1999999999999993</v>
      </c>
      <c r="Z1010" s="1261"/>
      <c r="AA1010" s="1261"/>
      <c r="AB1010" s="1261"/>
      <c r="AC1010" s="1261"/>
      <c r="AD1010" s="1261"/>
      <c r="AE1010" s="1261"/>
      <c r="AF1010" s="1261"/>
      <c r="AG1010" s="1261"/>
      <c r="AK1010" s="1316"/>
      <c r="BB1010" s="1193"/>
    </row>
    <row r="1011" spans="1:54" s="1177" customFormat="1" ht="30" customHeight="1" outlineLevel="1" x14ac:dyDescent="0.25">
      <c r="A1011" s="1197"/>
      <c r="B1011" s="1197"/>
      <c r="C1011" s="1226"/>
      <c r="D1011" s="1642" t="s">
        <v>3391</v>
      </c>
      <c r="E1011" s="1642" t="s">
        <v>1064</v>
      </c>
      <c r="F1011" s="1700">
        <v>2</v>
      </c>
      <c r="G1011" s="2699" t="s">
        <v>1933</v>
      </c>
      <c r="H1011" s="2699"/>
      <c r="I1011" s="1682"/>
      <c r="J1011" s="1197"/>
      <c r="K1011" s="1197"/>
      <c r="L1011" s="1197"/>
      <c r="M1011" s="1197"/>
      <c r="N1011" s="1197"/>
      <c r="O1011" s="1197"/>
      <c r="P1011" s="1197"/>
      <c r="Q1011" s="1197"/>
      <c r="R1011" s="1197"/>
      <c r="S1011" s="1197"/>
      <c r="T1011" s="1197"/>
      <c r="U1011" s="1197"/>
      <c r="V1011" s="1258" t="str">
        <f t="shared" si="198"/>
        <v>GPMlow</v>
      </c>
      <c r="W1011" s="1387">
        <v>2</v>
      </c>
      <c r="X1011" s="1387">
        <v>2</v>
      </c>
      <c r="Y1011" s="1387">
        <v>2</v>
      </c>
      <c r="Z1011" s="1327"/>
      <c r="AA1011" s="1327"/>
      <c r="AB1011" s="1327"/>
      <c r="AC1011" s="1327"/>
      <c r="AD1011" s="1327"/>
      <c r="AE1011" s="1327"/>
      <c r="AF1011" s="1327"/>
      <c r="AG1011" s="1327"/>
      <c r="AK1011" s="1316"/>
      <c r="BB1011" s="1193"/>
    </row>
    <row r="1012" spans="1:54" s="1177" customFormat="1" ht="45" customHeight="1" outlineLevel="1" x14ac:dyDescent="0.25">
      <c r="A1012" s="1197"/>
      <c r="B1012" s="1197"/>
      <c r="C1012" s="1226"/>
      <c r="D1012" s="1642" t="s">
        <v>3392</v>
      </c>
      <c r="E1012" s="2164" t="s">
        <v>1961</v>
      </c>
      <c r="F1012" s="2230">
        <v>8.1999999999999993</v>
      </c>
      <c r="G1012" s="2986" t="s">
        <v>1963</v>
      </c>
      <c r="H1012" s="2986"/>
      <c r="I1012" s="1682" t="s">
        <v>2069</v>
      </c>
      <c r="J1012" s="1197"/>
      <c r="K1012" s="1197"/>
      <c r="L1012" s="1197"/>
      <c r="M1012" s="1197"/>
      <c r="N1012" s="1197"/>
      <c r="O1012" s="1197"/>
      <c r="P1012" s="1197"/>
      <c r="Q1012" s="1197"/>
      <c r="R1012" s="1197"/>
      <c r="S1012" s="1197"/>
      <c r="T1012" s="1197"/>
      <c r="U1012" s="1197"/>
      <c r="V1012" s="1258" t="str">
        <f t="shared" si="198"/>
        <v>Llow</v>
      </c>
      <c r="W1012" s="1388">
        <v>8.1999999999999993</v>
      </c>
      <c r="X1012" s="1388">
        <v>8.1999999999999993</v>
      </c>
      <c r="Y1012" s="1388">
        <v>8.1999999999999993</v>
      </c>
      <c r="Z1012" s="1261"/>
      <c r="AA1012" s="1261"/>
      <c r="AB1012" s="1261"/>
      <c r="AC1012" s="1261"/>
      <c r="AD1012" s="1261"/>
      <c r="AE1012" s="1261"/>
      <c r="AF1012" s="1261"/>
      <c r="AG1012" s="1261"/>
      <c r="AK1012" s="1316"/>
      <c r="BB1012" s="1193"/>
    </row>
    <row r="1013" spans="1:54" s="1177" customFormat="1" ht="30" customHeight="1" outlineLevel="1" x14ac:dyDescent="0.25">
      <c r="A1013" s="1197"/>
      <c r="B1013" s="1197"/>
      <c r="C1013" s="1226"/>
      <c r="D1013" s="1642" t="s">
        <v>2070</v>
      </c>
      <c r="E1013" s="2164" t="s">
        <v>2071</v>
      </c>
      <c r="F1013" s="1389">
        <v>1</v>
      </c>
      <c r="G1013" s="2993" t="s">
        <v>2072</v>
      </c>
      <c r="H1013" s="2993"/>
      <c r="I1013" s="1682" t="s">
        <v>2073</v>
      </c>
      <c r="J1013" s="1197"/>
      <c r="K1013" s="1197"/>
      <c r="L1013" s="1197"/>
      <c r="M1013" s="1197"/>
      <c r="N1013" s="1197"/>
      <c r="O1013" s="1197"/>
      <c r="P1013" s="1197"/>
      <c r="Q1013" s="1197"/>
      <c r="R1013" s="1197"/>
      <c r="S1013" s="1197"/>
      <c r="T1013" s="1197"/>
      <c r="U1013" s="1197"/>
      <c r="V1013" s="1258" t="str">
        <f t="shared" si="198"/>
        <v>NSPD</v>
      </c>
      <c r="W1013" s="1400">
        <v>1</v>
      </c>
      <c r="X1013" s="1400">
        <v>1</v>
      </c>
      <c r="Y1013" s="1400">
        <v>1</v>
      </c>
      <c r="Z1013" s="1260"/>
      <c r="AA1013" s="1260"/>
      <c r="AB1013" s="1260"/>
      <c r="AC1013" s="1260"/>
      <c r="AD1013" s="1260"/>
      <c r="AE1013" s="1260"/>
      <c r="AF1013" s="1260"/>
      <c r="AG1013" s="1260"/>
      <c r="AK1013" s="1316"/>
      <c r="BB1013" s="1193"/>
    </row>
    <row r="1014" spans="1:54" s="1177" customFormat="1" ht="60" customHeight="1" outlineLevel="1" x14ac:dyDescent="0.25">
      <c r="A1014" s="1197"/>
      <c r="B1014" s="1197"/>
      <c r="C1014" s="1226"/>
      <c r="D1014" s="1642">
        <v>365.25</v>
      </c>
      <c r="E1014" s="2164" t="s">
        <v>1968</v>
      </c>
      <c r="F1014" s="2230">
        <v>365</v>
      </c>
      <c r="G1014" s="2699" t="s">
        <v>992</v>
      </c>
      <c r="H1014" s="2699"/>
      <c r="I1014" s="1682" t="s">
        <v>2074</v>
      </c>
      <c r="J1014" s="1197"/>
      <c r="K1014" s="1197"/>
      <c r="L1014" s="1197"/>
      <c r="M1014" s="1197"/>
      <c r="N1014" s="1197"/>
      <c r="O1014" s="1197"/>
      <c r="P1014" s="1197"/>
      <c r="Q1014" s="1197"/>
      <c r="R1014" s="1197"/>
      <c r="S1014" s="1197"/>
      <c r="T1014" s="1197"/>
      <c r="U1014" s="1197"/>
      <c r="V1014" s="1258">
        <f t="shared" si="198"/>
        <v>365.25</v>
      </c>
      <c r="W1014" s="1388">
        <v>365</v>
      </c>
      <c r="X1014" s="1388">
        <v>365</v>
      </c>
      <c r="Y1014" s="1388">
        <v>365</v>
      </c>
      <c r="Z1014" s="1261"/>
      <c r="AA1014" s="1261"/>
      <c r="AB1014" s="1261"/>
      <c r="AC1014" s="1261"/>
      <c r="AD1014" s="1261"/>
      <c r="AE1014" s="1261"/>
      <c r="AF1014" s="1261"/>
      <c r="AG1014" s="1261"/>
      <c r="AK1014" s="1316"/>
      <c r="BB1014" s="1193"/>
    </row>
    <row r="1015" spans="1:54" s="1177" customFormat="1" ht="60" customHeight="1" outlineLevel="1" x14ac:dyDescent="0.25">
      <c r="A1015" s="1197"/>
      <c r="B1015" s="1197"/>
      <c r="C1015" s="1226"/>
      <c r="D1015" s="1642">
        <v>8.33</v>
      </c>
      <c r="E1015" s="2164" t="s">
        <v>1033</v>
      </c>
      <c r="F1015" s="2230">
        <v>8.33</v>
      </c>
      <c r="G1015" s="3004" t="s">
        <v>1034</v>
      </c>
      <c r="H1015" s="3004"/>
      <c r="I1015" s="1682" t="s">
        <v>2074</v>
      </c>
      <c r="J1015" s="1197"/>
      <c r="K1015" s="1197"/>
      <c r="L1015" s="1197"/>
      <c r="M1015" s="1197"/>
      <c r="N1015" s="1197"/>
      <c r="O1015" s="1197"/>
      <c r="P1015" s="1197" t="s">
        <v>2037</v>
      </c>
      <c r="Q1015" s="1197"/>
      <c r="R1015" s="1197"/>
      <c r="S1015" s="1197"/>
      <c r="T1015" s="1197"/>
      <c r="U1015" s="1197"/>
      <c r="V1015" s="1258">
        <f t="shared" si="198"/>
        <v>8.33</v>
      </c>
      <c r="W1015" s="1388">
        <v>8.33</v>
      </c>
      <c r="X1015" s="1388">
        <v>8.33</v>
      </c>
      <c r="Y1015" s="1388">
        <v>8.33</v>
      </c>
      <c r="Z1015" s="1261"/>
      <c r="AA1015" s="1261"/>
      <c r="AB1015" s="1261"/>
      <c r="AC1015" s="1261"/>
      <c r="AD1015" s="1261"/>
      <c r="AE1015" s="1261"/>
      <c r="AF1015" s="1261"/>
      <c r="AG1015" s="1261"/>
      <c r="AK1015" s="1316"/>
      <c r="BB1015" s="1193"/>
    </row>
    <row r="1016" spans="1:54" s="1177" customFormat="1" ht="60" customHeight="1" outlineLevel="1" x14ac:dyDescent="0.25">
      <c r="A1016" s="1197"/>
      <c r="B1016" s="1197"/>
      <c r="C1016" s="1226"/>
      <c r="D1016" s="1642">
        <v>1</v>
      </c>
      <c r="E1016" s="2164" t="s">
        <v>1970</v>
      </c>
      <c r="F1016" s="2230">
        <v>1</v>
      </c>
      <c r="G1016" s="2699" t="s">
        <v>1036</v>
      </c>
      <c r="H1016" s="2699"/>
      <c r="I1016" s="1682" t="s">
        <v>2074</v>
      </c>
      <c r="J1016" s="1197"/>
      <c r="K1016" s="1197"/>
      <c r="L1016" s="1197"/>
      <c r="M1016" s="1197"/>
      <c r="N1016" s="1197"/>
      <c r="O1016" s="1197"/>
      <c r="P1016" s="1197"/>
      <c r="Q1016" s="1197"/>
      <c r="R1016" s="1197"/>
      <c r="S1016" s="1197"/>
      <c r="T1016" s="1197"/>
      <c r="U1016" s="1197"/>
      <c r="V1016" s="1258">
        <f t="shared" si="198"/>
        <v>1</v>
      </c>
      <c r="W1016" s="1388">
        <v>1</v>
      </c>
      <c r="X1016" s="1388">
        <v>1</v>
      </c>
      <c r="Y1016" s="1388">
        <v>1</v>
      </c>
      <c r="Z1016" s="1261"/>
      <c r="AA1016" s="1261"/>
      <c r="AB1016" s="1261"/>
      <c r="AC1016" s="1261"/>
      <c r="AD1016" s="1261"/>
      <c r="AE1016" s="1261"/>
      <c r="AF1016" s="1261"/>
      <c r="AG1016" s="1261"/>
      <c r="AK1016" s="1316"/>
      <c r="BB1016" s="1193"/>
    </row>
    <row r="1017" spans="1:54" s="1177" customFormat="1" ht="90" outlineLevel="1" x14ac:dyDescent="0.25">
      <c r="A1017" s="1197"/>
      <c r="B1017" s="1197"/>
      <c r="C1017" s="1226"/>
      <c r="D1017" s="1642" t="s">
        <v>1073</v>
      </c>
      <c r="E1017" s="2164" t="s">
        <v>1971</v>
      </c>
      <c r="F1017" s="2230">
        <v>105</v>
      </c>
      <c r="G1017" s="2699" t="s">
        <v>1075</v>
      </c>
      <c r="H1017" s="2699"/>
      <c r="I1017" s="1682" t="s">
        <v>2068</v>
      </c>
      <c r="J1017" s="1197"/>
      <c r="K1017" s="1197"/>
      <c r="L1017" s="1197"/>
      <c r="M1017" s="1197"/>
      <c r="N1017" s="1197"/>
      <c r="O1017" s="1197"/>
      <c r="P1017" s="1197"/>
      <c r="Q1017" s="1197"/>
      <c r="R1017" s="1197"/>
      <c r="S1017" s="1197"/>
      <c r="T1017" s="1197"/>
      <c r="U1017" s="1197"/>
      <c r="V1017" s="1258" t="str">
        <f t="shared" si="198"/>
        <v>ShowerTemp</v>
      </c>
      <c r="W1017" s="1388">
        <v>105</v>
      </c>
      <c r="X1017" s="1388">
        <v>105</v>
      </c>
      <c r="Y1017" s="1388">
        <v>105</v>
      </c>
      <c r="Z1017" s="1261"/>
      <c r="AA1017" s="1261"/>
      <c r="AB1017" s="1261"/>
      <c r="AC1017" s="1261"/>
      <c r="AD1017" s="1261"/>
      <c r="AE1017" s="1261"/>
      <c r="AF1017" s="1261"/>
      <c r="AG1017" s="1261"/>
      <c r="AK1017" s="1316"/>
      <c r="BB1017" s="1193"/>
    </row>
    <row r="1018" spans="1:54" s="1177" customFormat="1" ht="60" customHeight="1" outlineLevel="1" x14ac:dyDescent="0.25">
      <c r="A1018" s="1197"/>
      <c r="B1018" s="1197"/>
      <c r="C1018" s="1226"/>
      <c r="D1018" s="1642" t="s">
        <v>1040</v>
      </c>
      <c r="E1018" s="2164" t="s">
        <v>1943</v>
      </c>
      <c r="F1018" s="2230">
        <v>61.3</v>
      </c>
      <c r="G1018" s="2699" t="s">
        <v>1042</v>
      </c>
      <c r="H1018" s="2699"/>
      <c r="I1018" s="1682" t="s">
        <v>2074</v>
      </c>
      <c r="J1018" s="1197"/>
      <c r="K1018" s="1197"/>
      <c r="L1018" s="1197"/>
      <c r="M1018" s="1197"/>
      <c r="N1018" s="1197"/>
      <c r="O1018" s="1197"/>
      <c r="P1018" s="1197"/>
      <c r="Q1018" s="1197"/>
      <c r="R1018" s="1197"/>
      <c r="S1018" s="1197"/>
      <c r="T1018" s="1197"/>
      <c r="U1018" s="1197"/>
      <c r="V1018" s="1258" t="str">
        <f t="shared" si="198"/>
        <v>SupplyTemp</v>
      </c>
      <c r="W1018" s="1388">
        <v>61.3</v>
      </c>
      <c r="X1018" s="1388">
        <v>61.3</v>
      </c>
      <c r="Y1018" s="1388">
        <v>61.3</v>
      </c>
      <c r="Z1018" s="1261"/>
      <c r="AA1018" s="1261"/>
      <c r="AB1018" s="1261"/>
      <c r="AC1018" s="1261"/>
      <c r="AD1018" s="1261"/>
      <c r="AE1018" s="1261"/>
      <c r="AF1018" s="1261"/>
      <c r="AG1018" s="1261"/>
      <c r="AK1018" s="1316"/>
      <c r="BB1018" s="1193"/>
    </row>
    <row r="1019" spans="1:54" s="1177" customFormat="1" ht="30" customHeight="1" outlineLevel="1" x14ac:dyDescent="0.25">
      <c r="A1019" s="1197"/>
      <c r="B1019" s="1197"/>
      <c r="C1019" s="1226"/>
      <c r="D1019" s="1642" t="s">
        <v>2038</v>
      </c>
      <c r="E1019" s="2164" t="s">
        <v>1944</v>
      </c>
      <c r="F1019" s="2230">
        <v>0.98</v>
      </c>
      <c r="G1019" s="2986" t="s">
        <v>1945</v>
      </c>
      <c r="H1019" s="2986"/>
      <c r="I1019" s="1682" t="s">
        <v>2068</v>
      </c>
      <c r="J1019" s="1197"/>
      <c r="K1019" s="1197"/>
      <c r="L1019" s="1197"/>
      <c r="M1019" s="1197"/>
      <c r="N1019" s="1197"/>
      <c r="O1019" s="1197"/>
      <c r="P1019" s="1197"/>
      <c r="Q1019" s="1197"/>
      <c r="R1019" s="1197"/>
      <c r="S1019" s="1197"/>
      <c r="T1019" s="1197"/>
      <c r="U1019" s="1197"/>
      <c r="V1019" s="1258" t="str">
        <f t="shared" si="198"/>
        <v>REelectric</v>
      </c>
      <c r="W1019" s="1388">
        <v>0.98</v>
      </c>
      <c r="X1019" s="1388">
        <v>0.98</v>
      </c>
      <c r="Y1019" s="1388">
        <v>0.98</v>
      </c>
      <c r="Z1019" s="1261"/>
      <c r="AA1019" s="1261"/>
      <c r="AB1019" s="1261"/>
      <c r="AC1019" s="1261"/>
      <c r="AD1019" s="1261"/>
      <c r="AE1019" s="1261"/>
      <c r="AF1019" s="1261"/>
      <c r="AG1019" s="1261"/>
      <c r="AK1019" s="1316"/>
      <c r="BB1019" s="1193"/>
    </row>
    <row r="1020" spans="1:54" s="1177" customFormat="1" ht="60" customHeight="1" outlineLevel="1" x14ac:dyDescent="0.25">
      <c r="A1020" s="1197"/>
      <c r="B1020" s="2118"/>
      <c r="C1020" s="1226"/>
      <c r="D1020" s="1642">
        <v>3412</v>
      </c>
      <c r="E1020" s="2164">
        <v>3412</v>
      </c>
      <c r="F1020" s="2243">
        <v>3412</v>
      </c>
      <c r="G1020" s="3004" t="s">
        <v>701</v>
      </c>
      <c r="H1020" s="3004"/>
      <c r="I1020" s="1682" t="s">
        <v>2039</v>
      </c>
      <c r="J1020" s="1197"/>
      <c r="K1020" s="1197"/>
      <c r="L1020" s="1197"/>
      <c r="M1020" s="1197"/>
      <c r="N1020" s="1197"/>
      <c r="O1020" s="1197"/>
      <c r="P1020" s="1197"/>
      <c r="Q1020" s="1197"/>
      <c r="R1020" s="1197"/>
      <c r="S1020" s="1197"/>
      <c r="T1020" s="1197"/>
      <c r="U1020" s="1197"/>
      <c r="V1020" s="1258">
        <f t="shared" si="198"/>
        <v>3412</v>
      </c>
      <c r="W1020" s="1391">
        <v>3412</v>
      </c>
      <c r="X1020" s="1391">
        <v>3412</v>
      </c>
      <c r="Y1020" s="1391">
        <v>3412</v>
      </c>
      <c r="Z1020" s="1345"/>
      <c r="AA1020" s="1345"/>
      <c r="AB1020" s="1345"/>
      <c r="AC1020" s="1345"/>
      <c r="AD1020" s="1345"/>
      <c r="AE1020" s="1345"/>
      <c r="AF1020" s="1345"/>
      <c r="AG1020" s="1345"/>
      <c r="AK1020" s="1316"/>
      <c r="BB1020" s="1193"/>
    </row>
    <row r="1021" spans="1:54" s="1177" customFormat="1" ht="60" customHeight="1" outlineLevel="1" x14ac:dyDescent="0.25">
      <c r="A1021" s="1197"/>
      <c r="B1021" s="2118"/>
      <c r="C1021" s="1226"/>
      <c r="D1021" s="1642" t="s">
        <v>956</v>
      </c>
      <c r="E1021" s="1642" t="s">
        <v>1001</v>
      </c>
      <c r="F1021" s="1392">
        <v>1</v>
      </c>
      <c r="G1021" s="3004" t="s">
        <v>1003</v>
      </c>
      <c r="H1021" s="3004"/>
      <c r="I1021" s="1682" t="s">
        <v>1822</v>
      </c>
      <c r="J1021" s="1197"/>
      <c r="K1021" s="1197"/>
      <c r="L1021" s="1197"/>
      <c r="M1021" s="1197"/>
      <c r="N1021" s="1197"/>
      <c r="O1021" s="1197"/>
      <c r="P1021" s="1197"/>
      <c r="Q1021" s="1197"/>
      <c r="R1021" s="1197"/>
      <c r="S1021" s="1197"/>
      <c r="T1021" s="1197"/>
      <c r="U1021" s="1197"/>
      <c r="V1021" s="1258" t="str">
        <f t="shared" si="198"/>
        <v>Utility Adjustment</v>
      </c>
      <c r="W1021" s="1386">
        <v>1</v>
      </c>
      <c r="X1021" s="1386">
        <v>1</v>
      </c>
      <c r="Y1021" s="1386">
        <v>1</v>
      </c>
      <c r="Z1021" s="1259"/>
      <c r="AA1021" s="1259"/>
      <c r="AB1021" s="1259"/>
      <c r="AC1021" s="1259"/>
      <c r="AD1021" s="1259"/>
      <c r="AE1021" s="1259"/>
      <c r="AF1021" s="1259"/>
      <c r="AG1021" s="1259"/>
      <c r="AK1021" s="1316"/>
      <c r="BB1021" s="1193"/>
    </row>
    <row r="1022" spans="1:54" s="1177" customFormat="1" ht="60" customHeight="1" outlineLevel="1" x14ac:dyDescent="0.25">
      <c r="A1022" s="1197"/>
      <c r="B1022" s="2118"/>
      <c r="C1022" s="443"/>
      <c r="D1022" s="1642" t="s">
        <v>82</v>
      </c>
      <c r="E1022" s="2164" t="s">
        <v>1823</v>
      </c>
      <c r="F1022" s="2244">
        <v>0.97699999999999998</v>
      </c>
      <c r="G1022" s="2986" t="s">
        <v>1964</v>
      </c>
      <c r="H1022" s="2986"/>
      <c r="I1022" s="1685" t="s">
        <v>1930</v>
      </c>
      <c r="J1022" s="1197"/>
      <c r="K1022" s="1197"/>
      <c r="L1022" s="1197"/>
      <c r="M1022" s="1197"/>
      <c r="N1022" s="1197"/>
      <c r="O1022" s="1197"/>
      <c r="P1022" s="1197"/>
      <c r="Q1022" s="1197"/>
      <c r="R1022" s="1197"/>
      <c r="S1022" s="1197"/>
      <c r="T1022" s="1197"/>
      <c r="U1022" s="1197"/>
      <c r="V1022" s="1258" t="str">
        <f t="shared" si="198"/>
        <v>ISR</v>
      </c>
      <c r="W1022" s="1412">
        <v>0.97699999999999998</v>
      </c>
      <c r="X1022" s="1412">
        <v>0.97699999999999998</v>
      </c>
      <c r="Y1022" s="1412">
        <v>0.97699999999999998</v>
      </c>
      <c r="Z1022" s="1350"/>
      <c r="AA1022" s="1350"/>
      <c r="AB1022" s="1350"/>
      <c r="AC1022" s="1350"/>
      <c r="AD1022" s="1350"/>
      <c r="AE1022" s="1350"/>
      <c r="AF1022" s="1350"/>
      <c r="AG1022" s="1350"/>
      <c r="AK1022" s="1316"/>
      <c r="BB1022" s="1193"/>
    </row>
    <row r="1023" spans="1:54" s="1177" customFormat="1" outlineLevel="1" x14ac:dyDescent="0.25">
      <c r="A1023" s="1197"/>
      <c r="B1023" s="2118"/>
      <c r="C1023" s="443"/>
      <c r="D1023" s="1681" t="str">
        <f>D990</f>
        <v>EUL</v>
      </c>
      <c r="E1023" s="1681" t="str">
        <f>E990</f>
        <v>Effective Useful Life (All)</v>
      </c>
      <c r="F1023" s="1393">
        <v>10</v>
      </c>
      <c r="G1023" s="2986"/>
      <c r="H1023" s="2986"/>
      <c r="I1023" s="1697"/>
      <c r="J1023" s="1197"/>
      <c r="K1023" s="1197"/>
      <c r="L1023" s="1197"/>
      <c r="M1023" s="1197"/>
      <c r="N1023" s="1197"/>
      <c r="O1023" s="1197"/>
      <c r="P1023" s="1197"/>
      <c r="Q1023" s="1197"/>
      <c r="R1023" s="1197"/>
      <c r="S1023" s="1197"/>
      <c r="T1023" s="1197"/>
      <c r="U1023" s="1197"/>
      <c r="V1023" s="1258" t="str">
        <f t="shared" si="198"/>
        <v>EUL</v>
      </c>
      <c r="W1023" s="1262">
        <v>10</v>
      </c>
      <c r="X1023" s="1262">
        <v>10</v>
      </c>
      <c r="Y1023" s="1262">
        <v>10</v>
      </c>
      <c r="Z1023" s="1354"/>
      <c r="AA1023" s="1354"/>
      <c r="AB1023" s="1354"/>
      <c r="AC1023" s="1354"/>
      <c r="AD1023" s="1354"/>
      <c r="AE1023" s="1354"/>
      <c r="AF1023" s="1354"/>
      <c r="AG1023" s="1354"/>
      <c r="AK1023" s="1316"/>
      <c r="BB1023" s="1193"/>
    </row>
    <row r="1024" spans="1:54" s="1177" customFormat="1" outlineLevel="1" x14ac:dyDescent="0.25">
      <c r="A1024" s="1197"/>
      <c r="B1024" s="2118"/>
      <c r="C1024" s="443"/>
      <c r="D1024" s="3098" t="str">
        <f>D991</f>
        <v>Inc. Cost</v>
      </c>
      <c r="E1024" s="1681" t="str">
        <f>E991</f>
        <v>Incremental Cost - Non-DI</v>
      </c>
      <c r="F1024" s="1394">
        <v>7</v>
      </c>
      <c r="G1024" s="2986"/>
      <c r="H1024" s="2986"/>
      <c r="I1024" s="1697"/>
      <c r="J1024" s="1197"/>
      <c r="K1024" s="1197"/>
      <c r="L1024" s="1197"/>
      <c r="M1024" s="1197"/>
      <c r="N1024" s="1197"/>
      <c r="O1024" s="1197"/>
      <c r="P1024" s="1197"/>
      <c r="Q1024" s="1197"/>
      <c r="R1024" s="1197"/>
      <c r="S1024" s="1197"/>
      <c r="T1024" s="1197"/>
      <c r="U1024" s="1197"/>
      <c r="V1024" s="3088" t="str">
        <f>D1024</f>
        <v>Inc. Cost</v>
      </c>
      <c r="W1024" s="1355">
        <v>7</v>
      </c>
      <c r="X1024" s="1355">
        <v>7</v>
      </c>
      <c r="Y1024" s="1355">
        <v>7</v>
      </c>
      <c r="Z1024" s="1356"/>
      <c r="AA1024" s="1356"/>
      <c r="AB1024" s="1356"/>
      <c r="AC1024" s="1356"/>
      <c r="AD1024" s="1356"/>
      <c r="AE1024" s="1356"/>
      <c r="AF1024" s="1356"/>
      <c r="AG1024" s="1356"/>
      <c r="AK1024" s="1316"/>
      <c r="BB1024" s="1193"/>
    </row>
    <row r="1025" spans="1:57" s="1177" customFormat="1" outlineLevel="1" x14ac:dyDescent="0.25">
      <c r="A1025" s="1197"/>
      <c r="B1025" s="2118"/>
      <c r="C1025" s="443"/>
      <c r="D1025" s="3099"/>
      <c r="E1025" s="1681" t="str">
        <f>E992</f>
        <v>Incremental Cost - Direct Install (DI)</v>
      </c>
      <c r="F1025" s="1394">
        <v>7</v>
      </c>
      <c r="G1025" s="2986"/>
      <c r="H1025" s="2986"/>
      <c r="I1025" s="1697"/>
      <c r="J1025" s="1197"/>
      <c r="K1025" s="1197"/>
      <c r="L1025" s="1197"/>
      <c r="M1025" s="1197"/>
      <c r="N1025" s="1197"/>
      <c r="O1025" s="1197"/>
      <c r="P1025" s="1197"/>
      <c r="Q1025" s="1197"/>
      <c r="R1025" s="1197"/>
      <c r="S1025" s="1197"/>
      <c r="T1025" s="1197"/>
      <c r="U1025" s="1197"/>
      <c r="V1025" s="3070"/>
      <c r="W1025" s="1355">
        <v>7</v>
      </c>
      <c r="X1025" s="1355">
        <v>7</v>
      </c>
      <c r="Y1025" s="1355">
        <v>7</v>
      </c>
      <c r="Z1025" s="1356"/>
      <c r="AA1025" s="1356"/>
      <c r="AB1025" s="1356"/>
      <c r="AC1025" s="1356"/>
      <c r="AD1025" s="1356"/>
      <c r="AE1025" s="1356"/>
      <c r="AF1025" s="1356"/>
      <c r="AG1025" s="1356"/>
      <c r="AK1025" s="1316"/>
      <c r="BB1025" s="1193"/>
    </row>
    <row r="1026" spans="1:57" s="1177" customFormat="1" x14ac:dyDescent="0.25">
      <c r="A1026" s="1197"/>
      <c r="B1026" s="2118"/>
      <c r="C1026" s="443"/>
      <c r="D1026" s="1584"/>
      <c r="E1026" s="591"/>
      <c r="F1026" s="2245"/>
      <c r="G1026" s="2246"/>
      <c r="H1026" s="1197"/>
      <c r="I1026" s="1197"/>
      <c r="J1026" s="1197"/>
      <c r="K1026" s="1197"/>
      <c r="L1026" s="1197"/>
      <c r="M1026" s="1197"/>
      <c r="N1026" s="1197"/>
      <c r="O1026" s="1197"/>
      <c r="P1026" s="1197"/>
      <c r="Q1026" s="1197"/>
      <c r="R1026" s="1197"/>
      <c r="S1026" s="1197"/>
      <c r="T1026" s="1197"/>
      <c r="U1026" s="1197"/>
      <c r="Y1026" s="1406" t="s">
        <v>2064</v>
      </c>
      <c r="Z1026" s="1247"/>
      <c r="AA1026" s="1407"/>
      <c r="AK1026" s="1316"/>
      <c r="BB1026" s="1193"/>
    </row>
    <row r="1027" spans="1:57" s="1177" customFormat="1" ht="15" customHeight="1" x14ac:dyDescent="0.25">
      <c r="A1027" s="1197"/>
      <c r="B1027" s="2118"/>
      <c r="C1027" s="1194"/>
      <c r="D1027" s="590"/>
      <c r="E1027" s="590"/>
      <c r="F1027" s="1197"/>
      <c r="G1027" s="1197"/>
      <c r="H1027" s="1197"/>
      <c r="I1027" s="1197"/>
      <c r="J1027" s="1197"/>
      <c r="K1027" s="1197"/>
      <c r="L1027" s="1197"/>
      <c r="M1027" s="1197"/>
      <c r="N1027" s="1197"/>
      <c r="O1027" s="1197"/>
      <c r="P1027" s="1197"/>
      <c r="Q1027" s="1197"/>
      <c r="R1027" s="1197"/>
      <c r="S1027" s="1197"/>
      <c r="T1027" s="1197"/>
      <c r="U1027" s="1197"/>
      <c r="Y1027" s="1198"/>
      <c r="AK1027" s="1316"/>
      <c r="BB1027" s="1193"/>
    </row>
    <row r="1028" spans="1:57" s="1177" customFormat="1" ht="15" customHeight="1" x14ac:dyDescent="0.25">
      <c r="A1028" s="177"/>
      <c r="B1028" s="2639" t="s">
        <v>16</v>
      </c>
      <c r="C1028" s="2640"/>
      <c r="D1028" s="2640"/>
      <c r="E1028" s="2640"/>
      <c r="F1028" s="2640"/>
      <c r="G1028" s="2640"/>
      <c r="H1028" s="2640"/>
      <c r="I1028" s="2641"/>
      <c r="J1028" s="2641"/>
      <c r="K1028" s="2641"/>
      <c r="L1028" s="2641"/>
      <c r="M1028" s="2641"/>
      <c r="N1028" s="2641"/>
      <c r="O1028" s="2641"/>
      <c r="P1028" s="2641"/>
      <c r="Q1028" s="2641"/>
      <c r="R1028" s="2642"/>
      <c r="S1028" s="1197"/>
      <c r="T1028" s="1197"/>
      <c r="U1028" s="1197"/>
      <c r="V1028" s="2639" t="str">
        <f>B1028</f>
        <v>Lighting</v>
      </c>
      <c r="W1028" s="2640"/>
      <c r="X1028" s="2640"/>
      <c r="Y1028" s="2640"/>
      <c r="Z1028" s="2640"/>
      <c r="AA1028" s="2640"/>
      <c r="AB1028" s="2640"/>
      <c r="AC1028" s="3096"/>
      <c r="AD1028" s="3096"/>
      <c r="AE1028" s="3096"/>
      <c r="AF1028" s="3096"/>
      <c r="AG1028" s="3096"/>
      <c r="AH1028" s="3096"/>
      <c r="AI1028" s="3097"/>
      <c r="AK1028" s="1316"/>
      <c r="BB1028" s="1193"/>
    </row>
    <row r="1029" spans="1:57" s="1177" customFormat="1" x14ac:dyDescent="0.25">
      <c r="A1029" s="1197"/>
      <c r="B1029" s="177"/>
      <c r="C1029" s="455"/>
      <c r="D1029" s="456"/>
      <c r="E1029" s="456"/>
      <c r="F1029" s="177" t="s">
        <v>557</v>
      </c>
      <c r="G1029" s="177"/>
      <c r="H1029" s="177"/>
      <c r="I1029" s="177"/>
      <c r="J1029" s="177"/>
      <c r="K1029" s="177"/>
      <c r="L1029" s="177"/>
      <c r="M1029" s="177"/>
      <c r="N1029" s="177"/>
      <c r="O1029" s="177"/>
      <c r="P1029" s="1197"/>
      <c r="Q1029" s="1197"/>
      <c r="R1029" s="1197"/>
      <c r="S1029" s="1197"/>
      <c r="T1029" s="1197"/>
      <c r="U1029" s="1197"/>
      <c r="Y1029" s="1198"/>
      <c r="AK1029" s="1316"/>
      <c r="BB1029" s="1193"/>
    </row>
    <row r="1030" spans="1:57" s="1177" customFormat="1" x14ac:dyDescent="0.25">
      <c r="A1030" s="177"/>
      <c r="B1030" s="177"/>
      <c r="C1030" s="2735" t="s">
        <v>17</v>
      </c>
      <c r="D1030" s="2735" t="s">
        <v>662</v>
      </c>
      <c r="E1030" s="2735" t="s">
        <v>19</v>
      </c>
      <c r="F1030" s="2735" t="s">
        <v>20</v>
      </c>
      <c r="G1030" s="2735" t="s">
        <v>558</v>
      </c>
      <c r="H1030" s="2735" t="s">
        <v>559</v>
      </c>
      <c r="I1030" s="2735" t="s">
        <v>560</v>
      </c>
      <c r="J1030" s="2735" t="s">
        <v>561</v>
      </c>
      <c r="K1030" s="2735" t="s">
        <v>562</v>
      </c>
      <c r="L1030" s="2735" t="s">
        <v>563</v>
      </c>
      <c r="M1030" s="2735" t="s">
        <v>23</v>
      </c>
      <c r="N1030" s="2735" t="s">
        <v>566</v>
      </c>
      <c r="O1030" s="2735" t="s">
        <v>567</v>
      </c>
      <c r="P1030" s="2722" t="s">
        <v>568</v>
      </c>
      <c r="Q1030" s="2726"/>
      <c r="R1030" s="2735" t="s">
        <v>26</v>
      </c>
      <c r="S1030" s="1197"/>
      <c r="T1030" s="1197"/>
      <c r="U1030" s="1197"/>
      <c r="Y1030" s="1198"/>
      <c r="AK1030" s="1316"/>
      <c r="BB1030" s="1193"/>
    </row>
    <row r="1031" spans="1:57" s="1177" customFormat="1" ht="30" x14ac:dyDescent="0.25">
      <c r="A1031" s="177"/>
      <c r="B1031" s="177"/>
      <c r="C1031" s="3100"/>
      <c r="D1031" s="3100"/>
      <c r="E1031" s="3100"/>
      <c r="F1031" s="3100"/>
      <c r="G1031" s="3100"/>
      <c r="H1031" s="3100"/>
      <c r="I1031" s="3100"/>
      <c r="J1031" s="3100"/>
      <c r="K1031" s="3100"/>
      <c r="L1031" s="3100"/>
      <c r="M1031" s="3100"/>
      <c r="N1031" s="3100"/>
      <c r="O1031" s="3100"/>
      <c r="P1031" s="1659" t="s">
        <v>795</v>
      </c>
      <c r="Q1031" s="1659" t="s">
        <v>797</v>
      </c>
      <c r="R1031" s="3100"/>
      <c r="S1031" s="1197"/>
      <c r="T1031" s="1197"/>
      <c r="U1031" s="1197"/>
      <c r="V1031" s="55" t="s">
        <v>27</v>
      </c>
      <c r="W1031" s="56">
        <v>43252</v>
      </c>
      <c r="X1031" s="56">
        <f>X$6</f>
        <v>43465</v>
      </c>
      <c r="Y1031" s="500">
        <f>$Y$6</f>
        <v>43800</v>
      </c>
      <c r="Z1031" s="56" t="s">
        <v>28</v>
      </c>
      <c r="AA1031" s="56" t="s">
        <v>28</v>
      </c>
      <c r="AB1031" s="56" t="s">
        <v>28</v>
      </c>
      <c r="AC1031" s="56" t="s">
        <v>28</v>
      </c>
      <c r="AD1031" s="56" t="s">
        <v>28</v>
      </c>
      <c r="AE1031" s="56" t="s">
        <v>28</v>
      </c>
      <c r="AF1031" s="56" t="s">
        <v>28</v>
      </c>
      <c r="AG1031" s="56" t="s">
        <v>28</v>
      </c>
      <c r="AK1031" s="1316"/>
      <c r="BB1031" s="57" t="str">
        <f>$BB$6</f>
        <v>TRC (2020)</v>
      </c>
      <c r="BC1031" s="103" t="str">
        <f>$BC$6</f>
        <v>Benefit Lookup</v>
      </c>
      <c r="BD1031" s="883" t="str">
        <f>$BD$6</f>
        <v>Benefits (2019 $)</v>
      </c>
      <c r="BE1031" s="334" t="str">
        <f>$BE$6</f>
        <v>Incremental Cost (2019 $)</v>
      </c>
    </row>
    <row r="1032" spans="1:57" s="1177" customFormat="1" x14ac:dyDescent="0.25">
      <c r="A1032" s="177"/>
      <c r="B1032" s="177"/>
      <c r="C1032" s="92" t="s">
        <v>2075</v>
      </c>
      <c r="D1032" s="150" t="s">
        <v>2076</v>
      </c>
      <c r="E1032" s="458" t="s">
        <v>2077</v>
      </c>
      <c r="F1032" s="152">
        <f>ROUND(K1032+L1032,2)</f>
        <v>23.59</v>
      </c>
      <c r="G1032" s="1413" t="s">
        <v>571</v>
      </c>
      <c r="H1032" s="239">
        <f>VLOOKUP(G1032,'CP FACTORS'!$A$3:$B$38, 2, FALSE)</f>
        <v>1.4925290000000001E-4</v>
      </c>
      <c r="I1032" s="1413" t="s">
        <v>36</v>
      </c>
      <c r="J1032" s="239">
        <f>VLOOKUP(I1032,'CP FACTORS'!$A$3:$B$38, 2, FALSE)</f>
        <v>1.899635E-4</v>
      </c>
      <c r="K1032" s="156">
        <f>((F1064-F1084)*$F$1110*$F$1104*(1-$F$1105)*($F$1106*$F$1107)/1000)</f>
        <v>23.592389036958835</v>
      </c>
      <c r="L1032" s="1880">
        <f>((F1064-F1084)*(1-$F$1110)*$F$1104*(1-$F$1105)*($F$1108*$F$1109)/1000)</f>
        <v>0</v>
      </c>
      <c r="M1032" s="153">
        <f>ROUND(((K1032/F1032)*H1032+(L1032/F1032)*J1032)*F1032,6)</f>
        <v>3.5209999999999998E-3</v>
      </c>
      <c r="N1032" s="156">
        <v>19</v>
      </c>
      <c r="O1032" s="157">
        <f t="shared" ref="O1032:O1051" si="199">20000/3351</f>
        <v>5.9683676514473287</v>
      </c>
      <c r="P1032" s="1414">
        <f t="shared" ref="P1032:Q1051" si="200">F1119</f>
        <v>6</v>
      </c>
      <c r="Q1032" s="1415">
        <f t="shared" si="200"/>
        <v>3.3</v>
      </c>
      <c r="R1032" s="1927" t="s">
        <v>37</v>
      </c>
      <c r="S1032" s="1197"/>
      <c r="T1032" s="1197"/>
      <c r="U1032" s="1197"/>
      <c r="V1032" s="1314" t="str">
        <f>F1030</f>
        <v>kWh Annual Savings</v>
      </c>
      <c r="W1032" s="1358">
        <v>23.12165583413233</v>
      </c>
      <c r="X1032" s="1416">
        <v>23.769345599999998</v>
      </c>
      <c r="Y1032" s="86">
        <v>23.59</v>
      </c>
      <c r="Z1032" s="1417"/>
      <c r="AA1032" s="1314"/>
      <c r="AB1032" s="1314"/>
      <c r="AC1032" s="1314"/>
      <c r="AD1032" s="1314"/>
      <c r="AE1032" s="1314"/>
      <c r="AF1032" s="1314"/>
      <c r="AG1032" s="1314"/>
      <c r="AH1032" s="546"/>
      <c r="AK1032" s="1316"/>
      <c r="BB1032" s="1317">
        <f t="shared" ref="BB1032:BB1051" si="201">(BD1032)/(BE1032)</f>
        <v>2.440174293837051</v>
      </c>
      <c r="BC1032" s="69" t="str">
        <f>CONCATENATE(G1032," ",N1032," Year EUL")</f>
        <v>Lighting RES 19 Year EUL</v>
      </c>
      <c r="BD1032" s="162">
        <f>(INDEX('Avoided Cost Benefits'!$C$4:$C$857,MATCH(BC1032,'Avoided Cost Benefits'!$A$4:$A$857,0)))*F1032</f>
        <v>13.818825637585942</v>
      </c>
      <c r="BE1032" s="1318">
        <f>P1032/(1.0595^(2020-2019))</f>
        <v>5.6630486078338835</v>
      </c>
    </row>
    <row r="1033" spans="1:57" s="1177" customFormat="1" x14ac:dyDescent="0.25">
      <c r="A1033" s="177"/>
      <c r="B1033" s="177"/>
      <c r="C1033" s="92" t="s">
        <v>2078</v>
      </c>
      <c r="D1033" s="150" t="s">
        <v>2076</v>
      </c>
      <c r="E1033" s="458" t="s">
        <v>2079</v>
      </c>
      <c r="F1033" s="152">
        <f t="shared" ref="F1033:F1051" si="202">ROUND(K1033+L1033,2)</f>
        <v>21.12</v>
      </c>
      <c r="G1033" s="1413" t="s">
        <v>571</v>
      </c>
      <c r="H1033" s="239">
        <f>VLOOKUP(G1033,'CP FACTORS'!$A$3:$B$38, 2, FALSE)</f>
        <v>1.4925290000000001E-4</v>
      </c>
      <c r="I1033" s="1413" t="s">
        <v>36</v>
      </c>
      <c r="J1033" s="239">
        <f>VLOOKUP(I1033,'CP FACTORS'!$A$3:$B$38, 2, FALSE)</f>
        <v>1.899635E-4</v>
      </c>
      <c r="K1033" s="156">
        <f>((F1065-F1085)*$F$1110*$F$1104*(1-$F$1105)*($F$1106*$F$1107)/1000)</f>
        <v>21.115188188078154</v>
      </c>
      <c r="L1033" s="1880">
        <f t="shared" ref="L1033:L1051" si="203">((F1065-F1085)*(1-$F$1110)*$F$1104*(1-$F$1105)*($F$1108*$F$1109)/1000)</f>
        <v>0</v>
      </c>
      <c r="M1033" s="153">
        <f t="shared" ref="M1033:M1051" si="204">ROUND(((K1033/F1033)*H1033+(L1033/F1033)*J1033)*F1033,6)</f>
        <v>3.1519999999999999E-3</v>
      </c>
      <c r="N1033" s="156">
        <v>19</v>
      </c>
      <c r="O1033" s="157">
        <f t="shared" si="199"/>
        <v>5.9683676514473287</v>
      </c>
      <c r="P1033" s="1414">
        <f t="shared" si="200"/>
        <v>6</v>
      </c>
      <c r="Q1033" s="1415">
        <f t="shared" si="200"/>
        <v>3.68</v>
      </c>
      <c r="R1033" s="1927" t="s">
        <v>37</v>
      </c>
      <c r="S1033" s="1197"/>
      <c r="T1033" s="1197"/>
      <c r="U1033" s="1197"/>
      <c r="V1033" s="1314" t="str">
        <f>V1032</f>
        <v>kWh Annual Savings</v>
      </c>
      <c r="W1033" s="1358">
        <v>20.693881971548436</v>
      </c>
      <c r="X1033" s="1416">
        <v>22.524950447999998</v>
      </c>
      <c r="Y1033" s="86">
        <v>21.12</v>
      </c>
      <c r="Z1033" s="1417"/>
      <c r="AA1033" s="1314"/>
      <c r="AB1033" s="1314"/>
      <c r="AC1033" s="1314"/>
      <c r="AD1033" s="1314"/>
      <c r="AE1033" s="1314"/>
      <c r="AF1033" s="1314"/>
      <c r="AG1033" s="1314"/>
      <c r="AH1033" s="546"/>
      <c r="AK1033" s="1316"/>
      <c r="BB1033" s="1320">
        <f t="shared" si="201"/>
        <v>2.1846749082593688</v>
      </c>
      <c r="BC1033" s="73" t="str">
        <f t="shared" ref="BC1033:BC1051" si="205">CONCATENATE(G1033," ",N1033," Year EUL")</f>
        <v>Lighting RES 19 Year EUL</v>
      </c>
      <c r="BD1033" s="165">
        <f>(INDEX('Avoided Cost Benefits'!$C$4:$C$857,MATCH(BC1033,'Avoided Cost Benefits'!$A$4:$A$857,0)))*F1033</f>
        <v>12.371920197787837</v>
      </c>
      <c r="BE1033" s="1321">
        <f t="shared" ref="BE1033:BE1051" si="206">P1033/(1.0595^(2020-2019))</f>
        <v>5.6630486078338835</v>
      </c>
    </row>
    <row r="1034" spans="1:57" s="1177" customFormat="1" x14ac:dyDescent="0.25">
      <c r="A1034" s="177"/>
      <c r="B1034" s="177"/>
      <c r="C1034" s="92" t="s">
        <v>2080</v>
      </c>
      <c r="D1034" s="150" t="s">
        <v>2076</v>
      </c>
      <c r="E1034" s="458" t="s">
        <v>2081</v>
      </c>
      <c r="F1034" s="152">
        <f t="shared" si="202"/>
        <v>22.95</v>
      </c>
      <c r="G1034" s="1413" t="s">
        <v>571</v>
      </c>
      <c r="H1034" s="239">
        <f>VLOOKUP(G1034,'CP FACTORS'!$A$3:$B$38, 2, FALSE)</f>
        <v>1.4925290000000001E-4</v>
      </c>
      <c r="I1034" s="1413" t="s">
        <v>36</v>
      </c>
      <c r="J1034" s="239">
        <f>VLOOKUP(I1034,'CP FACTORS'!$A$3:$B$38, 2, FALSE)</f>
        <v>1.899635E-4</v>
      </c>
      <c r="K1034" s="156">
        <f>((F1066-F1086)*$F$1110*$F$1104*(1-$F$1105)*($F$1106*$F$1107)/1000)</f>
        <v>22.950151779841622</v>
      </c>
      <c r="L1034" s="1880">
        <f t="shared" si="203"/>
        <v>0</v>
      </c>
      <c r="M1034" s="153">
        <f t="shared" si="204"/>
        <v>3.4250000000000001E-3</v>
      </c>
      <c r="N1034" s="156">
        <v>19</v>
      </c>
      <c r="O1034" s="157">
        <f t="shared" si="199"/>
        <v>5.9683676514473287</v>
      </c>
      <c r="P1034" s="1414">
        <f t="shared" si="200"/>
        <v>6</v>
      </c>
      <c r="Q1034" s="1415">
        <f t="shared" si="200"/>
        <v>4.72</v>
      </c>
      <c r="R1034" s="1927" t="s">
        <v>37</v>
      </c>
      <c r="S1034" s="1197"/>
      <c r="T1034" s="1197"/>
      <c r="U1034" s="1197"/>
      <c r="V1034" s="1314" t="str">
        <f t="shared" ref="V1034:V1051" si="207">V1033</f>
        <v>kWh Annual Savings</v>
      </c>
      <c r="W1034" s="1358">
        <v>27.938667466243238</v>
      </c>
      <c r="X1034" s="1416">
        <v>24.482425967999998</v>
      </c>
      <c r="Y1034" s="86">
        <v>22.95</v>
      </c>
      <c r="Z1034" s="1417"/>
      <c r="AA1034" s="1314"/>
      <c r="AB1034" s="1314"/>
      <c r="AC1034" s="1314"/>
      <c r="AD1034" s="1314"/>
      <c r="AE1034" s="1314"/>
      <c r="AF1034" s="1314"/>
      <c r="AG1034" s="1314"/>
      <c r="AH1034" s="546"/>
      <c r="AK1034" s="1316"/>
      <c r="BB1034" s="1320">
        <f t="shared" si="201"/>
        <v>2.3739720238897974</v>
      </c>
      <c r="BC1034" s="73" t="str">
        <f t="shared" si="205"/>
        <v>Lighting RES 19 Year EUL</v>
      </c>
      <c r="BD1034" s="165">
        <f>(INDEX('Avoided Cost Benefits'!$C$4:$C$857,MATCH(BC1034,'Avoided Cost Benefits'!$A$4:$A$857,0)))*F1034</f>
        <v>13.443918964925704</v>
      </c>
      <c r="BE1034" s="1321">
        <f t="shared" si="206"/>
        <v>5.6630486078338835</v>
      </c>
    </row>
    <row r="1035" spans="1:57" s="1177" customFormat="1" x14ac:dyDescent="0.25">
      <c r="A1035" s="177"/>
      <c r="B1035" s="177"/>
      <c r="C1035" s="92" t="s">
        <v>2082</v>
      </c>
      <c r="D1035" s="150" t="s">
        <v>2076</v>
      </c>
      <c r="E1035" s="458" t="s">
        <v>582</v>
      </c>
      <c r="F1035" s="152">
        <f t="shared" si="202"/>
        <v>27.52</v>
      </c>
      <c r="G1035" s="1413" t="s">
        <v>571</v>
      </c>
      <c r="H1035" s="239">
        <f>VLOOKUP(G1035,'CP FACTORS'!$A$3:$B$38, 2, FALSE)</f>
        <v>1.4925290000000001E-4</v>
      </c>
      <c r="I1035" s="1413" t="s">
        <v>36</v>
      </c>
      <c r="J1035" s="239">
        <f>VLOOKUP(I1035,'CP FACTORS'!$A$3:$B$38, 2, FALSE)</f>
        <v>1.899635E-4</v>
      </c>
      <c r="K1035" s="156">
        <f>((F1067-F1087)*$F$1110*$F$1104*(1-$F$1105)*($F$1106*$F$1107)/1000)</f>
        <v>27.524453876451972</v>
      </c>
      <c r="L1035" s="1880">
        <f t="shared" si="203"/>
        <v>0</v>
      </c>
      <c r="M1035" s="153">
        <f t="shared" si="204"/>
        <v>4.1079999999999997E-3</v>
      </c>
      <c r="N1035" s="156">
        <v>19</v>
      </c>
      <c r="O1035" s="157">
        <f t="shared" si="199"/>
        <v>5.9683676514473287</v>
      </c>
      <c r="P1035" s="1414">
        <f t="shared" si="200"/>
        <v>6</v>
      </c>
      <c r="Q1035" s="1415">
        <f t="shared" si="200"/>
        <v>3.53</v>
      </c>
      <c r="R1035" s="1927" t="s">
        <v>37</v>
      </c>
      <c r="S1035" s="1197"/>
      <c r="T1035" s="1197"/>
      <c r="U1035" s="1197"/>
      <c r="V1035" s="1314" t="str">
        <f t="shared" si="207"/>
        <v>kWh Annual Savings</v>
      </c>
      <c r="W1035" s="1358">
        <v>42.871403525787038</v>
      </c>
      <c r="X1035" s="1164">
        <v>46.853574768000001</v>
      </c>
      <c r="Y1035" s="744">
        <v>27.52</v>
      </c>
      <c r="Z1035" s="1417"/>
      <c r="AA1035" s="1314"/>
      <c r="AB1035" s="1314"/>
      <c r="AC1035" s="1314"/>
      <c r="AD1035" s="1314"/>
      <c r="AE1035" s="1314"/>
      <c r="AF1035" s="1314"/>
      <c r="AG1035" s="1314"/>
      <c r="AH1035" s="546"/>
      <c r="AK1035" s="1316"/>
      <c r="BB1035" s="1320">
        <f t="shared" si="201"/>
        <v>2.8466976077319051</v>
      </c>
      <c r="BC1035" s="73" t="str">
        <f t="shared" si="205"/>
        <v>Lighting RES 19 Year EUL</v>
      </c>
      <c r="BD1035" s="165">
        <f>(INDEX('Avoided Cost Benefits'!$C$4:$C$857,MATCH(BC1035,'Avoided Cost Benefits'!$A$4:$A$857,0)))*F1035</f>
        <v>16.120986924390213</v>
      </c>
      <c r="BE1035" s="1321">
        <f t="shared" si="206"/>
        <v>5.6630486078338835</v>
      </c>
    </row>
    <row r="1036" spans="1:57" s="1177" customFormat="1" x14ac:dyDescent="0.25">
      <c r="A1036" s="177"/>
      <c r="B1036" s="177"/>
      <c r="C1036" s="92" t="s">
        <v>2083</v>
      </c>
      <c r="D1036" s="150" t="s">
        <v>2076</v>
      </c>
      <c r="E1036" s="458" t="s">
        <v>2084</v>
      </c>
      <c r="F1036" s="152">
        <f>ROUND(K1036+L1036,2)</f>
        <v>27.79</v>
      </c>
      <c r="G1036" s="1413" t="s">
        <v>571</v>
      </c>
      <c r="H1036" s="239">
        <f>VLOOKUP(G1036,'CP FACTORS'!$A$3:$B$38, 2, FALSE)</f>
        <v>1.4925290000000001E-4</v>
      </c>
      <c r="I1036" s="1413" t="s">
        <v>36</v>
      </c>
      <c r="J1036" s="239">
        <f>VLOOKUP(I1036,'CP FACTORS'!$A$3:$B$38, 2, FALSE)</f>
        <v>1.899635E-4</v>
      </c>
      <c r="K1036" s="156">
        <f t="shared" ref="K1036:K1051" si="208">((F1068-F1088)*$F$1110*$F$1104*(1-$F$1105)*($F$1106*$F$1107)/1000)</f>
        <v>27.786591532418186</v>
      </c>
      <c r="L1036" s="1880">
        <f t="shared" si="203"/>
        <v>0</v>
      </c>
      <c r="M1036" s="153">
        <f t="shared" si="204"/>
        <v>4.1469999999999996E-3</v>
      </c>
      <c r="N1036" s="156">
        <v>19</v>
      </c>
      <c r="O1036" s="157">
        <f t="shared" si="199"/>
        <v>5.9683676514473287</v>
      </c>
      <c r="P1036" s="1414">
        <f t="shared" si="200"/>
        <v>8</v>
      </c>
      <c r="Q1036" s="1415">
        <f t="shared" si="200"/>
        <v>6.27</v>
      </c>
      <c r="R1036" s="1927" t="s">
        <v>37</v>
      </c>
      <c r="S1036" s="1197"/>
      <c r="T1036" s="1197"/>
      <c r="U1036" s="1197"/>
      <c r="V1036" s="1314" t="str">
        <f t="shared" si="207"/>
        <v>kWh Annual Savings</v>
      </c>
      <c r="W1036" s="1358">
        <v>27.232172426866967</v>
      </c>
      <c r="X1036" s="1416">
        <v>29.641772160000002</v>
      </c>
      <c r="Y1036" s="86">
        <v>27.79</v>
      </c>
      <c r="Z1036" s="1417"/>
      <c r="AA1036" s="1314"/>
      <c r="AB1036" s="1314"/>
      <c r="AC1036" s="1314"/>
      <c r="AD1036" s="1314"/>
      <c r="AE1036" s="1314"/>
      <c r="AF1036" s="1314"/>
      <c r="AG1036" s="1314"/>
      <c r="AH1036" s="546"/>
      <c r="AK1036" s="1316"/>
      <c r="BB1036" s="1320">
        <f t="shared" si="201"/>
        <v>2.1559700177744272</v>
      </c>
      <c r="BC1036" s="73" t="str">
        <f t="shared" si="205"/>
        <v>Lighting RES 19 Year EUL</v>
      </c>
      <c r="BD1036" s="165">
        <f>(INDEX('Avoided Cost Benefits'!$C$4:$C$857,MATCH(BC1036,'Avoided Cost Benefits'!$A$4:$A$857,0)))*F1036</f>
        <v>16.27915067691875</v>
      </c>
      <c r="BE1036" s="1321">
        <f t="shared" si="206"/>
        <v>7.5507314771118441</v>
      </c>
    </row>
    <row r="1037" spans="1:57" s="1177" customFormat="1" x14ac:dyDescent="0.25">
      <c r="A1037" s="177"/>
      <c r="B1037" s="177"/>
      <c r="C1037" s="92" t="s">
        <v>2085</v>
      </c>
      <c r="D1037" s="150" t="s">
        <v>2076</v>
      </c>
      <c r="E1037" s="458" t="s">
        <v>2086</v>
      </c>
      <c r="F1037" s="152">
        <f t="shared" si="202"/>
        <v>26.87</v>
      </c>
      <c r="G1037" s="1413" t="s">
        <v>571</v>
      </c>
      <c r="H1037" s="239">
        <f>VLOOKUP(G1037,'CP FACTORS'!$A$3:$B$38, 2, FALSE)</f>
        <v>1.4925290000000001E-4</v>
      </c>
      <c r="I1037" s="1413" t="s">
        <v>36</v>
      </c>
      <c r="J1037" s="239">
        <f>VLOOKUP(I1037,'CP FACTORS'!$A$3:$B$38, 2, FALSE)</f>
        <v>1.899635E-4</v>
      </c>
      <c r="K1037" s="156">
        <f t="shared" si="208"/>
        <v>26.869109736536448</v>
      </c>
      <c r="L1037" s="1880">
        <f t="shared" si="203"/>
        <v>0</v>
      </c>
      <c r="M1037" s="153">
        <f t="shared" si="204"/>
        <v>4.0099999999999997E-3</v>
      </c>
      <c r="N1037" s="156">
        <v>19</v>
      </c>
      <c r="O1037" s="157">
        <f t="shared" si="199"/>
        <v>5.9683676514473287</v>
      </c>
      <c r="P1037" s="1414">
        <f t="shared" si="200"/>
        <v>10</v>
      </c>
      <c r="Q1037" s="1415">
        <f t="shared" si="200"/>
        <v>4.92</v>
      </c>
      <c r="R1037" s="1927" t="s">
        <v>37</v>
      </c>
      <c r="S1037" s="1197"/>
      <c r="T1037" s="1197"/>
      <c r="U1037" s="1197"/>
      <c r="V1037" s="1314" t="str">
        <f t="shared" si="207"/>
        <v>kWh Annual Savings</v>
      </c>
      <c r="W1037" s="1358">
        <v>32.691452276592656</v>
      </c>
      <c r="X1037" s="1416">
        <v>28.663034399999997</v>
      </c>
      <c r="Y1037" s="86">
        <v>26.87</v>
      </c>
      <c r="Z1037" s="1417"/>
      <c r="AA1037" s="1314"/>
      <c r="AB1037" s="1314"/>
      <c r="AC1037" s="1314"/>
      <c r="AD1037" s="1314"/>
      <c r="AE1037" s="1314"/>
      <c r="AF1037" s="1314"/>
      <c r="AG1037" s="1314"/>
      <c r="AH1037" s="546"/>
      <c r="AK1037" s="1316"/>
      <c r="BB1037" s="1320">
        <f t="shared" si="201"/>
        <v>1.6676765563900355</v>
      </c>
      <c r="BC1037" s="73" t="str">
        <f t="shared" si="205"/>
        <v>Lighting RES 19 Year EUL</v>
      </c>
      <c r="BD1037" s="165">
        <f>(INDEX('Avoided Cost Benefits'!$C$4:$C$857,MATCH(BC1037,'Avoided Cost Benefits'!$A$4:$A$857,0)))*F1037</f>
        <v>15.740222334969658</v>
      </c>
      <c r="BE1037" s="1321">
        <f t="shared" si="206"/>
        <v>9.4384143463898056</v>
      </c>
    </row>
    <row r="1038" spans="1:57" s="1177" customFormat="1" x14ac:dyDescent="0.25">
      <c r="A1038" s="177"/>
      <c r="B1038" s="177"/>
      <c r="C1038" s="92" t="s">
        <v>2087</v>
      </c>
      <c r="D1038" s="150" t="s">
        <v>2076</v>
      </c>
      <c r="E1038" s="458" t="s">
        <v>2088</v>
      </c>
      <c r="F1038" s="152">
        <f t="shared" si="202"/>
        <v>34.729999999999997</v>
      </c>
      <c r="G1038" s="1413" t="s">
        <v>571</v>
      </c>
      <c r="H1038" s="239">
        <f>VLOOKUP(G1038,'CP FACTORS'!$A$3:$B$38, 2, FALSE)</f>
        <v>1.4925290000000001E-4</v>
      </c>
      <c r="I1038" s="1413" t="s">
        <v>36</v>
      </c>
      <c r="J1038" s="239">
        <f>VLOOKUP(I1038,'CP FACTORS'!$A$3:$B$38, 2, FALSE)</f>
        <v>1.899635E-4</v>
      </c>
      <c r="K1038" s="156">
        <f t="shared" si="208"/>
        <v>34.733239415522732</v>
      </c>
      <c r="L1038" s="1880">
        <f t="shared" si="203"/>
        <v>0</v>
      </c>
      <c r="M1038" s="153">
        <f t="shared" si="204"/>
        <v>5.1840000000000002E-3</v>
      </c>
      <c r="N1038" s="156">
        <v>19</v>
      </c>
      <c r="O1038" s="157">
        <f t="shared" si="199"/>
        <v>5.9683676514473287</v>
      </c>
      <c r="P1038" s="1414">
        <f t="shared" si="200"/>
        <v>15</v>
      </c>
      <c r="Q1038" s="1415">
        <f t="shared" si="200"/>
        <v>4.92</v>
      </c>
      <c r="R1038" s="1927" t="s">
        <v>37</v>
      </c>
      <c r="S1038" s="1197"/>
      <c r="T1038" s="1197"/>
      <c r="U1038" s="1197"/>
      <c r="V1038" s="1314" t="str">
        <f t="shared" si="207"/>
        <v>kWh Annual Savings</v>
      </c>
      <c r="W1038" s="1358">
        <v>52.66599384441254</v>
      </c>
      <c r="X1038" s="1416">
        <v>37.052215199999999</v>
      </c>
      <c r="Y1038" s="86">
        <v>34.729999999999997</v>
      </c>
      <c r="Z1038" s="1417"/>
      <c r="AA1038" s="1314"/>
      <c r="AB1038" s="1314"/>
      <c r="AC1038" s="1314"/>
      <c r="AD1038" s="1314"/>
      <c r="AE1038" s="1314"/>
      <c r="AF1038" s="1314"/>
      <c r="AG1038" s="1314"/>
      <c r="AH1038" s="546"/>
      <c r="AK1038" s="1316"/>
      <c r="BB1038" s="1320">
        <f t="shared" si="201"/>
        <v>1.4370030220425734</v>
      </c>
      <c r="BC1038" s="73" t="str">
        <f t="shared" si="205"/>
        <v>Lighting RES 19 Year EUL</v>
      </c>
      <c r="BD1038" s="165">
        <f>(INDEX('Avoided Cost Benefits'!$C$4:$C$857,MATCH(BC1038,'Avoided Cost Benefits'!$A$4:$A$857,0)))*F1038</f>
        <v>20.344544908578197</v>
      </c>
      <c r="BE1038" s="1321">
        <f t="shared" si="206"/>
        <v>14.157621519584708</v>
      </c>
    </row>
    <row r="1039" spans="1:57" s="1177" customFormat="1" x14ac:dyDescent="0.25">
      <c r="A1039" s="177"/>
      <c r="B1039" s="177"/>
      <c r="C1039" s="92" t="s">
        <v>2089</v>
      </c>
      <c r="D1039" s="150" t="s">
        <v>2076</v>
      </c>
      <c r="E1039" s="458" t="s">
        <v>2090</v>
      </c>
      <c r="F1039" s="152">
        <f>ROUND(K1039+L1039,2)</f>
        <v>37.35</v>
      </c>
      <c r="G1039" s="1418" t="s">
        <v>571</v>
      </c>
      <c r="H1039" s="239">
        <f>VLOOKUP(G1039,'CP FACTORS'!$A$3:$B$38, 2, FALSE)</f>
        <v>1.4925290000000001E-4</v>
      </c>
      <c r="I1039" s="1418" t="s">
        <v>36</v>
      </c>
      <c r="J1039" s="239">
        <f>VLOOKUP(I1039,'CP FACTORS'!$A$3:$B$38, 2, FALSE)</f>
        <v>1.899635E-4</v>
      </c>
      <c r="K1039" s="219">
        <f t="shared" si="208"/>
        <v>37.354615975184814</v>
      </c>
      <c r="L1039" s="2247">
        <f t="shared" si="203"/>
        <v>0</v>
      </c>
      <c r="M1039" s="153">
        <f t="shared" si="204"/>
        <v>5.5750000000000001E-3</v>
      </c>
      <c r="N1039" s="219">
        <v>19</v>
      </c>
      <c r="O1039" s="219">
        <f t="shared" si="199"/>
        <v>5.9683676514473287</v>
      </c>
      <c r="P1039" s="1414">
        <f t="shared" si="200"/>
        <v>8</v>
      </c>
      <c r="Q1039" s="1415">
        <f t="shared" si="200"/>
        <v>7.83</v>
      </c>
      <c r="R1039" s="1927" t="s">
        <v>37</v>
      </c>
      <c r="S1039" s="1197"/>
      <c r="T1039" s="1197"/>
      <c r="U1039" s="1197"/>
      <c r="V1039" s="1314" t="str">
        <f t="shared" si="207"/>
        <v>kWh Annual Savings</v>
      </c>
      <c r="W1039" s="1358">
        <v>36.609288404042864</v>
      </c>
      <c r="X1039" s="1416">
        <v>39.848608800000001</v>
      </c>
      <c r="Y1039" s="86">
        <v>37.35</v>
      </c>
      <c r="Z1039" s="1417"/>
      <c r="AA1039" s="1314"/>
      <c r="AB1039" s="1314"/>
      <c r="AC1039" s="1314"/>
      <c r="AD1039" s="1314"/>
      <c r="AE1039" s="1314"/>
      <c r="AF1039" s="1314"/>
      <c r="AG1039" s="1314"/>
      <c r="AH1039" s="546"/>
      <c r="AK1039" s="1316"/>
      <c r="BB1039" s="1320">
        <f t="shared" si="201"/>
        <v>2.8976423232772532</v>
      </c>
      <c r="BC1039" s="73" t="str">
        <f t="shared" si="205"/>
        <v>Lighting RES 19 Year EUL</v>
      </c>
      <c r="BD1039" s="165">
        <f>(INDEX('Avoided Cost Benefits'!$C$4:$C$857,MATCH(BC1039,'Avoided Cost Benefits'!$A$4:$A$857,0)))*F1039</f>
        <v>21.87931909978105</v>
      </c>
      <c r="BE1039" s="1321">
        <f t="shared" si="206"/>
        <v>7.5507314771118441</v>
      </c>
    </row>
    <row r="1040" spans="1:57" s="1177" customFormat="1" x14ac:dyDescent="0.25">
      <c r="A1040" s="177"/>
      <c r="B1040" s="177"/>
      <c r="C1040" s="92" t="s">
        <v>2091</v>
      </c>
      <c r="D1040" s="150" t="s">
        <v>2076</v>
      </c>
      <c r="E1040" s="458" t="s">
        <v>2092</v>
      </c>
      <c r="F1040" s="152">
        <f t="shared" si="202"/>
        <v>23.53</v>
      </c>
      <c r="G1040" s="1418" t="s">
        <v>571</v>
      </c>
      <c r="H1040" s="239">
        <f>VLOOKUP(G1040,'CP FACTORS'!$A$3:$B$38, 2, FALSE)</f>
        <v>1.4925290000000001E-4</v>
      </c>
      <c r="I1040" s="1418" t="s">
        <v>36</v>
      </c>
      <c r="J1040" s="239">
        <f>VLOOKUP(I1040,'CP FACTORS'!$A$3:$B$38, 2, FALSE)</f>
        <v>1.899635E-4</v>
      </c>
      <c r="K1040" s="219">
        <f t="shared" si="208"/>
        <v>23.533408064366434</v>
      </c>
      <c r="L1040" s="2247">
        <f t="shared" si="203"/>
        <v>0</v>
      </c>
      <c r="M1040" s="153">
        <f t="shared" si="204"/>
        <v>3.5119999999999999E-3</v>
      </c>
      <c r="N1040" s="219">
        <v>19</v>
      </c>
      <c r="O1040" s="219">
        <f t="shared" si="199"/>
        <v>5.9683676514473287</v>
      </c>
      <c r="P1040" s="1414">
        <f t="shared" si="200"/>
        <v>7</v>
      </c>
      <c r="Q1040" s="1415">
        <f t="shared" si="200"/>
        <v>3.27</v>
      </c>
      <c r="R1040" s="1927" t="s">
        <v>37</v>
      </c>
      <c r="S1040" s="1197"/>
      <c r="T1040" s="1197"/>
      <c r="U1040" s="1197"/>
      <c r="V1040" s="1314" t="str">
        <f t="shared" si="207"/>
        <v>kWh Annual Savings</v>
      </c>
      <c r="W1040" s="1358">
        <v>23.063851694547001</v>
      </c>
      <c r="X1040" s="1416">
        <v>25.104623543999999</v>
      </c>
      <c r="Y1040" s="86">
        <v>23.53</v>
      </c>
      <c r="Z1040" s="1417"/>
      <c r="AA1040" s="1314"/>
      <c r="AB1040" s="1314"/>
      <c r="AC1040" s="1314"/>
      <c r="AD1040" s="1314"/>
      <c r="AE1040" s="1314"/>
      <c r="AF1040" s="1314"/>
      <c r="AG1040" s="1314"/>
      <c r="AH1040" s="546"/>
      <c r="AK1040" s="1316"/>
      <c r="BB1040" s="1320">
        <f t="shared" si="201"/>
        <v>2.0862581408824248</v>
      </c>
      <c r="BC1040" s="73" t="str">
        <f t="shared" si="205"/>
        <v>Lighting RES 19 Year EUL</v>
      </c>
      <c r="BD1040" s="165">
        <f>(INDEX('Avoided Cost Benefits'!$C$4:$C$857,MATCH(BC1040,'Avoided Cost Benefits'!$A$4:$A$857,0)))*F1040</f>
        <v>13.783678137024044</v>
      </c>
      <c r="BE1040" s="1321">
        <f t="shared" si="206"/>
        <v>6.6068900424728643</v>
      </c>
    </row>
    <row r="1041" spans="1:57" s="1177" customFormat="1" x14ac:dyDescent="0.25">
      <c r="A1041" s="177"/>
      <c r="B1041" s="177"/>
      <c r="C1041" s="92" t="s">
        <v>2093</v>
      </c>
      <c r="D1041" s="150" t="s">
        <v>2076</v>
      </c>
      <c r="E1041" s="458" t="s">
        <v>2094</v>
      </c>
      <c r="F1041" s="152">
        <f t="shared" si="202"/>
        <v>2.95</v>
      </c>
      <c r="G1041" s="1418" t="s">
        <v>571</v>
      </c>
      <c r="H1041" s="239">
        <f>VLOOKUP(G1041,'CP FACTORS'!$A$3:$B$38, 2, FALSE)</f>
        <v>1.4925290000000001E-4</v>
      </c>
      <c r="I1041" s="1418" t="s">
        <v>36</v>
      </c>
      <c r="J1041" s="239">
        <f>VLOOKUP(I1041,'CP FACTORS'!$A$3:$B$38, 2, FALSE)</f>
        <v>1.899635E-4</v>
      </c>
      <c r="K1041" s="219">
        <f t="shared" si="208"/>
        <v>2.9490486296198544</v>
      </c>
      <c r="L1041" s="2247">
        <f t="shared" si="203"/>
        <v>0</v>
      </c>
      <c r="M1041" s="153">
        <f t="shared" si="204"/>
        <v>4.4000000000000002E-4</v>
      </c>
      <c r="N1041" s="219">
        <v>19</v>
      </c>
      <c r="O1041" s="219">
        <f t="shared" si="199"/>
        <v>5.9683676514473287</v>
      </c>
      <c r="P1041" s="1414">
        <f t="shared" si="200"/>
        <v>7</v>
      </c>
      <c r="Q1041" s="1415">
        <f t="shared" si="200"/>
        <v>3.27</v>
      </c>
      <c r="R1041" s="1927" t="s">
        <v>37</v>
      </c>
      <c r="S1041" s="1197"/>
      <c r="T1041" s="1197"/>
      <c r="U1041" s="1197"/>
      <c r="V1041" s="1314" t="str">
        <f t="shared" si="207"/>
        <v>kWh Annual Savings</v>
      </c>
      <c r="W1041" s="1358">
        <v>2.8902069792665412</v>
      </c>
      <c r="X1041" s="1416">
        <v>3.1459428000000003</v>
      </c>
      <c r="Y1041" s="86">
        <v>2.95</v>
      </c>
      <c r="Z1041" s="1417"/>
      <c r="AA1041" s="1314"/>
      <c r="AB1041" s="1314"/>
      <c r="AC1041" s="1314"/>
      <c r="AD1041" s="1314"/>
      <c r="AE1041" s="1314"/>
      <c r="AF1041" s="1314"/>
      <c r="AG1041" s="1314"/>
      <c r="AH1041" s="546"/>
      <c r="AK1041" s="1316"/>
      <c r="BB1041" s="1320">
        <f t="shared" si="201"/>
        <v>0.26155807546124754</v>
      </c>
      <c r="BC1041" s="73" t="str">
        <f t="shared" si="205"/>
        <v>Lighting RES 19 Year EUL</v>
      </c>
      <c r="BD1041" s="165">
        <f>(INDEX('Avoided Cost Benefits'!$C$4:$C$857,MATCH(BC1041,'Avoided Cost Benefits'!$A$4:$A$857,0)))*F1041</f>
        <v>1.7280854442932823</v>
      </c>
      <c r="BE1041" s="1321">
        <f t="shared" si="206"/>
        <v>6.6068900424728643</v>
      </c>
    </row>
    <row r="1042" spans="1:57" s="1177" customFormat="1" x14ac:dyDescent="0.25">
      <c r="A1042" s="177"/>
      <c r="B1042" s="177"/>
      <c r="C1042" s="92" t="s">
        <v>2095</v>
      </c>
      <c r="D1042" s="150" t="s">
        <v>2076</v>
      </c>
      <c r="E1042" s="458" t="s">
        <v>2096</v>
      </c>
      <c r="F1042" s="152">
        <f>ROUND(K1042+L1042,2)</f>
        <v>14.42</v>
      </c>
      <c r="G1042" s="1418" t="s">
        <v>571</v>
      </c>
      <c r="H1042" s="239">
        <f>VLOOKUP(G1042,'CP FACTORS'!$A$3:$B$38, 2, FALSE)</f>
        <v>1.4925290000000001E-4</v>
      </c>
      <c r="I1042" s="1418" t="s">
        <v>36</v>
      </c>
      <c r="J1042" s="239">
        <f>VLOOKUP(I1042,'CP FACTORS'!$A$3:$B$38, 2, FALSE)</f>
        <v>1.899635E-4</v>
      </c>
      <c r="K1042" s="219">
        <f t="shared" si="208"/>
        <v>14.41757107814151</v>
      </c>
      <c r="L1042" s="2247">
        <f t="shared" si="203"/>
        <v>0</v>
      </c>
      <c r="M1042" s="153">
        <f>ROUND(((K1042/F1042)*H1042+(L1042/F1042)*J1042)*F1042,6)</f>
        <v>2.1519999999999998E-3</v>
      </c>
      <c r="N1042" s="219">
        <v>19</v>
      </c>
      <c r="O1042" s="219">
        <f t="shared" si="199"/>
        <v>5.9683676514473287</v>
      </c>
      <c r="P1042" s="1414">
        <f t="shared" si="200"/>
        <v>7</v>
      </c>
      <c r="Q1042" s="1415">
        <f t="shared" si="200"/>
        <v>3.27</v>
      </c>
      <c r="R1042" s="1927" t="s">
        <v>37</v>
      </c>
      <c r="S1042" s="1197"/>
      <c r="T1042" s="1197"/>
      <c r="U1042" s="1197"/>
      <c r="V1042" s="1314" t="str">
        <f t="shared" si="207"/>
        <v>kWh Annual Savings</v>
      </c>
      <c r="W1042" s="1358">
        <v>23.211573384598399</v>
      </c>
      <c r="X1042" s="1416">
        <v>14.681066400000002</v>
      </c>
      <c r="Y1042" s="86">
        <v>14.42</v>
      </c>
      <c r="Z1042" s="1417"/>
      <c r="AA1042" s="1314"/>
      <c r="AB1042" s="1314"/>
      <c r="AC1042" s="1314"/>
      <c r="AD1042" s="1314"/>
      <c r="AE1042" s="1314"/>
      <c r="AF1042" s="1314"/>
      <c r="AG1042" s="1314"/>
      <c r="AH1042" s="546"/>
      <c r="AK1042" s="1316"/>
      <c r="BB1042" s="1320">
        <f t="shared" si="201"/>
        <v>1.2785313383563353</v>
      </c>
      <c r="BC1042" s="73" t="str">
        <f t="shared" si="205"/>
        <v>Lighting RES 19 Year EUL</v>
      </c>
      <c r="BD1042" s="165">
        <f>(INDEX('Avoided Cost Benefits'!$C$4:$C$857,MATCH(BC1042,'Avoided Cost Benefits'!$A$4:$A$857,0)))*F1042</f>
        <v>8.4471159683759751</v>
      </c>
      <c r="BE1042" s="1321">
        <f t="shared" si="206"/>
        <v>6.6068900424728643</v>
      </c>
    </row>
    <row r="1043" spans="1:57" s="1177" customFormat="1" x14ac:dyDescent="0.25">
      <c r="A1043" s="177"/>
      <c r="B1043" s="177"/>
      <c r="C1043" s="92" t="s">
        <v>2097</v>
      </c>
      <c r="D1043" s="150" t="s">
        <v>2076</v>
      </c>
      <c r="E1043" s="458" t="s">
        <v>2098</v>
      </c>
      <c r="F1043" s="152">
        <f t="shared" si="202"/>
        <v>2.62</v>
      </c>
      <c r="G1043" s="1418" t="s">
        <v>571</v>
      </c>
      <c r="H1043" s="239">
        <f>VLOOKUP(G1043,'CP FACTORS'!$A$3:$B$38, 2, FALSE)</f>
        <v>1.4925290000000001E-4</v>
      </c>
      <c r="I1043" s="1418" t="s">
        <v>36</v>
      </c>
      <c r="J1043" s="239">
        <f>VLOOKUP(I1043,'CP FACTORS'!$A$3:$B$38, 2, FALSE)</f>
        <v>1.899635E-4</v>
      </c>
      <c r="K1043" s="219">
        <f t="shared" si="208"/>
        <v>2.6213765596620924</v>
      </c>
      <c r="L1043" s="2247">
        <f t="shared" si="203"/>
        <v>0</v>
      </c>
      <c r="M1043" s="153">
        <f t="shared" si="204"/>
        <v>3.9100000000000002E-4</v>
      </c>
      <c r="N1043" s="219">
        <v>19</v>
      </c>
      <c r="O1043" s="219">
        <f t="shared" si="199"/>
        <v>5.9683676514473287</v>
      </c>
      <c r="P1043" s="1414">
        <f t="shared" si="200"/>
        <v>7</v>
      </c>
      <c r="Q1043" s="1415">
        <f t="shared" si="200"/>
        <v>3.27</v>
      </c>
      <c r="R1043" s="1927" t="s">
        <v>37</v>
      </c>
      <c r="S1043" s="1197"/>
      <c r="T1043" s="1197"/>
      <c r="U1043" s="1197"/>
      <c r="V1043" s="1314" t="str">
        <f t="shared" si="207"/>
        <v>kWh Annual Savings</v>
      </c>
      <c r="W1043" s="1358">
        <v>3.3397947315968928</v>
      </c>
      <c r="X1043" s="1416">
        <v>2.0972952</v>
      </c>
      <c r="Y1043" s="86">
        <v>2.62</v>
      </c>
      <c r="Z1043" s="1417"/>
      <c r="AA1043" s="1314"/>
      <c r="AB1043" s="1314"/>
      <c r="AC1043" s="1314"/>
      <c r="AD1043" s="1314"/>
      <c r="AE1043" s="1314"/>
      <c r="AF1043" s="1314"/>
      <c r="AG1043" s="1314"/>
      <c r="AH1043" s="546"/>
      <c r="AK1043" s="1316"/>
      <c r="BB1043" s="1320">
        <f t="shared" si="201"/>
        <v>0.23229903651134523</v>
      </c>
      <c r="BC1043" s="73" t="str">
        <f t="shared" si="205"/>
        <v>Lighting RES 19 Year EUL</v>
      </c>
      <c r="BD1043" s="165">
        <f>(INDEX('Avoided Cost Benefits'!$C$4:$C$857,MATCH(BC1043,'Avoided Cost Benefits'!$A$4:$A$857,0)))*F1043</f>
        <v>1.5347741912028472</v>
      </c>
      <c r="BE1043" s="1321">
        <f t="shared" si="206"/>
        <v>6.6068900424728643</v>
      </c>
    </row>
    <row r="1044" spans="1:57" s="1177" customFormat="1" x14ac:dyDescent="0.25">
      <c r="A1044" s="177"/>
      <c r="B1044" s="177"/>
      <c r="C1044" s="92" t="s">
        <v>2099</v>
      </c>
      <c r="D1044" s="150" t="s">
        <v>2076</v>
      </c>
      <c r="E1044" s="458" t="s">
        <v>2100</v>
      </c>
      <c r="F1044" s="152">
        <f t="shared" si="202"/>
        <v>2.82</v>
      </c>
      <c r="G1044" s="1418" t="s">
        <v>571</v>
      </c>
      <c r="H1044" s="239">
        <f>VLOOKUP(G1044,'CP FACTORS'!$A$3:$B$38, 2, FALSE)</f>
        <v>1.4925290000000001E-4</v>
      </c>
      <c r="I1044" s="1418" t="s">
        <v>36</v>
      </c>
      <c r="J1044" s="239">
        <f>VLOOKUP(I1044,'CP FACTORS'!$A$3:$B$38, 2, FALSE)</f>
        <v>1.899635E-4</v>
      </c>
      <c r="K1044" s="219">
        <f t="shared" si="208"/>
        <v>2.8179798016367501</v>
      </c>
      <c r="L1044" s="2247">
        <f t="shared" si="203"/>
        <v>0</v>
      </c>
      <c r="M1044" s="153">
        <f t="shared" si="204"/>
        <v>4.2099999999999999E-4</v>
      </c>
      <c r="N1044" s="219">
        <v>19</v>
      </c>
      <c r="O1044" s="219">
        <f t="shared" si="199"/>
        <v>5.9683676514473287</v>
      </c>
      <c r="P1044" s="1414">
        <f t="shared" si="200"/>
        <v>6</v>
      </c>
      <c r="Q1044" s="1415">
        <f t="shared" si="200"/>
        <v>3.68</v>
      </c>
      <c r="R1044" s="1927" t="s">
        <v>37</v>
      </c>
      <c r="S1044" s="1197"/>
      <c r="T1044" s="1197"/>
      <c r="U1044" s="1197"/>
      <c r="V1044" s="1314" t="str">
        <f t="shared" si="207"/>
        <v>kWh Annual Savings</v>
      </c>
      <c r="W1044" s="1358">
        <v>2.7617533357435846</v>
      </c>
      <c r="X1044" s="1416">
        <v>3.0061231200000003</v>
      </c>
      <c r="Y1044" s="86">
        <v>2.82</v>
      </c>
      <c r="Z1044" s="1417"/>
      <c r="AA1044" s="1314"/>
      <c r="AB1044" s="1314"/>
      <c r="AC1044" s="1314"/>
      <c r="AD1044" s="1314"/>
      <c r="AE1044" s="1314"/>
      <c r="AF1044" s="1314"/>
      <c r="AG1044" s="1314"/>
      <c r="AH1044" s="546"/>
      <c r="AK1044" s="1316"/>
      <c r="BB1044" s="1320">
        <f t="shared" si="201"/>
        <v>0.29170375195508619</v>
      </c>
      <c r="BC1044" s="73" t="str">
        <f t="shared" si="205"/>
        <v>Lighting RES 19 Year EUL</v>
      </c>
      <c r="BD1044" s="165">
        <f>(INDEX('Avoided Cost Benefits'!$C$4:$C$857,MATCH(BC1044,'Avoided Cost Benefits'!$A$4:$A$857,0)))*F1044</f>
        <v>1.6519325264091713</v>
      </c>
      <c r="BE1044" s="1321">
        <f t="shared" si="206"/>
        <v>5.6630486078338835</v>
      </c>
    </row>
    <row r="1045" spans="1:57" s="1177" customFormat="1" x14ac:dyDescent="0.25">
      <c r="A1045" s="177"/>
      <c r="B1045" s="177"/>
      <c r="C1045" s="92" t="s">
        <v>2101</v>
      </c>
      <c r="D1045" s="150" t="s">
        <v>2076</v>
      </c>
      <c r="E1045" s="458" t="s">
        <v>2102</v>
      </c>
      <c r="F1045" s="152">
        <f t="shared" si="202"/>
        <v>8.52</v>
      </c>
      <c r="G1045" s="1418" t="s">
        <v>571</v>
      </c>
      <c r="H1045" s="239">
        <f>VLOOKUP(G1045,'CP FACTORS'!$A$3:$B$38, 2, FALSE)</f>
        <v>1.4925290000000001E-4</v>
      </c>
      <c r="I1045" s="1418" t="s">
        <v>36</v>
      </c>
      <c r="J1045" s="239">
        <f>VLOOKUP(I1045,'CP FACTORS'!$A$3:$B$38, 2, FALSE)</f>
        <v>1.899635E-4</v>
      </c>
      <c r="K1045" s="219">
        <f t="shared" si="208"/>
        <v>8.5194738189018011</v>
      </c>
      <c r="L1045" s="2247">
        <f t="shared" si="203"/>
        <v>0</v>
      </c>
      <c r="M1045" s="153">
        <f t="shared" si="204"/>
        <v>1.2719999999999999E-3</v>
      </c>
      <c r="N1045" s="219">
        <v>19</v>
      </c>
      <c r="O1045" s="219">
        <f t="shared" si="199"/>
        <v>5.9683676514473287</v>
      </c>
      <c r="P1045" s="1414">
        <f t="shared" si="200"/>
        <v>6</v>
      </c>
      <c r="Q1045" s="1415">
        <f t="shared" si="200"/>
        <v>3.3</v>
      </c>
      <c r="R1045" s="1927" t="s">
        <v>37</v>
      </c>
      <c r="S1045" s="1197"/>
      <c r="T1045" s="1197"/>
      <c r="U1045" s="1197"/>
      <c r="V1045" s="1314" t="str">
        <f t="shared" si="207"/>
        <v>kWh Annual Savings</v>
      </c>
      <c r="W1045" s="1358">
        <v>8.3494868289922302</v>
      </c>
      <c r="X1045" s="1416">
        <v>9.0882791999999988</v>
      </c>
      <c r="Y1045" s="86">
        <v>8.52</v>
      </c>
      <c r="Z1045" s="1417"/>
      <c r="AA1045" s="1314"/>
      <c r="AB1045" s="1314"/>
      <c r="AC1045" s="1314"/>
      <c r="AD1045" s="1314"/>
      <c r="AE1045" s="1314"/>
      <c r="AF1045" s="1314"/>
      <c r="AG1045" s="1314"/>
      <c r="AH1045" s="546"/>
      <c r="AK1045" s="1316"/>
      <c r="BB1045" s="1320">
        <f t="shared" si="201"/>
        <v>0.88131771867281361</v>
      </c>
      <c r="BC1045" s="73" t="str">
        <f t="shared" si="205"/>
        <v>Lighting RES 19 Year EUL</v>
      </c>
      <c r="BD1045" s="165">
        <f>(INDEX('Avoided Cost Benefits'!$C$4:$C$857,MATCH(BC1045,'Avoided Cost Benefits'!$A$4:$A$857,0)))*F1045</f>
        <v>4.9909450797894115</v>
      </c>
      <c r="BE1045" s="1321">
        <f t="shared" si="206"/>
        <v>5.6630486078338835</v>
      </c>
    </row>
    <row r="1046" spans="1:57" s="1177" customFormat="1" x14ac:dyDescent="0.25">
      <c r="A1046" s="177"/>
      <c r="B1046" s="177"/>
      <c r="C1046" s="92" t="s">
        <v>2103</v>
      </c>
      <c r="D1046" s="150" t="s">
        <v>2076</v>
      </c>
      <c r="E1046" s="458" t="s">
        <v>2104</v>
      </c>
      <c r="F1046" s="152">
        <f>ROUND(K1046+L1046,2)</f>
        <v>5.57</v>
      </c>
      <c r="G1046" s="1418" t="s">
        <v>571</v>
      </c>
      <c r="H1046" s="239">
        <f>VLOOKUP(G1046,'CP FACTORS'!$A$3:$B$38, 2, FALSE)</f>
        <v>1.4925290000000001E-4</v>
      </c>
      <c r="I1046" s="1418" t="s">
        <v>36</v>
      </c>
      <c r="J1046" s="239">
        <f>VLOOKUP(I1046,'CP FACTORS'!$A$3:$B$38, 2, FALSE)</f>
        <v>1.899635E-4</v>
      </c>
      <c r="K1046" s="219">
        <f t="shared" si="208"/>
        <v>5.5704251892819467</v>
      </c>
      <c r="L1046" s="2247">
        <f t="shared" si="203"/>
        <v>0</v>
      </c>
      <c r="M1046" s="153">
        <f t="shared" si="204"/>
        <v>8.3100000000000003E-4</v>
      </c>
      <c r="N1046" s="219">
        <v>19</v>
      </c>
      <c r="O1046" s="219">
        <f t="shared" si="199"/>
        <v>5.9683676514473287</v>
      </c>
      <c r="P1046" s="1414">
        <f t="shared" si="200"/>
        <v>6</v>
      </c>
      <c r="Q1046" s="1415">
        <f t="shared" si="200"/>
        <v>3.53</v>
      </c>
      <c r="R1046" s="1927" t="s">
        <v>37</v>
      </c>
      <c r="S1046" s="1197"/>
      <c r="T1046" s="1197"/>
      <c r="U1046" s="1197"/>
      <c r="V1046" s="1314" t="str">
        <f t="shared" si="207"/>
        <v>kWh Annual Savings</v>
      </c>
      <c r="W1046" s="1358">
        <v>5.4592798497256902</v>
      </c>
      <c r="X1046" s="1416">
        <v>5.9423363999999994</v>
      </c>
      <c r="Y1046" s="86">
        <v>5.57</v>
      </c>
      <c r="Z1046" s="1417"/>
      <c r="AA1046" s="1314"/>
      <c r="AB1046" s="1314"/>
      <c r="AC1046" s="1314"/>
      <c r="AD1046" s="1314"/>
      <c r="AE1046" s="1314"/>
      <c r="AF1046" s="1314"/>
      <c r="AG1046" s="1314"/>
      <c r="AH1046" s="546"/>
      <c r="AK1046" s="1316"/>
      <c r="BB1046" s="1320">
        <f t="shared" si="201"/>
        <v>0.57616663063469165</v>
      </c>
      <c r="BC1046" s="73" t="str">
        <f t="shared" si="205"/>
        <v>Lighting RES 19 Year EUL</v>
      </c>
      <c r="BD1046" s="165">
        <f>(INDEX('Avoided Cost Benefits'!$C$4:$C$857,MATCH(BC1046,'Avoided Cost Benefits'!$A$4:$A$857,0)))*F1046</f>
        <v>3.2628596354961297</v>
      </c>
      <c r="BE1046" s="1321">
        <f t="shared" si="206"/>
        <v>5.6630486078338835</v>
      </c>
    </row>
    <row r="1047" spans="1:57" s="1177" customFormat="1" x14ac:dyDescent="0.25">
      <c r="A1047" s="177"/>
      <c r="B1047" s="177"/>
      <c r="C1047" s="92" t="s">
        <v>2105</v>
      </c>
      <c r="D1047" s="150" t="s">
        <v>2076</v>
      </c>
      <c r="E1047" s="458" t="s">
        <v>2106</v>
      </c>
      <c r="F1047" s="152">
        <f t="shared" si="202"/>
        <v>5.57</v>
      </c>
      <c r="G1047" s="1418" t="s">
        <v>571</v>
      </c>
      <c r="H1047" s="239">
        <f>VLOOKUP(G1047,'CP FACTORS'!$A$3:$B$38, 2, FALSE)</f>
        <v>1.4925290000000001E-4</v>
      </c>
      <c r="I1047" s="1418" t="s">
        <v>36</v>
      </c>
      <c r="J1047" s="239">
        <f>VLOOKUP(I1047,'CP FACTORS'!$A$3:$B$38, 2, FALSE)</f>
        <v>1.899635E-4</v>
      </c>
      <c r="K1047" s="219">
        <f t="shared" si="208"/>
        <v>5.5704251892819467</v>
      </c>
      <c r="L1047" s="2247">
        <f t="shared" si="203"/>
        <v>0</v>
      </c>
      <c r="M1047" s="153">
        <f t="shared" si="204"/>
        <v>8.3100000000000003E-4</v>
      </c>
      <c r="N1047" s="219">
        <v>19</v>
      </c>
      <c r="O1047" s="219">
        <f t="shared" si="199"/>
        <v>5.9683676514473287</v>
      </c>
      <c r="P1047" s="1414">
        <f t="shared" si="200"/>
        <v>6</v>
      </c>
      <c r="Q1047" s="1415">
        <f t="shared" si="200"/>
        <v>4.72</v>
      </c>
      <c r="R1047" s="1927" t="s">
        <v>37</v>
      </c>
      <c r="S1047" s="1197"/>
      <c r="T1047" s="1197"/>
      <c r="U1047" s="1197"/>
      <c r="V1047" s="1314" t="str">
        <f t="shared" si="207"/>
        <v>kWh Annual Savings</v>
      </c>
      <c r="W1047" s="1358">
        <v>5.4592798497256902</v>
      </c>
      <c r="X1047" s="1416">
        <v>5.9423363999999994</v>
      </c>
      <c r="Y1047" s="86">
        <v>5.57</v>
      </c>
      <c r="Z1047" s="1417"/>
      <c r="AA1047" s="1314"/>
      <c r="AB1047" s="1314"/>
      <c r="AC1047" s="1314"/>
      <c r="AD1047" s="1314"/>
      <c r="AE1047" s="1314"/>
      <c r="AF1047" s="1314"/>
      <c r="AG1047" s="1314"/>
      <c r="AH1047" s="546"/>
      <c r="AK1047" s="1316"/>
      <c r="BB1047" s="1320">
        <f t="shared" si="201"/>
        <v>0.57616663063469165</v>
      </c>
      <c r="BC1047" s="73" t="str">
        <f t="shared" si="205"/>
        <v>Lighting RES 19 Year EUL</v>
      </c>
      <c r="BD1047" s="165">
        <f>(INDEX('Avoided Cost Benefits'!$C$4:$C$857,MATCH(BC1047,'Avoided Cost Benefits'!$A$4:$A$857,0)))*F1047</f>
        <v>3.2628596354961297</v>
      </c>
      <c r="BE1047" s="1321">
        <f t="shared" si="206"/>
        <v>5.6630486078338835</v>
      </c>
    </row>
    <row r="1048" spans="1:57" s="1177" customFormat="1" x14ac:dyDescent="0.25">
      <c r="A1048" s="177"/>
      <c r="B1048" s="177"/>
      <c r="C1048" s="92" t="s">
        <v>2107</v>
      </c>
      <c r="D1048" s="150" t="s">
        <v>2076</v>
      </c>
      <c r="E1048" s="458" t="s">
        <v>2108</v>
      </c>
      <c r="F1048" s="152">
        <f t="shared" si="202"/>
        <v>5.44</v>
      </c>
      <c r="G1048" s="1418" t="s">
        <v>571</v>
      </c>
      <c r="H1048" s="239">
        <f>VLOOKUP(G1048,'CP FACTORS'!$A$3:$B$38, 2, FALSE)</f>
        <v>1.4925290000000001E-4</v>
      </c>
      <c r="I1048" s="1418" t="s">
        <v>36</v>
      </c>
      <c r="J1048" s="239">
        <f>VLOOKUP(I1048,'CP FACTORS'!$A$3:$B$38, 2, FALSE)</f>
        <v>1.899635E-4</v>
      </c>
      <c r="K1048" s="219">
        <f t="shared" si="208"/>
        <v>5.4393563612988416</v>
      </c>
      <c r="L1048" s="2247">
        <f t="shared" si="203"/>
        <v>0</v>
      </c>
      <c r="M1048" s="153">
        <f t="shared" si="204"/>
        <v>8.12E-4</v>
      </c>
      <c r="N1048" s="219">
        <v>19</v>
      </c>
      <c r="O1048" s="219">
        <f t="shared" si="199"/>
        <v>5.9683676514473287</v>
      </c>
      <c r="P1048" s="1414">
        <f t="shared" si="200"/>
        <v>8</v>
      </c>
      <c r="Q1048" s="1415">
        <f t="shared" si="200"/>
        <v>6.27</v>
      </c>
      <c r="R1048" s="1927" t="s">
        <v>37</v>
      </c>
      <c r="S1048" s="1197"/>
      <c r="T1048" s="1197"/>
      <c r="U1048" s="1197"/>
      <c r="V1048" s="1314" t="str">
        <f t="shared" si="207"/>
        <v>kWh Annual Savings</v>
      </c>
      <c r="W1048" s="1358">
        <v>5.3308262062027314</v>
      </c>
      <c r="X1048" s="1416">
        <v>5.802516719999999</v>
      </c>
      <c r="Y1048" s="86">
        <v>5.44</v>
      </c>
      <c r="Z1048" s="1417"/>
      <c r="AA1048" s="1314"/>
      <c r="AB1048" s="1314"/>
      <c r="AC1048" s="1314"/>
      <c r="AD1048" s="1314"/>
      <c r="AE1048" s="1314"/>
      <c r="AF1048" s="1314"/>
      <c r="AG1048" s="1314"/>
      <c r="AH1048" s="546"/>
      <c r="AK1048" s="1316"/>
      <c r="BB1048" s="1320">
        <f t="shared" si="201"/>
        <v>0.42203947091374178</v>
      </c>
      <c r="BC1048" s="73" t="str">
        <f t="shared" si="205"/>
        <v>Lighting RES 19 Year EUL</v>
      </c>
      <c r="BD1048" s="165">
        <f>(INDEX('Avoided Cost Benefits'!$C$4:$C$857,MATCH(BC1048,'Avoided Cost Benefits'!$A$4:$A$857,0)))*F1048</f>
        <v>3.1867067176120187</v>
      </c>
      <c r="BE1048" s="1321">
        <f t="shared" si="206"/>
        <v>7.5507314771118441</v>
      </c>
    </row>
    <row r="1049" spans="1:57" s="1177" customFormat="1" x14ac:dyDescent="0.25">
      <c r="A1049" s="177"/>
      <c r="B1049" s="177"/>
      <c r="C1049" s="92" t="s">
        <v>2109</v>
      </c>
      <c r="D1049" s="150" t="s">
        <v>2076</v>
      </c>
      <c r="E1049" s="458" t="s">
        <v>2110</v>
      </c>
      <c r="F1049" s="152">
        <f>ROUND(K1049+L1049,2)</f>
        <v>3.15</v>
      </c>
      <c r="G1049" s="1418" t="s">
        <v>571</v>
      </c>
      <c r="H1049" s="239">
        <f>VLOOKUP(G1049,'CP FACTORS'!$A$3:$B$38, 2, FALSE)</f>
        <v>1.4925290000000001E-4</v>
      </c>
      <c r="I1049" s="1418" t="s">
        <v>36</v>
      </c>
      <c r="J1049" s="239">
        <f>VLOOKUP(I1049,'CP FACTORS'!$A$3:$B$38, 2, FALSE)</f>
        <v>1.899635E-4</v>
      </c>
      <c r="K1049" s="219">
        <f t="shared" si="208"/>
        <v>3.1456518715945112</v>
      </c>
      <c r="L1049" s="2247">
        <f t="shared" si="203"/>
        <v>0</v>
      </c>
      <c r="M1049" s="153">
        <f t="shared" si="204"/>
        <v>4.6900000000000002E-4</v>
      </c>
      <c r="N1049" s="219">
        <v>19</v>
      </c>
      <c r="O1049" s="219">
        <f t="shared" si="199"/>
        <v>5.9683676514473287</v>
      </c>
      <c r="P1049" s="1414">
        <f t="shared" si="200"/>
        <v>10</v>
      </c>
      <c r="Q1049" s="1415">
        <f t="shared" si="200"/>
        <v>4.92</v>
      </c>
      <c r="R1049" s="1927" t="s">
        <v>37</v>
      </c>
      <c r="S1049" s="1197"/>
      <c r="T1049" s="1197"/>
      <c r="U1049" s="1197"/>
      <c r="V1049" s="1314" t="str">
        <f t="shared" si="207"/>
        <v>kWh Annual Savings</v>
      </c>
      <c r="W1049" s="1358">
        <v>3.0828874445509782</v>
      </c>
      <c r="X1049" s="1416">
        <v>3.3556723200000005</v>
      </c>
      <c r="Y1049" s="86">
        <v>3.15</v>
      </c>
      <c r="Z1049" s="1417"/>
      <c r="AA1049" s="1314"/>
      <c r="AB1049" s="1314"/>
      <c r="AC1049" s="1314"/>
      <c r="AD1049" s="1314"/>
      <c r="AE1049" s="1314"/>
      <c r="AF1049" s="1314"/>
      <c r="AG1049" s="1314"/>
      <c r="AH1049" s="546"/>
      <c r="AK1049" s="1316"/>
      <c r="BB1049" s="1320">
        <f t="shared" si="201"/>
        <v>0.19550357843798333</v>
      </c>
      <c r="BC1049" s="73" t="str">
        <f t="shared" si="205"/>
        <v>Lighting RES 19 Year EUL</v>
      </c>
      <c r="BD1049" s="165">
        <f>(INDEX('Avoided Cost Benefits'!$C$4:$C$857,MATCH(BC1049,'Avoided Cost Benefits'!$A$4:$A$857,0)))*F1049</f>
        <v>1.8452437794996064</v>
      </c>
      <c r="BE1049" s="1321">
        <f t="shared" si="206"/>
        <v>9.4384143463898056</v>
      </c>
    </row>
    <row r="1050" spans="1:57" s="1177" customFormat="1" x14ac:dyDescent="0.25">
      <c r="A1050" s="177"/>
      <c r="B1050" s="177"/>
      <c r="C1050" s="92" t="s">
        <v>2111</v>
      </c>
      <c r="D1050" s="150" t="s">
        <v>2076</v>
      </c>
      <c r="E1050" s="458" t="s">
        <v>2112</v>
      </c>
      <c r="F1050" s="152">
        <f t="shared" si="202"/>
        <v>3.28</v>
      </c>
      <c r="G1050" s="1418" t="s">
        <v>571</v>
      </c>
      <c r="H1050" s="239">
        <f>VLOOKUP(G1050,'CP FACTORS'!$A$3:$B$38, 2, FALSE)</f>
        <v>1.4925290000000001E-4</v>
      </c>
      <c r="I1050" s="1418" t="s">
        <v>36</v>
      </c>
      <c r="J1050" s="239">
        <f>VLOOKUP(I1050,'CP FACTORS'!$A$3:$B$38, 2, FALSE)</f>
        <v>1.899635E-4</v>
      </c>
      <c r="K1050" s="219">
        <f t="shared" si="208"/>
        <v>3.2767206995776155</v>
      </c>
      <c r="L1050" s="2247">
        <f t="shared" si="203"/>
        <v>0</v>
      </c>
      <c r="M1050" s="153">
        <f t="shared" si="204"/>
        <v>4.8899999999999996E-4</v>
      </c>
      <c r="N1050" s="219">
        <v>19</v>
      </c>
      <c r="O1050" s="219">
        <f t="shared" si="199"/>
        <v>5.9683676514473287</v>
      </c>
      <c r="P1050" s="1414">
        <f t="shared" si="200"/>
        <v>15</v>
      </c>
      <c r="Q1050" s="1415">
        <f t="shared" si="200"/>
        <v>4.92</v>
      </c>
      <c r="R1050" s="1927" t="s">
        <v>37</v>
      </c>
      <c r="S1050" s="1197"/>
      <c r="T1050" s="1197"/>
      <c r="U1050" s="1197"/>
      <c r="V1050" s="1314" t="str">
        <f t="shared" si="207"/>
        <v>kWh Annual Savings</v>
      </c>
      <c r="W1050" s="1358">
        <v>3.2113410880739353</v>
      </c>
      <c r="X1050" s="1416">
        <v>3.4954919999999996</v>
      </c>
      <c r="Y1050" s="86">
        <v>3.28</v>
      </c>
      <c r="Z1050" s="1417"/>
      <c r="AA1050" s="1314"/>
      <c r="AB1050" s="1314"/>
      <c r="AC1050" s="1314"/>
      <c r="AD1050" s="1314"/>
      <c r="AE1050" s="1314"/>
      <c r="AF1050" s="1314"/>
      <c r="AG1050" s="1314"/>
      <c r="AH1050" s="546"/>
      <c r="AK1050" s="1316"/>
      <c r="BB1050" s="1320">
        <f t="shared" si="201"/>
        <v>0.13571465339186989</v>
      </c>
      <c r="BC1050" s="73" t="str">
        <f t="shared" si="205"/>
        <v>Lighting RES 19 Year EUL</v>
      </c>
      <c r="BD1050" s="165">
        <f>(INDEX('Avoided Cost Benefits'!$C$4:$C$857,MATCH(BC1050,'Avoided Cost Benefits'!$A$4:$A$857,0)))*F1050</f>
        <v>1.9213966973837171</v>
      </c>
      <c r="BE1050" s="1321">
        <f t="shared" si="206"/>
        <v>14.157621519584708</v>
      </c>
    </row>
    <row r="1051" spans="1:57" s="1177" customFormat="1" x14ac:dyDescent="0.25">
      <c r="A1051" s="177"/>
      <c r="B1051" s="177"/>
      <c r="C1051" s="92" t="s">
        <v>2113</v>
      </c>
      <c r="D1051" s="150" t="s">
        <v>2076</v>
      </c>
      <c r="E1051" s="458" t="s">
        <v>2114</v>
      </c>
      <c r="F1051" s="152">
        <f t="shared" si="202"/>
        <v>6.42</v>
      </c>
      <c r="G1051" s="1418" t="s">
        <v>571</v>
      </c>
      <c r="H1051" s="239">
        <f>VLOOKUP(G1051,'CP FACTORS'!$A$3:$B$38, 2, FALSE)</f>
        <v>1.4925290000000001E-4</v>
      </c>
      <c r="I1051" s="1418" t="s">
        <v>36</v>
      </c>
      <c r="J1051" s="239">
        <f>VLOOKUP(I1051,'CP FACTORS'!$A$3:$B$38, 2, FALSE)</f>
        <v>1.899635E-4</v>
      </c>
      <c r="K1051" s="219">
        <f t="shared" si="208"/>
        <v>6.4223725711721276</v>
      </c>
      <c r="L1051" s="2247">
        <f t="shared" si="203"/>
        <v>0</v>
      </c>
      <c r="M1051" s="153">
        <f t="shared" si="204"/>
        <v>9.59E-4</v>
      </c>
      <c r="N1051" s="219">
        <v>19</v>
      </c>
      <c r="O1051" s="219">
        <f t="shared" si="199"/>
        <v>5.9683676514473287</v>
      </c>
      <c r="P1051" s="1419">
        <f t="shared" si="200"/>
        <v>8</v>
      </c>
      <c r="Q1051" s="1420">
        <f t="shared" si="200"/>
        <v>7.83</v>
      </c>
      <c r="R1051" s="1927" t="s">
        <v>37</v>
      </c>
      <c r="S1051" s="1197"/>
      <c r="T1051" s="1197"/>
      <c r="U1051" s="1197"/>
      <c r="V1051" s="1314" t="str">
        <f t="shared" si="207"/>
        <v>kWh Annual Savings</v>
      </c>
      <c r="W1051" s="1358">
        <v>6.2942285326249126</v>
      </c>
      <c r="X1051" s="1416">
        <v>6.8511643200000005</v>
      </c>
      <c r="Y1051" s="86">
        <v>6.42</v>
      </c>
      <c r="Z1051" s="1417"/>
      <c r="AA1051" s="1314"/>
      <c r="AB1051" s="1314"/>
      <c r="AC1051" s="1314"/>
      <c r="AD1051" s="1314"/>
      <c r="AE1051" s="1314"/>
      <c r="AF1051" s="1314"/>
      <c r="AG1051" s="1314"/>
      <c r="AH1051" s="546"/>
      <c r="AK1051" s="1316"/>
      <c r="BB1051" s="1322">
        <f t="shared" si="201"/>
        <v>0.49806864030629089</v>
      </c>
      <c r="BC1051" s="73" t="str">
        <f t="shared" si="205"/>
        <v>Lighting RES 19 Year EUL</v>
      </c>
      <c r="BD1051" s="170">
        <f>(INDEX('Avoided Cost Benefits'!$C$4:$C$857,MATCH(BC1051,'Avoided Cost Benefits'!$A$4:$A$857,0)))*F1051</f>
        <v>3.7607825601230074</v>
      </c>
      <c r="BE1051" s="1323">
        <f t="shared" si="206"/>
        <v>7.5507314771118441</v>
      </c>
    </row>
    <row r="1052" spans="1:57" s="1177" customFormat="1" x14ac:dyDescent="0.25">
      <c r="A1052" s="177"/>
      <c r="B1052" s="177"/>
      <c r="C1052" s="171"/>
      <c r="D1052" s="1421"/>
      <c r="E1052" s="1424"/>
      <c r="F1052" s="1423"/>
      <c r="G1052" s="1422"/>
      <c r="H1052" s="1932"/>
      <c r="I1052" s="1422"/>
      <c r="J1052" s="1932"/>
      <c r="K1052" s="1423"/>
      <c r="L1052" s="2248"/>
      <c r="M1052" s="2249"/>
      <c r="N1052" s="1423"/>
      <c r="O1052" s="2250"/>
      <c r="P1052" s="2251"/>
      <c r="Q1052" s="2252"/>
      <c r="R1052" s="911"/>
      <c r="S1052" s="1197"/>
      <c r="T1052" s="1197"/>
      <c r="U1052" s="1197"/>
      <c r="V1052" s="328"/>
      <c r="W1052" s="328"/>
      <c r="X1052" s="328"/>
      <c r="Y1052" s="833"/>
      <c r="Z1052" s="328"/>
      <c r="AA1052" s="328"/>
      <c r="AB1052" s="328"/>
      <c r="AC1052" s="328"/>
      <c r="AD1052" s="328"/>
      <c r="AE1052" s="328"/>
      <c r="AF1052" s="328"/>
      <c r="AG1052" s="328"/>
      <c r="AK1052" s="1166"/>
      <c r="BB1052" s="1193"/>
    </row>
    <row r="1053" spans="1:57" s="1177" customFormat="1" x14ac:dyDescent="0.25">
      <c r="A1053" s="177"/>
      <c r="B1053" s="177"/>
      <c r="C1053" s="171"/>
      <c r="D1053" s="1421"/>
      <c r="E1053" s="1424"/>
      <c r="F1053" s="1423"/>
      <c r="G1053" s="1422"/>
      <c r="H1053" s="1932"/>
      <c r="I1053" s="1422"/>
      <c r="J1053" s="1932"/>
      <c r="K1053" s="1423"/>
      <c r="L1053" s="2248"/>
      <c r="M1053" s="1426"/>
      <c r="N1053" s="2253"/>
      <c r="O1053" s="2254"/>
      <c r="P1053" s="2255"/>
      <c r="Q1053" s="2255"/>
      <c r="R1053" s="911"/>
      <c r="S1053" s="1197"/>
      <c r="T1053" s="1197"/>
      <c r="U1053" s="1197"/>
      <c r="V1053" s="328"/>
      <c r="W1053" s="328"/>
      <c r="X1053" s="328"/>
      <c r="Y1053" s="833"/>
      <c r="Z1053" s="328"/>
      <c r="AA1053" s="328"/>
      <c r="AB1053" s="328"/>
      <c r="AC1053" s="328"/>
      <c r="AD1053" s="328"/>
      <c r="AE1053" s="328"/>
      <c r="AF1053" s="328"/>
      <c r="AG1053" s="328"/>
      <c r="AK1053" s="1166"/>
      <c r="BB1053" s="1193"/>
    </row>
    <row r="1054" spans="1:57" outlineLevel="1" x14ac:dyDescent="0.25">
      <c r="B1054" s="177"/>
      <c r="C1054" s="171"/>
      <c r="D1054" s="1424"/>
      <c r="E1054" s="1424"/>
      <c r="F1054" s="727"/>
      <c r="G1054" s="1425"/>
      <c r="H1054" s="2256"/>
      <c r="I1054" s="785"/>
      <c r="J1054" s="2253"/>
      <c r="K1054" s="1426"/>
      <c r="L1054" s="911"/>
      <c r="M1054" s="177"/>
      <c r="N1054" s="177"/>
      <c r="V1054" s="328" t="str">
        <f>IF(C1052&gt;0,C1052," ")</f>
        <v xml:space="preserve"> </v>
      </c>
      <c r="AH1054" s="1177"/>
      <c r="AI1054" s="1177"/>
      <c r="AJ1054" s="1177"/>
      <c r="AK1054" s="1166"/>
      <c r="AL1054" s="1177"/>
    </row>
    <row r="1055" spans="1:57" outlineLevel="1" x14ac:dyDescent="0.25">
      <c r="B1055" s="177"/>
      <c r="C1055" s="455"/>
      <c r="D1055" s="259" t="s">
        <v>617</v>
      </c>
      <c r="E1055" s="1099"/>
      <c r="F1055" s="785"/>
      <c r="G1055" s="785"/>
      <c r="H1055" s="785"/>
      <c r="I1055" s="785"/>
      <c r="J1055" s="2253"/>
      <c r="K1055" s="1426"/>
      <c r="L1055" s="911"/>
      <c r="M1055" s="177"/>
      <c r="N1055" s="177"/>
      <c r="V1055" s="328" t="str">
        <f>IF(C1053&gt;0,C1053," ")</f>
        <v xml:space="preserve"> </v>
      </c>
      <c r="AH1055" s="1177"/>
      <c r="AI1055" s="1177"/>
      <c r="AK1055" s="1166"/>
    </row>
    <row r="1056" spans="1:57" outlineLevel="1" x14ac:dyDescent="0.25">
      <c r="B1056" s="177"/>
      <c r="C1056" s="455"/>
      <c r="D1056" s="456"/>
      <c r="E1056" s="456"/>
      <c r="F1056" s="177"/>
      <c r="G1056" s="177"/>
      <c r="H1056" s="177"/>
      <c r="I1056" s="177"/>
      <c r="J1056" s="2253"/>
      <c r="K1056" s="1426"/>
      <c r="L1056" s="911"/>
      <c r="M1056" s="177"/>
      <c r="N1056" s="177"/>
      <c r="V1056" s="328" t="str">
        <f>IF(C1054&gt;0,C1054," ")</f>
        <v xml:space="preserve"> </v>
      </c>
      <c r="AK1056" s="1166"/>
    </row>
    <row r="1057" spans="1:37" outlineLevel="1" x14ac:dyDescent="0.25">
      <c r="B1057" s="177"/>
      <c r="C1057" s="455"/>
      <c r="D1057" s="456"/>
      <c r="E1057" s="456"/>
      <c r="F1057" s="177"/>
      <c r="G1057" s="177"/>
      <c r="H1057" s="177"/>
      <c r="I1057" s="177"/>
      <c r="J1057" s="2253"/>
      <c r="K1057" s="1426"/>
      <c r="L1057" s="911"/>
      <c r="M1057" s="177"/>
      <c r="N1057" s="177"/>
      <c r="AK1057" s="1166"/>
    </row>
    <row r="1058" spans="1:37" outlineLevel="1" x14ac:dyDescent="0.25">
      <c r="B1058" s="177"/>
      <c r="C1058" s="455"/>
      <c r="D1058" s="456"/>
      <c r="E1058" s="456"/>
      <c r="F1058" s="177"/>
      <c r="G1058" s="177"/>
      <c r="H1058" s="177"/>
      <c r="I1058" s="177"/>
      <c r="J1058" s="2253"/>
      <c r="K1058" s="1426"/>
      <c r="L1058" s="911"/>
      <c r="M1058" s="177"/>
      <c r="N1058" s="177"/>
      <c r="AK1058" s="1166"/>
    </row>
    <row r="1059" spans="1:37" outlineLevel="1" x14ac:dyDescent="0.25">
      <c r="B1059" s="177"/>
      <c r="C1059" s="455"/>
      <c r="D1059" s="456"/>
      <c r="E1059" s="456"/>
      <c r="F1059" s="177"/>
      <c r="G1059" s="177"/>
      <c r="H1059" s="177"/>
      <c r="I1059" s="177"/>
      <c r="J1059" s="2253"/>
      <c r="K1059" s="1426"/>
      <c r="L1059" s="911"/>
      <c r="M1059" s="177"/>
      <c r="N1059" s="177"/>
      <c r="AK1059" s="1166"/>
    </row>
    <row r="1060" spans="1:37" outlineLevel="1" x14ac:dyDescent="0.25">
      <c r="B1060" s="177"/>
      <c r="C1060" s="455"/>
      <c r="D1060" s="456"/>
      <c r="E1060" s="456"/>
      <c r="F1060" s="177"/>
      <c r="G1060" s="177"/>
      <c r="H1060" s="177"/>
      <c r="I1060" s="177"/>
      <c r="J1060" s="2253"/>
      <c r="K1060" s="1426"/>
      <c r="L1060" s="911"/>
      <c r="M1060" s="177"/>
      <c r="N1060" s="177"/>
      <c r="AK1060" s="1166"/>
    </row>
    <row r="1061" spans="1:37" outlineLevel="1" x14ac:dyDescent="0.25">
      <c r="B1061" s="177"/>
      <c r="C1061" s="455"/>
      <c r="D1061" s="456"/>
      <c r="E1061" s="456"/>
      <c r="F1061" s="177"/>
      <c r="G1061" s="177"/>
      <c r="H1061" s="177"/>
      <c r="I1061" s="177"/>
      <c r="J1061" s="2253"/>
      <c r="K1061" s="1426"/>
      <c r="L1061" s="911"/>
      <c r="M1061" s="177"/>
      <c r="N1061" s="177"/>
      <c r="AK1061" s="1166"/>
    </row>
    <row r="1062" spans="1:37" outlineLevel="1" x14ac:dyDescent="0.25">
      <c r="B1062" s="177"/>
      <c r="C1062" s="455"/>
      <c r="D1062" s="456"/>
      <c r="E1062" s="456"/>
      <c r="F1062" s="177"/>
      <c r="G1062" s="177"/>
      <c r="H1062" s="177"/>
      <c r="I1062" s="177"/>
      <c r="J1062" s="2253"/>
      <c r="K1062" s="1426"/>
      <c r="L1062" s="911"/>
      <c r="M1062" s="177"/>
      <c r="N1062" s="177"/>
      <c r="AK1062" s="1166"/>
    </row>
    <row r="1063" spans="1:37" outlineLevel="1" x14ac:dyDescent="0.25">
      <c r="A1063" s="177"/>
      <c r="B1063" s="177"/>
      <c r="C1063" s="1427"/>
      <c r="D1063" s="1428" t="s">
        <v>619</v>
      </c>
      <c r="E1063" s="1428" t="s">
        <v>77</v>
      </c>
      <c r="F1063" s="3101" t="s">
        <v>620</v>
      </c>
      <c r="G1063" s="2709"/>
      <c r="H1063" s="3101" t="s">
        <v>621</v>
      </c>
      <c r="I1063" s="2709"/>
      <c r="J1063" s="177"/>
      <c r="K1063" s="177"/>
      <c r="L1063" s="177"/>
      <c r="M1063" s="177"/>
      <c r="N1063" s="177"/>
      <c r="V1063" s="55" t="s">
        <v>27</v>
      </c>
      <c r="W1063" s="56">
        <f>$W$6</f>
        <v>43252</v>
      </c>
      <c r="X1063" s="56">
        <f>$X$6</f>
        <v>43465</v>
      </c>
      <c r="Y1063" s="500">
        <f>$Y$6</f>
        <v>43800</v>
      </c>
      <c r="Z1063" s="56">
        <f>$Z$6</f>
        <v>43862</v>
      </c>
      <c r="AA1063" s="56" t="str">
        <f>$AA$6</f>
        <v>-</v>
      </c>
      <c r="AB1063" s="56" t="str">
        <f>$AB$6</f>
        <v>-</v>
      </c>
      <c r="AC1063" s="56" t="str">
        <f>$AC$6</f>
        <v>-</v>
      </c>
      <c r="AD1063" s="56" t="str">
        <f>$AD$6</f>
        <v>-</v>
      </c>
      <c r="AE1063" s="56" t="str">
        <f>$AE$6</f>
        <v>-</v>
      </c>
      <c r="AF1063" s="56" t="str">
        <f>$AF$6</f>
        <v>-</v>
      </c>
      <c r="AG1063" s="56" t="str">
        <f>$AG$6</f>
        <v>-</v>
      </c>
      <c r="AK1063" s="1166"/>
    </row>
    <row r="1064" spans="1:37" ht="15" customHeight="1" outlineLevel="1" x14ac:dyDescent="0.25">
      <c r="A1064" s="177"/>
      <c r="B1064" s="177"/>
      <c r="C1064" s="1427"/>
      <c r="D1064" s="1429" t="s">
        <v>2115</v>
      </c>
      <c r="E1064" s="383" t="str">
        <f t="shared" ref="E1064:E1083" si="209">E1032</f>
        <v>LED - 10.5W Downlight E26 (EISA baseline) LI DI</v>
      </c>
      <c r="F1064" s="95">
        <v>43</v>
      </c>
      <c r="G1064" s="1430"/>
      <c r="H1064" s="3102" t="s">
        <v>1282</v>
      </c>
      <c r="I1064" s="2731"/>
      <c r="J1064" s="177"/>
      <c r="K1064" s="177"/>
      <c r="L1064" s="177"/>
      <c r="M1064" s="177"/>
      <c r="N1064" s="177"/>
      <c r="U1064" s="1570" t="str">
        <f>D1064</f>
        <v>Watts Base EISA</v>
      </c>
      <c r="V1064" s="1180" t="str">
        <f>E1064</f>
        <v>LED - 10.5W Downlight E26 (EISA baseline) LI DI</v>
      </c>
      <c r="W1064" s="1431">
        <v>43</v>
      </c>
      <c r="X1064" s="506">
        <v>43</v>
      </c>
      <c r="Y1064" s="95">
        <v>43</v>
      </c>
      <c r="Z1064" s="752"/>
      <c r="AA1064" s="752"/>
      <c r="AB1064" s="752"/>
      <c r="AC1064" s="752"/>
      <c r="AD1064" s="752"/>
      <c r="AE1064" s="752"/>
      <c r="AF1064" s="752"/>
      <c r="AG1064" s="752"/>
      <c r="AK1064" s="1166"/>
    </row>
    <row r="1065" spans="1:37" ht="15" customHeight="1" outlineLevel="1" x14ac:dyDescent="0.25">
      <c r="A1065" s="177"/>
      <c r="B1065" s="177"/>
      <c r="C1065" s="1427"/>
      <c r="D1065" s="1429" t="s">
        <v>2115</v>
      </c>
      <c r="E1065" s="383" t="str">
        <f t="shared" si="209"/>
        <v>LED - 10W (Halogen baseline) LIDI</v>
      </c>
      <c r="F1065" s="95">
        <v>41.32</v>
      </c>
      <c r="G1065" s="1430"/>
      <c r="H1065" s="3102" t="s">
        <v>2116</v>
      </c>
      <c r="I1065" s="2731"/>
      <c r="J1065" s="177"/>
      <c r="K1065" s="177"/>
      <c r="L1065" s="177"/>
      <c r="M1065" s="177"/>
      <c r="N1065" s="177"/>
      <c r="U1065" s="1570" t="str">
        <f t="shared" ref="U1065:V1114" si="210">D1065</f>
        <v>Watts Base EISA</v>
      </c>
      <c r="V1065" s="1180" t="str">
        <f t="shared" si="210"/>
        <v>LED - 10W (Halogen baseline) LIDI</v>
      </c>
      <c r="W1065" s="1431">
        <v>41.32</v>
      </c>
      <c r="X1065" s="1431">
        <v>41.32</v>
      </c>
      <c r="Y1065" s="1432">
        <v>41.32</v>
      </c>
      <c r="Z1065" s="1186"/>
      <c r="AA1065" s="1186"/>
      <c r="AB1065" s="1186"/>
      <c r="AC1065" s="1186"/>
      <c r="AD1065" s="1186"/>
      <c r="AE1065" s="1186"/>
      <c r="AF1065" s="1186"/>
      <c r="AG1065" s="1186"/>
      <c r="AK1065" s="1166"/>
    </row>
    <row r="1066" spans="1:37" outlineLevel="1" x14ac:dyDescent="0.25">
      <c r="A1066" s="177"/>
      <c r="B1066" s="177"/>
      <c r="C1066" s="1427"/>
      <c r="D1066" s="1429" t="s">
        <v>2115</v>
      </c>
      <c r="E1066" s="383" t="str">
        <f t="shared" si="209"/>
        <v>LED - 12W (Halogen baseline) LI DI</v>
      </c>
      <c r="F1066" s="95">
        <v>44.25</v>
      </c>
      <c r="G1066" s="1430"/>
      <c r="H1066" s="3102" t="s">
        <v>1282</v>
      </c>
      <c r="I1066" s="2731"/>
      <c r="J1066" s="177"/>
      <c r="K1066" s="177"/>
      <c r="L1066" s="177"/>
      <c r="M1066" s="177"/>
      <c r="N1066" s="177"/>
      <c r="U1066" s="1570" t="str">
        <f t="shared" si="210"/>
        <v>Watts Base EISA</v>
      </c>
      <c r="V1066" s="1180" t="str">
        <f t="shared" si="210"/>
        <v>LED - 12W (Halogen baseline) LI DI</v>
      </c>
      <c r="W1066" s="1431">
        <v>53</v>
      </c>
      <c r="X1066" s="506">
        <v>44.25</v>
      </c>
      <c r="Y1066" s="1432">
        <v>44.25</v>
      </c>
      <c r="Z1066" s="1186"/>
      <c r="AA1066" s="1186"/>
      <c r="AB1066" s="1186"/>
      <c r="AC1066" s="1186"/>
      <c r="AD1066" s="1186"/>
      <c r="AE1066" s="1186"/>
      <c r="AF1066" s="1186"/>
      <c r="AG1066" s="1186"/>
      <c r="AK1066" s="1166"/>
    </row>
    <row r="1067" spans="1:37" ht="15" customHeight="1" outlineLevel="1" x14ac:dyDescent="0.25">
      <c r="A1067" s="177"/>
      <c r="B1067" s="177"/>
      <c r="C1067" s="1427"/>
      <c r="D1067" s="1433" t="s">
        <v>2117</v>
      </c>
      <c r="E1067" s="383" t="str">
        <f t="shared" si="209"/>
        <v>LED - 12W Dimmable Light Bulb (Replacing Specialty Incandescent) LI DI</v>
      </c>
      <c r="F1067" s="95">
        <v>53</v>
      </c>
      <c r="G1067" s="1430"/>
      <c r="H1067" s="3102" t="s">
        <v>1282</v>
      </c>
      <c r="I1067" s="2731"/>
      <c r="J1067" s="177"/>
      <c r="K1067" s="177"/>
      <c r="L1067" s="177"/>
      <c r="M1067" s="177"/>
      <c r="N1067" s="177"/>
      <c r="U1067" s="1570" t="str">
        <f t="shared" si="210"/>
        <v>Watts Base Specialty</v>
      </c>
      <c r="V1067" s="1180" t="str">
        <f t="shared" si="210"/>
        <v>LED - 12W Dimmable Light Bulb (Replacing Specialty Incandescent) LI DI</v>
      </c>
      <c r="W1067" s="1431">
        <v>76.25</v>
      </c>
      <c r="X1067" s="1434">
        <v>76.25</v>
      </c>
      <c r="Y1067" s="744">
        <v>53</v>
      </c>
      <c r="Z1067" s="1186"/>
      <c r="AA1067" s="1186"/>
      <c r="AB1067" s="1186"/>
      <c r="AC1067" s="1186"/>
      <c r="AD1067" s="1186"/>
      <c r="AE1067" s="1186"/>
      <c r="AF1067" s="1186"/>
      <c r="AG1067" s="1186"/>
      <c r="AK1067" s="1166"/>
    </row>
    <row r="1068" spans="1:37" ht="15" customHeight="1" outlineLevel="1" x14ac:dyDescent="0.25">
      <c r="A1068" s="177"/>
      <c r="B1068" s="177"/>
      <c r="C1068" s="1427"/>
      <c r="D1068" s="1433" t="s">
        <v>2115</v>
      </c>
      <c r="E1068" s="383" t="str">
        <f t="shared" si="209"/>
        <v>LED - 15W (Halogen baseline) LIDI</v>
      </c>
      <c r="F1068" s="95">
        <v>53</v>
      </c>
      <c r="G1068" s="1430"/>
      <c r="H1068" s="3102" t="s">
        <v>2116</v>
      </c>
      <c r="I1068" s="2731"/>
      <c r="J1068" s="177"/>
      <c r="K1068" s="177"/>
      <c r="L1068" s="177"/>
      <c r="M1068" s="177"/>
      <c r="N1068" s="177"/>
      <c r="U1068" s="1570" t="str">
        <f t="shared" si="210"/>
        <v>Watts Base EISA</v>
      </c>
      <c r="V1068" s="1180" t="str">
        <f t="shared" si="210"/>
        <v>LED - 15W (Halogen baseline) LIDI</v>
      </c>
      <c r="W1068" s="87">
        <v>53</v>
      </c>
      <c r="X1068" s="87">
        <v>53</v>
      </c>
      <c r="Y1068" s="1435">
        <v>53</v>
      </c>
      <c r="Z1068" s="1186"/>
      <c r="AA1068" s="1186"/>
      <c r="AB1068" s="1186"/>
      <c r="AC1068" s="1186"/>
      <c r="AD1068" s="1186"/>
      <c r="AE1068" s="1186"/>
      <c r="AF1068" s="1186"/>
      <c r="AG1068" s="1186"/>
      <c r="AK1068" s="1166"/>
    </row>
    <row r="1069" spans="1:37" ht="15" customHeight="1" outlineLevel="1" x14ac:dyDescent="0.25">
      <c r="A1069" s="177"/>
      <c r="B1069" s="177"/>
      <c r="C1069" s="1427"/>
      <c r="D1069" s="1429" t="s">
        <v>2115</v>
      </c>
      <c r="E1069" s="383" t="str">
        <f t="shared" si="209"/>
        <v>LED - 15W Flood Light PAR30 Bulb (Halogen baseline) LI DI</v>
      </c>
      <c r="F1069" s="95">
        <v>55</v>
      </c>
      <c r="G1069" s="1430"/>
      <c r="H1069" s="3102" t="s">
        <v>1282</v>
      </c>
      <c r="I1069" s="2731"/>
      <c r="J1069" s="177"/>
      <c r="K1069" s="177"/>
      <c r="L1069" s="177"/>
      <c r="M1069" s="177"/>
      <c r="N1069" s="177"/>
      <c r="U1069" s="1570" t="str">
        <f t="shared" si="210"/>
        <v>Watts Base EISA</v>
      </c>
      <c r="V1069" s="1180" t="str">
        <f t="shared" si="210"/>
        <v>LED - 15W Flood Light PAR30 Bulb (Halogen baseline) LI DI</v>
      </c>
      <c r="W1069" s="1431">
        <v>62.1</v>
      </c>
      <c r="X1069" s="506">
        <v>55</v>
      </c>
      <c r="Y1069" s="95">
        <v>55</v>
      </c>
      <c r="Z1069" s="1186"/>
      <c r="AA1069" s="1186"/>
      <c r="AB1069" s="1186"/>
      <c r="AC1069" s="1186"/>
      <c r="AD1069" s="1186"/>
      <c r="AE1069" s="1186"/>
      <c r="AF1069" s="1186"/>
      <c r="AG1069" s="1186"/>
      <c r="AK1069" s="1166"/>
    </row>
    <row r="1070" spans="1:37" ht="15" customHeight="1" outlineLevel="1" x14ac:dyDescent="0.25">
      <c r="A1070" s="177"/>
      <c r="B1070" s="177"/>
      <c r="C1070" s="1427"/>
      <c r="D1070" s="1429" t="s">
        <v>2115</v>
      </c>
      <c r="E1070" s="383" t="str">
        <f t="shared" si="209"/>
        <v>LED - 18W Flood Light PAR38 Bulb (Halogen baseline) LI DI</v>
      </c>
      <c r="F1070" s="95">
        <v>70</v>
      </c>
      <c r="G1070" s="1430"/>
      <c r="H1070" s="3102" t="s">
        <v>2118</v>
      </c>
      <c r="I1070" s="2731"/>
      <c r="J1070" s="177"/>
      <c r="K1070" s="177"/>
      <c r="L1070" s="177"/>
      <c r="M1070" s="177"/>
      <c r="N1070" s="177"/>
      <c r="U1070" s="1570" t="str">
        <f t="shared" si="210"/>
        <v>Watts Base EISA</v>
      </c>
      <c r="V1070" s="1180" t="str">
        <f t="shared" si="210"/>
        <v>LED - 18W Flood Light PAR38 Bulb (Halogen baseline) LI DI</v>
      </c>
      <c r="W1070" s="1431">
        <v>100</v>
      </c>
      <c r="X1070" s="506">
        <v>70</v>
      </c>
      <c r="Y1070" s="1432">
        <v>70</v>
      </c>
      <c r="Z1070" s="1186"/>
      <c r="AA1070" s="1186"/>
      <c r="AB1070" s="1186"/>
      <c r="AC1070" s="1186"/>
      <c r="AD1070" s="1186"/>
      <c r="AE1070" s="1186"/>
      <c r="AF1070" s="1186"/>
      <c r="AG1070" s="1186"/>
      <c r="AK1070" s="1166"/>
    </row>
    <row r="1071" spans="1:37" ht="15" customHeight="1" outlineLevel="1" x14ac:dyDescent="0.25">
      <c r="A1071" s="177"/>
      <c r="B1071" s="177"/>
      <c r="C1071" s="1427"/>
      <c r="D1071" s="1429" t="s">
        <v>2115</v>
      </c>
      <c r="E1071" s="383" t="str">
        <f t="shared" si="209"/>
        <v>LED - 20W (Halogen baseline) LIDI</v>
      </c>
      <c r="F1071" s="95">
        <v>72</v>
      </c>
      <c r="G1071" s="1430"/>
      <c r="H1071" s="3102" t="s">
        <v>2116</v>
      </c>
      <c r="I1071" s="2731"/>
      <c r="J1071" s="177"/>
      <c r="K1071" s="177"/>
      <c r="L1071" s="177"/>
      <c r="M1071" s="177"/>
      <c r="N1071" s="177"/>
      <c r="U1071" s="1570" t="str">
        <f t="shared" si="210"/>
        <v>Watts Base EISA</v>
      </c>
      <c r="V1071" s="1180" t="str">
        <f t="shared" si="210"/>
        <v>LED - 20W (Halogen baseline) LIDI</v>
      </c>
      <c r="W1071" s="1431">
        <v>72</v>
      </c>
      <c r="X1071" s="1431">
        <v>72</v>
      </c>
      <c r="Y1071" s="1432">
        <v>72</v>
      </c>
      <c r="Z1071" s="1186"/>
      <c r="AA1071" s="1186"/>
      <c r="AB1071" s="1186"/>
      <c r="AC1071" s="1186"/>
      <c r="AD1071" s="1186"/>
      <c r="AE1071" s="1186"/>
      <c r="AF1071" s="1186"/>
      <c r="AG1071" s="1186"/>
      <c r="AK1071" s="1166"/>
    </row>
    <row r="1072" spans="1:37" ht="15" customHeight="1" outlineLevel="1" x14ac:dyDescent="0.25">
      <c r="A1072" s="177"/>
      <c r="B1072" s="177"/>
      <c r="C1072" s="1427"/>
      <c r="D1072" s="1429" t="s">
        <v>2117</v>
      </c>
      <c r="E1072" s="383" t="str">
        <f t="shared" si="209"/>
        <v>LED - 4W Candelabra (Replacing Specialty Incandescent) LI DI</v>
      </c>
      <c r="F1072" s="95">
        <v>40.409999999999997</v>
      </c>
      <c r="G1072" s="1430"/>
      <c r="H1072" s="3102" t="s">
        <v>628</v>
      </c>
      <c r="I1072" s="2731"/>
      <c r="J1072" s="177"/>
      <c r="K1072" s="177"/>
      <c r="L1072" s="177"/>
      <c r="M1072" s="177"/>
      <c r="N1072" s="177"/>
      <c r="U1072" s="1570" t="str">
        <f t="shared" si="210"/>
        <v>Watts Base Specialty</v>
      </c>
      <c r="V1072" s="1180" t="str">
        <f t="shared" si="210"/>
        <v>LED - 4W Candelabra (Replacing Specialty Incandescent) LI DI</v>
      </c>
      <c r="W1072" s="1434">
        <v>40.409999999999997</v>
      </c>
      <c r="X1072" s="1434">
        <v>40.409999999999997</v>
      </c>
      <c r="Y1072" s="1432">
        <v>40.409999999999997</v>
      </c>
      <c r="Z1072" s="1186"/>
      <c r="AA1072" s="1186"/>
      <c r="AB1072" s="1186"/>
      <c r="AC1072" s="1186"/>
      <c r="AD1072" s="1186"/>
      <c r="AE1072" s="1186"/>
      <c r="AF1072" s="1186"/>
      <c r="AG1072" s="1186"/>
      <c r="AK1072" s="1166"/>
    </row>
    <row r="1073" spans="1:37" outlineLevel="1" x14ac:dyDescent="0.25">
      <c r="A1073" s="177"/>
      <c r="B1073" s="177"/>
      <c r="C1073" s="1427"/>
      <c r="D1073" s="1429" t="s">
        <v>2119</v>
      </c>
      <c r="E1073" s="383" t="str">
        <f t="shared" si="209"/>
        <v>LED - 4W Candelabra (CFL baseline) LIDI</v>
      </c>
      <c r="F1073" s="95">
        <v>9</v>
      </c>
      <c r="G1073" s="1430"/>
      <c r="H1073" s="3102" t="s">
        <v>630</v>
      </c>
      <c r="I1073" s="2731"/>
      <c r="J1073" s="177"/>
      <c r="K1073" s="177"/>
      <c r="L1073" s="177"/>
      <c r="M1073" s="177"/>
      <c r="N1073" s="177"/>
      <c r="U1073" s="1570" t="str">
        <f t="shared" si="210"/>
        <v>Watts Base CFL</v>
      </c>
      <c r="V1073" s="1180" t="str">
        <f t="shared" si="210"/>
        <v>LED - 4W Candelabra (CFL baseline) LIDI</v>
      </c>
      <c r="W1073" s="1434">
        <v>9</v>
      </c>
      <c r="X1073" s="1434">
        <v>9</v>
      </c>
      <c r="Y1073" s="1432">
        <v>9</v>
      </c>
      <c r="Z1073" s="1186"/>
      <c r="AA1073" s="1186"/>
      <c r="AB1073" s="1186"/>
      <c r="AC1073" s="1186"/>
      <c r="AD1073" s="1186"/>
      <c r="AE1073" s="1186"/>
      <c r="AF1073" s="1186"/>
      <c r="AG1073" s="1186"/>
      <c r="AK1073" s="1166"/>
    </row>
    <row r="1074" spans="1:37" outlineLevel="1" x14ac:dyDescent="0.25">
      <c r="A1074" s="177"/>
      <c r="B1074" s="177"/>
      <c r="C1074" s="1427"/>
      <c r="D1074" s="1429" t="s">
        <v>2117</v>
      </c>
      <c r="E1074" s="383" t="str">
        <f t="shared" si="209"/>
        <v>LED - 8W Globe Light G25 Bulb (Replacing Specialty Incandescent) LI DI</v>
      </c>
      <c r="F1074" s="95">
        <v>29</v>
      </c>
      <c r="G1074" s="1430"/>
      <c r="H1074" s="3102" t="s">
        <v>1282</v>
      </c>
      <c r="I1074" s="2731"/>
      <c r="J1074" s="177"/>
      <c r="K1074" s="177"/>
      <c r="L1074" s="177"/>
      <c r="M1074" s="177"/>
      <c r="N1074" s="177"/>
      <c r="U1074" s="1570" t="str">
        <f t="shared" si="210"/>
        <v>Watts Base Specialty</v>
      </c>
      <c r="V1074" s="1180" t="str">
        <f t="shared" si="210"/>
        <v>LED - 8W Globe Light G25 Bulb (Replacing Specialty Incandescent) LI DI</v>
      </c>
      <c r="W1074" s="1434">
        <v>42.04</v>
      </c>
      <c r="X1074" s="506">
        <v>29</v>
      </c>
      <c r="Y1074" s="95">
        <v>29</v>
      </c>
      <c r="Z1074" s="1186"/>
      <c r="AA1074" s="1186"/>
      <c r="AB1074" s="1186"/>
      <c r="AC1074" s="1186"/>
      <c r="AD1074" s="1186"/>
      <c r="AE1074" s="1186"/>
      <c r="AF1074" s="1186"/>
      <c r="AG1074" s="1186"/>
      <c r="AK1074" s="1166"/>
    </row>
    <row r="1075" spans="1:37" ht="15" customHeight="1" outlineLevel="1" x14ac:dyDescent="0.25">
      <c r="A1075" s="177"/>
      <c r="B1075" s="177"/>
      <c r="C1075" s="1427"/>
      <c r="D1075" s="1429" t="s">
        <v>2119</v>
      </c>
      <c r="E1075" s="383" t="str">
        <f t="shared" si="209"/>
        <v>LED - 8W Globe Light G25 Bulb (Replacing CFL) LIDI</v>
      </c>
      <c r="F1075" s="95">
        <v>11</v>
      </c>
      <c r="G1075" s="1430"/>
      <c r="H1075" s="3102" t="s">
        <v>631</v>
      </c>
      <c r="I1075" s="2731"/>
      <c r="J1075" s="177"/>
      <c r="K1075" s="177"/>
      <c r="L1075" s="177"/>
      <c r="M1075" s="177"/>
      <c r="N1075" s="177"/>
      <c r="U1075" s="1570" t="str">
        <f t="shared" si="210"/>
        <v>Watts Base CFL</v>
      </c>
      <c r="V1075" s="1180" t="str">
        <f t="shared" si="210"/>
        <v>LED - 8W Globe Light G25 Bulb (Replacing CFL) LIDI</v>
      </c>
      <c r="W1075" s="1434">
        <v>11</v>
      </c>
      <c r="X1075" s="1434">
        <v>11</v>
      </c>
      <c r="Y1075" s="1432">
        <v>11</v>
      </c>
      <c r="Z1075" s="1186"/>
      <c r="AA1075" s="1186"/>
      <c r="AB1075" s="1186"/>
      <c r="AC1075" s="1186"/>
      <c r="AD1075" s="1186"/>
      <c r="AE1075" s="1186"/>
      <c r="AF1075" s="1186"/>
      <c r="AG1075" s="1186"/>
      <c r="AK1075" s="1166"/>
    </row>
    <row r="1076" spans="1:37" ht="15" customHeight="1" outlineLevel="1" x14ac:dyDescent="0.25">
      <c r="A1076" s="177"/>
      <c r="B1076" s="177"/>
      <c r="C1076" s="1427"/>
      <c r="D1076" s="1429" t="s">
        <v>2119</v>
      </c>
      <c r="E1076" s="383" t="str">
        <f t="shared" si="209"/>
        <v>LED - 10W (CFL baseline) LIDI</v>
      </c>
      <c r="F1076" s="95">
        <v>13.4</v>
      </c>
      <c r="G1076" s="1430"/>
      <c r="H1076" s="3102" t="s">
        <v>625</v>
      </c>
      <c r="I1076" s="2731"/>
      <c r="J1076" s="177"/>
      <c r="K1076" s="177"/>
      <c r="L1076" s="177"/>
      <c r="M1076" s="177"/>
      <c r="N1076" s="177"/>
      <c r="U1076" s="1570" t="str">
        <f t="shared" si="210"/>
        <v>Watts Base CFL</v>
      </c>
      <c r="V1076" s="1180" t="str">
        <f t="shared" si="210"/>
        <v>LED - 10W (CFL baseline) LIDI</v>
      </c>
      <c r="W1076" s="1434">
        <v>13.4</v>
      </c>
      <c r="X1076" s="1434">
        <v>13.4</v>
      </c>
      <c r="Y1076" s="1432">
        <v>13.4</v>
      </c>
      <c r="Z1076" s="1186"/>
      <c r="AA1076" s="1186"/>
      <c r="AB1076" s="1186"/>
      <c r="AC1076" s="1186"/>
      <c r="AD1076" s="1186"/>
      <c r="AE1076" s="1186"/>
      <c r="AF1076" s="1186"/>
      <c r="AG1076" s="1186"/>
      <c r="AK1076" s="1166"/>
    </row>
    <row r="1077" spans="1:37" outlineLevel="1" x14ac:dyDescent="0.25">
      <c r="A1077" s="177"/>
      <c r="B1077" s="177"/>
      <c r="C1077" s="1427"/>
      <c r="D1077" s="1429" t="s">
        <v>2119</v>
      </c>
      <c r="E1077" s="383" t="str">
        <f t="shared" si="209"/>
        <v>LED - 10.5W Downlight E26 (CFL baseline) LIDI</v>
      </c>
      <c r="F1077" s="95">
        <v>21</v>
      </c>
      <c r="G1077" s="1430"/>
      <c r="H1077" s="3102"/>
      <c r="I1077" s="2731"/>
      <c r="J1077" s="177"/>
      <c r="K1077" s="177"/>
      <c r="L1077" s="177"/>
      <c r="M1077" s="177"/>
      <c r="N1077" s="177"/>
      <c r="U1077" s="1570" t="str">
        <f t="shared" si="210"/>
        <v>Watts Base CFL</v>
      </c>
      <c r="V1077" s="1180" t="str">
        <f t="shared" si="210"/>
        <v>LED - 10.5W Downlight E26 (CFL baseline) LIDI</v>
      </c>
      <c r="W1077" s="1434">
        <v>21</v>
      </c>
      <c r="X1077" s="1434">
        <v>21</v>
      </c>
      <c r="Y1077" s="1432">
        <v>21</v>
      </c>
      <c r="Z1077" s="1186"/>
      <c r="AA1077" s="1186"/>
      <c r="AB1077" s="1186"/>
      <c r="AC1077" s="1186"/>
      <c r="AD1077" s="1186"/>
      <c r="AE1077" s="1186"/>
      <c r="AF1077" s="1186"/>
      <c r="AG1077" s="1186"/>
      <c r="AK1077" s="1166"/>
    </row>
    <row r="1078" spans="1:37" outlineLevel="1" x14ac:dyDescent="0.25">
      <c r="A1078" s="177"/>
      <c r="B1078" s="177"/>
      <c r="C1078" s="1427"/>
      <c r="D1078" s="1429" t="s">
        <v>2119</v>
      </c>
      <c r="E1078" s="383" t="str">
        <f t="shared" si="209"/>
        <v>LED - 12W Dimmable Light Bulb (Replacing CFL) LIDI</v>
      </c>
      <c r="F1078" s="95">
        <v>18</v>
      </c>
      <c r="G1078" s="1430"/>
      <c r="H1078" s="3102"/>
      <c r="I1078" s="2731"/>
      <c r="J1078" s="177"/>
      <c r="K1078" s="177"/>
      <c r="L1078" s="177"/>
      <c r="M1078" s="177"/>
      <c r="N1078" s="177"/>
      <c r="U1078" s="1570" t="str">
        <f t="shared" si="210"/>
        <v>Watts Base CFL</v>
      </c>
      <c r="V1078" s="1180" t="str">
        <f t="shared" si="210"/>
        <v>LED - 12W Dimmable Light Bulb (Replacing CFL) LIDI</v>
      </c>
      <c r="W1078" s="1434">
        <v>18</v>
      </c>
      <c r="X1078" s="1434">
        <v>18</v>
      </c>
      <c r="Y1078" s="1432">
        <v>18</v>
      </c>
      <c r="Z1078" s="1186"/>
      <c r="AA1078" s="1186"/>
      <c r="AB1078" s="1186"/>
      <c r="AC1078" s="1186"/>
      <c r="AD1078" s="1186"/>
      <c r="AE1078" s="1186"/>
      <c r="AF1078" s="1186"/>
      <c r="AG1078" s="1186"/>
      <c r="AK1078" s="1166"/>
    </row>
    <row r="1079" spans="1:37" outlineLevel="1" x14ac:dyDescent="0.25">
      <c r="A1079" s="177"/>
      <c r="B1079" s="177"/>
      <c r="C1079" s="1427"/>
      <c r="D1079" s="1429" t="s">
        <v>2119</v>
      </c>
      <c r="E1079" s="383" t="str">
        <f t="shared" si="209"/>
        <v>LED - 12W (Replacing CFL) LIDI</v>
      </c>
      <c r="F1079" s="95">
        <v>18</v>
      </c>
      <c r="G1079" s="1430"/>
      <c r="H1079" s="3102"/>
      <c r="I1079" s="2731"/>
      <c r="J1079" s="177"/>
      <c r="K1079" s="177"/>
      <c r="L1079" s="177"/>
      <c r="M1079" s="177"/>
      <c r="N1079" s="177"/>
      <c r="U1079" s="1570" t="str">
        <f t="shared" si="210"/>
        <v>Watts Base CFL</v>
      </c>
      <c r="V1079" s="1180" t="str">
        <f t="shared" si="210"/>
        <v>LED - 12W (Replacing CFL) LIDI</v>
      </c>
      <c r="W1079" s="1434">
        <v>18</v>
      </c>
      <c r="X1079" s="1434">
        <v>18</v>
      </c>
      <c r="Y1079" s="1432">
        <v>18</v>
      </c>
      <c r="Z1079" s="1186"/>
      <c r="AA1079" s="1186"/>
      <c r="AB1079" s="1186"/>
      <c r="AC1079" s="1186"/>
      <c r="AD1079" s="1186"/>
      <c r="AE1079" s="1186"/>
      <c r="AF1079" s="1186"/>
      <c r="AG1079" s="1186"/>
      <c r="AK1079" s="1166"/>
    </row>
    <row r="1080" spans="1:37" ht="15" customHeight="1" outlineLevel="1" x14ac:dyDescent="0.25">
      <c r="A1080" s="177"/>
      <c r="B1080" s="177"/>
      <c r="C1080" s="1427"/>
      <c r="D1080" s="1429" t="s">
        <v>2119</v>
      </c>
      <c r="E1080" s="383" t="str">
        <f t="shared" si="209"/>
        <v>LED - 15W (CFL baseline) LIDI</v>
      </c>
      <c r="F1080" s="95">
        <v>18.899999999999999</v>
      </c>
      <c r="G1080" s="1430"/>
      <c r="H1080" s="3102" t="s">
        <v>626</v>
      </c>
      <c r="I1080" s="2731"/>
      <c r="J1080" s="177"/>
      <c r="K1080" s="177"/>
      <c r="L1080" s="177"/>
      <c r="M1080" s="177"/>
      <c r="N1080" s="177"/>
      <c r="U1080" s="1570" t="str">
        <f t="shared" si="210"/>
        <v>Watts Base CFL</v>
      </c>
      <c r="V1080" s="1180" t="str">
        <f t="shared" si="210"/>
        <v>LED - 15W (CFL baseline) LIDI</v>
      </c>
      <c r="W1080" s="1434">
        <v>18.899999999999999</v>
      </c>
      <c r="X1080" s="1434">
        <v>18.899999999999999</v>
      </c>
      <c r="Y1080" s="1432">
        <v>18.899999999999999</v>
      </c>
      <c r="Z1080" s="1186"/>
      <c r="AA1080" s="1186"/>
      <c r="AB1080" s="1186"/>
      <c r="AC1080" s="1186"/>
      <c r="AD1080" s="1186"/>
      <c r="AE1080" s="1186"/>
      <c r="AF1080" s="1186"/>
      <c r="AG1080" s="1186"/>
      <c r="AK1080" s="1166"/>
    </row>
    <row r="1081" spans="1:37" outlineLevel="1" x14ac:dyDescent="0.25">
      <c r="A1081" s="177"/>
      <c r="B1081" s="177"/>
      <c r="C1081" s="1427"/>
      <c r="D1081" s="1429" t="s">
        <v>2119</v>
      </c>
      <c r="E1081" s="383" t="str">
        <f t="shared" si="209"/>
        <v>LED - 15W Flood Light PAR30 Bulb (CFL baseline) LIDI</v>
      </c>
      <c r="F1081" s="95">
        <v>16</v>
      </c>
      <c r="G1081" s="1430"/>
      <c r="H1081" s="3102"/>
      <c r="I1081" s="2731"/>
      <c r="J1081" s="177"/>
      <c r="K1081" s="177"/>
      <c r="L1081" s="177"/>
      <c r="M1081" s="177"/>
      <c r="N1081" s="177"/>
      <c r="U1081" s="1570" t="str">
        <f t="shared" si="210"/>
        <v>Watts Base CFL</v>
      </c>
      <c r="V1081" s="1180" t="str">
        <f t="shared" si="210"/>
        <v>LED - 15W Flood Light PAR30 Bulb (CFL baseline) LIDI</v>
      </c>
      <c r="W1081" s="1434">
        <v>16</v>
      </c>
      <c r="X1081" s="1434">
        <v>16</v>
      </c>
      <c r="Y1081" s="1432">
        <v>16</v>
      </c>
      <c r="Z1081" s="1186"/>
      <c r="AA1081" s="1186"/>
      <c r="AB1081" s="1186"/>
      <c r="AC1081" s="1186"/>
      <c r="AD1081" s="1186"/>
      <c r="AE1081" s="1186"/>
      <c r="AF1081" s="1186"/>
      <c r="AG1081" s="1186"/>
      <c r="AK1081" s="1166"/>
    </row>
    <row r="1082" spans="1:37" ht="15" customHeight="1" outlineLevel="1" x14ac:dyDescent="0.25">
      <c r="A1082" s="177"/>
      <c r="B1082" s="177"/>
      <c r="C1082" s="1427"/>
      <c r="D1082" s="1436" t="s">
        <v>2119</v>
      </c>
      <c r="E1082" s="383" t="str">
        <f t="shared" si="209"/>
        <v>LED - 18W Flood Light PAR30 Bulb (CFL baseline) LIDI</v>
      </c>
      <c r="F1082" s="95">
        <v>23</v>
      </c>
      <c r="G1082" s="1430"/>
      <c r="H1082" s="3102" t="s">
        <v>627</v>
      </c>
      <c r="I1082" s="2731"/>
      <c r="J1082" s="177"/>
      <c r="K1082" s="177"/>
      <c r="L1082" s="177"/>
      <c r="M1082" s="177"/>
      <c r="N1082" s="177"/>
      <c r="U1082" s="1570" t="str">
        <f t="shared" si="210"/>
        <v>Watts Base CFL</v>
      </c>
      <c r="V1082" s="1180" t="str">
        <f t="shared" si="210"/>
        <v>LED - 18W Flood Light PAR30 Bulb (CFL baseline) LIDI</v>
      </c>
      <c r="W1082" s="1437">
        <v>23</v>
      </c>
      <c r="X1082" s="1437">
        <v>23</v>
      </c>
      <c r="Y1082" s="1438">
        <v>23</v>
      </c>
      <c r="Z1082" s="1439"/>
      <c r="AA1082" s="1186"/>
      <c r="AB1082" s="1186"/>
      <c r="AC1082" s="1186"/>
      <c r="AD1082" s="1186"/>
      <c r="AE1082" s="1186"/>
      <c r="AF1082" s="1186"/>
      <c r="AG1082" s="1186"/>
      <c r="AK1082" s="1166"/>
    </row>
    <row r="1083" spans="1:37" ht="15.75" outlineLevel="1" thickBot="1" x14ac:dyDescent="0.3">
      <c r="A1083" s="177"/>
      <c r="B1083" s="177"/>
      <c r="C1083" s="1427"/>
      <c r="D1083" s="1436" t="s">
        <v>2119</v>
      </c>
      <c r="E1083" s="1440" t="str">
        <f t="shared" si="209"/>
        <v>LED - 20W (CFL baseline) LIDI</v>
      </c>
      <c r="F1083" s="1441">
        <v>24.8</v>
      </c>
      <c r="G1083" s="1442"/>
      <c r="H1083" s="3103"/>
      <c r="I1083" s="3104"/>
      <c r="J1083" s="177"/>
      <c r="K1083" s="177"/>
      <c r="L1083" s="177"/>
      <c r="M1083" s="177"/>
      <c r="N1083" s="177"/>
      <c r="U1083" s="1570" t="str">
        <f t="shared" si="210"/>
        <v>Watts Base CFL</v>
      </c>
      <c r="V1083" s="1180" t="str">
        <f t="shared" si="210"/>
        <v>LED - 20W (CFL baseline) LIDI</v>
      </c>
      <c r="W1083" s="1443">
        <v>24.8</v>
      </c>
      <c r="X1083" s="1444">
        <v>24.8</v>
      </c>
      <c r="Y1083" s="1432">
        <v>24.8</v>
      </c>
      <c r="Z1083" s="1186"/>
      <c r="AA1083" s="1186"/>
      <c r="AB1083" s="1186"/>
      <c r="AC1083" s="1186"/>
      <c r="AD1083" s="1186"/>
      <c r="AE1083" s="1186"/>
      <c r="AF1083" s="1186"/>
      <c r="AG1083" s="1186"/>
      <c r="AK1083" s="1166"/>
    </row>
    <row r="1084" spans="1:37" outlineLevel="1" x14ac:dyDescent="0.25">
      <c r="A1084" s="177"/>
      <c r="B1084" s="177"/>
      <c r="C1084" s="1427"/>
      <c r="D1084" s="1445" t="s">
        <v>2120</v>
      </c>
      <c r="E1084" s="1652" t="str">
        <f t="shared" ref="E1084:E1098" si="211">E1032</f>
        <v>LED - 10.5W Downlight E26 (EISA baseline) LI DI</v>
      </c>
      <c r="F1084" s="1446">
        <v>7</v>
      </c>
      <c r="G1084" s="1447"/>
      <c r="H1084" s="3105" t="s">
        <v>2121</v>
      </c>
      <c r="I1084" s="3106"/>
      <c r="J1084" s="177"/>
      <c r="K1084" s="177"/>
      <c r="L1084" s="177"/>
      <c r="M1084" s="177"/>
      <c r="N1084" s="177"/>
      <c r="U1084" s="1570" t="str">
        <f t="shared" si="210"/>
        <v>Watts EE EISA</v>
      </c>
      <c r="V1084" s="1180" t="str">
        <f t="shared" si="210"/>
        <v>LED - 10.5W Downlight E26 (EISA baseline) LI DI</v>
      </c>
      <c r="W1084" s="1431">
        <v>7</v>
      </c>
      <c r="X1084" s="1448">
        <v>9</v>
      </c>
      <c r="Y1084" s="744">
        <v>7</v>
      </c>
      <c r="Z1084" s="1449"/>
      <c r="AA1084" s="1186"/>
      <c r="AB1084" s="1186"/>
      <c r="AC1084" s="1186"/>
      <c r="AD1084" s="1186"/>
      <c r="AE1084" s="1186"/>
      <c r="AF1084" s="1186"/>
      <c r="AG1084" s="1186"/>
      <c r="AK1084" s="1166"/>
    </row>
    <row r="1085" spans="1:37" outlineLevel="1" x14ac:dyDescent="0.25">
      <c r="A1085" s="177"/>
      <c r="B1085" s="177"/>
      <c r="C1085" s="1427"/>
      <c r="D1085" s="1429" t="s">
        <v>2120</v>
      </c>
      <c r="E1085" s="383" t="str">
        <f t="shared" si="211"/>
        <v>LED - 10W (Halogen baseline) LIDI</v>
      </c>
      <c r="F1085" s="87">
        <v>9.1</v>
      </c>
      <c r="G1085" s="1430"/>
      <c r="H1085" s="3102" t="s">
        <v>2122</v>
      </c>
      <c r="I1085" s="2731"/>
      <c r="J1085" s="177"/>
      <c r="K1085" s="177"/>
      <c r="L1085" s="177"/>
      <c r="M1085" s="177"/>
      <c r="N1085" s="177"/>
      <c r="U1085" s="1570" t="str">
        <f t="shared" si="210"/>
        <v>Watts EE EISA</v>
      </c>
      <c r="V1085" s="1180" t="str">
        <f t="shared" si="210"/>
        <v>LED - 10W (Halogen baseline) LIDI</v>
      </c>
      <c r="W1085" s="1431">
        <v>9.1</v>
      </c>
      <c r="X1085" s="1431">
        <v>9.1</v>
      </c>
      <c r="Y1085" s="1432">
        <v>9.1</v>
      </c>
      <c r="Z1085" s="1450"/>
      <c r="AA1085" s="1186"/>
      <c r="AB1085" s="1186"/>
      <c r="AC1085" s="1186"/>
      <c r="AD1085" s="1186"/>
      <c r="AE1085" s="1186"/>
      <c r="AF1085" s="1186"/>
      <c r="AG1085" s="1186"/>
      <c r="AK1085" s="1166"/>
    </row>
    <row r="1086" spans="1:37" outlineLevel="1" x14ac:dyDescent="0.25">
      <c r="A1086" s="177"/>
      <c r="B1086" s="177"/>
      <c r="C1086" s="1427"/>
      <c r="D1086" s="1433" t="s">
        <v>2120</v>
      </c>
      <c r="E1086" s="383" t="str">
        <f t="shared" si="211"/>
        <v>LED - 12W (Halogen baseline) LI DI</v>
      </c>
      <c r="F1086" s="1451">
        <v>9.23</v>
      </c>
      <c r="G1086" s="1430"/>
      <c r="H1086" s="3102" t="s">
        <v>2123</v>
      </c>
      <c r="I1086" s="2731"/>
      <c r="J1086" s="177"/>
      <c r="K1086" s="177"/>
      <c r="L1086" s="177"/>
      <c r="M1086" s="177"/>
      <c r="N1086" s="177"/>
      <c r="U1086" s="1570" t="str">
        <f t="shared" si="210"/>
        <v>Watts EE EISA</v>
      </c>
      <c r="V1086" s="1180" t="str">
        <f t="shared" si="210"/>
        <v>LED - 12W (Halogen baseline) LI DI</v>
      </c>
      <c r="W1086" s="1431">
        <v>9.5</v>
      </c>
      <c r="X1086" s="506">
        <v>9.23</v>
      </c>
      <c r="Y1086" s="1432">
        <v>9.23</v>
      </c>
      <c r="Z1086" s="95"/>
      <c r="AA1086" s="1186"/>
      <c r="AB1086" s="1186"/>
      <c r="AC1086" s="1186"/>
      <c r="AD1086" s="1186"/>
      <c r="AE1086" s="1186"/>
      <c r="AF1086" s="1186"/>
      <c r="AG1086" s="1186"/>
      <c r="AK1086" s="1166"/>
    </row>
    <row r="1087" spans="1:37" outlineLevel="1" x14ac:dyDescent="0.25">
      <c r="A1087" s="177"/>
      <c r="B1087" s="177"/>
      <c r="C1087" s="1427"/>
      <c r="D1087" s="1433" t="s">
        <v>2120</v>
      </c>
      <c r="E1087" s="383" t="str">
        <f t="shared" si="211"/>
        <v>LED - 12W Dimmable Light Bulb (Replacing Specialty Incandescent) LI DI</v>
      </c>
      <c r="F1087" s="1451">
        <v>11</v>
      </c>
      <c r="G1087" s="1430"/>
      <c r="H1087" s="3102" t="s">
        <v>2121</v>
      </c>
      <c r="I1087" s="2731"/>
      <c r="J1087" s="177"/>
      <c r="K1087" s="177"/>
      <c r="L1087" s="177"/>
      <c r="M1087" s="177"/>
      <c r="N1087" s="177"/>
      <c r="U1087" s="1570" t="str">
        <f t="shared" si="210"/>
        <v>Watts EE EISA</v>
      </c>
      <c r="V1087" s="1180" t="str">
        <f t="shared" si="210"/>
        <v>LED - 12W Dimmable Light Bulb (Replacing Specialty Incandescent) LI DI</v>
      </c>
      <c r="W1087" s="1431">
        <v>9.5</v>
      </c>
      <c r="X1087" s="506">
        <v>9.23</v>
      </c>
      <c r="Y1087" s="744">
        <v>11</v>
      </c>
      <c r="Z1087" s="95"/>
      <c r="AA1087" s="1186"/>
      <c r="AB1087" s="1186"/>
      <c r="AC1087" s="1186"/>
      <c r="AD1087" s="1186"/>
      <c r="AE1087" s="1186"/>
      <c r="AF1087" s="1186"/>
      <c r="AG1087" s="1186"/>
      <c r="AK1087" s="1166"/>
    </row>
    <row r="1088" spans="1:37" outlineLevel="1" x14ac:dyDescent="0.25">
      <c r="A1088" s="177"/>
      <c r="B1088" s="177"/>
      <c r="C1088" s="1427"/>
      <c r="D1088" s="1429" t="s">
        <v>2120</v>
      </c>
      <c r="E1088" s="383" t="str">
        <f t="shared" si="211"/>
        <v>LED - 15W (Halogen baseline) LIDI</v>
      </c>
      <c r="F1088" s="87">
        <v>10.6</v>
      </c>
      <c r="G1088" s="1430"/>
      <c r="H1088" s="3102" t="s">
        <v>2122</v>
      </c>
      <c r="I1088" s="2731"/>
      <c r="J1088" s="177"/>
      <c r="K1088" s="177"/>
      <c r="L1088" s="177"/>
      <c r="M1088" s="177"/>
      <c r="N1088" s="177"/>
      <c r="U1088" s="1570" t="str">
        <f t="shared" si="210"/>
        <v>Watts EE EISA</v>
      </c>
      <c r="V1088" s="1180" t="str">
        <f t="shared" si="210"/>
        <v>LED - 15W (Halogen baseline) LIDI</v>
      </c>
      <c r="W1088" s="1431">
        <v>10.6</v>
      </c>
      <c r="X1088" s="1431">
        <v>10.6</v>
      </c>
      <c r="Y1088" s="1431">
        <v>10.6</v>
      </c>
      <c r="Z1088" s="1450"/>
      <c r="AA1088" s="1186"/>
      <c r="AB1088" s="1186"/>
      <c r="AC1088" s="1186"/>
      <c r="AD1088" s="1186"/>
      <c r="AE1088" s="1186"/>
      <c r="AF1088" s="1186"/>
      <c r="AG1088" s="1186"/>
      <c r="AK1088" s="1166"/>
    </row>
    <row r="1089" spans="1:37" outlineLevel="1" x14ac:dyDescent="0.25">
      <c r="A1089" s="177"/>
      <c r="B1089" s="177"/>
      <c r="C1089" s="1427"/>
      <c r="D1089" s="1429" t="s">
        <v>2120</v>
      </c>
      <c r="E1089" s="383" t="str">
        <f t="shared" si="211"/>
        <v>LED - 15W Flood Light PAR30 Bulb (Halogen baseline) LI DI</v>
      </c>
      <c r="F1089" s="1451">
        <v>14</v>
      </c>
      <c r="G1089" s="1430"/>
      <c r="H1089" s="3102" t="s">
        <v>2121</v>
      </c>
      <c r="I1089" s="2731"/>
      <c r="J1089" s="177"/>
      <c r="K1089" s="177"/>
      <c r="L1089" s="177"/>
      <c r="M1089" s="177"/>
      <c r="N1089" s="177"/>
      <c r="U1089" s="1570" t="str">
        <f t="shared" si="210"/>
        <v>Watts EE EISA</v>
      </c>
      <c r="V1089" s="1180" t="str">
        <f t="shared" si="210"/>
        <v>LED - 15W Flood Light PAR30 Bulb (Halogen baseline) LI DI</v>
      </c>
      <c r="W1089" s="1431">
        <v>11.2</v>
      </c>
      <c r="X1089" s="506">
        <v>14</v>
      </c>
      <c r="Y1089" s="95">
        <v>14</v>
      </c>
      <c r="Z1089" s="95"/>
      <c r="AA1089" s="1186"/>
      <c r="AB1089" s="1186"/>
      <c r="AC1089" s="1186"/>
      <c r="AD1089" s="1186"/>
      <c r="AE1089" s="1186"/>
      <c r="AF1089" s="1186"/>
      <c r="AG1089" s="1186"/>
      <c r="AK1089" s="1166"/>
    </row>
    <row r="1090" spans="1:37" ht="15" customHeight="1" outlineLevel="1" x14ac:dyDescent="0.25">
      <c r="A1090" s="177"/>
      <c r="B1090" s="177"/>
      <c r="C1090" s="1427"/>
      <c r="D1090" s="1429" t="s">
        <v>2120</v>
      </c>
      <c r="E1090" s="383" t="str">
        <f t="shared" si="211"/>
        <v>LED - 18W Flood Light PAR38 Bulb (Halogen baseline) LI DI</v>
      </c>
      <c r="F1090" s="1451">
        <v>17</v>
      </c>
      <c r="G1090" s="1430"/>
      <c r="H1090" s="3102" t="s">
        <v>2123</v>
      </c>
      <c r="I1090" s="2731"/>
      <c r="J1090" s="177"/>
      <c r="K1090" s="177"/>
      <c r="L1090" s="177"/>
      <c r="M1090" s="177"/>
      <c r="N1090" s="177"/>
      <c r="U1090" s="1570" t="str">
        <f t="shared" si="210"/>
        <v>Watts EE EISA</v>
      </c>
      <c r="V1090" s="1180" t="str">
        <f t="shared" si="210"/>
        <v>LED - 18W Flood Light PAR38 Bulb (Halogen baseline) LI DI</v>
      </c>
      <c r="W1090" s="95">
        <v>18</v>
      </c>
      <c r="X1090" s="506">
        <v>17</v>
      </c>
      <c r="Y1090" s="1435">
        <v>17</v>
      </c>
      <c r="Z1090" s="1186"/>
      <c r="AA1090" s="1186"/>
      <c r="AB1090" s="1186"/>
      <c r="AC1090" s="1186"/>
      <c r="AD1090" s="1186"/>
      <c r="AE1090" s="1186"/>
      <c r="AF1090" s="1186"/>
      <c r="AG1090" s="1186"/>
      <c r="AK1090" s="1166"/>
    </row>
    <row r="1091" spans="1:37" outlineLevel="1" x14ac:dyDescent="0.25">
      <c r="A1091" s="177"/>
      <c r="B1091" s="177"/>
      <c r="C1091" s="1427"/>
      <c r="D1091" s="1429" t="s">
        <v>2120</v>
      </c>
      <c r="E1091" s="383" t="str">
        <f t="shared" si="211"/>
        <v>LED - 20W (Halogen baseline) LIDI</v>
      </c>
      <c r="F1091" s="95">
        <v>15</v>
      </c>
      <c r="G1091" s="1430"/>
      <c r="H1091" s="3102" t="s">
        <v>2122</v>
      </c>
      <c r="I1091" s="2731"/>
      <c r="J1091" s="177"/>
      <c r="K1091" s="177"/>
      <c r="L1091" s="177"/>
      <c r="M1091" s="177"/>
      <c r="N1091" s="177"/>
      <c r="U1091" s="1570" t="str">
        <f t="shared" si="210"/>
        <v>Watts EE EISA</v>
      </c>
      <c r="V1091" s="1180" t="str">
        <f t="shared" si="210"/>
        <v>LED - 20W (Halogen baseline) LIDI</v>
      </c>
      <c r="W1091" s="95">
        <v>15</v>
      </c>
      <c r="X1091" s="95">
        <v>15</v>
      </c>
      <c r="Y1091" s="1435">
        <v>15</v>
      </c>
      <c r="Z1091" s="1186"/>
      <c r="AA1091" s="1186"/>
      <c r="AB1091" s="1186"/>
      <c r="AC1091" s="1186"/>
      <c r="AD1091" s="1186"/>
      <c r="AE1091" s="1186"/>
      <c r="AF1091" s="1186"/>
      <c r="AG1091" s="1186"/>
      <c r="AK1091" s="1166"/>
    </row>
    <row r="1092" spans="1:37" outlineLevel="1" x14ac:dyDescent="0.25">
      <c r="A1092" s="177"/>
      <c r="B1092" s="177"/>
      <c r="C1092" s="1427"/>
      <c r="D1092" s="1429" t="s">
        <v>2124</v>
      </c>
      <c r="E1092" s="383" t="str">
        <f t="shared" si="211"/>
        <v>LED - 4W Candelabra (Replacing Specialty Incandescent) LI DI</v>
      </c>
      <c r="F1092" s="95">
        <v>4.5</v>
      </c>
      <c r="G1092" s="1430"/>
      <c r="H1092" s="3102" t="s">
        <v>2122</v>
      </c>
      <c r="I1092" s="2731"/>
      <c r="J1092" s="177"/>
      <c r="K1092" s="177"/>
      <c r="L1092" s="177"/>
      <c r="M1092" s="177"/>
      <c r="N1092" s="177"/>
      <c r="U1092" s="1570" t="str">
        <f t="shared" si="210"/>
        <v>Watts EE Specialty</v>
      </c>
      <c r="V1092" s="1180" t="str">
        <f t="shared" si="210"/>
        <v>LED - 4W Candelabra (Replacing Specialty Incandescent) LI DI</v>
      </c>
      <c r="W1092" s="95">
        <v>4.5</v>
      </c>
      <c r="X1092" s="95">
        <v>4.5</v>
      </c>
      <c r="Y1092" s="1435">
        <v>4.5</v>
      </c>
      <c r="Z1092" s="1186"/>
      <c r="AA1092" s="1186"/>
      <c r="AB1092" s="1186"/>
      <c r="AC1092" s="1186"/>
      <c r="AD1092" s="1186"/>
      <c r="AE1092" s="1186"/>
      <c r="AF1092" s="1186"/>
      <c r="AG1092" s="1186"/>
      <c r="AK1092" s="1166"/>
    </row>
    <row r="1093" spans="1:37" outlineLevel="1" x14ac:dyDescent="0.25">
      <c r="A1093" s="177"/>
      <c r="B1093" s="177"/>
      <c r="C1093" s="1427"/>
      <c r="D1093" s="1429" t="s">
        <v>2125</v>
      </c>
      <c r="E1093" s="383" t="str">
        <f t="shared" si="211"/>
        <v>LED - 4W Candelabra (CFL baseline) LIDI</v>
      </c>
      <c r="F1093" s="95">
        <v>4.5</v>
      </c>
      <c r="G1093" s="1430"/>
      <c r="H1093" s="3102" t="s">
        <v>2122</v>
      </c>
      <c r="I1093" s="2731"/>
      <c r="J1093" s="177"/>
      <c r="K1093" s="177"/>
      <c r="L1093" s="177"/>
      <c r="M1093" s="177"/>
      <c r="N1093" s="177"/>
      <c r="U1093" s="1570" t="str">
        <f t="shared" si="210"/>
        <v>Watts EE CFL</v>
      </c>
      <c r="V1093" s="1180" t="str">
        <f t="shared" si="210"/>
        <v>LED - 4W Candelabra (CFL baseline) LIDI</v>
      </c>
      <c r="W1093" s="95">
        <v>4.5</v>
      </c>
      <c r="X1093" s="95">
        <v>4.5</v>
      </c>
      <c r="Y1093" s="1435">
        <v>4.5</v>
      </c>
      <c r="Z1093" s="1186"/>
      <c r="AA1093" s="1186"/>
      <c r="AB1093" s="1186"/>
      <c r="AC1093" s="1186"/>
      <c r="AD1093" s="1186"/>
      <c r="AE1093" s="1186"/>
      <c r="AF1093" s="1186"/>
      <c r="AG1093" s="1186"/>
      <c r="AK1093" s="1166"/>
    </row>
    <row r="1094" spans="1:37" outlineLevel="1" x14ac:dyDescent="0.25">
      <c r="A1094" s="177"/>
      <c r="B1094" s="177"/>
      <c r="C1094" s="1427"/>
      <c r="D1094" s="1429" t="s">
        <v>2124</v>
      </c>
      <c r="E1094" s="383" t="str">
        <f t="shared" si="211"/>
        <v>LED - 8W Globe Light G25 Bulb (Replacing Specialty Incandescent) LI DI</v>
      </c>
      <c r="F1094" s="1451">
        <v>7</v>
      </c>
      <c r="G1094" s="1430"/>
      <c r="H1094" s="3102" t="s">
        <v>2121</v>
      </c>
      <c r="I1094" s="2731"/>
      <c r="J1094" s="177"/>
      <c r="K1094" s="177"/>
      <c r="L1094" s="177"/>
      <c r="M1094" s="177"/>
      <c r="N1094" s="177"/>
      <c r="U1094" s="1570" t="str">
        <f t="shared" si="210"/>
        <v>Watts EE Specialty</v>
      </c>
      <c r="V1094" s="1180" t="str">
        <f t="shared" si="210"/>
        <v>LED - 8W Globe Light G25 Bulb (Replacing Specialty Incandescent) LI DI</v>
      </c>
      <c r="W1094" s="95">
        <v>5.9</v>
      </c>
      <c r="X1094" s="506">
        <v>8</v>
      </c>
      <c r="Y1094" s="744">
        <v>7</v>
      </c>
      <c r="Z1094" s="1186"/>
      <c r="AA1094" s="1186"/>
      <c r="AB1094" s="1186"/>
      <c r="AC1094" s="1186"/>
      <c r="AD1094" s="1186"/>
      <c r="AE1094" s="1186"/>
      <c r="AF1094" s="1186"/>
      <c r="AG1094" s="1186"/>
      <c r="AK1094" s="1166"/>
    </row>
    <row r="1095" spans="1:37" outlineLevel="1" x14ac:dyDescent="0.25">
      <c r="A1095" s="177"/>
      <c r="B1095" s="177"/>
      <c r="C1095" s="1427"/>
      <c r="D1095" s="1429" t="s">
        <v>2125</v>
      </c>
      <c r="E1095" s="383" t="str">
        <f t="shared" si="211"/>
        <v>LED - 8W Globe Light G25 Bulb (Replacing CFL) LIDI</v>
      </c>
      <c r="F1095" s="1451">
        <v>7</v>
      </c>
      <c r="G1095" s="1430"/>
      <c r="H1095" s="3102" t="s">
        <v>2121</v>
      </c>
      <c r="I1095" s="2731"/>
      <c r="J1095" s="177"/>
      <c r="K1095" s="177"/>
      <c r="L1095" s="177"/>
      <c r="M1095" s="177"/>
      <c r="N1095" s="177"/>
      <c r="U1095" s="1570" t="str">
        <f t="shared" si="210"/>
        <v>Watts EE CFL</v>
      </c>
      <c r="V1095" s="1180" t="str">
        <f t="shared" si="210"/>
        <v>LED - 8W Globe Light G25 Bulb (Replacing CFL) LIDI</v>
      </c>
      <c r="W1095" s="95">
        <v>5.8</v>
      </c>
      <c r="X1095" s="506">
        <v>8</v>
      </c>
      <c r="Y1095" s="744">
        <v>7</v>
      </c>
      <c r="Z1095" s="1186"/>
      <c r="AA1095" s="1186"/>
      <c r="AB1095" s="1186"/>
      <c r="AC1095" s="1186"/>
      <c r="AD1095" s="1186"/>
      <c r="AE1095" s="1186"/>
      <c r="AF1095" s="1186"/>
      <c r="AG1095" s="1186"/>
      <c r="AK1095" s="1166"/>
    </row>
    <row r="1096" spans="1:37" outlineLevel="1" x14ac:dyDescent="0.25">
      <c r="A1096" s="177"/>
      <c r="B1096" s="177"/>
      <c r="C1096" s="1427"/>
      <c r="D1096" s="1429" t="s">
        <v>2125</v>
      </c>
      <c r="E1096" s="383" t="str">
        <f t="shared" si="211"/>
        <v>LED - 10W (CFL baseline) LIDI</v>
      </c>
      <c r="F1096" s="95">
        <v>9.1</v>
      </c>
      <c r="G1096" s="1430"/>
      <c r="H1096" s="3102" t="s">
        <v>2122</v>
      </c>
      <c r="I1096" s="2731"/>
      <c r="J1096" s="177"/>
      <c r="K1096" s="177"/>
      <c r="L1096" s="177"/>
      <c r="M1096" s="177"/>
      <c r="N1096" s="177"/>
      <c r="U1096" s="1570" t="str">
        <f t="shared" si="210"/>
        <v>Watts EE CFL</v>
      </c>
      <c r="V1096" s="1180" t="str">
        <f t="shared" si="210"/>
        <v>LED - 10W (CFL baseline) LIDI</v>
      </c>
      <c r="W1096" s="95">
        <v>9.1</v>
      </c>
      <c r="X1096" s="95">
        <v>9.1</v>
      </c>
      <c r="Y1096" s="95">
        <v>9.1</v>
      </c>
      <c r="Z1096" s="1186"/>
      <c r="AA1096" s="1186"/>
      <c r="AB1096" s="1186"/>
      <c r="AC1096" s="1186"/>
      <c r="AD1096" s="1186"/>
      <c r="AE1096" s="1186"/>
      <c r="AF1096" s="1186"/>
      <c r="AG1096" s="1186"/>
      <c r="AK1096" s="1166"/>
    </row>
    <row r="1097" spans="1:37" outlineLevel="1" x14ac:dyDescent="0.25">
      <c r="A1097" s="177"/>
      <c r="B1097" s="177"/>
      <c r="C1097" s="1427"/>
      <c r="D1097" s="1429" t="s">
        <v>2125</v>
      </c>
      <c r="E1097" s="383" t="str">
        <f t="shared" si="211"/>
        <v>LED - 10.5W Downlight E26 (CFL baseline) LIDI</v>
      </c>
      <c r="F1097" s="95">
        <v>8</v>
      </c>
      <c r="G1097" s="1430"/>
      <c r="H1097" s="3102" t="s">
        <v>2122</v>
      </c>
      <c r="I1097" s="2731"/>
      <c r="J1097" s="177"/>
      <c r="K1097" s="177"/>
      <c r="L1097" s="177"/>
      <c r="M1097" s="177"/>
      <c r="N1097" s="177"/>
      <c r="U1097" s="1570" t="str">
        <f t="shared" si="210"/>
        <v>Watts EE CFL</v>
      </c>
      <c r="V1097" s="1180" t="str">
        <f t="shared" si="210"/>
        <v>LED - 10.5W Downlight E26 (CFL baseline) LIDI</v>
      </c>
      <c r="W1097" s="95">
        <v>8</v>
      </c>
      <c r="X1097" s="95">
        <v>8</v>
      </c>
      <c r="Y1097" s="95">
        <v>8</v>
      </c>
      <c r="Z1097" s="1186"/>
      <c r="AA1097" s="1186"/>
      <c r="AB1097" s="1186"/>
      <c r="AC1097" s="1186"/>
      <c r="AD1097" s="1186"/>
      <c r="AE1097" s="1186"/>
      <c r="AF1097" s="1186"/>
      <c r="AG1097" s="1186"/>
      <c r="AK1097" s="1166"/>
    </row>
    <row r="1098" spans="1:37" outlineLevel="1" x14ac:dyDescent="0.25">
      <c r="A1098" s="177"/>
      <c r="B1098" s="177"/>
      <c r="C1098" s="1427"/>
      <c r="D1098" s="1429" t="s">
        <v>2125</v>
      </c>
      <c r="E1098" s="383" t="str">
        <f t="shared" si="211"/>
        <v>LED - 12W Dimmable Light Bulb (Replacing CFL) LIDI</v>
      </c>
      <c r="F1098" s="95">
        <v>9.5</v>
      </c>
      <c r="G1098" s="1430"/>
      <c r="H1098" s="3102" t="s">
        <v>2122</v>
      </c>
      <c r="I1098" s="2731"/>
      <c r="J1098" s="177"/>
      <c r="K1098" s="177"/>
      <c r="L1098" s="177"/>
      <c r="M1098" s="177"/>
      <c r="N1098" s="177"/>
      <c r="U1098" s="1570" t="str">
        <f t="shared" si="210"/>
        <v>Watts EE CFL</v>
      </c>
      <c r="V1098" s="1180" t="str">
        <f t="shared" si="210"/>
        <v>LED - 12W Dimmable Light Bulb (Replacing CFL) LIDI</v>
      </c>
      <c r="W1098" s="95">
        <v>9.5</v>
      </c>
      <c r="X1098" s="95">
        <v>9.5</v>
      </c>
      <c r="Y1098" s="95">
        <v>9.5</v>
      </c>
      <c r="Z1098" s="1186"/>
      <c r="AA1098" s="1186"/>
      <c r="AB1098" s="1186"/>
      <c r="AC1098" s="1186"/>
      <c r="AD1098" s="1186"/>
      <c r="AE1098" s="1186"/>
      <c r="AF1098" s="1186"/>
      <c r="AG1098" s="1186"/>
      <c r="AK1098" s="1166"/>
    </row>
    <row r="1099" spans="1:37" outlineLevel="1" x14ac:dyDescent="0.25">
      <c r="A1099" s="177"/>
      <c r="B1099" s="177"/>
      <c r="C1099" s="1427"/>
      <c r="D1099" s="1429" t="s">
        <v>2125</v>
      </c>
      <c r="E1099" s="383" t="str">
        <f>E1079</f>
        <v>LED - 12W (Replacing CFL) LIDI</v>
      </c>
      <c r="F1099" s="95">
        <v>9.5</v>
      </c>
      <c r="G1099" s="1430"/>
      <c r="H1099" s="3102" t="s">
        <v>2122</v>
      </c>
      <c r="I1099" s="2731"/>
      <c r="J1099" s="177"/>
      <c r="K1099" s="177"/>
      <c r="L1099" s="177"/>
      <c r="M1099" s="177"/>
      <c r="N1099" s="177"/>
      <c r="U1099" s="1570" t="str">
        <f t="shared" si="210"/>
        <v>Watts EE CFL</v>
      </c>
      <c r="V1099" s="1180" t="str">
        <f t="shared" si="210"/>
        <v>LED - 12W (Replacing CFL) LIDI</v>
      </c>
      <c r="W1099" s="95">
        <v>9.5</v>
      </c>
      <c r="X1099" s="95">
        <v>9.5</v>
      </c>
      <c r="Y1099" s="95">
        <v>9.5</v>
      </c>
      <c r="Z1099" s="1186"/>
      <c r="AA1099" s="1186"/>
      <c r="AB1099" s="1186"/>
      <c r="AC1099" s="1186"/>
      <c r="AD1099" s="1186"/>
      <c r="AE1099" s="1186"/>
      <c r="AF1099" s="1186"/>
      <c r="AG1099" s="1186"/>
      <c r="AK1099" s="1166"/>
    </row>
    <row r="1100" spans="1:37" outlineLevel="1" x14ac:dyDescent="0.25">
      <c r="A1100" s="177"/>
      <c r="B1100" s="177"/>
      <c r="C1100" s="1427"/>
      <c r="D1100" s="1429" t="s">
        <v>2125</v>
      </c>
      <c r="E1100" s="383" t="str">
        <f>E1080</f>
        <v>LED - 15W (CFL baseline) LIDI</v>
      </c>
      <c r="F1100" s="95">
        <v>10.6</v>
      </c>
      <c r="G1100" s="1430"/>
      <c r="H1100" s="3102" t="s">
        <v>2122</v>
      </c>
      <c r="I1100" s="2731"/>
      <c r="J1100" s="177"/>
      <c r="K1100" s="177"/>
      <c r="L1100" s="177"/>
      <c r="M1100" s="177"/>
      <c r="N1100" s="177"/>
      <c r="U1100" s="1570" t="str">
        <f t="shared" si="210"/>
        <v>Watts EE CFL</v>
      </c>
      <c r="V1100" s="1180" t="str">
        <f t="shared" si="210"/>
        <v>LED - 15W (CFL baseline) LIDI</v>
      </c>
      <c r="W1100" s="95">
        <v>10.6</v>
      </c>
      <c r="X1100" s="95">
        <v>10.6</v>
      </c>
      <c r="Y1100" s="95">
        <v>10.6</v>
      </c>
      <c r="Z1100" s="1186"/>
      <c r="AA1100" s="1186"/>
      <c r="AB1100" s="1186"/>
      <c r="AC1100" s="1186"/>
      <c r="AD1100" s="1186"/>
      <c r="AE1100" s="1186"/>
      <c r="AF1100" s="1186"/>
      <c r="AG1100" s="1186"/>
      <c r="AK1100" s="1166"/>
    </row>
    <row r="1101" spans="1:37" outlineLevel="1" x14ac:dyDescent="0.25">
      <c r="A1101" s="177"/>
      <c r="B1101" s="177"/>
      <c r="C1101" s="1427"/>
      <c r="D1101" s="1429" t="s">
        <v>2125</v>
      </c>
      <c r="E1101" s="383" t="str">
        <f>E1049</f>
        <v>LED - 15W Flood Light PAR30 Bulb (CFL baseline) LIDI</v>
      </c>
      <c r="F1101" s="95">
        <v>11.2</v>
      </c>
      <c r="G1101" s="1430"/>
      <c r="H1101" s="3102" t="s">
        <v>2122</v>
      </c>
      <c r="I1101" s="2731"/>
      <c r="J1101" s="177"/>
      <c r="K1101" s="177"/>
      <c r="L1101" s="177"/>
      <c r="M1101" s="177"/>
      <c r="N1101" s="177"/>
      <c r="U1101" s="1570" t="str">
        <f t="shared" si="210"/>
        <v>Watts EE CFL</v>
      </c>
      <c r="V1101" s="1180" t="str">
        <f t="shared" si="210"/>
        <v>LED - 15W Flood Light PAR30 Bulb (CFL baseline) LIDI</v>
      </c>
      <c r="W1101" s="95">
        <v>11.2</v>
      </c>
      <c r="X1101" s="95">
        <v>11.2</v>
      </c>
      <c r="Y1101" s="95">
        <v>11.2</v>
      </c>
      <c r="Z1101" s="1186"/>
      <c r="AA1101" s="1186"/>
      <c r="AB1101" s="1186"/>
      <c r="AC1101" s="1186"/>
      <c r="AD1101" s="1186"/>
      <c r="AE1101" s="1186"/>
      <c r="AF1101" s="1186"/>
      <c r="AG1101" s="1186"/>
      <c r="AK1101" s="1166"/>
    </row>
    <row r="1102" spans="1:37" ht="15" customHeight="1" outlineLevel="1" x14ac:dyDescent="0.25">
      <c r="A1102" s="177"/>
      <c r="B1102" s="177"/>
      <c r="C1102" s="1427"/>
      <c r="D1102" s="1429" t="s">
        <v>2125</v>
      </c>
      <c r="E1102" s="383" t="str">
        <f>E1050</f>
        <v>LED - 18W Flood Light PAR30 Bulb (CFL baseline) LIDI</v>
      </c>
      <c r="F1102" s="95">
        <v>18</v>
      </c>
      <c r="G1102" s="1430"/>
      <c r="H1102" s="3102" t="s">
        <v>628</v>
      </c>
      <c r="I1102" s="2731"/>
      <c r="J1102" s="177"/>
      <c r="K1102" s="177"/>
      <c r="L1102" s="177"/>
      <c r="M1102" s="177"/>
      <c r="N1102" s="177"/>
      <c r="U1102" s="1570" t="str">
        <f t="shared" si="210"/>
        <v>Watts EE CFL</v>
      </c>
      <c r="V1102" s="1180" t="str">
        <f t="shared" si="210"/>
        <v>LED - 18W Flood Light PAR30 Bulb (CFL baseline) LIDI</v>
      </c>
      <c r="W1102" s="95">
        <v>18</v>
      </c>
      <c r="X1102" s="95">
        <v>18</v>
      </c>
      <c r="Y1102" s="95">
        <v>18</v>
      </c>
      <c r="Z1102" s="1186"/>
      <c r="AA1102" s="1186"/>
      <c r="AB1102" s="1186"/>
      <c r="AC1102" s="1186"/>
      <c r="AD1102" s="1186"/>
      <c r="AE1102" s="1186"/>
      <c r="AF1102" s="1186"/>
      <c r="AG1102" s="1186"/>
      <c r="AK1102" s="1166"/>
    </row>
    <row r="1103" spans="1:37" ht="15.75" outlineLevel="1" thickBot="1" x14ac:dyDescent="0.3">
      <c r="A1103" s="177"/>
      <c r="B1103" s="177"/>
      <c r="C1103" s="1427"/>
      <c r="D1103" s="1429" t="s">
        <v>2125</v>
      </c>
      <c r="E1103" s="383" t="str">
        <f>E1083</f>
        <v>LED - 20W (CFL baseline) LIDI</v>
      </c>
      <c r="F1103" s="95">
        <v>15</v>
      </c>
      <c r="G1103" s="1430"/>
      <c r="H1103" s="3109" t="s">
        <v>2122</v>
      </c>
      <c r="I1103" s="3110"/>
      <c r="J1103" s="177"/>
      <c r="K1103" s="177"/>
      <c r="L1103" s="177"/>
      <c r="M1103" s="177"/>
      <c r="N1103" s="177"/>
      <c r="U1103" s="1570" t="str">
        <f t="shared" si="210"/>
        <v>Watts EE CFL</v>
      </c>
      <c r="V1103" s="1180" t="str">
        <f t="shared" si="210"/>
        <v>LED - 20W (CFL baseline) LIDI</v>
      </c>
      <c r="W1103" s="95">
        <v>15</v>
      </c>
      <c r="X1103" s="95">
        <v>15</v>
      </c>
      <c r="Y1103" s="95">
        <v>15</v>
      </c>
      <c r="Z1103" s="1186"/>
      <c r="AA1103" s="1186"/>
      <c r="AB1103" s="1186"/>
      <c r="AC1103" s="1186"/>
      <c r="AD1103" s="1186"/>
      <c r="AE1103" s="1186"/>
      <c r="AF1103" s="1186"/>
      <c r="AG1103" s="1186"/>
      <c r="AK1103" s="1166"/>
    </row>
    <row r="1104" spans="1:37" ht="15" customHeight="1" outlineLevel="1" x14ac:dyDescent="0.25">
      <c r="A1104" s="177"/>
      <c r="B1104" s="177"/>
      <c r="C1104" s="1427"/>
      <c r="D1104" s="1429" t="s">
        <v>82</v>
      </c>
      <c r="E1104" s="1429" t="s">
        <v>637</v>
      </c>
      <c r="F1104" s="1452">
        <v>0.98180000000000001</v>
      </c>
      <c r="G1104" s="1430"/>
      <c r="H1104" s="3111" t="s">
        <v>2126</v>
      </c>
      <c r="I1104" s="3112"/>
      <c r="J1104" s="177"/>
      <c r="K1104" s="1453"/>
      <c r="L1104" s="177"/>
      <c r="M1104" s="177"/>
      <c r="N1104" s="177"/>
      <c r="U1104" s="1570" t="str">
        <f t="shared" si="210"/>
        <v>ISR</v>
      </c>
      <c r="V1104" s="1180" t="str">
        <f t="shared" si="210"/>
        <v>All</v>
      </c>
      <c r="W1104" s="1454">
        <v>0.95120000000000005</v>
      </c>
      <c r="X1104" s="1455">
        <v>0.97</v>
      </c>
      <c r="Y1104" s="602">
        <v>0.98180000000000001</v>
      </c>
      <c r="Z1104" s="1186"/>
      <c r="AA1104" s="1186"/>
      <c r="AB1104" s="1186"/>
      <c r="AC1104" s="1186"/>
      <c r="AD1104" s="1186"/>
      <c r="AE1104" s="1186"/>
      <c r="AF1104" s="1186"/>
      <c r="AG1104" s="1186"/>
      <c r="AK1104" s="1166"/>
    </row>
    <row r="1105" spans="1:45" outlineLevel="1" x14ac:dyDescent="0.25">
      <c r="A1105" s="177"/>
      <c r="B1105" s="177"/>
      <c r="C1105" s="1427"/>
      <c r="D1105" s="1429" t="s">
        <v>639</v>
      </c>
      <c r="E1105" s="1429" t="s">
        <v>637</v>
      </c>
      <c r="F1105" s="1456">
        <v>0</v>
      </c>
      <c r="G1105" s="1430"/>
      <c r="H1105" s="3102" t="s">
        <v>2126</v>
      </c>
      <c r="I1105" s="2731"/>
      <c r="J1105" s="177"/>
      <c r="K1105" s="1453"/>
      <c r="L1105" s="177"/>
      <c r="M1105" s="177"/>
      <c r="N1105" s="177"/>
      <c r="U1105" s="1570" t="str">
        <f t="shared" si="210"/>
        <v>Leakage</v>
      </c>
      <c r="V1105" s="1180" t="str">
        <f t="shared" si="210"/>
        <v>All</v>
      </c>
      <c r="W1105" s="1454">
        <v>1.6525893496695268E-2</v>
      </c>
      <c r="X1105" s="1457">
        <v>0</v>
      </c>
      <c r="Y1105" s="1457">
        <v>0</v>
      </c>
      <c r="Z1105" s="1186"/>
      <c r="AA1105" s="1186"/>
      <c r="AB1105" s="1186"/>
      <c r="AC1105" s="1186"/>
      <c r="AD1105" s="1186"/>
      <c r="AE1105" s="1186"/>
      <c r="AF1105" s="1186"/>
      <c r="AG1105" s="1186"/>
      <c r="AK1105" s="1166"/>
    </row>
    <row r="1106" spans="1:45" ht="15" customHeight="1" outlineLevel="1" x14ac:dyDescent="0.25">
      <c r="A1106" s="177"/>
      <c r="B1106" s="177"/>
      <c r="C1106" s="1427"/>
      <c r="D1106" s="1429" t="s">
        <v>641</v>
      </c>
      <c r="E1106" s="1429" t="s">
        <v>643</v>
      </c>
      <c r="F1106" s="210">
        <v>674.17573847971641</v>
      </c>
      <c r="G1106" s="1430"/>
      <c r="H1106" s="3107" t="s">
        <v>2127</v>
      </c>
      <c r="I1106" s="3108"/>
      <c r="J1106" s="177"/>
      <c r="K1106" s="177"/>
      <c r="L1106" s="177"/>
      <c r="M1106" s="177"/>
      <c r="N1106" s="177"/>
      <c r="U1106" s="1570" t="str">
        <f t="shared" si="210"/>
        <v>HOU_Res</v>
      </c>
      <c r="V1106" s="1180" t="str">
        <f t="shared" si="210"/>
        <v>Res</v>
      </c>
      <c r="W1106" s="1458">
        <v>693.5</v>
      </c>
      <c r="X1106" s="209">
        <v>728</v>
      </c>
      <c r="Y1106" s="1459">
        <v>674.17573847971641</v>
      </c>
      <c r="Z1106" s="1186"/>
      <c r="AA1106" s="1186"/>
      <c r="AB1106" s="1186"/>
      <c r="AC1106" s="1186"/>
      <c r="AD1106" s="1186"/>
      <c r="AE1106" s="1186"/>
      <c r="AF1106" s="1186"/>
      <c r="AG1106" s="1186"/>
      <c r="AK1106" s="1166"/>
    </row>
    <row r="1107" spans="1:45" outlineLevel="1" x14ac:dyDescent="0.25">
      <c r="A1107" s="177"/>
      <c r="B1107" s="177"/>
      <c r="C1107" s="1427"/>
      <c r="D1107" s="1429" t="s">
        <v>644</v>
      </c>
      <c r="E1107" s="1429" t="s">
        <v>646</v>
      </c>
      <c r="F1107" s="1460">
        <v>0.99008680582907171</v>
      </c>
      <c r="G1107" s="1430"/>
      <c r="H1107" s="3102" t="s">
        <v>647</v>
      </c>
      <c r="I1107" s="2731"/>
      <c r="J1107" s="177"/>
      <c r="K1107" s="177"/>
      <c r="L1107" s="177"/>
      <c r="M1107" s="177"/>
      <c r="N1107" s="177"/>
      <c r="U1107" s="1570" t="str">
        <f t="shared" si="210"/>
        <v>WHF_Res</v>
      </c>
      <c r="V1107" s="1180" t="str">
        <f t="shared" si="210"/>
        <v>Res  energy</v>
      </c>
      <c r="W1107" s="1458">
        <v>0.99</v>
      </c>
      <c r="X1107" s="1458">
        <v>0.99</v>
      </c>
      <c r="Y1107" s="1459">
        <v>0.99008680582907171</v>
      </c>
      <c r="Z1107" s="1186"/>
      <c r="AA1107" s="1186"/>
      <c r="AB1107" s="1186"/>
      <c r="AC1107" s="1186"/>
      <c r="AD1107" s="1186"/>
      <c r="AE1107" s="1186"/>
      <c r="AF1107" s="1186"/>
      <c r="AG1107" s="1186"/>
      <c r="AK1107" s="1166"/>
    </row>
    <row r="1108" spans="1:45" ht="15" customHeight="1" outlineLevel="1" x14ac:dyDescent="0.25">
      <c r="A1108" s="177"/>
      <c r="B1108" s="177"/>
      <c r="C1108" s="1427"/>
      <c r="D1108" s="1429" t="s">
        <v>648</v>
      </c>
      <c r="E1108" s="1429" t="s">
        <v>650</v>
      </c>
      <c r="F1108" s="210">
        <v>7321.0388096521265</v>
      </c>
      <c r="G1108" s="1430"/>
      <c r="H1108" s="3107" t="s">
        <v>2127</v>
      </c>
      <c r="I1108" s="3108"/>
      <c r="J1108" s="177"/>
      <c r="K1108" s="177"/>
      <c r="L1108" s="177"/>
      <c r="M1108" s="177"/>
      <c r="N1108" s="177"/>
      <c r="U1108" s="1570" t="str">
        <f t="shared" si="210"/>
        <v>HOU_NRES</v>
      </c>
      <c r="V1108" s="1180" t="str">
        <f t="shared" si="210"/>
        <v>NRES</v>
      </c>
      <c r="W1108" s="1458">
        <v>3613</v>
      </c>
      <c r="X1108" s="209">
        <v>5949</v>
      </c>
      <c r="Y1108" s="1459">
        <v>7321.0388096521265</v>
      </c>
      <c r="Z1108" s="1186"/>
      <c r="AA1108" s="1186"/>
      <c r="AB1108" s="1186"/>
      <c r="AC1108" s="1186"/>
      <c r="AD1108" s="1186"/>
      <c r="AE1108" s="1186"/>
      <c r="AF1108" s="1186"/>
      <c r="AG1108" s="1186"/>
      <c r="AK1108" s="1166"/>
    </row>
    <row r="1109" spans="1:45" ht="15" customHeight="1" outlineLevel="1" x14ac:dyDescent="0.25">
      <c r="A1109" s="177"/>
      <c r="B1109" s="177"/>
      <c r="C1109" s="1427"/>
      <c r="D1109" s="1429" t="s">
        <v>652</v>
      </c>
      <c r="E1109" s="1429" t="s">
        <v>643</v>
      </c>
      <c r="F1109" s="1460">
        <v>0.96568754422551695</v>
      </c>
      <c r="G1109" s="1430"/>
      <c r="H1109" s="3107" t="s">
        <v>2128</v>
      </c>
      <c r="I1109" s="3108"/>
      <c r="J1109" s="177"/>
      <c r="K1109" s="177"/>
      <c r="L1109" s="177"/>
      <c r="M1109" s="177"/>
      <c r="N1109" s="177"/>
      <c r="U1109" s="1570" t="str">
        <f t="shared" si="210"/>
        <v>WHF_Nres</v>
      </c>
      <c r="V1109" s="1180" t="str">
        <f t="shared" si="210"/>
        <v>Res</v>
      </c>
      <c r="W1109" s="1458">
        <v>1.1000000000000001</v>
      </c>
      <c r="X1109" s="1458">
        <v>2.1</v>
      </c>
      <c r="Y1109" s="1459">
        <v>0.96568754422551695</v>
      </c>
      <c r="Z1109" s="1186"/>
      <c r="AA1109" s="1186"/>
      <c r="AB1109" s="1186"/>
      <c r="AC1109" s="1186"/>
      <c r="AD1109" s="1186"/>
      <c r="AE1109" s="1186"/>
      <c r="AF1109" s="1186"/>
      <c r="AG1109" s="1186"/>
      <c r="AK1109" s="1166"/>
    </row>
    <row r="1110" spans="1:45" outlineLevel="1" x14ac:dyDescent="0.25">
      <c r="A1110" s="177"/>
      <c r="B1110" s="177"/>
      <c r="C1110" s="1427"/>
      <c r="D1110" s="1429" t="s">
        <v>654</v>
      </c>
      <c r="E1110" s="1429" t="s">
        <v>637</v>
      </c>
      <c r="F1110" s="1461">
        <v>1</v>
      </c>
      <c r="G1110" s="1430"/>
      <c r="H1110" s="3102" t="s">
        <v>2129</v>
      </c>
      <c r="I1110" s="2731"/>
      <c r="J1110" s="177"/>
      <c r="K1110" s="177"/>
      <c r="L1110" s="177"/>
      <c r="M1110" s="177"/>
      <c r="N1110" s="177"/>
      <c r="U1110" s="1570" t="str">
        <f t="shared" si="210"/>
        <v>%Res</v>
      </c>
      <c r="V1110" s="1180" t="str">
        <f t="shared" si="210"/>
        <v>All</v>
      </c>
      <c r="W1110" s="1461">
        <v>1</v>
      </c>
      <c r="X1110" s="1461">
        <v>1</v>
      </c>
      <c r="Y1110" s="1461">
        <v>1</v>
      </c>
      <c r="Z1110" s="1186"/>
      <c r="AA1110" s="1186"/>
      <c r="AB1110" s="1186"/>
      <c r="AC1110" s="1186"/>
      <c r="AD1110" s="1186"/>
      <c r="AE1110" s="1186"/>
      <c r="AF1110" s="1186"/>
      <c r="AG1110" s="1186"/>
      <c r="AK1110" s="1166"/>
    </row>
    <row r="1111" spans="1:45" ht="15" customHeight="1" outlineLevel="1" x14ac:dyDescent="0.25">
      <c r="A1111" s="177"/>
      <c r="B1111" s="177"/>
      <c r="C1111" s="1427"/>
      <c r="D1111" s="1429" t="s">
        <v>2130</v>
      </c>
      <c r="E1111" s="1429" t="s">
        <v>571</v>
      </c>
      <c r="F1111" s="1462">
        <v>1.4925290000000001E-4</v>
      </c>
      <c r="G1111" s="1430"/>
      <c r="H1111" s="3102" t="s">
        <v>2131</v>
      </c>
      <c r="I1111" s="2731"/>
      <c r="J1111" s="177"/>
      <c r="K1111" s="177"/>
      <c r="L1111" s="177"/>
      <c r="M1111" s="177"/>
      <c r="N1111" s="177"/>
      <c r="U1111" s="1570" t="str">
        <f t="shared" si="210"/>
        <v>KW Factor_RES</v>
      </c>
      <c r="V1111" s="1180" t="str">
        <f t="shared" si="210"/>
        <v>Lighting RES</v>
      </c>
      <c r="W1111" s="1463">
        <v>1.4925290000000001E-4</v>
      </c>
      <c r="X1111" s="1463">
        <v>1.4925290000000001E-4</v>
      </c>
      <c r="Y1111" s="1463">
        <v>1.4925290000000001E-4</v>
      </c>
      <c r="Z1111" s="1186"/>
      <c r="AA1111" s="1186"/>
      <c r="AB1111" s="1186"/>
      <c r="AC1111" s="1186"/>
      <c r="AD1111" s="1186"/>
      <c r="AE1111" s="1186"/>
      <c r="AF1111" s="1186"/>
      <c r="AG1111" s="1186"/>
      <c r="AK1111" s="1166"/>
    </row>
    <row r="1112" spans="1:45" ht="15" customHeight="1" outlineLevel="1" x14ac:dyDescent="0.25">
      <c r="A1112" s="177"/>
      <c r="B1112" s="177"/>
      <c r="C1112" s="1427"/>
      <c r="D1112" s="1429" t="s">
        <v>2132</v>
      </c>
      <c r="E1112" s="1429" t="s">
        <v>36</v>
      </c>
      <c r="F1112" s="1462">
        <v>1.899635E-4</v>
      </c>
      <c r="G1112" s="1430"/>
      <c r="H1112" s="3102" t="s">
        <v>2131</v>
      </c>
      <c r="I1112" s="2731"/>
      <c r="J1112" s="177"/>
      <c r="K1112" s="177"/>
      <c r="L1112" s="177"/>
      <c r="M1112" s="177"/>
      <c r="N1112" s="177"/>
      <c r="U1112" s="1570" t="str">
        <f t="shared" si="210"/>
        <v>KW Factor _ BUS</v>
      </c>
      <c r="V1112" s="1180" t="str">
        <f t="shared" si="210"/>
        <v>Lighting BUS</v>
      </c>
      <c r="W1112" s="1463">
        <v>1.899635E-4</v>
      </c>
      <c r="X1112" s="1463">
        <v>1.899635E-4</v>
      </c>
      <c r="Y1112" s="1463">
        <v>1.899635E-4</v>
      </c>
      <c r="Z1112" s="1186"/>
      <c r="AA1112" s="1186"/>
      <c r="AB1112" s="1186"/>
      <c r="AC1112" s="1186"/>
      <c r="AD1112" s="1186"/>
      <c r="AE1112" s="1186"/>
      <c r="AF1112" s="1186"/>
      <c r="AG1112" s="1186"/>
      <c r="AK1112" s="1166"/>
    </row>
    <row r="1113" spans="1:45" outlineLevel="1" x14ac:dyDescent="0.25">
      <c r="A1113" s="177"/>
      <c r="B1113" s="177"/>
      <c r="C1113" s="1427"/>
      <c r="D1113" s="1429" t="s">
        <v>2133</v>
      </c>
      <c r="E1113" s="1429" t="s">
        <v>2134</v>
      </c>
      <c r="F1113" s="1464">
        <v>8760</v>
      </c>
      <c r="G1113" s="1430"/>
      <c r="H1113" s="3102" t="s">
        <v>2135</v>
      </c>
      <c r="I1113" s="2731"/>
      <c r="J1113" s="177"/>
      <c r="K1113" s="177"/>
      <c r="L1113" s="177"/>
      <c r="M1113" s="177"/>
      <c r="N1113" s="177"/>
      <c r="U1113" s="1570" t="str">
        <f t="shared" si="210"/>
        <v>Hours24/7</v>
      </c>
      <c r="V1113" s="1180" t="str">
        <f t="shared" si="210"/>
        <v>24/7 hours</v>
      </c>
      <c r="W1113" s="1465">
        <v>8760</v>
      </c>
      <c r="X1113" s="1465">
        <v>8760</v>
      </c>
      <c r="Y1113" s="1465">
        <v>8760</v>
      </c>
      <c r="Z1113" s="1186"/>
      <c r="AA1113" s="1186"/>
      <c r="AB1113" s="1186"/>
      <c r="AC1113" s="1186"/>
      <c r="AD1113" s="1186"/>
      <c r="AE1113" s="1186"/>
      <c r="AF1113" s="1186"/>
      <c r="AG1113" s="1186"/>
      <c r="AK1113" s="1166"/>
    </row>
    <row r="1114" spans="1:45" outlineLevel="1" x14ac:dyDescent="0.25">
      <c r="A1114" s="177"/>
      <c r="B1114" s="177"/>
      <c r="C1114" s="1427"/>
      <c r="D1114" s="1429" t="s">
        <v>2136</v>
      </c>
      <c r="E1114" s="1429" t="s">
        <v>2137</v>
      </c>
      <c r="F1114" s="1464">
        <v>4380</v>
      </c>
      <c r="G1114" s="1430"/>
      <c r="H1114" s="3102" t="s">
        <v>2138</v>
      </c>
      <c r="I1114" s="2731"/>
      <c r="J1114" s="177"/>
      <c r="K1114" s="177"/>
      <c r="L1114" s="177"/>
      <c r="M1114" s="177"/>
      <c r="N1114" s="177"/>
      <c r="U1114" s="1570" t="str">
        <f t="shared" si="210"/>
        <v>Hours12/7</v>
      </c>
      <c r="V1114" s="1180" t="str">
        <f t="shared" si="210"/>
        <v>12/7 hours</v>
      </c>
      <c r="W1114" s="1465">
        <v>4380</v>
      </c>
      <c r="X1114" s="1465">
        <v>4380</v>
      </c>
      <c r="Y1114" s="1465">
        <v>4380</v>
      </c>
      <c r="Z1114" s="1186"/>
      <c r="AA1114" s="1186"/>
      <c r="AB1114" s="1186"/>
      <c r="AC1114" s="1186"/>
      <c r="AD1114" s="1186"/>
      <c r="AE1114" s="1186"/>
      <c r="AF1114" s="1186"/>
      <c r="AG1114" s="1186"/>
      <c r="AK1114" s="1166"/>
    </row>
    <row r="1115" spans="1:45" outlineLevel="1" x14ac:dyDescent="0.25">
      <c r="B1115" s="1580"/>
      <c r="C1115" s="443"/>
      <c r="D1115" s="3098" t="str">
        <f>D1023</f>
        <v>EUL</v>
      </c>
      <c r="E1115" s="1681" t="s">
        <v>2139</v>
      </c>
      <c r="F1115" s="1356">
        <v>7</v>
      </c>
      <c r="G1115" s="1430"/>
      <c r="H1115" s="3102"/>
      <c r="I1115" s="2731"/>
      <c r="V1115" s="3088" t="str">
        <f>D1115</f>
        <v>EUL</v>
      </c>
      <c r="W1115" s="1355">
        <v>7</v>
      </c>
      <c r="X1115" s="1355">
        <v>7</v>
      </c>
      <c r="Y1115" s="1355">
        <v>7</v>
      </c>
      <c r="Z1115" s="1356"/>
      <c r="AA1115" s="1356"/>
      <c r="AB1115" s="1356"/>
      <c r="AC1115" s="1356"/>
      <c r="AD1115" s="1356"/>
      <c r="AE1115" s="1356"/>
      <c r="AF1115" s="1356"/>
      <c r="AG1115" s="1356"/>
      <c r="AK1115" s="1166"/>
    </row>
    <row r="1116" spans="1:45" outlineLevel="1" x14ac:dyDescent="0.25">
      <c r="B1116" s="1580"/>
      <c r="C1116" s="443"/>
      <c r="D1116" s="3099"/>
      <c r="E1116" s="1681" t="s">
        <v>2140</v>
      </c>
      <c r="F1116" s="1356">
        <v>7</v>
      </c>
      <c r="G1116" s="1430"/>
      <c r="H1116" s="3102"/>
      <c r="I1116" s="2731"/>
      <c r="V1116" s="3070"/>
      <c r="W1116" s="1355">
        <v>7</v>
      </c>
      <c r="X1116" s="1355">
        <v>7</v>
      </c>
      <c r="Y1116" s="1355">
        <v>7</v>
      </c>
      <c r="Z1116" s="1356"/>
      <c r="AA1116" s="1356"/>
      <c r="AB1116" s="1356"/>
      <c r="AC1116" s="1356"/>
      <c r="AD1116" s="1356"/>
      <c r="AE1116" s="1356"/>
      <c r="AF1116" s="1356"/>
      <c r="AG1116" s="1356"/>
      <c r="AK1116" s="1166"/>
    </row>
    <row r="1117" spans="1:45" outlineLevel="1" x14ac:dyDescent="0.25">
      <c r="B1117" s="1580"/>
      <c r="C1117" s="443"/>
      <c r="D1117" s="3113" t="s">
        <v>619</v>
      </c>
      <c r="E1117" s="3114" t="s">
        <v>77</v>
      </c>
      <c r="F1117" s="3115" t="s">
        <v>795</v>
      </c>
      <c r="G1117" s="3115" t="s">
        <v>797</v>
      </c>
      <c r="H1117" s="3116" t="s">
        <v>621</v>
      </c>
      <c r="I1117" s="3117"/>
      <c r="V1117" s="55" t="s">
        <v>27</v>
      </c>
      <c r="W1117" s="56">
        <f>$W$6</f>
        <v>43252</v>
      </c>
      <c r="X1117" s="56">
        <f>$X$6</f>
        <v>43465</v>
      </c>
      <c r="Y1117" s="500">
        <f>$Y$6</f>
        <v>43800</v>
      </c>
      <c r="Z1117" s="56">
        <f>$Z$6</f>
        <v>43862</v>
      </c>
      <c r="AA1117" s="56" t="str">
        <f>$AA$6</f>
        <v>-</v>
      </c>
      <c r="AB1117" s="56" t="str">
        <f>$AB$6</f>
        <v>-</v>
      </c>
      <c r="AC1117" s="56" t="str">
        <f>$AC$6</f>
        <v>-</v>
      </c>
      <c r="AD1117" s="56" t="str">
        <f>$AD$6</f>
        <v>-</v>
      </c>
      <c r="AE1117" s="56" t="str">
        <f>$AE$6</f>
        <v>-</v>
      </c>
      <c r="AF1117" s="56" t="str">
        <f>$AF$6</f>
        <v>-</v>
      </c>
      <c r="AG1117" s="56" t="str">
        <f>$AG$6</f>
        <v>-</v>
      </c>
      <c r="AI1117" s="56">
        <f>$W$6</f>
        <v>43252</v>
      </c>
      <c r="AJ1117" s="56">
        <f>$X$6</f>
        <v>43465</v>
      </c>
      <c r="AK1117" s="56">
        <f>$Y$6</f>
        <v>43800</v>
      </c>
      <c r="AL1117" s="56">
        <f>$Z$6</f>
        <v>43862</v>
      </c>
      <c r="AM1117" s="56" t="str">
        <f>$AA$6</f>
        <v>-</v>
      </c>
      <c r="AN1117" s="56" t="str">
        <f>$AB$6</f>
        <v>-</v>
      </c>
      <c r="AO1117" s="56" t="str">
        <f>$AC$6</f>
        <v>-</v>
      </c>
      <c r="AP1117" s="56" t="str">
        <f>$AD$6</f>
        <v>-</v>
      </c>
      <c r="AQ1117" s="56" t="str">
        <f>$AE$6</f>
        <v>-</v>
      </c>
      <c r="AR1117" s="56" t="str">
        <f>$AF$6</f>
        <v>-</v>
      </c>
      <c r="AS1117" s="56" t="str">
        <f>$AG$6</f>
        <v>-</v>
      </c>
    </row>
    <row r="1118" spans="1:45" outlineLevel="1" x14ac:dyDescent="0.25">
      <c r="B1118" s="1580"/>
      <c r="C1118" s="443"/>
      <c r="D1118" s="2939"/>
      <c r="E1118" s="3034"/>
      <c r="F1118" s="2945"/>
      <c r="G1118" s="2945"/>
      <c r="H1118" s="3033"/>
      <c r="I1118" s="3034"/>
      <c r="V1118" s="55"/>
      <c r="W1118" s="500" t="str">
        <f>$P$1031</f>
        <v>SF</v>
      </c>
      <c r="X1118" s="500" t="str">
        <f t="shared" ref="X1118:AG1118" si="212">$P$1031</f>
        <v>SF</v>
      </c>
      <c r="Y1118" s="500" t="str">
        <f t="shared" si="212"/>
        <v>SF</v>
      </c>
      <c r="Z1118" s="500" t="str">
        <f t="shared" si="212"/>
        <v>SF</v>
      </c>
      <c r="AA1118" s="500" t="str">
        <f t="shared" si="212"/>
        <v>SF</v>
      </c>
      <c r="AB1118" s="500" t="str">
        <f t="shared" si="212"/>
        <v>SF</v>
      </c>
      <c r="AC1118" s="500" t="str">
        <f t="shared" si="212"/>
        <v>SF</v>
      </c>
      <c r="AD1118" s="500" t="str">
        <f t="shared" si="212"/>
        <v>SF</v>
      </c>
      <c r="AE1118" s="500" t="str">
        <f t="shared" si="212"/>
        <v>SF</v>
      </c>
      <c r="AF1118" s="500" t="str">
        <f t="shared" si="212"/>
        <v>SF</v>
      </c>
      <c r="AG1118" s="500" t="str">
        <f t="shared" si="212"/>
        <v>SF</v>
      </c>
      <c r="AI1118" s="500" t="str">
        <f>$Q$1031</f>
        <v>MF</v>
      </c>
      <c r="AJ1118" s="500" t="str">
        <f t="shared" ref="AJ1118:AS1118" si="213">$Q$1031</f>
        <v>MF</v>
      </c>
      <c r="AK1118" s="500" t="str">
        <f t="shared" si="213"/>
        <v>MF</v>
      </c>
      <c r="AL1118" s="500" t="str">
        <f t="shared" si="213"/>
        <v>MF</v>
      </c>
      <c r="AM1118" s="500" t="str">
        <f t="shared" si="213"/>
        <v>MF</v>
      </c>
      <c r="AN1118" s="500" t="str">
        <f t="shared" si="213"/>
        <v>MF</v>
      </c>
      <c r="AO1118" s="500" t="str">
        <f t="shared" si="213"/>
        <v>MF</v>
      </c>
      <c r="AP1118" s="500" t="str">
        <f t="shared" si="213"/>
        <v>MF</v>
      </c>
      <c r="AQ1118" s="500" t="str">
        <f t="shared" si="213"/>
        <v>MF</v>
      </c>
      <c r="AR1118" s="500" t="str">
        <f t="shared" si="213"/>
        <v>MF</v>
      </c>
      <c r="AS1118" s="500" t="str">
        <f t="shared" si="213"/>
        <v>MF</v>
      </c>
    </row>
    <row r="1119" spans="1:45" outlineLevel="1" x14ac:dyDescent="0.25">
      <c r="B1119" s="1580"/>
      <c r="C1119" s="443"/>
      <c r="D1119" s="3071" t="str">
        <f>D1024</f>
        <v>Inc. Cost</v>
      </c>
      <c r="E1119" s="1681" t="str">
        <f>E1064</f>
        <v>LED - 10.5W Downlight E26 (EISA baseline) LI DI</v>
      </c>
      <c r="F1119" s="1414">
        <v>6</v>
      </c>
      <c r="G1119" s="1414">
        <v>3.3</v>
      </c>
      <c r="H1119" s="3102"/>
      <c r="I1119" s="2731"/>
      <c r="V1119" s="3118" t="str">
        <f>D1119</f>
        <v>Inc. Cost</v>
      </c>
      <c r="W1119" s="1466">
        <v>6</v>
      </c>
      <c r="X1119" s="1466">
        <v>6</v>
      </c>
      <c r="Y1119" s="1356">
        <v>6</v>
      </c>
      <c r="Z1119" s="1356"/>
      <c r="AA1119" s="1356"/>
      <c r="AB1119" s="1356"/>
      <c r="AC1119" s="1356"/>
      <c r="AD1119" s="1356"/>
      <c r="AE1119" s="1356"/>
      <c r="AF1119" s="1356"/>
      <c r="AG1119" s="1356"/>
      <c r="AI1119" s="1466">
        <v>3.3</v>
      </c>
      <c r="AJ1119" s="1466">
        <v>3.3</v>
      </c>
      <c r="AK1119" s="1356"/>
      <c r="AL1119" s="1356"/>
      <c r="AM1119" s="1356"/>
      <c r="AN1119" s="1356"/>
      <c r="AO1119" s="1356"/>
      <c r="AP1119" s="1356"/>
      <c r="AQ1119" s="1356"/>
      <c r="AR1119" s="1356"/>
      <c r="AS1119" s="1356"/>
    </row>
    <row r="1120" spans="1:45" outlineLevel="1" x14ac:dyDescent="0.25">
      <c r="B1120" s="1580"/>
      <c r="C1120" s="443"/>
      <c r="D1120" s="3071"/>
      <c r="E1120" s="1681" t="str">
        <f t="shared" ref="E1120:E1138" si="214">E1065</f>
        <v>LED - 10W (Halogen baseline) LIDI</v>
      </c>
      <c r="F1120" s="1414">
        <v>6</v>
      </c>
      <c r="G1120" s="1414">
        <v>3.68</v>
      </c>
      <c r="H1120" s="3102"/>
      <c r="I1120" s="2731"/>
      <c r="V1120" s="3118"/>
      <c r="W1120" s="1466">
        <v>6</v>
      </c>
      <c r="X1120" s="1466">
        <v>6</v>
      </c>
      <c r="Y1120" s="1356">
        <v>6</v>
      </c>
      <c r="Z1120" s="1356"/>
      <c r="AA1120" s="1356"/>
      <c r="AB1120" s="1356"/>
      <c r="AC1120" s="1356"/>
      <c r="AD1120" s="1356"/>
      <c r="AE1120" s="1356"/>
      <c r="AF1120" s="1356"/>
      <c r="AG1120" s="1356"/>
      <c r="AI1120" s="1466">
        <v>3.68</v>
      </c>
      <c r="AJ1120" s="1466">
        <v>3.68</v>
      </c>
      <c r="AK1120" s="1356"/>
      <c r="AL1120" s="1356"/>
      <c r="AM1120" s="1356"/>
      <c r="AN1120" s="1356"/>
      <c r="AO1120" s="1356"/>
      <c r="AP1120" s="1356"/>
      <c r="AQ1120" s="1356"/>
      <c r="AR1120" s="1356"/>
      <c r="AS1120" s="1356"/>
    </row>
    <row r="1121" spans="2:45" outlineLevel="1" x14ac:dyDescent="0.25">
      <c r="B1121" s="1580"/>
      <c r="C1121" s="443"/>
      <c r="D1121" s="3071"/>
      <c r="E1121" s="1681" t="str">
        <f t="shared" si="214"/>
        <v>LED - 12W (Halogen baseline) LI DI</v>
      </c>
      <c r="F1121" s="1414">
        <v>6</v>
      </c>
      <c r="G1121" s="1414">
        <v>4.72</v>
      </c>
      <c r="H1121" s="3102"/>
      <c r="I1121" s="2731"/>
      <c r="V1121" s="3072"/>
      <c r="W1121" s="1466">
        <v>6</v>
      </c>
      <c r="X1121" s="1466">
        <v>6</v>
      </c>
      <c r="Y1121" s="1356">
        <v>6</v>
      </c>
      <c r="Z1121" s="1356"/>
      <c r="AA1121" s="1356"/>
      <c r="AB1121" s="1356"/>
      <c r="AC1121" s="1356"/>
      <c r="AD1121" s="1356"/>
      <c r="AE1121" s="1356"/>
      <c r="AF1121" s="1356"/>
      <c r="AG1121" s="1356"/>
      <c r="AI1121" s="1466">
        <v>4.72</v>
      </c>
      <c r="AJ1121" s="1466">
        <v>4.72</v>
      </c>
      <c r="AK1121" s="1356"/>
      <c r="AL1121" s="1356"/>
      <c r="AM1121" s="1356"/>
      <c r="AN1121" s="1356"/>
      <c r="AO1121" s="1356"/>
      <c r="AP1121" s="1356"/>
      <c r="AQ1121" s="1356"/>
      <c r="AR1121" s="1356"/>
      <c r="AS1121" s="1356"/>
    </row>
    <row r="1122" spans="2:45" outlineLevel="1" x14ac:dyDescent="0.25">
      <c r="B1122" s="1580"/>
      <c r="C1122" s="443"/>
      <c r="D1122" s="2699"/>
      <c r="E1122" s="1681" t="str">
        <f t="shared" si="214"/>
        <v>LED - 12W Dimmable Light Bulb (Replacing Specialty Incandescent) LI DI</v>
      </c>
      <c r="F1122" s="1414">
        <v>6</v>
      </c>
      <c r="G1122" s="1414">
        <v>3.53</v>
      </c>
      <c r="H1122" s="3102"/>
      <c r="I1122" s="2731"/>
      <c r="V1122" s="3073"/>
      <c r="W1122" s="1466">
        <v>6</v>
      </c>
      <c r="X1122" s="1466">
        <v>6</v>
      </c>
      <c r="Y1122" s="1356">
        <v>6</v>
      </c>
      <c r="Z1122" s="1356"/>
      <c r="AA1122" s="1356"/>
      <c r="AB1122" s="1356"/>
      <c r="AC1122" s="1356"/>
      <c r="AD1122" s="1356"/>
      <c r="AE1122" s="1356"/>
      <c r="AF1122" s="1356"/>
      <c r="AG1122" s="1356"/>
      <c r="AI1122" s="1466">
        <v>3.53</v>
      </c>
      <c r="AJ1122" s="1466">
        <v>3.53</v>
      </c>
      <c r="AK1122" s="1356"/>
      <c r="AL1122" s="1356"/>
      <c r="AM1122" s="1356"/>
      <c r="AN1122" s="1356"/>
      <c r="AO1122" s="1356"/>
      <c r="AP1122" s="1356"/>
      <c r="AQ1122" s="1356"/>
      <c r="AR1122" s="1356"/>
      <c r="AS1122" s="1356"/>
    </row>
    <row r="1123" spans="2:45" outlineLevel="1" x14ac:dyDescent="0.25">
      <c r="B1123" s="1580"/>
      <c r="C1123" s="443"/>
      <c r="D1123" s="2699"/>
      <c r="E1123" s="1681" t="str">
        <f t="shared" si="214"/>
        <v>LED - 15W (Halogen baseline) LIDI</v>
      </c>
      <c r="F1123" s="1414">
        <v>8</v>
      </c>
      <c r="G1123" s="1414">
        <v>6.27</v>
      </c>
      <c r="H1123" s="3102"/>
      <c r="I1123" s="2731"/>
      <c r="V1123" s="3073"/>
      <c r="W1123" s="1466">
        <v>8</v>
      </c>
      <c r="X1123" s="1466">
        <v>8</v>
      </c>
      <c r="Y1123" s="1356">
        <v>8</v>
      </c>
      <c r="Z1123" s="1356"/>
      <c r="AA1123" s="1356"/>
      <c r="AB1123" s="1356"/>
      <c r="AC1123" s="1356"/>
      <c r="AD1123" s="1356"/>
      <c r="AE1123" s="1356"/>
      <c r="AF1123" s="1356"/>
      <c r="AG1123" s="1356"/>
      <c r="AI1123" s="1466">
        <v>6.27</v>
      </c>
      <c r="AJ1123" s="1466">
        <v>6.27</v>
      </c>
      <c r="AK1123" s="1356"/>
      <c r="AL1123" s="1356"/>
      <c r="AM1123" s="1356"/>
      <c r="AN1123" s="1356"/>
      <c r="AO1123" s="1356"/>
      <c r="AP1123" s="1356"/>
      <c r="AQ1123" s="1356"/>
      <c r="AR1123" s="1356"/>
      <c r="AS1123" s="1356"/>
    </row>
    <row r="1124" spans="2:45" outlineLevel="1" x14ac:dyDescent="0.25">
      <c r="B1124" s="1580"/>
      <c r="C1124" s="443"/>
      <c r="D1124" s="2699"/>
      <c r="E1124" s="1681" t="str">
        <f t="shared" si="214"/>
        <v>LED - 15W Flood Light PAR30 Bulb (Halogen baseline) LI DI</v>
      </c>
      <c r="F1124" s="1414">
        <v>10</v>
      </c>
      <c r="G1124" s="1414">
        <v>4.92</v>
      </c>
      <c r="H1124" s="3102"/>
      <c r="I1124" s="2731"/>
      <c r="V1124" s="3073"/>
      <c r="W1124" s="1466">
        <v>10</v>
      </c>
      <c r="X1124" s="1466">
        <v>10</v>
      </c>
      <c r="Y1124" s="1356">
        <v>10</v>
      </c>
      <c r="Z1124" s="1356"/>
      <c r="AA1124" s="1356"/>
      <c r="AB1124" s="1356"/>
      <c r="AC1124" s="1356"/>
      <c r="AD1124" s="1356"/>
      <c r="AE1124" s="1356"/>
      <c r="AF1124" s="1356"/>
      <c r="AG1124" s="1356"/>
      <c r="AI1124" s="1466">
        <v>4.92</v>
      </c>
      <c r="AJ1124" s="1466">
        <v>4.92</v>
      </c>
      <c r="AK1124" s="1356"/>
      <c r="AL1124" s="1356"/>
      <c r="AM1124" s="1356"/>
      <c r="AN1124" s="1356"/>
      <c r="AO1124" s="1356"/>
      <c r="AP1124" s="1356"/>
      <c r="AQ1124" s="1356"/>
      <c r="AR1124" s="1356"/>
      <c r="AS1124" s="1356"/>
    </row>
    <row r="1125" spans="2:45" outlineLevel="1" x14ac:dyDescent="0.25">
      <c r="B1125" s="1580"/>
      <c r="C1125" s="443"/>
      <c r="D1125" s="2699"/>
      <c r="E1125" s="1681" t="str">
        <f t="shared" si="214"/>
        <v>LED - 18W Flood Light PAR38 Bulb (Halogen baseline) LI DI</v>
      </c>
      <c r="F1125" s="1414">
        <v>15</v>
      </c>
      <c r="G1125" s="1414">
        <v>4.92</v>
      </c>
      <c r="H1125" s="3102"/>
      <c r="I1125" s="2731"/>
      <c r="V1125" s="3073"/>
      <c r="W1125" s="1466">
        <v>15</v>
      </c>
      <c r="X1125" s="1466">
        <v>15</v>
      </c>
      <c r="Y1125" s="1356">
        <v>15</v>
      </c>
      <c r="Z1125" s="1356"/>
      <c r="AA1125" s="1356"/>
      <c r="AB1125" s="1356"/>
      <c r="AC1125" s="1356"/>
      <c r="AD1125" s="1356"/>
      <c r="AE1125" s="1356"/>
      <c r="AF1125" s="1356"/>
      <c r="AG1125" s="1356"/>
      <c r="AI1125" s="1466">
        <v>4.92</v>
      </c>
      <c r="AJ1125" s="1466">
        <v>4.92</v>
      </c>
      <c r="AK1125" s="1356"/>
      <c r="AL1125" s="1356"/>
      <c r="AM1125" s="1356"/>
      <c r="AN1125" s="1356"/>
      <c r="AO1125" s="1356"/>
      <c r="AP1125" s="1356"/>
      <c r="AQ1125" s="1356"/>
      <c r="AR1125" s="1356"/>
      <c r="AS1125" s="1356"/>
    </row>
    <row r="1126" spans="2:45" outlineLevel="1" x14ac:dyDescent="0.25">
      <c r="B1126" s="1580"/>
      <c r="C1126" s="443"/>
      <c r="D1126" s="2699"/>
      <c r="E1126" s="1681" t="str">
        <f t="shared" si="214"/>
        <v>LED - 20W (Halogen baseline) LIDI</v>
      </c>
      <c r="F1126" s="1414">
        <v>8</v>
      </c>
      <c r="G1126" s="1414">
        <v>7.83</v>
      </c>
      <c r="H1126" s="3102"/>
      <c r="I1126" s="2731"/>
      <c r="V1126" s="3073"/>
      <c r="W1126" s="1466">
        <v>8</v>
      </c>
      <c r="X1126" s="1466">
        <v>8</v>
      </c>
      <c r="Y1126" s="1356">
        <v>8</v>
      </c>
      <c r="Z1126" s="1356"/>
      <c r="AA1126" s="1356"/>
      <c r="AB1126" s="1356"/>
      <c r="AC1126" s="1356"/>
      <c r="AD1126" s="1356"/>
      <c r="AE1126" s="1356"/>
      <c r="AF1126" s="1356"/>
      <c r="AG1126" s="1356"/>
      <c r="AI1126" s="1466">
        <v>7.83</v>
      </c>
      <c r="AJ1126" s="1466">
        <v>7.83</v>
      </c>
      <c r="AK1126" s="1356"/>
      <c r="AL1126" s="1356"/>
      <c r="AM1126" s="1356"/>
      <c r="AN1126" s="1356"/>
      <c r="AO1126" s="1356"/>
      <c r="AP1126" s="1356"/>
      <c r="AQ1126" s="1356"/>
      <c r="AR1126" s="1356"/>
      <c r="AS1126" s="1356"/>
    </row>
    <row r="1127" spans="2:45" outlineLevel="1" x14ac:dyDescent="0.25">
      <c r="B1127" s="1580"/>
      <c r="C1127" s="443"/>
      <c r="D1127" s="2699"/>
      <c r="E1127" s="1681" t="str">
        <f t="shared" si="214"/>
        <v>LED - 4W Candelabra (Replacing Specialty Incandescent) LI DI</v>
      </c>
      <c r="F1127" s="1414">
        <v>7</v>
      </c>
      <c r="G1127" s="1414">
        <v>3.27</v>
      </c>
      <c r="H1127" s="3102"/>
      <c r="I1127" s="2731"/>
      <c r="V1127" s="3073"/>
      <c r="W1127" s="1466">
        <v>7</v>
      </c>
      <c r="X1127" s="1466">
        <v>7</v>
      </c>
      <c r="Y1127" s="1356">
        <v>7</v>
      </c>
      <c r="Z1127" s="1356"/>
      <c r="AA1127" s="1356"/>
      <c r="AB1127" s="1356"/>
      <c r="AC1127" s="1356"/>
      <c r="AD1127" s="1356"/>
      <c r="AE1127" s="1356"/>
      <c r="AF1127" s="1356"/>
      <c r="AG1127" s="1356"/>
      <c r="AI1127" s="1466">
        <v>3.27</v>
      </c>
      <c r="AJ1127" s="1466">
        <v>3.27</v>
      </c>
      <c r="AK1127" s="1356"/>
      <c r="AL1127" s="1356"/>
      <c r="AM1127" s="1356"/>
      <c r="AN1127" s="1356"/>
      <c r="AO1127" s="1356"/>
      <c r="AP1127" s="1356"/>
      <c r="AQ1127" s="1356"/>
      <c r="AR1127" s="1356"/>
      <c r="AS1127" s="1356"/>
    </row>
    <row r="1128" spans="2:45" outlineLevel="1" x14ac:dyDescent="0.25">
      <c r="B1128" s="1580"/>
      <c r="C1128" s="443"/>
      <c r="D1128" s="2699"/>
      <c r="E1128" s="1681" t="str">
        <f t="shared" si="214"/>
        <v>LED - 4W Candelabra (CFL baseline) LIDI</v>
      </c>
      <c r="F1128" s="1414">
        <v>7</v>
      </c>
      <c r="G1128" s="1414">
        <f>G1127</f>
        <v>3.27</v>
      </c>
      <c r="H1128" s="3102"/>
      <c r="I1128" s="2731"/>
      <c r="V1128" s="3073"/>
      <c r="W1128" s="1466">
        <v>7</v>
      </c>
      <c r="X1128" s="1466">
        <v>7</v>
      </c>
      <c r="Y1128" s="1356">
        <v>7</v>
      </c>
      <c r="Z1128" s="1356"/>
      <c r="AA1128" s="1356"/>
      <c r="AB1128" s="1356"/>
      <c r="AC1128" s="1356"/>
      <c r="AD1128" s="1356"/>
      <c r="AE1128" s="1356"/>
      <c r="AF1128" s="1356"/>
      <c r="AG1128" s="1356"/>
      <c r="AI1128" s="1466">
        <f>AI1127</f>
        <v>3.27</v>
      </c>
      <c r="AJ1128" s="1466">
        <v>3.27</v>
      </c>
      <c r="AK1128" s="1356"/>
      <c r="AL1128" s="1356"/>
      <c r="AM1128" s="1356"/>
      <c r="AN1128" s="1356"/>
      <c r="AO1128" s="1356"/>
      <c r="AP1128" s="1356"/>
      <c r="AQ1128" s="1356"/>
      <c r="AR1128" s="1356"/>
      <c r="AS1128" s="1356"/>
    </row>
    <row r="1129" spans="2:45" outlineLevel="1" x14ac:dyDescent="0.25">
      <c r="B1129" s="1580"/>
      <c r="C1129" s="443"/>
      <c r="D1129" s="2699"/>
      <c r="E1129" s="1681" t="str">
        <f t="shared" si="214"/>
        <v>LED - 8W Globe Light G25 Bulb (Replacing Specialty Incandescent) LI DI</v>
      </c>
      <c r="F1129" s="1414">
        <v>7</v>
      </c>
      <c r="G1129" s="1414">
        <v>3.27</v>
      </c>
      <c r="H1129" s="3102"/>
      <c r="I1129" s="2731"/>
      <c r="V1129" s="3073"/>
      <c r="W1129" s="1466">
        <v>7</v>
      </c>
      <c r="X1129" s="1466">
        <v>7</v>
      </c>
      <c r="Y1129" s="1356">
        <v>7</v>
      </c>
      <c r="Z1129" s="1356"/>
      <c r="AA1129" s="1356"/>
      <c r="AB1129" s="1356"/>
      <c r="AC1129" s="1356"/>
      <c r="AD1129" s="1356"/>
      <c r="AE1129" s="1356"/>
      <c r="AF1129" s="1356"/>
      <c r="AG1129" s="1356"/>
      <c r="AI1129" s="1466">
        <v>3.27</v>
      </c>
      <c r="AJ1129" s="1466">
        <v>3.27</v>
      </c>
      <c r="AK1129" s="1356"/>
      <c r="AL1129" s="1356"/>
      <c r="AM1129" s="1356"/>
      <c r="AN1129" s="1356"/>
      <c r="AO1129" s="1356"/>
      <c r="AP1129" s="1356"/>
      <c r="AQ1129" s="1356"/>
      <c r="AR1129" s="1356"/>
      <c r="AS1129" s="1356"/>
    </row>
    <row r="1130" spans="2:45" outlineLevel="1" x14ac:dyDescent="0.25">
      <c r="B1130" s="1580"/>
      <c r="C1130" s="443"/>
      <c r="D1130" s="2699"/>
      <c r="E1130" s="1681" t="str">
        <f t="shared" si="214"/>
        <v>LED - 8W Globe Light G25 Bulb (Replacing CFL) LIDI</v>
      </c>
      <c r="F1130" s="1414">
        <v>7</v>
      </c>
      <c r="G1130" s="1414">
        <f>G1129</f>
        <v>3.27</v>
      </c>
      <c r="H1130" s="3102"/>
      <c r="I1130" s="2731"/>
      <c r="V1130" s="3073"/>
      <c r="W1130" s="1466">
        <v>7</v>
      </c>
      <c r="X1130" s="1466">
        <v>7</v>
      </c>
      <c r="Y1130" s="1356">
        <v>7</v>
      </c>
      <c r="Z1130" s="1356"/>
      <c r="AA1130" s="1356"/>
      <c r="AB1130" s="1356"/>
      <c r="AC1130" s="1356"/>
      <c r="AD1130" s="1356"/>
      <c r="AE1130" s="1356"/>
      <c r="AF1130" s="1356"/>
      <c r="AG1130" s="1356"/>
      <c r="AI1130" s="1466">
        <f>AI1129</f>
        <v>3.27</v>
      </c>
      <c r="AJ1130" s="1466">
        <v>3.27</v>
      </c>
      <c r="AK1130" s="1356"/>
      <c r="AL1130" s="1356"/>
      <c r="AM1130" s="1356"/>
      <c r="AN1130" s="1356"/>
      <c r="AO1130" s="1356"/>
      <c r="AP1130" s="1356"/>
      <c r="AQ1130" s="1356"/>
      <c r="AR1130" s="1356"/>
      <c r="AS1130" s="1356"/>
    </row>
    <row r="1131" spans="2:45" outlineLevel="1" x14ac:dyDescent="0.25">
      <c r="B1131" s="1580"/>
      <c r="C1131" s="443"/>
      <c r="D1131" s="2699"/>
      <c r="E1131" s="1681" t="str">
        <f t="shared" si="214"/>
        <v>LED - 10W (CFL baseline) LIDI</v>
      </c>
      <c r="F1131" s="2257">
        <f>F1119</f>
        <v>6</v>
      </c>
      <c r="G1131" s="2257">
        <v>3.68</v>
      </c>
      <c r="H1131" s="3102"/>
      <c r="I1131" s="2731"/>
      <c r="V1131" s="3073"/>
      <c r="W1131" s="1467">
        <f>W1119</f>
        <v>6</v>
      </c>
      <c r="X1131" s="1467">
        <v>6</v>
      </c>
      <c r="Y1131" s="1356">
        <v>6</v>
      </c>
      <c r="Z1131" s="1356"/>
      <c r="AA1131" s="1356"/>
      <c r="AB1131" s="1356"/>
      <c r="AC1131" s="1356"/>
      <c r="AD1131" s="1356"/>
      <c r="AE1131" s="1356"/>
      <c r="AF1131" s="1356"/>
      <c r="AG1131" s="1356"/>
      <c r="AI1131" s="1467">
        <v>3.68</v>
      </c>
      <c r="AJ1131" s="1467">
        <v>3.68</v>
      </c>
      <c r="AK1131" s="1356"/>
      <c r="AL1131" s="1356"/>
      <c r="AM1131" s="1356"/>
      <c r="AN1131" s="1356"/>
      <c r="AO1131" s="1356"/>
      <c r="AP1131" s="1356"/>
      <c r="AQ1131" s="1356"/>
      <c r="AR1131" s="1356"/>
      <c r="AS1131" s="1356"/>
    </row>
    <row r="1132" spans="2:45" outlineLevel="1" x14ac:dyDescent="0.25">
      <c r="B1132" s="1580"/>
      <c r="C1132" s="443"/>
      <c r="D1132" s="2699"/>
      <c r="E1132" s="1681" t="str">
        <f t="shared" si="214"/>
        <v>LED - 10.5W Downlight E26 (CFL baseline) LIDI</v>
      </c>
      <c r="F1132" s="2257">
        <f>F1119</f>
        <v>6</v>
      </c>
      <c r="G1132" s="2257">
        <v>3.3</v>
      </c>
      <c r="H1132" s="3102"/>
      <c r="I1132" s="2731"/>
      <c r="V1132" s="3073"/>
      <c r="W1132" s="1467">
        <f>W1119</f>
        <v>6</v>
      </c>
      <c r="X1132" s="1467">
        <v>6</v>
      </c>
      <c r="Y1132" s="1356">
        <v>6</v>
      </c>
      <c r="Z1132" s="1356"/>
      <c r="AA1132" s="1356"/>
      <c r="AB1132" s="1356"/>
      <c r="AC1132" s="1356"/>
      <c r="AD1132" s="1356"/>
      <c r="AE1132" s="1356"/>
      <c r="AF1132" s="1356"/>
      <c r="AG1132" s="1356"/>
      <c r="AI1132" s="1467">
        <v>3.3</v>
      </c>
      <c r="AJ1132" s="1467">
        <v>3.3</v>
      </c>
      <c r="AK1132" s="1356"/>
      <c r="AL1132" s="1356"/>
      <c r="AM1132" s="1356"/>
      <c r="AN1132" s="1356"/>
      <c r="AO1132" s="1356"/>
      <c r="AP1132" s="1356"/>
      <c r="AQ1132" s="1356"/>
      <c r="AR1132" s="1356"/>
      <c r="AS1132" s="1356"/>
    </row>
    <row r="1133" spans="2:45" outlineLevel="1" x14ac:dyDescent="0.25">
      <c r="B1133" s="1580"/>
      <c r="C1133" s="443"/>
      <c r="D1133" s="2699"/>
      <c r="E1133" s="1681" t="str">
        <f t="shared" si="214"/>
        <v>LED - 12W Dimmable Light Bulb (Replacing CFL) LIDI</v>
      </c>
      <c r="F1133" s="2257">
        <f>F1121</f>
        <v>6</v>
      </c>
      <c r="G1133" s="2257">
        <v>3.53</v>
      </c>
      <c r="H1133" s="3102"/>
      <c r="I1133" s="2731"/>
      <c r="V1133" s="3073"/>
      <c r="W1133" s="1467">
        <f>W1121</f>
        <v>6</v>
      </c>
      <c r="X1133" s="1467">
        <v>6</v>
      </c>
      <c r="Y1133" s="1356">
        <v>6</v>
      </c>
      <c r="Z1133" s="1356"/>
      <c r="AA1133" s="1356"/>
      <c r="AB1133" s="1356"/>
      <c r="AC1133" s="1356"/>
      <c r="AD1133" s="1356"/>
      <c r="AE1133" s="1356"/>
      <c r="AF1133" s="1356"/>
      <c r="AG1133" s="1356"/>
      <c r="AI1133" s="1467">
        <v>3.53</v>
      </c>
      <c r="AJ1133" s="1467">
        <v>3.53</v>
      </c>
      <c r="AK1133" s="1356"/>
      <c r="AL1133" s="1356"/>
      <c r="AM1133" s="1356"/>
      <c r="AN1133" s="1356"/>
      <c r="AO1133" s="1356"/>
      <c r="AP1133" s="1356"/>
      <c r="AQ1133" s="1356"/>
      <c r="AR1133" s="1356"/>
      <c r="AS1133" s="1356"/>
    </row>
    <row r="1134" spans="2:45" outlineLevel="1" x14ac:dyDescent="0.25">
      <c r="B1134" s="1580"/>
      <c r="C1134" s="443"/>
      <c r="D1134" s="2699"/>
      <c r="E1134" s="1681" t="str">
        <f t="shared" si="214"/>
        <v>LED - 12W (Replacing CFL) LIDI</v>
      </c>
      <c r="F1134" s="2257">
        <f>F1121</f>
        <v>6</v>
      </c>
      <c r="G1134" s="2257">
        <f>G1121</f>
        <v>4.72</v>
      </c>
      <c r="H1134" s="3102"/>
      <c r="I1134" s="2731"/>
      <c r="V1134" s="3073"/>
      <c r="W1134" s="1467">
        <f>W1121</f>
        <v>6</v>
      </c>
      <c r="X1134" s="1467">
        <v>6</v>
      </c>
      <c r="Y1134" s="1356">
        <v>6</v>
      </c>
      <c r="Z1134" s="1356"/>
      <c r="AA1134" s="1356"/>
      <c r="AB1134" s="1356"/>
      <c r="AC1134" s="1356"/>
      <c r="AD1134" s="1356"/>
      <c r="AE1134" s="1356"/>
      <c r="AF1134" s="1356"/>
      <c r="AG1134" s="1356"/>
      <c r="AI1134" s="1467">
        <f>AI1121</f>
        <v>4.72</v>
      </c>
      <c r="AJ1134" s="1467">
        <v>4.72</v>
      </c>
      <c r="AK1134" s="1356"/>
      <c r="AL1134" s="1356"/>
      <c r="AM1134" s="1356"/>
      <c r="AN1134" s="1356"/>
      <c r="AO1134" s="1356"/>
      <c r="AP1134" s="1356"/>
      <c r="AQ1134" s="1356"/>
      <c r="AR1134" s="1356"/>
      <c r="AS1134" s="1356"/>
    </row>
    <row r="1135" spans="2:45" outlineLevel="1" x14ac:dyDescent="0.25">
      <c r="B1135" s="1580"/>
      <c r="C1135" s="443"/>
      <c r="D1135" s="2699"/>
      <c r="E1135" s="1681" t="str">
        <f t="shared" si="214"/>
        <v>LED - 15W (CFL baseline) LIDI</v>
      </c>
      <c r="F1135" s="2257">
        <f>F1123</f>
        <v>8</v>
      </c>
      <c r="G1135" s="2257">
        <f>G1123</f>
        <v>6.27</v>
      </c>
      <c r="H1135" s="3102"/>
      <c r="I1135" s="2731"/>
      <c r="V1135" s="3073"/>
      <c r="W1135" s="1467">
        <f>W1123</f>
        <v>8</v>
      </c>
      <c r="X1135" s="1467">
        <v>8</v>
      </c>
      <c r="Y1135" s="1356">
        <v>8</v>
      </c>
      <c r="Z1135" s="1356"/>
      <c r="AA1135" s="1356"/>
      <c r="AB1135" s="1356"/>
      <c r="AC1135" s="1356"/>
      <c r="AD1135" s="1356"/>
      <c r="AE1135" s="1356"/>
      <c r="AF1135" s="1356"/>
      <c r="AG1135" s="1356"/>
      <c r="AI1135" s="1467">
        <f>AI1123</f>
        <v>6.27</v>
      </c>
      <c r="AJ1135" s="1467">
        <v>6.27</v>
      </c>
      <c r="AK1135" s="1356"/>
      <c r="AL1135" s="1356"/>
      <c r="AM1135" s="1356"/>
      <c r="AN1135" s="1356"/>
      <c r="AO1135" s="1356"/>
      <c r="AP1135" s="1356"/>
      <c r="AQ1135" s="1356"/>
      <c r="AR1135" s="1356"/>
      <c r="AS1135" s="1356"/>
    </row>
    <row r="1136" spans="2:45" outlineLevel="1" x14ac:dyDescent="0.25">
      <c r="B1136" s="1580"/>
      <c r="C1136" s="443"/>
      <c r="D1136" s="2699"/>
      <c r="E1136" s="1681" t="str">
        <f t="shared" si="214"/>
        <v>LED - 15W Flood Light PAR30 Bulb (CFL baseline) LIDI</v>
      </c>
      <c r="F1136" s="2257">
        <f>F1124</f>
        <v>10</v>
      </c>
      <c r="G1136" s="2257">
        <v>4.92</v>
      </c>
      <c r="H1136" s="3102"/>
      <c r="I1136" s="2731"/>
      <c r="V1136" s="3073"/>
      <c r="W1136" s="1467">
        <f>W1124</f>
        <v>10</v>
      </c>
      <c r="X1136" s="1467">
        <v>10</v>
      </c>
      <c r="Y1136" s="1356">
        <v>10</v>
      </c>
      <c r="Z1136" s="1356"/>
      <c r="AA1136" s="1356"/>
      <c r="AB1136" s="1356"/>
      <c r="AC1136" s="1356"/>
      <c r="AD1136" s="1356"/>
      <c r="AE1136" s="1356"/>
      <c r="AF1136" s="1356"/>
      <c r="AG1136" s="1356"/>
      <c r="AI1136" s="1467">
        <v>4.92</v>
      </c>
      <c r="AJ1136" s="1467">
        <v>4.92</v>
      </c>
      <c r="AK1136" s="1356"/>
      <c r="AL1136" s="1356"/>
      <c r="AM1136" s="1356"/>
      <c r="AN1136" s="1356"/>
      <c r="AO1136" s="1356"/>
      <c r="AP1136" s="1356"/>
      <c r="AQ1136" s="1356"/>
      <c r="AR1136" s="1356"/>
      <c r="AS1136" s="1356"/>
    </row>
    <row r="1137" spans="1:57" outlineLevel="1" x14ac:dyDescent="0.25">
      <c r="B1137" s="1580"/>
      <c r="C1137" s="443"/>
      <c r="D1137" s="2699"/>
      <c r="E1137" s="1681" t="str">
        <f t="shared" si="214"/>
        <v>LED - 18W Flood Light PAR30 Bulb (CFL baseline) LIDI</v>
      </c>
      <c r="F1137" s="2257">
        <f>F1125</f>
        <v>15</v>
      </c>
      <c r="G1137" s="2257">
        <v>4.92</v>
      </c>
      <c r="H1137" s="3102"/>
      <c r="I1137" s="2731"/>
      <c r="V1137" s="3073"/>
      <c r="W1137" s="1467">
        <f>W1125</f>
        <v>15</v>
      </c>
      <c r="X1137" s="1467">
        <v>15</v>
      </c>
      <c r="Y1137" s="1356">
        <v>15</v>
      </c>
      <c r="Z1137" s="1356"/>
      <c r="AA1137" s="1356"/>
      <c r="AB1137" s="1356"/>
      <c r="AC1137" s="1356"/>
      <c r="AD1137" s="1356"/>
      <c r="AE1137" s="1356"/>
      <c r="AF1137" s="1356"/>
      <c r="AG1137" s="1356"/>
      <c r="AI1137" s="1467">
        <v>4.92</v>
      </c>
      <c r="AJ1137" s="1467">
        <v>4.92</v>
      </c>
      <c r="AK1137" s="1356"/>
      <c r="AL1137" s="1356"/>
      <c r="AM1137" s="1356"/>
      <c r="AN1137" s="1356"/>
      <c r="AO1137" s="1356"/>
      <c r="AP1137" s="1356"/>
      <c r="AQ1137" s="1356"/>
      <c r="AR1137" s="1356"/>
      <c r="AS1137" s="1356"/>
    </row>
    <row r="1138" spans="1:57" outlineLevel="1" x14ac:dyDescent="0.25">
      <c r="B1138" s="1339"/>
      <c r="C1138" s="443"/>
      <c r="D1138" s="2699"/>
      <c r="E1138" s="1681" t="str">
        <f t="shared" si="214"/>
        <v>LED - 20W (CFL baseline) LIDI</v>
      </c>
      <c r="F1138" s="2257">
        <f>F1126</f>
        <v>8</v>
      </c>
      <c r="G1138" s="2257">
        <f>G1126</f>
        <v>7.83</v>
      </c>
      <c r="H1138" s="2258"/>
      <c r="I1138" s="2259"/>
      <c r="V1138" s="3073"/>
      <c r="W1138" s="1467">
        <f>W1126</f>
        <v>8</v>
      </c>
      <c r="X1138" s="1467">
        <v>8</v>
      </c>
      <c r="Y1138" s="1356">
        <v>8</v>
      </c>
      <c r="Z1138" s="1356"/>
      <c r="AA1138" s="1356"/>
      <c r="AB1138" s="1356"/>
      <c r="AC1138" s="1356"/>
      <c r="AD1138" s="1356"/>
      <c r="AE1138" s="1356"/>
      <c r="AF1138" s="1356"/>
      <c r="AG1138" s="1356"/>
      <c r="AI1138" s="1467">
        <f>AI1126</f>
        <v>7.83</v>
      </c>
      <c r="AJ1138" s="1467">
        <v>7.83</v>
      </c>
      <c r="AK1138" s="1356"/>
      <c r="AL1138" s="1356"/>
      <c r="AM1138" s="1356"/>
      <c r="AN1138" s="1356"/>
      <c r="AO1138" s="1356"/>
      <c r="AP1138" s="1356"/>
      <c r="AQ1138" s="1356"/>
      <c r="AR1138" s="1356"/>
      <c r="AS1138" s="1356"/>
    </row>
    <row r="1139" spans="1:57" x14ac:dyDescent="0.25">
      <c r="A1139" s="177"/>
      <c r="B1139" s="177"/>
      <c r="C1139" s="455"/>
      <c r="D1139" s="2260"/>
      <c r="E1139" s="2260"/>
      <c r="F1139" s="2261"/>
      <c r="G1139" s="2262"/>
      <c r="H1139" s="177"/>
      <c r="I1139" s="177"/>
      <c r="J1139" s="177"/>
      <c r="K1139" s="177"/>
      <c r="L1139" s="177"/>
      <c r="M1139" s="177"/>
      <c r="N1139" s="177"/>
      <c r="V1139" s="1160"/>
      <c r="W1139" s="1160"/>
      <c r="X1139" s="1160"/>
      <c r="AK1139" s="1166"/>
    </row>
    <row r="1140" spans="1:57" x14ac:dyDescent="0.25">
      <c r="A1140" s="177"/>
      <c r="B1140" s="177"/>
      <c r="C1140" s="455"/>
      <c r="D1140" s="456"/>
      <c r="E1140" s="456"/>
      <c r="F1140" s="177"/>
      <c r="G1140" s="177"/>
      <c r="H1140" s="177"/>
      <c r="I1140" s="177"/>
      <c r="J1140" s="177"/>
      <c r="K1140" s="177"/>
      <c r="L1140" s="177"/>
      <c r="M1140" s="177"/>
      <c r="N1140" s="177"/>
      <c r="V1140" s="1160"/>
      <c r="W1140" s="1160"/>
      <c r="X1140" s="1160"/>
      <c r="AK1140" s="1166"/>
    </row>
    <row r="1141" spans="1:57" x14ac:dyDescent="0.25">
      <c r="A1141" s="177"/>
      <c r="B1141" s="2639" t="s">
        <v>1118</v>
      </c>
      <c r="C1141" s="2640"/>
      <c r="D1141" s="2640"/>
      <c r="E1141" s="2640"/>
      <c r="F1141" s="2640"/>
      <c r="G1141" s="2640"/>
      <c r="H1141" s="2640"/>
      <c r="I1141" s="2640"/>
      <c r="J1141" s="2640"/>
      <c r="K1141" s="2640"/>
      <c r="L1141" s="2640"/>
      <c r="M1141" s="2640"/>
      <c r="N1141" s="2640"/>
      <c r="O1141" s="2640"/>
      <c r="P1141" s="2640"/>
      <c r="Q1141" s="2640"/>
      <c r="R1141" s="2734"/>
      <c r="V1141" s="2639" t="str">
        <f>B1141</f>
        <v>Advanced Power Strips Tier 1  / Load Sensing</v>
      </c>
      <c r="W1141" s="2640"/>
      <c r="X1141" s="2640"/>
      <c r="Y1141" s="2640"/>
      <c r="Z1141" s="2640"/>
      <c r="AA1141" s="2640"/>
      <c r="AB1141" s="2640"/>
      <c r="AC1141" s="2615"/>
      <c r="AD1141" s="2615"/>
      <c r="AE1141" s="2615"/>
      <c r="AF1141" s="2615"/>
      <c r="AG1141" s="2615"/>
      <c r="AH1141" s="2615"/>
      <c r="AI1141" s="2616"/>
      <c r="AK1141" s="1166"/>
    </row>
    <row r="1142" spans="1:57" x14ac:dyDescent="0.25">
      <c r="A1142" s="177"/>
      <c r="B1142" s="177"/>
      <c r="C1142" s="455"/>
      <c r="D1142" s="456"/>
      <c r="E1142" s="456"/>
      <c r="F1142" s="177"/>
      <c r="G1142" s="177"/>
      <c r="H1142" s="177"/>
      <c r="I1142" s="177"/>
      <c r="J1142" s="177"/>
      <c r="K1142" s="177"/>
      <c r="L1142" s="177"/>
      <c r="M1142" s="177"/>
      <c r="N1142" s="177"/>
      <c r="AK1142" s="1166"/>
    </row>
    <row r="1143" spans="1:57" ht="30" x14ac:dyDescent="0.25">
      <c r="A1143" s="177"/>
      <c r="B1143" s="177"/>
      <c r="C1143" s="1641" t="s">
        <v>17</v>
      </c>
      <c r="D1143" s="1641" t="s">
        <v>662</v>
      </c>
      <c r="E1143" s="1641" t="s">
        <v>19</v>
      </c>
      <c r="F1143" s="1641" t="s">
        <v>20</v>
      </c>
      <c r="G1143" s="1641" t="s">
        <v>21</v>
      </c>
      <c r="H1143" s="1641" t="s">
        <v>22</v>
      </c>
      <c r="I1143" s="1641" t="s">
        <v>23</v>
      </c>
      <c r="J1143" s="1641" t="s">
        <v>24</v>
      </c>
      <c r="K1143" s="1641" t="s">
        <v>25</v>
      </c>
      <c r="L1143" s="1641" t="s">
        <v>26</v>
      </c>
      <c r="M1143" s="177"/>
      <c r="N1143" s="177"/>
      <c r="V1143" s="55" t="s">
        <v>27</v>
      </c>
      <c r="W1143" s="56">
        <v>43252</v>
      </c>
      <c r="X1143" s="56">
        <f>$X$6</f>
        <v>43465</v>
      </c>
      <c r="Y1143" s="500">
        <f>$Y$6</f>
        <v>43800</v>
      </c>
      <c r="Z1143" s="56">
        <f>$Z$6</f>
        <v>43862</v>
      </c>
      <c r="AA1143" s="56" t="str">
        <f>$AA$6</f>
        <v>-</v>
      </c>
      <c r="AB1143" s="56" t="str">
        <f>$AB$6</f>
        <v>-</v>
      </c>
      <c r="AC1143" s="56" t="str">
        <f>$AC$6</f>
        <v>-</v>
      </c>
      <c r="AD1143" s="56" t="str">
        <f>$AD$6</f>
        <v>-</v>
      </c>
      <c r="AE1143" s="56" t="str">
        <f>$AE$6</f>
        <v>-</v>
      </c>
      <c r="AF1143" s="56" t="str">
        <f>$AF$6</f>
        <v>-</v>
      </c>
      <c r="AG1143" s="56" t="str">
        <f>$AG$6</f>
        <v>-</v>
      </c>
      <c r="AK1143" s="1166"/>
      <c r="BB1143" s="57" t="str">
        <f>$BB$6</f>
        <v>TRC (2020)</v>
      </c>
      <c r="BC1143" s="103" t="str">
        <f>$BC$6</f>
        <v>Benefit Lookup</v>
      </c>
      <c r="BD1143" s="883" t="str">
        <f>$BD$6</f>
        <v>Benefits (2019 $)</v>
      </c>
      <c r="BE1143" s="334" t="str">
        <f>$BE$6</f>
        <v>Incremental Cost (2019 $)</v>
      </c>
    </row>
    <row r="1144" spans="1:57" x14ac:dyDescent="0.25">
      <c r="A1144" s="177"/>
      <c r="B1144" s="177"/>
      <c r="C1144" s="1543" t="s">
        <v>2141</v>
      </c>
      <c r="D1144" s="150" t="s">
        <v>2076</v>
      </c>
      <c r="E1144" s="458" t="s">
        <v>2142</v>
      </c>
      <c r="F1144" s="1475">
        <f>ROUND((F1158*F1160+G1158*G1160)*H1161,2)</f>
        <v>31</v>
      </c>
      <c r="G1144" s="1469" t="s">
        <v>840</v>
      </c>
      <c r="H1144" s="239">
        <f>VLOOKUP(G1144,'CP FACTORS'!$A$3:$B$38, 2, FALSE)</f>
        <v>1.148238E-4</v>
      </c>
      <c r="I1144" s="2015">
        <f t="shared" ref="I1144:I1150" si="215">ROUND(F1144*H1144,6)</f>
        <v>3.5599999999999998E-3</v>
      </c>
      <c r="J1144" s="219">
        <v>10</v>
      </c>
      <c r="K1144" s="742">
        <v>20</v>
      </c>
      <c r="L1144" s="92" t="s">
        <v>37</v>
      </c>
      <c r="M1144" s="177"/>
      <c r="N1144" s="177"/>
      <c r="V1144" s="1470" t="str">
        <f>$F$1143</f>
        <v>kWh Annual Savings</v>
      </c>
      <c r="W1144" s="1471">
        <v>31</v>
      </c>
      <c r="X1144" s="1471">
        <v>31</v>
      </c>
      <c r="Y1144" s="1471">
        <v>31</v>
      </c>
      <c r="Z1144" s="246"/>
      <c r="AA1144" s="246"/>
      <c r="AB1144" s="246"/>
      <c r="AC1144" s="246"/>
      <c r="AD1144" s="246"/>
      <c r="AE1144" s="246"/>
      <c r="AF1144" s="246"/>
      <c r="AG1144" s="246"/>
      <c r="AK1144" s="1166"/>
      <c r="BB1144" s="68">
        <f t="shared" ref="BB1144:BB1150" si="216">(BD1144)/(BE1144)</f>
        <v>0.56629728930217338</v>
      </c>
      <c r="BC1144" s="69" t="str">
        <f>CONCATENATE(G1144," ",J1144," Year EUL")</f>
        <v>Miscellaneous RES 10 Year EUL</v>
      </c>
      <c r="BD1144" s="162">
        <f>(INDEX('Avoided Cost Benefits'!$C$4:$C$857,MATCH(BC1144,'Avoided Cost Benefits'!$A$4:$A$857,0)))*F1144</f>
        <v>10.689896919342583</v>
      </c>
      <c r="BE1144" s="70">
        <f>K1144/(1.0595^(2020-2019))</f>
        <v>18.876828692779611</v>
      </c>
    </row>
    <row r="1145" spans="1:57" x14ac:dyDescent="0.25">
      <c r="A1145" s="177"/>
      <c r="B1145" s="177"/>
      <c r="C1145" s="1543" t="s">
        <v>2143</v>
      </c>
      <c r="D1145" s="150" t="s">
        <v>2076</v>
      </c>
      <c r="E1145" s="458" t="s">
        <v>2144</v>
      </c>
      <c r="F1145" s="1475">
        <f>ROUND((F1158*F1160+G1158*G1160)*I1161,2)</f>
        <v>24.18</v>
      </c>
      <c r="G1145" s="1469" t="s">
        <v>840</v>
      </c>
      <c r="H1145" s="239">
        <f>VLOOKUP(G1145,'CP FACTORS'!$A$3:$B$38, 2, FALSE)</f>
        <v>1.148238E-4</v>
      </c>
      <c r="I1145" s="2015">
        <f t="shared" si="215"/>
        <v>2.7759999999999998E-3</v>
      </c>
      <c r="J1145" s="219">
        <v>10</v>
      </c>
      <c r="K1145" s="742">
        <v>20</v>
      </c>
      <c r="L1145" s="92" t="s">
        <v>37</v>
      </c>
      <c r="M1145" s="177"/>
      <c r="N1145" s="177"/>
      <c r="V1145" s="1470" t="str">
        <f t="shared" ref="V1145:V1150" si="217">$F$1143</f>
        <v>kWh Annual Savings</v>
      </c>
      <c r="W1145" s="1471">
        <v>24.18</v>
      </c>
      <c r="X1145" s="1471">
        <v>24.18</v>
      </c>
      <c r="Y1145" s="1471">
        <v>24.18</v>
      </c>
      <c r="Z1145" s="246"/>
      <c r="AA1145" s="246"/>
      <c r="AB1145" s="246"/>
      <c r="AC1145" s="246"/>
      <c r="AD1145" s="246"/>
      <c r="AE1145" s="246"/>
      <c r="AF1145" s="246"/>
      <c r="AG1145" s="246"/>
      <c r="AH1145" s="1177"/>
      <c r="AI1145" s="1177"/>
      <c r="AK1145" s="1166"/>
      <c r="BB1145" s="72">
        <f t="shared" si="216"/>
        <v>0.4417118856556953</v>
      </c>
      <c r="BC1145" s="73" t="str">
        <f t="shared" ref="BC1145:BC1150" si="218">CONCATENATE(G1145," ",J1145," Year EUL")</f>
        <v>Miscellaneous RES 10 Year EUL</v>
      </c>
      <c r="BD1145" s="165">
        <f>(INDEX('Avoided Cost Benefits'!$C$4:$C$857,MATCH(BC1145,'Avoided Cost Benefits'!$A$4:$A$857,0)))*F1145</f>
        <v>8.338119597087216</v>
      </c>
      <c r="BE1145" s="74">
        <f t="shared" ref="BE1145:BE1150" si="219">K1145/(1.0595^(2020-2019))</f>
        <v>18.876828692779611</v>
      </c>
    </row>
    <row r="1146" spans="1:57" x14ac:dyDescent="0.25">
      <c r="A1146" s="177"/>
      <c r="B1146" s="177"/>
      <c r="C1146" s="1543" t="s">
        <v>2145</v>
      </c>
      <c r="D1146" s="150" t="s">
        <v>2076</v>
      </c>
      <c r="E1146" s="458" t="s">
        <v>2146</v>
      </c>
      <c r="F1146" s="1475">
        <f>ROUND((F1158*F1159+G1158*G1159)*H1161,2)</f>
        <v>75.099999999999994</v>
      </c>
      <c r="G1146" s="1469" t="s">
        <v>840</v>
      </c>
      <c r="H1146" s="239">
        <f>VLOOKUP(G1146,'CP FACTORS'!$A$3:$B$38, 2, FALSE)</f>
        <v>1.148238E-4</v>
      </c>
      <c r="I1146" s="2015">
        <f t="shared" si="215"/>
        <v>8.6230000000000005E-3</v>
      </c>
      <c r="J1146" s="219">
        <v>10</v>
      </c>
      <c r="K1146" s="742">
        <v>20</v>
      </c>
      <c r="L1146" s="92" t="s">
        <v>37</v>
      </c>
      <c r="M1146" s="177"/>
      <c r="N1146" s="177"/>
      <c r="V1146" s="1470" t="str">
        <f t="shared" si="217"/>
        <v>kWh Annual Savings</v>
      </c>
      <c r="W1146" s="1471">
        <v>75.099999999999994</v>
      </c>
      <c r="X1146" s="1471">
        <v>75.099999999999994</v>
      </c>
      <c r="Y1146" s="1471">
        <v>75.099999999999994</v>
      </c>
      <c r="Z1146" s="246"/>
      <c r="AA1146" s="246"/>
      <c r="AB1146" s="246"/>
      <c r="AC1146" s="246"/>
      <c r="AD1146" s="246"/>
      <c r="AE1146" s="246"/>
      <c r="AF1146" s="246"/>
      <c r="AG1146" s="246"/>
      <c r="AH1146" s="1177"/>
      <c r="AI1146" s="1177"/>
      <c r="AK1146" s="1166"/>
      <c r="BB1146" s="72">
        <f t="shared" si="216"/>
        <v>1.3719008524707492</v>
      </c>
      <c r="BC1146" s="73" t="str">
        <f t="shared" si="218"/>
        <v>Miscellaneous RES 10 Year EUL</v>
      </c>
      <c r="BD1146" s="165">
        <f>(INDEX('Avoided Cost Benefits'!$C$4:$C$857,MATCH(BC1146,'Avoided Cost Benefits'!$A$4:$A$857,0)))*F1146</f>
        <v>25.897137375568647</v>
      </c>
      <c r="BE1146" s="74">
        <f t="shared" si="219"/>
        <v>18.876828692779611</v>
      </c>
    </row>
    <row r="1147" spans="1:57" x14ac:dyDescent="0.25">
      <c r="A1147" s="177"/>
      <c r="B1147" s="177"/>
      <c r="C1147" s="1543" t="s">
        <v>2147</v>
      </c>
      <c r="D1147" s="150" t="s">
        <v>2076</v>
      </c>
      <c r="E1147" s="458" t="s">
        <v>2148</v>
      </c>
      <c r="F1147" s="1475">
        <f>ROUND((F1158*F1159+G1158*G1159)*I1161,2)</f>
        <v>58.58</v>
      </c>
      <c r="G1147" s="1469" t="s">
        <v>840</v>
      </c>
      <c r="H1147" s="239">
        <f>VLOOKUP(G1147,'CP FACTORS'!$A$3:$B$38, 2, FALSE)</f>
        <v>1.148238E-4</v>
      </c>
      <c r="I1147" s="2015">
        <f t="shared" si="215"/>
        <v>6.7260000000000002E-3</v>
      </c>
      <c r="J1147" s="219">
        <v>10</v>
      </c>
      <c r="K1147" s="742">
        <v>20</v>
      </c>
      <c r="L1147" s="92" t="s">
        <v>37</v>
      </c>
      <c r="M1147" s="177"/>
      <c r="N1147" s="177"/>
      <c r="V1147" s="1470" t="str">
        <f t="shared" si="217"/>
        <v>kWh Annual Savings</v>
      </c>
      <c r="W1147" s="1472">
        <v>58.577999999999996</v>
      </c>
      <c r="X1147" s="1472">
        <v>58.577999999999996</v>
      </c>
      <c r="Y1147" s="1472">
        <v>58.58</v>
      </c>
      <c r="Z1147" s="1186"/>
      <c r="AA1147" s="1186"/>
      <c r="AB1147" s="1186"/>
      <c r="AC1147" s="1186"/>
      <c r="AD1147" s="1186"/>
      <c r="AE1147" s="1186"/>
      <c r="AF1147" s="1186"/>
      <c r="AG1147" s="1186"/>
      <c r="AH1147" s="1177"/>
      <c r="AI1147" s="1177"/>
      <c r="AK1147" s="1166"/>
      <c r="BB1147" s="72">
        <f t="shared" si="216"/>
        <v>1.0701192002361717</v>
      </c>
      <c r="BC1147" s="73" t="str">
        <f t="shared" si="218"/>
        <v>Miscellaneous RES 10 Year EUL</v>
      </c>
      <c r="BD1147" s="165">
        <f>(INDEX('Avoided Cost Benefits'!$C$4:$C$857,MATCH(BC1147,'Avoided Cost Benefits'!$A$4:$A$857,0)))*F1147</f>
        <v>20.200456823712535</v>
      </c>
      <c r="BE1147" s="74">
        <f t="shared" si="219"/>
        <v>18.876828692779611</v>
      </c>
    </row>
    <row r="1148" spans="1:57" x14ac:dyDescent="0.25">
      <c r="A1148" s="177"/>
      <c r="B1148" s="177"/>
      <c r="C1148" s="1543" t="s">
        <v>2149</v>
      </c>
      <c r="D1148" s="150" t="s">
        <v>2076</v>
      </c>
      <c r="E1148" s="458" t="s">
        <v>2150</v>
      </c>
      <c r="F1148" s="1475">
        <f>ROUND((F1158*H1160+G1158*H1159)*H1161,2)</f>
        <v>59.22</v>
      </c>
      <c r="G1148" s="1469" t="s">
        <v>840</v>
      </c>
      <c r="H1148" s="239">
        <f>VLOOKUP(G1148,'CP FACTORS'!$A$3:$B$38, 2, FALSE)</f>
        <v>1.148238E-4</v>
      </c>
      <c r="I1148" s="2015">
        <f t="shared" si="215"/>
        <v>6.7999999999999996E-3</v>
      </c>
      <c r="J1148" s="219">
        <v>10</v>
      </c>
      <c r="K1148" s="742">
        <v>20</v>
      </c>
      <c r="L1148" s="92" t="s">
        <v>37</v>
      </c>
      <c r="M1148" s="177"/>
      <c r="N1148" s="177"/>
      <c r="V1148" s="1470" t="str">
        <f t="shared" si="217"/>
        <v>kWh Annual Savings</v>
      </c>
      <c r="W1148" s="1473">
        <v>59.224000000000004</v>
      </c>
      <c r="X1148" s="1473">
        <v>59.224000000000004</v>
      </c>
      <c r="Y1148" s="1473">
        <v>59.22</v>
      </c>
      <c r="Z1148" s="1474"/>
      <c r="AA1148" s="1474"/>
      <c r="AB1148" s="1474"/>
      <c r="AC1148" s="1474"/>
      <c r="AD1148" s="1474"/>
      <c r="AE1148" s="1474"/>
      <c r="AF1148" s="1474"/>
      <c r="AG1148" s="1474"/>
      <c r="AK1148" s="1166"/>
      <c r="BB1148" s="72">
        <f t="shared" si="216"/>
        <v>1.0818104991120874</v>
      </c>
      <c r="BC1148" s="73" t="str">
        <f t="shared" si="218"/>
        <v>Miscellaneous RES 10 Year EUL</v>
      </c>
      <c r="BD1148" s="165">
        <f>(INDEX('Avoided Cost Benefits'!$C$4:$C$857,MATCH(BC1148,'Avoided Cost Benefits'!$A$4:$A$857,0)))*F1148</f>
        <v>20.421151469789283</v>
      </c>
      <c r="BE1148" s="74">
        <f t="shared" si="219"/>
        <v>18.876828692779611</v>
      </c>
    </row>
    <row r="1149" spans="1:57" x14ac:dyDescent="0.25">
      <c r="A1149" s="177"/>
      <c r="B1149" s="177"/>
      <c r="C1149" s="1543" t="s">
        <v>2151</v>
      </c>
      <c r="D1149" s="150" t="s">
        <v>2076</v>
      </c>
      <c r="E1149" s="458" t="s">
        <v>2152</v>
      </c>
      <c r="F1149" s="1475">
        <f>ROUND((F1158*I1160+G1158*I1159)*I1161,2)</f>
        <v>42.07</v>
      </c>
      <c r="G1149" s="1469" t="s">
        <v>840</v>
      </c>
      <c r="H1149" s="239">
        <f>VLOOKUP(G1149,'CP FACTORS'!$A$3:$B$38, 2, FALSE)</f>
        <v>1.148238E-4</v>
      </c>
      <c r="I1149" s="2015">
        <f t="shared" si="215"/>
        <v>4.8310000000000002E-3</v>
      </c>
      <c r="J1149" s="219">
        <v>10</v>
      </c>
      <c r="K1149" s="742">
        <v>20</v>
      </c>
      <c r="L1149" s="92" t="s">
        <v>37</v>
      </c>
      <c r="M1149" s="177"/>
      <c r="N1149" s="177"/>
      <c r="V1149" s="1470" t="str">
        <f t="shared" si="217"/>
        <v>kWh Annual Savings</v>
      </c>
      <c r="W1149" s="1473">
        <v>42.066960000000002</v>
      </c>
      <c r="X1149" s="1473">
        <v>42.066960000000002</v>
      </c>
      <c r="Y1149" s="1473">
        <v>42.07</v>
      </c>
      <c r="Z1149" s="1474"/>
      <c r="AA1149" s="1474"/>
      <c r="AB1149" s="1474"/>
      <c r="AC1149" s="1474"/>
      <c r="AD1149" s="1474"/>
      <c r="AE1149" s="1474"/>
      <c r="AF1149" s="1474"/>
      <c r="AG1149" s="1474"/>
      <c r="AK1149" s="1166"/>
      <c r="BB1149" s="72">
        <f t="shared" si="216"/>
        <v>0.76852022454653024</v>
      </c>
      <c r="BC1149" s="73" t="str">
        <f t="shared" si="218"/>
        <v>Miscellaneous RES 10 Year EUL</v>
      </c>
      <c r="BD1149" s="165">
        <f>(INDEX('Avoided Cost Benefits'!$C$4:$C$857,MATCH(BC1149,'Avoided Cost Benefits'!$A$4:$A$857,0)))*F1149</f>
        <v>14.507224625701372</v>
      </c>
      <c r="BE1149" s="74">
        <f t="shared" si="219"/>
        <v>18.876828692779611</v>
      </c>
    </row>
    <row r="1150" spans="1:57" s="1477" customFormat="1" x14ac:dyDescent="0.25">
      <c r="A1150" s="1914"/>
      <c r="B1150" s="1914"/>
      <c r="C1150" s="1543" t="s">
        <v>2153</v>
      </c>
      <c r="D1150" s="2480" t="s">
        <v>2076</v>
      </c>
      <c r="E1150" s="458" t="s">
        <v>2154</v>
      </c>
      <c r="F1150" s="1475">
        <f>'Efficient Products Deemed Table'!F210</f>
        <v>162</v>
      </c>
      <c r="G1150" s="1476" t="s">
        <v>840</v>
      </c>
      <c r="H1150" s="463">
        <f>VLOOKUP(G1150,'CP FACTORS'!$A$3:$B$38, 2, FALSE)</f>
        <v>1.148238E-4</v>
      </c>
      <c r="I1150" s="2015">
        <f t="shared" si="215"/>
        <v>1.8600999999999999E-2</v>
      </c>
      <c r="J1150" s="219">
        <v>10</v>
      </c>
      <c r="K1150" s="742">
        <f>'Efficient Products Deemed Table'!$K$210</f>
        <v>30</v>
      </c>
      <c r="L1150" s="150" t="s">
        <v>37</v>
      </c>
      <c r="M1150" s="2263"/>
      <c r="N1150" s="2263"/>
      <c r="O1150" s="2263"/>
      <c r="P1150" s="2263"/>
      <c r="Q1150" s="2263"/>
      <c r="R1150" s="2263"/>
      <c r="S1150" s="2263"/>
      <c r="T1150" s="2263"/>
      <c r="U1150" s="2263"/>
      <c r="V1150" s="1470" t="str">
        <f t="shared" si="217"/>
        <v>kWh Annual Savings</v>
      </c>
      <c r="W1150" s="1473">
        <v>162</v>
      </c>
      <c r="X1150" s="1473">
        <v>162</v>
      </c>
      <c r="Y1150" s="1473">
        <v>162</v>
      </c>
      <c r="Z1150" s="1474"/>
      <c r="AA1150" s="1474"/>
      <c r="AB1150" s="1474"/>
      <c r="AC1150" s="1474"/>
      <c r="AD1150" s="1474"/>
      <c r="AE1150" s="1474"/>
      <c r="AF1150" s="1474"/>
      <c r="AG1150" s="1474"/>
      <c r="AH1150" s="328"/>
      <c r="AI1150" s="328"/>
      <c r="AJ1150" s="328"/>
      <c r="AK1150" s="1166"/>
      <c r="AL1150" s="328"/>
      <c r="BB1150" s="75">
        <f t="shared" si="216"/>
        <v>1.9729066853107977</v>
      </c>
      <c r="BC1150" s="73" t="str">
        <f t="shared" si="218"/>
        <v>Miscellaneous RES 10 Year EUL</v>
      </c>
      <c r="BD1150" s="170">
        <f>(INDEX('Avoided Cost Benefits'!$C$4:$C$857,MATCH(BC1150,'Avoided Cost Benefits'!$A$4:$A$857,0)))*F1150</f>
        <v>55.863332288177375</v>
      </c>
      <c r="BE1150" s="76">
        <f t="shared" si="219"/>
        <v>28.315243039169417</v>
      </c>
    </row>
    <row r="1151" spans="1:57" outlineLevel="1" x14ac:dyDescent="0.25">
      <c r="A1151" s="177"/>
      <c r="B1151" s="177"/>
      <c r="C1151" s="171"/>
      <c r="D1151" s="1424"/>
      <c r="E1151" s="1424"/>
      <c r="F1151" s="727"/>
      <c r="G1151" s="1425"/>
      <c r="H1151" s="1932"/>
      <c r="I1151" s="1479"/>
      <c r="J1151" s="2264"/>
      <c r="K1151" s="1479"/>
      <c r="L1151" s="911"/>
      <c r="M1151" s="177"/>
      <c r="N1151" s="177"/>
      <c r="V1151" s="1160"/>
      <c r="W1151" s="1160"/>
      <c r="X1151" s="1160"/>
      <c r="AJ1151" s="1477"/>
      <c r="AK1151" s="1166"/>
      <c r="AL1151" s="1477"/>
    </row>
    <row r="1152" spans="1:57" outlineLevel="1" x14ac:dyDescent="0.25">
      <c r="A1152" s="177"/>
      <c r="B1152" s="177"/>
      <c r="C1152" s="455"/>
      <c r="D1152" s="259" t="s">
        <v>617</v>
      </c>
      <c r="E1152" s="1099"/>
      <c r="F1152" s="785"/>
      <c r="G1152" s="785"/>
      <c r="H1152" s="785"/>
      <c r="I1152" s="785"/>
      <c r="J1152" s="785"/>
      <c r="K1152" s="785"/>
      <c r="L1152" s="177"/>
      <c r="M1152" s="177"/>
      <c r="N1152" s="177"/>
      <c r="V1152" s="1478"/>
      <c r="W1152" s="1478"/>
      <c r="X1152" s="1478"/>
      <c r="Y1152" s="1480"/>
      <c r="Z1152" s="1477"/>
      <c r="AA1152" s="1477"/>
      <c r="AB1152" s="1477"/>
      <c r="AC1152" s="1477"/>
      <c r="AD1152" s="1477"/>
      <c r="AE1152" s="1477"/>
      <c r="AF1152" s="1477"/>
      <c r="AG1152" s="1477"/>
      <c r="AH1152" s="1477"/>
      <c r="AI1152" s="1477"/>
      <c r="AK1152" s="1166"/>
    </row>
    <row r="1153" spans="1:69" outlineLevel="1" x14ac:dyDescent="0.25">
      <c r="A1153" s="177"/>
      <c r="B1153" s="177"/>
      <c r="C1153" s="455"/>
      <c r="D1153" s="1099"/>
      <c r="E1153" s="1099"/>
      <c r="F1153" s="785"/>
      <c r="G1153" s="785"/>
      <c r="H1153" s="785"/>
      <c r="I1153" s="785"/>
      <c r="J1153" s="785"/>
      <c r="K1153" s="785"/>
      <c r="L1153" s="177"/>
      <c r="M1153" s="177"/>
      <c r="N1153" s="177"/>
      <c r="V1153" s="1160"/>
      <c r="W1153" s="1160"/>
      <c r="X1153" s="1160"/>
      <c r="AK1153" s="1166"/>
    </row>
    <row r="1154" spans="1:69" outlineLevel="1" x14ac:dyDescent="0.25">
      <c r="A1154" s="177"/>
      <c r="B1154" s="177"/>
      <c r="C1154" s="455"/>
      <c r="D1154" s="1099"/>
      <c r="E1154" s="1099"/>
      <c r="F1154" s="785"/>
      <c r="G1154" s="785"/>
      <c r="H1154" s="785"/>
      <c r="I1154" s="785"/>
      <c r="J1154" s="785"/>
      <c r="K1154" s="785"/>
      <c r="L1154" s="177"/>
      <c r="M1154" s="177"/>
      <c r="N1154" s="177"/>
      <c r="V1154" s="1160"/>
      <c r="W1154" s="1160"/>
      <c r="X1154" s="1160"/>
      <c r="AK1154" s="1166"/>
    </row>
    <row r="1155" spans="1:69" outlineLevel="1" x14ac:dyDescent="0.25">
      <c r="A1155" s="177"/>
      <c r="B1155" s="177"/>
      <c r="C1155" s="455"/>
      <c r="D1155" s="1099"/>
      <c r="E1155" s="1099"/>
      <c r="F1155" s="785"/>
      <c r="G1155" s="785"/>
      <c r="H1155" s="785"/>
      <c r="I1155" s="785"/>
      <c r="J1155" s="785"/>
      <c r="K1155" s="785"/>
      <c r="L1155" s="177"/>
      <c r="M1155" s="177"/>
      <c r="N1155" s="177"/>
      <c r="V1155" s="1160"/>
      <c r="W1155" s="1160"/>
      <c r="X1155" s="1160"/>
      <c r="AK1155" s="1166"/>
    </row>
    <row r="1156" spans="1:69" ht="15" customHeight="1" outlineLevel="1" x14ac:dyDescent="0.25">
      <c r="A1156" s="177"/>
      <c r="B1156" s="177"/>
      <c r="C1156" s="455"/>
      <c r="D1156" s="520" t="s">
        <v>618</v>
      </c>
      <c r="E1156" s="520" t="s">
        <v>619</v>
      </c>
      <c r="F1156" s="1659" t="s">
        <v>1132</v>
      </c>
      <c r="G1156" s="1659" t="s">
        <v>1133</v>
      </c>
      <c r="H1156" s="2722" t="s">
        <v>1134</v>
      </c>
      <c r="I1156" s="2723"/>
      <c r="J1156" s="3040" t="s">
        <v>863</v>
      </c>
      <c r="K1156" s="2941"/>
      <c r="L1156" s="2942"/>
      <c r="M1156" s="177"/>
      <c r="N1156" s="177"/>
      <c r="V1156" s="55" t="s">
        <v>27</v>
      </c>
      <c r="W1156" s="56">
        <f>$W$6</f>
        <v>43252</v>
      </c>
      <c r="X1156" s="56">
        <f>$X$6</f>
        <v>43465</v>
      </c>
      <c r="Y1156" s="500">
        <f>$Y$6</f>
        <v>43800</v>
      </c>
      <c r="Z1156" s="56">
        <f>$Z$6</f>
        <v>43862</v>
      </c>
      <c r="AA1156" s="56" t="str">
        <f>$AA$6</f>
        <v>-</v>
      </c>
      <c r="AB1156" s="56" t="str">
        <f>$AB$6</f>
        <v>-</v>
      </c>
      <c r="AC1156" s="56" t="str">
        <f>$AC$6</f>
        <v>-</v>
      </c>
      <c r="AD1156" s="56" t="str">
        <f>$AD$6</f>
        <v>-</v>
      </c>
      <c r="AE1156" s="56" t="str">
        <f>$AE$6</f>
        <v>-</v>
      </c>
      <c r="AF1156" s="56" t="str">
        <f>$AF$6</f>
        <v>-</v>
      </c>
      <c r="AG1156" s="56" t="str">
        <f>$AG$6</f>
        <v>-</v>
      </c>
      <c r="AI1156" s="56">
        <f>$W$6</f>
        <v>43252</v>
      </c>
      <c r="AJ1156" s="56">
        <f>$X$6</f>
        <v>43465</v>
      </c>
      <c r="AK1156" s="56">
        <f>$Y$6</f>
        <v>43800</v>
      </c>
      <c r="AL1156" s="56">
        <f>$Z$6</f>
        <v>43862</v>
      </c>
      <c r="AM1156" s="56" t="str">
        <f>$AA$6</f>
        <v>-</v>
      </c>
      <c r="AN1156" s="56" t="str">
        <f>$AB$6</f>
        <v>-</v>
      </c>
      <c r="AO1156" s="56" t="str">
        <f>$AC$6</f>
        <v>-</v>
      </c>
      <c r="AP1156" s="56" t="str">
        <f>$AD$6</f>
        <v>-</v>
      </c>
      <c r="AQ1156" s="56" t="str">
        <f>$AE$6</f>
        <v>-</v>
      </c>
      <c r="AR1156" s="56" t="str">
        <f>$AF$6</f>
        <v>-</v>
      </c>
      <c r="AS1156" s="56" t="str">
        <f>$AG$6</f>
        <v>-</v>
      </c>
      <c r="AU1156" s="56">
        <f>$W$6</f>
        <v>43252</v>
      </c>
      <c r="AV1156" s="56">
        <f>$X$6</f>
        <v>43465</v>
      </c>
      <c r="AW1156" s="56">
        <f>$Y$6</f>
        <v>43800</v>
      </c>
      <c r="AX1156" s="56">
        <f>$Z$6</f>
        <v>43862</v>
      </c>
      <c r="AY1156" s="56" t="str">
        <f>$AA$6</f>
        <v>-</v>
      </c>
      <c r="AZ1156" s="56" t="str">
        <f>$AB$6</f>
        <v>-</v>
      </c>
      <c r="BA1156" s="56" t="str">
        <f>$AC$6</f>
        <v>-</v>
      </c>
      <c r="BB1156" s="1481" t="str">
        <f>$AD$6</f>
        <v>-</v>
      </c>
      <c r="BC1156" s="500" t="str">
        <f>$AE$6</f>
        <v>-</v>
      </c>
      <c r="BD1156" s="500" t="str">
        <f>$AF$6</f>
        <v>-</v>
      </c>
      <c r="BE1156" s="500" t="str">
        <f>$AG$6</f>
        <v>-</v>
      </c>
      <c r="BG1156" s="56">
        <f>$W$6</f>
        <v>43252</v>
      </c>
      <c r="BH1156" s="56">
        <f>$X$6</f>
        <v>43465</v>
      </c>
      <c r="BI1156" s="56">
        <f>$Y$6</f>
        <v>43800</v>
      </c>
      <c r="BJ1156" s="56">
        <f>$Z$6</f>
        <v>43862</v>
      </c>
      <c r="BK1156" s="56" t="str">
        <f>$AA$6</f>
        <v>-</v>
      </c>
      <c r="BL1156" s="56" t="str">
        <f>$AB$6</f>
        <v>-</v>
      </c>
      <c r="BM1156" s="56" t="str">
        <f>$AC$6</f>
        <v>-</v>
      </c>
      <c r="BN1156" s="56" t="str">
        <f>$AD$6</f>
        <v>-</v>
      </c>
      <c r="BO1156" s="56" t="str">
        <f>$AE$6</f>
        <v>-</v>
      </c>
      <c r="BP1156" s="56" t="str">
        <f>$AF$6</f>
        <v>-</v>
      </c>
      <c r="BQ1156" s="56" t="str">
        <f>$AG$6</f>
        <v>-</v>
      </c>
    </row>
    <row r="1157" spans="1:69" ht="15" customHeight="1" outlineLevel="1" x14ac:dyDescent="0.25">
      <c r="A1157" s="177"/>
      <c r="B1157" s="177"/>
      <c r="C1157" s="455"/>
      <c r="D1157" s="769"/>
      <c r="E1157" s="769"/>
      <c r="F1157" s="770"/>
      <c r="G1157" s="770"/>
      <c r="H1157" s="1641" t="s">
        <v>1135</v>
      </c>
      <c r="I1157" s="1641" t="s">
        <v>1136</v>
      </c>
      <c r="J1157" s="1482"/>
      <c r="K1157" s="1483"/>
      <c r="L1157" s="1484"/>
      <c r="M1157" s="177"/>
      <c r="N1157" s="177"/>
      <c r="V1157" s="55"/>
      <c r="W1157" s="500" t="str">
        <f>$F$1156</f>
        <v>Office</v>
      </c>
      <c r="X1157" s="500" t="str">
        <f t="shared" ref="X1157:AG1157" si="220">$F$1156</f>
        <v>Office</v>
      </c>
      <c r="Y1157" s="500" t="str">
        <f t="shared" si="220"/>
        <v>Office</v>
      </c>
      <c r="Z1157" s="500" t="str">
        <f t="shared" si="220"/>
        <v>Office</v>
      </c>
      <c r="AA1157" s="500" t="str">
        <f t="shared" si="220"/>
        <v>Office</v>
      </c>
      <c r="AB1157" s="500" t="str">
        <f t="shared" si="220"/>
        <v>Office</v>
      </c>
      <c r="AC1157" s="500" t="str">
        <f t="shared" si="220"/>
        <v>Office</v>
      </c>
      <c r="AD1157" s="500" t="str">
        <f t="shared" si="220"/>
        <v>Office</v>
      </c>
      <c r="AE1157" s="500" t="str">
        <f t="shared" si="220"/>
        <v>Office</v>
      </c>
      <c r="AF1157" s="500" t="str">
        <f t="shared" si="220"/>
        <v>Office</v>
      </c>
      <c r="AG1157" s="500" t="str">
        <f t="shared" si="220"/>
        <v>Office</v>
      </c>
      <c r="AI1157" s="1485" t="str">
        <f>$G$1156</f>
        <v>Entertainment</v>
      </c>
      <c r="AJ1157" s="1485" t="str">
        <f t="shared" ref="AJ1157:AS1157" si="221">$G$1156</f>
        <v>Entertainment</v>
      </c>
      <c r="AK1157" s="1485" t="str">
        <f t="shared" si="221"/>
        <v>Entertainment</v>
      </c>
      <c r="AL1157" s="1485" t="str">
        <f t="shared" si="221"/>
        <v>Entertainment</v>
      </c>
      <c r="AM1157" s="1485" t="str">
        <f t="shared" si="221"/>
        <v>Entertainment</v>
      </c>
      <c r="AN1157" s="1485" t="str">
        <f t="shared" si="221"/>
        <v>Entertainment</v>
      </c>
      <c r="AO1157" s="1485" t="str">
        <f t="shared" si="221"/>
        <v>Entertainment</v>
      </c>
      <c r="AP1157" s="1485" t="str">
        <f t="shared" si="221"/>
        <v>Entertainment</v>
      </c>
      <c r="AQ1157" s="1485" t="str">
        <f t="shared" si="221"/>
        <v>Entertainment</v>
      </c>
      <c r="AR1157" s="1485" t="str">
        <f t="shared" si="221"/>
        <v>Entertainment</v>
      </c>
      <c r="AS1157" s="1485" t="str">
        <f t="shared" si="221"/>
        <v>Entertainment</v>
      </c>
      <c r="AU1157" s="1485" t="str">
        <f>$H$1157</f>
        <v>TOS / NC / DI</v>
      </c>
      <c r="AV1157" s="1485" t="str">
        <f t="shared" ref="AV1157:BE1157" si="222">$H$1157</f>
        <v>TOS / NC / DI</v>
      </c>
      <c r="AW1157" s="1485" t="str">
        <f t="shared" si="222"/>
        <v>TOS / NC / DI</v>
      </c>
      <c r="AX1157" s="1485" t="str">
        <f t="shared" si="222"/>
        <v>TOS / NC / DI</v>
      </c>
      <c r="AY1157" s="1485" t="str">
        <f t="shared" si="222"/>
        <v>TOS / NC / DI</v>
      </c>
      <c r="AZ1157" s="1485" t="str">
        <f t="shared" si="222"/>
        <v>TOS / NC / DI</v>
      </c>
      <c r="BA1157" s="1485" t="str">
        <f t="shared" si="222"/>
        <v>TOS / NC / DI</v>
      </c>
      <c r="BB1157" s="1481" t="str">
        <f t="shared" si="222"/>
        <v>TOS / NC / DI</v>
      </c>
      <c r="BC1157" s="500" t="str">
        <f t="shared" si="222"/>
        <v>TOS / NC / DI</v>
      </c>
      <c r="BD1157" s="500" t="str">
        <f t="shared" si="222"/>
        <v>TOS / NC / DI</v>
      </c>
      <c r="BE1157" s="500" t="str">
        <f t="shared" si="222"/>
        <v>TOS / NC / DI</v>
      </c>
      <c r="BG1157" s="500" t="str">
        <f>$I$1157</f>
        <v>KITS</v>
      </c>
      <c r="BH1157" s="500" t="str">
        <f t="shared" ref="BH1157:BQ1157" si="223">$I$1157</f>
        <v>KITS</v>
      </c>
      <c r="BI1157" s="500" t="str">
        <f t="shared" si="223"/>
        <v>KITS</v>
      </c>
      <c r="BJ1157" s="500" t="str">
        <f t="shared" si="223"/>
        <v>KITS</v>
      </c>
      <c r="BK1157" s="500" t="str">
        <f t="shared" si="223"/>
        <v>KITS</v>
      </c>
      <c r="BL1157" s="500" t="str">
        <f t="shared" si="223"/>
        <v>KITS</v>
      </c>
      <c r="BM1157" s="500" t="str">
        <f t="shared" si="223"/>
        <v>KITS</v>
      </c>
      <c r="BN1157" s="500" t="str">
        <f t="shared" si="223"/>
        <v>KITS</v>
      </c>
      <c r="BO1157" s="500" t="str">
        <f t="shared" si="223"/>
        <v>KITS</v>
      </c>
      <c r="BP1157" s="500" t="str">
        <f t="shared" si="223"/>
        <v>KITS</v>
      </c>
      <c r="BQ1157" s="500" t="str">
        <f t="shared" si="223"/>
        <v>KITS</v>
      </c>
    </row>
    <row r="1158" spans="1:69" outlineLevel="1" x14ac:dyDescent="0.25">
      <c r="A1158" s="177"/>
      <c r="B1158" s="177"/>
      <c r="C1158" s="455"/>
      <c r="D1158" s="1642" t="s">
        <v>1137</v>
      </c>
      <c r="E1158" s="1642" t="s">
        <v>1138</v>
      </c>
      <c r="F1158" s="1699">
        <v>31</v>
      </c>
      <c r="G1158" s="1699">
        <v>75.099999999999994</v>
      </c>
      <c r="H1158" s="1699"/>
      <c r="I1158" s="1699"/>
      <c r="J1158" s="2954"/>
      <c r="K1158" s="3039"/>
      <c r="L1158" s="3038"/>
      <c r="M1158" s="177"/>
      <c r="N1158" s="177"/>
      <c r="V1158" s="1468" t="str">
        <f t="shared" ref="V1158:V1163" si="224">D1158</f>
        <v>KWh</v>
      </c>
      <c r="W1158" s="464">
        <v>31</v>
      </c>
      <c r="X1158" s="464">
        <v>31</v>
      </c>
      <c r="Y1158" s="464">
        <v>31</v>
      </c>
      <c r="Z1158" s="1186"/>
      <c r="AA1158" s="1186"/>
      <c r="AB1158" s="1186"/>
      <c r="AC1158" s="1186"/>
      <c r="AD1158" s="1186"/>
      <c r="AE1158" s="1186"/>
      <c r="AF1158" s="1186"/>
      <c r="AG1158" s="1186"/>
      <c r="AI1158" s="464">
        <v>75.099999999999994</v>
      </c>
      <c r="AJ1158" s="464"/>
      <c r="AK1158" s="1186"/>
      <c r="AL1158" s="1186"/>
      <c r="AM1158" s="1186"/>
      <c r="AN1158" s="1186"/>
      <c r="AO1158" s="1186"/>
      <c r="AP1158" s="1186"/>
      <c r="AQ1158" s="1186"/>
      <c r="AR1158" s="1186"/>
      <c r="AS1158" s="1186"/>
      <c r="AU1158" s="1486"/>
      <c r="AV1158" s="1486"/>
      <c r="AW1158" s="1186"/>
      <c r="AX1158" s="1186"/>
      <c r="AY1158" s="1186"/>
      <c r="AZ1158" s="1186"/>
      <c r="BA1158" s="1186"/>
      <c r="BB1158" s="1435"/>
      <c r="BC1158" s="1273"/>
      <c r="BD1158" s="1273"/>
      <c r="BE1158" s="1273"/>
      <c r="BG1158" s="1486"/>
      <c r="BH1158" s="1486"/>
      <c r="BI1158" s="1186"/>
      <c r="BJ1158" s="1186"/>
      <c r="BK1158" s="1186"/>
      <c r="BL1158" s="1186"/>
      <c r="BM1158" s="1186"/>
      <c r="BN1158" s="1186"/>
      <c r="BO1158" s="1186"/>
      <c r="BP1158" s="1186"/>
      <c r="BQ1158" s="1186"/>
    </row>
    <row r="1159" spans="1:69" outlineLevel="1" x14ac:dyDescent="0.25">
      <c r="A1159" s="177"/>
      <c r="B1159" s="177"/>
      <c r="C1159" s="455"/>
      <c r="D1159" s="1642" t="s">
        <v>1139</v>
      </c>
      <c r="E1159" s="1642" t="s">
        <v>1140</v>
      </c>
      <c r="F1159" s="2265">
        <v>0</v>
      </c>
      <c r="G1159" s="2266">
        <v>1</v>
      </c>
      <c r="H1159" s="2266">
        <f>1-H1160</f>
        <v>0.64</v>
      </c>
      <c r="I1159" s="2266">
        <f>1-I1160</f>
        <v>0.52</v>
      </c>
      <c r="J1159" s="2954"/>
      <c r="K1159" s="3039"/>
      <c r="L1159" s="3038"/>
      <c r="M1159" s="177"/>
      <c r="N1159" s="177"/>
      <c r="V1159" s="1468" t="str">
        <f t="shared" si="224"/>
        <v>Weighting Entertainment</v>
      </c>
      <c r="W1159" s="1487">
        <v>0</v>
      </c>
      <c r="X1159" s="1487">
        <v>0</v>
      </c>
      <c r="Y1159" s="1487">
        <v>0</v>
      </c>
      <c r="Z1159" s="1186"/>
      <c r="AA1159" s="1186"/>
      <c r="AB1159" s="1186"/>
      <c r="AC1159" s="1186"/>
      <c r="AD1159" s="1186"/>
      <c r="AE1159" s="1186"/>
      <c r="AF1159" s="1186"/>
      <c r="AG1159" s="1186"/>
      <c r="AI1159" s="1488">
        <v>1</v>
      </c>
      <c r="AJ1159" s="1488"/>
      <c r="AK1159" s="1186"/>
      <c r="AL1159" s="1186"/>
      <c r="AM1159" s="1186"/>
      <c r="AN1159" s="1186"/>
      <c r="AO1159" s="1186"/>
      <c r="AP1159" s="1186"/>
      <c r="AQ1159" s="1186"/>
      <c r="AR1159" s="1186"/>
      <c r="AS1159" s="1186"/>
      <c r="AU1159" s="1488">
        <f>1-AU1160</f>
        <v>0.64</v>
      </c>
      <c r="AV1159" s="1488"/>
      <c r="AW1159" s="1186"/>
      <c r="AX1159" s="1186"/>
      <c r="AY1159" s="1186"/>
      <c r="AZ1159" s="1186"/>
      <c r="BA1159" s="1186"/>
      <c r="BB1159" s="1435"/>
      <c r="BC1159" s="1273"/>
      <c r="BD1159" s="1273"/>
      <c r="BE1159" s="1273"/>
      <c r="BG1159" s="1488">
        <f>1-BG1160</f>
        <v>0.52</v>
      </c>
      <c r="BH1159" s="1488"/>
      <c r="BI1159" s="1186"/>
      <c r="BJ1159" s="1186"/>
      <c r="BK1159" s="1186"/>
      <c r="BL1159" s="1186"/>
      <c r="BM1159" s="1186"/>
      <c r="BN1159" s="1186"/>
      <c r="BO1159" s="1186"/>
      <c r="BP1159" s="1186"/>
      <c r="BQ1159" s="1186"/>
    </row>
    <row r="1160" spans="1:69" outlineLevel="1" x14ac:dyDescent="0.25">
      <c r="A1160" s="177"/>
      <c r="B1160" s="177"/>
      <c r="C1160" s="455"/>
      <c r="D1160" s="1642" t="s">
        <v>1141</v>
      </c>
      <c r="E1160" s="1642" t="s">
        <v>1142</v>
      </c>
      <c r="F1160" s="2266">
        <v>1</v>
      </c>
      <c r="G1160" s="2266">
        <v>0</v>
      </c>
      <c r="H1160" s="2266">
        <v>0.36</v>
      </c>
      <c r="I1160" s="2266">
        <v>0.48</v>
      </c>
      <c r="J1160" s="2954"/>
      <c r="K1160" s="3039"/>
      <c r="L1160" s="3038"/>
      <c r="M1160" s="177"/>
      <c r="N1160" s="177"/>
      <c r="V1160" s="1468" t="str">
        <f t="shared" si="224"/>
        <v>Weighting Office</v>
      </c>
      <c r="W1160" s="1488">
        <v>1</v>
      </c>
      <c r="X1160" s="1488">
        <v>1</v>
      </c>
      <c r="Y1160" s="1488">
        <v>1</v>
      </c>
      <c r="Z1160" s="1186"/>
      <c r="AA1160" s="1186"/>
      <c r="AB1160" s="1186"/>
      <c r="AC1160" s="1186"/>
      <c r="AD1160" s="1186"/>
      <c r="AE1160" s="1186"/>
      <c r="AF1160" s="1186"/>
      <c r="AG1160" s="1186"/>
      <c r="AI1160" s="1488">
        <v>0</v>
      </c>
      <c r="AJ1160" s="1488"/>
      <c r="AK1160" s="1186"/>
      <c r="AL1160" s="1186"/>
      <c r="AM1160" s="1186"/>
      <c r="AN1160" s="1186"/>
      <c r="AO1160" s="1186"/>
      <c r="AP1160" s="1186"/>
      <c r="AQ1160" s="1186"/>
      <c r="AR1160" s="1186"/>
      <c r="AS1160" s="1186"/>
      <c r="AU1160" s="1488">
        <v>0.36</v>
      </c>
      <c r="AV1160" s="1488"/>
      <c r="AW1160" s="1186"/>
      <c r="AX1160" s="1186"/>
      <c r="AY1160" s="1186"/>
      <c r="AZ1160" s="1186"/>
      <c r="BA1160" s="1186"/>
      <c r="BB1160" s="1435"/>
      <c r="BC1160" s="1273"/>
      <c r="BD1160" s="1273"/>
      <c r="BE1160" s="1273"/>
      <c r="BG1160" s="1488">
        <v>0.48</v>
      </c>
      <c r="BH1160" s="1488"/>
      <c r="BI1160" s="1186"/>
      <c r="BJ1160" s="1186"/>
      <c r="BK1160" s="1186"/>
      <c r="BL1160" s="1186"/>
      <c r="BM1160" s="1186"/>
      <c r="BN1160" s="1186"/>
      <c r="BO1160" s="1186"/>
      <c r="BP1160" s="1186"/>
      <c r="BQ1160" s="1186"/>
    </row>
    <row r="1161" spans="1:69" outlineLevel="1" x14ac:dyDescent="0.25">
      <c r="A1161" s="177"/>
      <c r="B1161" s="177"/>
      <c r="C1161" s="455"/>
      <c r="D1161" s="1687" t="s">
        <v>82</v>
      </c>
      <c r="E1161" s="1642" t="s">
        <v>2155</v>
      </c>
      <c r="F1161" s="1341"/>
      <c r="G1161" s="1341"/>
      <c r="H1161" s="1341">
        <v>1</v>
      </c>
      <c r="I1161" s="1341">
        <v>0.78</v>
      </c>
      <c r="J1161" s="2954"/>
      <c r="K1161" s="3039"/>
      <c r="L1161" s="3038"/>
      <c r="M1161" s="177"/>
      <c r="N1161" s="177"/>
      <c r="V1161" s="1489" t="str">
        <f t="shared" si="224"/>
        <v>ISR</v>
      </c>
      <c r="W1161" s="1486"/>
      <c r="X1161" s="1486"/>
      <c r="Y1161" s="1490"/>
      <c r="Z1161" s="1186"/>
      <c r="AA1161" s="1186"/>
      <c r="AB1161" s="1186"/>
      <c r="AC1161" s="1186"/>
      <c r="AD1161" s="1186"/>
      <c r="AE1161" s="1186"/>
      <c r="AF1161" s="1186"/>
      <c r="AG1161" s="1186"/>
      <c r="AI1161" s="1486"/>
      <c r="AJ1161" s="1486"/>
      <c r="AK1161" s="1186"/>
      <c r="AL1161" s="1186"/>
      <c r="AM1161" s="1186"/>
      <c r="AN1161" s="1186"/>
      <c r="AO1161" s="1186"/>
      <c r="AP1161" s="1186"/>
      <c r="AQ1161" s="1186"/>
      <c r="AR1161" s="1186"/>
      <c r="AS1161" s="1186"/>
      <c r="AU1161" s="1491">
        <v>1</v>
      </c>
      <c r="AV1161" s="1491"/>
      <c r="AW1161" s="1186"/>
      <c r="AX1161" s="1186"/>
      <c r="AY1161" s="1186"/>
      <c r="AZ1161" s="1186"/>
      <c r="BA1161" s="1186"/>
      <c r="BB1161" s="1435"/>
      <c r="BC1161" s="1273"/>
      <c r="BD1161" s="1273"/>
      <c r="BE1161" s="1273"/>
      <c r="BG1161" s="1491">
        <v>0.78</v>
      </c>
      <c r="BH1161" s="1491"/>
      <c r="BI1161" s="1186"/>
      <c r="BJ1161" s="1186"/>
      <c r="BK1161" s="1186"/>
      <c r="BL1161" s="1186"/>
      <c r="BM1161" s="1186"/>
      <c r="BN1161" s="1186"/>
      <c r="BO1161" s="1186"/>
      <c r="BP1161" s="1186"/>
      <c r="BQ1161" s="1186"/>
    </row>
    <row r="1162" spans="1:69" outlineLevel="1" x14ac:dyDescent="0.25">
      <c r="B1162" s="1580"/>
      <c r="C1162" s="443"/>
      <c r="D1162" s="1681" t="str">
        <f>D1023</f>
        <v>EUL</v>
      </c>
      <c r="E1162" s="1681" t="str">
        <f>E1023</f>
        <v>Effective Useful Life (All)</v>
      </c>
      <c r="F1162" s="3119">
        <v>10</v>
      </c>
      <c r="G1162" s="3120"/>
      <c r="H1162" s="3120"/>
      <c r="I1162" s="3121"/>
      <c r="J1162" s="2954"/>
      <c r="K1162" s="3039"/>
      <c r="L1162" s="3038"/>
      <c r="V1162" s="1258" t="str">
        <f t="shared" si="224"/>
        <v>EUL</v>
      </c>
      <c r="W1162" s="1262">
        <v>10</v>
      </c>
      <c r="X1162" s="1262">
        <v>10</v>
      </c>
      <c r="Y1162" s="1262">
        <v>10</v>
      </c>
      <c r="Z1162" s="1354"/>
      <c r="AA1162" s="1354"/>
      <c r="AB1162" s="1354"/>
      <c r="AC1162" s="1354"/>
      <c r="AD1162" s="1354"/>
      <c r="AE1162" s="1354"/>
      <c r="AF1162" s="1354"/>
      <c r="AG1162" s="1354"/>
      <c r="AK1162" s="1166"/>
    </row>
    <row r="1163" spans="1:69" outlineLevel="1" x14ac:dyDescent="0.25">
      <c r="B1163" s="1580"/>
      <c r="C1163" s="443"/>
      <c r="D1163" s="3098" t="s">
        <v>2156</v>
      </c>
      <c r="E1163" s="1681" t="str">
        <f>E1024</f>
        <v>Incremental Cost - Non-DI</v>
      </c>
      <c r="F1163" s="3122">
        <v>20</v>
      </c>
      <c r="G1163" s="3123"/>
      <c r="H1163" s="3123"/>
      <c r="I1163" s="3124"/>
      <c r="J1163" s="2954"/>
      <c r="K1163" s="3039"/>
      <c r="L1163" s="3038"/>
      <c r="V1163" s="3088" t="str">
        <f t="shared" si="224"/>
        <v>Inc. Cost Tier 1 Power Strip</v>
      </c>
      <c r="W1163" s="1355">
        <v>7</v>
      </c>
      <c r="X1163" s="1355">
        <v>7</v>
      </c>
      <c r="Y1163" s="1355">
        <v>7</v>
      </c>
      <c r="Z1163" s="1356"/>
      <c r="AA1163" s="1356"/>
      <c r="AB1163" s="1356"/>
      <c r="AC1163" s="1356"/>
      <c r="AD1163" s="1356"/>
      <c r="AE1163" s="1356"/>
      <c r="AF1163" s="1356"/>
      <c r="AG1163" s="1356"/>
      <c r="AK1163" s="1166"/>
    </row>
    <row r="1164" spans="1:69" outlineLevel="1" x14ac:dyDescent="0.25">
      <c r="B1164" s="1580"/>
      <c r="C1164" s="443"/>
      <c r="D1164" s="3099"/>
      <c r="E1164" s="1681" t="str">
        <f>E1025</f>
        <v>Incremental Cost - Direct Install (DI)</v>
      </c>
      <c r="F1164" s="3122">
        <v>20</v>
      </c>
      <c r="G1164" s="3123"/>
      <c r="H1164" s="3123"/>
      <c r="I1164" s="3124"/>
      <c r="J1164" s="2954"/>
      <c r="K1164" s="3039"/>
      <c r="L1164" s="3038"/>
      <c r="V1164" s="3070"/>
      <c r="W1164" s="1355">
        <v>7</v>
      </c>
      <c r="X1164" s="1355">
        <v>7</v>
      </c>
      <c r="Y1164" s="1355">
        <v>7</v>
      </c>
      <c r="Z1164" s="1356"/>
      <c r="AA1164" s="1356"/>
      <c r="AB1164" s="1356"/>
      <c r="AC1164" s="1356"/>
      <c r="AD1164" s="1356"/>
      <c r="AE1164" s="1356"/>
      <c r="AF1164" s="1356"/>
      <c r="AG1164" s="1356"/>
      <c r="AK1164" s="1166"/>
    </row>
    <row r="1165" spans="1:69" outlineLevel="1" x14ac:dyDescent="0.25">
      <c r="B1165" s="1580"/>
      <c r="C1165" s="443"/>
      <c r="D1165" s="3098" t="s">
        <v>2157</v>
      </c>
      <c r="E1165" s="1681" t="str">
        <f>E1024</f>
        <v>Incremental Cost - Non-DI</v>
      </c>
      <c r="F1165" s="3122">
        <f>'Efficient Products Deemed Table'!$F$228</f>
        <v>30</v>
      </c>
      <c r="G1165" s="3123"/>
      <c r="H1165" s="3123"/>
      <c r="I1165" s="3124"/>
      <c r="J1165" s="2954"/>
      <c r="K1165" s="3039"/>
      <c r="L1165" s="3038"/>
      <c r="V1165" s="3088" t="str">
        <f>D1165</f>
        <v>Inc. Cost Tier 2 Power Strip</v>
      </c>
      <c r="W1165" s="1355">
        <v>7</v>
      </c>
      <c r="X1165" s="1355">
        <v>7</v>
      </c>
      <c r="Y1165" s="1355">
        <v>7</v>
      </c>
      <c r="Z1165" s="1356"/>
      <c r="AA1165" s="1356"/>
      <c r="AB1165" s="1356"/>
      <c r="AC1165" s="1356"/>
      <c r="AD1165" s="1356"/>
      <c r="AE1165" s="1356"/>
      <c r="AF1165" s="1356"/>
      <c r="AG1165" s="1356"/>
      <c r="AK1165" s="1166"/>
    </row>
    <row r="1166" spans="1:69" outlineLevel="1" x14ac:dyDescent="0.25">
      <c r="B1166" s="1580"/>
      <c r="C1166" s="443"/>
      <c r="D1166" s="3099"/>
      <c r="E1166" s="1681" t="str">
        <f>E1025</f>
        <v>Incremental Cost - Direct Install (DI)</v>
      </c>
      <c r="F1166" s="3122">
        <f>'Efficient Products Deemed Table'!$F$228</f>
        <v>30</v>
      </c>
      <c r="G1166" s="3123"/>
      <c r="H1166" s="3123"/>
      <c r="I1166" s="3124"/>
      <c r="J1166" s="2954"/>
      <c r="K1166" s="3039"/>
      <c r="L1166" s="3038"/>
      <c r="V1166" s="3070"/>
      <c r="W1166" s="1355">
        <v>7</v>
      </c>
      <c r="X1166" s="1355">
        <v>7</v>
      </c>
      <c r="Y1166" s="1355">
        <v>7</v>
      </c>
      <c r="Z1166" s="1356"/>
      <c r="AA1166" s="1356"/>
      <c r="AB1166" s="1356"/>
      <c r="AC1166" s="1356"/>
      <c r="AD1166" s="1356"/>
      <c r="AE1166" s="1356"/>
      <c r="AF1166" s="1356"/>
      <c r="AG1166" s="1356"/>
      <c r="AK1166" s="1166"/>
    </row>
    <row r="1167" spans="1:69" ht="15" customHeight="1" x14ac:dyDescent="0.25">
      <c r="A1167" s="177"/>
      <c r="B1167" s="177"/>
      <c r="C1167" s="455"/>
      <c r="D1167" s="2267" t="s">
        <v>2158</v>
      </c>
      <c r="E1167" s="2268"/>
      <c r="F1167" s="2268"/>
      <c r="G1167" s="2268"/>
      <c r="H1167" s="2268"/>
      <c r="I1167" s="2268"/>
      <c r="M1167" s="177"/>
      <c r="N1167" s="177"/>
      <c r="V1167" s="1492"/>
      <c r="W1167" s="1160"/>
      <c r="X1167" s="1160"/>
      <c r="Y1167" s="1983" t="s">
        <v>1677</v>
      </c>
      <c r="Z1167" s="592"/>
      <c r="AK1167" s="1166"/>
    </row>
    <row r="1168" spans="1:69" x14ac:dyDescent="0.25">
      <c r="A1168" s="177"/>
      <c r="B1168" s="177"/>
      <c r="C1168" s="455"/>
      <c r="D1168" s="456"/>
      <c r="E1168" s="456"/>
      <c r="F1168" s="177"/>
      <c r="G1168" s="177"/>
      <c r="H1168" s="177"/>
      <c r="I1168" s="177"/>
      <c r="J1168" s="177"/>
      <c r="K1168" s="177"/>
      <c r="L1168" s="177"/>
      <c r="M1168" s="177"/>
      <c r="N1168" s="177"/>
      <c r="V1168" s="1160"/>
      <c r="W1168" s="1160"/>
      <c r="X1168" s="1160"/>
      <c r="AK1168" s="1166"/>
    </row>
    <row r="1169" spans="1:57" x14ac:dyDescent="0.25">
      <c r="A1169" s="177"/>
      <c r="B1169" s="2639" t="s">
        <v>139</v>
      </c>
      <c r="C1169" s="2640"/>
      <c r="D1169" s="2640"/>
      <c r="E1169" s="2640"/>
      <c r="F1169" s="2640"/>
      <c r="G1169" s="2640"/>
      <c r="H1169" s="2640"/>
      <c r="I1169" s="2640"/>
      <c r="J1169" s="2640"/>
      <c r="K1169" s="2640"/>
      <c r="L1169" s="2640"/>
      <c r="M1169" s="2640"/>
      <c r="N1169" s="2640"/>
      <c r="O1169" s="2640"/>
      <c r="P1169" s="2640"/>
      <c r="Q1169" s="2640"/>
      <c r="R1169" s="2734"/>
      <c r="V1169" s="2639" t="str">
        <f>B1169</f>
        <v>Refrigerator</v>
      </c>
      <c r="W1169" s="2640"/>
      <c r="X1169" s="2640"/>
      <c r="Y1169" s="2640"/>
      <c r="Z1169" s="2640"/>
      <c r="AA1169" s="2640"/>
      <c r="AB1169" s="2640"/>
      <c r="AC1169" s="2615"/>
      <c r="AD1169" s="2615"/>
      <c r="AE1169" s="2615"/>
      <c r="AF1169" s="2615"/>
      <c r="AG1169" s="2615"/>
      <c r="AH1169" s="2615"/>
      <c r="AI1169" s="2616"/>
      <c r="AK1169" s="1166"/>
    </row>
    <row r="1170" spans="1:57" x14ac:dyDescent="0.25">
      <c r="A1170" s="177"/>
      <c r="B1170" s="177"/>
      <c r="C1170" s="455"/>
      <c r="D1170" s="456"/>
      <c r="E1170" s="456"/>
      <c r="F1170" s="177"/>
      <c r="G1170" s="177"/>
      <c r="H1170" s="177"/>
      <c r="I1170" s="177"/>
      <c r="J1170" s="177"/>
      <c r="K1170" s="177"/>
      <c r="L1170" s="177"/>
      <c r="M1170" s="177"/>
      <c r="N1170" s="177"/>
      <c r="AK1170" s="1166"/>
    </row>
    <row r="1171" spans="1:57" ht="30" x14ac:dyDescent="0.25">
      <c r="C1171" s="1641" t="s">
        <v>17</v>
      </c>
      <c r="D1171" s="1641" t="s">
        <v>662</v>
      </c>
      <c r="E1171" s="1641" t="s">
        <v>19</v>
      </c>
      <c r="F1171" s="1641" t="s">
        <v>20</v>
      </c>
      <c r="G1171" s="1641" t="s">
        <v>21</v>
      </c>
      <c r="H1171" s="1641" t="s">
        <v>22</v>
      </c>
      <c r="I1171" s="1641" t="s">
        <v>23</v>
      </c>
      <c r="J1171" s="1641" t="s">
        <v>24</v>
      </c>
      <c r="K1171" s="1641" t="s">
        <v>25</v>
      </c>
      <c r="L1171" s="1641" t="s">
        <v>26</v>
      </c>
      <c r="V1171" s="55" t="s">
        <v>27</v>
      </c>
      <c r="W1171" s="56">
        <v>43252</v>
      </c>
      <c r="X1171" s="56">
        <f>$X$6</f>
        <v>43465</v>
      </c>
      <c r="Y1171" s="500">
        <f>$Y$6</f>
        <v>43800</v>
      </c>
      <c r="Z1171" s="56">
        <f>$Z$6</f>
        <v>43862</v>
      </c>
      <c r="AA1171" s="56" t="str">
        <f>$AA$6</f>
        <v>-</v>
      </c>
      <c r="AB1171" s="56" t="str">
        <f>$AB$6</f>
        <v>-</v>
      </c>
      <c r="AC1171" s="56" t="str">
        <f>$AC$6</f>
        <v>-</v>
      </c>
      <c r="AD1171" s="56" t="str">
        <f>$AD$6</f>
        <v>-</v>
      </c>
      <c r="AE1171" s="56" t="str">
        <f>$AE$6</f>
        <v>-</v>
      </c>
      <c r="AF1171" s="56" t="str">
        <f>$AF$6</f>
        <v>-</v>
      </c>
      <c r="AG1171" s="56" t="str">
        <f>$AG$6</f>
        <v>-</v>
      </c>
      <c r="AK1171" s="1166"/>
      <c r="BB1171" s="57" t="str">
        <f>$BB$6</f>
        <v>TRC (2020)</v>
      </c>
      <c r="BC1171" s="103" t="str">
        <f>$BC$6</f>
        <v>Benefit Lookup</v>
      </c>
      <c r="BD1171" s="883" t="str">
        <f>$BD$6</f>
        <v>Benefits (2019 $)</v>
      </c>
      <c r="BE1171" s="334" t="str">
        <f>$BE$6</f>
        <v>Incremental Cost (2019 $)</v>
      </c>
    </row>
    <row r="1172" spans="1:57" x14ac:dyDescent="0.25">
      <c r="C1172" s="92" t="s">
        <v>2159</v>
      </c>
      <c r="D1172" s="150" t="s">
        <v>2076</v>
      </c>
      <c r="E1172" s="884" t="s">
        <v>2160</v>
      </c>
      <c r="F1172" s="2269">
        <f>ROUND(F1183-(F1185*(1-F1186)),2)</f>
        <v>564.66</v>
      </c>
      <c r="G1172" s="219" t="s">
        <v>2161</v>
      </c>
      <c r="H1172" s="239">
        <f>VLOOKUP(G1172,'CP FACTORS'!$A$3:$B$38, 2, FALSE)</f>
        <v>1.286107E-4</v>
      </c>
      <c r="I1172" s="2015">
        <f t="shared" ref="I1172:I1175" si="225">ROUND(F1172*H1172,6)</f>
        <v>7.2621000000000005E-2</v>
      </c>
      <c r="J1172" s="157">
        <f>$F$1199</f>
        <v>6</v>
      </c>
      <c r="K1172" s="700">
        <f>$F$1201</f>
        <v>753</v>
      </c>
      <c r="L1172" s="92" t="s">
        <v>37</v>
      </c>
      <c r="M1172" s="1325"/>
      <c r="V1172" s="245" t="str">
        <f>F1171</f>
        <v>kWh Annual Savings</v>
      </c>
      <c r="W1172" s="246">
        <v>564.66038920276219</v>
      </c>
      <c r="X1172" s="1164">
        <v>564.66038920276219</v>
      </c>
      <c r="Y1172" s="1165">
        <v>564.66</v>
      </c>
      <c r="Z1172" s="245"/>
      <c r="AA1172" s="245"/>
      <c r="AB1172" s="245"/>
      <c r="AC1172" s="245"/>
      <c r="AD1172" s="245"/>
      <c r="AE1172" s="245"/>
      <c r="AF1172" s="245"/>
      <c r="AG1172" s="245"/>
      <c r="AK1172" s="1166"/>
      <c r="BB1172" s="68">
        <f t="shared" ref="BB1172" si="226">(BD1172+BD1173)/(BE1172+BE1173)</f>
        <v>0.18847747808723556</v>
      </c>
      <c r="BC1172" s="69" t="str">
        <f>CONCATENATE(G1172," ",J1172," Year EUL")</f>
        <v>Refrigeration RES 6 Year EUL</v>
      </c>
      <c r="BD1172" s="162">
        <f>(INDEX('Avoided Cost Benefits'!$C$4:$C$857,MATCH(BC1172,'Avoided Cost Benefits'!$A$4:$A$857,0)))*F1172</f>
        <v>117.12499089042501</v>
      </c>
      <c r="BE1172" s="70">
        <f>K1172/(1.0595^(2020-2019))</f>
        <v>710.71260028315237</v>
      </c>
    </row>
    <row r="1173" spans="1:57" x14ac:dyDescent="0.25">
      <c r="C1173" s="92" t="s">
        <v>2159</v>
      </c>
      <c r="D1173" s="150" t="s">
        <v>2076</v>
      </c>
      <c r="E1173" s="892" t="s">
        <v>2162</v>
      </c>
      <c r="F1173" s="2270">
        <f>ROUND(F1187-(F1185*(1-F1186)),2)</f>
        <v>46.72</v>
      </c>
      <c r="G1173" s="219" t="s">
        <v>2163</v>
      </c>
      <c r="H1173" s="239">
        <f>VLOOKUP(G1173,'CP FACTORS'!$A$3:$B$38, 2, FALSE)</f>
        <v>1.286107E-4</v>
      </c>
      <c r="I1173" s="2015">
        <f t="shared" si="225"/>
        <v>6.0089999999999996E-3</v>
      </c>
      <c r="J1173" s="157">
        <f>$F$1200</f>
        <v>11</v>
      </c>
      <c r="K1173" s="700">
        <v>0</v>
      </c>
      <c r="L1173" s="92" t="s">
        <v>37</v>
      </c>
      <c r="M1173" s="1325"/>
      <c r="V1173" s="245" t="str">
        <f>V1172</f>
        <v>kWh Annual Savings</v>
      </c>
      <c r="W1173" s="246">
        <v>46.722222222222229</v>
      </c>
      <c r="X1173" s="1164">
        <v>46.722222222222229</v>
      </c>
      <c r="Y1173" s="1165">
        <v>46.72</v>
      </c>
      <c r="Z1173" s="245"/>
      <c r="AA1173" s="245"/>
      <c r="AB1173" s="245"/>
      <c r="AC1173" s="245"/>
      <c r="AD1173" s="245"/>
      <c r="AE1173" s="245"/>
      <c r="AF1173" s="245"/>
      <c r="AG1173" s="245"/>
      <c r="AH1173" s="1177"/>
      <c r="AI1173" s="1177"/>
      <c r="AK1173" s="1166"/>
      <c r="BB1173" s="1275"/>
      <c r="BC1173" s="73" t="str">
        <f t="shared" ref="BC1173" si="227">CONCATENATE(G1173," ",J1173," Year EUL")</f>
        <v>Refrigeration RES ER2 11 Year EUL</v>
      </c>
      <c r="BD1173" s="165">
        <f>(INDEX('Avoided Cost Benefits'!$C$4:$C$857,MATCH(BC1173,'Avoided Cost Benefits'!$A$4:$A$857,0)))*F1173</f>
        <v>16.828327655765037</v>
      </c>
      <c r="BE1173" s="74">
        <f t="shared" ref="BE1173" si="228">K1173/(1.0595^(2020-2019))</f>
        <v>0</v>
      </c>
    </row>
    <row r="1174" spans="1:57" x14ac:dyDescent="0.25">
      <c r="C1174" s="92" t="s">
        <v>2164</v>
      </c>
      <c r="D1174" s="150" t="s">
        <v>2076</v>
      </c>
      <c r="E1174" s="884" t="s">
        <v>2165</v>
      </c>
      <c r="F1174" s="2269">
        <f>ROUND(F1184-(F1185*(1-F1186)),2)</f>
        <v>1269.9100000000001</v>
      </c>
      <c r="G1174" s="219" t="s">
        <v>2161</v>
      </c>
      <c r="H1174" s="239">
        <f>VLOOKUP(G1174,'CP FACTORS'!$A$3:$B$38, 2, FALSE)</f>
        <v>1.286107E-4</v>
      </c>
      <c r="I1174" s="2015">
        <f t="shared" si="225"/>
        <v>0.163324</v>
      </c>
      <c r="J1174" s="157">
        <f>$F$1199</f>
        <v>6</v>
      </c>
      <c r="K1174" s="700">
        <f>$F$1201</f>
        <v>753</v>
      </c>
      <c r="L1174" s="92" t="s">
        <v>37</v>
      </c>
      <c r="M1174" s="1325"/>
      <c r="V1174" s="245" t="str">
        <f t="shared" ref="V1174:V1175" si="229">V1173</f>
        <v>kWh Annual Savings</v>
      </c>
      <c r="W1174" s="246"/>
      <c r="X1174" s="1164"/>
      <c r="Y1174" s="1168">
        <v>1269.9100000000001</v>
      </c>
      <c r="Z1174" s="245"/>
      <c r="AA1174" s="245"/>
      <c r="AB1174" s="245"/>
      <c r="AC1174" s="245"/>
      <c r="AD1174" s="245"/>
      <c r="AE1174" s="245"/>
      <c r="AF1174" s="245"/>
      <c r="AG1174" s="245"/>
      <c r="AK1174" s="1166"/>
      <c r="BB1174" s="72">
        <f t="shared" ref="BB1174" si="230">(BD1174+BD1175)/(BE1174+BE1175)</f>
        <v>0.39430887713969415</v>
      </c>
      <c r="BC1174" s="73" t="str">
        <f>CONCATENATE(G1174," ",J1174," Year EUL")</f>
        <v>Refrigeration RES 6 Year EUL</v>
      </c>
      <c r="BD1174" s="165">
        <f>(INDEX('Avoided Cost Benefits'!$C$4:$C$857,MATCH(BC1174,'Avoided Cost Benefits'!$A$4:$A$857,0)))*F1174</f>
        <v>263.41195973091709</v>
      </c>
      <c r="BE1174" s="74">
        <f>K1174/(1.0595^(2020-2019))</f>
        <v>710.71260028315237</v>
      </c>
    </row>
    <row r="1175" spans="1:57" x14ac:dyDescent="0.25">
      <c r="C1175" s="92" t="s">
        <v>2164</v>
      </c>
      <c r="D1175" s="150" t="s">
        <v>2076</v>
      </c>
      <c r="E1175" s="892" t="s">
        <v>2166</v>
      </c>
      <c r="F1175" s="2270">
        <f>ROUND(F1185-(F1185*(1-F1186)),2)</f>
        <v>46.72</v>
      </c>
      <c r="G1175" s="219" t="s">
        <v>2163</v>
      </c>
      <c r="H1175" s="239">
        <f>VLOOKUP(G1175,'CP FACTORS'!$A$3:$B$38, 2, FALSE)</f>
        <v>1.286107E-4</v>
      </c>
      <c r="I1175" s="2015">
        <f t="shared" si="225"/>
        <v>6.0089999999999996E-3</v>
      </c>
      <c r="J1175" s="157">
        <f>$F$1200</f>
        <v>11</v>
      </c>
      <c r="K1175" s="700">
        <v>0</v>
      </c>
      <c r="L1175" s="92" t="s">
        <v>37</v>
      </c>
      <c r="M1175" s="1325"/>
      <c r="V1175" s="245" t="str">
        <f t="shared" si="229"/>
        <v>kWh Annual Savings</v>
      </c>
      <c r="W1175" s="246"/>
      <c r="X1175" s="1164"/>
      <c r="Y1175" s="1168">
        <v>46.72</v>
      </c>
      <c r="Z1175" s="245"/>
      <c r="AA1175" s="245"/>
      <c r="AB1175" s="245"/>
      <c r="AC1175" s="245"/>
      <c r="AD1175" s="245"/>
      <c r="AE1175" s="245"/>
      <c r="AF1175" s="245"/>
      <c r="AG1175" s="245"/>
      <c r="AH1175" s="1177"/>
      <c r="AI1175" s="1177"/>
      <c r="AK1175" s="1166"/>
      <c r="BB1175" s="1277"/>
      <c r="BC1175" s="73" t="str">
        <f t="shared" ref="BC1175" si="231">CONCATENATE(G1175," ",J1175," Year EUL")</f>
        <v>Refrigeration RES ER2 11 Year EUL</v>
      </c>
      <c r="BD1175" s="170">
        <f>(INDEX('Avoided Cost Benefits'!$C$4:$C$857,MATCH(BC1175,'Avoided Cost Benefits'!$A$4:$A$857,0)))*F1175</f>
        <v>16.828327655765037</v>
      </c>
      <c r="BE1175" s="76">
        <f t="shared" ref="BE1175" si="232">K1175/(1.0595^(2020-2019))</f>
        <v>0</v>
      </c>
    </row>
    <row r="1176" spans="1:57" outlineLevel="1" x14ac:dyDescent="0.25">
      <c r="C1176" s="171"/>
      <c r="D1176" s="1424"/>
      <c r="E1176" s="1424"/>
      <c r="F1176" s="2190"/>
      <c r="G1176" s="727"/>
      <c r="H1176" s="1325"/>
      <c r="I1176" s="1479"/>
      <c r="J1176" s="2264"/>
      <c r="K1176" s="1479"/>
      <c r="L1176" s="698"/>
      <c r="M1176" s="1325"/>
      <c r="AH1176" s="1177"/>
      <c r="AI1176" s="1177"/>
      <c r="AK1176" s="1166"/>
    </row>
    <row r="1177" spans="1:57" outlineLevel="1" x14ac:dyDescent="0.25">
      <c r="C1177" s="171"/>
      <c r="D1177" s="259" t="s">
        <v>617</v>
      </c>
      <c r="E1177" s="1424"/>
      <c r="F1177" s="2190"/>
      <c r="G1177" s="727"/>
      <c r="H1177" s="1325"/>
      <c r="I1177" s="1479"/>
      <c r="J1177" s="2264"/>
      <c r="K1177" s="1479"/>
      <c r="L1177" s="698"/>
      <c r="M1177" s="1325"/>
      <c r="AH1177" s="1177"/>
      <c r="AI1177" s="1177"/>
      <c r="AK1177" s="1166"/>
    </row>
    <row r="1178" spans="1:57" outlineLevel="1" x14ac:dyDescent="0.25">
      <c r="C1178" s="171"/>
      <c r="D1178" s="1424"/>
      <c r="E1178" s="1424"/>
      <c r="F1178" s="2190"/>
      <c r="G1178" s="727"/>
      <c r="H1178" s="1325"/>
      <c r="I1178" s="1479"/>
      <c r="J1178" s="2264"/>
      <c r="K1178" s="1479"/>
      <c r="L1178" s="698"/>
      <c r="M1178" s="1325"/>
      <c r="AK1178" s="1166"/>
    </row>
    <row r="1179" spans="1:57" outlineLevel="1" x14ac:dyDescent="0.25">
      <c r="C1179" s="171"/>
      <c r="D1179" s="1424"/>
      <c r="E1179" s="1424"/>
      <c r="F1179" s="2190"/>
      <c r="G1179" s="727"/>
      <c r="H1179" s="1325"/>
      <c r="I1179" s="1479"/>
      <c r="J1179" s="2264"/>
      <c r="K1179" s="1479"/>
      <c r="L1179" s="698"/>
      <c r="M1179" s="1325"/>
      <c r="AK1179" s="1166"/>
    </row>
    <row r="1180" spans="1:57" outlineLevel="1" x14ac:dyDescent="0.25">
      <c r="C1180" s="171"/>
      <c r="D1180" s="1424"/>
      <c r="E1180" s="1424"/>
      <c r="F1180" s="2190"/>
      <c r="G1180" s="727"/>
      <c r="H1180" s="1325"/>
      <c r="I1180" s="1479"/>
      <c r="J1180" s="2264"/>
      <c r="K1180" s="1479"/>
      <c r="L1180" s="698"/>
      <c r="M1180" s="1325"/>
      <c r="AK1180" s="1166"/>
    </row>
    <row r="1181" spans="1:57" outlineLevel="1" x14ac:dyDescent="0.25">
      <c r="D1181" s="1552"/>
      <c r="E1181" s="1552"/>
      <c r="F1181" s="1325"/>
      <c r="G1181" s="1325"/>
      <c r="H1181" s="1325"/>
      <c r="I1181" s="1325"/>
      <c r="J1181" s="1325"/>
      <c r="K1181" s="1325"/>
      <c r="L1181" s="1325"/>
      <c r="M1181" s="1325"/>
      <c r="AK1181" s="1166"/>
    </row>
    <row r="1182" spans="1:57" outlineLevel="1" x14ac:dyDescent="0.25">
      <c r="D1182" s="1641" t="s">
        <v>618</v>
      </c>
      <c r="E1182" s="1641" t="s">
        <v>619</v>
      </c>
      <c r="F1182" s="1641" t="s">
        <v>620</v>
      </c>
      <c r="G1182" s="1641" t="s">
        <v>670</v>
      </c>
      <c r="H1182" s="1494"/>
      <c r="I1182" s="177"/>
      <c r="J1182" s="177"/>
      <c r="K1182" s="1494"/>
      <c r="L1182" s="1494"/>
      <c r="M1182" s="1494"/>
      <c r="N1182" s="1494"/>
      <c r="O1182" s="1494"/>
      <c r="P1182" s="1494"/>
      <c r="Q1182" s="1494"/>
      <c r="R1182" s="1494"/>
      <c r="V1182" s="55" t="s">
        <v>27</v>
      </c>
      <c r="W1182" s="56">
        <f>W$6</f>
        <v>43252</v>
      </c>
      <c r="X1182" s="56">
        <f t="shared" ref="X1182:AG1182" si="233">X$6</f>
        <v>43465</v>
      </c>
      <c r="Y1182" s="500">
        <f t="shared" si="233"/>
        <v>43800</v>
      </c>
      <c r="Z1182" s="56">
        <f t="shared" si="233"/>
        <v>43862</v>
      </c>
      <c r="AA1182" s="56" t="str">
        <f t="shared" si="233"/>
        <v>-</v>
      </c>
      <c r="AB1182" s="56" t="str">
        <f t="shared" si="233"/>
        <v>-</v>
      </c>
      <c r="AC1182" s="56" t="str">
        <f t="shared" si="233"/>
        <v>-</v>
      </c>
      <c r="AD1182" s="56" t="str">
        <f t="shared" si="233"/>
        <v>-</v>
      </c>
      <c r="AE1182" s="56" t="str">
        <f t="shared" si="233"/>
        <v>-</v>
      </c>
      <c r="AF1182" s="56" t="str">
        <f t="shared" si="233"/>
        <v>-</v>
      </c>
      <c r="AG1182" s="56" t="str">
        <f t="shared" si="233"/>
        <v>-</v>
      </c>
      <c r="AK1182" s="1166"/>
    </row>
    <row r="1183" spans="1:57" outlineLevel="1" x14ac:dyDescent="0.25">
      <c r="D1183" s="3133" t="s">
        <v>2415</v>
      </c>
      <c r="E1183" s="1278" t="s">
        <v>2167</v>
      </c>
      <c r="F1183" s="1495">
        <f>SUMPRODUCT($F$1187:$F$1192, $F$1193:$F$1198)/SUM($F$1193:$F$1198)</f>
        <v>985.16038920276219</v>
      </c>
      <c r="G1183" s="1279"/>
      <c r="H1183" s="1494"/>
      <c r="I1183" s="3135" t="s">
        <v>2168</v>
      </c>
      <c r="J1183" s="3136"/>
      <c r="K1183" s="3136"/>
      <c r="L1183" s="3136"/>
      <c r="M1183" s="3136"/>
      <c r="N1183" s="3136"/>
      <c r="O1183" s="3136"/>
      <c r="P1183" s="3136"/>
      <c r="Q1183" s="3136"/>
      <c r="R1183" s="3137"/>
      <c r="V1183" s="3133" t="str">
        <f>D1183</f>
        <v>kWhBase</v>
      </c>
      <c r="W1183" s="1495">
        <v>985.16038920276219</v>
      </c>
      <c r="X1183" s="1495">
        <f>SUMPRODUCT($F$1187:$F$1192, $F$1193:$F$1198)/SUM($F$1193:$F$1198)</f>
        <v>985.16038920276219</v>
      </c>
      <c r="Y1183" s="1495">
        <v>985.16038920276219</v>
      </c>
      <c r="Z1183" s="1496"/>
      <c r="AA1183" s="1496"/>
      <c r="AB1183" s="1496"/>
      <c r="AC1183" s="1496"/>
      <c r="AD1183" s="1496"/>
      <c r="AE1183" s="1496"/>
      <c r="AF1183" s="1496"/>
      <c r="AG1183" s="1496"/>
      <c r="AK1183" s="1166"/>
    </row>
    <row r="1184" spans="1:57" outlineLevel="1" x14ac:dyDescent="0.25">
      <c r="D1184" s="3134"/>
      <c r="E1184" s="1278" t="s">
        <v>2169</v>
      </c>
      <c r="F1184" s="1495">
        <f>SUMPRODUCT($F$1190:$F$1192, $F$1196:$F$1198)/SUM($F$1196:$F$1198)</f>
        <v>1690.4148148148149</v>
      </c>
      <c r="G1184" s="1279"/>
      <c r="H1184" s="1494"/>
      <c r="I1184" s="2943"/>
      <c r="J1184" s="2944"/>
      <c r="K1184" s="2944"/>
      <c r="L1184" s="2944"/>
      <c r="M1184" s="2944"/>
      <c r="N1184" s="2944"/>
      <c r="O1184" s="2944"/>
      <c r="P1184" s="2944"/>
      <c r="Q1184" s="2944"/>
      <c r="R1184" s="2945"/>
      <c r="V1184" s="3138"/>
      <c r="W1184" s="1495"/>
      <c r="X1184" s="1495"/>
      <c r="Y1184" s="762">
        <v>1690.4148148148149</v>
      </c>
      <c r="Z1184" s="1496"/>
      <c r="AA1184" s="1496"/>
      <c r="AB1184" s="1496"/>
      <c r="AC1184" s="1496"/>
      <c r="AD1184" s="1496"/>
      <c r="AE1184" s="1496"/>
      <c r="AF1184" s="1496"/>
      <c r="AG1184" s="1496"/>
      <c r="AK1184" s="1166"/>
    </row>
    <row r="1185" spans="2:37" ht="18" outlineLevel="1" x14ac:dyDescent="0.35">
      <c r="D1185" s="1306" t="s">
        <v>2416</v>
      </c>
      <c r="E1185" s="1278" t="s">
        <v>2170</v>
      </c>
      <c r="F1185" s="1495">
        <f>$F$1187</f>
        <v>467.22222222222223</v>
      </c>
      <c r="G1185" s="1279"/>
      <c r="H1185" s="1494"/>
      <c r="I1185" s="3139" t="s">
        <v>2171</v>
      </c>
      <c r="J1185" s="1676" t="s">
        <v>2172</v>
      </c>
      <c r="K1185" s="3140" t="s">
        <v>2173</v>
      </c>
      <c r="L1185" s="3140"/>
      <c r="M1185" s="3140"/>
      <c r="N1185" s="3141" t="s">
        <v>2174</v>
      </c>
      <c r="O1185" s="3142"/>
      <c r="P1185" s="3142"/>
      <c r="Q1185" s="3143"/>
      <c r="R1185" s="3144"/>
      <c r="V1185" s="1306" t="str">
        <f t="shared" ref="V1185:V1198" si="234">D1185</f>
        <v>kWhnew</v>
      </c>
      <c r="W1185" s="1495">
        <v>467.22222222222223</v>
      </c>
      <c r="X1185" s="1495">
        <f>$F$1187</f>
        <v>467.22222222222223</v>
      </c>
      <c r="Y1185" s="1495">
        <v>467.22222222222223</v>
      </c>
      <c r="Z1185" s="1496"/>
      <c r="AA1185" s="1496"/>
      <c r="AB1185" s="1496"/>
      <c r="AC1185" s="1496"/>
      <c r="AD1185" s="1496"/>
      <c r="AE1185" s="1496"/>
      <c r="AF1185" s="1496"/>
      <c r="AG1185" s="1496"/>
      <c r="AJ1185" s="1166"/>
    </row>
    <row r="1186" spans="2:37" ht="30" outlineLevel="1" x14ac:dyDescent="0.25">
      <c r="D1186" s="1306" t="s">
        <v>2175</v>
      </c>
      <c r="E1186" s="1278" t="s">
        <v>2176</v>
      </c>
      <c r="F1186" s="450">
        <v>0.1</v>
      </c>
      <c r="G1186" s="1679" t="s">
        <v>1289</v>
      </c>
      <c r="H1186" s="1494"/>
      <c r="I1186" s="3139"/>
      <c r="J1186" s="1676" t="s">
        <v>2177</v>
      </c>
      <c r="K1186" s="1676" t="s">
        <v>2178</v>
      </c>
      <c r="L1186" s="1676" t="s">
        <v>2179</v>
      </c>
      <c r="M1186" s="1676" t="s">
        <v>2177</v>
      </c>
      <c r="N1186" s="1676" t="s">
        <v>2178</v>
      </c>
      <c r="O1186" s="1676" t="s">
        <v>2179</v>
      </c>
      <c r="P1186" s="1676" t="s">
        <v>2177</v>
      </c>
      <c r="Q1186" s="1676" t="s">
        <v>2180</v>
      </c>
      <c r="R1186" s="1676" t="s">
        <v>2181</v>
      </c>
      <c r="V1186" s="1306" t="str">
        <f t="shared" si="234"/>
        <v>% Savings</v>
      </c>
      <c r="W1186" s="450">
        <v>0.1</v>
      </c>
      <c r="X1186" s="450">
        <v>0.1</v>
      </c>
      <c r="Y1186" s="450">
        <v>0.1</v>
      </c>
      <c r="Z1186" s="1497"/>
      <c r="AA1186" s="1497"/>
      <c r="AB1186" s="1497"/>
      <c r="AC1186" s="1497"/>
      <c r="AD1186" s="1497"/>
      <c r="AE1186" s="1497"/>
      <c r="AF1186" s="1497"/>
      <c r="AG1186" s="1497"/>
      <c r="AJ1186" s="1166"/>
    </row>
    <row r="1187" spans="2:37" ht="18" outlineLevel="1" x14ac:dyDescent="0.35">
      <c r="D1187" s="1306" t="s">
        <v>2418</v>
      </c>
      <c r="E1187" s="1306" t="s">
        <v>2182</v>
      </c>
      <c r="F1187" s="1495">
        <f>AVERAGE($J$1187:$R$1187)</f>
        <v>467.22222222222223</v>
      </c>
      <c r="G1187" s="1679" t="s">
        <v>1289</v>
      </c>
      <c r="H1187" s="1494"/>
      <c r="I1187" s="2271" t="s">
        <v>2183</v>
      </c>
      <c r="J1187" s="1498">
        <v>483</v>
      </c>
      <c r="K1187" s="1498">
        <v>592</v>
      </c>
      <c r="L1187" s="1498">
        <v>592</v>
      </c>
      <c r="M1187" s="1498">
        <v>592</v>
      </c>
      <c r="N1187" s="1498">
        <v>374</v>
      </c>
      <c r="O1187" s="1498">
        <v>374</v>
      </c>
      <c r="P1187" s="1498">
        <v>374</v>
      </c>
      <c r="Q1187" s="1498">
        <v>412</v>
      </c>
      <c r="R1187" s="1498">
        <v>412</v>
      </c>
      <c r="V1187" s="1306" t="str">
        <f t="shared" si="234"/>
        <v>kWh2011-2015</v>
      </c>
      <c r="W1187" s="1495">
        <v>467.22222222222223</v>
      </c>
      <c r="X1187" s="1495">
        <f>AVERAGE($J$1187:$R$1187)</f>
        <v>467.22222222222223</v>
      </c>
      <c r="Y1187" s="1495">
        <v>467.22222222222223</v>
      </c>
      <c r="Z1187" s="1496"/>
      <c r="AA1187" s="1496"/>
      <c r="AB1187" s="1496"/>
      <c r="AC1187" s="1496"/>
      <c r="AD1187" s="1496"/>
      <c r="AE1187" s="1496"/>
      <c r="AF1187" s="1496"/>
      <c r="AG1187" s="1496"/>
      <c r="AJ1187" s="1166"/>
    </row>
    <row r="1188" spans="2:37" ht="18" outlineLevel="1" x14ac:dyDescent="0.35">
      <c r="D1188" s="1306" t="s">
        <v>2420</v>
      </c>
      <c r="E1188" s="1306" t="s">
        <v>2184</v>
      </c>
      <c r="F1188" s="1495">
        <f>AVERAGE($J$1188:$R$1188)</f>
        <v>651</v>
      </c>
      <c r="G1188" s="1679" t="s">
        <v>1289</v>
      </c>
      <c r="H1188" s="1494"/>
      <c r="I1188" s="2271" t="s">
        <v>2185</v>
      </c>
      <c r="J1188" s="1498">
        <v>724</v>
      </c>
      <c r="K1188" s="1498">
        <v>747</v>
      </c>
      <c r="L1188" s="1498">
        <v>747</v>
      </c>
      <c r="M1188" s="1498">
        <v>747</v>
      </c>
      <c r="N1188" s="1498">
        <v>556</v>
      </c>
      <c r="O1188" s="1498">
        <v>556</v>
      </c>
      <c r="P1188" s="1498">
        <v>556</v>
      </c>
      <c r="Q1188" s="1498">
        <v>613</v>
      </c>
      <c r="R1188" s="1498">
        <v>613</v>
      </c>
      <c r="V1188" s="1306" t="str">
        <f t="shared" si="234"/>
        <v>kWh2001(after July)-2010</v>
      </c>
      <c r="W1188" s="1495">
        <v>651</v>
      </c>
      <c r="X1188" s="1495">
        <f>AVERAGE($J$1188:$R$1188)</f>
        <v>651</v>
      </c>
      <c r="Y1188" s="1495">
        <v>651</v>
      </c>
      <c r="Z1188" s="1496"/>
      <c r="AA1188" s="1496"/>
      <c r="AB1188" s="1496"/>
      <c r="AC1188" s="1496"/>
      <c r="AD1188" s="1496"/>
      <c r="AE1188" s="1496"/>
      <c r="AF1188" s="1496"/>
      <c r="AG1188" s="1496"/>
      <c r="AJ1188" s="1166"/>
    </row>
    <row r="1189" spans="2:37" ht="18" outlineLevel="1" x14ac:dyDescent="0.35">
      <c r="D1189" s="1306" t="s">
        <v>2421</v>
      </c>
      <c r="E1189" s="1306" t="s">
        <v>2186</v>
      </c>
      <c r="F1189" s="1495">
        <f>AVERAGE($J$1189:$R$1189)</f>
        <v>987.33333333333337</v>
      </c>
      <c r="G1189" s="1679" t="s">
        <v>1289</v>
      </c>
      <c r="H1189" s="1494"/>
      <c r="I1189" s="2271" t="s">
        <v>2187</v>
      </c>
      <c r="J1189" s="1498">
        <v>962</v>
      </c>
      <c r="K1189" s="1498">
        <v>1139</v>
      </c>
      <c r="L1189" s="1498">
        <v>1139</v>
      </c>
      <c r="M1189" s="1498">
        <v>1139</v>
      </c>
      <c r="N1189" s="1498">
        <v>861</v>
      </c>
      <c r="O1189" s="1498">
        <v>861</v>
      </c>
      <c r="P1189" s="1498">
        <v>861</v>
      </c>
      <c r="Q1189" s="1498">
        <v>962</v>
      </c>
      <c r="R1189" s="1498">
        <v>962</v>
      </c>
      <c r="V1189" s="1306" t="str">
        <f t="shared" si="234"/>
        <v>kWh1993-2001(before June)</v>
      </c>
      <c r="W1189" s="1495">
        <v>987.33333333333337</v>
      </c>
      <c r="X1189" s="1495">
        <f>AVERAGE($J$1189:$R$1189)</f>
        <v>987.33333333333337</v>
      </c>
      <c r="Y1189" s="1495">
        <v>987.33333333333337</v>
      </c>
      <c r="Z1189" s="1496"/>
      <c r="AA1189" s="1496"/>
      <c r="AB1189" s="1496"/>
      <c r="AC1189" s="1496"/>
      <c r="AD1189" s="1496"/>
      <c r="AE1189" s="1496"/>
      <c r="AF1189" s="1496"/>
      <c r="AG1189" s="1496"/>
      <c r="AJ1189" s="1166"/>
    </row>
    <row r="1190" spans="2:37" ht="18" outlineLevel="1" x14ac:dyDescent="0.35">
      <c r="D1190" s="1306" t="s">
        <v>2422</v>
      </c>
      <c r="E1190" s="1306" t="s">
        <v>2188</v>
      </c>
      <c r="F1190" s="1495">
        <f>AVERAGE($J$1190:$R$1190)</f>
        <v>1450</v>
      </c>
      <c r="G1190" s="1679" t="s">
        <v>1289</v>
      </c>
      <c r="H1190" s="177"/>
      <c r="I1190" s="2271" t="s">
        <v>2189</v>
      </c>
      <c r="J1190" s="1499">
        <v>1519</v>
      </c>
      <c r="K1190" s="1499">
        <v>1617</v>
      </c>
      <c r="L1190" s="1499">
        <v>1617</v>
      </c>
      <c r="M1190" s="1499">
        <v>1617</v>
      </c>
      <c r="N1190" s="1499">
        <v>1272</v>
      </c>
      <c r="O1190" s="1499">
        <v>1272</v>
      </c>
      <c r="P1190" s="1499">
        <v>1272</v>
      </c>
      <c r="Q1190" s="1499">
        <v>1432</v>
      </c>
      <c r="R1190" s="1499">
        <v>1432</v>
      </c>
      <c r="V1190" s="1306" t="str">
        <f t="shared" si="234"/>
        <v>kWh1990-1992</v>
      </c>
      <c r="W1190" s="1495">
        <v>1450</v>
      </c>
      <c r="X1190" s="1495">
        <f>AVERAGE($J$1190:$R$1190)</f>
        <v>1450</v>
      </c>
      <c r="Y1190" s="1495">
        <v>1450</v>
      </c>
      <c r="Z1190" s="1496"/>
      <c r="AA1190" s="1496"/>
      <c r="AB1190" s="1496"/>
      <c r="AC1190" s="1496"/>
      <c r="AD1190" s="1496"/>
      <c r="AE1190" s="1496"/>
      <c r="AF1190" s="1496"/>
      <c r="AG1190" s="1496"/>
      <c r="AJ1190" s="1166"/>
    </row>
    <row r="1191" spans="2:37" ht="18" outlineLevel="1" x14ac:dyDescent="0.35">
      <c r="D1191" s="1306" t="s">
        <v>2423</v>
      </c>
      <c r="E1191" s="1306" t="s">
        <v>2190</v>
      </c>
      <c r="F1191" s="1495">
        <f>AVERAGE($J$1191:$R$1191)</f>
        <v>1900.7777777777778</v>
      </c>
      <c r="G1191" s="1679" t="s">
        <v>1289</v>
      </c>
      <c r="H1191" s="1494"/>
      <c r="I1191" s="2271" t="s">
        <v>2191</v>
      </c>
      <c r="J1191" s="1498">
        <v>1992</v>
      </c>
      <c r="K1191" s="1498">
        <v>2119</v>
      </c>
      <c r="L1191" s="1498">
        <v>2119</v>
      </c>
      <c r="M1191" s="1498">
        <v>2119</v>
      </c>
      <c r="N1191" s="1498">
        <v>1668</v>
      </c>
      <c r="O1191" s="1498">
        <v>1668</v>
      </c>
      <c r="P1191" s="1498">
        <v>1668</v>
      </c>
      <c r="Q1191" s="1498">
        <v>1877</v>
      </c>
      <c r="R1191" s="1498">
        <v>1877</v>
      </c>
      <c r="V1191" s="1306" t="str">
        <f t="shared" si="234"/>
        <v>kWh1980-1989</v>
      </c>
      <c r="W1191" s="1495">
        <v>1900.7777777777778</v>
      </c>
      <c r="X1191" s="1495">
        <f>AVERAGE($J$1191:$R$1191)</f>
        <v>1900.7777777777778</v>
      </c>
      <c r="Y1191" s="1495">
        <v>1900.7777777777778</v>
      </c>
      <c r="Z1191" s="1496"/>
      <c r="AA1191" s="1496"/>
      <c r="AB1191" s="1496"/>
      <c r="AC1191" s="1496"/>
      <c r="AD1191" s="1496"/>
      <c r="AE1191" s="1496"/>
      <c r="AF1191" s="1496"/>
      <c r="AG1191" s="1496"/>
      <c r="AJ1191" s="1166"/>
    </row>
    <row r="1192" spans="2:37" ht="18" outlineLevel="1" x14ac:dyDescent="0.35">
      <c r="D1192" s="1306" t="s">
        <v>2424</v>
      </c>
      <c r="E1192" s="1306" t="s">
        <v>2192</v>
      </c>
      <c r="F1192" s="1495">
        <f>AVERAGE($J$1192:$R$1192)</f>
        <v>2444.125</v>
      </c>
      <c r="G1192" s="1679" t="s">
        <v>1289</v>
      </c>
      <c r="H1192" s="177"/>
      <c r="I1192" s="2271" t="s">
        <v>2193</v>
      </c>
      <c r="J1192" s="1499">
        <v>2523</v>
      </c>
      <c r="K1192" s="1499">
        <v>2684</v>
      </c>
      <c r="L1192" s="1499">
        <v>2684</v>
      </c>
      <c r="M1192" s="1499">
        <v>2684</v>
      </c>
      <c r="N1192" s="1499"/>
      <c r="O1192" s="1499">
        <v>2112</v>
      </c>
      <c r="P1192" s="1499">
        <v>2112</v>
      </c>
      <c r="Q1192" s="1499">
        <v>2377</v>
      </c>
      <c r="R1192" s="1499">
        <v>2377</v>
      </c>
      <c r="V1192" s="1306" t="str">
        <f t="shared" si="234"/>
        <v>kWhbefore 1980</v>
      </c>
      <c r="W1192" s="1495">
        <v>2444.125</v>
      </c>
      <c r="X1192" s="1495">
        <f>AVERAGE($J$1192:$R$1192)</f>
        <v>2444.125</v>
      </c>
      <c r="Y1192" s="1495">
        <v>2444.125</v>
      </c>
      <c r="Z1192" s="1496"/>
      <c r="AA1192" s="1496"/>
      <c r="AB1192" s="1496"/>
      <c r="AC1192" s="1496"/>
      <c r="AD1192" s="1496"/>
      <c r="AE1192" s="1496"/>
      <c r="AF1192" s="1496"/>
      <c r="AG1192" s="1496"/>
      <c r="AK1192" s="1166"/>
    </row>
    <row r="1193" spans="2:37" ht="18" outlineLevel="1" x14ac:dyDescent="0.35">
      <c r="D1193" s="1306" t="s">
        <v>2425</v>
      </c>
      <c r="E1193" s="1306" t="s">
        <v>2194</v>
      </c>
      <c r="F1193" s="1500">
        <v>0</v>
      </c>
      <c r="G1193" s="1679" t="s">
        <v>1289</v>
      </c>
      <c r="H1193" s="1494"/>
      <c r="I1193" s="1494"/>
      <c r="J1193" s="1494"/>
      <c r="K1193" s="1494"/>
      <c r="L1193" s="1494"/>
      <c r="M1193" s="1494"/>
      <c r="N1193" s="1494"/>
      <c r="O1193" s="1494"/>
      <c r="P1193" s="1494"/>
      <c r="Q1193" s="1494"/>
      <c r="R1193" s="1494"/>
      <c r="S1193" s="1494"/>
      <c r="V1193" s="1306" t="str">
        <f t="shared" si="234"/>
        <v>Number of Units2011-2015</v>
      </c>
      <c r="W1193" s="1500">
        <v>0</v>
      </c>
      <c r="X1193" s="1500">
        <v>0</v>
      </c>
      <c r="Y1193" s="1500">
        <v>0</v>
      </c>
      <c r="Z1193" s="1501"/>
      <c r="AA1193" s="1501"/>
      <c r="AB1193" s="1501"/>
      <c r="AC1193" s="1501"/>
      <c r="AD1193" s="1501"/>
      <c r="AE1193" s="1501"/>
      <c r="AF1193" s="1501"/>
      <c r="AG1193" s="1501"/>
      <c r="AK1193" s="1166"/>
    </row>
    <row r="1194" spans="2:37" ht="36" outlineLevel="1" x14ac:dyDescent="0.35">
      <c r="D1194" s="1306" t="s">
        <v>2426</v>
      </c>
      <c r="E1194" s="1306" t="s">
        <v>2195</v>
      </c>
      <c r="F1194" s="1500">
        <v>65</v>
      </c>
      <c r="G1194" s="1679" t="s">
        <v>1289</v>
      </c>
      <c r="H1194" s="1494"/>
      <c r="I1194" s="1494"/>
      <c r="J1194" s="1494"/>
      <c r="K1194" s="1494"/>
      <c r="L1194" s="1494"/>
      <c r="M1194" s="1494"/>
      <c r="N1194" s="1494"/>
      <c r="O1194" s="1494"/>
      <c r="P1194" s="1494"/>
      <c r="Q1194" s="1494"/>
      <c r="R1194" s="1494"/>
      <c r="S1194" s="1494"/>
      <c r="V1194" s="1306" t="str">
        <f t="shared" si="234"/>
        <v>Number of Units2001(after July)-2010</v>
      </c>
      <c r="W1194" s="1500">
        <v>65</v>
      </c>
      <c r="X1194" s="1500">
        <v>65</v>
      </c>
      <c r="Y1194" s="1500">
        <v>65</v>
      </c>
      <c r="Z1194" s="1501"/>
      <c r="AA1194" s="1501"/>
      <c r="AB1194" s="1501"/>
      <c r="AC1194" s="1501"/>
      <c r="AD1194" s="1501"/>
      <c r="AE1194" s="1501"/>
      <c r="AF1194" s="1501"/>
      <c r="AG1194" s="1501"/>
      <c r="AK1194" s="1166"/>
    </row>
    <row r="1195" spans="2:37" ht="36" outlineLevel="1" x14ac:dyDescent="0.35">
      <c r="D1195" s="1306" t="s">
        <v>2427</v>
      </c>
      <c r="E1195" s="1306" t="s">
        <v>2196</v>
      </c>
      <c r="F1195" s="1500">
        <v>259</v>
      </c>
      <c r="G1195" s="1679" t="s">
        <v>1289</v>
      </c>
      <c r="H1195" s="1494"/>
      <c r="I1195" s="1494"/>
      <c r="J1195" s="1494"/>
      <c r="K1195" s="1494"/>
      <c r="L1195" s="1494"/>
      <c r="M1195" s="1494"/>
      <c r="N1195" s="1494"/>
      <c r="O1195" s="1494"/>
      <c r="P1195" s="1494"/>
      <c r="Q1195" s="1494"/>
      <c r="R1195" s="1494"/>
      <c r="S1195" s="1494"/>
      <c r="V1195" s="1306" t="str">
        <f t="shared" si="234"/>
        <v>Number of Units1993-2001(before June)</v>
      </c>
      <c r="W1195" s="1500">
        <v>259</v>
      </c>
      <c r="X1195" s="1500">
        <v>259</v>
      </c>
      <c r="Y1195" s="1500">
        <v>259</v>
      </c>
      <c r="Z1195" s="1501"/>
      <c r="AA1195" s="1501"/>
      <c r="AB1195" s="1501"/>
      <c r="AC1195" s="1501"/>
      <c r="AD1195" s="1501"/>
      <c r="AE1195" s="1501"/>
      <c r="AF1195" s="1501"/>
      <c r="AG1195" s="1501"/>
      <c r="AK1195" s="1166"/>
    </row>
    <row r="1196" spans="2:37" ht="18" outlineLevel="1" x14ac:dyDescent="0.35">
      <c r="D1196" s="1306" t="s">
        <v>2428</v>
      </c>
      <c r="E1196" s="1306" t="s">
        <v>2197</v>
      </c>
      <c r="F1196" s="1500">
        <v>14</v>
      </c>
      <c r="G1196" s="1679" t="s">
        <v>1289</v>
      </c>
      <c r="H1196" s="1494"/>
      <c r="I1196" s="1494"/>
      <c r="J1196" s="1494"/>
      <c r="K1196" s="1494"/>
      <c r="L1196" s="1494"/>
      <c r="M1196" s="1494"/>
      <c r="N1196" s="1494"/>
      <c r="O1196" s="1494"/>
      <c r="P1196" s="1494"/>
      <c r="Q1196" s="1494"/>
      <c r="R1196" s="1494"/>
      <c r="S1196" s="1494"/>
      <c r="V1196" s="1306" t="str">
        <f t="shared" si="234"/>
        <v>Number of Units1990-1992</v>
      </c>
      <c r="W1196" s="1500">
        <v>14</v>
      </c>
      <c r="X1196" s="1500">
        <v>14</v>
      </c>
      <c r="Y1196" s="1500">
        <v>14</v>
      </c>
      <c r="Z1196" s="1501"/>
      <c r="AA1196" s="1501"/>
      <c r="AB1196" s="1501"/>
      <c r="AC1196" s="1501"/>
      <c r="AD1196" s="1501"/>
      <c r="AE1196" s="1501"/>
      <c r="AF1196" s="1501"/>
      <c r="AG1196" s="1501"/>
      <c r="AK1196" s="1166"/>
    </row>
    <row r="1197" spans="2:37" ht="18" outlineLevel="1" x14ac:dyDescent="0.35">
      <c r="D1197" s="1306" t="s">
        <v>2429</v>
      </c>
      <c r="E1197" s="1306" t="s">
        <v>2198</v>
      </c>
      <c r="F1197" s="1500">
        <v>16</v>
      </c>
      <c r="G1197" s="1679" t="s">
        <v>1289</v>
      </c>
      <c r="H1197" s="1494"/>
      <c r="I1197" s="1494"/>
      <c r="J1197" s="1494"/>
      <c r="K1197" s="1494"/>
      <c r="L1197" s="1494"/>
      <c r="M1197" s="1494"/>
      <c r="N1197" s="1494"/>
      <c r="O1197" s="1494"/>
      <c r="P1197" s="1494"/>
      <c r="Q1197" s="1494"/>
      <c r="R1197" s="1494"/>
      <c r="S1197" s="1494"/>
      <c r="V1197" s="1306" t="str">
        <f t="shared" si="234"/>
        <v>Number of Units1980-1989</v>
      </c>
      <c r="W1197" s="1500">
        <v>16</v>
      </c>
      <c r="X1197" s="1500">
        <v>16</v>
      </c>
      <c r="Y1197" s="1500">
        <v>16</v>
      </c>
      <c r="Z1197" s="1501"/>
      <c r="AA1197" s="1501"/>
      <c r="AB1197" s="1501"/>
      <c r="AC1197" s="1501"/>
      <c r="AD1197" s="1501"/>
      <c r="AE1197" s="1501"/>
      <c r="AF1197" s="1501"/>
      <c r="AG1197" s="1501"/>
      <c r="AK1197" s="1166"/>
    </row>
    <row r="1198" spans="2:37" ht="18" outlineLevel="1" x14ac:dyDescent="0.35">
      <c r="D1198" s="1306" t="s">
        <v>2430</v>
      </c>
      <c r="E1198" s="1306" t="s">
        <v>2199</v>
      </c>
      <c r="F1198" s="1500">
        <v>0</v>
      </c>
      <c r="G1198" s="1679" t="s">
        <v>1289</v>
      </c>
      <c r="H1198" s="1494"/>
      <c r="I1198" s="1494"/>
      <c r="J1198" s="1494"/>
      <c r="K1198" s="1494"/>
      <c r="L1198" s="1494"/>
      <c r="M1198" s="1494"/>
      <c r="N1198" s="1494"/>
      <c r="O1198" s="1494"/>
      <c r="P1198" s="1494"/>
      <c r="Q1198" s="1494"/>
      <c r="R1198" s="1494"/>
      <c r="S1198" s="1494"/>
      <c r="V1198" s="1306" t="str">
        <f t="shared" si="234"/>
        <v>Number of Unitsbefore 1980</v>
      </c>
      <c r="W1198" s="1500">
        <v>0</v>
      </c>
      <c r="X1198" s="1500">
        <v>0</v>
      </c>
      <c r="Y1198" s="1500">
        <v>0</v>
      </c>
      <c r="Z1198" s="1501"/>
      <c r="AA1198" s="1501"/>
      <c r="AB1198" s="1501"/>
      <c r="AC1198" s="1501"/>
      <c r="AD1198" s="1501"/>
      <c r="AE1198" s="1501"/>
      <c r="AF1198" s="1501"/>
      <c r="AG1198" s="1501"/>
      <c r="AK1198" s="1166"/>
    </row>
    <row r="1199" spans="2:37" outlineLevel="1" x14ac:dyDescent="0.25">
      <c r="B1199" s="1580"/>
      <c r="C1199" s="443"/>
      <c r="D1199" s="3098" t="str">
        <f>D1162</f>
        <v>EUL</v>
      </c>
      <c r="E1199" s="1681" t="str">
        <f>E1172</f>
        <v>Refrigerator - early replacement ER1</v>
      </c>
      <c r="F1199" s="1500">
        <v>6</v>
      </c>
      <c r="G1199" s="1679"/>
      <c r="H1199" s="1494"/>
      <c r="I1199" s="1494"/>
      <c r="V1199" s="3098" t="str">
        <f>D1199</f>
        <v>EUL</v>
      </c>
      <c r="W1199" s="1500">
        <v>6</v>
      </c>
      <c r="X1199" s="1500">
        <v>6</v>
      </c>
      <c r="Y1199" s="1500">
        <v>6</v>
      </c>
      <c r="Z1199" s="1501"/>
      <c r="AA1199" s="1501"/>
      <c r="AB1199" s="1501"/>
      <c r="AC1199" s="1501"/>
      <c r="AD1199" s="1501"/>
      <c r="AE1199" s="1501"/>
      <c r="AF1199" s="1501"/>
      <c r="AG1199" s="1501"/>
      <c r="AK1199" s="1166"/>
    </row>
    <row r="1200" spans="2:37" outlineLevel="1" x14ac:dyDescent="0.25">
      <c r="B1200" s="1580"/>
      <c r="C1200" s="443"/>
      <c r="D1200" s="3099"/>
      <c r="E1200" s="1681" t="str">
        <f>E1173</f>
        <v>Refrigerator - early replacement ER2</v>
      </c>
      <c r="F1200" s="1500">
        <v>11</v>
      </c>
      <c r="G1200" s="1679"/>
      <c r="H1200" s="1494"/>
      <c r="I1200" s="1494"/>
      <c r="V1200" s="3099"/>
      <c r="W1200" s="1500">
        <v>11</v>
      </c>
      <c r="X1200" s="1500">
        <v>11</v>
      </c>
      <c r="Y1200" s="1500">
        <v>11</v>
      </c>
      <c r="Z1200" s="1501"/>
      <c r="AA1200" s="1501"/>
      <c r="AB1200" s="1501"/>
      <c r="AC1200" s="1501"/>
      <c r="AD1200" s="1501"/>
      <c r="AE1200" s="1501"/>
      <c r="AF1200" s="1501"/>
      <c r="AG1200" s="1501"/>
      <c r="AK1200" s="1166"/>
    </row>
    <row r="1201" spans="1:57" outlineLevel="1" x14ac:dyDescent="0.25">
      <c r="B1201" s="1580"/>
      <c r="C1201" s="443"/>
      <c r="D1201" s="1681" t="str">
        <f>D1119</f>
        <v>Inc. Cost</v>
      </c>
      <c r="E1201" s="1681" t="s">
        <v>2140</v>
      </c>
      <c r="F1201" s="700">
        <v>753</v>
      </c>
      <c r="G1201" s="1679"/>
      <c r="H1201" s="1494"/>
      <c r="I1201" s="1494"/>
      <c r="V1201" s="1352" t="str">
        <f>D1201</f>
        <v>Inc. Cost</v>
      </c>
      <c r="W1201" s="700">
        <v>753</v>
      </c>
      <c r="X1201" s="700">
        <v>753</v>
      </c>
      <c r="Y1201" s="700">
        <v>753</v>
      </c>
      <c r="Z1201" s="1502"/>
      <c r="AA1201" s="1502"/>
      <c r="AB1201" s="1502"/>
      <c r="AC1201" s="1502"/>
      <c r="AD1201" s="1502"/>
      <c r="AE1201" s="1502"/>
      <c r="AF1201" s="1502"/>
      <c r="AG1201" s="1502"/>
      <c r="AK1201" s="1166"/>
    </row>
    <row r="1202" spans="1:57" x14ac:dyDescent="0.25">
      <c r="X1202" s="355"/>
      <c r="Y1202" s="1983" t="s">
        <v>2200</v>
      </c>
      <c r="Z1202" s="592"/>
      <c r="AA1202" s="592"/>
      <c r="AB1202" s="592"/>
    </row>
    <row r="1205" spans="1:57" s="141" customFormat="1" x14ac:dyDescent="0.25">
      <c r="A1205" s="327"/>
      <c r="B1205" s="2639" t="s">
        <v>908</v>
      </c>
      <c r="C1205" s="2640"/>
      <c r="D1205" s="2640"/>
      <c r="E1205" s="2640"/>
      <c r="F1205" s="2640"/>
      <c r="G1205" s="2640"/>
      <c r="H1205" s="2640"/>
      <c r="I1205" s="2641"/>
      <c r="J1205" s="2641"/>
      <c r="K1205" s="2641"/>
      <c r="L1205" s="2641"/>
      <c r="M1205" s="2641"/>
      <c r="N1205" s="2641"/>
      <c r="O1205" s="2642"/>
      <c r="P1205" s="327"/>
      <c r="Q1205" s="327"/>
      <c r="R1205" s="327"/>
      <c r="S1205" s="327"/>
      <c r="T1205" s="327"/>
      <c r="U1205" s="327"/>
      <c r="V1205" s="2639" t="str">
        <f>B1205</f>
        <v>Energy Star Room AC</v>
      </c>
      <c r="W1205" s="2640"/>
      <c r="X1205" s="2640"/>
      <c r="Y1205" s="2640"/>
      <c r="Z1205" s="2640"/>
      <c r="AA1205" s="2640"/>
      <c r="AB1205" s="2640"/>
      <c r="AC1205" s="2615"/>
      <c r="AD1205" s="2615"/>
      <c r="AE1205" s="2615"/>
      <c r="AF1205" s="2615"/>
      <c r="AG1205" s="2615"/>
      <c r="AH1205" s="2615"/>
      <c r="AI1205" s="2616"/>
      <c r="AU1205" s="249"/>
      <c r="BB1205" s="1299"/>
    </row>
    <row r="1206" spans="1:57" s="141" customFormat="1" x14ac:dyDescent="0.25">
      <c r="A1206" s="327"/>
      <c r="B1206" s="177"/>
      <c r="C1206" s="455"/>
      <c r="D1206" s="456"/>
      <c r="E1206" s="456"/>
      <c r="F1206" s="177"/>
      <c r="G1206" s="177"/>
      <c r="H1206" s="177"/>
      <c r="I1206" s="177"/>
      <c r="J1206" s="177"/>
      <c r="K1206" s="177"/>
      <c r="L1206" s="177"/>
      <c r="M1206" s="177"/>
      <c r="N1206" s="177"/>
      <c r="O1206" s="177"/>
      <c r="P1206" s="327"/>
      <c r="Q1206" s="327"/>
      <c r="R1206" s="327"/>
      <c r="S1206" s="327"/>
      <c r="T1206" s="327"/>
      <c r="U1206" s="327"/>
      <c r="Y1206" s="285"/>
      <c r="AU1206" s="249"/>
      <c r="BB1206" s="1299"/>
    </row>
    <row r="1207" spans="1:57" s="141" customFormat="1" ht="30" x14ac:dyDescent="0.25">
      <c r="A1207" s="327"/>
      <c r="B1207" s="1726"/>
      <c r="C1207" s="1659" t="s">
        <v>17</v>
      </c>
      <c r="D1207" s="1659" t="s">
        <v>662</v>
      </c>
      <c r="E1207" s="1659" t="s">
        <v>19</v>
      </c>
      <c r="F1207" s="1659" t="s">
        <v>20</v>
      </c>
      <c r="G1207" s="1659" t="s">
        <v>21</v>
      </c>
      <c r="H1207" s="1659" t="s">
        <v>22</v>
      </c>
      <c r="I1207" s="1659" t="s">
        <v>23</v>
      </c>
      <c r="J1207" s="1659" t="s">
        <v>24</v>
      </c>
      <c r="K1207" s="1659" t="s">
        <v>25</v>
      </c>
      <c r="L1207" s="1659" t="s">
        <v>26</v>
      </c>
      <c r="M1207" s="332"/>
      <c r="N1207" s="332"/>
      <c r="O1207" s="1726"/>
      <c r="P1207" s="327"/>
      <c r="Q1207" s="327"/>
      <c r="R1207" s="327"/>
      <c r="S1207" s="327"/>
      <c r="T1207" s="327"/>
      <c r="U1207" s="327"/>
      <c r="V1207" s="55" t="s">
        <v>27</v>
      </c>
      <c r="W1207" s="56">
        <v>43252</v>
      </c>
      <c r="X1207" s="56">
        <f>$X$6</f>
        <v>43465</v>
      </c>
      <c r="Y1207" s="500">
        <f>$Y$6</f>
        <v>43800</v>
      </c>
      <c r="Z1207" s="56">
        <f>$Z$6</f>
        <v>43862</v>
      </c>
      <c r="AA1207" s="56" t="str">
        <f>$AA$6</f>
        <v>-</v>
      </c>
      <c r="AB1207" s="56" t="str">
        <f>$AB$6</f>
        <v>-</v>
      </c>
      <c r="AC1207" s="56" t="str">
        <f>$AC$6</f>
        <v>-</v>
      </c>
      <c r="AD1207" s="56" t="str">
        <f>$AD$6</f>
        <v>-</v>
      </c>
      <c r="AE1207" s="56" t="str">
        <f>$AE$6</f>
        <v>-</v>
      </c>
      <c r="AF1207" s="56" t="str">
        <f>$AF$6</f>
        <v>-</v>
      </c>
      <c r="AG1207" s="56" t="str">
        <f>$AG$6</f>
        <v>-</v>
      </c>
      <c r="AU1207" s="249"/>
      <c r="BB1207" s="57" t="str">
        <f>$BB$6</f>
        <v>TRC (2020)</v>
      </c>
      <c r="BC1207" s="103" t="str">
        <f>$BC$6</f>
        <v>Benefit Lookup</v>
      </c>
      <c r="BD1207" s="883" t="str">
        <f>$BD$6</f>
        <v>Benefits (2019 $)</v>
      </c>
      <c r="BE1207" s="334" t="str">
        <f>$BE$6</f>
        <v>Incremental Cost (2019 $)</v>
      </c>
    </row>
    <row r="1208" spans="1:57" s="544" customFormat="1" x14ac:dyDescent="0.25">
      <c r="A1208" s="327"/>
      <c r="B1208" s="233"/>
      <c r="C1208" s="2272" t="s">
        <v>2201</v>
      </c>
      <c r="D1208" s="2273" t="s">
        <v>1613</v>
      </c>
      <c r="E1208" s="237" t="s">
        <v>3393</v>
      </c>
      <c r="F1208" s="488">
        <f>ROUND(($H$1251*$H$1241*(1/$H$1249-1/$H$1248)/1000),2)</f>
        <v>195.22</v>
      </c>
      <c r="G1208" s="61" t="s">
        <v>737</v>
      </c>
      <c r="H1208" s="239">
        <f>VLOOKUP(G1208,'CP FACTORS'!$A$3:$B$38, 2, FALSE)</f>
        <v>9.4741810000000004E-4</v>
      </c>
      <c r="I1208" s="2015">
        <f t="shared" ref="I1208:I1231" si="235">ROUND(F1208*H1208,6)</f>
        <v>0.18495500000000001</v>
      </c>
      <c r="J1208" s="452">
        <f t="shared" ref="J1208:J1231" si="236">$F$1254</f>
        <v>9</v>
      </c>
      <c r="K1208" s="1505">
        <f t="shared" ref="K1208:K1231" si="237">$F$1255</f>
        <v>20</v>
      </c>
      <c r="L1208" s="2273" t="s">
        <v>37</v>
      </c>
      <c r="M1208" s="327"/>
      <c r="N1208" s="1893"/>
      <c r="O1208" s="1453"/>
      <c r="P1208" s="327"/>
      <c r="Q1208" s="327"/>
      <c r="R1208" s="1894"/>
      <c r="S1208" s="327"/>
      <c r="T1208" s="327"/>
      <c r="U1208" s="327"/>
      <c r="V1208" s="547" t="s">
        <v>20</v>
      </c>
      <c r="W1208" s="548"/>
      <c r="X1208" s="1503">
        <v>898.77014282038067</v>
      </c>
      <c r="Y1208" s="349">
        <v>195.22</v>
      </c>
      <c r="Z1208" s="1504"/>
      <c r="AA1208" s="547"/>
      <c r="AB1208" s="547"/>
      <c r="AC1208" s="547"/>
      <c r="AD1208" s="547"/>
      <c r="AE1208" s="547"/>
      <c r="AF1208" s="547"/>
      <c r="AG1208" s="547"/>
      <c r="AI1208" s="141"/>
      <c r="AJ1208" s="141"/>
      <c r="AK1208" s="141"/>
      <c r="AL1208" s="141"/>
      <c r="AM1208" s="141"/>
      <c r="AN1208" s="141"/>
      <c r="AO1208" s="141"/>
      <c r="AP1208" s="141"/>
      <c r="AQ1208" s="141"/>
      <c r="AR1208" s="141"/>
      <c r="AS1208" s="141"/>
      <c r="AU1208" s="249"/>
      <c r="BB1208" s="68">
        <f t="shared" ref="BB1208:BB1231" si="238">(BD1208)/(BE1208)</f>
        <v>9.4699752003868074</v>
      </c>
      <c r="BC1208" s="69" t="str">
        <f>CONCATENATE(G1208," ",J1208," Year EUL")</f>
        <v>Cooling RES 9 Year EUL</v>
      </c>
      <c r="BD1208" s="162">
        <f>(INDEX('Avoided Cost Benefits'!$C$4:$C$857,MATCH(BC1208,'Avoided Cost Benefits'!$A$4:$A$857,0)))*F1208</f>
        <v>178.76309958257303</v>
      </c>
      <c r="BE1208" s="70">
        <f>K1208/(1.0595^(2020-2019))</f>
        <v>18.876828692779611</v>
      </c>
    </row>
    <row r="1209" spans="1:57" s="544" customFormat="1" x14ac:dyDescent="0.25">
      <c r="A1209" s="327"/>
      <c r="B1209" s="233"/>
      <c r="C1209" s="2272" t="s">
        <v>2202</v>
      </c>
      <c r="D1209" s="2273" t="s">
        <v>1610</v>
      </c>
      <c r="E1209" s="237" t="s">
        <v>3394</v>
      </c>
      <c r="F1209" s="488">
        <f>ROUND(($F$1251*$F$1241*(1/$F$1247-1/$F$1248)/1000),2)</f>
        <v>76.92</v>
      </c>
      <c r="G1209" s="61" t="s">
        <v>737</v>
      </c>
      <c r="H1209" s="239">
        <f>VLOOKUP(G1209,'CP FACTORS'!$A$3:$B$38, 2, FALSE)</f>
        <v>9.4741810000000004E-4</v>
      </c>
      <c r="I1209" s="2015">
        <f t="shared" si="235"/>
        <v>7.2874999999999995E-2</v>
      </c>
      <c r="J1209" s="452">
        <f t="shared" si="236"/>
        <v>9</v>
      </c>
      <c r="K1209" s="1505">
        <f t="shared" si="237"/>
        <v>20</v>
      </c>
      <c r="L1209" s="2273" t="s">
        <v>37</v>
      </c>
      <c r="M1209" s="327"/>
      <c r="N1209" s="1893"/>
      <c r="O1209" s="1453"/>
      <c r="P1209" s="327"/>
      <c r="Q1209" s="327"/>
      <c r="R1209" s="1894"/>
      <c r="S1209" s="327"/>
      <c r="T1209" s="327"/>
      <c r="U1209" s="327"/>
      <c r="V1209" s="547" t="s">
        <v>20</v>
      </c>
      <c r="W1209" s="548">
        <v>40.971199412398086</v>
      </c>
      <c r="X1209" s="452">
        <v>49.727499015442788</v>
      </c>
      <c r="Y1209" s="142">
        <v>76.92</v>
      </c>
      <c r="Z1209" s="1504"/>
      <c r="AA1209" s="547"/>
      <c r="AB1209" s="547"/>
      <c r="AC1209" s="547"/>
      <c r="AD1209" s="547"/>
      <c r="AE1209" s="547"/>
      <c r="AF1209" s="547"/>
      <c r="AG1209" s="547"/>
      <c r="AI1209" s="141"/>
      <c r="AJ1209" s="141"/>
      <c r="AK1209" s="141"/>
      <c r="AL1209" s="141"/>
      <c r="AM1209" s="141"/>
      <c r="AN1209" s="141"/>
      <c r="AO1209" s="141"/>
      <c r="AP1209" s="141"/>
      <c r="AQ1209" s="141"/>
      <c r="AR1209" s="141"/>
      <c r="AS1209" s="141"/>
      <c r="AU1209" s="249"/>
      <c r="BB1209" s="72">
        <f t="shared" si="238"/>
        <v>3.7313312796524603</v>
      </c>
      <c r="BC1209" s="73" t="str">
        <f t="shared" ref="BC1209:BC1231" si="239">CONCATENATE(G1209," ",J1209," Year EUL")</f>
        <v>Cooling RES 9 Year EUL</v>
      </c>
      <c r="BD1209" s="165">
        <f>(INDEX('Avoided Cost Benefits'!$C$4:$C$857,MATCH(BC1209,'Avoided Cost Benefits'!$A$4:$A$857,0)))*F1209</f>
        <v>70.435701362009624</v>
      </c>
      <c r="BE1209" s="74">
        <f t="shared" ref="BE1209:BE1231" si="240">K1209/(1.0595^(2020-2019))</f>
        <v>18.876828692779611</v>
      </c>
    </row>
    <row r="1210" spans="1:57" s="544" customFormat="1" x14ac:dyDescent="0.25">
      <c r="A1210" s="327"/>
      <c r="B1210" s="233"/>
      <c r="C1210" s="2272" t="s">
        <v>2203</v>
      </c>
      <c r="D1210" s="2273" t="s">
        <v>1613</v>
      </c>
      <c r="E1210" s="237" t="s">
        <v>3395</v>
      </c>
      <c r="F1210" s="488">
        <f>ROUND(($H$1251*$H$1241*(1/$H$1249-1/$H$1248)/1000),2)</f>
        <v>195.22</v>
      </c>
      <c r="G1210" s="61" t="s">
        <v>737</v>
      </c>
      <c r="H1210" s="239">
        <f>VLOOKUP(G1210,'CP FACTORS'!$A$3:$B$38, 2, FALSE)</f>
        <v>9.4741810000000004E-4</v>
      </c>
      <c r="I1210" s="2015">
        <f t="shared" si="235"/>
        <v>0.18495500000000001</v>
      </c>
      <c r="J1210" s="452">
        <f t="shared" si="236"/>
        <v>9</v>
      </c>
      <c r="K1210" s="1505">
        <f t="shared" si="237"/>
        <v>20</v>
      </c>
      <c r="L1210" s="2273" t="s">
        <v>37</v>
      </c>
      <c r="M1210" s="327"/>
      <c r="N1210" s="1893"/>
      <c r="O1210" s="1453"/>
      <c r="P1210" s="327"/>
      <c r="Q1210" s="327"/>
      <c r="R1210" s="1894"/>
      <c r="S1210" s="327"/>
      <c r="T1210" s="327"/>
      <c r="U1210" s="327"/>
      <c r="V1210" s="547" t="s">
        <v>20</v>
      </c>
      <c r="W1210" s="548"/>
      <c r="X1210" s="1503">
        <v>898.77014282038067</v>
      </c>
      <c r="Y1210" s="349">
        <v>195.22</v>
      </c>
      <c r="Z1210" s="1504"/>
      <c r="AA1210" s="547"/>
      <c r="AB1210" s="547"/>
      <c r="AC1210" s="547"/>
      <c r="AD1210" s="547"/>
      <c r="AE1210" s="547"/>
      <c r="AF1210" s="547"/>
      <c r="AG1210" s="547"/>
      <c r="AI1210" s="141"/>
      <c r="AJ1210" s="141"/>
      <c r="AK1210" s="141"/>
      <c r="AL1210" s="141"/>
      <c r="AM1210" s="141"/>
      <c r="AN1210" s="141"/>
      <c r="AO1210" s="141"/>
      <c r="AP1210" s="141"/>
      <c r="AQ1210" s="141"/>
      <c r="AR1210" s="141"/>
      <c r="AS1210" s="141"/>
      <c r="AU1210" s="249"/>
      <c r="BB1210" s="72">
        <f t="shared" si="238"/>
        <v>9.4699752003868074</v>
      </c>
      <c r="BC1210" s="73" t="str">
        <f t="shared" si="239"/>
        <v>Cooling RES 9 Year EUL</v>
      </c>
      <c r="BD1210" s="165">
        <f>(INDEX('Avoided Cost Benefits'!$C$4:$C$857,MATCH(BC1210,'Avoided Cost Benefits'!$A$4:$A$857,0)))*F1210</f>
        <v>178.76309958257303</v>
      </c>
      <c r="BE1210" s="74">
        <f t="shared" si="240"/>
        <v>18.876828692779611</v>
      </c>
    </row>
    <row r="1211" spans="1:57" s="544" customFormat="1" ht="15.75" thickBot="1" x14ac:dyDescent="0.3">
      <c r="A1211" s="327"/>
      <c r="B1211" s="233"/>
      <c r="C1211" s="2274" t="s">
        <v>2204</v>
      </c>
      <c r="D1211" s="2279" t="s">
        <v>1610</v>
      </c>
      <c r="E1211" s="1506" t="s">
        <v>3396</v>
      </c>
      <c r="F1211" s="1714">
        <f>ROUND(($F$1251*$F$1241*(1/$F$1247-1/$F$1248)/1000),2)</f>
        <v>76.92</v>
      </c>
      <c r="G1211" s="2275" t="s">
        <v>737</v>
      </c>
      <c r="H1211" s="2276">
        <f>VLOOKUP(G1211,'CP FACTORS'!$A$3:$B$38, 2, FALSE)</f>
        <v>9.4741810000000004E-4</v>
      </c>
      <c r="I1211" s="2277">
        <f t="shared" si="235"/>
        <v>7.2874999999999995E-2</v>
      </c>
      <c r="J1211" s="2278">
        <f t="shared" si="236"/>
        <v>9</v>
      </c>
      <c r="K1211" s="1507">
        <f t="shared" si="237"/>
        <v>20</v>
      </c>
      <c r="L1211" s="2279" t="s">
        <v>37</v>
      </c>
      <c r="M1211" s="327"/>
      <c r="N1211" s="1893"/>
      <c r="O1211" s="1453"/>
      <c r="P1211" s="327"/>
      <c r="Q1211" s="327"/>
      <c r="R1211" s="1894"/>
      <c r="S1211" s="327"/>
      <c r="T1211" s="327"/>
      <c r="U1211" s="327"/>
      <c r="V1211" s="547" t="s">
        <v>20</v>
      </c>
      <c r="W1211" s="548">
        <v>40.971199412398086</v>
      </c>
      <c r="X1211" s="452">
        <v>49.727499015442788</v>
      </c>
      <c r="Y1211" s="142">
        <v>76.92</v>
      </c>
      <c r="Z1211" s="1504"/>
      <c r="AA1211" s="547"/>
      <c r="AB1211" s="547"/>
      <c r="AC1211" s="547"/>
      <c r="AD1211" s="547"/>
      <c r="AE1211" s="547"/>
      <c r="AF1211" s="547"/>
      <c r="AG1211" s="547"/>
      <c r="AI1211" s="141"/>
      <c r="AJ1211" s="141"/>
      <c r="AK1211" s="141"/>
      <c r="AL1211" s="141"/>
      <c r="AM1211" s="141"/>
      <c r="AN1211" s="141"/>
      <c r="AO1211" s="141"/>
      <c r="AP1211" s="141"/>
      <c r="AQ1211" s="141"/>
      <c r="AR1211" s="141"/>
      <c r="AS1211" s="141"/>
      <c r="AU1211" s="249"/>
      <c r="BB1211" s="72">
        <f t="shared" si="238"/>
        <v>3.7313312796524603</v>
      </c>
      <c r="BC1211" s="73" t="str">
        <f t="shared" si="239"/>
        <v>Cooling RES 9 Year EUL</v>
      </c>
      <c r="BD1211" s="165">
        <f>(INDEX('Avoided Cost Benefits'!$C$4:$C$857,MATCH(BC1211,'Avoided Cost Benefits'!$A$4:$A$857,0)))*F1211</f>
        <v>70.435701362009624</v>
      </c>
      <c r="BE1211" s="74">
        <f t="shared" si="240"/>
        <v>18.876828692779611</v>
      </c>
    </row>
    <row r="1212" spans="1:57" s="544" customFormat="1" x14ac:dyDescent="0.25">
      <c r="A1212" s="327"/>
      <c r="B1212" s="233"/>
      <c r="C1212" s="2280" t="s">
        <v>2205</v>
      </c>
      <c r="D1212" s="2287" t="s">
        <v>1613</v>
      </c>
      <c r="E1212" s="2281" t="s">
        <v>2206</v>
      </c>
      <c r="F1212" s="2282">
        <f>ROUND(($H$1251*$H$1242*(1/$H$1249-1/$H$1248)/1000),2)</f>
        <v>83.11</v>
      </c>
      <c r="G1212" s="2283" t="s">
        <v>737</v>
      </c>
      <c r="H1212" s="2056">
        <f>VLOOKUP(G1212,'CP FACTORS'!$A$3:$B$38, 2, FALSE)</f>
        <v>9.4741810000000004E-4</v>
      </c>
      <c r="I1212" s="2284">
        <f t="shared" si="235"/>
        <v>7.8740000000000004E-2</v>
      </c>
      <c r="J1212" s="2285">
        <f t="shared" si="236"/>
        <v>9</v>
      </c>
      <c r="K1212" s="2286">
        <f t="shared" si="237"/>
        <v>20</v>
      </c>
      <c r="L1212" s="2287" t="s">
        <v>37</v>
      </c>
      <c r="M1212" s="327"/>
      <c r="N1212" s="1893"/>
      <c r="O1212" s="1453"/>
      <c r="P1212" s="327"/>
      <c r="Q1212" s="327"/>
      <c r="R1212" s="1894"/>
      <c r="S1212" s="327"/>
      <c r="T1212" s="327"/>
      <c r="U1212" s="327"/>
      <c r="V1212" s="547" t="s">
        <v>20</v>
      </c>
      <c r="W1212" s="548"/>
      <c r="X1212" s="452"/>
      <c r="Y1212" s="142">
        <v>83.11</v>
      </c>
      <c r="Z1212" s="1504"/>
      <c r="AA1212" s="547"/>
      <c r="AB1212" s="547"/>
      <c r="AC1212" s="547"/>
      <c r="AD1212" s="547"/>
      <c r="AE1212" s="547"/>
      <c r="AF1212" s="547"/>
      <c r="AG1212" s="547"/>
      <c r="AI1212" s="141"/>
      <c r="AJ1212" s="141"/>
      <c r="AK1212" s="141"/>
      <c r="AL1212" s="141"/>
      <c r="AM1212" s="141"/>
      <c r="AN1212" s="141"/>
      <c r="AO1212" s="141"/>
      <c r="AP1212" s="141"/>
      <c r="AQ1212" s="141"/>
      <c r="AR1212" s="141"/>
      <c r="AS1212" s="141"/>
      <c r="AU1212" s="249"/>
      <c r="BB1212" s="72">
        <f t="shared" si="238"/>
        <v>4.0316035186156522</v>
      </c>
      <c r="BC1212" s="73" t="str">
        <f t="shared" si="239"/>
        <v>Cooling RES 9 Year EUL</v>
      </c>
      <c r="BD1212" s="165">
        <f>(INDEX('Avoided Cost Benefits'!$C$4:$C$857,MATCH(BC1212,'Avoided Cost Benefits'!$A$4:$A$857,0)))*F1212</f>
        <v>76.103888978115179</v>
      </c>
      <c r="BE1212" s="74">
        <f t="shared" si="240"/>
        <v>18.876828692779611</v>
      </c>
    </row>
    <row r="1213" spans="1:57" s="544" customFormat="1" x14ac:dyDescent="0.25">
      <c r="A1213" s="327"/>
      <c r="B1213" s="233"/>
      <c r="C1213" s="2272" t="s">
        <v>2207</v>
      </c>
      <c r="D1213" s="2273" t="s">
        <v>1610</v>
      </c>
      <c r="E1213" s="237" t="s">
        <v>2208</v>
      </c>
      <c r="F1213" s="488">
        <f>ROUND(($F$1251*$F$1242*(1/$F$1247-1/$F$1248)/1000),2)</f>
        <v>37.26</v>
      </c>
      <c r="G1213" s="61" t="s">
        <v>737</v>
      </c>
      <c r="H1213" s="239">
        <f>VLOOKUP(G1213,'CP FACTORS'!$A$3:$B$38, 2, FALSE)</f>
        <v>9.4741810000000004E-4</v>
      </c>
      <c r="I1213" s="2015">
        <f t="shared" si="235"/>
        <v>3.5300999999999999E-2</v>
      </c>
      <c r="J1213" s="452">
        <f t="shared" si="236"/>
        <v>9</v>
      </c>
      <c r="K1213" s="1505">
        <f t="shared" si="237"/>
        <v>20</v>
      </c>
      <c r="L1213" s="2273" t="s">
        <v>37</v>
      </c>
      <c r="M1213" s="327"/>
      <c r="N1213" s="1893"/>
      <c r="O1213" s="1453"/>
      <c r="P1213" s="327"/>
      <c r="Q1213" s="327"/>
      <c r="R1213" s="1894"/>
      <c r="S1213" s="327"/>
      <c r="T1213" s="327"/>
      <c r="U1213" s="327"/>
      <c r="V1213" s="547" t="s">
        <v>20</v>
      </c>
      <c r="W1213" s="548"/>
      <c r="X1213" s="452"/>
      <c r="Y1213" s="142">
        <v>37.26</v>
      </c>
      <c r="Z1213" s="1504"/>
      <c r="AA1213" s="547"/>
      <c r="AB1213" s="547"/>
      <c r="AC1213" s="547"/>
      <c r="AD1213" s="547"/>
      <c r="AE1213" s="547"/>
      <c r="AF1213" s="547"/>
      <c r="AG1213" s="547"/>
      <c r="AI1213" s="141"/>
      <c r="AJ1213" s="141"/>
      <c r="AK1213" s="141"/>
      <c r="AL1213" s="141"/>
      <c r="AM1213" s="141"/>
      <c r="AN1213" s="141"/>
      <c r="AO1213" s="141"/>
      <c r="AP1213" s="141"/>
      <c r="AQ1213" s="141"/>
      <c r="AR1213" s="141"/>
      <c r="AS1213" s="141"/>
      <c r="AU1213" s="249"/>
      <c r="BB1213" s="72">
        <f t="shared" si="238"/>
        <v>1.8074545434197955</v>
      </c>
      <c r="BC1213" s="73" t="str">
        <f t="shared" si="239"/>
        <v>Cooling RES 9 Year EUL</v>
      </c>
      <c r="BD1213" s="165">
        <f>(INDEX('Avoided Cost Benefits'!$C$4:$C$857,MATCH(BC1213,'Avoided Cost Benefits'!$A$4:$A$857,0)))*F1213</f>
        <v>34.119009786121666</v>
      </c>
      <c r="BE1213" s="74">
        <f t="shared" si="240"/>
        <v>18.876828692779611</v>
      </c>
    </row>
    <row r="1214" spans="1:57" s="544" customFormat="1" x14ac:dyDescent="0.25">
      <c r="A1214" s="327"/>
      <c r="B1214" s="233"/>
      <c r="C1214" s="2272" t="s">
        <v>3431</v>
      </c>
      <c r="D1214" s="2273" t="s">
        <v>1613</v>
      </c>
      <c r="E1214" s="237" t="s">
        <v>2209</v>
      </c>
      <c r="F1214" s="488">
        <f>ROUND(($H$1251*$H$1242*(1/$H$1249-1/$H$1248)/1000),2)</f>
        <v>83.11</v>
      </c>
      <c r="G1214" s="61" t="s">
        <v>737</v>
      </c>
      <c r="H1214" s="239">
        <f>VLOOKUP(G1214,'CP FACTORS'!$A$3:$B$38, 2, FALSE)</f>
        <v>9.4741810000000004E-4</v>
      </c>
      <c r="I1214" s="2015">
        <f t="shared" si="235"/>
        <v>7.8740000000000004E-2</v>
      </c>
      <c r="J1214" s="452">
        <f t="shared" si="236"/>
        <v>9</v>
      </c>
      <c r="K1214" s="1505">
        <f t="shared" si="237"/>
        <v>20</v>
      </c>
      <c r="L1214" s="2273" t="s">
        <v>37</v>
      </c>
      <c r="M1214" s="327"/>
      <c r="N1214" s="1893"/>
      <c r="O1214" s="1453"/>
      <c r="P1214" s="327"/>
      <c r="Q1214" s="327"/>
      <c r="R1214" s="1894"/>
      <c r="S1214" s="327"/>
      <c r="T1214" s="327"/>
      <c r="U1214" s="327"/>
      <c r="V1214" s="547" t="s">
        <v>20</v>
      </c>
      <c r="W1214" s="548"/>
      <c r="X1214" s="452"/>
      <c r="Y1214" s="142">
        <v>83.11</v>
      </c>
      <c r="Z1214" s="1504"/>
      <c r="AA1214" s="547"/>
      <c r="AB1214" s="547"/>
      <c r="AC1214" s="547"/>
      <c r="AD1214" s="547"/>
      <c r="AE1214" s="547"/>
      <c r="AF1214" s="547"/>
      <c r="AG1214" s="547"/>
      <c r="AI1214" s="141"/>
      <c r="AJ1214" s="141"/>
      <c r="AK1214" s="141"/>
      <c r="AL1214" s="141"/>
      <c r="AM1214" s="141"/>
      <c r="AN1214" s="141"/>
      <c r="AO1214" s="141"/>
      <c r="AP1214" s="141"/>
      <c r="AQ1214" s="141"/>
      <c r="AR1214" s="141"/>
      <c r="AS1214" s="141"/>
      <c r="AU1214" s="249"/>
      <c r="BB1214" s="72">
        <f t="shared" si="238"/>
        <v>4.0316035186156522</v>
      </c>
      <c r="BC1214" s="73" t="str">
        <f t="shared" si="239"/>
        <v>Cooling RES 9 Year EUL</v>
      </c>
      <c r="BD1214" s="165">
        <f>(INDEX('Avoided Cost Benefits'!$C$4:$C$857,MATCH(BC1214,'Avoided Cost Benefits'!$A$4:$A$857,0)))*F1214</f>
        <v>76.103888978115179</v>
      </c>
      <c r="BE1214" s="74">
        <f t="shared" si="240"/>
        <v>18.876828692779611</v>
      </c>
    </row>
    <row r="1215" spans="1:57" s="544" customFormat="1" ht="15.75" thickBot="1" x14ac:dyDescent="0.3">
      <c r="A1215" s="327"/>
      <c r="B1215" s="233"/>
      <c r="C1215" s="2274" t="s">
        <v>2210</v>
      </c>
      <c r="D1215" s="2279" t="s">
        <v>1610</v>
      </c>
      <c r="E1215" s="1506" t="s">
        <v>2211</v>
      </c>
      <c r="F1215" s="1714">
        <f>ROUND(($F$1251*$F$1242*(1/$F$1247-1/$F$1248)/1000),2)</f>
        <v>37.26</v>
      </c>
      <c r="G1215" s="2275" t="s">
        <v>737</v>
      </c>
      <c r="H1215" s="2276">
        <f>VLOOKUP(G1215,'CP FACTORS'!$A$3:$B$38, 2, FALSE)</f>
        <v>9.4741810000000004E-4</v>
      </c>
      <c r="I1215" s="2277">
        <f t="shared" si="235"/>
        <v>3.5300999999999999E-2</v>
      </c>
      <c r="J1215" s="2278">
        <f t="shared" si="236"/>
        <v>9</v>
      </c>
      <c r="K1215" s="1507">
        <f t="shared" si="237"/>
        <v>20</v>
      </c>
      <c r="L1215" s="2279" t="s">
        <v>37</v>
      </c>
      <c r="M1215" s="327"/>
      <c r="N1215" s="1893"/>
      <c r="O1215" s="1453"/>
      <c r="P1215" s="327"/>
      <c r="Q1215" s="327"/>
      <c r="R1215" s="1894"/>
      <c r="S1215" s="327"/>
      <c r="T1215" s="327"/>
      <c r="U1215" s="327"/>
      <c r="V1215" s="547" t="s">
        <v>20</v>
      </c>
      <c r="W1215" s="548"/>
      <c r="X1215" s="452"/>
      <c r="Y1215" s="142">
        <v>37.26</v>
      </c>
      <c r="Z1215" s="1504"/>
      <c r="AA1215" s="547"/>
      <c r="AB1215" s="547"/>
      <c r="AC1215" s="547"/>
      <c r="AD1215" s="547"/>
      <c r="AE1215" s="547"/>
      <c r="AF1215" s="547"/>
      <c r="AG1215" s="547"/>
      <c r="AI1215" s="141"/>
      <c r="AJ1215" s="141"/>
      <c r="AK1215" s="141"/>
      <c r="AL1215" s="141"/>
      <c r="AM1215" s="141"/>
      <c r="AN1215" s="141"/>
      <c r="AO1215" s="141"/>
      <c r="AP1215" s="141"/>
      <c r="AQ1215" s="141"/>
      <c r="AR1215" s="141"/>
      <c r="AS1215" s="141"/>
      <c r="AU1215" s="249"/>
      <c r="BB1215" s="72">
        <f t="shared" si="238"/>
        <v>1.8074545434197955</v>
      </c>
      <c r="BC1215" s="73" t="str">
        <f t="shared" si="239"/>
        <v>Cooling RES 9 Year EUL</v>
      </c>
      <c r="BD1215" s="165">
        <f>(INDEX('Avoided Cost Benefits'!$C$4:$C$857,MATCH(BC1215,'Avoided Cost Benefits'!$A$4:$A$857,0)))*F1215</f>
        <v>34.119009786121666</v>
      </c>
      <c r="BE1215" s="74">
        <f t="shared" si="240"/>
        <v>18.876828692779611</v>
      </c>
    </row>
    <row r="1216" spans="1:57" s="544" customFormat="1" x14ac:dyDescent="0.25">
      <c r="A1216" s="327"/>
      <c r="B1216" s="233"/>
      <c r="C1216" s="2280" t="s">
        <v>2212</v>
      </c>
      <c r="D1216" s="2287" t="s">
        <v>1613</v>
      </c>
      <c r="E1216" s="2281" t="s">
        <v>2213</v>
      </c>
      <c r="F1216" s="2282">
        <f>ROUND(($H$1251*$H$1243*(1/$H$1249-1/$H$1248)/1000),2)</f>
        <v>132.97</v>
      </c>
      <c r="G1216" s="2283" t="s">
        <v>737</v>
      </c>
      <c r="H1216" s="2056">
        <f>VLOOKUP(G1216,'CP FACTORS'!$A$3:$B$38, 2, FALSE)</f>
        <v>9.4741810000000004E-4</v>
      </c>
      <c r="I1216" s="2284">
        <f t="shared" si="235"/>
        <v>0.12597800000000001</v>
      </c>
      <c r="J1216" s="2285">
        <f t="shared" si="236"/>
        <v>9</v>
      </c>
      <c r="K1216" s="2286">
        <f t="shared" si="237"/>
        <v>20</v>
      </c>
      <c r="L1216" s="2287" t="s">
        <v>37</v>
      </c>
      <c r="M1216" s="327"/>
      <c r="N1216" s="1893"/>
      <c r="O1216" s="1453"/>
      <c r="P1216" s="327"/>
      <c r="Q1216" s="327"/>
      <c r="R1216" s="1894"/>
      <c r="S1216" s="327"/>
      <c r="T1216" s="327"/>
      <c r="U1216" s="327"/>
      <c r="V1216" s="547" t="s">
        <v>20</v>
      </c>
      <c r="W1216" s="548"/>
      <c r="X1216" s="452"/>
      <c r="Y1216" s="142">
        <v>132.97</v>
      </c>
      <c r="Z1216" s="1504"/>
      <c r="AA1216" s="547"/>
      <c r="AB1216" s="547"/>
      <c r="AC1216" s="547"/>
      <c r="AD1216" s="547"/>
      <c r="AE1216" s="547"/>
      <c r="AF1216" s="547"/>
      <c r="AG1216" s="547"/>
      <c r="AI1216" s="141"/>
      <c r="AJ1216" s="141"/>
      <c r="AK1216" s="141"/>
      <c r="AL1216" s="141"/>
      <c r="AM1216" s="141"/>
      <c r="AN1216" s="141"/>
      <c r="AO1216" s="141"/>
      <c r="AP1216" s="141"/>
      <c r="AQ1216" s="141"/>
      <c r="AR1216" s="141"/>
      <c r="AS1216" s="141"/>
      <c r="AU1216" s="249"/>
      <c r="BB1216" s="72">
        <f t="shared" si="238"/>
        <v>6.4502745743030108</v>
      </c>
      <c r="BC1216" s="73" t="str">
        <f t="shared" si="239"/>
        <v>Cooling RES 9 Year EUL</v>
      </c>
      <c r="BD1216" s="165">
        <f>(INDEX('Avoided Cost Benefits'!$C$4:$C$857,MATCH(BC1216,'Avoided Cost Benefits'!$A$4:$A$857,0)))*F1216</f>
        <v>121.76072816050987</v>
      </c>
      <c r="BE1216" s="74">
        <f t="shared" si="240"/>
        <v>18.876828692779611</v>
      </c>
    </row>
    <row r="1217" spans="1:57" s="544" customFormat="1" x14ac:dyDescent="0.25">
      <c r="A1217" s="327"/>
      <c r="B1217" s="233"/>
      <c r="C1217" s="2272" t="s">
        <v>2214</v>
      </c>
      <c r="D1217" s="2273" t="s">
        <v>1610</v>
      </c>
      <c r="E1217" s="237" t="s">
        <v>2215</v>
      </c>
      <c r="F1217" s="488">
        <f>ROUND(($F$1251*$F$1243*(1/$F$1247-1/$F$1248)/1000),2)</f>
        <v>59.61</v>
      </c>
      <c r="G1217" s="61" t="s">
        <v>737</v>
      </c>
      <c r="H1217" s="239">
        <f>VLOOKUP(G1217,'CP FACTORS'!$A$3:$B$38, 2, FALSE)</f>
        <v>9.4741810000000004E-4</v>
      </c>
      <c r="I1217" s="2015">
        <f t="shared" si="235"/>
        <v>5.6475999999999998E-2</v>
      </c>
      <c r="J1217" s="452">
        <f t="shared" si="236"/>
        <v>9</v>
      </c>
      <c r="K1217" s="1505">
        <f t="shared" si="237"/>
        <v>20</v>
      </c>
      <c r="L1217" s="2273" t="s">
        <v>37</v>
      </c>
      <c r="M1217" s="327"/>
      <c r="N1217" s="1893"/>
      <c r="O1217" s="1453"/>
      <c r="P1217" s="327"/>
      <c r="Q1217" s="327"/>
      <c r="R1217" s="1894"/>
      <c r="S1217" s="327"/>
      <c r="T1217" s="327"/>
      <c r="U1217" s="327"/>
      <c r="V1217" s="547" t="s">
        <v>20</v>
      </c>
      <c r="W1217" s="548"/>
      <c r="X1217" s="452"/>
      <c r="Y1217" s="142">
        <v>59.61</v>
      </c>
      <c r="Z1217" s="1504"/>
      <c r="AA1217" s="547"/>
      <c r="AB1217" s="547"/>
      <c r="AC1217" s="547"/>
      <c r="AD1217" s="547"/>
      <c r="AE1217" s="547"/>
      <c r="AF1217" s="547"/>
      <c r="AG1217" s="547"/>
      <c r="AI1217" s="141"/>
      <c r="AJ1217" s="141"/>
      <c r="AK1217" s="141"/>
      <c r="AL1217" s="141"/>
      <c r="AM1217" s="141"/>
      <c r="AN1217" s="141"/>
      <c r="AO1217" s="141"/>
      <c r="AP1217" s="141"/>
      <c r="AQ1217" s="141"/>
      <c r="AR1217" s="141"/>
      <c r="AS1217" s="141"/>
      <c r="AU1217" s="249"/>
      <c r="BB1217" s="72">
        <f t="shared" si="238"/>
        <v>2.8916362139896403</v>
      </c>
      <c r="BC1217" s="73" t="str">
        <f t="shared" si="239"/>
        <v>Cooling RES 9 Year EUL</v>
      </c>
      <c r="BD1217" s="165">
        <f>(INDEX('Avoided Cost Benefits'!$C$4:$C$857,MATCH(BC1217,'Avoided Cost Benefits'!$A$4:$A$857,0)))*F1217</f>
        <v>54.584921453320248</v>
      </c>
      <c r="BE1217" s="74">
        <f t="shared" si="240"/>
        <v>18.876828692779611</v>
      </c>
    </row>
    <row r="1218" spans="1:57" s="544" customFormat="1" x14ac:dyDescent="0.25">
      <c r="A1218" s="327"/>
      <c r="B1218" s="233"/>
      <c r="C1218" s="2272" t="s">
        <v>2216</v>
      </c>
      <c r="D1218" s="2273" t="s">
        <v>1613</v>
      </c>
      <c r="E1218" s="237" t="s">
        <v>2217</v>
      </c>
      <c r="F1218" s="488">
        <f>ROUND(($H$1251*$H$1243*(1/$H$1249-1/$H$1248)/1000),2)</f>
        <v>132.97</v>
      </c>
      <c r="G1218" s="61" t="s">
        <v>737</v>
      </c>
      <c r="H1218" s="239">
        <f>VLOOKUP(G1218,'CP FACTORS'!$A$3:$B$38, 2, FALSE)</f>
        <v>9.4741810000000004E-4</v>
      </c>
      <c r="I1218" s="2015">
        <f t="shared" si="235"/>
        <v>0.12597800000000001</v>
      </c>
      <c r="J1218" s="452">
        <f t="shared" si="236"/>
        <v>9</v>
      </c>
      <c r="K1218" s="1505">
        <f t="shared" si="237"/>
        <v>20</v>
      </c>
      <c r="L1218" s="2273" t="s">
        <v>37</v>
      </c>
      <c r="M1218" s="327"/>
      <c r="N1218" s="1893"/>
      <c r="O1218" s="1453"/>
      <c r="P1218" s="327"/>
      <c r="Q1218" s="327"/>
      <c r="R1218" s="1894"/>
      <c r="S1218" s="327"/>
      <c r="T1218" s="327"/>
      <c r="U1218" s="327"/>
      <c r="V1218" s="547" t="s">
        <v>20</v>
      </c>
      <c r="W1218" s="548"/>
      <c r="X1218" s="452"/>
      <c r="Y1218" s="142">
        <v>132.97</v>
      </c>
      <c r="Z1218" s="1504"/>
      <c r="AA1218" s="547"/>
      <c r="AB1218" s="547"/>
      <c r="AC1218" s="547"/>
      <c r="AD1218" s="547"/>
      <c r="AE1218" s="547"/>
      <c r="AF1218" s="547"/>
      <c r="AG1218" s="547"/>
      <c r="AI1218" s="141"/>
      <c r="AJ1218" s="141"/>
      <c r="AK1218" s="141"/>
      <c r="AL1218" s="141"/>
      <c r="AM1218" s="141"/>
      <c r="AN1218" s="141"/>
      <c r="AO1218" s="141"/>
      <c r="AP1218" s="141"/>
      <c r="AQ1218" s="141"/>
      <c r="AR1218" s="141"/>
      <c r="AS1218" s="141"/>
      <c r="AU1218" s="249"/>
      <c r="BB1218" s="72">
        <f t="shared" si="238"/>
        <v>6.4502745743030108</v>
      </c>
      <c r="BC1218" s="73" t="str">
        <f t="shared" si="239"/>
        <v>Cooling RES 9 Year EUL</v>
      </c>
      <c r="BD1218" s="165">
        <f>(INDEX('Avoided Cost Benefits'!$C$4:$C$857,MATCH(BC1218,'Avoided Cost Benefits'!$A$4:$A$857,0)))*F1218</f>
        <v>121.76072816050987</v>
      </c>
      <c r="BE1218" s="74">
        <f t="shared" si="240"/>
        <v>18.876828692779611</v>
      </c>
    </row>
    <row r="1219" spans="1:57" s="544" customFormat="1" ht="15.75" thickBot="1" x14ac:dyDescent="0.3">
      <c r="A1219" s="327"/>
      <c r="B1219" s="233"/>
      <c r="C1219" s="2274" t="s">
        <v>2218</v>
      </c>
      <c r="D1219" s="2279" t="s">
        <v>1610</v>
      </c>
      <c r="E1219" s="1506" t="s">
        <v>2219</v>
      </c>
      <c r="F1219" s="1714">
        <f>ROUND(($F$1251*$F$1243*(1/$F$1247-1/$F$1248)/1000),2)</f>
        <v>59.61</v>
      </c>
      <c r="G1219" s="2275" t="s">
        <v>737</v>
      </c>
      <c r="H1219" s="2276">
        <f>VLOOKUP(G1219,'CP FACTORS'!$A$3:$B$38, 2, FALSE)</f>
        <v>9.4741810000000004E-4</v>
      </c>
      <c r="I1219" s="2277">
        <f t="shared" si="235"/>
        <v>5.6475999999999998E-2</v>
      </c>
      <c r="J1219" s="2278">
        <f t="shared" si="236"/>
        <v>9</v>
      </c>
      <c r="K1219" s="1507">
        <f t="shared" si="237"/>
        <v>20</v>
      </c>
      <c r="L1219" s="2279" t="s">
        <v>37</v>
      </c>
      <c r="M1219" s="327"/>
      <c r="N1219" s="1893"/>
      <c r="O1219" s="1453"/>
      <c r="P1219" s="327"/>
      <c r="Q1219" s="327"/>
      <c r="R1219" s="1894"/>
      <c r="S1219" s="327"/>
      <c r="T1219" s="327"/>
      <c r="U1219" s="327"/>
      <c r="V1219" s="547" t="s">
        <v>20</v>
      </c>
      <c r="W1219" s="548"/>
      <c r="X1219" s="452"/>
      <c r="Y1219" s="142">
        <v>59.61</v>
      </c>
      <c r="Z1219" s="1504"/>
      <c r="AA1219" s="547"/>
      <c r="AB1219" s="547"/>
      <c r="AC1219" s="547"/>
      <c r="AD1219" s="547"/>
      <c r="AE1219" s="547"/>
      <c r="AF1219" s="547"/>
      <c r="AG1219" s="547"/>
      <c r="AI1219" s="141"/>
      <c r="AJ1219" s="141"/>
      <c r="AK1219" s="141"/>
      <c r="AL1219" s="141"/>
      <c r="AM1219" s="141"/>
      <c r="AN1219" s="141"/>
      <c r="AO1219" s="141"/>
      <c r="AP1219" s="141"/>
      <c r="AQ1219" s="141"/>
      <c r="AR1219" s="141"/>
      <c r="AS1219" s="141"/>
      <c r="AU1219" s="249"/>
      <c r="BB1219" s="72">
        <f t="shared" si="238"/>
        <v>2.8916362139896403</v>
      </c>
      <c r="BC1219" s="73" t="str">
        <f t="shared" si="239"/>
        <v>Cooling RES 9 Year EUL</v>
      </c>
      <c r="BD1219" s="165">
        <f>(INDEX('Avoided Cost Benefits'!$C$4:$C$857,MATCH(BC1219,'Avoided Cost Benefits'!$A$4:$A$857,0)))*F1219</f>
        <v>54.584921453320248</v>
      </c>
      <c r="BE1219" s="74">
        <f t="shared" si="240"/>
        <v>18.876828692779611</v>
      </c>
    </row>
    <row r="1220" spans="1:57" s="544" customFormat="1" x14ac:dyDescent="0.25">
      <c r="A1220" s="327"/>
      <c r="B1220" s="233"/>
      <c r="C1220" s="2280" t="s">
        <v>2220</v>
      </c>
      <c r="D1220" s="2287" t="s">
        <v>1613</v>
      </c>
      <c r="E1220" s="2281" t="s">
        <v>2221</v>
      </c>
      <c r="F1220" s="2282">
        <f>ROUND(($H$1251*$H$1244*(1/$H$1249-1/$H$1248)/1000),2)</f>
        <v>166.22</v>
      </c>
      <c r="G1220" s="2283" t="s">
        <v>737</v>
      </c>
      <c r="H1220" s="2056">
        <f>VLOOKUP(G1220,'CP FACTORS'!$A$3:$B$38, 2, FALSE)</f>
        <v>9.4741810000000004E-4</v>
      </c>
      <c r="I1220" s="2284">
        <f t="shared" si="235"/>
        <v>0.15748000000000001</v>
      </c>
      <c r="J1220" s="2285">
        <f t="shared" si="236"/>
        <v>9</v>
      </c>
      <c r="K1220" s="2286">
        <f t="shared" si="237"/>
        <v>20</v>
      </c>
      <c r="L1220" s="2287" t="s">
        <v>37</v>
      </c>
      <c r="M1220" s="327"/>
      <c r="N1220" s="1893"/>
      <c r="O1220" s="1453"/>
      <c r="P1220" s="327"/>
      <c r="Q1220" s="327"/>
      <c r="R1220" s="1894"/>
      <c r="S1220" s="327"/>
      <c r="T1220" s="327"/>
      <c r="U1220" s="327"/>
      <c r="V1220" s="547" t="s">
        <v>20</v>
      </c>
      <c r="W1220" s="548"/>
      <c r="X1220" s="452"/>
      <c r="Y1220" s="142">
        <v>166.22</v>
      </c>
      <c r="Z1220" s="1504"/>
      <c r="AA1220" s="547"/>
      <c r="AB1220" s="547"/>
      <c r="AC1220" s="547"/>
      <c r="AD1220" s="547"/>
      <c r="AE1220" s="547"/>
      <c r="AF1220" s="547"/>
      <c r="AG1220" s="547"/>
      <c r="AI1220" s="141"/>
      <c r="AJ1220" s="141"/>
      <c r="AK1220" s="141"/>
      <c r="AL1220" s="141"/>
      <c r="AM1220" s="141"/>
      <c r="AN1220" s="141"/>
      <c r="AO1220" s="141"/>
      <c r="AP1220" s="141"/>
      <c r="AQ1220" s="141"/>
      <c r="AR1220" s="141"/>
      <c r="AS1220" s="141"/>
      <c r="AU1220" s="249"/>
      <c r="BB1220" s="72">
        <f t="shared" si="238"/>
        <v>8.0632070372313045</v>
      </c>
      <c r="BC1220" s="73" t="str">
        <f t="shared" si="239"/>
        <v>Cooling RES 9 Year EUL</v>
      </c>
      <c r="BD1220" s="165">
        <f>(INDEX('Avoided Cost Benefits'!$C$4:$C$857,MATCH(BC1220,'Avoided Cost Benefits'!$A$4:$A$857,0)))*F1220</f>
        <v>152.20777795623036</v>
      </c>
      <c r="BE1220" s="74">
        <f t="shared" si="240"/>
        <v>18.876828692779611</v>
      </c>
    </row>
    <row r="1221" spans="1:57" s="544" customFormat="1" x14ac:dyDescent="0.25">
      <c r="A1221" s="327"/>
      <c r="B1221" s="233"/>
      <c r="C1221" s="2272" t="s">
        <v>2222</v>
      </c>
      <c r="D1221" s="2273" t="s">
        <v>1610</v>
      </c>
      <c r="E1221" s="237" t="s">
        <v>2223</v>
      </c>
      <c r="F1221" s="488">
        <f>ROUND(($F$1251*$F$1244*(1/$F$1247-1/$F$1248)/1000),2)</f>
        <v>74.52</v>
      </c>
      <c r="G1221" s="61" t="s">
        <v>737</v>
      </c>
      <c r="H1221" s="239">
        <f>VLOOKUP(G1221,'CP FACTORS'!$A$3:$B$38, 2, FALSE)</f>
        <v>9.4741810000000004E-4</v>
      </c>
      <c r="I1221" s="2015">
        <f t="shared" si="235"/>
        <v>7.0601999999999998E-2</v>
      </c>
      <c r="J1221" s="452">
        <f t="shared" si="236"/>
        <v>9</v>
      </c>
      <c r="K1221" s="1505">
        <f t="shared" si="237"/>
        <v>20</v>
      </c>
      <c r="L1221" s="2273" t="s">
        <v>37</v>
      </c>
      <c r="M1221" s="327"/>
      <c r="N1221" s="1893"/>
      <c r="O1221" s="1453"/>
      <c r="P1221" s="327"/>
      <c r="Q1221" s="327"/>
      <c r="R1221" s="1894"/>
      <c r="S1221" s="327"/>
      <c r="T1221" s="327"/>
      <c r="U1221" s="327"/>
      <c r="V1221" s="547" t="s">
        <v>20</v>
      </c>
      <c r="W1221" s="548"/>
      <c r="X1221" s="452"/>
      <c r="Y1221" s="142">
        <v>74.52</v>
      </c>
      <c r="Z1221" s="1504"/>
      <c r="AA1221" s="547"/>
      <c r="AB1221" s="547"/>
      <c r="AC1221" s="547"/>
      <c r="AD1221" s="547"/>
      <c r="AE1221" s="547"/>
      <c r="AF1221" s="547"/>
      <c r="AG1221" s="547"/>
      <c r="AI1221" s="141"/>
      <c r="AJ1221" s="141"/>
      <c r="AK1221" s="141"/>
      <c r="AL1221" s="141"/>
      <c r="AM1221" s="141"/>
      <c r="AN1221" s="141"/>
      <c r="AO1221" s="141"/>
      <c r="AP1221" s="141"/>
      <c r="AQ1221" s="141"/>
      <c r="AR1221" s="141"/>
      <c r="AS1221" s="141"/>
      <c r="AU1221" s="249"/>
      <c r="BB1221" s="72">
        <f t="shared" si="238"/>
        <v>3.614909086839591</v>
      </c>
      <c r="BC1221" s="73" t="str">
        <f t="shared" si="239"/>
        <v>Cooling RES 9 Year EUL</v>
      </c>
      <c r="BD1221" s="165">
        <f>(INDEX('Avoided Cost Benefits'!$C$4:$C$857,MATCH(BC1221,'Avoided Cost Benefits'!$A$4:$A$857,0)))*F1221</f>
        <v>68.238019572243331</v>
      </c>
      <c r="BE1221" s="74">
        <f t="shared" si="240"/>
        <v>18.876828692779611</v>
      </c>
    </row>
    <row r="1222" spans="1:57" s="544" customFormat="1" x14ac:dyDescent="0.25">
      <c r="A1222" s="327"/>
      <c r="B1222" s="233"/>
      <c r="C1222" s="2272" t="s">
        <v>2224</v>
      </c>
      <c r="D1222" s="2273" t="s">
        <v>1613</v>
      </c>
      <c r="E1222" s="237" t="s">
        <v>2225</v>
      </c>
      <c r="F1222" s="488">
        <f>ROUND(($H$1251*$H$1244*(1/$H$1249-1/$H$1248)/1000),2)</f>
        <v>166.22</v>
      </c>
      <c r="G1222" s="61" t="s">
        <v>737</v>
      </c>
      <c r="H1222" s="239">
        <f>VLOOKUP(G1222,'CP FACTORS'!$A$3:$B$38, 2, FALSE)</f>
        <v>9.4741810000000004E-4</v>
      </c>
      <c r="I1222" s="2015">
        <f t="shared" si="235"/>
        <v>0.15748000000000001</v>
      </c>
      <c r="J1222" s="452">
        <f t="shared" si="236"/>
        <v>9</v>
      </c>
      <c r="K1222" s="1505">
        <f t="shared" si="237"/>
        <v>20</v>
      </c>
      <c r="L1222" s="2273" t="s">
        <v>37</v>
      </c>
      <c r="M1222" s="327"/>
      <c r="N1222" s="1893"/>
      <c r="O1222" s="1453"/>
      <c r="P1222" s="327"/>
      <c r="Q1222" s="327"/>
      <c r="R1222" s="1894"/>
      <c r="S1222" s="327"/>
      <c r="T1222" s="327"/>
      <c r="U1222" s="327"/>
      <c r="V1222" s="547" t="s">
        <v>20</v>
      </c>
      <c r="W1222" s="548"/>
      <c r="X1222" s="452"/>
      <c r="Y1222" s="142">
        <v>166.22</v>
      </c>
      <c r="Z1222" s="1504"/>
      <c r="AA1222" s="547"/>
      <c r="AB1222" s="547"/>
      <c r="AC1222" s="547"/>
      <c r="AD1222" s="547"/>
      <c r="AE1222" s="547"/>
      <c r="AF1222" s="547"/>
      <c r="AG1222" s="547"/>
      <c r="AI1222" s="141"/>
      <c r="AJ1222" s="141"/>
      <c r="AK1222" s="141"/>
      <c r="AL1222" s="141"/>
      <c r="AM1222" s="141"/>
      <c r="AN1222" s="141"/>
      <c r="AO1222" s="141"/>
      <c r="AP1222" s="141"/>
      <c r="AQ1222" s="141"/>
      <c r="AR1222" s="141"/>
      <c r="AS1222" s="141"/>
      <c r="AU1222" s="249"/>
      <c r="BB1222" s="72">
        <f t="shared" si="238"/>
        <v>8.0632070372313045</v>
      </c>
      <c r="BC1222" s="73" t="str">
        <f t="shared" si="239"/>
        <v>Cooling RES 9 Year EUL</v>
      </c>
      <c r="BD1222" s="165">
        <f>(INDEX('Avoided Cost Benefits'!$C$4:$C$857,MATCH(BC1222,'Avoided Cost Benefits'!$A$4:$A$857,0)))*F1222</f>
        <v>152.20777795623036</v>
      </c>
      <c r="BE1222" s="74">
        <f t="shared" si="240"/>
        <v>18.876828692779611</v>
      </c>
    </row>
    <row r="1223" spans="1:57" s="544" customFormat="1" ht="15.75" thickBot="1" x14ac:dyDescent="0.3">
      <c r="A1223" s="327"/>
      <c r="B1223" s="233"/>
      <c r="C1223" s="2274" t="s">
        <v>2226</v>
      </c>
      <c r="D1223" s="2279" t="s">
        <v>1610</v>
      </c>
      <c r="E1223" s="1506" t="s">
        <v>2227</v>
      </c>
      <c r="F1223" s="1714">
        <f>ROUND(($F$1251*$F$1244*(1/$F$1247-1/$F$1248)/1000),2)</f>
        <v>74.52</v>
      </c>
      <c r="G1223" s="2275" t="s">
        <v>737</v>
      </c>
      <c r="H1223" s="2276">
        <f>VLOOKUP(G1223,'CP FACTORS'!$A$3:$B$38, 2, FALSE)</f>
        <v>9.4741810000000004E-4</v>
      </c>
      <c r="I1223" s="2277">
        <f t="shared" si="235"/>
        <v>7.0601999999999998E-2</v>
      </c>
      <c r="J1223" s="2278">
        <f t="shared" si="236"/>
        <v>9</v>
      </c>
      <c r="K1223" s="1507">
        <f t="shared" si="237"/>
        <v>20</v>
      </c>
      <c r="L1223" s="2279" t="s">
        <v>37</v>
      </c>
      <c r="M1223" s="327"/>
      <c r="N1223" s="1893"/>
      <c r="O1223" s="1453"/>
      <c r="P1223" s="327"/>
      <c r="Q1223" s="327"/>
      <c r="R1223" s="1894"/>
      <c r="S1223" s="327"/>
      <c r="T1223" s="327"/>
      <c r="U1223" s="327"/>
      <c r="V1223" s="547" t="s">
        <v>20</v>
      </c>
      <c r="W1223" s="548"/>
      <c r="X1223" s="452"/>
      <c r="Y1223" s="142">
        <v>74.52</v>
      </c>
      <c r="Z1223" s="1504"/>
      <c r="AA1223" s="547"/>
      <c r="AB1223" s="547"/>
      <c r="AC1223" s="547"/>
      <c r="AD1223" s="547"/>
      <c r="AE1223" s="547"/>
      <c r="AF1223" s="547"/>
      <c r="AG1223" s="547"/>
      <c r="AI1223" s="141"/>
      <c r="AJ1223" s="141"/>
      <c r="AK1223" s="141"/>
      <c r="AL1223" s="141"/>
      <c r="AM1223" s="141"/>
      <c r="AN1223" s="141"/>
      <c r="AO1223" s="141"/>
      <c r="AP1223" s="141"/>
      <c r="AQ1223" s="141"/>
      <c r="AR1223" s="141"/>
      <c r="AS1223" s="141"/>
      <c r="AU1223" s="249"/>
      <c r="BB1223" s="72">
        <f t="shared" si="238"/>
        <v>3.614909086839591</v>
      </c>
      <c r="BC1223" s="73" t="str">
        <f t="shared" si="239"/>
        <v>Cooling RES 9 Year EUL</v>
      </c>
      <c r="BD1223" s="165">
        <f>(INDEX('Avoided Cost Benefits'!$C$4:$C$857,MATCH(BC1223,'Avoided Cost Benefits'!$A$4:$A$857,0)))*F1223</f>
        <v>68.238019572243331</v>
      </c>
      <c r="BE1223" s="74">
        <f t="shared" si="240"/>
        <v>18.876828692779611</v>
      </c>
    </row>
    <row r="1224" spans="1:57" s="544" customFormat="1" x14ac:dyDescent="0.25">
      <c r="A1224" s="327"/>
      <c r="B1224" s="233"/>
      <c r="C1224" s="2280" t="s">
        <v>2228</v>
      </c>
      <c r="D1224" s="2287" t="s">
        <v>1613</v>
      </c>
      <c r="E1224" s="2281" t="s">
        <v>2229</v>
      </c>
      <c r="F1224" s="2282">
        <f>ROUND(($H$1251*$H$1245*(1/$H$1249-1/$H$1248)/1000),2)</f>
        <v>199.46</v>
      </c>
      <c r="G1224" s="2283" t="s">
        <v>737</v>
      </c>
      <c r="H1224" s="2056">
        <f>VLOOKUP(G1224,'CP FACTORS'!$A$3:$B$38, 2, FALSE)</f>
        <v>9.4741810000000004E-4</v>
      </c>
      <c r="I1224" s="2284">
        <f t="shared" si="235"/>
        <v>0.188972</v>
      </c>
      <c r="J1224" s="2285">
        <f t="shared" si="236"/>
        <v>9</v>
      </c>
      <c r="K1224" s="2286">
        <f t="shared" si="237"/>
        <v>20</v>
      </c>
      <c r="L1224" s="2287" t="s">
        <v>37</v>
      </c>
      <c r="M1224" s="327"/>
      <c r="N1224" s="1893"/>
      <c r="O1224" s="1453"/>
      <c r="P1224" s="327"/>
      <c r="Q1224" s="327"/>
      <c r="R1224" s="1894"/>
      <c r="S1224" s="327"/>
      <c r="T1224" s="327"/>
      <c r="U1224" s="327"/>
      <c r="V1224" s="547" t="s">
        <v>20</v>
      </c>
      <c r="W1224" s="548"/>
      <c r="X1224" s="452"/>
      <c r="Y1224" s="142">
        <v>199.46</v>
      </c>
      <c r="Z1224" s="1504"/>
      <c r="AA1224" s="547"/>
      <c r="AB1224" s="547"/>
      <c r="AC1224" s="547"/>
      <c r="AD1224" s="547"/>
      <c r="AE1224" s="547"/>
      <c r="AF1224" s="547"/>
      <c r="AG1224" s="547"/>
      <c r="AI1224" s="141"/>
      <c r="AJ1224" s="141"/>
      <c r="AK1224" s="141"/>
      <c r="AL1224" s="141"/>
      <c r="AM1224" s="141"/>
      <c r="AN1224" s="141"/>
      <c r="AO1224" s="141"/>
      <c r="AP1224" s="141"/>
      <c r="AQ1224" s="141"/>
      <c r="AR1224" s="141"/>
      <c r="AS1224" s="141"/>
      <c r="AU1224" s="249"/>
      <c r="BB1224" s="72">
        <f t="shared" si="238"/>
        <v>9.6756544076895441</v>
      </c>
      <c r="BC1224" s="73" t="str">
        <f t="shared" si="239"/>
        <v>Cooling RES 9 Year EUL</v>
      </c>
      <c r="BD1224" s="165">
        <f>(INDEX('Avoided Cost Benefits'!$C$4:$C$857,MATCH(BC1224,'Avoided Cost Benefits'!$A$4:$A$857,0)))*F1224</f>
        <v>182.64567074449349</v>
      </c>
      <c r="BE1224" s="74">
        <f t="shared" si="240"/>
        <v>18.876828692779611</v>
      </c>
    </row>
    <row r="1225" spans="1:57" s="544" customFormat="1" x14ac:dyDescent="0.25">
      <c r="A1225" s="327"/>
      <c r="B1225" s="233"/>
      <c r="C1225" s="2272" t="s">
        <v>2230</v>
      </c>
      <c r="D1225" s="2273" t="s">
        <v>1610</v>
      </c>
      <c r="E1225" s="237" t="s">
        <v>2231</v>
      </c>
      <c r="F1225" s="488">
        <f>ROUND(($F$1251*$F$1245*(1/$F$1247-1/$F$1248)/1000),2)</f>
        <v>89.42</v>
      </c>
      <c r="G1225" s="61" t="s">
        <v>737</v>
      </c>
      <c r="H1225" s="239">
        <f>VLOOKUP(G1225,'CP FACTORS'!$A$3:$B$38, 2, FALSE)</f>
        <v>9.4741810000000004E-4</v>
      </c>
      <c r="I1225" s="2015">
        <f t="shared" si="235"/>
        <v>8.4718000000000002E-2</v>
      </c>
      <c r="J1225" s="452">
        <f t="shared" si="236"/>
        <v>9</v>
      </c>
      <c r="K1225" s="1505">
        <f t="shared" si="237"/>
        <v>20</v>
      </c>
      <c r="L1225" s="2273" t="s">
        <v>37</v>
      </c>
      <c r="M1225" s="327"/>
      <c r="N1225" s="1893"/>
      <c r="O1225" s="1453"/>
      <c r="P1225" s="327"/>
      <c r="Q1225" s="327"/>
      <c r="R1225" s="1894"/>
      <c r="S1225" s="327"/>
      <c r="T1225" s="327"/>
      <c r="U1225" s="327"/>
      <c r="V1225" s="547" t="s">
        <v>20</v>
      </c>
      <c r="W1225" s="548"/>
      <c r="X1225" s="452"/>
      <c r="Y1225" s="142">
        <v>89.42</v>
      </c>
      <c r="Z1225" s="1504"/>
      <c r="AA1225" s="547"/>
      <c r="AB1225" s="547"/>
      <c r="AC1225" s="547"/>
      <c r="AD1225" s="547"/>
      <c r="AE1225" s="547"/>
      <c r="AF1225" s="547"/>
      <c r="AG1225" s="547"/>
      <c r="AI1225" s="141"/>
      <c r="AJ1225" s="141"/>
      <c r="AK1225" s="141"/>
      <c r="AL1225" s="141"/>
      <c r="AM1225" s="141"/>
      <c r="AN1225" s="141"/>
      <c r="AO1225" s="141"/>
      <c r="AP1225" s="141"/>
      <c r="AQ1225" s="141"/>
      <c r="AR1225" s="141"/>
      <c r="AS1225" s="141"/>
      <c r="AU1225" s="249"/>
      <c r="BB1225" s="72">
        <f t="shared" si="238"/>
        <v>4.3376968672194876</v>
      </c>
      <c r="BC1225" s="73" t="str">
        <f t="shared" si="239"/>
        <v>Cooling RES 9 Year EUL</v>
      </c>
      <c r="BD1225" s="165">
        <f>(INDEX('Avoided Cost Benefits'!$C$4:$C$857,MATCH(BC1225,'Avoided Cost Benefits'!$A$4:$A$857,0)))*F1225</f>
        <v>81.881960683709053</v>
      </c>
      <c r="BE1225" s="74">
        <f t="shared" si="240"/>
        <v>18.876828692779611</v>
      </c>
    </row>
    <row r="1226" spans="1:57" s="544" customFormat="1" x14ac:dyDescent="0.25">
      <c r="A1226" s="327"/>
      <c r="B1226" s="233"/>
      <c r="C1226" s="2272" t="s">
        <v>2232</v>
      </c>
      <c r="D1226" s="2273" t="s">
        <v>1613</v>
      </c>
      <c r="E1226" s="237" t="s">
        <v>2233</v>
      </c>
      <c r="F1226" s="488">
        <f>ROUND(($H$1251*$H$1245*(1/$H$1249-1/$H$1248)/1000),2)</f>
        <v>199.46</v>
      </c>
      <c r="G1226" s="61" t="s">
        <v>737</v>
      </c>
      <c r="H1226" s="239">
        <f>VLOOKUP(G1226,'CP FACTORS'!$A$3:$B$38, 2, FALSE)</f>
        <v>9.4741810000000004E-4</v>
      </c>
      <c r="I1226" s="2015">
        <f t="shared" si="235"/>
        <v>0.188972</v>
      </c>
      <c r="J1226" s="452">
        <f t="shared" si="236"/>
        <v>9</v>
      </c>
      <c r="K1226" s="1505">
        <f t="shared" si="237"/>
        <v>20</v>
      </c>
      <c r="L1226" s="2273" t="s">
        <v>37</v>
      </c>
      <c r="M1226" s="327"/>
      <c r="N1226" s="1893"/>
      <c r="O1226" s="1453"/>
      <c r="P1226" s="327"/>
      <c r="Q1226" s="327"/>
      <c r="R1226" s="1894"/>
      <c r="S1226" s="327"/>
      <c r="T1226" s="327"/>
      <c r="U1226" s="327"/>
      <c r="V1226" s="547" t="s">
        <v>20</v>
      </c>
      <c r="W1226" s="548"/>
      <c r="X1226" s="452"/>
      <c r="Y1226" s="142">
        <v>199.46</v>
      </c>
      <c r="Z1226" s="1504"/>
      <c r="AA1226" s="547"/>
      <c r="AB1226" s="547"/>
      <c r="AC1226" s="547"/>
      <c r="AD1226" s="547"/>
      <c r="AE1226" s="547"/>
      <c r="AF1226" s="547"/>
      <c r="AG1226" s="547"/>
      <c r="AI1226" s="141"/>
      <c r="AJ1226" s="141"/>
      <c r="AK1226" s="141"/>
      <c r="AL1226" s="141"/>
      <c r="AM1226" s="141"/>
      <c r="AN1226" s="141"/>
      <c r="AO1226" s="141"/>
      <c r="AP1226" s="141"/>
      <c r="AQ1226" s="141"/>
      <c r="AR1226" s="141"/>
      <c r="AS1226" s="141"/>
      <c r="AU1226" s="249"/>
      <c r="BB1226" s="72">
        <f t="shared" si="238"/>
        <v>9.6756544076895441</v>
      </c>
      <c r="BC1226" s="73" t="str">
        <f t="shared" si="239"/>
        <v>Cooling RES 9 Year EUL</v>
      </c>
      <c r="BD1226" s="165">
        <f>(INDEX('Avoided Cost Benefits'!$C$4:$C$857,MATCH(BC1226,'Avoided Cost Benefits'!$A$4:$A$857,0)))*F1226</f>
        <v>182.64567074449349</v>
      </c>
      <c r="BE1226" s="74">
        <f t="shared" si="240"/>
        <v>18.876828692779611</v>
      </c>
    </row>
    <row r="1227" spans="1:57" s="544" customFormat="1" ht="15.75" thickBot="1" x14ac:dyDescent="0.3">
      <c r="A1227" s="327"/>
      <c r="B1227" s="233"/>
      <c r="C1227" s="2274" t="s">
        <v>2234</v>
      </c>
      <c r="D1227" s="2279" t="s">
        <v>1610</v>
      </c>
      <c r="E1227" s="1506" t="s">
        <v>2235</v>
      </c>
      <c r="F1227" s="1714">
        <f>ROUND(($F$1251*$F$1245*(1/$F$1247-1/$F$1248)/1000),2)</f>
        <v>89.42</v>
      </c>
      <c r="G1227" s="2275" t="s">
        <v>737</v>
      </c>
      <c r="H1227" s="2276">
        <f>VLOOKUP(G1227,'CP FACTORS'!$A$3:$B$38, 2, FALSE)</f>
        <v>9.4741810000000004E-4</v>
      </c>
      <c r="I1227" s="2277">
        <f t="shared" si="235"/>
        <v>8.4718000000000002E-2</v>
      </c>
      <c r="J1227" s="2278">
        <f t="shared" si="236"/>
        <v>9</v>
      </c>
      <c r="K1227" s="1507">
        <f t="shared" si="237"/>
        <v>20</v>
      </c>
      <c r="L1227" s="2279" t="s">
        <v>37</v>
      </c>
      <c r="M1227" s="327"/>
      <c r="N1227" s="1893"/>
      <c r="O1227" s="1453"/>
      <c r="P1227" s="327"/>
      <c r="Q1227" s="327"/>
      <c r="R1227" s="1894"/>
      <c r="S1227" s="327"/>
      <c r="T1227" s="327"/>
      <c r="U1227" s="327"/>
      <c r="V1227" s="547" t="s">
        <v>20</v>
      </c>
      <c r="W1227" s="548"/>
      <c r="X1227" s="452"/>
      <c r="Y1227" s="142">
        <v>89.42</v>
      </c>
      <c r="Z1227" s="1504"/>
      <c r="AA1227" s="547"/>
      <c r="AB1227" s="547"/>
      <c r="AC1227" s="547"/>
      <c r="AD1227" s="547"/>
      <c r="AE1227" s="547"/>
      <c r="AF1227" s="547"/>
      <c r="AG1227" s="547"/>
      <c r="AI1227" s="141"/>
      <c r="AJ1227" s="141"/>
      <c r="AK1227" s="141"/>
      <c r="AL1227" s="141"/>
      <c r="AM1227" s="141"/>
      <c r="AN1227" s="141"/>
      <c r="AO1227" s="141"/>
      <c r="AP1227" s="141"/>
      <c r="AQ1227" s="141"/>
      <c r="AR1227" s="141"/>
      <c r="AS1227" s="141"/>
      <c r="AU1227" s="249"/>
      <c r="BB1227" s="72">
        <f t="shared" si="238"/>
        <v>4.3376968672194876</v>
      </c>
      <c r="BC1227" s="73" t="str">
        <f t="shared" si="239"/>
        <v>Cooling RES 9 Year EUL</v>
      </c>
      <c r="BD1227" s="165">
        <f>(INDEX('Avoided Cost Benefits'!$C$4:$C$857,MATCH(BC1227,'Avoided Cost Benefits'!$A$4:$A$857,0)))*F1227</f>
        <v>81.881960683709053</v>
      </c>
      <c r="BE1227" s="74">
        <f t="shared" si="240"/>
        <v>18.876828692779611</v>
      </c>
    </row>
    <row r="1228" spans="1:57" s="544" customFormat="1" x14ac:dyDescent="0.25">
      <c r="A1228" s="327"/>
      <c r="B1228" s="233"/>
      <c r="C1228" s="2280" t="s">
        <v>2236</v>
      </c>
      <c r="D1228" s="2287" t="s">
        <v>1613</v>
      </c>
      <c r="E1228" s="2281" t="s">
        <v>2237</v>
      </c>
      <c r="F1228" s="2282">
        <f>ROUND(($H$1251*$H$1246*(1/$H$1249-1/$H$1248)/1000),2)</f>
        <v>249.32</v>
      </c>
      <c r="G1228" s="2283" t="s">
        <v>737</v>
      </c>
      <c r="H1228" s="2056">
        <f>VLOOKUP(G1228,'CP FACTORS'!$A$3:$B$38, 2, FALSE)</f>
        <v>9.4741810000000004E-4</v>
      </c>
      <c r="I1228" s="2284">
        <f t="shared" si="235"/>
        <v>0.23621</v>
      </c>
      <c r="J1228" s="2285">
        <f t="shared" si="236"/>
        <v>9</v>
      </c>
      <c r="K1228" s="2286">
        <f t="shared" si="237"/>
        <v>20</v>
      </c>
      <c r="L1228" s="2287" t="s">
        <v>37</v>
      </c>
      <c r="M1228" s="327"/>
      <c r="N1228" s="1893"/>
      <c r="O1228" s="1453"/>
      <c r="P1228" s="327"/>
      <c r="Q1228" s="327"/>
      <c r="R1228" s="1894"/>
      <c r="S1228" s="327"/>
      <c r="T1228" s="327"/>
      <c r="U1228" s="327"/>
      <c r="V1228" s="547" t="s">
        <v>20</v>
      </c>
      <c r="W1228" s="548"/>
      <c r="X1228" s="452"/>
      <c r="Y1228" s="142">
        <v>249.32</v>
      </c>
      <c r="Z1228" s="1504"/>
      <c r="AA1228" s="547"/>
      <c r="AB1228" s="547"/>
      <c r="AC1228" s="547"/>
      <c r="AD1228" s="547"/>
      <c r="AE1228" s="547"/>
      <c r="AF1228" s="547"/>
      <c r="AG1228" s="547"/>
      <c r="AI1228" s="141"/>
      <c r="AJ1228" s="141"/>
      <c r="AK1228" s="141"/>
      <c r="AL1228" s="141"/>
      <c r="AM1228" s="141"/>
      <c r="AN1228" s="141"/>
      <c r="AO1228" s="141"/>
      <c r="AP1228" s="141"/>
      <c r="AQ1228" s="141"/>
      <c r="AR1228" s="141"/>
      <c r="AS1228" s="141"/>
      <c r="AU1228" s="249"/>
      <c r="BB1228" s="72">
        <f t="shared" si="238"/>
        <v>12.094325463376903</v>
      </c>
      <c r="BC1228" s="73" t="str">
        <f t="shared" si="239"/>
        <v>Cooling RES 9 Year EUL</v>
      </c>
      <c r="BD1228" s="165">
        <f>(INDEX('Avoided Cost Benefits'!$C$4:$C$857,MATCH(BC1228,'Avoided Cost Benefits'!$A$4:$A$857,0)))*F1228</f>
        <v>228.30250992688818</v>
      </c>
      <c r="BE1228" s="74">
        <f t="shared" si="240"/>
        <v>18.876828692779611</v>
      </c>
    </row>
    <row r="1229" spans="1:57" s="544" customFormat="1" x14ac:dyDescent="0.25">
      <c r="A1229" s="327"/>
      <c r="B1229" s="233"/>
      <c r="C1229" s="2272" t="s">
        <v>2238</v>
      </c>
      <c r="D1229" s="2273" t="s">
        <v>1610</v>
      </c>
      <c r="E1229" s="237" t="s">
        <v>2239</v>
      </c>
      <c r="F1229" s="488">
        <f>ROUND(($F$1251*$F$1246*(1/$F$1247-1/$F$1248)/1000),2)</f>
        <v>111.77</v>
      </c>
      <c r="G1229" s="61" t="s">
        <v>737</v>
      </c>
      <c r="H1229" s="239">
        <f>VLOOKUP(G1229,'CP FACTORS'!$A$3:$B$38, 2, FALSE)</f>
        <v>9.4741810000000004E-4</v>
      </c>
      <c r="I1229" s="2015">
        <f t="shared" si="235"/>
        <v>0.105893</v>
      </c>
      <c r="J1229" s="452">
        <f t="shared" si="236"/>
        <v>9</v>
      </c>
      <c r="K1229" s="1505">
        <f t="shared" si="237"/>
        <v>20</v>
      </c>
      <c r="L1229" s="2273" t="s">
        <v>37</v>
      </c>
      <c r="M1229" s="327"/>
      <c r="N1229" s="1893"/>
      <c r="O1229" s="1453"/>
      <c r="P1229" s="327"/>
      <c r="Q1229" s="327"/>
      <c r="R1229" s="1894"/>
      <c r="S1229" s="327"/>
      <c r="T1229" s="327"/>
      <c r="U1229" s="327"/>
      <c r="V1229" s="547" t="s">
        <v>20</v>
      </c>
      <c r="W1229" s="548"/>
      <c r="X1229" s="452"/>
      <c r="Y1229" s="142">
        <v>111.77</v>
      </c>
      <c r="Z1229" s="1504"/>
      <c r="AA1229" s="547"/>
      <c r="AB1229" s="547"/>
      <c r="AC1229" s="547"/>
      <c r="AD1229" s="547"/>
      <c r="AE1229" s="547"/>
      <c r="AF1229" s="547"/>
      <c r="AG1229" s="547"/>
      <c r="AI1229" s="141"/>
      <c r="AJ1229" s="141"/>
      <c r="AK1229" s="141"/>
      <c r="AL1229" s="141"/>
      <c r="AM1229" s="141"/>
      <c r="AN1229" s="141"/>
      <c r="AO1229" s="141"/>
      <c r="AP1229" s="141"/>
      <c r="AQ1229" s="141"/>
      <c r="AR1229" s="141"/>
      <c r="AS1229" s="141"/>
      <c r="AU1229" s="249"/>
      <c r="BB1229" s="72">
        <f t="shared" si="238"/>
        <v>5.4218785377893326</v>
      </c>
      <c r="BC1229" s="73" t="str">
        <f t="shared" si="239"/>
        <v>Cooling RES 9 Year EUL</v>
      </c>
      <c r="BD1229" s="165">
        <f>(INDEX('Avoided Cost Benefits'!$C$4:$C$857,MATCH(BC1229,'Avoided Cost Benefits'!$A$4:$A$857,0)))*F1229</f>
        <v>102.34787235090764</v>
      </c>
      <c r="BE1229" s="74">
        <f t="shared" si="240"/>
        <v>18.876828692779611</v>
      </c>
    </row>
    <row r="1230" spans="1:57" s="544" customFormat="1" x14ac:dyDescent="0.25">
      <c r="A1230" s="327"/>
      <c r="B1230" s="233"/>
      <c r="C1230" s="2272" t="s">
        <v>2240</v>
      </c>
      <c r="D1230" s="2273" t="s">
        <v>1613</v>
      </c>
      <c r="E1230" s="237" t="s">
        <v>2241</v>
      </c>
      <c r="F1230" s="488">
        <f>ROUND(($H$1251*$H$1246*(1/$H$1249-1/$H$1248)/1000),2)</f>
        <v>249.32</v>
      </c>
      <c r="G1230" s="61" t="s">
        <v>737</v>
      </c>
      <c r="H1230" s="239">
        <f>VLOOKUP(G1230,'CP FACTORS'!$A$3:$B$38, 2, FALSE)</f>
        <v>9.4741810000000004E-4</v>
      </c>
      <c r="I1230" s="2015">
        <f t="shared" si="235"/>
        <v>0.23621</v>
      </c>
      <c r="J1230" s="452">
        <f t="shared" si="236"/>
        <v>9</v>
      </c>
      <c r="K1230" s="1505">
        <f t="shared" si="237"/>
        <v>20</v>
      </c>
      <c r="L1230" s="2273" t="s">
        <v>37</v>
      </c>
      <c r="M1230" s="327"/>
      <c r="N1230" s="1893"/>
      <c r="O1230" s="1453"/>
      <c r="P1230" s="327"/>
      <c r="Q1230" s="327"/>
      <c r="R1230" s="1894"/>
      <c r="S1230" s="327"/>
      <c r="T1230" s="327"/>
      <c r="U1230" s="327"/>
      <c r="V1230" s="547" t="s">
        <v>20</v>
      </c>
      <c r="W1230" s="548"/>
      <c r="X1230" s="452"/>
      <c r="Y1230" s="142">
        <v>249.32</v>
      </c>
      <c r="Z1230" s="1504"/>
      <c r="AA1230" s="547"/>
      <c r="AB1230" s="547"/>
      <c r="AC1230" s="547"/>
      <c r="AD1230" s="547"/>
      <c r="AE1230" s="547"/>
      <c r="AF1230" s="547"/>
      <c r="AG1230" s="547"/>
      <c r="AI1230" s="141"/>
      <c r="AJ1230" s="141"/>
      <c r="AK1230" s="141"/>
      <c r="AL1230" s="141"/>
      <c r="AM1230" s="141"/>
      <c r="AN1230" s="141"/>
      <c r="AO1230" s="141"/>
      <c r="AP1230" s="141"/>
      <c r="AQ1230" s="141"/>
      <c r="AR1230" s="141"/>
      <c r="AS1230" s="141"/>
      <c r="AU1230" s="249"/>
      <c r="BB1230" s="72">
        <f t="shared" si="238"/>
        <v>12.094325463376903</v>
      </c>
      <c r="BC1230" s="73" t="str">
        <f t="shared" si="239"/>
        <v>Cooling RES 9 Year EUL</v>
      </c>
      <c r="BD1230" s="165">
        <f>(INDEX('Avoided Cost Benefits'!$C$4:$C$857,MATCH(BC1230,'Avoided Cost Benefits'!$A$4:$A$857,0)))*F1230</f>
        <v>228.30250992688818</v>
      </c>
      <c r="BE1230" s="74">
        <f t="shared" si="240"/>
        <v>18.876828692779611</v>
      </c>
    </row>
    <row r="1231" spans="1:57" s="544" customFormat="1" x14ac:dyDescent="0.25">
      <c r="A1231" s="327"/>
      <c r="B1231" s="233"/>
      <c r="C1231" s="2272" t="s">
        <v>2242</v>
      </c>
      <c r="D1231" s="2273" t="s">
        <v>1610</v>
      </c>
      <c r="E1231" s="237" t="s">
        <v>2243</v>
      </c>
      <c r="F1231" s="488">
        <f>ROUND(($F$1251*$F$1246*(1/$F$1247-1/$F$1248)/1000),2)</f>
        <v>111.77</v>
      </c>
      <c r="G1231" s="61" t="s">
        <v>737</v>
      </c>
      <c r="H1231" s="239">
        <f>VLOOKUP(G1231,'CP FACTORS'!$A$3:$B$38, 2, FALSE)</f>
        <v>9.4741810000000004E-4</v>
      </c>
      <c r="I1231" s="2015">
        <f t="shared" si="235"/>
        <v>0.105893</v>
      </c>
      <c r="J1231" s="452">
        <f t="shared" si="236"/>
        <v>9</v>
      </c>
      <c r="K1231" s="1505">
        <f t="shared" si="237"/>
        <v>20</v>
      </c>
      <c r="L1231" s="2273" t="s">
        <v>37</v>
      </c>
      <c r="M1231" s="327"/>
      <c r="N1231" s="1893"/>
      <c r="O1231" s="1453"/>
      <c r="P1231" s="327"/>
      <c r="Q1231" s="327"/>
      <c r="R1231" s="1894"/>
      <c r="S1231" s="327"/>
      <c r="T1231" s="327"/>
      <c r="U1231" s="327"/>
      <c r="V1231" s="547" t="s">
        <v>20</v>
      </c>
      <c r="W1231" s="548"/>
      <c r="X1231" s="452"/>
      <c r="Y1231" s="142">
        <v>111.77</v>
      </c>
      <c r="Z1231" s="1504"/>
      <c r="AA1231" s="547"/>
      <c r="AB1231" s="547"/>
      <c r="AC1231" s="547"/>
      <c r="AD1231" s="547"/>
      <c r="AE1231" s="547"/>
      <c r="AF1231" s="547"/>
      <c r="AG1231" s="547"/>
      <c r="AI1231" s="141"/>
      <c r="AJ1231" s="141"/>
      <c r="AK1231" s="141"/>
      <c r="AL1231" s="141"/>
      <c r="AM1231" s="141"/>
      <c r="AN1231" s="141"/>
      <c r="AO1231" s="141"/>
      <c r="AP1231" s="141"/>
      <c r="AQ1231" s="141"/>
      <c r="AR1231" s="141"/>
      <c r="AS1231" s="141"/>
      <c r="AU1231" s="249"/>
      <c r="BB1231" s="75">
        <f t="shared" si="238"/>
        <v>5.4218785377893326</v>
      </c>
      <c r="BC1231" s="73" t="str">
        <f t="shared" si="239"/>
        <v>Cooling RES 9 Year EUL</v>
      </c>
      <c r="BD1231" s="170">
        <f>(INDEX('Avoided Cost Benefits'!$C$4:$C$857,MATCH(BC1231,'Avoided Cost Benefits'!$A$4:$A$857,0)))*F1231</f>
        <v>102.34787235090764</v>
      </c>
      <c r="BE1231" s="76">
        <f t="shared" si="240"/>
        <v>18.876828692779611</v>
      </c>
    </row>
    <row r="1232" spans="1:57" s="141" customFormat="1" ht="42" customHeight="1" outlineLevel="1" x14ac:dyDescent="0.25">
      <c r="A1232" s="327"/>
      <c r="B1232" s="553"/>
      <c r="C1232" s="231"/>
      <c r="D1232" s="265"/>
      <c r="E1232" s="550" t="s">
        <v>2244</v>
      </c>
      <c r="F1232" s="551"/>
      <c r="G1232" s="233"/>
      <c r="H1232" s="233"/>
      <c r="I1232" s="177"/>
      <c r="J1232" s="177"/>
      <c r="K1232" s="177"/>
      <c r="L1232" s="1912"/>
      <c r="M1232" s="1898"/>
      <c r="N1232" s="1898"/>
      <c r="O1232" s="553"/>
      <c r="P1232" s="327"/>
      <c r="Q1232" s="327"/>
      <c r="R1232" s="327"/>
      <c r="S1232" s="327"/>
      <c r="T1232" s="327"/>
      <c r="U1232" s="327"/>
      <c r="X1232" s="42"/>
      <c r="Y1232" s="1508"/>
      <c r="Z1232" s="42"/>
      <c r="AA1232" s="42"/>
      <c r="AB1232" s="42"/>
      <c r="AC1232" s="42"/>
      <c r="AD1232" s="42"/>
      <c r="AE1232" s="42"/>
      <c r="AF1232" s="42"/>
      <c r="AG1232" s="42"/>
      <c r="AH1232" s="42"/>
      <c r="AI1232" s="42"/>
      <c r="AJ1232" s="42"/>
      <c r="AK1232" s="42"/>
      <c r="AU1232" s="249"/>
      <c r="BB1232" s="1299"/>
    </row>
    <row r="1233" spans="1:54" s="141" customFormat="1" outlineLevel="1" x14ac:dyDescent="0.25">
      <c r="A1233" s="327"/>
      <c r="B1233" s="553"/>
      <c r="C1233" s="231"/>
      <c r="D1233" s="259" t="s">
        <v>617</v>
      </c>
      <c r="E1233" s="552"/>
      <c r="F1233" s="261"/>
      <c r="G1233" s="233"/>
      <c r="H1233" s="553"/>
      <c r="I1233" s="177"/>
      <c r="J1233" s="177"/>
      <c r="K1233" s="177"/>
      <c r="L1233" s="233"/>
      <c r="M1233" s="1898"/>
      <c r="N1233" s="1898"/>
      <c r="O1233" s="553"/>
      <c r="P1233" s="327"/>
      <c r="Q1233" s="327"/>
      <c r="R1233" s="327"/>
      <c r="S1233" s="327"/>
      <c r="T1233" s="327"/>
      <c r="U1233" s="327"/>
      <c r="X1233" s="42"/>
      <c r="Y1233" s="1509"/>
      <c r="Z1233" s="42"/>
      <c r="AA1233" s="42"/>
      <c r="AB1233" s="42"/>
      <c r="AC1233" s="42"/>
      <c r="AD1233" s="42"/>
      <c r="AE1233" s="42"/>
      <c r="AF1233" s="42"/>
      <c r="AG1233" s="42"/>
      <c r="AH1233" s="42"/>
      <c r="AI1233" s="42"/>
      <c r="AJ1233" s="42"/>
      <c r="AK1233" s="42"/>
      <c r="AU1233" s="249"/>
      <c r="BB1233" s="1299"/>
    </row>
    <row r="1234" spans="1:54" s="141" customFormat="1" outlineLevel="1" x14ac:dyDescent="0.25">
      <c r="A1234" s="327"/>
      <c r="B1234" s="553"/>
      <c r="C1234" s="231"/>
      <c r="D1234" s="265"/>
      <c r="E1234" s="554"/>
      <c r="F1234" s="261"/>
      <c r="G1234" s="233"/>
      <c r="H1234" s="553"/>
      <c r="I1234" s="177"/>
      <c r="J1234" s="177"/>
      <c r="K1234" s="177"/>
      <c r="L1234" s="233"/>
      <c r="M1234" s="1898"/>
      <c r="N1234" s="1898"/>
      <c r="O1234" s="553"/>
      <c r="P1234" s="327"/>
      <c r="Q1234" s="327"/>
      <c r="R1234" s="327"/>
      <c r="S1234" s="327"/>
      <c r="T1234" s="327"/>
      <c r="U1234" s="327"/>
      <c r="X1234" s="42"/>
      <c r="Y1234" s="1508"/>
      <c r="Z1234" s="42"/>
      <c r="AA1234" s="42"/>
      <c r="AB1234" s="42"/>
      <c r="AC1234" s="42"/>
      <c r="AD1234" s="42"/>
      <c r="AE1234" s="42"/>
      <c r="AF1234" s="42"/>
      <c r="AG1234" s="42"/>
      <c r="AH1234" s="42"/>
      <c r="AI1234" s="42"/>
      <c r="AJ1234" s="42"/>
      <c r="AK1234" s="42"/>
      <c r="AU1234" s="249"/>
      <c r="BB1234" s="1299"/>
    </row>
    <row r="1235" spans="1:54" s="141" customFormat="1" outlineLevel="1" x14ac:dyDescent="0.25">
      <c r="A1235" s="327"/>
      <c r="B1235" s="553"/>
      <c r="C1235" s="231"/>
      <c r="D1235" s="265"/>
      <c r="E1235" s="265"/>
      <c r="F1235" s="261"/>
      <c r="G1235" s="233"/>
      <c r="H1235" s="553"/>
      <c r="I1235" s="177"/>
      <c r="J1235" s="177"/>
      <c r="K1235" s="177"/>
      <c r="L1235" s="233"/>
      <c r="M1235" s="1898"/>
      <c r="N1235" s="1898"/>
      <c r="O1235" s="553"/>
      <c r="P1235" s="327"/>
      <c r="Q1235" s="327"/>
      <c r="R1235" s="327"/>
      <c r="S1235" s="327"/>
      <c r="T1235" s="327"/>
      <c r="U1235" s="327"/>
      <c r="X1235" s="42"/>
      <c r="Y1235" s="1509"/>
      <c r="Z1235" s="42"/>
      <c r="AA1235" s="42"/>
      <c r="AB1235" s="42"/>
      <c r="AC1235" s="42"/>
      <c r="AD1235" s="42"/>
      <c r="AE1235" s="42"/>
      <c r="AF1235" s="42"/>
      <c r="AG1235" s="42"/>
      <c r="AH1235" s="42"/>
      <c r="AI1235" s="42"/>
      <c r="AJ1235" s="42"/>
      <c r="AK1235" s="42"/>
      <c r="AU1235" s="249"/>
      <c r="BB1235" s="1299"/>
    </row>
    <row r="1236" spans="1:54" s="141" customFormat="1" outlineLevel="1" x14ac:dyDescent="0.25">
      <c r="A1236" s="327"/>
      <c r="B1236" s="553"/>
      <c r="C1236" s="231"/>
      <c r="D1236" s="265"/>
      <c r="E1236" s="265"/>
      <c r="F1236" s="261"/>
      <c r="G1236" s="233"/>
      <c r="H1236" s="553"/>
      <c r="I1236" s="177"/>
      <c r="J1236" s="177"/>
      <c r="K1236" s="177"/>
      <c r="L1236" s="233"/>
      <c r="M1236" s="1898"/>
      <c r="N1236" s="1898"/>
      <c r="O1236" s="553"/>
      <c r="P1236" s="327"/>
      <c r="Q1236" s="327"/>
      <c r="R1236" s="327"/>
      <c r="S1236" s="327"/>
      <c r="T1236" s="327"/>
      <c r="U1236" s="327"/>
      <c r="X1236" s="42"/>
      <c r="Y1236" s="1509"/>
      <c r="Z1236" s="42"/>
      <c r="AA1236" s="42"/>
      <c r="AB1236" s="42"/>
      <c r="AC1236" s="42"/>
      <c r="AD1236" s="42"/>
      <c r="AE1236" s="42"/>
      <c r="AF1236" s="42"/>
      <c r="AG1236" s="42"/>
      <c r="AH1236" s="42"/>
      <c r="AI1236" s="42"/>
      <c r="AJ1236" s="42"/>
      <c r="AK1236" s="42"/>
      <c r="AU1236" s="249"/>
      <c r="BB1236" s="1299"/>
    </row>
    <row r="1237" spans="1:54" s="141" customFormat="1" outlineLevel="1" x14ac:dyDescent="0.25">
      <c r="A1237" s="327"/>
      <c r="B1237" s="553"/>
      <c r="C1237" s="231"/>
      <c r="D1237" s="265"/>
      <c r="E1237" s="265"/>
      <c r="F1237" s="261"/>
      <c r="G1237" s="233"/>
      <c r="H1237" s="177"/>
      <c r="I1237" s="177"/>
      <c r="J1237" s="177"/>
      <c r="K1237" s="177"/>
      <c r="L1237" s="233"/>
      <c r="M1237" s="1898"/>
      <c r="N1237" s="1898"/>
      <c r="O1237" s="553"/>
      <c r="P1237" s="327"/>
      <c r="Q1237" s="327"/>
      <c r="R1237" s="327"/>
      <c r="S1237" s="327"/>
      <c r="T1237" s="327"/>
      <c r="U1237" s="327"/>
      <c r="X1237" s="42"/>
      <c r="Y1237" s="1509"/>
      <c r="Z1237" s="42"/>
      <c r="AA1237" s="42"/>
      <c r="AB1237" s="42"/>
      <c r="AC1237" s="42"/>
      <c r="AD1237" s="42"/>
      <c r="AE1237" s="42"/>
      <c r="AF1237" s="42"/>
      <c r="AG1237" s="42"/>
      <c r="AH1237" s="42"/>
      <c r="AI1237" s="42"/>
      <c r="AJ1237" s="42"/>
      <c r="AK1237" s="42"/>
      <c r="AU1237" s="249"/>
      <c r="BB1237" s="1299"/>
    </row>
    <row r="1238" spans="1:54" s="141" customFormat="1" outlineLevel="1" x14ac:dyDescent="0.25">
      <c r="A1238" s="327"/>
      <c r="B1238" s="553"/>
      <c r="C1238" s="231"/>
      <c r="D1238" s="265"/>
      <c r="E1238" s="265"/>
      <c r="F1238" s="261"/>
      <c r="G1238" s="233"/>
      <c r="H1238" s="553"/>
      <c r="I1238" s="233"/>
      <c r="J1238" s="233"/>
      <c r="K1238" s="233"/>
      <c r="L1238" s="233"/>
      <c r="M1238" s="1898"/>
      <c r="N1238" s="1898"/>
      <c r="O1238" s="553"/>
      <c r="P1238" s="327"/>
      <c r="Q1238" s="327"/>
      <c r="R1238" s="327"/>
      <c r="S1238" s="327"/>
      <c r="T1238" s="327"/>
      <c r="U1238" s="327"/>
      <c r="X1238" s="42"/>
      <c r="Y1238" s="1509"/>
      <c r="Z1238" s="42"/>
      <c r="AA1238" s="42"/>
      <c r="AB1238" s="42"/>
      <c r="AC1238" s="42"/>
      <c r="AD1238" s="42"/>
      <c r="AE1238" s="42"/>
      <c r="AF1238" s="42"/>
      <c r="AG1238" s="42"/>
      <c r="AH1238" s="42"/>
      <c r="AI1238" s="42"/>
      <c r="AJ1238" s="42"/>
      <c r="AK1238" s="42"/>
      <c r="AU1238" s="249"/>
      <c r="BB1238" s="1299"/>
    </row>
    <row r="1239" spans="1:54" s="141" customFormat="1" outlineLevel="1" x14ac:dyDescent="0.25">
      <c r="A1239" s="327"/>
      <c r="B1239" s="553"/>
      <c r="C1239" s="231"/>
      <c r="D1239" s="265"/>
      <c r="E1239" s="265"/>
      <c r="F1239" s="261"/>
      <c r="G1239" s="233"/>
      <c r="H1239" s="233"/>
      <c r="I1239" s="233"/>
      <c r="J1239" s="233"/>
      <c r="K1239" s="233"/>
      <c r="L1239" s="233"/>
      <c r="M1239" s="1898"/>
      <c r="N1239" s="1898"/>
      <c r="O1239" s="553"/>
      <c r="P1239" s="327"/>
      <c r="Q1239" s="327"/>
      <c r="R1239" s="327"/>
      <c r="S1239" s="327"/>
      <c r="T1239" s="327"/>
      <c r="U1239" s="327"/>
      <c r="V1239" s="55" t="s">
        <v>27</v>
      </c>
      <c r="W1239" s="56">
        <v>43252</v>
      </c>
      <c r="X1239" s="56">
        <f>$X$6</f>
        <v>43465</v>
      </c>
      <c r="Y1239" s="500">
        <f>$Y$6</f>
        <v>43800</v>
      </c>
      <c r="Z1239" s="56">
        <f>$Z$6</f>
        <v>43862</v>
      </c>
      <c r="AA1239" s="56" t="str">
        <f>$AA$6</f>
        <v>-</v>
      </c>
      <c r="AB1239" s="56" t="str">
        <f>$AB$6</f>
        <v>-</v>
      </c>
      <c r="AC1239" s="56" t="str">
        <f>$AC$6</f>
        <v>-</v>
      </c>
      <c r="AD1239" s="56" t="str">
        <f>$AD$6</f>
        <v>-</v>
      </c>
      <c r="AE1239" s="56" t="str">
        <f>$AE$6</f>
        <v>-</v>
      </c>
      <c r="AF1239" s="56" t="str">
        <f>$AF$6</f>
        <v>-</v>
      </c>
      <c r="AG1239" s="56" t="str">
        <f>$AG$6</f>
        <v>-</v>
      </c>
      <c r="AI1239" s="56">
        <v>43252</v>
      </c>
      <c r="AJ1239" s="56">
        <f>$Y$6</f>
        <v>43800</v>
      </c>
      <c r="AK1239" s="56">
        <f>$Y$6</f>
        <v>43800</v>
      </c>
      <c r="AL1239" s="56">
        <f>$Z$6</f>
        <v>43862</v>
      </c>
      <c r="AM1239" s="56" t="str">
        <f>$AA$6</f>
        <v>-</v>
      </c>
      <c r="AN1239" s="56" t="str">
        <f>$AB$6</f>
        <v>-</v>
      </c>
      <c r="AO1239" s="56" t="str">
        <f>$AC$6</f>
        <v>-</v>
      </c>
      <c r="AP1239" s="56" t="str">
        <f>$AD$6</f>
        <v>-</v>
      </c>
      <c r="AQ1239" s="56" t="str">
        <f>$AE$6</f>
        <v>-</v>
      </c>
      <c r="AR1239" s="56" t="str">
        <f>$AF$6</f>
        <v>-</v>
      </c>
      <c r="AS1239" s="56" t="str">
        <f>$AG$6</f>
        <v>-</v>
      </c>
      <c r="AU1239" s="249"/>
      <c r="BB1239" s="1299"/>
    </row>
    <row r="1240" spans="1:54" s="141" customFormat="1" outlineLevel="1" x14ac:dyDescent="0.25">
      <c r="A1240" s="327"/>
      <c r="B1240" s="553"/>
      <c r="C1240" s="231"/>
      <c r="D1240" s="1701" t="s">
        <v>619</v>
      </c>
      <c r="E1240" s="1641" t="s">
        <v>2245</v>
      </c>
      <c r="F1240" s="1701" t="s">
        <v>2246</v>
      </c>
      <c r="G1240" s="1641" t="s">
        <v>2247</v>
      </c>
      <c r="H1240" s="1701" t="s">
        <v>2248</v>
      </c>
      <c r="I1240" s="1659" t="s">
        <v>863</v>
      </c>
      <c r="J1240" s="233"/>
      <c r="K1240" s="233"/>
      <c r="L1240" s="233"/>
      <c r="M1240" s="332"/>
      <c r="N1240" s="332"/>
      <c r="O1240" s="553"/>
      <c r="P1240" s="327"/>
      <c r="Q1240" s="327"/>
      <c r="R1240" s="327"/>
      <c r="S1240" s="327"/>
      <c r="T1240" s="327"/>
      <c r="U1240" s="327"/>
      <c r="V1240" s="79"/>
      <c r="W1240" s="80" t="s">
        <v>913</v>
      </c>
      <c r="X1240" s="80" t="s">
        <v>913</v>
      </c>
      <c r="Y1240" s="80" t="s">
        <v>913</v>
      </c>
      <c r="Z1240" s="80" t="s">
        <v>913</v>
      </c>
      <c r="AA1240" s="80" t="s">
        <v>913</v>
      </c>
      <c r="AB1240" s="80" t="s">
        <v>913</v>
      </c>
      <c r="AC1240" s="80" t="s">
        <v>913</v>
      </c>
      <c r="AD1240" s="80" t="s">
        <v>913</v>
      </c>
      <c r="AE1240" s="80" t="s">
        <v>913</v>
      </c>
      <c r="AF1240" s="80" t="s">
        <v>913</v>
      </c>
      <c r="AG1240" s="80" t="s">
        <v>913</v>
      </c>
      <c r="AI1240" s="80" t="s">
        <v>2249</v>
      </c>
      <c r="AJ1240" s="80" t="s">
        <v>2249</v>
      </c>
      <c r="AK1240" s="80" t="s">
        <v>2249</v>
      </c>
      <c r="AL1240" s="80" t="s">
        <v>2249</v>
      </c>
      <c r="AM1240" s="80" t="s">
        <v>2249</v>
      </c>
      <c r="AN1240" s="80" t="s">
        <v>2249</v>
      </c>
      <c r="AO1240" s="80" t="s">
        <v>2249</v>
      </c>
      <c r="AP1240" s="80" t="s">
        <v>2249</v>
      </c>
      <c r="AQ1240" s="80" t="s">
        <v>2249</v>
      </c>
      <c r="AR1240" s="80" t="s">
        <v>2249</v>
      </c>
      <c r="AS1240" s="80" t="s">
        <v>2249</v>
      </c>
      <c r="AU1240" s="249"/>
      <c r="BB1240" s="1299"/>
    </row>
    <row r="1241" spans="1:54" s="141" customFormat="1" ht="30" outlineLevel="1" x14ac:dyDescent="0.25">
      <c r="A1241" s="327"/>
      <c r="B1241" s="553"/>
      <c r="C1241" s="231"/>
      <c r="D1241" s="3131" t="s">
        <v>914</v>
      </c>
      <c r="E1241" s="1643" t="s">
        <v>2250</v>
      </c>
      <c r="F1241" s="444">
        <v>10322.173207292981</v>
      </c>
      <c r="G1241" s="1643" t="s">
        <v>2251</v>
      </c>
      <c r="H1241" s="1510">
        <v>11745</v>
      </c>
      <c r="I1241" s="1511"/>
      <c r="J1241" s="233"/>
      <c r="K1241" s="233"/>
      <c r="L1241" s="233"/>
      <c r="M1241" s="327"/>
      <c r="N1241" s="327"/>
      <c r="O1241" s="553"/>
      <c r="P1241" s="327"/>
      <c r="Q1241" s="327"/>
      <c r="R1241" s="327"/>
      <c r="S1241" s="327"/>
      <c r="T1241" s="327"/>
      <c r="U1241" s="327"/>
      <c r="V1241" s="3132" t="s">
        <v>914</v>
      </c>
      <c r="W1241" s="451">
        <v>9558.22711471611</v>
      </c>
      <c r="X1241" s="555">
        <v>10322.173207292981</v>
      </c>
      <c r="Y1241" s="444">
        <v>10322.173207292981</v>
      </c>
      <c r="Z1241" s="391"/>
      <c r="AA1241" s="391"/>
      <c r="AB1241" s="391"/>
      <c r="AC1241" s="391"/>
      <c r="AD1241" s="391"/>
      <c r="AE1241" s="391"/>
      <c r="AF1241" s="391"/>
      <c r="AG1241" s="391"/>
      <c r="AI1241" s="446" t="s">
        <v>2252</v>
      </c>
      <c r="AJ1241" s="1512">
        <v>11733</v>
      </c>
      <c r="AK1241" s="1512">
        <v>11745</v>
      </c>
      <c r="AL1241" s="1513"/>
      <c r="AM1241" s="1513"/>
      <c r="AN1241" s="1513"/>
      <c r="AO1241" s="1513"/>
      <c r="AP1241" s="1513"/>
      <c r="AQ1241" s="1513"/>
      <c r="AR1241" s="1513"/>
      <c r="AS1241" s="1513"/>
      <c r="AU1241" s="249"/>
      <c r="BB1241" s="1299"/>
    </row>
    <row r="1242" spans="1:54" s="141" customFormat="1" outlineLevel="1" x14ac:dyDescent="0.25">
      <c r="A1242" s="327"/>
      <c r="B1242" s="553"/>
      <c r="C1242" s="231"/>
      <c r="D1242" s="2857"/>
      <c r="E1242" s="1643" t="s">
        <v>2253</v>
      </c>
      <c r="F1242" s="444">
        <v>5000</v>
      </c>
      <c r="G1242" s="1643" t="s">
        <v>2253</v>
      </c>
      <c r="H1242" s="1510">
        <v>5000</v>
      </c>
      <c r="I1242" s="1511"/>
      <c r="J1242" s="233"/>
      <c r="K1242" s="233"/>
      <c r="L1242" s="233"/>
      <c r="M1242" s="327"/>
      <c r="N1242" s="327"/>
      <c r="O1242" s="553"/>
      <c r="P1242" s="327"/>
      <c r="Q1242" s="327"/>
      <c r="R1242" s="327"/>
      <c r="S1242" s="327"/>
      <c r="T1242" s="327"/>
      <c r="U1242" s="327"/>
      <c r="V1242" s="2922"/>
      <c r="W1242" s="451"/>
      <c r="X1242" s="555"/>
      <c r="Y1242" s="556">
        <v>5000</v>
      </c>
      <c r="Z1242" s="391"/>
      <c r="AA1242" s="391"/>
      <c r="AB1242" s="391"/>
      <c r="AC1242" s="391"/>
      <c r="AD1242" s="391"/>
      <c r="AE1242" s="391"/>
      <c r="AF1242" s="391"/>
      <c r="AG1242" s="391"/>
      <c r="AI1242" s="446"/>
      <c r="AJ1242" s="1512"/>
      <c r="AK1242" s="1512">
        <v>5000</v>
      </c>
      <c r="AL1242" s="1513"/>
      <c r="AM1242" s="1513"/>
      <c r="AN1242" s="1513"/>
      <c r="AO1242" s="1513"/>
      <c r="AP1242" s="1513"/>
      <c r="AQ1242" s="1513"/>
      <c r="AR1242" s="1513"/>
      <c r="AS1242" s="1513"/>
      <c r="AU1242" s="249"/>
      <c r="BB1242" s="1299"/>
    </row>
    <row r="1243" spans="1:54" s="141" customFormat="1" outlineLevel="1" x14ac:dyDescent="0.25">
      <c r="A1243" s="327"/>
      <c r="B1243" s="553"/>
      <c r="C1243" s="231"/>
      <c r="D1243" s="2857"/>
      <c r="E1243" s="1643" t="s">
        <v>2254</v>
      </c>
      <c r="F1243" s="444">
        <v>8000</v>
      </c>
      <c r="G1243" s="1643" t="s">
        <v>2254</v>
      </c>
      <c r="H1243" s="1510">
        <v>8000</v>
      </c>
      <c r="I1243" s="1511"/>
      <c r="J1243" s="233"/>
      <c r="K1243" s="233"/>
      <c r="L1243" s="233"/>
      <c r="M1243" s="327"/>
      <c r="N1243" s="327"/>
      <c r="O1243" s="553"/>
      <c r="P1243" s="327"/>
      <c r="Q1243" s="327"/>
      <c r="R1243" s="327"/>
      <c r="S1243" s="327"/>
      <c r="T1243" s="327"/>
      <c r="U1243" s="327"/>
      <c r="V1243" s="2922"/>
      <c r="W1243" s="451"/>
      <c r="X1243" s="555"/>
      <c r="Y1243" s="556">
        <v>8000</v>
      </c>
      <c r="Z1243" s="391"/>
      <c r="AA1243" s="391"/>
      <c r="AB1243" s="391"/>
      <c r="AC1243" s="391"/>
      <c r="AD1243" s="391"/>
      <c r="AE1243" s="391"/>
      <c r="AF1243" s="391"/>
      <c r="AG1243" s="391"/>
      <c r="AI1243" s="446"/>
      <c r="AJ1243" s="1512"/>
      <c r="AK1243" s="1512">
        <v>8000</v>
      </c>
      <c r="AL1243" s="1513"/>
      <c r="AM1243" s="1513"/>
      <c r="AN1243" s="1513"/>
      <c r="AO1243" s="1513"/>
      <c r="AP1243" s="1513"/>
      <c r="AQ1243" s="1513"/>
      <c r="AR1243" s="1513"/>
      <c r="AS1243" s="1513"/>
      <c r="AU1243" s="249"/>
      <c r="BB1243" s="1299"/>
    </row>
    <row r="1244" spans="1:54" s="141" customFormat="1" outlineLevel="1" x14ac:dyDescent="0.25">
      <c r="A1244" s="327"/>
      <c r="B1244" s="553"/>
      <c r="C1244" s="231"/>
      <c r="D1244" s="2857"/>
      <c r="E1244" s="1643" t="s">
        <v>2255</v>
      </c>
      <c r="F1244" s="444">
        <v>10000</v>
      </c>
      <c r="G1244" s="1643" t="s">
        <v>2255</v>
      </c>
      <c r="H1244" s="1510">
        <v>10000</v>
      </c>
      <c r="I1244" s="1511"/>
      <c r="J1244" s="233"/>
      <c r="K1244" s="233"/>
      <c r="L1244" s="233"/>
      <c r="M1244" s="327"/>
      <c r="N1244" s="327"/>
      <c r="O1244" s="553"/>
      <c r="P1244" s="327"/>
      <c r="Q1244" s="327"/>
      <c r="R1244" s="327"/>
      <c r="S1244" s="327"/>
      <c r="T1244" s="327"/>
      <c r="U1244" s="327"/>
      <c r="V1244" s="2922"/>
      <c r="W1244" s="451"/>
      <c r="X1244" s="555"/>
      <c r="Y1244" s="556">
        <v>10000</v>
      </c>
      <c r="Z1244" s="391"/>
      <c r="AA1244" s="391"/>
      <c r="AB1244" s="391"/>
      <c r="AC1244" s="391"/>
      <c r="AD1244" s="391"/>
      <c r="AE1244" s="391"/>
      <c r="AF1244" s="391"/>
      <c r="AG1244" s="391"/>
      <c r="AI1244" s="446"/>
      <c r="AJ1244" s="1512"/>
      <c r="AK1244" s="1512">
        <v>10000</v>
      </c>
      <c r="AL1244" s="1513"/>
      <c r="AM1244" s="1513"/>
      <c r="AN1244" s="1513"/>
      <c r="AO1244" s="1513"/>
      <c r="AP1244" s="1513"/>
      <c r="AQ1244" s="1513"/>
      <c r="AR1244" s="1513"/>
      <c r="AS1244" s="1513"/>
      <c r="AU1244" s="249"/>
      <c r="BB1244" s="1299"/>
    </row>
    <row r="1245" spans="1:54" s="141" customFormat="1" outlineLevel="1" x14ac:dyDescent="0.25">
      <c r="A1245" s="327"/>
      <c r="B1245" s="553"/>
      <c r="C1245" s="231"/>
      <c r="D1245" s="2857"/>
      <c r="E1245" s="1643" t="s">
        <v>2256</v>
      </c>
      <c r="F1245" s="444">
        <v>12000</v>
      </c>
      <c r="G1245" s="1643" t="s">
        <v>2256</v>
      </c>
      <c r="H1245" s="1510">
        <v>12000</v>
      </c>
      <c r="I1245" s="1511"/>
      <c r="J1245" s="233"/>
      <c r="K1245" s="233"/>
      <c r="L1245" s="233"/>
      <c r="M1245" s="327"/>
      <c r="N1245" s="327"/>
      <c r="O1245" s="553"/>
      <c r="P1245" s="327"/>
      <c r="Q1245" s="327"/>
      <c r="R1245" s="327"/>
      <c r="S1245" s="327"/>
      <c r="T1245" s="327"/>
      <c r="U1245" s="327"/>
      <c r="V1245" s="2922"/>
      <c r="W1245" s="451"/>
      <c r="X1245" s="555"/>
      <c r="Y1245" s="556">
        <v>12000</v>
      </c>
      <c r="Z1245" s="391"/>
      <c r="AA1245" s="391"/>
      <c r="AB1245" s="391"/>
      <c r="AC1245" s="391"/>
      <c r="AD1245" s="391"/>
      <c r="AE1245" s="391"/>
      <c r="AF1245" s="391"/>
      <c r="AG1245" s="391"/>
      <c r="AI1245" s="446"/>
      <c r="AJ1245" s="1512"/>
      <c r="AK1245" s="1512">
        <v>12000</v>
      </c>
      <c r="AL1245" s="1513"/>
      <c r="AM1245" s="1513"/>
      <c r="AN1245" s="1513"/>
      <c r="AO1245" s="1513"/>
      <c r="AP1245" s="1513"/>
      <c r="AQ1245" s="1513"/>
      <c r="AR1245" s="1513"/>
      <c r="AS1245" s="1513"/>
      <c r="AU1245" s="249"/>
      <c r="BB1245" s="1299"/>
    </row>
    <row r="1246" spans="1:54" s="141" customFormat="1" outlineLevel="1" x14ac:dyDescent="0.25">
      <c r="A1246" s="327"/>
      <c r="B1246" s="553"/>
      <c r="C1246" s="231"/>
      <c r="D1246" s="2939"/>
      <c r="E1246" s="1643" t="s">
        <v>2257</v>
      </c>
      <c r="F1246" s="444">
        <v>15000</v>
      </c>
      <c r="G1246" s="1643" t="s">
        <v>2257</v>
      </c>
      <c r="H1246" s="1510">
        <v>15000</v>
      </c>
      <c r="I1246" s="1511"/>
      <c r="J1246" s="233"/>
      <c r="K1246" s="233"/>
      <c r="L1246" s="233"/>
      <c r="M1246" s="327"/>
      <c r="N1246" s="327"/>
      <c r="O1246" s="553"/>
      <c r="P1246" s="327"/>
      <c r="Q1246" s="327"/>
      <c r="R1246" s="327"/>
      <c r="S1246" s="327"/>
      <c r="T1246" s="327"/>
      <c r="U1246" s="327"/>
      <c r="V1246" s="2946"/>
      <c r="W1246" s="451"/>
      <c r="X1246" s="555"/>
      <c r="Y1246" s="556">
        <v>15000</v>
      </c>
      <c r="Z1246" s="391"/>
      <c r="AA1246" s="391"/>
      <c r="AB1246" s="391"/>
      <c r="AC1246" s="391"/>
      <c r="AD1246" s="391"/>
      <c r="AE1246" s="391"/>
      <c r="AF1246" s="391"/>
      <c r="AG1246" s="391"/>
      <c r="AI1246" s="446"/>
      <c r="AJ1246" s="1512"/>
      <c r="AK1246" s="1512">
        <v>15000</v>
      </c>
      <c r="AL1246" s="1513"/>
      <c r="AM1246" s="1513"/>
      <c r="AN1246" s="1513"/>
      <c r="AO1246" s="1513"/>
      <c r="AP1246" s="1513"/>
      <c r="AQ1246" s="1513"/>
      <c r="AR1246" s="1513"/>
      <c r="AS1246" s="1513"/>
      <c r="AU1246" s="249"/>
      <c r="BB1246" s="1299"/>
    </row>
    <row r="1247" spans="1:54" s="141" customFormat="1" ht="18" outlineLevel="1" x14ac:dyDescent="0.25">
      <c r="A1247" s="327"/>
      <c r="B1247" s="553"/>
      <c r="C1247" s="231"/>
      <c r="D1247" s="1643" t="s">
        <v>916</v>
      </c>
      <c r="E1247" s="1643" t="s">
        <v>2258</v>
      </c>
      <c r="F1247" s="444">
        <v>10.833666904931999</v>
      </c>
      <c r="G1247" s="1643"/>
      <c r="H1247" s="1510"/>
      <c r="I1247" s="481"/>
      <c r="J1247" s="233"/>
      <c r="K1247" s="233"/>
      <c r="L1247" s="233"/>
      <c r="M1247" s="327"/>
      <c r="N1247" s="327"/>
      <c r="O1247" s="553"/>
      <c r="P1247" s="327"/>
      <c r="Q1247" s="327"/>
      <c r="R1247" s="327"/>
      <c r="S1247" s="327"/>
      <c r="T1247" s="327"/>
      <c r="U1247" s="327"/>
      <c r="V1247" s="451" t="s">
        <v>918</v>
      </c>
      <c r="W1247" s="451">
        <v>10.9</v>
      </c>
      <c r="X1247" s="555">
        <v>10.833666904931999</v>
      </c>
      <c r="Y1247" s="444">
        <v>10.833666904931999</v>
      </c>
      <c r="Z1247" s="391"/>
      <c r="AA1247" s="391"/>
      <c r="AB1247" s="391"/>
      <c r="AC1247" s="391"/>
      <c r="AD1247" s="391"/>
      <c r="AE1247" s="391"/>
      <c r="AF1247" s="391"/>
      <c r="AG1247" s="391"/>
      <c r="AI1247" s="446" t="s">
        <v>2252</v>
      </c>
      <c r="AJ1247" s="556" t="s">
        <v>923</v>
      </c>
      <c r="AK1247" s="1513"/>
      <c r="AL1247" s="1513"/>
      <c r="AM1247" s="1513"/>
      <c r="AN1247" s="1513"/>
      <c r="AO1247" s="1513"/>
      <c r="AP1247" s="1513"/>
      <c r="AQ1247" s="1513"/>
      <c r="AR1247" s="1513"/>
      <c r="AS1247" s="1513"/>
      <c r="AU1247" s="249"/>
      <c r="BB1247" s="1299"/>
    </row>
    <row r="1248" spans="1:54" s="141" customFormat="1" ht="46.5" customHeight="1" outlineLevel="1" x14ac:dyDescent="0.25">
      <c r="A1248" s="327"/>
      <c r="B1248" s="553"/>
      <c r="C1248" s="231"/>
      <c r="D1248" s="1643" t="s">
        <v>919</v>
      </c>
      <c r="E1248" s="1643" t="s">
        <v>2259</v>
      </c>
      <c r="F1248" s="557">
        <v>11.955972333179155</v>
      </c>
      <c r="G1248" s="1643" t="s">
        <v>2251</v>
      </c>
      <c r="H1248" s="1510">
        <v>11.561669242658486</v>
      </c>
      <c r="I1248" s="481"/>
      <c r="J1248" s="233"/>
      <c r="K1248" s="233"/>
      <c r="L1248" s="233"/>
      <c r="M1248" s="327"/>
      <c r="N1248" s="327"/>
      <c r="O1248" s="553"/>
      <c r="P1248" s="327"/>
      <c r="Q1248" s="327"/>
      <c r="R1248" s="327"/>
      <c r="S1248" s="327"/>
      <c r="T1248" s="327"/>
      <c r="U1248" s="327"/>
      <c r="V1248" s="451" t="s">
        <v>921</v>
      </c>
      <c r="W1248" s="451">
        <v>11.9</v>
      </c>
      <c r="X1248" s="555">
        <v>11.955972333179155</v>
      </c>
      <c r="Y1248" s="444">
        <v>11.955972333179155</v>
      </c>
      <c r="Z1248" s="391"/>
      <c r="AA1248" s="391"/>
      <c r="AB1248" s="391"/>
      <c r="AC1248" s="391"/>
      <c r="AD1248" s="391"/>
      <c r="AE1248" s="391"/>
      <c r="AF1248" s="391"/>
      <c r="AG1248" s="391"/>
      <c r="AI1248" s="446" t="s">
        <v>2252</v>
      </c>
      <c r="AJ1248" s="556">
        <v>11.6</v>
      </c>
      <c r="AK1248" s="444">
        <v>11.561669242658486</v>
      </c>
      <c r="AL1248" s="444"/>
      <c r="AM1248" s="444"/>
      <c r="AN1248" s="444"/>
      <c r="AO1248" s="444"/>
      <c r="AP1248" s="444"/>
      <c r="AQ1248" s="444"/>
      <c r="AR1248" s="444"/>
      <c r="AS1248" s="444"/>
      <c r="AU1248" s="249"/>
      <c r="BB1248" s="1299"/>
    </row>
    <row r="1249" spans="1:54" s="141" customFormat="1" ht="46.5" customHeight="1" outlineLevel="1" x14ac:dyDescent="0.25">
      <c r="A1249" s="327"/>
      <c r="B1249" s="553"/>
      <c r="C1249" s="231"/>
      <c r="D1249" s="1643" t="s">
        <v>922</v>
      </c>
      <c r="E1249" s="1643"/>
      <c r="F1249" s="557"/>
      <c r="G1249" s="1643" t="s">
        <v>2260</v>
      </c>
      <c r="H1249" s="1510">
        <v>9.4499999999999993</v>
      </c>
      <c r="I1249" s="481"/>
      <c r="J1249" s="233"/>
      <c r="K1249" s="233"/>
      <c r="L1249" s="233"/>
      <c r="M1249" s="327"/>
      <c r="N1249" s="327"/>
      <c r="O1249" s="553"/>
      <c r="P1249" s="327"/>
      <c r="Q1249" s="327"/>
      <c r="R1249" s="327"/>
      <c r="S1249" s="327"/>
      <c r="T1249" s="327"/>
      <c r="U1249" s="327"/>
      <c r="V1249" s="451" t="s">
        <v>924</v>
      </c>
      <c r="W1249" s="451"/>
      <c r="X1249" s="1514"/>
      <c r="Y1249" s="444"/>
      <c r="Z1249" s="391"/>
      <c r="AA1249" s="391"/>
      <c r="AB1249" s="391"/>
      <c r="AC1249" s="391"/>
      <c r="AD1249" s="391"/>
      <c r="AE1249" s="391"/>
      <c r="AF1249" s="391"/>
      <c r="AG1249" s="391"/>
      <c r="AI1249" s="446" t="s">
        <v>2252</v>
      </c>
      <c r="AJ1249" s="556">
        <v>6.7</v>
      </c>
      <c r="AK1249" s="556">
        <v>9.4499999999999993</v>
      </c>
      <c r="AL1249" s="1515"/>
      <c r="AM1249" s="1515"/>
      <c r="AN1249" s="1515"/>
      <c r="AO1249" s="1515"/>
      <c r="AP1249" s="1515"/>
      <c r="AQ1249" s="1515"/>
      <c r="AR1249" s="1515"/>
      <c r="AS1249" s="1515"/>
      <c r="AU1249" s="249"/>
      <c r="BB1249" s="1299"/>
    </row>
    <row r="1250" spans="1:54" s="141" customFormat="1" ht="45" customHeight="1" outlineLevel="1" x14ac:dyDescent="0.25">
      <c r="A1250" s="327"/>
      <c r="B1250" s="1923"/>
      <c r="C1250" s="559"/>
      <c r="D1250" s="1643" t="s">
        <v>925</v>
      </c>
      <c r="E1250" s="1643" t="s">
        <v>926</v>
      </c>
      <c r="F1250" s="1516">
        <v>556</v>
      </c>
      <c r="G1250" s="1643" t="s">
        <v>926</v>
      </c>
      <c r="H1250" s="444">
        <v>556</v>
      </c>
      <c r="I1250" s="481"/>
      <c r="J1250" s="233"/>
      <c r="K1250" s="233"/>
      <c r="L1250" s="233"/>
      <c r="M1250" s="327"/>
      <c r="N1250" s="327"/>
      <c r="O1250" s="1923"/>
      <c r="P1250" s="327"/>
      <c r="Q1250" s="327"/>
      <c r="R1250" s="327"/>
      <c r="S1250" s="327"/>
      <c r="T1250" s="327"/>
      <c r="U1250" s="327"/>
      <c r="V1250" s="451" t="s">
        <v>927</v>
      </c>
      <c r="W1250" s="1517">
        <v>556</v>
      </c>
      <c r="X1250" s="1517">
        <v>556</v>
      </c>
      <c r="Y1250" s="1516">
        <v>556</v>
      </c>
      <c r="Z1250" s="391"/>
      <c r="AA1250" s="391"/>
      <c r="AB1250" s="391"/>
      <c r="AC1250" s="391"/>
      <c r="AD1250" s="391"/>
      <c r="AE1250" s="391"/>
      <c r="AF1250" s="391"/>
      <c r="AG1250" s="391"/>
      <c r="AI1250" s="446" t="s">
        <v>2252</v>
      </c>
      <c r="AJ1250" s="1516">
        <v>556</v>
      </c>
      <c r="AK1250" s="1516">
        <v>556</v>
      </c>
      <c r="AL1250" s="1516"/>
      <c r="AM1250" s="1516"/>
      <c r="AN1250" s="1516"/>
      <c r="AO1250" s="1516"/>
      <c r="AP1250" s="1516"/>
      <c r="AQ1250" s="1516"/>
      <c r="AR1250" s="1516"/>
      <c r="AS1250" s="1516"/>
      <c r="AU1250" s="249"/>
      <c r="BB1250" s="1299"/>
    </row>
    <row r="1251" spans="1:54" s="141" customFormat="1" ht="30" customHeight="1" outlineLevel="1" x14ac:dyDescent="0.25">
      <c r="A1251" s="327"/>
      <c r="B1251" s="1923"/>
      <c r="C1251" s="559"/>
      <c r="D1251" s="1643" t="s">
        <v>928</v>
      </c>
      <c r="E1251" s="1643" t="s">
        <v>929</v>
      </c>
      <c r="F1251" s="1516">
        <v>860</v>
      </c>
      <c r="G1251" s="1640" t="s">
        <v>953</v>
      </c>
      <c r="H1251" s="1510">
        <v>860</v>
      </c>
      <c r="I1251" s="1640" t="s">
        <v>2261</v>
      </c>
      <c r="J1251" s="233"/>
      <c r="K1251" s="233"/>
      <c r="L1251" s="233"/>
      <c r="M1251" s="327"/>
      <c r="N1251" s="327"/>
      <c r="O1251" s="1923"/>
      <c r="P1251" s="327"/>
      <c r="Q1251" s="327"/>
      <c r="R1251" s="327"/>
      <c r="S1251" s="327"/>
      <c r="T1251" s="327"/>
      <c r="U1251" s="327"/>
      <c r="V1251" s="451" t="s">
        <v>930</v>
      </c>
      <c r="W1251" s="1517">
        <v>860</v>
      </c>
      <c r="X1251" s="1517">
        <v>860</v>
      </c>
      <c r="Y1251" s="1516">
        <v>860</v>
      </c>
      <c r="Z1251" s="391"/>
      <c r="AA1251" s="391"/>
      <c r="AB1251" s="391"/>
      <c r="AC1251" s="391"/>
      <c r="AD1251" s="391"/>
      <c r="AE1251" s="391"/>
      <c r="AF1251" s="391"/>
      <c r="AG1251" s="391"/>
      <c r="AI1251" s="446" t="s">
        <v>2252</v>
      </c>
      <c r="AJ1251" s="1518">
        <v>1215</v>
      </c>
      <c r="AK1251" s="1518">
        <v>860</v>
      </c>
      <c r="AL1251" s="1516"/>
      <c r="AM1251" s="1518"/>
      <c r="AN1251" s="1518"/>
      <c r="AO1251" s="1518"/>
      <c r="AP1251" s="1518"/>
      <c r="AQ1251" s="1518"/>
      <c r="AR1251" s="1518"/>
      <c r="AS1251" s="1518"/>
      <c r="AU1251" s="249"/>
      <c r="BB1251" s="1299"/>
    </row>
    <row r="1252" spans="1:54" s="141" customFormat="1" ht="30" customHeight="1" outlineLevel="1" x14ac:dyDescent="0.25">
      <c r="A1252" s="327"/>
      <c r="B1252" s="1923"/>
      <c r="C1252" s="559"/>
      <c r="D1252" s="1643" t="s">
        <v>931</v>
      </c>
      <c r="E1252" s="1643" t="s">
        <v>932</v>
      </c>
      <c r="F1252" s="444">
        <v>1000</v>
      </c>
      <c r="G1252" s="1643" t="s">
        <v>932</v>
      </c>
      <c r="H1252" s="1510">
        <v>1000</v>
      </c>
      <c r="I1252" s="481"/>
      <c r="J1252" s="233"/>
      <c r="K1252" s="233"/>
      <c r="L1252" s="233"/>
      <c r="M1252" s="327"/>
      <c r="N1252" s="327"/>
      <c r="O1252" s="1923"/>
      <c r="P1252" s="327"/>
      <c r="Q1252" s="327"/>
      <c r="R1252" s="327"/>
      <c r="S1252" s="327"/>
      <c r="T1252" s="327"/>
      <c r="U1252" s="327"/>
      <c r="V1252" s="451" t="s">
        <v>931</v>
      </c>
      <c r="W1252" s="451">
        <v>1000</v>
      </c>
      <c r="X1252" s="451">
        <v>1000</v>
      </c>
      <c r="Y1252" s="444">
        <v>1000</v>
      </c>
      <c r="Z1252" s="391"/>
      <c r="AA1252" s="391"/>
      <c r="AB1252" s="391"/>
      <c r="AC1252" s="391"/>
      <c r="AD1252" s="391"/>
      <c r="AE1252" s="391"/>
      <c r="AF1252" s="391"/>
      <c r="AG1252" s="391"/>
      <c r="AI1252" s="446" t="s">
        <v>2252</v>
      </c>
      <c r="AJ1252" s="556">
        <v>1000</v>
      </c>
      <c r="AK1252" s="1513">
        <v>1000</v>
      </c>
      <c r="AL1252" s="1513"/>
      <c r="AM1252" s="1513"/>
      <c r="AN1252" s="1513"/>
      <c r="AO1252" s="1513"/>
      <c r="AP1252" s="1513"/>
      <c r="AQ1252" s="1513"/>
      <c r="AR1252" s="1513"/>
      <c r="AS1252" s="1513"/>
      <c r="AU1252" s="249"/>
      <c r="BB1252" s="1299"/>
    </row>
    <row r="1253" spans="1:54" s="141" customFormat="1" ht="30" customHeight="1" outlineLevel="1" thickBot="1" x14ac:dyDescent="0.3">
      <c r="A1253" s="327"/>
      <c r="B1253" s="1923"/>
      <c r="C1253" s="559"/>
      <c r="D1253" s="1643" t="s">
        <v>731</v>
      </c>
      <c r="E1253" s="1643" t="s">
        <v>836</v>
      </c>
      <c r="F1253" s="450">
        <v>0.97560975609756095</v>
      </c>
      <c r="G1253" s="1643" t="s">
        <v>2262</v>
      </c>
      <c r="H1253" s="450">
        <v>1</v>
      </c>
      <c r="I1253" s="481"/>
      <c r="J1253" s="233"/>
      <c r="K1253" s="233"/>
      <c r="L1253" s="233"/>
      <c r="M1253" s="327"/>
      <c r="N1253" s="327"/>
      <c r="O1253" s="1923"/>
      <c r="P1253" s="327"/>
      <c r="Q1253" s="327"/>
      <c r="R1253" s="327"/>
      <c r="S1253" s="327"/>
      <c r="T1253" s="327"/>
      <c r="U1253" s="327"/>
      <c r="V1253" s="562" t="s">
        <v>731</v>
      </c>
      <c r="W1253" s="1519">
        <v>0.97560975609756095</v>
      </c>
      <c r="X1253" s="1519">
        <v>0.97560975609756095</v>
      </c>
      <c r="Y1253" s="1520">
        <v>0.97560975609756095</v>
      </c>
      <c r="Z1253" s="565"/>
      <c r="AA1253" s="565"/>
      <c r="AB1253" s="565"/>
      <c r="AC1253" s="565"/>
      <c r="AD1253" s="565"/>
      <c r="AE1253" s="565"/>
      <c r="AF1253" s="565"/>
      <c r="AG1253" s="565"/>
      <c r="AI1253" s="446" t="s">
        <v>2252</v>
      </c>
      <c r="AJ1253" s="1006">
        <v>1</v>
      </c>
      <c r="AK1253" s="450">
        <v>1</v>
      </c>
      <c r="AL1253" s="1513"/>
      <c r="AM1253" s="1513"/>
      <c r="AN1253" s="1513"/>
      <c r="AO1253" s="1513"/>
      <c r="AP1253" s="1513"/>
      <c r="AQ1253" s="1513"/>
      <c r="AR1253" s="1513"/>
      <c r="AS1253" s="1513"/>
      <c r="AU1253" s="249"/>
      <c r="BB1253" s="1299"/>
    </row>
    <row r="1254" spans="1:54" s="141" customFormat="1" ht="15" customHeight="1" outlineLevel="1" x14ac:dyDescent="0.25">
      <c r="A1254" s="486"/>
      <c r="B1254" s="486"/>
      <c r="C1254" s="231"/>
      <c r="D1254" s="423" t="str">
        <f>D1199</f>
        <v>EUL</v>
      </c>
      <c r="E1254" s="423"/>
      <c r="F1254" s="3125">
        <v>9</v>
      </c>
      <c r="G1254" s="3126"/>
      <c r="H1254" s="3127"/>
      <c r="I1254" s="1521" t="s">
        <v>37</v>
      </c>
      <c r="J1254" s="486"/>
      <c r="K1254" s="486"/>
      <c r="L1254" s="486"/>
      <c r="M1254" s="327"/>
      <c r="N1254" s="327"/>
      <c r="O1254" s="327"/>
      <c r="P1254" s="327"/>
      <c r="Q1254" s="327"/>
      <c r="R1254" s="327"/>
      <c r="S1254" s="327"/>
      <c r="T1254" s="327"/>
      <c r="U1254" s="327"/>
      <c r="V1254" s="566" t="str">
        <f>D1254</f>
        <v>EUL</v>
      </c>
      <c r="W1254" s="567">
        <v>9</v>
      </c>
      <c r="X1254" s="567">
        <v>9</v>
      </c>
      <c r="Y1254" s="1522">
        <v>9</v>
      </c>
      <c r="Z1254" s="567"/>
      <c r="AA1254" s="567"/>
      <c r="AB1254" s="567"/>
      <c r="AC1254" s="567"/>
      <c r="AD1254" s="567"/>
      <c r="AE1254" s="567"/>
      <c r="AF1254" s="567"/>
      <c r="AG1254" s="567"/>
      <c r="AI1254" s="567">
        <v>9</v>
      </c>
      <c r="AJ1254" s="567">
        <v>9</v>
      </c>
      <c r="AK1254" s="1522">
        <v>9</v>
      </c>
      <c r="AL1254" s="1522"/>
      <c r="AM1254" s="567"/>
      <c r="AN1254" s="567"/>
      <c r="AO1254" s="567"/>
      <c r="AP1254" s="567"/>
      <c r="AQ1254" s="567"/>
      <c r="AR1254" s="567"/>
      <c r="AS1254" s="567"/>
      <c r="AU1254" s="249"/>
      <c r="BB1254" s="1299"/>
    </row>
    <row r="1255" spans="1:54" s="141" customFormat="1" ht="15" customHeight="1" outlineLevel="1" x14ac:dyDescent="0.25">
      <c r="A1255" s="486"/>
      <c r="B1255" s="486"/>
      <c r="C1255" s="231"/>
      <c r="D1255" s="423" t="str">
        <f>D1201</f>
        <v>Inc. Cost</v>
      </c>
      <c r="E1255" s="423"/>
      <c r="F1255" s="3128">
        <v>20</v>
      </c>
      <c r="G1255" s="3129"/>
      <c r="H1255" s="3130"/>
      <c r="I1255" s="1521" t="s">
        <v>37</v>
      </c>
      <c r="J1255" s="486"/>
      <c r="K1255" s="486"/>
      <c r="L1255" s="486"/>
      <c r="M1255" s="327"/>
      <c r="N1255" s="327"/>
      <c r="O1255" s="327"/>
      <c r="P1255" s="327"/>
      <c r="Q1255" s="327"/>
      <c r="R1255" s="327"/>
      <c r="S1255" s="327"/>
      <c r="T1255" s="327"/>
      <c r="U1255" s="327"/>
      <c r="V1255" s="451" t="str">
        <f>D1255</f>
        <v>Inc. Cost</v>
      </c>
      <c r="W1255" s="490">
        <v>20</v>
      </c>
      <c r="X1255" s="490">
        <v>20</v>
      </c>
      <c r="Y1255" s="1505">
        <v>20</v>
      </c>
      <c r="Z1255" s="490"/>
      <c r="AA1255" s="490"/>
      <c r="AB1255" s="490"/>
      <c r="AC1255" s="490"/>
      <c r="AD1255" s="490"/>
      <c r="AE1255" s="490"/>
      <c r="AF1255" s="490"/>
      <c r="AG1255" s="490"/>
      <c r="AI1255" s="490">
        <v>20</v>
      </c>
      <c r="AJ1255" s="490">
        <v>20</v>
      </c>
      <c r="AK1255" s="1505">
        <v>20</v>
      </c>
      <c r="AL1255" s="1505"/>
      <c r="AM1255" s="490"/>
      <c r="AN1255" s="490"/>
      <c r="AO1255" s="490"/>
      <c r="AP1255" s="490"/>
      <c r="AQ1255" s="490"/>
      <c r="AR1255" s="490"/>
      <c r="AS1255" s="490"/>
      <c r="AU1255" s="249"/>
      <c r="BB1255" s="1299"/>
    </row>
    <row r="1256" spans="1:54" s="141" customFormat="1" x14ac:dyDescent="0.25">
      <c r="A1256" s="327"/>
      <c r="B1256" s="233"/>
      <c r="C1256" s="231"/>
      <c r="D1256" s="568"/>
      <c r="E1256" s="568"/>
      <c r="F1256" s="569"/>
      <c r="G1256" s="570"/>
      <c r="H1256" s="233"/>
      <c r="I1256" s="233"/>
      <c r="J1256" s="233"/>
      <c r="K1256" s="233"/>
      <c r="L1256" s="233"/>
      <c r="M1256" s="327"/>
      <c r="N1256" s="233"/>
      <c r="O1256" s="233"/>
      <c r="P1256" s="327"/>
      <c r="Q1256" s="327"/>
      <c r="R1256" s="327"/>
      <c r="S1256" s="327"/>
      <c r="T1256" s="327"/>
      <c r="U1256" s="327"/>
      <c r="Y1256" s="285"/>
      <c r="AU1256" s="249"/>
      <c r="BB1256" s="1299"/>
    </row>
    <row r="1257" spans="1:54" s="141" customFormat="1" x14ac:dyDescent="0.25">
      <c r="A1257" s="327"/>
      <c r="B1257" s="233"/>
      <c r="C1257" s="231"/>
      <c r="D1257" s="232"/>
      <c r="E1257" s="232"/>
      <c r="F1257" s="233"/>
      <c r="G1257" s="233"/>
      <c r="H1257" s="233"/>
      <c r="I1257" s="233"/>
      <c r="J1257" s="233"/>
      <c r="K1257" s="233"/>
      <c r="L1257" s="233"/>
      <c r="M1257" s="233"/>
      <c r="N1257" s="233"/>
      <c r="O1257" s="233"/>
      <c r="P1257" s="327"/>
      <c r="Q1257" s="327"/>
      <c r="R1257" s="327"/>
      <c r="S1257" s="327"/>
      <c r="T1257" s="327"/>
      <c r="U1257" s="327"/>
      <c r="Y1257" s="285"/>
      <c r="AU1257" s="249"/>
      <c r="BB1257" s="1299"/>
    </row>
    <row r="1258" spans="1:54" s="141" customFormat="1" x14ac:dyDescent="0.25">
      <c r="A1258" s="327"/>
      <c r="B1258" s="327"/>
      <c r="C1258" s="266"/>
      <c r="D1258" s="326"/>
      <c r="E1258" s="326"/>
      <c r="F1258" s="327"/>
      <c r="G1258" s="327"/>
      <c r="H1258" s="327"/>
      <c r="I1258" s="327"/>
      <c r="J1258" s="327"/>
      <c r="K1258" s="327"/>
      <c r="L1258" s="327"/>
      <c r="M1258" s="233"/>
      <c r="N1258" s="233"/>
      <c r="O1258" s="233"/>
      <c r="P1258" s="327"/>
      <c r="Q1258" s="327"/>
      <c r="R1258" s="327"/>
      <c r="S1258" s="327"/>
      <c r="T1258" s="327"/>
      <c r="U1258" s="327"/>
      <c r="Y1258" s="285"/>
      <c r="AU1258" s="249"/>
      <c r="BB1258" s="1299"/>
    </row>
    <row r="1259" spans="1:54" s="141" customFormat="1" x14ac:dyDescent="0.25">
      <c r="A1259" s="327"/>
      <c r="B1259" s="327"/>
      <c r="C1259" s="266"/>
      <c r="D1259" s="326"/>
      <c r="E1259" s="326"/>
      <c r="F1259" s="327"/>
      <c r="G1259" s="327"/>
      <c r="H1259" s="327"/>
      <c r="I1259" s="327"/>
      <c r="J1259" s="327"/>
      <c r="K1259" s="327"/>
      <c r="L1259" s="327"/>
      <c r="M1259" s="177"/>
      <c r="N1259" s="177"/>
      <c r="O1259" s="177"/>
      <c r="P1259" s="327"/>
      <c r="Q1259" s="327"/>
      <c r="R1259" s="327"/>
      <c r="S1259" s="327"/>
      <c r="T1259" s="327"/>
      <c r="U1259" s="327"/>
      <c r="Y1259" s="285"/>
      <c r="AU1259" s="249"/>
      <c r="BB1259" s="1299"/>
    </row>
  </sheetData>
  <mergeCells count="754">
    <mergeCell ref="D1165:D1166"/>
    <mergeCell ref="F1165:I1165"/>
    <mergeCell ref="J1165:L1165"/>
    <mergeCell ref="V1165:V1166"/>
    <mergeCell ref="F1166:I1166"/>
    <mergeCell ref="J1166:L1166"/>
    <mergeCell ref="F1254:H1254"/>
    <mergeCell ref="F1255:H1255"/>
    <mergeCell ref="D1199:D1200"/>
    <mergeCell ref="V1199:V1200"/>
    <mergeCell ref="B1205:O1205"/>
    <mergeCell ref="V1205:AI1205"/>
    <mergeCell ref="D1241:D1246"/>
    <mergeCell ref="V1241:V1246"/>
    <mergeCell ref="B1169:R1169"/>
    <mergeCell ref="V1169:AI1169"/>
    <mergeCell ref="D1183:D1184"/>
    <mergeCell ref="I1183:R1184"/>
    <mergeCell ref="V1183:V1184"/>
    <mergeCell ref="I1185:I1186"/>
    <mergeCell ref="K1185:M1185"/>
    <mergeCell ref="N1185:R1185"/>
    <mergeCell ref="J1161:L1161"/>
    <mergeCell ref="F1162:I1162"/>
    <mergeCell ref="J1162:L1162"/>
    <mergeCell ref="D1163:D1164"/>
    <mergeCell ref="F1163:I1163"/>
    <mergeCell ref="J1163:L1163"/>
    <mergeCell ref="V1141:AI1141"/>
    <mergeCell ref="H1156:I1156"/>
    <mergeCell ref="J1156:L1156"/>
    <mergeCell ref="J1158:L1158"/>
    <mergeCell ref="J1159:L1159"/>
    <mergeCell ref="J1160:L1160"/>
    <mergeCell ref="V1163:V1164"/>
    <mergeCell ref="F1164:I1164"/>
    <mergeCell ref="J1164:L1164"/>
    <mergeCell ref="B1141:R1141"/>
    <mergeCell ref="H1127:I1127"/>
    <mergeCell ref="H1128:I1128"/>
    <mergeCell ref="H1129:I1129"/>
    <mergeCell ref="H1130:I1130"/>
    <mergeCell ref="H1131:I1131"/>
    <mergeCell ref="H1132:I1132"/>
    <mergeCell ref="D1119:D1138"/>
    <mergeCell ref="H1119:I1119"/>
    <mergeCell ref="V1119:V1138"/>
    <mergeCell ref="H1120:I1120"/>
    <mergeCell ref="H1121:I1121"/>
    <mergeCell ref="H1122:I1122"/>
    <mergeCell ref="H1123:I1123"/>
    <mergeCell ref="H1124:I1124"/>
    <mergeCell ref="H1125:I1125"/>
    <mergeCell ref="H1126:I1126"/>
    <mergeCell ref="H1133:I1133"/>
    <mergeCell ref="H1134:I1134"/>
    <mergeCell ref="H1135:I1135"/>
    <mergeCell ref="H1136:I1136"/>
    <mergeCell ref="H1137:I1137"/>
    <mergeCell ref="D1115:D1116"/>
    <mergeCell ref="H1115:I1115"/>
    <mergeCell ref="V1115:V1116"/>
    <mergeCell ref="H1116:I1116"/>
    <mergeCell ref="D1117:D1118"/>
    <mergeCell ref="E1117:E1118"/>
    <mergeCell ref="F1117:F1118"/>
    <mergeCell ref="G1117:G1118"/>
    <mergeCell ref="H1117:I1118"/>
    <mergeCell ref="H1109:I1109"/>
    <mergeCell ref="H1110:I1110"/>
    <mergeCell ref="H1111:I1111"/>
    <mergeCell ref="H1112:I1112"/>
    <mergeCell ref="H1113:I1113"/>
    <mergeCell ref="H1114:I1114"/>
    <mergeCell ref="H1103:I1103"/>
    <mergeCell ref="H1104:I1104"/>
    <mergeCell ref="H1105:I1105"/>
    <mergeCell ref="H1106:I1106"/>
    <mergeCell ref="H1107:I1107"/>
    <mergeCell ref="H1108:I1108"/>
    <mergeCell ref="H1097:I1097"/>
    <mergeCell ref="H1098:I1098"/>
    <mergeCell ref="H1099:I1099"/>
    <mergeCell ref="H1100:I1100"/>
    <mergeCell ref="H1101:I1101"/>
    <mergeCell ref="H1102:I1102"/>
    <mergeCell ref="H1091:I1091"/>
    <mergeCell ref="H1092:I1092"/>
    <mergeCell ref="H1093:I1093"/>
    <mergeCell ref="H1094:I1094"/>
    <mergeCell ref="H1095:I1095"/>
    <mergeCell ref="H1096:I1096"/>
    <mergeCell ref="H1085:I1085"/>
    <mergeCell ref="H1086:I1086"/>
    <mergeCell ref="H1087:I1087"/>
    <mergeCell ref="H1088:I1088"/>
    <mergeCell ref="H1089:I1089"/>
    <mergeCell ref="H1090:I1090"/>
    <mergeCell ref="H1079:I1079"/>
    <mergeCell ref="H1080:I1080"/>
    <mergeCell ref="H1081:I1081"/>
    <mergeCell ref="H1082:I1082"/>
    <mergeCell ref="H1083:I1083"/>
    <mergeCell ref="H1084:I1084"/>
    <mergeCell ref="H1073:I1073"/>
    <mergeCell ref="H1074:I1074"/>
    <mergeCell ref="H1075:I1075"/>
    <mergeCell ref="H1076:I1076"/>
    <mergeCell ref="H1077:I1077"/>
    <mergeCell ref="H1078:I1078"/>
    <mergeCell ref="H1067:I1067"/>
    <mergeCell ref="H1068:I1068"/>
    <mergeCell ref="H1069:I1069"/>
    <mergeCell ref="H1070:I1070"/>
    <mergeCell ref="H1071:I1071"/>
    <mergeCell ref="H1072:I1072"/>
    <mergeCell ref="F1063:G1063"/>
    <mergeCell ref="H1063:I1063"/>
    <mergeCell ref="H1064:I1064"/>
    <mergeCell ref="H1065:I1065"/>
    <mergeCell ref="H1066:I1066"/>
    <mergeCell ref="K1030:K1031"/>
    <mergeCell ref="L1030:L1031"/>
    <mergeCell ref="M1030:M1031"/>
    <mergeCell ref="N1030:N1031"/>
    <mergeCell ref="B1028:R1028"/>
    <mergeCell ref="V1028:AI1028"/>
    <mergeCell ref="C1030:C1031"/>
    <mergeCell ref="D1030:D1031"/>
    <mergeCell ref="E1030:E1031"/>
    <mergeCell ref="F1030:F1031"/>
    <mergeCell ref="G1030:G1031"/>
    <mergeCell ref="H1030:H1031"/>
    <mergeCell ref="I1030:I1031"/>
    <mergeCell ref="J1030:J1031"/>
    <mergeCell ref="R1030:R1031"/>
    <mergeCell ref="O1030:O1031"/>
    <mergeCell ref="P1030:Q1030"/>
    <mergeCell ref="G1021:H1021"/>
    <mergeCell ref="G1022:H1022"/>
    <mergeCell ref="G1023:H1023"/>
    <mergeCell ref="D1024:D1025"/>
    <mergeCell ref="G1024:H1024"/>
    <mergeCell ref="V1024:V1025"/>
    <mergeCell ref="G1025:H1025"/>
    <mergeCell ref="G1015:H1015"/>
    <mergeCell ref="G1016:H1016"/>
    <mergeCell ref="G1017:H1017"/>
    <mergeCell ref="G1018:H1018"/>
    <mergeCell ref="G1019:H1019"/>
    <mergeCell ref="G1020:H1020"/>
    <mergeCell ref="G1009:H1009"/>
    <mergeCell ref="G1010:H1010"/>
    <mergeCell ref="G1011:H1011"/>
    <mergeCell ref="G1012:H1012"/>
    <mergeCell ref="G1013:H1013"/>
    <mergeCell ref="G1014:H1014"/>
    <mergeCell ref="V991:V992"/>
    <mergeCell ref="G992:H992"/>
    <mergeCell ref="B995:R995"/>
    <mergeCell ref="V995:AI995"/>
    <mergeCell ref="G1007:H1007"/>
    <mergeCell ref="G1008:H1008"/>
    <mergeCell ref="G987:H987"/>
    <mergeCell ref="G988:H988"/>
    <mergeCell ref="G989:H989"/>
    <mergeCell ref="G990:H990"/>
    <mergeCell ref="D991:D992"/>
    <mergeCell ref="G991:H991"/>
    <mergeCell ref="G981:H981"/>
    <mergeCell ref="G982:H982"/>
    <mergeCell ref="G983:H983"/>
    <mergeCell ref="G984:H984"/>
    <mergeCell ref="G985:H985"/>
    <mergeCell ref="G986:H986"/>
    <mergeCell ref="B964:R964"/>
    <mergeCell ref="V964:AI964"/>
    <mergeCell ref="G977:H977"/>
    <mergeCell ref="G978:H978"/>
    <mergeCell ref="G979:H979"/>
    <mergeCell ref="G980:H980"/>
    <mergeCell ref="G957:H957"/>
    <mergeCell ref="G958:H958"/>
    <mergeCell ref="G959:H959"/>
    <mergeCell ref="D960:D961"/>
    <mergeCell ref="G960:H960"/>
    <mergeCell ref="V960:V961"/>
    <mergeCell ref="G961:H961"/>
    <mergeCell ref="G951:H951"/>
    <mergeCell ref="G952:H952"/>
    <mergeCell ref="G953:H953"/>
    <mergeCell ref="G954:H954"/>
    <mergeCell ref="G955:H955"/>
    <mergeCell ref="G956:H956"/>
    <mergeCell ref="B938:R938"/>
    <mergeCell ref="V938:AI938"/>
    <mergeCell ref="G947:H947"/>
    <mergeCell ref="G948:H948"/>
    <mergeCell ref="G949:H949"/>
    <mergeCell ref="G950:H950"/>
    <mergeCell ref="D934:D935"/>
    <mergeCell ref="E934:E935"/>
    <mergeCell ref="H934:I934"/>
    <mergeCell ref="J934:L934"/>
    <mergeCell ref="V934:V935"/>
    <mergeCell ref="H935:I935"/>
    <mergeCell ref="J935:L935"/>
    <mergeCell ref="H931:I931"/>
    <mergeCell ref="J931:L931"/>
    <mergeCell ref="H932:I932"/>
    <mergeCell ref="J932:L932"/>
    <mergeCell ref="H933:I933"/>
    <mergeCell ref="J933:L933"/>
    <mergeCell ref="H928:I928"/>
    <mergeCell ref="J928:L928"/>
    <mergeCell ref="H929:I929"/>
    <mergeCell ref="J929:L929"/>
    <mergeCell ref="H930:I930"/>
    <mergeCell ref="J930:L930"/>
    <mergeCell ref="H925:I925"/>
    <mergeCell ref="J925:L925"/>
    <mergeCell ref="H926:I926"/>
    <mergeCell ref="J926:L926"/>
    <mergeCell ref="H927:I927"/>
    <mergeCell ref="J927:L927"/>
    <mergeCell ref="D923:D924"/>
    <mergeCell ref="E923:E924"/>
    <mergeCell ref="H923:I923"/>
    <mergeCell ref="J923:L923"/>
    <mergeCell ref="V923:V924"/>
    <mergeCell ref="H924:I924"/>
    <mergeCell ref="J924:L924"/>
    <mergeCell ref="V919:V920"/>
    <mergeCell ref="H920:I920"/>
    <mergeCell ref="J920:L920"/>
    <mergeCell ref="H921:I921"/>
    <mergeCell ref="J921:L921"/>
    <mergeCell ref="H922:I922"/>
    <mergeCell ref="J922:L922"/>
    <mergeCell ref="H917:I917"/>
    <mergeCell ref="J917:L917"/>
    <mergeCell ref="H918:I918"/>
    <mergeCell ref="J918:L918"/>
    <mergeCell ref="D919:D920"/>
    <mergeCell ref="E919:E920"/>
    <mergeCell ref="H919:I919"/>
    <mergeCell ref="J919:L919"/>
    <mergeCell ref="B903:R903"/>
    <mergeCell ref="V903:AI903"/>
    <mergeCell ref="H915:I915"/>
    <mergeCell ref="J915:L915"/>
    <mergeCell ref="H916:I916"/>
    <mergeCell ref="J916:L916"/>
    <mergeCell ref="D879:D886"/>
    <mergeCell ref="V879:V886"/>
    <mergeCell ref="D887:D894"/>
    <mergeCell ref="G887:G894"/>
    <mergeCell ref="V887:V894"/>
    <mergeCell ref="D899:D900"/>
    <mergeCell ref="V899:V900"/>
    <mergeCell ref="D857:D864"/>
    <mergeCell ref="V857:V864"/>
    <mergeCell ref="D869:D876"/>
    <mergeCell ref="V869:V876"/>
    <mergeCell ref="D877:D878"/>
    <mergeCell ref="V877:V878"/>
    <mergeCell ref="V814:V815"/>
    <mergeCell ref="G815:H815"/>
    <mergeCell ref="I815:K815"/>
    <mergeCell ref="B818:R818"/>
    <mergeCell ref="V818:AI818"/>
    <mergeCell ref="D855:D856"/>
    <mergeCell ref="V855:V856"/>
    <mergeCell ref="G812:H812"/>
    <mergeCell ref="I812:K812"/>
    <mergeCell ref="G813:H813"/>
    <mergeCell ref="I813:K813"/>
    <mergeCell ref="D814:D815"/>
    <mergeCell ref="G814:H814"/>
    <mergeCell ref="I814:K814"/>
    <mergeCell ref="G809:H809"/>
    <mergeCell ref="I809:K809"/>
    <mergeCell ref="G810:H810"/>
    <mergeCell ref="I810:K810"/>
    <mergeCell ref="G811:H811"/>
    <mergeCell ref="I811:K811"/>
    <mergeCell ref="G806:H806"/>
    <mergeCell ref="I806:K806"/>
    <mergeCell ref="G807:H807"/>
    <mergeCell ref="I807:K807"/>
    <mergeCell ref="G808:H808"/>
    <mergeCell ref="I808:K808"/>
    <mergeCell ref="G803:H803"/>
    <mergeCell ref="I803:K803"/>
    <mergeCell ref="G804:H804"/>
    <mergeCell ref="I804:K804"/>
    <mergeCell ref="G805:H805"/>
    <mergeCell ref="I805:K805"/>
    <mergeCell ref="G800:H800"/>
    <mergeCell ref="I800:K800"/>
    <mergeCell ref="G801:H801"/>
    <mergeCell ref="I801:K801"/>
    <mergeCell ref="G802:H802"/>
    <mergeCell ref="I802:K802"/>
    <mergeCell ref="B788:R788"/>
    <mergeCell ref="V788:AI788"/>
    <mergeCell ref="G798:H798"/>
    <mergeCell ref="I798:K798"/>
    <mergeCell ref="G799:H799"/>
    <mergeCell ref="I799:K799"/>
    <mergeCell ref="D782:D785"/>
    <mergeCell ref="E782:E785"/>
    <mergeCell ref="H782:I782"/>
    <mergeCell ref="J782:L782"/>
    <mergeCell ref="V782:V785"/>
    <mergeCell ref="H778:I778"/>
    <mergeCell ref="J778:L778"/>
    <mergeCell ref="D779:D780"/>
    <mergeCell ref="E779:E780"/>
    <mergeCell ref="H779:I779"/>
    <mergeCell ref="J779:L779"/>
    <mergeCell ref="H783:I783"/>
    <mergeCell ref="J783:L783"/>
    <mergeCell ref="H784:I784"/>
    <mergeCell ref="J784:L784"/>
    <mergeCell ref="H785:I785"/>
    <mergeCell ref="J785:L785"/>
    <mergeCell ref="V779:V780"/>
    <mergeCell ref="H780:I780"/>
    <mergeCell ref="J780:L780"/>
    <mergeCell ref="H781:I781"/>
    <mergeCell ref="J781:L781"/>
    <mergeCell ref="H775:I775"/>
    <mergeCell ref="J775:L775"/>
    <mergeCell ref="H776:I776"/>
    <mergeCell ref="J776:L776"/>
    <mergeCell ref="H777:I777"/>
    <mergeCell ref="J777:L777"/>
    <mergeCell ref="H772:I772"/>
    <mergeCell ref="J772:L772"/>
    <mergeCell ref="H773:I773"/>
    <mergeCell ref="J773:L773"/>
    <mergeCell ref="H774:I774"/>
    <mergeCell ref="J774:L774"/>
    <mergeCell ref="D770:D771"/>
    <mergeCell ref="E770:E771"/>
    <mergeCell ref="H770:I770"/>
    <mergeCell ref="J770:L770"/>
    <mergeCell ref="V770:V771"/>
    <mergeCell ref="H771:I771"/>
    <mergeCell ref="J771:L771"/>
    <mergeCell ref="V766:V767"/>
    <mergeCell ref="H767:I767"/>
    <mergeCell ref="J767:L767"/>
    <mergeCell ref="H768:I768"/>
    <mergeCell ref="J768:L768"/>
    <mergeCell ref="H769:I769"/>
    <mergeCell ref="J769:L769"/>
    <mergeCell ref="H764:I764"/>
    <mergeCell ref="J764:L764"/>
    <mergeCell ref="H765:I765"/>
    <mergeCell ref="J765:L765"/>
    <mergeCell ref="D766:D767"/>
    <mergeCell ref="E766:E767"/>
    <mergeCell ref="H766:I766"/>
    <mergeCell ref="J766:L766"/>
    <mergeCell ref="H761:I761"/>
    <mergeCell ref="J761:L761"/>
    <mergeCell ref="H762:I762"/>
    <mergeCell ref="J762:L762"/>
    <mergeCell ref="H763:I763"/>
    <mergeCell ref="J763:L763"/>
    <mergeCell ref="V740:V741"/>
    <mergeCell ref="H741:I741"/>
    <mergeCell ref="J741:L741"/>
    <mergeCell ref="B744:R744"/>
    <mergeCell ref="V744:AI744"/>
    <mergeCell ref="H760:I760"/>
    <mergeCell ref="J760:L760"/>
    <mergeCell ref="H739:I739"/>
    <mergeCell ref="J739:L739"/>
    <mergeCell ref="D740:D741"/>
    <mergeCell ref="E740:E741"/>
    <mergeCell ref="H740:I740"/>
    <mergeCell ref="J740:L740"/>
    <mergeCell ref="D737:D738"/>
    <mergeCell ref="E737:E738"/>
    <mergeCell ref="H737:I737"/>
    <mergeCell ref="J737:L737"/>
    <mergeCell ref="V737:V738"/>
    <mergeCell ref="H738:I738"/>
    <mergeCell ref="J738:L738"/>
    <mergeCell ref="H734:I734"/>
    <mergeCell ref="J734:L734"/>
    <mergeCell ref="H735:I735"/>
    <mergeCell ref="J735:L735"/>
    <mergeCell ref="H736:I736"/>
    <mergeCell ref="J736:L736"/>
    <mergeCell ref="H731:I731"/>
    <mergeCell ref="J731:L731"/>
    <mergeCell ref="H732:I732"/>
    <mergeCell ref="J732:L732"/>
    <mergeCell ref="H733:I733"/>
    <mergeCell ref="J733:L733"/>
    <mergeCell ref="H728:I728"/>
    <mergeCell ref="J728:L728"/>
    <mergeCell ref="H729:I729"/>
    <mergeCell ref="J729:L729"/>
    <mergeCell ref="H730:I730"/>
    <mergeCell ref="J730:L730"/>
    <mergeCell ref="H725:I725"/>
    <mergeCell ref="J725:L725"/>
    <mergeCell ref="H726:I726"/>
    <mergeCell ref="J726:L726"/>
    <mergeCell ref="H727:I727"/>
    <mergeCell ref="J727:L727"/>
    <mergeCell ref="H722:I722"/>
    <mergeCell ref="J722:L722"/>
    <mergeCell ref="H723:I723"/>
    <mergeCell ref="J723:L723"/>
    <mergeCell ref="H724:I724"/>
    <mergeCell ref="J724:L724"/>
    <mergeCell ref="B706:R706"/>
    <mergeCell ref="V706:AI706"/>
    <mergeCell ref="H720:I720"/>
    <mergeCell ref="J720:L720"/>
    <mergeCell ref="H721:I721"/>
    <mergeCell ref="J721:L721"/>
    <mergeCell ref="V700:V703"/>
    <mergeCell ref="H701:I701"/>
    <mergeCell ref="J701:M701"/>
    <mergeCell ref="H702:I702"/>
    <mergeCell ref="J702:M702"/>
    <mergeCell ref="H703:I703"/>
    <mergeCell ref="J703:M703"/>
    <mergeCell ref="H699:I699"/>
    <mergeCell ref="J699:M699"/>
    <mergeCell ref="D700:D703"/>
    <mergeCell ref="E700:E703"/>
    <mergeCell ref="H700:I700"/>
    <mergeCell ref="J700:M700"/>
    <mergeCell ref="J694:M694"/>
    <mergeCell ref="D695:D698"/>
    <mergeCell ref="E695:E698"/>
    <mergeCell ref="H695:I698"/>
    <mergeCell ref="J695:M698"/>
    <mergeCell ref="V695:V698"/>
    <mergeCell ref="D691:D694"/>
    <mergeCell ref="E691:E694"/>
    <mergeCell ref="H691:I691"/>
    <mergeCell ref="J691:M691"/>
    <mergeCell ref="V691:V694"/>
    <mergeCell ref="H692:I692"/>
    <mergeCell ref="J692:M692"/>
    <mergeCell ref="H693:I693"/>
    <mergeCell ref="J693:M693"/>
    <mergeCell ref="H694:I694"/>
    <mergeCell ref="V687:V688"/>
    <mergeCell ref="H688:I688"/>
    <mergeCell ref="D689:D690"/>
    <mergeCell ref="E689:E690"/>
    <mergeCell ref="H689:I689"/>
    <mergeCell ref="J689:M689"/>
    <mergeCell ref="V689:V690"/>
    <mergeCell ref="H690:I690"/>
    <mergeCell ref="J690:M690"/>
    <mergeCell ref="H686:I686"/>
    <mergeCell ref="J686:M686"/>
    <mergeCell ref="D687:D688"/>
    <mergeCell ref="E687:E688"/>
    <mergeCell ref="H687:I687"/>
    <mergeCell ref="J687:M687"/>
    <mergeCell ref="J681:M681"/>
    <mergeCell ref="D682:D685"/>
    <mergeCell ref="E682:E685"/>
    <mergeCell ref="H682:I682"/>
    <mergeCell ref="J682:M682"/>
    <mergeCell ref="V682:V685"/>
    <mergeCell ref="H683:I683"/>
    <mergeCell ref="J683:M683"/>
    <mergeCell ref="H684:I684"/>
    <mergeCell ref="J684:M684"/>
    <mergeCell ref="D678:D681"/>
    <mergeCell ref="E678:E681"/>
    <mergeCell ref="H678:I678"/>
    <mergeCell ref="J678:M678"/>
    <mergeCell ref="V678:V681"/>
    <mergeCell ref="H679:I679"/>
    <mergeCell ref="J679:M679"/>
    <mergeCell ref="H680:I680"/>
    <mergeCell ref="J680:M680"/>
    <mergeCell ref="H681:I681"/>
    <mergeCell ref="H685:I685"/>
    <mergeCell ref="J685:M685"/>
    <mergeCell ref="V674:V675"/>
    <mergeCell ref="D676:D677"/>
    <mergeCell ref="E676:E677"/>
    <mergeCell ref="H676:I676"/>
    <mergeCell ref="J676:M676"/>
    <mergeCell ref="V676:V677"/>
    <mergeCell ref="H677:I677"/>
    <mergeCell ref="J677:M677"/>
    <mergeCell ref="H673:I673"/>
    <mergeCell ref="J673:K673"/>
    <mergeCell ref="L673:M673"/>
    <mergeCell ref="D674:D675"/>
    <mergeCell ref="E674:E675"/>
    <mergeCell ref="H674:I675"/>
    <mergeCell ref="J674:M674"/>
    <mergeCell ref="D635:D640"/>
    <mergeCell ref="E635:E640"/>
    <mergeCell ref="M635:N635"/>
    <mergeCell ref="V635:V640"/>
    <mergeCell ref="B643:O643"/>
    <mergeCell ref="P643:R643"/>
    <mergeCell ref="V643:AI643"/>
    <mergeCell ref="D629:D634"/>
    <mergeCell ref="E629:E634"/>
    <mergeCell ref="V629:V634"/>
    <mergeCell ref="M631:O631"/>
    <mergeCell ref="M632:N632"/>
    <mergeCell ref="M633:N633"/>
    <mergeCell ref="M634:N634"/>
    <mergeCell ref="H622:I622"/>
    <mergeCell ref="D623:D628"/>
    <mergeCell ref="E623:E628"/>
    <mergeCell ref="V623:V628"/>
    <mergeCell ref="M627:N627"/>
    <mergeCell ref="D609:D614"/>
    <mergeCell ref="E609:E614"/>
    <mergeCell ref="V609:V614"/>
    <mergeCell ref="H615:I615"/>
    <mergeCell ref="H618:I619"/>
    <mergeCell ref="D620:D621"/>
    <mergeCell ref="E620:E621"/>
    <mergeCell ref="I620:I621"/>
    <mergeCell ref="V620:V621"/>
    <mergeCell ref="M625:P625"/>
    <mergeCell ref="B577:R577"/>
    <mergeCell ref="V577:AI577"/>
    <mergeCell ref="D600:D605"/>
    <mergeCell ref="E600:E605"/>
    <mergeCell ref="V600:V605"/>
    <mergeCell ref="H606:I606"/>
    <mergeCell ref="H572:I572"/>
    <mergeCell ref="J572:L572"/>
    <mergeCell ref="H573:I573"/>
    <mergeCell ref="J573:L573"/>
    <mergeCell ref="H574:I574"/>
    <mergeCell ref="J574:L574"/>
    <mergeCell ref="J568:L568"/>
    <mergeCell ref="H569:I569"/>
    <mergeCell ref="J569:L569"/>
    <mergeCell ref="H570:I570"/>
    <mergeCell ref="J570:L570"/>
    <mergeCell ref="H571:I571"/>
    <mergeCell ref="J571:L571"/>
    <mergeCell ref="H563:I563"/>
    <mergeCell ref="H564:I564"/>
    <mergeCell ref="H565:I565"/>
    <mergeCell ref="H566:I566"/>
    <mergeCell ref="H567:I567"/>
    <mergeCell ref="H568:I568"/>
    <mergeCell ref="V558:V559"/>
    <mergeCell ref="H559:I559"/>
    <mergeCell ref="H560:I560"/>
    <mergeCell ref="H561:I561"/>
    <mergeCell ref="J561:L561"/>
    <mergeCell ref="D562:D567"/>
    <mergeCell ref="E562:E567"/>
    <mergeCell ref="H562:I562"/>
    <mergeCell ref="J562:L567"/>
    <mergeCell ref="V562:V566"/>
    <mergeCell ref="H557:I557"/>
    <mergeCell ref="J557:L557"/>
    <mergeCell ref="D558:D559"/>
    <mergeCell ref="E558:E559"/>
    <mergeCell ref="H558:I558"/>
    <mergeCell ref="J558:L560"/>
    <mergeCell ref="H536:I536"/>
    <mergeCell ref="J536:L536"/>
    <mergeCell ref="H537:I537"/>
    <mergeCell ref="J537:L537"/>
    <mergeCell ref="B540:R540"/>
    <mergeCell ref="V540:AI540"/>
    <mergeCell ref="H533:I533"/>
    <mergeCell ref="J533:L533"/>
    <mergeCell ref="H534:I534"/>
    <mergeCell ref="J534:L534"/>
    <mergeCell ref="H535:I535"/>
    <mergeCell ref="J535:L535"/>
    <mergeCell ref="H530:I530"/>
    <mergeCell ref="J530:L530"/>
    <mergeCell ref="H531:I531"/>
    <mergeCell ref="J531:L531"/>
    <mergeCell ref="H532:I532"/>
    <mergeCell ref="J532:L532"/>
    <mergeCell ref="H527:I527"/>
    <mergeCell ref="J527:L527"/>
    <mergeCell ref="H528:I528"/>
    <mergeCell ref="J528:L528"/>
    <mergeCell ref="H529:I529"/>
    <mergeCell ref="J529:L529"/>
    <mergeCell ref="H524:I524"/>
    <mergeCell ref="J524:L524"/>
    <mergeCell ref="H525:I525"/>
    <mergeCell ref="J525:L525"/>
    <mergeCell ref="H526:I526"/>
    <mergeCell ref="J526:L526"/>
    <mergeCell ref="H521:I521"/>
    <mergeCell ref="J521:L521"/>
    <mergeCell ref="H522:I522"/>
    <mergeCell ref="J522:L522"/>
    <mergeCell ref="H523:I523"/>
    <mergeCell ref="J523:L523"/>
    <mergeCell ref="H518:I518"/>
    <mergeCell ref="J518:L518"/>
    <mergeCell ref="D519:D520"/>
    <mergeCell ref="E519:E520"/>
    <mergeCell ref="H519:I519"/>
    <mergeCell ref="J519:L519"/>
    <mergeCell ref="H520:I520"/>
    <mergeCell ref="J520:L520"/>
    <mergeCell ref="B499:R499"/>
    <mergeCell ref="V499:AI499"/>
    <mergeCell ref="H516:I516"/>
    <mergeCell ref="J516:L516"/>
    <mergeCell ref="H517:I517"/>
    <mergeCell ref="J517:L517"/>
    <mergeCell ref="B472:R472"/>
    <mergeCell ref="V472:AI472"/>
    <mergeCell ref="D487:D488"/>
    <mergeCell ref="V487:V488"/>
    <mergeCell ref="D493:D494"/>
    <mergeCell ref="V493:V494"/>
    <mergeCell ref="D460:D462"/>
    <mergeCell ref="H460:H462"/>
    <mergeCell ref="V460:V462"/>
    <mergeCell ref="D463:D465"/>
    <mergeCell ref="G463:G465"/>
    <mergeCell ref="H463:H465"/>
    <mergeCell ref="V463:V465"/>
    <mergeCell ref="B434:R434"/>
    <mergeCell ref="V434:AI434"/>
    <mergeCell ref="D445:G448"/>
    <mergeCell ref="D456:D458"/>
    <mergeCell ref="G456:G457"/>
    <mergeCell ref="H456:H457"/>
    <mergeCell ref="V456:V458"/>
    <mergeCell ref="D451:D452"/>
    <mergeCell ref="V451:V452"/>
    <mergeCell ref="D341:D370"/>
    <mergeCell ref="V341:V370"/>
    <mergeCell ref="D371:D400"/>
    <mergeCell ref="V371:V400"/>
    <mergeCell ref="H372:H400"/>
    <mergeCell ref="D402:D431"/>
    <mergeCell ref="G402:G431"/>
    <mergeCell ref="V402:V431"/>
    <mergeCell ref="D245:D274"/>
    <mergeCell ref="V245:V274"/>
    <mergeCell ref="D278:D307"/>
    <mergeCell ref="H278:H307"/>
    <mergeCell ref="V278:V307"/>
    <mergeCell ref="D308:D337"/>
    <mergeCell ref="V308:V337"/>
    <mergeCell ref="D155:D184"/>
    <mergeCell ref="V155:V184"/>
    <mergeCell ref="D185:D214"/>
    <mergeCell ref="V185:V214"/>
    <mergeCell ref="D215:D244"/>
    <mergeCell ref="V215:V244"/>
    <mergeCell ref="D103:D110"/>
    <mergeCell ref="H103:H110"/>
    <mergeCell ref="V103:V110"/>
    <mergeCell ref="B113:R113"/>
    <mergeCell ref="V113:AI113"/>
    <mergeCell ref="D149:L152"/>
    <mergeCell ref="D76:D83"/>
    <mergeCell ref="V76:V83"/>
    <mergeCell ref="D84:D91"/>
    <mergeCell ref="V84:V91"/>
    <mergeCell ref="D92:D99"/>
    <mergeCell ref="V92:V99"/>
    <mergeCell ref="H46:J46"/>
    <mergeCell ref="K46:N46"/>
    <mergeCell ref="B49:R49"/>
    <mergeCell ref="V49:AI49"/>
    <mergeCell ref="E65:L65"/>
    <mergeCell ref="D68:D75"/>
    <mergeCell ref="V68:V75"/>
    <mergeCell ref="V39:V46"/>
    <mergeCell ref="K42:N42"/>
    <mergeCell ref="H43:J43"/>
    <mergeCell ref="K43:N43"/>
    <mergeCell ref="H44:J44"/>
    <mergeCell ref="K44:N44"/>
    <mergeCell ref="H45:J45"/>
    <mergeCell ref="K45:N45"/>
    <mergeCell ref="D39:D46"/>
    <mergeCell ref="E39:E46"/>
    <mergeCell ref="H39:J39"/>
    <mergeCell ref="K39:N39"/>
    <mergeCell ref="H40:J40"/>
    <mergeCell ref="K40:N40"/>
    <mergeCell ref="H41:J41"/>
    <mergeCell ref="K41:N41"/>
    <mergeCell ref="H42:J42"/>
    <mergeCell ref="H37:J37"/>
    <mergeCell ref="K37:N37"/>
    <mergeCell ref="H38:J38"/>
    <mergeCell ref="K38:N38"/>
    <mergeCell ref="K32:N32"/>
    <mergeCell ref="D33:D36"/>
    <mergeCell ref="E33:E36"/>
    <mergeCell ref="H33:J33"/>
    <mergeCell ref="K33:N33"/>
    <mergeCell ref="V33:V36"/>
    <mergeCell ref="H34:J34"/>
    <mergeCell ref="K34:N34"/>
    <mergeCell ref="H35:J35"/>
    <mergeCell ref="K35:N35"/>
    <mergeCell ref="D29:D32"/>
    <mergeCell ref="E29:E32"/>
    <mergeCell ref="H29:J29"/>
    <mergeCell ref="K29:N29"/>
    <mergeCell ref="V29:V32"/>
    <mergeCell ref="H30:J30"/>
    <mergeCell ref="K30:N30"/>
    <mergeCell ref="H31:J31"/>
    <mergeCell ref="K31:N31"/>
    <mergeCell ref="H32:J32"/>
    <mergeCell ref="H36:J36"/>
    <mergeCell ref="K36:N36"/>
    <mergeCell ref="A1:O1"/>
    <mergeCell ref="P1:R1"/>
    <mergeCell ref="D2:J2"/>
    <mergeCell ref="B4:R4"/>
    <mergeCell ref="V4:AI4"/>
    <mergeCell ref="H24:J24"/>
    <mergeCell ref="K24:N24"/>
    <mergeCell ref="D27:D28"/>
    <mergeCell ref="E27:E28"/>
    <mergeCell ref="H27:J27"/>
    <mergeCell ref="K27:N27"/>
    <mergeCell ref="V27:V28"/>
    <mergeCell ref="H28:J28"/>
    <mergeCell ref="K28:N28"/>
    <mergeCell ref="D25:D26"/>
    <mergeCell ref="E25:E26"/>
    <mergeCell ref="H25:J26"/>
    <mergeCell ref="K25:N25"/>
    <mergeCell ref="V25:V26"/>
    <mergeCell ref="K26:N26"/>
  </mergeCells>
  <conditionalFormatting sqref="AH475">
    <cfRule type="cellIs" dxfId="84" priority="42" operator="lessThan">
      <formula>-0.1</formula>
    </cfRule>
    <cfRule type="cellIs" dxfId="83" priority="43" operator="greaterThan">
      <formula>0.1</formula>
    </cfRule>
  </conditionalFormatting>
  <conditionalFormatting sqref="AH646:AH665">
    <cfRule type="cellIs" dxfId="82" priority="40" operator="lessThan">
      <formula>-0.1</formula>
    </cfRule>
    <cfRule type="cellIs" dxfId="81" priority="41" operator="greaterThan">
      <formula>0.1</formula>
    </cfRule>
  </conditionalFormatting>
  <conditionalFormatting sqref="AH709:AH710">
    <cfRule type="cellIs" dxfId="80" priority="38" operator="lessThan">
      <formula>-0.1</formula>
    </cfRule>
    <cfRule type="cellIs" dxfId="79" priority="39" operator="greaterThan">
      <formula>0.1</formula>
    </cfRule>
  </conditionalFormatting>
  <conditionalFormatting sqref="AH711:AH712">
    <cfRule type="cellIs" dxfId="78" priority="36" operator="lessThan">
      <formula>-0.1</formula>
    </cfRule>
    <cfRule type="cellIs" dxfId="77" priority="37" operator="greaterThan">
      <formula>0.1</formula>
    </cfRule>
  </conditionalFormatting>
  <conditionalFormatting sqref="AH747:AH749">
    <cfRule type="cellIs" dxfId="76" priority="34" operator="lessThan">
      <formula>-0.1</formula>
    </cfRule>
    <cfRule type="cellIs" dxfId="75" priority="35" operator="greaterThan">
      <formula>0.1</formula>
    </cfRule>
  </conditionalFormatting>
  <conditionalFormatting sqref="AH750">
    <cfRule type="cellIs" dxfId="74" priority="32" operator="lessThan">
      <formula>-0.1</formula>
    </cfRule>
    <cfRule type="cellIs" dxfId="73" priority="33" operator="greaterThan">
      <formula>0.1</formula>
    </cfRule>
  </conditionalFormatting>
  <conditionalFormatting sqref="AH821:AH844">
    <cfRule type="cellIs" dxfId="72" priority="30" operator="lessThan">
      <formula>-0.1</formula>
    </cfRule>
    <cfRule type="cellIs" dxfId="71" priority="31" operator="greaterThan">
      <formula>0.1</formula>
    </cfRule>
  </conditionalFormatting>
  <conditionalFormatting sqref="AH1032:AH1051">
    <cfRule type="cellIs" dxfId="70" priority="28" operator="lessThan">
      <formula>-0.1</formula>
    </cfRule>
    <cfRule type="cellIs" dxfId="69" priority="29" operator="greaterThan">
      <formula>0.1</formula>
    </cfRule>
  </conditionalFormatting>
  <conditionalFormatting sqref="B1:B17 B668:B750 B443:B475 B19:B437 B1176:B1048576 B752:B1173 B477:B665">
    <cfRule type="cellIs" dxfId="68" priority="27" operator="equal">
      <formula>"x"</formula>
    </cfRule>
  </conditionalFormatting>
  <conditionalFormatting sqref="B18">
    <cfRule type="cellIs" dxfId="67" priority="26" operator="equal">
      <formula>"x"</formula>
    </cfRule>
  </conditionalFormatting>
  <conditionalFormatting sqref="E9">
    <cfRule type="cellIs" dxfId="66" priority="25" operator="equal">
      <formula>"x"</formula>
    </cfRule>
  </conditionalFormatting>
  <conditionalFormatting sqref="E12">
    <cfRule type="cellIs" dxfId="65" priority="24" operator="equal">
      <formula>"x"</formula>
    </cfRule>
  </conditionalFormatting>
  <conditionalFormatting sqref="E15">
    <cfRule type="cellIs" dxfId="64" priority="23" operator="equal">
      <formula>"x"</formula>
    </cfRule>
  </conditionalFormatting>
  <conditionalFormatting sqref="E18">
    <cfRule type="cellIs" dxfId="63" priority="22" operator="equal">
      <formula>"x"</formula>
    </cfRule>
  </conditionalFormatting>
  <conditionalFormatting sqref="E666:E667">
    <cfRule type="cellIs" dxfId="62" priority="12" operator="equal">
      <formula>"x"</formula>
    </cfRule>
  </conditionalFormatting>
  <conditionalFormatting sqref="AH476">
    <cfRule type="cellIs" dxfId="61" priority="20" operator="lessThan">
      <formula>-0.1</formula>
    </cfRule>
    <cfRule type="cellIs" dxfId="60" priority="21" operator="greaterThan">
      <formula>0.1</formula>
    </cfRule>
  </conditionalFormatting>
  <conditionalFormatting sqref="B476">
    <cfRule type="cellIs" dxfId="59" priority="19" operator="equal">
      <formula>"x"</formula>
    </cfRule>
  </conditionalFormatting>
  <conditionalFormatting sqref="E476">
    <cfRule type="cellIs" dxfId="58" priority="18" operator="equal">
      <formula>"x"</formula>
    </cfRule>
  </conditionalFormatting>
  <conditionalFormatting sqref="AH666:AH667">
    <cfRule type="cellIs" dxfId="57" priority="16" operator="lessThan">
      <formula>-0.1</formula>
    </cfRule>
    <cfRule type="cellIs" dxfId="56" priority="17" operator="greaterThan">
      <formula>0.1</formula>
    </cfRule>
  </conditionalFormatting>
  <conditionalFormatting sqref="B666:B667">
    <cfRule type="cellIs" dxfId="55" priority="15" operator="equal">
      <formula>"x"</formula>
    </cfRule>
  </conditionalFormatting>
  <conditionalFormatting sqref="E654:E655">
    <cfRule type="cellIs" dxfId="54" priority="14" operator="equal">
      <formula>"x"</formula>
    </cfRule>
  </conditionalFormatting>
  <conditionalFormatting sqref="E660:E661">
    <cfRule type="cellIs" dxfId="53" priority="13" operator="equal">
      <formula>"x"</formula>
    </cfRule>
  </conditionalFormatting>
  <conditionalFormatting sqref="E823:E824">
    <cfRule type="cellIs" dxfId="52" priority="11" operator="equal">
      <formula>"x"</formula>
    </cfRule>
  </conditionalFormatting>
  <conditionalFormatting sqref="E829:E830">
    <cfRule type="cellIs" dxfId="51" priority="10" operator="equal">
      <formula>"x"</formula>
    </cfRule>
  </conditionalFormatting>
  <conditionalFormatting sqref="E835:E836">
    <cfRule type="cellIs" dxfId="50" priority="9" operator="equal">
      <formula>"x"</formula>
    </cfRule>
  </conditionalFormatting>
  <conditionalFormatting sqref="E841:E842">
    <cfRule type="cellIs" dxfId="49" priority="8" operator="equal">
      <formula>"x"</formula>
    </cfRule>
  </conditionalFormatting>
  <conditionalFormatting sqref="B438:B439">
    <cfRule type="cellIs" dxfId="48" priority="7" operator="equal">
      <formula>"x"</formula>
    </cfRule>
  </conditionalFormatting>
  <conditionalFormatting sqref="B1174:B1175">
    <cfRule type="cellIs" dxfId="47" priority="6" operator="equal">
      <formula>"x"</formula>
    </cfRule>
  </conditionalFormatting>
  <conditionalFormatting sqref="AH751">
    <cfRule type="cellIs" dxfId="46" priority="4" operator="lessThan">
      <formula>-0.1</formula>
    </cfRule>
    <cfRule type="cellIs" dxfId="45" priority="5" operator="greaterThan">
      <formula>0.1</formula>
    </cfRule>
  </conditionalFormatting>
  <conditionalFormatting sqref="B751">
    <cfRule type="cellIs" dxfId="44" priority="3" operator="equal">
      <formula>"x"</formula>
    </cfRule>
  </conditionalFormatting>
  <conditionalFormatting sqref="B440">
    <cfRule type="cellIs" dxfId="43" priority="2" operator="equal">
      <formula>"x"</formula>
    </cfRule>
  </conditionalFormatting>
  <conditionalFormatting sqref="B441:B442">
    <cfRule type="cellIs" dxfId="42" priority="1" operator="equal">
      <formula>"x"</formula>
    </cfRule>
  </conditionalFormatting>
  <hyperlinks>
    <hyperlink ref="J985" r:id="rId1" display="https://www.efis.psc.mo.gov/mpsc/commoncomponents/viewdocument.asp?DocId=935658483"/>
    <hyperlink ref="H928" r:id="rId2" display="https://www.efis.psc.mo.gov/mpsc/commoncomponents/viewdocument.asp?DocId=935658483"/>
    <hyperlink ref="G985" r:id="rId3" display="https://www.efis.psc.mo.gov/mpsc/commoncomponents/viewdocument.asp?DocId=935658483"/>
    <hyperlink ref="G1018" r:id="rId4" display="https://www.efis.psc.mo.gov/mpsc/commoncomponents/viewdocument.asp?DocId=935658483"/>
    <hyperlink ref="H733" r:id="rId5" display="https://www.efis.psc.mo.gov/mpsc/commoncomponents/viewdocument.asp?DocId=935658483"/>
    <hyperlink ref="H775" r:id="rId6" display="https://www.efis.psc.mo.gov/mpsc/commoncomponents/viewdocument.asp?DocId=935658483"/>
  </hyperlinks>
  <pageMargins left="0.7" right="0.7" top="0.75" bottom="0.75" header="0.3" footer="0.3"/>
  <pageSetup scale="10" fitToHeight="0" orientation="landscape" r:id="rId7"/>
  <rowBreaks count="4" manualBreakCount="4">
    <brk id="539" max="68" man="1"/>
    <brk id="816" max="68" man="1"/>
    <brk id="1074" max="68" man="1"/>
    <brk id="1139" max="68" man="1"/>
  </rowBreaks>
  <drawing r:id="rId8"/>
  <legacyDrawing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B0D9C22E963A4A967BFBC01922C305" ma:contentTypeVersion="0" ma:contentTypeDescription="Create a new document." ma:contentTypeScope="" ma:versionID="e2ce6524c91e204069cacf405c73760a">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ABEC58CA-BFEB-4132-8D75-0FFB292E9675}">
  <ds:schemaRefs>
    <ds:schemaRef ds:uri="http://schemas.microsoft.com/sharepoint/v3/contenttype/forms"/>
  </ds:schemaRefs>
</ds:datastoreItem>
</file>

<file path=customXml/itemProps2.xml><?xml version="1.0" encoding="utf-8"?>
<ds:datastoreItem xmlns:ds="http://schemas.openxmlformats.org/officeDocument/2006/customXml" ds:itemID="{196926E6-08E9-4517-ABDF-E06A11DF34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6C43785B-F03E-459C-B531-6C8BB750A74C}">
  <ds:schemaRef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48</vt:i4>
      </vt:variant>
    </vt:vector>
  </HeadingPairs>
  <TitlesOfParts>
    <vt:vector size="64" baseType="lpstr">
      <vt:lpstr>ReadME</vt:lpstr>
      <vt:lpstr>Deemed Savings Tbl Revision Log</vt:lpstr>
      <vt:lpstr>2020_02_Updates_CleanUp_Items</vt:lpstr>
      <vt:lpstr>BUS Deemed Savings Table </vt:lpstr>
      <vt:lpstr>Lighting Deemed Table</vt:lpstr>
      <vt:lpstr>Efficient Products Deemed Table</vt:lpstr>
      <vt:lpstr>Energy Effic. Kits Deemed Table</vt:lpstr>
      <vt:lpstr>HVAC Deemed Table</vt:lpstr>
      <vt:lpstr>Income Eligble Deemed Table</vt:lpstr>
      <vt:lpstr>Home Energy Report Deemed Table</vt:lpstr>
      <vt:lpstr>MFMR Deemed Table </vt:lpstr>
      <vt:lpstr>Appliance Recycle Deemed Table</vt:lpstr>
      <vt:lpstr>Demand Response Deemed Table</vt:lpstr>
      <vt:lpstr> Measure INDEX</vt:lpstr>
      <vt:lpstr>CP FACTORS</vt:lpstr>
      <vt:lpstr>Avoided Cost Benefits</vt:lpstr>
      <vt:lpstr>'BUS Deemed Savings Table '!_ftn1</vt:lpstr>
      <vt:lpstr>'Efficient Products Deemed Table'!_ftn1</vt:lpstr>
      <vt:lpstr>'BUS Deemed Savings Table '!_ftn10</vt:lpstr>
      <vt:lpstr>'BUS Deemed Savings Table '!_ftn11</vt:lpstr>
      <vt:lpstr>'BUS Deemed Savings Table '!_ftn12</vt:lpstr>
      <vt:lpstr>'BUS Deemed Savings Table '!_ftn2</vt:lpstr>
      <vt:lpstr>'Efficient Products Deemed Table'!_ftn2</vt:lpstr>
      <vt:lpstr>'BUS Deemed Savings Table '!_ftn3</vt:lpstr>
      <vt:lpstr>'BUS Deemed Savings Table '!_ftn4</vt:lpstr>
      <vt:lpstr>'BUS Deemed Savings Table '!_ftn5</vt:lpstr>
      <vt:lpstr>'BUS Deemed Savings Table '!_ftn6</vt:lpstr>
      <vt:lpstr>'BUS Deemed Savings Table '!_ftn7</vt:lpstr>
      <vt:lpstr>'BUS Deemed Savings Table '!_ftn8</vt:lpstr>
      <vt:lpstr>'BUS Deemed Savings Table '!_ftn9</vt:lpstr>
      <vt:lpstr>'BUS Deemed Savings Table '!_ftnref1</vt:lpstr>
      <vt:lpstr>'Efficient Products Deemed Table'!_ftnref1</vt:lpstr>
      <vt:lpstr>'BUS Deemed Savings Table '!_ftnref10</vt:lpstr>
      <vt:lpstr>'BUS Deemed Savings Table '!_ftnref11</vt:lpstr>
      <vt:lpstr>'BUS Deemed Savings Table '!_ftnref12</vt:lpstr>
      <vt:lpstr>'Efficient Products Deemed Table'!_ftnref2</vt:lpstr>
      <vt:lpstr>'BUS Deemed Savings Table '!_ftnref3</vt:lpstr>
      <vt:lpstr>'BUS Deemed Savings Table '!_ftnref4</vt:lpstr>
      <vt:lpstr>'BUS Deemed Savings Table '!_ftnref5</vt:lpstr>
      <vt:lpstr>'BUS Deemed Savings Table '!_ftnref6</vt:lpstr>
      <vt:lpstr>'BUS Deemed Savings Table '!_ftnref7</vt:lpstr>
      <vt:lpstr>'BUS Deemed Savings Table '!_ftnref9</vt:lpstr>
      <vt:lpstr>'BUS Deemed Savings Table '!_Toc477945843</vt:lpstr>
      <vt:lpstr>'Appliance Recycle Deemed Table'!Print_Area</vt:lpstr>
      <vt:lpstr>'BUS Deemed Savings Table '!Print_Area</vt:lpstr>
      <vt:lpstr>'Deemed Savings Tbl Revision Log'!Print_Area</vt:lpstr>
      <vt:lpstr>'Demand Response Deemed Table'!Print_Area</vt:lpstr>
      <vt:lpstr>'Efficient Products Deemed Table'!Print_Area</vt:lpstr>
      <vt:lpstr>'Energy Effic. Kits Deemed Table'!Print_Area</vt:lpstr>
      <vt:lpstr>'Home Energy Report Deemed Table'!Print_Area</vt:lpstr>
      <vt:lpstr>'HVAC Deemed Table'!Print_Area</vt:lpstr>
      <vt:lpstr>'Income Eligble Deemed Table'!Print_Area</vt:lpstr>
      <vt:lpstr>'Lighting Deemed Table'!Print_Area</vt:lpstr>
      <vt:lpstr>'MFMR Deemed Table '!Print_Area</vt:lpstr>
      <vt:lpstr>'Appliance Recycle Deemed Table'!Print_Titles</vt:lpstr>
      <vt:lpstr>'BUS Deemed Savings Table '!Print_Titles</vt:lpstr>
      <vt:lpstr>'Demand Response Deemed Table'!Print_Titles</vt:lpstr>
      <vt:lpstr>'Efficient Products Deemed Table'!Print_Titles</vt:lpstr>
      <vt:lpstr>'Energy Effic. Kits Deemed Table'!Print_Titles</vt:lpstr>
      <vt:lpstr>'Home Energy Report Deemed Table'!Print_Titles</vt:lpstr>
      <vt:lpstr>'HVAC Deemed Table'!Print_Titles</vt:lpstr>
      <vt:lpstr>'Income Eligble Deemed Table'!Print_Titles</vt:lpstr>
      <vt:lpstr>'Lighting Deemed Table'!Print_Titles</vt:lpstr>
      <vt:lpstr>'MFMR Deemed Table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2020-02-06T12:20:55Z</dcterms:created>
  <dcterms:modified xsi:type="dcterms:W3CDTF">2020-02-13T22:17:31Z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0x010100FFB0D9C22E963A4A967BFBC01922C305</vt:lpwstr>
  </property>
</Properties>
</file>